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mnfilesv\10103000総務課\02 財産係\_堀内PC\04_財産台帳関係\【新台帳（AsyzAP）】固定資産台帳関係\R4\市ホームページへの固定資産台帳の掲載\03公表用\"/>
    </mc:Choice>
  </mc:AlternateContent>
  <bookViews>
    <workbookView xWindow="0" yWindow="0" windowWidth="14040" windowHeight="8355"/>
  </bookViews>
  <sheets>
    <sheet name="template" sheetId="1" r:id="rId1"/>
  </sheets>
  <definedNames>
    <definedName name="_xlnm._FilterDatabase" localSheetId="0" hidden="1">template!$A$1:$IF$3237</definedName>
  </definedNames>
  <calcPr calcId="162913"/>
</workbook>
</file>

<file path=xl/calcChain.xml><?xml version="1.0" encoding="utf-8"?>
<calcChain xmlns="http://schemas.openxmlformats.org/spreadsheetml/2006/main">
  <c r="DG3230" i="1" l="1"/>
  <c r="DA3230" i="1"/>
  <c r="T3230" i="1"/>
  <c r="S3230" i="1"/>
  <c r="R3230" i="1"/>
  <c r="Q3230" i="1"/>
  <c r="P3230" i="1"/>
  <c r="N3230" i="1"/>
  <c r="CZ3230" i="1"/>
  <c r="BO3230" i="1"/>
  <c r="BN3230" i="1"/>
  <c r="DG3221" i="1"/>
  <c r="DA3221" i="1"/>
  <c r="T3221" i="1"/>
  <c r="S3221" i="1"/>
  <c r="R3221" i="1"/>
  <c r="Q3221" i="1"/>
  <c r="P3221" i="1"/>
  <c r="N3221" i="1"/>
  <c r="CZ3221" i="1"/>
  <c r="BO3221" i="1"/>
  <c r="BN3221" i="1"/>
  <c r="DG3207" i="1"/>
  <c r="DA3207" i="1"/>
  <c r="T3207" i="1"/>
  <c r="S3207" i="1"/>
  <c r="R3207" i="1"/>
  <c r="Q3207" i="1"/>
  <c r="P3207" i="1"/>
  <c r="N3207" i="1"/>
  <c r="CZ3207" i="1"/>
  <c r="BO3207" i="1"/>
  <c r="BN3207" i="1"/>
  <c r="DG3208" i="1"/>
  <c r="DA3208" i="1"/>
  <c r="T3208" i="1"/>
  <c r="S3208" i="1"/>
  <c r="R3208" i="1"/>
  <c r="Q3208" i="1"/>
  <c r="P3208" i="1"/>
  <c r="N3208" i="1"/>
  <c r="CZ3208" i="1"/>
  <c r="BO3208" i="1"/>
  <c r="BN3208" i="1"/>
  <c r="DG3214" i="1"/>
  <c r="DA3214" i="1"/>
  <c r="T3214" i="1"/>
  <c r="S3214" i="1"/>
  <c r="R3214" i="1"/>
  <c r="Q3214" i="1"/>
  <c r="P3214" i="1"/>
  <c r="N3214" i="1"/>
  <c r="CZ3214" i="1"/>
  <c r="BO3214" i="1"/>
  <c r="BN3214" i="1"/>
  <c r="DG3205" i="1"/>
  <c r="DA3205" i="1"/>
  <c r="T3205" i="1"/>
  <c r="S3205" i="1"/>
  <c r="R3205" i="1"/>
  <c r="Q3205" i="1"/>
  <c r="P3205" i="1"/>
  <c r="N3205" i="1"/>
  <c r="CZ3205" i="1"/>
  <c r="BO3205" i="1"/>
  <c r="BN3205" i="1"/>
  <c r="DG3235" i="1"/>
  <c r="DA3235" i="1"/>
  <c r="T3235" i="1"/>
  <c r="S3235" i="1"/>
  <c r="R3235" i="1"/>
  <c r="Q3235" i="1"/>
  <c r="P3235" i="1"/>
  <c r="N3235" i="1"/>
  <c r="CZ3235" i="1"/>
  <c r="BO3235" i="1"/>
  <c r="BN3235" i="1"/>
  <c r="DG3217" i="1"/>
  <c r="DA3217" i="1"/>
  <c r="T3217" i="1"/>
  <c r="S3217" i="1"/>
  <c r="R3217" i="1"/>
  <c r="Q3217" i="1"/>
  <c r="P3217" i="1"/>
  <c r="N3217" i="1"/>
  <c r="CZ3217" i="1"/>
  <c r="BO3217" i="1"/>
  <c r="BN3217" i="1"/>
  <c r="DG3222" i="1"/>
  <c r="DA3222" i="1"/>
  <c r="T3222" i="1"/>
  <c r="S3222" i="1"/>
  <c r="R3222" i="1"/>
  <c r="Q3222" i="1"/>
  <c r="P3222" i="1"/>
  <c r="N3222" i="1"/>
  <c r="CZ3222" i="1"/>
  <c r="BO3222" i="1"/>
  <c r="BN3222" i="1"/>
  <c r="DG3210" i="1"/>
  <c r="DA3210" i="1"/>
  <c r="T3210" i="1"/>
  <c r="S3210" i="1"/>
  <c r="R3210" i="1"/>
  <c r="Q3210" i="1"/>
  <c r="P3210" i="1"/>
  <c r="N3210" i="1"/>
  <c r="CZ3210" i="1"/>
  <c r="BO3210" i="1"/>
  <c r="BN3210" i="1"/>
  <c r="DG3211" i="1"/>
  <c r="DA3211" i="1"/>
  <c r="T3211" i="1"/>
  <c r="S3211" i="1"/>
  <c r="R3211" i="1"/>
  <c r="Q3211" i="1"/>
  <c r="P3211" i="1"/>
  <c r="N3211" i="1"/>
  <c r="CZ3211" i="1"/>
  <c r="BO3211" i="1"/>
  <c r="BN3211" i="1"/>
  <c r="DG3215" i="1"/>
  <c r="DA3215" i="1"/>
  <c r="T3215" i="1"/>
  <c r="S3215" i="1"/>
  <c r="R3215" i="1"/>
  <c r="Q3215" i="1"/>
  <c r="P3215" i="1"/>
  <c r="N3215" i="1"/>
  <c r="CZ3215" i="1"/>
  <c r="BO3215" i="1"/>
  <c r="BN3215" i="1"/>
  <c r="DG3237" i="1"/>
  <c r="DA3237" i="1"/>
  <c r="T3237" i="1"/>
  <c r="S3237" i="1"/>
  <c r="R3237" i="1"/>
  <c r="Q3237" i="1"/>
  <c r="P3237" i="1"/>
  <c r="N3237" i="1"/>
  <c r="CZ3237" i="1"/>
  <c r="BO3237" i="1"/>
  <c r="BN3237" i="1"/>
  <c r="DG3226" i="1"/>
  <c r="DA3226" i="1"/>
  <c r="T3226" i="1"/>
  <c r="S3226" i="1"/>
  <c r="R3226" i="1"/>
  <c r="Q3226" i="1"/>
  <c r="P3226" i="1"/>
  <c r="N3226" i="1"/>
  <c r="CZ3226" i="1"/>
  <c r="BO3226" i="1"/>
  <c r="BN3226" i="1"/>
  <c r="DG3216" i="1"/>
  <c r="DA3216" i="1"/>
  <c r="T3216" i="1"/>
  <c r="S3216" i="1"/>
  <c r="R3216" i="1"/>
  <c r="Q3216" i="1"/>
  <c r="P3216" i="1"/>
  <c r="N3216" i="1"/>
  <c r="CZ3216" i="1"/>
  <c r="BO3216" i="1"/>
  <c r="BN3216" i="1"/>
  <c r="DG3228" i="1"/>
  <c r="DA3228" i="1"/>
  <c r="T3228" i="1"/>
  <c r="S3228" i="1"/>
  <c r="R3228" i="1"/>
  <c r="Q3228" i="1"/>
  <c r="P3228" i="1"/>
  <c r="N3228" i="1"/>
  <c r="CZ3228" i="1"/>
  <c r="BO3228" i="1"/>
  <c r="BN3228" i="1"/>
  <c r="DG3218" i="1"/>
  <c r="DA3218" i="1"/>
  <c r="T3218" i="1"/>
  <c r="S3218" i="1"/>
  <c r="R3218" i="1"/>
  <c r="Q3218" i="1"/>
  <c r="P3218" i="1"/>
  <c r="N3218" i="1"/>
  <c r="CZ3218" i="1"/>
  <c r="BO3218" i="1"/>
  <c r="BN3218" i="1"/>
  <c r="DG3212" i="1"/>
  <c r="DA3212" i="1"/>
  <c r="T3212" i="1"/>
  <c r="S3212" i="1"/>
  <c r="R3212" i="1"/>
  <c r="Q3212" i="1"/>
  <c r="P3212" i="1"/>
  <c r="N3212" i="1"/>
  <c r="CZ3212" i="1"/>
  <c r="BO3212" i="1"/>
  <c r="BN3212" i="1"/>
  <c r="DG3219" i="1"/>
  <c r="DA3219" i="1"/>
  <c r="T3219" i="1"/>
  <c r="S3219" i="1"/>
  <c r="R3219" i="1"/>
  <c r="Q3219" i="1"/>
  <c r="P3219" i="1"/>
  <c r="N3219" i="1"/>
  <c r="CZ3219" i="1"/>
  <c r="BO3219" i="1"/>
  <c r="BN3219" i="1"/>
  <c r="DG3234" i="1"/>
  <c r="DA3234" i="1"/>
  <c r="T3234" i="1"/>
  <c r="S3234" i="1"/>
  <c r="R3234" i="1"/>
  <c r="Q3234" i="1"/>
  <c r="P3234" i="1"/>
  <c r="N3234" i="1"/>
  <c r="CZ3234" i="1"/>
  <c r="BO3234" i="1"/>
  <c r="BN3234" i="1"/>
  <c r="DG3209" i="1"/>
  <c r="DA3209" i="1"/>
  <c r="T3209" i="1"/>
  <c r="S3209" i="1"/>
  <c r="R3209" i="1"/>
  <c r="Q3209" i="1"/>
  <c r="P3209" i="1"/>
  <c r="N3209" i="1"/>
  <c r="CZ3209" i="1"/>
  <c r="BO3209" i="1"/>
  <c r="BN3209" i="1"/>
  <c r="DG3213" i="1"/>
  <c r="DA3213" i="1"/>
  <c r="T3213" i="1"/>
  <c r="S3213" i="1"/>
  <c r="R3213" i="1"/>
  <c r="Q3213" i="1"/>
  <c r="P3213" i="1"/>
  <c r="N3213" i="1"/>
  <c r="CZ3213" i="1"/>
  <c r="BO3213" i="1"/>
  <c r="BN3213" i="1"/>
  <c r="DG3224" i="1"/>
  <c r="DA3224" i="1"/>
  <c r="T3224" i="1"/>
  <c r="S3224" i="1"/>
  <c r="R3224" i="1"/>
  <c r="Q3224" i="1"/>
  <c r="P3224" i="1"/>
  <c r="N3224" i="1"/>
  <c r="CZ3224" i="1"/>
  <c r="BO3224" i="1"/>
  <c r="BN3224" i="1"/>
  <c r="DG3203" i="1"/>
  <c r="DA3203" i="1"/>
  <c r="T3203" i="1"/>
  <c r="S3203" i="1"/>
  <c r="R3203" i="1"/>
  <c r="Q3203" i="1"/>
  <c r="P3203" i="1"/>
  <c r="N3203" i="1"/>
  <c r="CZ3203" i="1"/>
  <c r="BO3203" i="1"/>
  <c r="BN3203" i="1"/>
  <c r="DG3220" i="1"/>
  <c r="DA3220" i="1"/>
  <c r="T3220" i="1"/>
  <c r="S3220" i="1"/>
  <c r="R3220" i="1"/>
  <c r="Q3220" i="1"/>
  <c r="P3220" i="1"/>
  <c r="N3220" i="1"/>
  <c r="CZ3220" i="1"/>
  <c r="BO3220" i="1"/>
  <c r="BN3220" i="1"/>
  <c r="DG3204" i="1"/>
  <c r="DA3204" i="1"/>
  <c r="T3204" i="1"/>
  <c r="S3204" i="1"/>
  <c r="R3204" i="1"/>
  <c r="Q3204" i="1"/>
  <c r="P3204" i="1"/>
  <c r="N3204" i="1"/>
  <c r="CZ3204" i="1"/>
  <c r="BO3204" i="1"/>
  <c r="BN3204" i="1"/>
  <c r="DG3232" i="1"/>
  <c r="DA3232" i="1"/>
  <c r="T3232" i="1"/>
  <c r="S3232" i="1"/>
  <c r="R3232" i="1"/>
  <c r="Q3232" i="1"/>
  <c r="P3232" i="1"/>
  <c r="N3232" i="1"/>
  <c r="CZ3232" i="1"/>
  <c r="BO3232" i="1"/>
  <c r="BN3232" i="1"/>
  <c r="DG3231" i="1"/>
  <c r="DA3231" i="1"/>
  <c r="T3231" i="1"/>
  <c r="S3231" i="1"/>
  <c r="R3231" i="1"/>
  <c r="Q3231" i="1"/>
  <c r="P3231" i="1"/>
  <c r="N3231" i="1"/>
  <c r="CZ3231" i="1"/>
  <c r="BO3231" i="1"/>
  <c r="BN3231" i="1"/>
  <c r="DG3236" i="1"/>
  <c r="DA3236" i="1"/>
  <c r="T3236" i="1"/>
  <c r="S3236" i="1"/>
  <c r="R3236" i="1"/>
  <c r="Q3236" i="1"/>
  <c r="P3236" i="1"/>
  <c r="N3236" i="1"/>
  <c r="CZ3236" i="1"/>
  <c r="BO3236" i="1"/>
  <c r="BN3236" i="1"/>
  <c r="DG3206" i="1"/>
  <c r="DA3206" i="1"/>
  <c r="T3206" i="1"/>
  <c r="S3206" i="1"/>
  <c r="R3206" i="1"/>
  <c r="Q3206" i="1"/>
  <c r="P3206" i="1"/>
  <c r="N3206" i="1"/>
  <c r="CZ3206" i="1"/>
  <c r="BO3206" i="1"/>
  <c r="BN3206" i="1"/>
  <c r="DG3229" i="1"/>
  <c r="DA3229" i="1"/>
  <c r="T3229" i="1"/>
  <c r="S3229" i="1"/>
  <c r="R3229" i="1"/>
  <c r="Q3229" i="1"/>
  <c r="P3229" i="1"/>
  <c r="N3229" i="1"/>
  <c r="CZ3229" i="1"/>
  <c r="BO3229" i="1"/>
  <c r="BN3229" i="1"/>
  <c r="DG3225" i="1"/>
  <c r="DA3225" i="1"/>
  <c r="T3225" i="1"/>
  <c r="S3225" i="1"/>
  <c r="R3225" i="1"/>
  <c r="Q3225" i="1"/>
  <c r="P3225" i="1"/>
  <c r="N3225" i="1"/>
  <c r="CZ3225" i="1"/>
  <c r="BO3225" i="1"/>
  <c r="BN3225" i="1"/>
  <c r="DG3227" i="1"/>
  <c r="DA3227" i="1"/>
  <c r="T3227" i="1"/>
  <c r="S3227" i="1"/>
  <c r="R3227" i="1"/>
  <c r="Q3227" i="1"/>
  <c r="P3227" i="1"/>
  <c r="N3227" i="1"/>
  <c r="CZ3227" i="1"/>
  <c r="BO3227" i="1"/>
  <c r="BN3227" i="1"/>
  <c r="DG3223" i="1"/>
  <c r="DA3223" i="1"/>
  <c r="T3223" i="1"/>
  <c r="S3223" i="1"/>
  <c r="R3223" i="1"/>
  <c r="Q3223" i="1"/>
  <c r="P3223" i="1"/>
  <c r="N3223" i="1"/>
  <c r="CZ3223" i="1"/>
  <c r="BO3223" i="1"/>
  <c r="BN3223" i="1"/>
  <c r="DG3233" i="1"/>
  <c r="DA3233" i="1"/>
  <c r="T3233" i="1"/>
  <c r="S3233" i="1"/>
  <c r="R3233" i="1"/>
  <c r="Q3233" i="1"/>
  <c r="P3233" i="1"/>
  <c r="N3233" i="1"/>
  <c r="CZ3233" i="1"/>
  <c r="BO3233" i="1"/>
  <c r="BN3233" i="1"/>
  <c r="DG119" i="1"/>
  <c r="DA119" i="1"/>
  <c r="T119" i="1"/>
  <c r="S119" i="1"/>
  <c r="Q119" i="1"/>
  <c r="P119" i="1"/>
  <c r="N119" i="1"/>
  <c r="BO119" i="1"/>
  <c r="BN119" i="1"/>
  <c r="DG117" i="1"/>
  <c r="DA117" i="1"/>
  <c r="T117" i="1"/>
  <c r="S117" i="1"/>
  <c r="Q117" i="1"/>
  <c r="P117" i="1"/>
  <c r="N117" i="1"/>
  <c r="BO117" i="1"/>
  <c r="BN117" i="1"/>
  <c r="DG115" i="1"/>
  <c r="DA115" i="1"/>
  <c r="T115" i="1"/>
  <c r="S115" i="1"/>
  <c r="Q115" i="1"/>
  <c r="P115" i="1"/>
  <c r="N115" i="1"/>
  <c r="BO115" i="1"/>
  <c r="BN115" i="1"/>
  <c r="DG123" i="1"/>
  <c r="DA123" i="1"/>
  <c r="T123" i="1"/>
  <c r="S123" i="1"/>
  <c r="Q123" i="1"/>
  <c r="P123" i="1"/>
  <c r="N123" i="1"/>
  <c r="BO123" i="1"/>
  <c r="BN123" i="1"/>
  <c r="DG131" i="1"/>
  <c r="DA131" i="1"/>
  <c r="T131" i="1"/>
  <c r="S131" i="1"/>
  <c r="Q131" i="1"/>
  <c r="P131" i="1"/>
  <c r="N131" i="1"/>
  <c r="BO131" i="1"/>
  <c r="BN131" i="1"/>
  <c r="DG135" i="1"/>
  <c r="DA135" i="1"/>
  <c r="T135" i="1"/>
  <c r="S135" i="1"/>
  <c r="Q135" i="1"/>
  <c r="P135" i="1"/>
  <c r="N135" i="1"/>
  <c r="BO135" i="1"/>
  <c r="BN135" i="1"/>
  <c r="DG141" i="1"/>
  <c r="DA141" i="1"/>
  <c r="T141" i="1"/>
  <c r="S141" i="1"/>
  <c r="Q141" i="1"/>
  <c r="P141" i="1"/>
  <c r="N141" i="1"/>
  <c r="BO141" i="1"/>
  <c r="BN141" i="1"/>
  <c r="DG146" i="1"/>
  <c r="DA146" i="1"/>
  <c r="T146" i="1"/>
  <c r="S146" i="1"/>
  <c r="Q146" i="1"/>
  <c r="P146" i="1"/>
  <c r="N146" i="1"/>
  <c r="BO146" i="1"/>
  <c r="BN146" i="1"/>
  <c r="DG149" i="1"/>
  <c r="DA149" i="1"/>
  <c r="T149" i="1"/>
  <c r="S149" i="1"/>
  <c r="Q149" i="1"/>
  <c r="P149" i="1"/>
  <c r="N149" i="1"/>
  <c r="BO149" i="1"/>
  <c r="BN149" i="1"/>
  <c r="DG153" i="1"/>
  <c r="DA153" i="1"/>
  <c r="T153" i="1"/>
  <c r="S153" i="1"/>
  <c r="Q153" i="1"/>
  <c r="P153" i="1"/>
  <c r="N153" i="1"/>
  <c r="BO153" i="1"/>
  <c r="BN153" i="1"/>
  <c r="DG156" i="1"/>
  <c r="DA156" i="1"/>
  <c r="T156" i="1"/>
  <c r="S156" i="1"/>
  <c r="Q156" i="1"/>
  <c r="P156" i="1"/>
  <c r="N156" i="1"/>
  <c r="BO156" i="1"/>
  <c r="BN156" i="1"/>
  <c r="DG159" i="1"/>
  <c r="DA159" i="1"/>
  <c r="T159" i="1"/>
  <c r="S159" i="1"/>
  <c r="Q159" i="1"/>
  <c r="P159" i="1"/>
  <c r="N159" i="1"/>
  <c r="BO159" i="1"/>
  <c r="BN159" i="1"/>
  <c r="DG162" i="1"/>
  <c r="DA162" i="1"/>
  <c r="T162" i="1"/>
  <c r="S162" i="1"/>
  <c r="Q162" i="1"/>
  <c r="P162" i="1"/>
  <c r="N162" i="1"/>
  <c r="BO162" i="1"/>
  <c r="BN162" i="1"/>
  <c r="DG168" i="1"/>
  <c r="DA168" i="1"/>
  <c r="T168" i="1"/>
  <c r="S168" i="1"/>
  <c r="Q168" i="1"/>
  <c r="P168" i="1"/>
  <c r="N168" i="1"/>
  <c r="BO168" i="1"/>
  <c r="BN168" i="1"/>
  <c r="DG171" i="1"/>
  <c r="DA171" i="1"/>
  <c r="T171" i="1"/>
  <c r="S171" i="1"/>
  <c r="Q171" i="1"/>
  <c r="P171" i="1"/>
  <c r="N171" i="1"/>
  <c r="BO171" i="1"/>
  <c r="BN171" i="1"/>
  <c r="DG177" i="1"/>
  <c r="DA177" i="1"/>
  <c r="T177" i="1"/>
  <c r="S177" i="1"/>
  <c r="Q177" i="1"/>
  <c r="P177" i="1"/>
  <c r="N177" i="1"/>
  <c r="BO177" i="1"/>
  <c r="BN177" i="1"/>
  <c r="DG191" i="1"/>
  <c r="DA191" i="1"/>
  <c r="T191" i="1"/>
  <c r="S191" i="1"/>
  <c r="Q191" i="1"/>
  <c r="P191" i="1"/>
  <c r="N191" i="1"/>
  <c r="BO191" i="1"/>
  <c r="BN191" i="1"/>
  <c r="DG181" i="1"/>
  <c r="DA181" i="1"/>
  <c r="T181" i="1"/>
  <c r="S181" i="1"/>
  <c r="Q181" i="1"/>
  <c r="P181" i="1"/>
  <c r="N181" i="1"/>
  <c r="BO181" i="1"/>
  <c r="BN181" i="1"/>
  <c r="DG195" i="1"/>
  <c r="DA195" i="1"/>
  <c r="T195" i="1"/>
  <c r="S195" i="1"/>
  <c r="Q195" i="1"/>
  <c r="P195" i="1"/>
  <c r="N195" i="1"/>
  <c r="BO195" i="1"/>
  <c r="BN195" i="1"/>
  <c r="DG185" i="1"/>
  <c r="DA185" i="1"/>
  <c r="T185" i="1"/>
  <c r="S185" i="1"/>
  <c r="Q185" i="1"/>
  <c r="P185" i="1"/>
  <c r="N185" i="1"/>
  <c r="BO185" i="1"/>
  <c r="BN185" i="1"/>
  <c r="DG200" i="1"/>
  <c r="DA200" i="1"/>
  <c r="T200" i="1"/>
  <c r="S200" i="1"/>
  <c r="Q200" i="1"/>
  <c r="P200" i="1"/>
  <c r="N200" i="1"/>
  <c r="BO200" i="1"/>
  <c r="BN200" i="1"/>
  <c r="DG204" i="1"/>
  <c r="DA204" i="1"/>
  <c r="T204" i="1"/>
  <c r="S204" i="1"/>
  <c r="Q204" i="1"/>
  <c r="P204" i="1"/>
  <c r="N204" i="1"/>
  <c r="BO204" i="1"/>
  <c r="BN204" i="1"/>
  <c r="DG209" i="1"/>
  <c r="DA209" i="1"/>
  <c r="T209" i="1"/>
  <c r="S209" i="1"/>
  <c r="Q209" i="1"/>
  <c r="P209" i="1"/>
  <c r="N209" i="1"/>
  <c r="BO209" i="1"/>
  <c r="BN209" i="1"/>
  <c r="DG214" i="1"/>
  <c r="DA214" i="1"/>
  <c r="T214" i="1"/>
  <c r="S214" i="1"/>
  <c r="Q214" i="1"/>
  <c r="P214" i="1"/>
  <c r="N214" i="1"/>
  <c r="BO214" i="1"/>
  <c r="BN214" i="1"/>
  <c r="DG215" i="1"/>
  <c r="DA215" i="1"/>
  <c r="T215" i="1"/>
  <c r="S215" i="1"/>
  <c r="Q215" i="1"/>
  <c r="P215" i="1"/>
  <c r="N215" i="1"/>
  <c r="BO215" i="1"/>
  <c r="BN215" i="1"/>
  <c r="DG217" i="1"/>
  <c r="DA217" i="1"/>
  <c r="T217" i="1"/>
  <c r="S217" i="1"/>
  <c r="Q217" i="1"/>
  <c r="P217" i="1"/>
  <c r="N217" i="1"/>
  <c r="BO217" i="1"/>
  <c r="BN217" i="1"/>
  <c r="DG234" i="1"/>
  <c r="DA234" i="1"/>
  <c r="T234" i="1"/>
  <c r="S234" i="1"/>
  <c r="Q234" i="1"/>
  <c r="P234" i="1"/>
  <c r="N234" i="1"/>
  <c r="BO234" i="1"/>
  <c r="BN234" i="1"/>
  <c r="DG230" i="1"/>
  <c r="DA230" i="1"/>
  <c r="T230" i="1"/>
  <c r="S230" i="1"/>
  <c r="Q230" i="1"/>
  <c r="P230" i="1"/>
  <c r="N230" i="1"/>
  <c r="BO230" i="1"/>
  <c r="BN230" i="1"/>
  <c r="DG226" i="1"/>
  <c r="DA226" i="1"/>
  <c r="T226" i="1"/>
  <c r="S226" i="1"/>
  <c r="Q226" i="1"/>
  <c r="P226" i="1"/>
  <c r="N226" i="1"/>
  <c r="BO226" i="1"/>
  <c r="BN226" i="1"/>
  <c r="DG250" i="1"/>
  <c r="DA250" i="1"/>
  <c r="T250" i="1"/>
  <c r="S250" i="1"/>
  <c r="Q250" i="1"/>
  <c r="P250" i="1"/>
  <c r="N250" i="1"/>
  <c r="BO250" i="1"/>
  <c r="BN250" i="1"/>
  <c r="DG247" i="1"/>
  <c r="DA247" i="1"/>
  <c r="T247" i="1"/>
  <c r="S247" i="1"/>
  <c r="Q247" i="1"/>
  <c r="P247" i="1"/>
  <c r="N247" i="1"/>
  <c r="BO247" i="1"/>
  <c r="BN247" i="1"/>
  <c r="DG244" i="1"/>
  <c r="DA244" i="1"/>
  <c r="T244" i="1"/>
  <c r="S244" i="1"/>
  <c r="Q244" i="1"/>
  <c r="P244" i="1"/>
  <c r="N244" i="1"/>
  <c r="BO244" i="1"/>
  <c r="BN244" i="1"/>
  <c r="DG327" i="1"/>
  <c r="DA327" i="1"/>
  <c r="T327" i="1"/>
  <c r="S327" i="1"/>
  <c r="Q327" i="1"/>
  <c r="P327" i="1"/>
  <c r="N327" i="1"/>
  <c r="BO327" i="1"/>
  <c r="BN327" i="1"/>
  <c r="DG276" i="1"/>
  <c r="DA276" i="1"/>
  <c r="T276" i="1"/>
  <c r="S276" i="1"/>
  <c r="Q276" i="1"/>
  <c r="P276" i="1"/>
  <c r="N276" i="1"/>
  <c r="BO276" i="1"/>
  <c r="BN276" i="1"/>
  <c r="DG271" i="1"/>
  <c r="DA271" i="1"/>
  <c r="T271" i="1"/>
  <c r="S271" i="1"/>
  <c r="Q271" i="1"/>
  <c r="P271" i="1"/>
  <c r="N271" i="1"/>
  <c r="BO271" i="1"/>
  <c r="BN271" i="1"/>
  <c r="DG267" i="1"/>
  <c r="DA267" i="1"/>
  <c r="T267" i="1"/>
  <c r="S267" i="1"/>
  <c r="Q267" i="1"/>
  <c r="P267" i="1"/>
  <c r="N267" i="1"/>
  <c r="BO267" i="1"/>
  <c r="BN267" i="1"/>
  <c r="DG257" i="1"/>
  <c r="DA257" i="1"/>
  <c r="T257" i="1"/>
  <c r="S257" i="1"/>
  <c r="Q257" i="1"/>
  <c r="P257" i="1"/>
  <c r="N257" i="1"/>
  <c r="BO257" i="1"/>
  <c r="BN257" i="1"/>
  <c r="DG300" i="1"/>
  <c r="DA300" i="1"/>
  <c r="T300" i="1"/>
  <c r="S300" i="1"/>
  <c r="Q300" i="1"/>
  <c r="P300" i="1"/>
  <c r="N300" i="1"/>
  <c r="BO300" i="1"/>
  <c r="BN300" i="1"/>
  <c r="DG291" i="1"/>
  <c r="DA291" i="1"/>
  <c r="T291" i="1"/>
  <c r="S291" i="1"/>
  <c r="Q291" i="1"/>
  <c r="P291" i="1"/>
  <c r="N291" i="1"/>
  <c r="BO291" i="1"/>
  <c r="BN291" i="1"/>
  <c r="DG287" i="1"/>
  <c r="DA287" i="1"/>
  <c r="T287" i="1"/>
  <c r="S287" i="1"/>
  <c r="Q287" i="1"/>
  <c r="P287" i="1"/>
  <c r="N287" i="1"/>
  <c r="BO287" i="1"/>
  <c r="BN287" i="1"/>
  <c r="DG342" i="1"/>
  <c r="DA342" i="1"/>
  <c r="T342" i="1"/>
  <c r="S342" i="1"/>
  <c r="Q342" i="1"/>
  <c r="P342" i="1"/>
  <c r="N342" i="1"/>
  <c r="BO342" i="1"/>
  <c r="BN342" i="1"/>
  <c r="DG338" i="1"/>
  <c r="DA338" i="1"/>
  <c r="T338" i="1"/>
  <c r="S338" i="1"/>
  <c r="Q338" i="1"/>
  <c r="P338" i="1"/>
  <c r="N338" i="1"/>
  <c r="BO338" i="1"/>
  <c r="BN338" i="1"/>
  <c r="DG345" i="1"/>
  <c r="DA345" i="1"/>
  <c r="T345" i="1"/>
  <c r="S345" i="1"/>
  <c r="Q345" i="1"/>
  <c r="P345" i="1"/>
  <c r="N345" i="1"/>
  <c r="BO345" i="1"/>
  <c r="BN345" i="1"/>
  <c r="DG359" i="1"/>
  <c r="DA359" i="1"/>
  <c r="T359" i="1"/>
  <c r="S359" i="1"/>
  <c r="Q359" i="1"/>
  <c r="P359" i="1"/>
  <c r="N359" i="1"/>
  <c r="BO359" i="1"/>
  <c r="BN359" i="1"/>
  <c r="DG370" i="1"/>
  <c r="DA370" i="1"/>
  <c r="T370" i="1"/>
  <c r="S370" i="1"/>
  <c r="Q370" i="1"/>
  <c r="P370" i="1"/>
  <c r="N370" i="1"/>
  <c r="BO370" i="1"/>
  <c r="BN370" i="1"/>
  <c r="DG427" i="1"/>
  <c r="DA427" i="1"/>
  <c r="T427" i="1"/>
  <c r="S427" i="1"/>
  <c r="Q427" i="1"/>
  <c r="P427" i="1"/>
  <c r="N427" i="1"/>
  <c r="BO427" i="1"/>
  <c r="BN427" i="1"/>
  <c r="DG411" i="1"/>
  <c r="DA411" i="1"/>
  <c r="T411" i="1"/>
  <c r="S411" i="1"/>
  <c r="Q411" i="1"/>
  <c r="P411" i="1"/>
  <c r="N411" i="1"/>
  <c r="BO411" i="1"/>
  <c r="BN411" i="1"/>
  <c r="DG409" i="1"/>
  <c r="DA409" i="1"/>
  <c r="T409" i="1"/>
  <c r="S409" i="1"/>
  <c r="Q409" i="1"/>
  <c r="P409" i="1"/>
  <c r="N409" i="1"/>
  <c r="BO409" i="1"/>
  <c r="BN409" i="1"/>
  <c r="DG407" i="1"/>
  <c r="DA407" i="1"/>
  <c r="T407" i="1"/>
  <c r="S407" i="1"/>
  <c r="Q407" i="1"/>
  <c r="P407" i="1"/>
  <c r="N407" i="1"/>
  <c r="BO407" i="1"/>
  <c r="BN407" i="1"/>
  <c r="DG403" i="1"/>
  <c r="DA403" i="1"/>
  <c r="T403" i="1"/>
  <c r="S403" i="1"/>
  <c r="Q403" i="1"/>
  <c r="P403" i="1"/>
  <c r="N403" i="1"/>
  <c r="BO403" i="1"/>
  <c r="BN403" i="1"/>
  <c r="DG395" i="1"/>
  <c r="DA395" i="1"/>
  <c r="T395" i="1"/>
  <c r="S395" i="1"/>
  <c r="Q395" i="1"/>
  <c r="P395" i="1"/>
  <c r="N395" i="1"/>
  <c r="BO395" i="1"/>
  <c r="BN395" i="1"/>
  <c r="DG391" i="1"/>
  <c r="DA391" i="1"/>
  <c r="T391" i="1"/>
  <c r="S391" i="1"/>
  <c r="Q391" i="1"/>
  <c r="P391" i="1"/>
  <c r="N391" i="1"/>
  <c r="BO391" i="1"/>
  <c r="BN391" i="1"/>
  <c r="DG386" i="1"/>
  <c r="DA386" i="1"/>
  <c r="T386" i="1"/>
  <c r="S386" i="1"/>
  <c r="Q386" i="1"/>
  <c r="P386" i="1"/>
  <c r="N386" i="1"/>
  <c r="BO386" i="1"/>
  <c r="BN386" i="1"/>
  <c r="DG378" i="1"/>
  <c r="DA378" i="1"/>
  <c r="T378" i="1"/>
  <c r="S378" i="1"/>
  <c r="Q378" i="1"/>
  <c r="P378" i="1"/>
  <c r="N378" i="1"/>
  <c r="BO378" i="1"/>
  <c r="BN378" i="1"/>
  <c r="DG436" i="1"/>
  <c r="DA436" i="1"/>
  <c r="T436" i="1"/>
  <c r="S436" i="1"/>
  <c r="Q436" i="1"/>
  <c r="P436" i="1"/>
  <c r="N436" i="1"/>
  <c r="BO436" i="1"/>
  <c r="BN436" i="1"/>
  <c r="DG452" i="1"/>
  <c r="DA452" i="1"/>
  <c r="T452" i="1"/>
  <c r="S452" i="1"/>
  <c r="Q452" i="1"/>
  <c r="P452" i="1"/>
  <c r="N452" i="1"/>
  <c r="BO452" i="1"/>
  <c r="BN452" i="1"/>
  <c r="DG458" i="1"/>
  <c r="DA458" i="1"/>
  <c r="T458" i="1"/>
  <c r="S458" i="1"/>
  <c r="Q458" i="1"/>
  <c r="P458" i="1"/>
  <c r="N458" i="1"/>
  <c r="BO458" i="1"/>
  <c r="BN458" i="1"/>
  <c r="DG462" i="1"/>
  <c r="DA462" i="1"/>
  <c r="T462" i="1"/>
  <c r="S462" i="1"/>
  <c r="Q462" i="1"/>
  <c r="P462" i="1"/>
  <c r="N462" i="1"/>
  <c r="BO462" i="1"/>
  <c r="BN462" i="1"/>
  <c r="DG649" i="1"/>
  <c r="DA649" i="1"/>
  <c r="T649" i="1"/>
  <c r="S649" i="1"/>
  <c r="Q649" i="1"/>
  <c r="P649" i="1"/>
  <c r="N649" i="1"/>
  <c r="BO649" i="1"/>
  <c r="BN649" i="1"/>
  <c r="DG487" i="1"/>
  <c r="DA487" i="1"/>
  <c r="T487" i="1"/>
  <c r="S487" i="1"/>
  <c r="Q487" i="1"/>
  <c r="P487" i="1"/>
  <c r="N487" i="1"/>
  <c r="BO487" i="1"/>
  <c r="BN487" i="1"/>
  <c r="DG682" i="1"/>
  <c r="DA682" i="1"/>
  <c r="T682" i="1"/>
  <c r="S682" i="1"/>
  <c r="Q682" i="1"/>
  <c r="P682" i="1"/>
  <c r="N682" i="1"/>
  <c r="BO682" i="1"/>
  <c r="BN682" i="1"/>
  <c r="DG678" i="1"/>
  <c r="DA678" i="1"/>
  <c r="T678" i="1"/>
  <c r="S678" i="1"/>
  <c r="Q678" i="1"/>
  <c r="P678" i="1"/>
  <c r="N678" i="1"/>
  <c r="BO678" i="1"/>
  <c r="BN678" i="1"/>
  <c r="DG633" i="1"/>
  <c r="DA633" i="1"/>
  <c r="T633" i="1"/>
  <c r="S633" i="1"/>
  <c r="Q633" i="1"/>
  <c r="P633" i="1"/>
  <c r="N633" i="1"/>
  <c r="BO633" i="1"/>
  <c r="BN633" i="1"/>
  <c r="DG629" i="1"/>
  <c r="DA629" i="1"/>
  <c r="T629" i="1"/>
  <c r="S629" i="1"/>
  <c r="Q629" i="1"/>
  <c r="P629" i="1"/>
  <c r="N629" i="1"/>
  <c r="BO629" i="1"/>
  <c r="BN629" i="1"/>
  <c r="DG625" i="1"/>
  <c r="DA625" i="1"/>
  <c r="T625" i="1"/>
  <c r="S625" i="1"/>
  <c r="Q625" i="1"/>
  <c r="P625" i="1"/>
  <c r="N625" i="1"/>
  <c r="BO625" i="1"/>
  <c r="BN625" i="1"/>
  <c r="DG617" i="1"/>
  <c r="DA617" i="1"/>
  <c r="T617" i="1"/>
  <c r="S617" i="1"/>
  <c r="Q617" i="1"/>
  <c r="P617" i="1"/>
  <c r="N617" i="1"/>
  <c r="BO617" i="1"/>
  <c r="BN617" i="1"/>
  <c r="DG609" i="1"/>
  <c r="DA609" i="1"/>
  <c r="T609" i="1"/>
  <c r="S609" i="1"/>
  <c r="Q609" i="1"/>
  <c r="P609" i="1"/>
  <c r="N609" i="1"/>
  <c r="BO609" i="1"/>
  <c r="BN609" i="1"/>
  <c r="DG601" i="1"/>
  <c r="DA601" i="1"/>
  <c r="T601" i="1"/>
  <c r="S601" i="1"/>
  <c r="Q601" i="1"/>
  <c r="P601" i="1"/>
  <c r="N601" i="1"/>
  <c r="BO601" i="1"/>
  <c r="BN601" i="1"/>
  <c r="DG593" i="1"/>
  <c r="DA593" i="1"/>
  <c r="T593" i="1"/>
  <c r="S593" i="1"/>
  <c r="Q593" i="1"/>
  <c r="P593" i="1"/>
  <c r="N593" i="1"/>
  <c r="BO593" i="1"/>
  <c r="BN593" i="1"/>
  <c r="DG584" i="1"/>
  <c r="DA584" i="1"/>
  <c r="T584" i="1"/>
  <c r="S584" i="1"/>
  <c r="Q584" i="1"/>
  <c r="P584" i="1"/>
  <c r="N584" i="1"/>
  <c r="BO584" i="1"/>
  <c r="BN584" i="1"/>
  <c r="DG567" i="1"/>
  <c r="DA567" i="1"/>
  <c r="T567" i="1"/>
  <c r="S567" i="1"/>
  <c r="Q567" i="1"/>
  <c r="P567" i="1"/>
  <c r="N567" i="1"/>
  <c r="BO567" i="1"/>
  <c r="BN567" i="1"/>
  <c r="DG563" i="1"/>
  <c r="DA563" i="1"/>
  <c r="T563" i="1"/>
  <c r="S563" i="1"/>
  <c r="Q563" i="1"/>
  <c r="P563" i="1"/>
  <c r="N563" i="1"/>
  <c r="BO563" i="1"/>
  <c r="BN563" i="1"/>
  <c r="DG559" i="1"/>
  <c r="DA559" i="1"/>
  <c r="T559" i="1"/>
  <c r="S559" i="1"/>
  <c r="Q559" i="1"/>
  <c r="P559" i="1"/>
  <c r="N559" i="1"/>
  <c r="BO559" i="1"/>
  <c r="BN559" i="1"/>
  <c r="DG551" i="1"/>
  <c r="DA551" i="1"/>
  <c r="T551" i="1"/>
  <c r="S551" i="1"/>
  <c r="Q551" i="1"/>
  <c r="P551" i="1"/>
  <c r="N551" i="1"/>
  <c r="BO551" i="1"/>
  <c r="BN551" i="1"/>
  <c r="DG535" i="1"/>
  <c r="DA535" i="1"/>
  <c r="T535" i="1"/>
  <c r="S535" i="1"/>
  <c r="Q535" i="1"/>
  <c r="P535" i="1"/>
  <c r="N535" i="1"/>
  <c r="BO535" i="1"/>
  <c r="BN535" i="1"/>
  <c r="DG523" i="1"/>
  <c r="DA523" i="1"/>
  <c r="T523" i="1"/>
  <c r="S523" i="1"/>
  <c r="Q523" i="1"/>
  <c r="P523" i="1"/>
  <c r="N523" i="1"/>
  <c r="BO523" i="1"/>
  <c r="BN523" i="1"/>
  <c r="DG644" i="1"/>
  <c r="DA644" i="1"/>
  <c r="T644" i="1"/>
  <c r="S644" i="1"/>
  <c r="Q644" i="1"/>
  <c r="P644" i="1"/>
  <c r="N644" i="1"/>
  <c r="BO644" i="1"/>
  <c r="BN644" i="1"/>
  <c r="DG507" i="1"/>
  <c r="DA507" i="1"/>
  <c r="T507" i="1"/>
  <c r="S507" i="1"/>
  <c r="Q507" i="1"/>
  <c r="P507" i="1"/>
  <c r="N507" i="1"/>
  <c r="BO507" i="1"/>
  <c r="BN507" i="1"/>
  <c r="DG499" i="1"/>
  <c r="DA499" i="1"/>
  <c r="T499" i="1"/>
  <c r="S499" i="1"/>
  <c r="Q499" i="1"/>
  <c r="P499" i="1"/>
  <c r="N499" i="1"/>
  <c r="BO499" i="1"/>
  <c r="BN499" i="1"/>
  <c r="DG481" i="1"/>
  <c r="DA481" i="1"/>
  <c r="T481" i="1"/>
  <c r="S481" i="1"/>
  <c r="Q481" i="1"/>
  <c r="P481" i="1"/>
  <c r="N481" i="1"/>
  <c r="BO481" i="1"/>
  <c r="BN481" i="1"/>
  <c r="DG473" i="1"/>
  <c r="DA473" i="1"/>
  <c r="T473" i="1"/>
  <c r="S473" i="1"/>
  <c r="Q473" i="1"/>
  <c r="P473" i="1"/>
  <c r="N473" i="1"/>
  <c r="BO473" i="1"/>
  <c r="BN473" i="1"/>
  <c r="DG467" i="1"/>
  <c r="DA467" i="1"/>
  <c r="T467" i="1"/>
  <c r="S467" i="1"/>
  <c r="Q467" i="1"/>
  <c r="P467" i="1"/>
  <c r="N467" i="1"/>
  <c r="BO467" i="1"/>
  <c r="BN467" i="1"/>
  <c r="DG521" i="1"/>
  <c r="DA521" i="1"/>
  <c r="T521" i="1"/>
  <c r="S521" i="1"/>
  <c r="Q521" i="1"/>
  <c r="P521" i="1"/>
  <c r="N521" i="1"/>
  <c r="BO521" i="1"/>
  <c r="BN521" i="1"/>
  <c r="DG640" i="1"/>
  <c r="DA640" i="1"/>
  <c r="T640" i="1"/>
  <c r="S640" i="1"/>
  <c r="Q640" i="1"/>
  <c r="P640" i="1"/>
  <c r="N640" i="1"/>
  <c r="BO640" i="1"/>
  <c r="BN640" i="1"/>
  <c r="DG497" i="1"/>
  <c r="DA497" i="1"/>
  <c r="T497" i="1"/>
  <c r="S497" i="1"/>
  <c r="Q497" i="1"/>
  <c r="P497" i="1"/>
  <c r="N497" i="1"/>
  <c r="BO497" i="1"/>
  <c r="BN497" i="1"/>
  <c r="DG691" i="1"/>
  <c r="DA691" i="1"/>
  <c r="T691" i="1"/>
  <c r="S691" i="1"/>
  <c r="Q691" i="1"/>
  <c r="P691" i="1"/>
  <c r="N691" i="1"/>
  <c r="BO691" i="1"/>
  <c r="BN691" i="1"/>
  <c r="DG707" i="1"/>
  <c r="DA707" i="1"/>
  <c r="T707" i="1"/>
  <c r="S707" i="1"/>
  <c r="Q707" i="1"/>
  <c r="P707" i="1"/>
  <c r="N707" i="1"/>
  <c r="BO707" i="1"/>
  <c r="BN707" i="1"/>
  <c r="DG711" i="1"/>
  <c r="DA711" i="1"/>
  <c r="T711" i="1"/>
  <c r="S711" i="1"/>
  <c r="Q711" i="1"/>
  <c r="P711" i="1"/>
  <c r="N711" i="1"/>
  <c r="BO711" i="1"/>
  <c r="BN711" i="1"/>
  <c r="DG715" i="1"/>
  <c r="DA715" i="1"/>
  <c r="T715" i="1"/>
  <c r="S715" i="1"/>
  <c r="Q715" i="1"/>
  <c r="P715" i="1"/>
  <c r="N715" i="1"/>
  <c r="BO715" i="1"/>
  <c r="BN715" i="1"/>
  <c r="DG721" i="1"/>
  <c r="DA721" i="1"/>
  <c r="T721" i="1"/>
  <c r="S721" i="1"/>
  <c r="Q721" i="1"/>
  <c r="P721" i="1"/>
  <c r="N721" i="1"/>
  <c r="BO721" i="1"/>
  <c r="BN721" i="1"/>
  <c r="DG103" i="1"/>
  <c r="DA103" i="1"/>
  <c r="T103" i="1"/>
  <c r="S103" i="1"/>
  <c r="Q103" i="1"/>
  <c r="P103" i="1"/>
  <c r="N103" i="1"/>
  <c r="BO103" i="1"/>
  <c r="BN103" i="1"/>
  <c r="DG107" i="1"/>
  <c r="DA107" i="1"/>
  <c r="T107" i="1"/>
  <c r="S107" i="1"/>
  <c r="Q107" i="1"/>
  <c r="P107" i="1"/>
  <c r="N107" i="1"/>
  <c r="BO107" i="1"/>
  <c r="BN107" i="1"/>
  <c r="DG99" i="1"/>
  <c r="DA99" i="1"/>
  <c r="T99" i="1"/>
  <c r="S99" i="1"/>
  <c r="Q99" i="1"/>
  <c r="P99" i="1"/>
  <c r="N99" i="1"/>
  <c r="BO99" i="1"/>
  <c r="BN99" i="1"/>
  <c r="DG96" i="1"/>
  <c r="DA96" i="1"/>
  <c r="T96" i="1"/>
  <c r="S96" i="1"/>
  <c r="Q96" i="1"/>
  <c r="P96" i="1"/>
  <c r="N96" i="1"/>
  <c r="BO96" i="1"/>
  <c r="BN96" i="1"/>
  <c r="DG92" i="1"/>
  <c r="DA92" i="1"/>
  <c r="T92" i="1"/>
  <c r="S92" i="1"/>
  <c r="Q92" i="1"/>
  <c r="P92" i="1"/>
  <c r="N92" i="1"/>
  <c r="BO92" i="1"/>
  <c r="BN92" i="1"/>
  <c r="DG91" i="1"/>
  <c r="DA91" i="1"/>
  <c r="T91" i="1"/>
  <c r="S91" i="1"/>
  <c r="Q91" i="1"/>
  <c r="P91" i="1"/>
  <c r="N91" i="1"/>
  <c r="BO91" i="1"/>
  <c r="BN91" i="1"/>
  <c r="DG88" i="1"/>
  <c r="DA88" i="1"/>
  <c r="T88" i="1"/>
  <c r="S88" i="1"/>
  <c r="Q88" i="1"/>
  <c r="P88" i="1"/>
  <c r="N88" i="1"/>
  <c r="BO88" i="1"/>
  <c r="BN88" i="1"/>
  <c r="DG3200" i="1"/>
  <c r="DA3200" i="1"/>
  <c r="T3200" i="1"/>
  <c r="S3200" i="1"/>
  <c r="Q3200" i="1"/>
  <c r="P3200" i="1"/>
  <c r="N3200" i="1"/>
  <c r="BO3200" i="1"/>
  <c r="BN3200" i="1"/>
  <c r="DG87" i="1"/>
  <c r="DA87" i="1"/>
  <c r="T87" i="1"/>
  <c r="S87" i="1"/>
  <c r="Q87" i="1"/>
  <c r="P87" i="1"/>
  <c r="N87" i="1"/>
  <c r="BO87" i="1"/>
  <c r="BN87" i="1"/>
  <c r="DG78" i="1"/>
  <c r="DA78" i="1"/>
  <c r="T78" i="1"/>
  <c r="S78" i="1"/>
  <c r="Q78" i="1"/>
  <c r="P78" i="1"/>
  <c r="N78" i="1"/>
  <c r="BO78" i="1"/>
  <c r="BN78" i="1"/>
  <c r="DG73" i="1"/>
  <c r="DA73" i="1"/>
  <c r="T73" i="1"/>
  <c r="S73" i="1"/>
  <c r="Q73" i="1"/>
  <c r="P73" i="1"/>
  <c r="N73" i="1"/>
  <c r="BO73" i="1"/>
  <c r="BN73" i="1"/>
  <c r="DG64" i="1"/>
  <c r="DA64" i="1"/>
  <c r="T64" i="1"/>
  <c r="S64" i="1"/>
  <c r="Q64" i="1"/>
  <c r="P64" i="1"/>
  <c r="N64" i="1"/>
  <c r="BO64" i="1"/>
  <c r="BN64" i="1"/>
  <c r="DG67" i="1"/>
  <c r="DA67" i="1"/>
  <c r="T67" i="1"/>
  <c r="S67" i="1"/>
  <c r="Q67" i="1"/>
  <c r="P67" i="1"/>
  <c r="N67" i="1"/>
  <c r="BO67" i="1"/>
  <c r="BN67" i="1"/>
  <c r="DG58" i="1"/>
  <c r="DA58" i="1"/>
  <c r="T58" i="1"/>
  <c r="S58" i="1"/>
  <c r="Q58" i="1"/>
  <c r="P58" i="1"/>
  <c r="N58" i="1"/>
  <c r="BO58" i="1"/>
  <c r="BN58" i="1"/>
  <c r="DG56" i="1"/>
  <c r="DA56" i="1"/>
  <c r="T56" i="1"/>
  <c r="S56" i="1"/>
  <c r="Q56" i="1"/>
  <c r="P56" i="1"/>
  <c r="N56" i="1"/>
  <c r="BO56" i="1"/>
  <c r="BN56" i="1"/>
  <c r="DG48" i="1"/>
  <c r="DA48" i="1"/>
  <c r="T48" i="1"/>
  <c r="S48" i="1"/>
  <c r="Q48" i="1"/>
  <c r="P48" i="1"/>
  <c r="N48" i="1"/>
  <c r="BO48" i="1"/>
  <c r="BN48" i="1"/>
  <c r="DG47" i="1"/>
  <c r="DA47" i="1"/>
  <c r="T47" i="1"/>
  <c r="S47" i="1"/>
  <c r="Q47" i="1"/>
  <c r="P47" i="1"/>
  <c r="N47" i="1"/>
  <c r="BO47" i="1"/>
  <c r="BN47" i="1"/>
  <c r="DG37" i="1"/>
  <c r="DA37" i="1"/>
  <c r="T37" i="1"/>
  <c r="S37" i="1"/>
  <c r="Q37" i="1"/>
  <c r="P37" i="1"/>
  <c r="N37" i="1"/>
  <c r="BO37" i="1"/>
  <c r="BN37" i="1"/>
  <c r="DG38" i="1"/>
  <c r="DA38" i="1"/>
  <c r="T38" i="1"/>
  <c r="S38" i="1"/>
  <c r="Q38" i="1"/>
  <c r="P38" i="1"/>
  <c r="N38" i="1"/>
  <c r="BO38" i="1"/>
  <c r="BN38" i="1"/>
  <c r="DG39" i="1"/>
  <c r="DA39" i="1"/>
  <c r="T39" i="1"/>
  <c r="S39" i="1"/>
  <c r="Q39" i="1"/>
  <c r="P39" i="1"/>
  <c r="N39" i="1"/>
  <c r="BO39" i="1"/>
  <c r="BN39" i="1"/>
  <c r="DG40" i="1"/>
  <c r="DA40" i="1"/>
  <c r="T40" i="1"/>
  <c r="S40" i="1"/>
  <c r="Q40" i="1"/>
  <c r="P40" i="1"/>
  <c r="N40" i="1"/>
  <c r="BO40" i="1"/>
  <c r="BN40" i="1"/>
  <c r="DG46" i="1"/>
  <c r="DA46" i="1"/>
  <c r="T46" i="1"/>
  <c r="S46" i="1"/>
  <c r="Q46" i="1"/>
  <c r="P46" i="1"/>
  <c r="N46" i="1"/>
  <c r="BO46" i="1"/>
  <c r="BN46" i="1"/>
  <c r="DG45" i="1"/>
  <c r="DA45" i="1"/>
  <c r="T45" i="1"/>
  <c r="S45" i="1"/>
  <c r="Q45" i="1"/>
  <c r="P45" i="1"/>
  <c r="N45" i="1"/>
  <c r="BO45" i="1"/>
  <c r="BN45" i="1"/>
  <c r="DG44" i="1"/>
  <c r="DA44" i="1"/>
  <c r="T44" i="1"/>
  <c r="S44" i="1"/>
  <c r="Q44" i="1"/>
  <c r="P44" i="1"/>
  <c r="N44" i="1"/>
  <c r="BO44" i="1"/>
  <c r="BN44" i="1"/>
  <c r="DG49" i="1"/>
  <c r="DA49" i="1"/>
  <c r="T49" i="1"/>
  <c r="S49" i="1"/>
  <c r="Q49" i="1"/>
  <c r="P49" i="1"/>
  <c r="N49" i="1"/>
  <c r="BO49" i="1"/>
  <c r="BN49" i="1"/>
  <c r="DG50" i="1"/>
  <c r="DA50" i="1"/>
  <c r="T50" i="1"/>
  <c r="S50" i="1"/>
  <c r="Q50" i="1"/>
  <c r="P50" i="1"/>
  <c r="N50" i="1"/>
  <c r="BO50" i="1"/>
  <c r="BN50" i="1"/>
  <c r="DG51" i="1"/>
  <c r="DA51" i="1"/>
  <c r="T51" i="1"/>
  <c r="S51" i="1"/>
  <c r="Q51" i="1"/>
  <c r="P51" i="1"/>
  <c r="N51" i="1"/>
  <c r="BO51" i="1"/>
  <c r="BN51" i="1"/>
  <c r="DG52" i="1"/>
  <c r="DA52" i="1"/>
  <c r="T52" i="1"/>
  <c r="S52" i="1"/>
  <c r="Q52" i="1"/>
  <c r="P52" i="1"/>
  <c r="N52" i="1"/>
  <c r="BO52" i="1"/>
  <c r="BN52" i="1"/>
  <c r="DG53" i="1"/>
  <c r="DA53" i="1"/>
  <c r="T53" i="1"/>
  <c r="S53" i="1"/>
  <c r="Q53" i="1"/>
  <c r="P53" i="1"/>
  <c r="N53" i="1"/>
  <c r="BO53" i="1"/>
  <c r="BN53" i="1"/>
  <c r="DG54" i="1"/>
  <c r="DA54" i="1"/>
  <c r="T54" i="1"/>
  <c r="S54" i="1"/>
  <c r="Q54" i="1"/>
  <c r="P54" i="1"/>
  <c r="N54" i="1"/>
  <c r="BO54" i="1"/>
  <c r="BN54" i="1"/>
  <c r="DG55" i="1"/>
  <c r="DA55" i="1"/>
  <c r="T55" i="1"/>
  <c r="S55" i="1"/>
  <c r="Q55" i="1"/>
  <c r="P55" i="1"/>
  <c r="N55" i="1"/>
  <c r="BO55" i="1"/>
  <c r="BN55" i="1"/>
  <c r="DG57" i="1"/>
  <c r="DA57" i="1"/>
  <c r="T57" i="1"/>
  <c r="S57" i="1"/>
  <c r="Q57" i="1"/>
  <c r="P57" i="1"/>
  <c r="N57" i="1"/>
  <c r="BO57" i="1"/>
  <c r="BN57" i="1"/>
  <c r="DG59" i="1"/>
  <c r="DA59" i="1"/>
  <c r="T59" i="1"/>
  <c r="S59" i="1"/>
  <c r="Q59" i="1"/>
  <c r="P59" i="1"/>
  <c r="N59" i="1"/>
  <c r="BO59" i="1"/>
  <c r="BN59" i="1"/>
  <c r="DG65" i="1"/>
  <c r="DA65" i="1"/>
  <c r="T65" i="1"/>
  <c r="S65" i="1"/>
  <c r="Q65" i="1"/>
  <c r="P65" i="1"/>
  <c r="N65" i="1"/>
  <c r="BO65" i="1"/>
  <c r="BN65" i="1"/>
  <c r="DG66" i="1"/>
  <c r="DA66" i="1"/>
  <c r="T66" i="1"/>
  <c r="S66" i="1"/>
  <c r="Q66" i="1"/>
  <c r="P66" i="1"/>
  <c r="N66" i="1"/>
  <c r="BO66" i="1"/>
  <c r="BN66" i="1"/>
  <c r="DG63" i="1"/>
  <c r="DA63" i="1"/>
  <c r="T63" i="1"/>
  <c r="S63" i="1"/>
  <c r="Q63" i="1"/>
  <c r="P63" i="1"/>
  <c r="N63" i="1"/>
  <c r="BO63" i="1"/>
  <c r="BN63" i="1"/>
  <c r="DG60" i="1"/>
  <c r="DA60" i="1"/>
  <c r="T60" i="1"/>
  <c r="S60" i="1"/>
  <c r="Q60" i="1"/>
  <c r="P60" i="1"/>
  <c r="N60" i="1"/>
  <c r="BO60" i="1"/>
  <c r="BN60" i="1"/>
  <c r="DG68" i="1"/>
  <c r="DA68" i="1"/>
  <c r="T68" i="1"/>
  <c r="S68" i="1"/>
  <c r="Q68" i="1"/>
  <c r="P68" i="1"/>
  <c r="N68" i="1"/>
  <c r="BO68" i="1"/>
  <c r="BN68" i="1"/>
  <c r="DG61" i="1"/>
  <c r="DA61" i="1"/>
  <c r="T61" i="1"/>
  <c r="S61" i="1"/>
  <c r="Q61" i="1"/>
  <c r="P61" i="1"/>
  <c r="N61" i="1"/>
  <c r="BO61" i="1"/>
  <c r="BN61" i="1"/>
  <c r="DG62" i="1"/>
  <c r="DA62" i="1"/>
  <c r="T62" i="1"/>
  <c r="S62" i="1"/>
  <c r="Q62" i="1"/>
  <c r="P62" i="1"/>
  <c r="N62" i="1"/>
  <c r="BO62" i="1"/>
  <c r="BN62" i="1"/>
  <c r="DG69" i="1"/>
  <c r="DA69" i="1"/>
  <c r="T69" i="1"/>
  <c r="S69" i="1"/>
  <c r="Q69" i="1"/>
  <c r="P69" i="1"/>
  <c r="N69" i="1"/>
  <c r="BO69" i="1"/>
  <c r="BN69" i="1"/>
  <c r="DG71" i="1"/>
  <c r="DA71" i="1"/>
  <c r="T71" i="1"/>
  <c r="S71" i="1"/>
  <c r="Q71" i="1"/>
  <c r="P71" i="1"/>
  <c r="N71" i="1"/>
  <c r="BO71" i="1"/>
  <c r="BN71" i="1"/>
  <c r="DG70" i="1"/>
  <c r="DA70" i="1"/>
  <c r="T70" i="1"/>
  <c r="S70" i="1"/>
  <c r="Q70" i="1"/>
  <c r="P70" i="1"/>
  <c r="N70" i="1"/>
  <c r="BO70" i="1"/>
  <c r="BN70" i="1"/>
  <c r="DG72" i="1"/>
  <c r="DA72" i="1"/>
  <c r="T72" i="1"/>
  <c r="S72" i="1"/>
  <c r="Q72" i="1"/>
  <c r="P72" i="1"/>
  <c r="N72" i="1"/>
  <c r="BO72" i="1"/>
  <c r="BN72" i="1"/>
  <c r="DG74" i="1"/>
  <c r="DA74" i="1"/>
  <c r="T74" i="1"/>
  <c r="S74" i="1"/>
  <c r="Q74" i="1"/>
  <c r="P74" i="1"/>
  <c r="N74" i="1"/>
  <c r="BO74" i="1"/>
  <c r="BN74" i="1"/>
  <c r="DG76" i="1"/>
  <c r="DA76" i="1"/>
  <c r="T76" i="1"/>
  <c r="S76" i="1"/>
  <c r="Q76" i="1"/>
  <c r="P76" i="1"/>
  <c r="N76" i="1"/>
  <c r="BO76" i="1"/>
  <c r="BN76" i="1"/>
  <c r="DG75" i="1"/>
  <c r="DA75" i="1"/>
  <c r="T75" i="1"/>
  <c r="S75" i="1"/>
  <c r="Q75" i="1"/>
  <c r="P75" i="1"/>
  <c r="N75" i="1"/>
  <c r="BO75" i="1"/>
  <c r="BN75" i="1"/>
  <c r="DG79" i="1"/>
  <c r="DA79" i="1"/>
  <c r="T79" i="1"/>
  <c r="S79" i="1"/>
  <c r="Q79" i="1"/>
  <c r="P79" i="1"/>
  <c r="N79" i="1"/>
  <c r="BO79" i="1"/>
  <c r="BN79" i="1"/>
  <c r="DG77" i="1"/>
  <c r="DA77" i="1"/>
  <c r="T77" i="1"/>
  <c r="S77" i="1"/>
  <c r="Q77" i="1"/>
  <c r="P77" i="1"/>
  <c r="N77" i="1"/>
  <c r="BO77" i="1"/>
  <c r="BN77" i="1"/>
  <c r="DG82" i="1"/>
  <c r="DA82" i="1"/>
  <c r="T82" i="1"/>
  <c r="S82" i="1"/>
  <c r="Q82" i="1"/>
  <c r="P82" i="1"/>
  <c r="N82" i="1"/>
  <c r="BO82" i="1"/>
  <c r="BN82" i="1"/>
  <c r="DG81" i="1"/>
  <c r="DA81" i="1"/>
  <c r="T81" i="1"/>
  <c r="S81" i="1"/>
  <c r="Q81" i="1"/>
  <c r="P81" i="1"/>
  <c r="N81" i="1"/>
  <c r="BO81" i="1"/>
  <c r="BN81" i="1"/>
  <c r="DG80" i="1"/>
  <c r="DA80" i="1"/>
  <c r="T80" i="1"/>
  <c r="S80" i="1"/>
  <c r="Q80" i="1"/>
  <c r="P80" i="1"/>
  <c r="N80" i="1"/>
  <c r="BO80" i="1"/>
  <c r="BN80" i="1"/>
  <c r="DG83" i="1"/>
  <c r="DA83" i="1"/>
  <c r="T83" i="1"/>
  <c r="S83" i="1"/>
  <c r="Q83" i="1"/>
  <c r="P83" i="1"/>
  <c r="N83" i="1"/>
  <c r="BO83" i="1"/>
  <c r="BN83" i="1"/>
  <c r="DG85" i="1"/>
  <c r="DA85" i="1"/>
  <c r="T85" i="1"/>
  <c r="S85" i="1"/>
  <c r="Q85" i="1"/>
  <c r="P85" i="1"/>
  <c r="N85" i="1"/>
  <c r="BO85" i="1"/>
  <c r="BN85" i="1"/>
  <c r="DG84" i="1"/>
  <c r="DA84" i="1"/>
  <c r="T84" i="1"/>
  <c r="S84" i="1"/>
  <c r="Q84" i="1"/>
  <c r="P84" i="1"/>
  <c r="N84" i="1"/>
  <c r="BO84" i="1"/>
  <c r="BN84" i="1"/>
  <c r="DG86" i="1"/>
  <c r="DA86" i="1"/>
  <c r="T86" i="1"/>
  <c r="S86" i="1"/>
  <c r="Q86" i="1"/>
  <c r="P86" i="1"/>
  <c r="N86" i="1"/>
  <c r="BO86" i="1"/>
  <c r="BN86" i="1"/>
  <c r="DG90" i="1"/>
  <c r="DA90" i="1"/>
  <c r="T90" i="1"/>
  <c r="S90" i="1"/>
  <c r="Q90" i="1"/>
  <c r="P90" i="1"/>
  <c r="N90" i="1"/>
  <c r="BO90" i="1"/>
  <c r="BN90" i="1"/>
  <c r="DG89" i="1"/>
  <c r="DA89" i="1"/>
  <c r="T89" i="1"/>
  <c r="S89" i="1"/>
  <c r="Q89" i="1"/>
  <c r="P89" i="1"/>
  <c r="N89" i="1"/>
  <c r="BO89" i="1"/>
  <c r="BN89" i="1"/>
  <c r="DG93" i="1"/>
  <c r="DA93" i="1"/>
  <c r="T93" i="1"/>
  <c r="S93" i="1"/>
  <c r="Q93" i="1"/>
  <c r="P93" i="1"/>
  <c r="N93" i="1"/>
  <c r="BO93" i="1"/>
  <c r="BN93" i="1"/>
  <c r="DG94" i="1"/>
  <c r="DA94" i="1"/>
  <c r="T94" i="1"/>
  <c r="S94" i="1"/>
  <c r="Q94" i="1"/>
  <c r="P94" i="1"/>
  <c r="N94" i="1"/>
  <c r="BO94" i="1"/>
  <c r="BN94" i="1"/>
  <c r="DG95" i="1"/>
  <c r="DA95" i="1"/>
  <c r="T95" i="1"/>
  <c r="S95" i="1"/>
  <c r="Q95" i="1"/>
  <c r="P95" i="1"/>
  <c r="N95" i="1"/>
  <c r="BO95" i="1"/>
  <c r="BN95" i="1"/>
  <c r="DG98" i="1"/>
  <c r="DA98" i="1"/>
  <c r="T98" i="1"/>
  <c r="S98" i="1"/>
  <c r="Q98" i="1"/>
  <c r="P98" i="1"/>
  <c r="N98" i="1"/>
  <c r="BO98" i="1"/>
  <c r="BN98" i="1"/>
  <c r="DG97" i="1"/>
  <c r="DA97" i="1"/>
  <c r="T97" i="1"/>
  <c r="S97" i="1"/>
  <c r="Q97" i="1"/>
  <c r="P97" i="1"/>
  <c r="N97" i="1"/>
  <c r="BO97" i="1"/>
  <c r="BN97" i="1"/>
  <c r="DG101" i="1"/>
  <c r="DA101" i="1"/>
  <c r="T101" i="1"/>
  <c r="S101" i="1"/>
  <c r="Q101" i="1"/>
  <c r="P101" i="1"/>
  <c r="N101" i="1"/>
  <c r="BO101" i="1"/>
  <c r="BN101" i="1"/>
  <c r="DG109" i="1"/>
  <c r="DA109" i="1"/>
  <c r="T109" i="1"/>
  <c r="S109" i="1"/>
  <c r="Q109" i="1"/>
  <c r="P109" i="1"/>
  <c r="N109" i="1"/>
  <c r="BO109" i="1"/>
  <c r="BN109" i="1"/>
  <c r="DG108" i="1"/>
  <c r="DA108" i="1"/>
  <c r="T108" i="1"/>
  <c r="S108" i="1"/>
  <c r="Q108" i="1"/>
  <c r="P108" i="1"/>
  <c r="N108" i="1"/>
  <c r="BO108" i="1"/>
  <c r="BN108" i="1"/>
  <c r="DG106" i="1"/>
  <c r="DA106" i="1"/>
  <c r="T106" i="1"/>
  <c r="S106" i="1"/>
  <c r="Q106" i="1"/>
  <c r="P106" i="1"/>
  <c r="N106" i="1"/>
  <c r="BO106" i="1"/>
  <c r="BN106" i="1"/>
  <c r="DG105" i="1"/>
  <c r="DA105" i="1"/>
  <c r="T105" i="1"/>
  <c r="S105" i="1"/>
  <c r="Q105" i="1"/>
  <c r="P105" i="1"/>
  <c r="N105" i="1"/>
  <c r="BO105" i="1"/>
  <c r="BN105" i="1"/>
  <c r="DG104" i="1"/>
  <c r="DA104" i="1"/>
  <c r="T104" i="1"/>
  <c r="S104" i="1"/>
  <c r="Q104" i="1"/>
  <c r="P104" i="1"/>
  <c r="N104" i="1"/>
  <c r="BO104" i="1"/>
  <c r="BN104" i="1"/>
  <c r="DG102" i="1"/>
  <c r="DA102" i="1"/>
  <c r="T102" i="1"/>
  <c r="S102" i="1"/>
  <c r="Q102" i="1"/>
  <c r="P102" i="1"/>
  <c r="N102" i="1"/>
  <c r="BO102" i="1"/>
  <c r="BN102" i="1"/>
  <c r="DG100" i="1"/>
  <c r="DA100" i="1"/>
  <c r="T100" i="1"/>
  <c r="S100" i="1"/>
  <c r="Q100" i="1"/>
  <c r="P100" i="1"/>
  <c r="N100" i="1"/>
  <c r="BO100" i="1"/>
  <c r="BN100" i="1"/>
  <c r="DG110" i="1"/>
  <c r="DA110" i="1"/>
  <c r="T110" i="1"/>
  <c r="S110" i="1"/>
  <c r="Q110" i="1"/>
  <c r="P110" i="1"/>
  <c r="N110" i="1"/>
  <c r="BO110" i="1"/>
  <c r="BN110" i="1"/>
  <c r="DG111" i="1"/>
  <c r="DA111" i="1"/>
  <c r="T111" i="1"/>
  <c r="S111" i="1"/>
  <c r="Q111" i="1"/>
  <c r="P111" i="1"/>
  <c r="N111" i="1"/>
  <c r="BO111" i="1"/>
  <c r="BN111" i="1"/>
  <c r="DG112" i="1"/>
  <c r="DA112" i="1"/>
  <c r="T112" i="1"/>
  <c r="S112" i="1"/>
  <c r="Q112" i="1"/>
  <c r="P112" i="1"/>
  <c r="N112" i="1"/>
  <c r="BO112" i="1"/>
  <c r="BN112" i="1"/>
  <c r="DG113" i="1"/>
  <c r="DA113" i="1"/>
  <c r="T113" i="1"/>
  <c r="S113" i="1"/>
  <c r="Q113" i="1"/>
  <c r="P113" i="1"/>
  <c r="N113" i="1"/>
  <c r="BO113" i="1"/>
  <c r="BN113" i="1"/>
  <c r="DG114" i="1"/>
  <c r="DA114" i="1"/>
  <c r="T114" i="1"/>
  <c r="S114" i="1"/>
  <c r="Q114" i="1"/>
  <c r="P114" i="1"/>
  <c r="N114" i="1"/>
  <c r="BO114" i="1"/>
  <c r="BN114" i="1"/>
  <c r="DG116" i="1"/>
  <c r="DA116" i="1"/>
  <c r="T116" i="1"/>
  <c r="S116" i="1"/>
  <c r="Q116" i="1"/>
  <c r="P116" i="1"/>
  <c r="N116" i="1"/>
  <c r="BO116" i="1"/>
  <c r="BN116" i="1"/>
  <c r="DG118" i="1"/>
  <c r="DA118" i="1"/>
  <c r="T118" i="1"/>
  <c r="S118" i="1"/>
  <c r="Q118" i="1"/>
  <c r="P118" i="1"/>
  <c r="N118" i="1"/>
  <c r="BO118" i="1"/>
  <c r="BN118" i="1"/>
  <c r="DG121" i="1"/>
  <c r="DA121" i="1"/>
  <c r="T121" i="1"/>
  <c r="S121" i="1"/>
  <c r="Q121" i="1"/>
  <c r="P121" i="1"/>
  <c r="N121" i="1"/>
  <c r="BO121" i="1"/>
  <c r="BN121" i="1"/>
  <c r="DG120" i="1"/>
  <c r="DA120" i="1"/>
  <c r="T120" i="1"/>
  <c r="S120" i="1"/>
  <c r="Q120" i="1"/>
  <c r="P120" i="1"/>
  <c r="N120" i="1"/>
  <c r="BO120" i="1"/>
  <c r="BN120" i="1"/>
  <c r="DG122" i="1"/>
  <c r="DA122" i="1"/>
  <c r="T122" i="1"/>
  <c r="S122" i="1"/>
  <c r="Q122" i="1"/>
  <c r="P122" i="1"/>
  <c r="N122" i="1"/>
  <c r="BO122" i="1"/>
  <c r="BN122" i="1"/>
  <c r="DG126" i="1"/>
  <c r="DA126" i="1"/>
  <c r="T126" i="1"/>
  <c r="S126" i="1"/>
  <c r="Q126" i="1"/>
  <c r="P126" i="1"/>
  <c r="N126" i="1"/>
  <c r="BO126" i="1"/>
  <c r="BN126" i="1"/>
  <c r="DG125" i="1"/>
  <c r="DA125" i="1"/>
  <c r="T125" i="1"/>
  <c r="S125" i="1"/>
  <c r="Q125" i="1"/>
  <c r="P125" i="1"/>
  <c r="N125" i="1"/>
  <c r="BO125" i="1"/>
  <c r="BN125" i="1"/>
  <c r="DG124" i="1"/>
  <c r="DA124" i="1"/>
  <c r="T124" i="1"/>
  <c r="S124" i="1"/>
  <c r="Q124" i="1"/>
  <c r="P124" i="1"/>
  <c r="N124" i="1"/>
  <c r="BO124" i="1"/>
  <c r="BN124" i="1"/>
  <c r="DG128" i="1"/>
  <c r="DA128" i="1"/>
  <c r="T128" i="1"/>
  <c r="S128" i="1"/>
  <c r="Q128" i="1"/>
  <c r="P128" i="1"/>
  <c r="N128" i="1"/>
  <c r="BO128" i="1"/>
  <c r="BN128" i="1"/>
  <c r="DG127" i="1"/>
  <c r="DA127" i="1"/>
  <c r="T127" i="1"/>
  <c r="S127" i="1"/>
  <c r="Q127" i="1"/>
  <c r="P127" i="1"/>
  <c r="N127" i="1"/>
  <c r="BO127" i="1"/>
  <c r="BN127" i="1"/>
  <c r="DG129" i="1"/>
  <c r="DA129" i="1"/>
  <c r="T129" i="1"/>
  <c r="S129" i="1"/>
  <c r="Q129" i="1"/>
  <c r="P129" i="1"/>
  <c r="N129" i="1"/>
  <c r="BO129" i="1"/>
  <c r="BN129" i="1"/>
  <c r="DG130" i="1"/>
  <c r="DA130" i="1"/>
  <c r="T130" i="1"/>
  <c r="S130" i="1"/>
  <c r="Q130" i="1"/>
  <c r="P130" i="1"/>
  <c r="N130" i="1"/>
  <c r="BO130" i="1"/>
  <c r="BN130" i="1"/>
  <c r="DG132" i="1"/>
  <c r="DA132" i="1"/>
  <c r="T132" i="1"/>
  <c r="S132" i="1"/>
  <c r="Q132" i="1"/>
  <c r="P132" i="1"/>
  <c r="N132" i="1"/>
  <c r="BO132" i="1"/>
  <c r="BN132" i="1"/>
  <c r="DG133" i="1"/>
  <c r="DA133" i="1"/>
  <c r="T133" i="1"/>
  <c r="S133" i="1"/>
  <c r="Q133" i="1"/>
  <c r="P133" i="1"/>
  <c r="N133" i="1"/>
  <c r="BO133" i="1"/>
  <c r="BN133" i="1"/>
  <c r="DG134" i="1"/>
  <c r="DA134" i="1"/>
  <c r="T134" i="1"/>
  <c r="S134" i="1"/>
  <c r="Q134" i="1"/>
  <c r="P134" i="1"/>
  <c r="N134" i="1"/>
  <c r="BO134" i="1"/>
  <c r="BN134" i="1"/>
  <c r="DG136" i="1"/>
  <c r="DA136" i="1"/>
  <c r="T136" i="1"/>
  <c r="S136" i="1"/>
  <c r="Q136" i="1"/>
  <c r="P136" i="1"/>
  <c r="N136" i="1"/>
  <c r="BO136" i="1"/>
  <c r="BN136" i="1"/>
  <c r="DG137" i="1"/>
  <c r="DA137" i="1"/>
  <c r="T137" i="1"/>
  <c r="S137" i="1"/>
  <c r="Q137" i="1"/>
  <c r="P137" i="1"/>
  <c r="N137" i="1"/>
  <c r="BO137" i="1"/>
  <c r="BN137" i="1"/>
  <c r="DG138" i="1"/>
  <c r="DA138" i="1"/>
  <c r="T138" i="1"/>
  <c r="S138" i="1"/>
  <c r="Q138" i="1"/>
  <c r="P138" i="1"/>
  <c r="N138" i="1"/>
  <c r="BO138" i="1"/>
  <c r="BN138" i="1"/>
  <c r="DG140" i="1"/>
  <c r="DA140" i="1"/>
  <c r="T140" i="1"/>
  <c r="S140" i="1"/>
  <c r="Q140" i="1"/>
  <c r="P140" i="1"/>
  <c r="N140" i="1"/>
  <c r="BO140" i="1"/>
  <c r="BN140" i="1"/>
  <c r="DG139" i="1"/>
  <c r="DA139" i="1"/>
  <c r="T139" i="1"/>
  <c r="S139" i="1"/>
  <c r="Q139" i="1"/>
  <c r="P139" i="1"/>
  <c r="N139" i="1"/>
  <c r="BO139" i="1"/>
  <c r="BN139" i="1"/>
  <c r="DG144" i="1"/>
  <c r="DA144" i="1"/>
  <c r="T144" i="1"/>
  <c r="S144" i="1"/>
  <c r="Q144" i="1"/>
  <c r="P144" i="1"/>
  <c r="N144" i="1"/>
  <c r="BO144" i="1"/>
  <c r="BN144" i="1"/>
  <c r="DG142" i="1"/>
  <c r="DA142" i="1"/>
  <c r="T142" i="1"/>
  <c r="S142" i="1"/>
  <c r="Q142" i="1"/>
  <c r="P142" i="1"/>
  <c r="N142" i="1"/>
  <c r="BO142" i="1"/>
  <c r="BN142" i="1"/>
  <c r="DG143" i="1"/>
  <c r="DA143" i="1"/>
  <c r="T143" i="1"/>
  <c r="S143" i="1"/>
  <c r="Q143" i="1"/>
  <c r="P143" i="1"/>
  <c r="N143" i="1"/>
  <c r="BO143" i="1"/>
  <c r="BN143" i="1"/>
  <c r="DG145" i="1"/>
  <c r="DA145" i="1"/>
  <c r="T145" i="1"/>
  <c r="S145" i="1"/>
  <c r="Q145" i="1"/>
  <c r="P145" i="1"/>
  <c r="N145" i="1"/>
  <c r="BO145" i="1"/>
  <c r="BN145" i="1"/>
  <c r="DG147" i="1"/>
  <c r="DA147" i="1"/>
  <c r="T147" i="1"/>
  <c r="S147" i="1"/>
  <c r="Q147" i="1"/>
  <c r="P147" i="1"/>
  <c r="N147" i="1"/>
  <c r="BO147" i="1"/>
  <c r="BN147" i="1"/>
  <c r="DG148" i="1"/>
  <c r="DA148" i="1"/>
  <c r="T148" i="1"/>
  <c r="S148" i="1"/>
  <c r="Q148" i="1"/>
  <c r="P148" i="1"/>
  <c r="N148" i="1"/>
  <c r="BO148" i="1"/>
  <c r="BN148" i="1"/>
  <c r="DG150" i="1"/>
  <c r="DA150" i="1"/>
  <c r="T150" i="1"/>
  <c r="S150" i="1"/>
  <c r="Q150" i="1"/>
  <c r="P150" i="1"/>
  <c r="N150" i="1"/>
  <c r="BO150" i="1"/>
  <c r="BN150" i="1"/>
  <c r="DG151" i="1"/>
  <c r="DA151" i="1"/>
  <c r="T151" i="1"/>
  <c r="S151" i="1"/>
  <c r="Q151" i="1"/>
  <c r="P151" i="1"/>
  <c r="N151" i="1"/>
  <c r="BO151" i="1"/>
  <c r="BN151" i="1"/>
  <c r="DG152" i="1"/>
  <c r="DA152" i="1"/>
  <c r="T152" i="1"/>
  <c r="S152" i="1"/>
  <c r="Q152" i="1"/>
  <c r="P152" i="1"/>
  <c r="N152" i="1"/>
  <c r="BO152" i="1"/>
  <c r="BN152" i="1"/>
  <c r="DG154" i="1"/>
  <c r="DA154" i="1"/>
  <c r="T154" i="1"/>
  <c r="S154" i="1"/>
  <c r="Q154" i="1"/>
  <c r="P154" i="1"/>
  <c r="N154" i="1"/>
  <c r="BO154" i="1"/>
  <c r="BN154" i="1"/>
  <c r="DG155" i="1"/>
  <c r="DA155" i="1"/>
  <c r="T155" i="1"/>
  <c r="S155" i="1"/>
  <c r="Q155" i="1"/>
  <c r="P155" i="1"/>
  <c r="N155" i="1"/>
  <c r="BO155" i="1"/>
  <c r="BN155" i="1"/>
  <c r="DG157" i="1"/>
  <c r="DA157" i="1"/>
  <c r="T157" i="1"/>
  <c r="S157" i="1"/>
  <c r="Q157" i="1"/>
  <c r="P157" i="1"/>
  <c r="N157" i="1"/>
  <c r="BO157" i="1"/>
  <c r="BN157" i="1"/>
  <c r="DG158" i="1"/>
  <c r="DA158" i="1"/>
  <c r="T158" i="1"/>
  <c r="S158" i="1"/>
  <c r="Q158" i="1"/>
  <c r="P158" i="1"/>
  <c r="N158" i="1"/>
  <c r="BO158" i="1"/>
  <c r="BN158" i="1"/>
  <c r="DG166" i="1"/>
  <c r="DA166" i="1"/>
  <c r="T166" i="1"/>
  <c r="S166" i="1"/>
  <c r="Q166" i="1"/>
  <c r="P166" i="1"/>
  <c r="N166" i="1"/>
  <c r="BO166" i="1"/>
  <c r="BN166" i="1"/>
  <c r="DG161" i="1"/>
  <c r="DA161" i="1"/>
  <c r="T161" i="1"/>
  <c r="S161" i="1"/>
  <c r="Q161" i="1"/>
  <c r="P161" i="1"/>
  <c r="N161" i="1"/>
  <c r="BO161" i="1"/>
  <c r="BN161" i="1"/>
  <c r="DG167" i="1"/>
  <c r="DA167" i="1"/>
  <c r="T167" i="1"/>
  <c r="S167" i="1"/>
  <c r="Q167" i="1"/>
  <c r="P167" i="1"/>
  <c r="N167" i="1"/>
  <c r="BO167" i="1"/>
  <c r="BN167" i="1"/>
  <c r="DG165" i="1"/>
  <c r="DA165" i="1"/>
  <c r="T165" i="1"/>
  <c r="S165" i="1"/>
  <c r="Q165" i="1"/>
  <c r="P165" i="1"/>
  <c r="N165" i="1"/>
  <c r="BO165" i="1"/>
  <c r="BN165" i="1"/>
  <c r="DG169" i="1"/>
  <c r="DA169" i="1"/>
  <c r="T169" i="1"/>
  <c r="S169" i="1"/>
  <c r="Q169" i="1"/>
  <c r="P169" i="1"/>
  <c r="N169" i="1"/>
  <c r="BO169" i="1"/>
  <c r="BN169" i="1"/>
  <c r="DG163" i="1"/>
  <c r="DA163" i="1"/>
  <c r="T163" i="1"/>
  <c r="S163" i="1"/>
  <c r="Q163" i="1"/>
  <c r="P163" i="1"/>
  <c r="N163" i="1"/>
  <c r="BO163" i="1"/>
  <c r="BN163" i="1"/>
  <c r="DG160" i="1"/>
  <c r="DA160" i="1"/>
  <c r="T160" i="1"/>
  <c r="S160" i="1"/>
  <c r="Q160" i="1"/>
  <c r="P160" i="1"/>
  <c r="N160" i="1"/>
  <c r="BO160" i="1"/>
  <c r="BN160" i="1"/>
  <c r="DG164" i="1"/>
  <c r="DA164" i="1"/>
  <c r="T164" i="1"/>
  <c r="S164" i="1"/>
  <c r="Q164" i="1"/>
  <c r="P164" i="1"/>
  <c r="N164" i="1"/>
  <c r="BO164" i="1"/>
  <c r="BN164" i="1"/>
  <c r="DG170" i="1"/>
  <c r="DA170" i="1"/>
  <c r="T170" i="1"/>
  <c r="S170" i="1"/>
  <c r="Q170" i="1"/>
  <c r="P170" i="1"/>
  <c r="N170" i="1"/>
  <c r="BO170" i="1"/>
  <c r="BN170" i="1"/>
  <c r="DG174" i="1"/>
  <c r="DA174" i="1"/>
  <c r="T174" i="1"/>
  <c r="S174" i="1"/>
  <c r="Q174" i="1"/>
  <c r="P174" i="1"/>
  <c r="N174" i="1"/>
  <c r="BO174" i="1"/>
  <c r="BN174" i="1"/>
  <c r="DG172" i="1"/>
  <c r="DA172" i="1"/>
  <c r="T172" i="1"/>
  <c r="S172" i="1"/>
  <c r="Q172" i="1"/>
  <c r="P172" i="1"/>
  <c r="N172" i="1"/>
  <c r="BO172" i="1"/>
  <c r="BN172" i="1"/>
  <c r="DG173" i="1"/>
  <c r="DA173" i="1"/>
  <c r="T173" i="1"/>
  <c r="S173" i="1"/>
  <c r="Q173" i="1"/>
  <c r="P173" i="1"/>
  <c r="N173" i="1"/>
  <c r="BO173" i="1"/>
  <c r="BN173" i="1"/>
  <c r="DG175" i="1"/>
  <c r="DA175" i="1"/>
  <c r="T175" i="1"/>
  <c r="S175" i="1"/>
  <c r="Q175" i="1"/>
  <c r="P175" i="1"/>
  <c r="N175" i="1"/>
  <c r="BO175" i="1"/>
  <c r="BN175" i="1"/>
  <c r="DG178" i="1"/>
  <c r="DA178" i="1"/>
  <c r="T178" i="1"/>
  <c r="S178" i="1"/>
  <c r="Q178" i="1"/>
  <c r="P178" i="1"/>
  <c r="N178" i="1"/>
  <c r="BO178" i="1"/>
  <c r="BN178" i="1"/>
  <c r="DG176" i="1"/>
  <c r="DA176" i="1"/>
  <c r="T176" i="1"/>
  <c r="S176" i="1"/>
  <c r="Q176" i="1"/>
  <c r="P176" i="1"/>
  <c r="N176" i="1"/>
  <c r="BO176" i="1"/>
  <c r="BN176" i="1"/>
  <c r="DG179" i="1"/>
  <c r="DA179" i="1"/>
  <c r="T179" i="1"/>
  <c r="S179" i="1"/>
  <c r="Q179" i="1"/>
  <c r="P179" i="1"/>
  <c r="N179" i="1"/>
  <c r="BO179" i="1"/>
  <c r="BN179" i="1"/>
  <c r="DG180" i="1"/>
  <c r="DA180" i="1"/>
  <c r="T180" i="1"/>
  <c r="S180" i="1"/>
  <c r="Q180" i="1"/>
  <c r="P180" i="1"/>
  <c r="N180" i="1"/>
  <c r="BO180" i="1"/>
  <c r="BN180" i="1"/>
  <c r="DG192" i="1"/>
  <c r="DA192" i="1"/>
  <c r="T192" i="1"/>
  <c r="S192" i="1"/>
  <c r="Q192" i="1"/>
  <c r="P192" i="1"/>
  <c r="N192" i="1"/>
  <c r="BO192" i="1"/>
  <c r="BN192" i="1"/>
  <c r="DG198" i="1"/>
  <c r="DA198" i="1"/>
  <c r="T198" i="1"/>
  <c r="S198" i="1"/>
  <c r="Q198" i="1"/>
  <c r="P198" i="1"/>
  <c r="N198" i="1"/>
  <c r="BO198" i="1"/>
  <c r="BN198" i="1"/>
  <c r="DG197" i="1"/>
  <c r="DA197" i="1"/>
  <c r="T197" i="1"/>
  <c r="S197" i="1"/>
  <c r="Q197" i="1"/>
  <c r="P197" i="1"/>
  <c r="N197" i="1"/>
  <c r="BO197" i="1"/>
  <c r="BN197" i="1"/>
  <c r="DG196" i="1"/>
  <c r="DA196" i="1"/>
  <c r="T196" i="1"/>
  <c r="S196" i="1"/>
  <c r="Q196" i="1"/>
  <c r="P196" i="1"/>
  <c r="N196" i="1"/>
  <c r="BO196" i="1"/>
  <c r="BN196" i="1"/>
  <c r="DG194" i="1"/>
  <c r="DA194" i="1"/>
  <c r="T194" i="1"/>
  <c r="S194" i="1"/>
  <c r="Q194" i="1"/>
  <c r="P194" i="1"/>
  <c r="N194" i="1"/>
  <c r="BO194" i="1"/>
  <c r="BN194" i="1"/>
  <c r="DG193" i="1"/>
  <c r="DA193" i="1"/>
  <c r="T193" i="1"/>
  <c r="S193" i="1"/>
  <c r="Q193" i="1"/>
  <c r="P193" i="1"/>
  <c r="N193" i="1"/>
  <c r="BO193" i="1"/>
  <c r="BN193" i="1"/>
  <c r="DG190" i="1"/>
  <c r="DA190" i="1"/>
  <c r="T190" i="1"/>
  <c r="S190" i="1"/>
  <c r="Q190" i="1"/>
  <c r="P190" i="1"/>
  <c r="N190" i="1"/>
  <c r="BO190" i="1"/>
  <c r="BN190" i="1"/>
  <c r="DG189" i="1"/>
  <c r="DA189" i="1"/>
  <c r="T189" i="1"/>
  <c r="S189" i="1"/>
  <c r="Q189" i="1"/>
  <c r="P189" i="1"/>
  <c r="N189" i="1"/>
  <c r="BO189" i="1"/>
  <c r="BN189" i="1"/>
  <c r="DG188" i="1"/>
  <c r="DA188" i="1"/>
  <c r="T188" i="1"/>
  <c r="S188" i="1"/>
  <c r="Q188" i="1"/>
  <c r="P188" i="1"/>
  <c r="N188" i="1"/>
  <c r="BO188" i="1"/>
  <c r="BN188" i="1"/>
  <c r="DG187" i="1"/>
  <c r="DA187" i="1"/>
  <c r="T187" i="1"/>
  <c r="S187" i="1"/>
  <c r="Q187" i="1"/>
  <c r="P187" i="1"/>
  <c r="N187" i="1"/>
  <c r="BO187" i="1"/>
  <c r="BN187" i="1"/>
  <c r="DG186" i="1"/>
  <c r="DA186" i="1"/>
  <c r="T186" i="1"/>
  <c r="S186" i="1"/>
  <c r="Q186" i="1"/>
  <c r="P186" i="1"/>
  <c r="N186" i="1"/>
  <c r="BO186" i="1"/>
  <c r="BN186" i="1"/>
  <c r="DG184" i="1"/>
  <c r="DA184" i="1"/>
  <c r="T184" i="1"/>
  <c r="S184" i="1"/>
  <c r="Q184" i="1"/>
  <c r="P184" i="1"/>
  <c r="N184" i="1"/>
  <c r="BO184" i="1"/>
  <c r="BN184" i="1"/>
  <c r="DG183" i="1"/>
  <c r="DA183" i="1"/>
  <c r="T183" i="1"/>
  <c r="S183" i="1"/>
  <c r="Q183" i="1"/>
  <c r="P183" i="1"/>
  <c r="N183" i="1"/>
  <c r="BO183" i="1"/>
  <c r="BN183" i="1"/>
  <c r="DG182" i="1"/>
  <c r="DA182" i="1"/>
  <c r="T182" i="1"/>
  <c r="S182" i="1"/>
  <c r="Q182" i="1"/>
  <c r="P182" i="1"/>
  <c r="N182" i="1"/>
  <c r="BO182" i="1"/>
  <c r="BN182" i="1"/>
  <c r="DG199" i="1"/>
  <c r="DA199" i="1"/>
  <c r="T199" i="1"/>
  <c r="S199" i="1"/>
  <c r="Q199" i="1"/>
  <c r="P199" i="1"/>
  <c r="N199" i="1"/>
  <c r="BO199" i="1"/>
  <c r="BN199" i="1"/>
  <c r="DG203" i="1"/>
  <c r="DA203" i="1"/>
  <c r="T203" i="1"/>
  <c r="S203" i="1"/>
  <c r="Q203" i="1"/>
  <c r="P203" i="1"/>
  <c r="N203" i="1"/>
  <c r="BO203" i="1"/>
  <c r="BN203" i="1"/>
  <c r="DG202" i="1"/>
  <c r="DA202" i="1"/>
  <c r="T202" i="1"/>
  <c r="S202" i="1"/>
  <c r="Q202" i="1"/>
  <c r="P202" i="1"/>
  <c r="N202" i="1"/>
  <c r="BO202" i="1"/>
  <c r="BN202" i="1"/>
  <c r="DG201" i="1"/>
  <c r="DA201" i="1"/>
  <c r="T201" i="1"/>
  <c r="S201" i="1"/>
  <c r="Q201" i="1"/>
  <c r="P201" i="1"/>
  <c r="N201" i="1"/>
  <c r="BO201" i="1"/>
  <c r="BN201" i="1"/>
  <c r="DG206" i="1"/>
  <c r="DA206" i="1"/>
  <c r="T206" i="1"/>
  <c r="S206" i="1"/>
  <c r="Q206" i="1"/>
  <c r="P206" i="1"/>
  <c r="N206" i="1"/>
  <c r="BO206" i="1"/>
  <c r="BN206" i="1"/>
  <c r="DG205" i="1"/>
  <c r="DA205" i="1"/>
  <c r="T205" i="1"/>
  <c r="S205" i="1"/>
  <c r="Q205" i="1"/>
  <c r="P205" i="1"/>
  <c r="N205" i="1"/>
  <c r="BO205" i="1"/>
  <c r="BN205" i="1"/>
  <c r="DG207" i="1"/>
  <c r="DA207" i="1"/>
  <c r="T207" i="1"/>
  <c r="S207" i="1"/>
  <c r="Q207" i="1"/>
  <c r="P207" i="1"/>
  <c r="N207" i="1"/>
  <c r="BO207" i="1"/>
  <c r="BN207" i="1"/>
  <c r="DG211" i="1"/>
  <c r="DA211" i="1"/>
  <c r="T211" i="1"/>
  <c r="S211" i="1"/>
  <c r="Q211" i="1"/>
  <c r="P211" i="1"/>
  <c r="N211" i="1"/>
  <c r="BO211" i="1"/>
  <c r="BN211" i="1"/>
  <c r="DG213" i="1"/>
  <c r="DA213" i="1"/>
  <c r="T213" i="1"/>
  <c r="S213" i="1"/>
  <c r="Q213" i="1"/>
  <c r="P213" i="1"/>
  <c r="N213" i="1"/>
  <c r="BO213" i="1"/>
  <c r="BN213" i="1"/>
  <c r="DG208" i="1"/>
  <c r="DA208" i="1"/>
  <c r="T208" i="1"/>
  <c r="S208" i="1"/>
  <c r="Q208" i="1"/>
  <c r="P208" i="1"/>
  <c r="N208" i="1"/>
  <c r="BO208" i="1"/>
  <c r="BN208" i="1"/>
  <c r="DG212" i="1"/>
  <c r="DA212" i="1"/>
  <c r="T212" i="1"/>
  <c r="S212" i="1"/>
  <c r="Q212" i="1"/>
  <c r="P212" i="1"/>
  <c r="N212" i="1"/>
  <c r="BO212" i="1"/>
  <c r="BN212" i="1"/>
  <c r="DG210" i="1"/>
  <c r="DA210" i="1"/>
  <c r="T210" i="1"/>
  <c r="S210" i="1"/>
  <c r="Q210" i="1"/>
  <c r="P210" i="1"/>
  <c r="N210" i="1"/>
  <c r="BO210" i="1"/>
  <c r="BN210" i="1"/>
  <c r="DG216" i="1"/>
  <c r="DA216" i="1"/>
  <c r="T216" i="1"/>
  <c r="S216" i="1"/>
  <c r="Q216" i="1"/>
  <c r="P216" i="1"/>
  <c r="N216" i="1"/>
  <c r="BO216" i="1"/>
  <c r="BN216" i="1"/>
  <c r="DG218" i="1"/>
  <c r="DA218" i="1"/>
  <c r="T218" i="1"/>
  <c r="S218" i="1"/>
  <c r="Q218" i="1"/>
  <c r="P218" i="1"/>
  <c r="N218" i="1"/>
  <c r="BO218" i="1"/>
  <c r="BN218" i="1"/>
  <c r="DG219" i="1"/>
  <c r="DA219" i="1"/>
  <c r="T219" i="1"/>
  <c r="S219" i="1"/>
  <c r="Q219" i="1"/>
  <c r="P219" i="1"/>
  <c r="N219" i="1"/>
  <c r="BO219" i="1"/>
  <c r="BN219" i="1"/>
  <c r="DG220" i="1"/>
  <c r="DA220" i="1"/>
  <c r="T220" i="1"/>
  <c r="S220" i="1"/>
  <c r="Q220" i="1"/>
  <c r="P220" i="1"/>
  <c r="N220" i="1"/>
  <c r="BO220" i="1"/>
  <c r="BN220" i="1"/>
  <c r="DG221" i="1"/>
  <c r="DA221" i="1"/>
  <c r="T221" i="1"/>
  <c r="S221" i="1"/>
  <c r="Q221" i="1"/>
  <c r="P221" i="1"/>
  <c r="N221" i="1"/>
  <c r="BO221" i="1"/>
  <c r="BN221" i="1"/>
  <c r="DG224" i="1"/>
  <c r="DA224" i="1"/>
  <c r="T224" i="1"/>
  <c r="S224" i="1"/>
  <c r="Q224" i="1"/>
  <c r="P224" i="1"/>
  <c r="N224" i="1"/>
  <c r="BO224" i="1"/>
  <c r="BN224" i="1"/>
  <c r="DG223" i="1"/>
  <c r="DA223" i="1"/>
  <c r="T223" i="1"/>
  <c r="S223" i="1"/>
  <c r="Q223" i="1"/>
  <c r="P223" i="1"/>
  <c r="N223" i="1"/>
  <c r="BO223" i="1"/>
  <c r="BN223" i="1"/>
  <c r="DG222" i="1"/>
  <c r="DA222" i="1"/>
  <c r="T222" i="1"/>
  <c r="S222" i="1"/>
  <c r="Q222" i="1"/>
  <c r="P222" i="1"/>
  <c r="N222" i="1"/>
  <c r="BO222" i="1"/>
  <c r="BN222" i="1"/>
  <c r="DG236" i="1"/>
  <c r="DA236" i="1"/>
  <c r="T236" i="1"/>
  <c r="S236" i="1"/>
  <c r="Q236" i="1"/>
  <c r="P236" i="1"/>
  <c r="N236" i="1"/>
  <c r="BO236" i="1"/>
  <c r="BN236" i="1"/>
  <c r="DG235" i="1"/>
  <c r="DA235" i="1"/>
  <c r="T235" i="1"/>
  <c r="S235" i="1"/>
  <c r="Q235" i="1"/>
  <c r="P235" i="1"/>
  <c r="N235" i="1"/>
  <c r="BO235" i="1"/>
  <c r="BN235" i="1"/>
  <c r="DG233" i="1"/>
  <c r="DA233" i="1"/>
  <c r="T233" i="1"/>
  <c r="S233" i="1"/>
  <c r="Q233" i="1"/>
  <c r="P233" i="1"/>
  <c r="N233" i="1"/>
  <c r="BO233" i="1"/>
  <c r="BN233" i="1"/>
  <c r="DG232" i="1"/>
  <c r="DA232" i="1"/>
  <c r="T232" i="1"/>
  <c r="S232" i="1"/>
  <c r="Q232" i="1"/>
  <c r="P232" i="1"/>
  <c r="N232" i="1"/>
  <c r="BO232" i="1"/>
  <c r="BN232" i="1"/>
  <c r="DG231" i="1"/>
  <c r="DA231" i="1"/>
  <c r="T231" i="1"/>
  <c r="S231" i="1"/>
  <c r="Q231" i="1"/>
  <c r="P231" i="1"/>
  <c r="N231" i="1"/>
  <c r="BO231" i="1"/>
  <c r="BN231" i="1"/>
  <c r="DG2473" i="1"/>
  <c r="DA2473" i="1"/>
  <c r="T2473" i="1"/>
  <c r="S2473" i="1"/>
  <c r="Q2473" i="1"/>
  <c r="P2473" i="1"/>
  <c r="N2473" i="1"/>
  <c r="BO2473" i="1"/>
  <c r="BN2473" i="1"/>
  <c r="DG229" i="1"/>
  <c r="DA229" i="1"/>
  <c r="T229" i="1"/>
  <c r="S229" i="1"/>
  <c r="Q229" i="1"/>
  <c r="P229" i="1"/>
  <c r="N229" i="1"/>
  <c r="BO229" i="1"/>
  <c r="BN229" i="1"/>
  <c r="DG228" i="1"/>
  <c r="DA228" i="1"/>
  <c r="T228" i="1"/>
  <c r="S228" i="1"/>
  <c r="Q228" i="1"/>
  <c r="P228" i="1"/>
  <c r="N228" i="1"/>
  <c r="BO228" i="1"/>
  <c r="BN228" i="1"/>
  <c r="DG227" i="1"/>
  <c r="DA227" i="1"/>
  <c r="T227" i="1"/>
  <c r="S227" i="1"/>
  <c r="Q227" i="1"/>
  <c r="P227" i="1"/>
  <c r="N227" i="1"/>
  <c r="BO227" i="1"/>
  <c r="BN227" i="1"/>
  <c r="DG2484" i="1"/>
  <c r="DA2484" i="1"/>
  <c r="T2484" i="1"/>
  <c r="S2484" i="1"/>
  <c r="Q2484" i="1"/>
  <c r="P2484" i="1"/>
  <c r="N2484" i="1"/>
  <c r="BO2484" i="1"/>
  <c r="BN2484" i="1"/>
  <c r="DG225" i="1"/>
  <c r="DA225" i="1"/>
  <c r="T225" i="1"/>
  <c r="S225" i="1"/>
  <c r="Q225" i="1"/>
  <c r="P225" i="1"/>
  <c r="N225" i="1"/>
  <c r="BO225" i="1"/>
  <c r="BN225" i="1"/>
  <c r="DG238" i="1"/>
  <c r="DA238" i="1"/>
  <c r="T238" i="1"/>
  <c r="S238" i="1"/>
  <c r="Q238" i="1"/>
  <c r="P238" i="1"/>
  <c r="N238" i="1"/>
  <c r="BO238" i="1"/>
  <c r="BN238" i="1"/>
  <c r="DG237" i="1"/>
  <c r="DA237" i="1"/>
  <c r="T237" i="1"/>
  <c r="S237" i="1"/>
  <c r="Q237" i="1"/>
  <c r="P237" i="1"/>
  <c r="N237" i="1"/>
  <c r="BO237" i="1"/>
  <c r="BN237" i="1"/>
  <c r="DG239" i="1"/>
  <c r="DA239" i="1"/>
  <c r="T239" i="1"/>
  <c r="S239" i="1"/>
  <c r="Q239" i="1"/>
  <c r="P239" i="1"/>
  <c r="N239" i="1"/>
  <c r="BO239" i="1"/>
  <c r="BN239" i="1"/>
  <c r="DG241" i="1"/>
  <c r="DA241" i="1"/>
  <c r="T241" i="1"/>
  <c r="S241" i="1"/>
  <c r="Q241" i="1"/>
  <c r="P241" i="1"/>
  <c r="N241" i="1"/>
  <c r="BO241" i="1"/>
  <c r="BN241" i="1"/>
  <c r="DG240" i="1"/>
  <c r="DA240" i="1"/>
  <c r="T240" i="1"/>
  <c r="S240" i="1"/>
  <c r="Q240" i="1"/>
  <c r="P240" i="1"/>
  <c r="N240" i="1"/>
  <c r="BO240" i="1"/>
  <c r="BN240" i="1"/>
  <c r="DG245" i="1"/>
  <c r="DA245" i="1"/>
  <c r="T245" i="1"/>
  <c r="S245" i="1"/>
  <c r="Q245" i="1"/>
  <c r="P245" i="1"/>
  <c r="N245" i="1"/>
  <c r="BO245" i="1"/>
  <c r="BN245" i="1"/>
  <c r="DG2461" i="1"/>
  <c r="DA2461" i="1"/>
  <c r="T2461" i="1"/>
  <c r="S2461" i="1"/>
  <c r="Q2461" i="1"/>
  <c r="P2461" i="1"/>
  <c r="N2461" i="1"/>
  <c r="BO2461" i="1"/>
  <c r="BN2461" i="1"/>
  <c r="DG249" i="1"/>
  <c r="DA249" i="1"/>
  <c r="T249" i="1"/>
  <c r="S249" i="1"/>
  <c r="Q249" i="1"/>
  <c r="P249" i="1"/>
  <c r="N249" i="1"/>
  <c r="BO249" i="1"/>
  <c r="BN249" i="1"/>
  <c r="DG252" i="1"/>
  <c r="DA252" i="1"/>
  <c r="T252" i="1"/>
  <c r="S252" i="1"/>
  <c r="Q252" i="1"/>
  <c r="P252" i="1"/>
  <c r="N252" i="1"/>
  <c r="BO252" i="1"/>
  <c r="BN252" i="1"/>
  <c r="DG248" i="1"/>
  <c r="DA248" i="1"/>
  <c r="T248" i="1"/>
  <c r="S248" i="1"/>
  <c r="Q248" i="1"/>
  <c r="P248" i="1"/>
  <c r="N248" i="1"/>
  <c r="BO248" i="1"/>
  <c r="BN248" i="1"/>
  <c r="DG2458" i="1"/>
  <c r="DA2458" i="1"/>
  <c r="T2458" i="1"/>
  <c r="S2458" i="1"/>
  <c r="Q2458" i="1"/>
  <c r="P2458" i="1"/>
  <c r="N2458" i="1"/>
  <c r="BO2458" i="1"/>
  <c r="BN2458" i="1"/>
  <c r="DG246" i="1"/>
  <c r="DA246" i="1"/>
  <c r="T246" i="1"/>
  <c r="S246" i="1"/>
  <c r="Q246" i="1"/>
  <c r="P246" i="1"/>
  <c r="N246" i="1"/>
  <c r="BO246" i="1"/>
  <c r="BN246" i="1"/>
  <c r="DG251" i="1"/>
  <c r="DA251" i="1"/>
  <c r="T251" i="1"/>
  <c r="S251" i="1"/>
  <c r="Q251" i="1"/>
  <c r="P251" i="1"/>
  <c r="N251" i="1"/>
  <c r="BO251" i="1"/>
  <c r="BN251" i="1"/>
  <c r="DG243" i="1"/>
  <c r="DA243" i="1"/>
  <c r="T243" i="1"/>
  <c r="S243" i="1"/>
  <c r="Q243" i="1"/>
  <c r="P243" i="1"/>
  <c r="N243" i="1"/>
  <c r="BO243" i="1"/>
  <c r="BN243" i="1"/>
  <c r="DG2463" i="1"/>
  <c r="DA2463" i="1"/>
  <c r="T2463" i="1"/>
  <c r="S2463" i="1"/>
  <c r="Q2463" i="1"/>
  <c r="P2463" i="1"/>
  <c r="N2463" i="1"/>
  <c r="BO2463" i="1"/>
  <c r="BN2463" i="1"/>
  <c r="DG242" i="1"/>
  <c r="DA242" i="1"/>
  <c r="T242" i="1"/>
  <c r="S242" i="1"/>
  <c r="Q242" i="1"/>
  <c r="P242" i="1"/>
  <c r="N242" i="1"/>
  <c r="BO242" i="1"/>
  <c r="BN242" i="1"/>
  <c r="DG253" i="1"/>
  <c r="DA253" i="1"/>
  <c r="T253" i="1"/>
  <c r="S253" i="1"/>
  <c r="Q253" i="1"/>
  <c r="P253" i="1"/>
  <c r="N253" i="1"/>
  <c r="BO253" i="1"/>
  <c r="BN253" i="1"/>
  <c r="DG318" i="1"/>
  <c r="DA318" i="1"/>
  <c r="T318" i="1"/>
  <c r="S318" i="1"/>
  <c r="Q318" i="1"/>
  <c r="P318" i="1"/>
  <c r="N318" i="1"/>
  <c r="BO318" i="1"/>
  <c r="BN318" i="1"/>
  <c r="DG330" i="1"/>
  <c r="DA330" i="1"/>
  <c r="T330" i="1"/>
  <c r="S330" i="1"/>
  <c r="Q330" i="1"/>
  <c r="P330" i="1"/>
  <c r="N330" i="1"/>
  <c r="BO330" i="1"/>
  <c r="BN330" i="1"/>
  <c r="DG325" i="1"/>
  <c r="DA325" i="1"/>
  <c r="T325" i="1"/>
  <c r="S325" i="1"/>
  <c r="Q325" i="1"/>
  <c r="P325" i="1"/>
  <c r="N325" i="1"/>
  <c r="BO325" i="1"/>
  <c r="BN325" i="1"/>
  <c r="DG319" i="1"/>
  <c r="DA319" i="1"/>
  <c r="T319" i="1"/>
  <c r="S319" i="1"/>
  <c r="Q319" i="1"/>
  <c r="P319" i="1"/>
  <c r="N319" i="1"/>
  <c r="BO319" i="1"/>
  <c r="BN319" i="1"/>
  <c r="DG317" i="1"/>
  <c r="DA317" i="1"/>
  <c r="T317" i="1"/>
  <c r="S317" i="1"/>
  <c r="Q317" i="1"/>
  <c r="P317" i="1"/>
  <c r="N317" i="1"/>
  <c r="BO317" i="1"/>
  <c r="BN317" i="1"/>
  <c r="DG2460" i="1"/>
  <c r="DA2460" i="1"/>
  <c r="T2460" i="1"/>
  <c r="S2460" i="1"/>
  <c r="Q2460" i="1"/>
  <c r="P2460" i="1"/>
  <c r="N2460" i="1"/>
  <c r="BO2460" i="1"/>
  <c r="BN2460" i="1"/>
  <c r="DG324" i="1"/>
  <c r="DA324" i="1"/>
  <c r="T324" i="1"/>
  <c r="S324" i="1"/>
  <c r="Q324" i="1"/>
  <c r="P324" i="1"/>
  <c r="N324" i="1"/>
  <c r="BO324" i="1"/>
  <c r="BN324" i="1"/>
  <c r="DG328" i="1"/>
  <c r="DA328" i="1"/>
  <c r="T328" i="1"/>
  <c r="S328" i="1"/>
  <c r="Q328" i="1"/>
  <c r="P328" i="1"/>
  <c r="N328" i="1"/>
  <c r="BO328" i="1"/>
  <c r="BN328" i="1"/>
  <c r="DG323" i="1"/>
  <c r="DA323" i="1"/>
  <c r="T323" i="1"/>
  <c r="S323" i="1"/>
  <c r="Q323" i="1"/>
  <c r="P323" i="1"/>
  <c r="N323" i="1"/>
  <c r="BO323" i="1"/>
  <c r="BN323" i="1"/>
  <c r="DG322" i="1"/>
  <c r="DA322" i="1"/>
  <c r="T322" i="1"/>
  <c r="S322" i="1"/>
  <c r="Q322" i="1"/>
  <c r="P322" i="1"/>
  <c r="N322" i="1"/>
  <c r="BO322" i="1"/>
  <c r="BN322" i="1"/>
  <c r="DG316" i="1"/>
  <c r="DA316" i="1"/>
  <c r="T316" i="1"/>
  <c r="S316" i="1"/>
  <c r="Q316" i="1"/>
  <c r="P316" i="1"/>
  <c r="N316" i="1"/>
  <c r="BO316" i="1"/>
  <c r="BN316" i="1"/>
  <c r="DG321" i="1"/>
  <c r="DA321" i="1"/>
  <c r="T321" i="1"/>
  <c r="S321" i="1"/>
  <c r="Q321" i="1"/>
  <c r="P321" i="1"/>
  <c r="N321" i="1"/>
  <c r="BO321" i="1"/>
  <c r="BN321" i="1"/>
  <c r="DG329" i="1"/>
  <c r="DA329" i="1"/>
  <c r="T329" i="1"/>
  <c r="S329" i="1"/>
  <c r="Q329" i="1"/>
  <c r="P329" i="1"/>
  <c r="N329" i="1"/>
  <c r="BO329" i="1"/>
  <c r="BN329" i="1"/>
  <c r="DG320" i="1"/>
  <c r="DA320" i="1"/>
  <c r="T320" i="1"/>
  <c r="S320" i="1"/>
  <c r="Q320" i="1"/>
  <c r="P320" i="1"/>
  <c r="N320" i="1"/>
  <c r="BO320" i="1"/>
  <c r="BN320" i="1"/>
  <c r="DG326" i="1"/>
  <c r="DA326" i="1"/>
  <c r="T326" i="1"/>
  <c r="S326" i="1"/>
  <c r="Q326" i="1"/>
  <c r="P326" i="1"/>
  <c r="N326" i="1"/>
  <c r="BO326" i="1"/>
  <c r="BN326" i="1"/>
  <c r="DG278" i="1"/>
  <c r="DA278" i="1"/>
  <c r="T278" i="1"/>
  <c r="S278" i="1"/>
  <c r="Q278" i="1"/>
  <c r="P278" i="1"/>
  <c r="N278" i="1"/>
  <c r="BO278" i="1"/>
  <c r="BN278" i="1"/>
  <c r="DG266" i="1"/>
  <c r="DA266" i="1"/>
  <c r="T266" i="1"/>
  <c r="S266" i="1"/>
  <c r="Q266" i="1"/>
  <c r="P266" i="1"/>
  <c r="N266" i="1"/>
  <c r="BO266" i="1"/>
  <c r="BN266" i="1"/>
  <c r="DG261" i="1"/>
  <c r="DA261" i="1"/>
  <c r="T261" i="1"/>
  <c r="S261" i="1"/>
  <c r="Q261" i="1"/>
  <c r="P261" i="1"/>
  <c r="N261" i="1"/>
  <c r="BO261" i="1"/>
  <c r="BN261" i="1"/>
  <c r="DG280" i="1"/>
  <c r="DA280" i="1"/>
  <c r="T280" i="1"/>
  <c r="S280" i="1"/>
  <c r="Q280" i="1"/>
  <c r="P280" i="1"/>
  <c r="N280" i="1"/>
  <c r="BO280" i="1"/>
  <c r="BN280" i="1"/>
  <c r="DG279" i="1"/>
  <c r="DA279" i="1"/>
  <c r="T279" i="1"/>
  <c r="S279" i="1"/>
  <c r="Q279" i="1"/>
  <c r="P279" i="1"/>
  <c r="N279" i="1"/>
  <c r="BO279" i="1"/>
  <c r="BN279" i="1"/>
  <c r="DG277" i="1"/>
  <c r="DA277" i="1"/>
  <c r="T277" i="1"/>
  <c r="S277" i="1"/>
  <c r="Q277" i="1"/>
  <c r="P277" i="1"/>
  <c r="N277" i="1"/>
  <c r="BO277" i="1"/>
  <c r="BN277" i="1"/>
  <c r="DG3193" i="1"/>
  <c r="DA3193" i="1"/>
  <c r="T3193" i="1"/>
  <c r="S3193" i="1"/>
  <c r="Q3193" i="1"/>
  <c r="P3193" i="1"/>
  <c r="N3193" i="1"/>
  <c r="BO3193" i="1"/>
  <c r="BN3193" i="1"/>
  <c r="DG275" i="1"/>
  <c r="DA275" i="1"/>
  <c r="T275" i="1"/>
  <c r="S275" i="1"/>
  <c r="Q275" i="1"/>
  <c r="P275" i="1"/>
  <c r="N275" i="1"/>
  <c r="BO275" i="1"/>
  <c r="BN275" i="1"/>
  <c r="DG274" i="1"/>
  <c r="DA274" i="1"/>
  <c r="T274" i="1"/>
  <c r="S274" i="1"/>
  <c r="Q274" i="1"/>
  <c r="P274" i="1"/>
  <c r="N274" i="1"/>
  <c r="BO274" i="1"/>
  <c r="BN274" i="1"/>
  <c r="DG273" i="1"/>
  <c r="DA273" i="1"/>
  <c r="T273" i="1"/>
  <c r="S273" i="1"/>
  <c r="Q273" i="1"/>
  <c r="P273" i="1"/>
  <c r="N273" i="1"/>
  <c r="BO273" i="1"/>
  <c r="BN273" i="1"/>
  <c r="DG2097" i="1"/>
  <c r="DA2097" i="1"/>
  <c r="T2097" i="1"/>
  <c r="S2097" i="1"/>
  <c r="Q2097" i="1"/>
  <c r="P2097" i="1"/>
  <c r="N2097" i="1"/>
  <c r="BO2097" i="1"/>
  <c r="BN2097" i="1"/>
  <c r="DG270" i="1"/>
  <c r="DA270" i="1"/>
  <c r="T270" i="1"/>
  <c r="S270" i="1"/>
  <c r="Q270" i="1"/>
  <c r="P270" i="1"/>
  <c r="N270" i="1"/>
  <c r="BO270" i="1"/>
  <c r="BN270" i="1"/>
  <c r="DG269" i="1"/>
  <c r="DA269" i="1"/>
  <c r="T269" i="1"/>
  <c r="S269" i="1"/>
  <c r="Q269" i="1"/>
  <c r="P269" i="1"/>
  <c r="N269" i="1"/>
  <c r="BO269" i="1"/>
  <c r="BN269" i="1"/>
  <c r="DG268" i="1"/>
  <c r="DA268" i="1"/>
  <c r="T268" i="1"/>
  <c r="S268" i="1"/>
  <c r="Q268" i="1"/>
  <c r="P268" i="1"/>
  <c r="N268" i="1"/>
  <c r="BO268" i="1"/>
  <c r="BN268" i="1"/>
  <c r="DG2094" i="1"/>
  <c r="DA2094" i="1"/>
  <c r="T2094" i="1"/>
  <c r="S2094" i="1"/>
  <c r="Q2094" i="1"/>
  <c r="P2094" i="1"/>
  <c r="N2094" i="1"/>
  <c r="BO2094" i="1"/>
  <c r="BN2094" i="1"/>
  <c r="DG265" i="1"/>
  <c r="DA265" i="1"/>
  <c r="T265" i="1"/>
  <c r="S265" i="1"/>
  <c r="Q265" i="1"/>
  <c r="P265" i="1"/>
  <c r="N265" i="1"/>
  <c r="BO265" i="1"/>
  <c r="BN265" i="1"/>
  <c r="DG264" i="1"/>
  <c r="DA264" i="1"/>
  <c r="T264" i="1"/>
  <c r="S264" i="1"/>
  <c r="Q264" i="1"/>
  <c r="P264" i="1"/>
  <c r="N264" i="1"/>
  <c r="BO264" i="1"/>
  <c r="BN264" i="1"/>
  <c r="DG263" i="1"/>
  <c r="DA263" i="1"/>
  <c r="T263" i="1"/>
  <c r="S263" i="1"/>
  <c r="Q263" i="1"/>
  <c r="P263" i="1"/>
  <c r="N263" i="1"/>
  <c r="BO263" i="1"/>
  <c r="BN263" i="1"/>
  <c r="DG262" i="1"/>
  <c r="DA262" i="1"/>
  <c r="T262" i="1"/>
  <c r="S262" i="1"/>
  <c r="Q262" i="1"/>
  <c r="P262" i="1"/>
  <c r="N262" i="1"/>
  <c r="BO262" i="1"/>
  <c r="BN262" i="1"/>
  <c r="DG260" i="1"/>
  <c r="DA260" i="1"/>
  <c r="T260" i="1"/>
  <c r="S260" i="1"/>
  <c r="Q260" i="1"/>
  <c r="P260" i="1"/>
  <c r="N260" i="1"/>
  <c r="BO260" i="1"/>
  <c r="BN260" i="1"/>
  <c r="DG259" i="1"/>
  <c r="DA259" i="1"/>
  <c r="T259" i="1"/>
  <c r="S259" i="1"/>
  <c r="Q259" i="1"/>
  <c r="P259" i="1"/>
  <c r="N259" i="1"/>
  <c r="BO259" i="1"/>
  <c r="BN259" i="1"/>
  <c r="DG258" i="1"/>
  <c r="DA258" i="1"/>
  <c r="T258" i="1"/>
  <c r="S258" i="1"/>
  <c r="Q258" i="1"/>
  <c r="P258" i="1"/>
  <c r="N258" i="1"/>
  <c r="BO258" i="1"/>
  <c r="BN258" i="1"/>
  <c r="DG2616" i="1"/>
  <c r="DA2616" i="1"/>
  <c r="T2616" i="1"/>
  <c r="S2616" i="1"/>
  <c r="Q2616" i="1"/>
  <c r="P2616" i="1"/>
  <c r="N2616" i="1"/>
  <c r="BO2616" i="1"/>
  <c r="BN2616" i="1"/>
  <c r="DG255" i="1"/>
  <c r="DA255" i="1"/>
  <c r="T255" i="1"/>
  <c r="S255" i="1"/>
  <c r="Q255" i="1"/>
  <c r="P255" i="1"/>
  <c r="N255" i="1"/>
  <c r="BO255" i="1"/>
  <c r="BN255" i="1"/>
  <c r="DG254" i="1"/>
  <c r="DA254" i="1"/>
  <c r="T254" i="1"/>
  <c r="S254" i="1"/>
  <c r="Q254" i="1"/>
  <c r="P254" i="1"/>
  <c r="N254" i="1"/>
  <c r="BO254" i="1"/>
  <c r="BN254" i="1"/>
  <c r="DG256" i="1"/>
  <c r="DA256" i="1"/>
  <c r="T256" i="1"/>
  <c r="S256" i="1"/>
  <c r="Q256" i="1"/>
  <c r="P256" i="1"/>
  <c r="N256" i="1"/>
  <c r="BO256" i="1"/>
  <c r="BN256" i="1"/>
  <c r="DG272" i="1"/>
  <c r="DA272" i="1"/>
  <c r="T272" i="1"/>
  <c r="S272" i="1"/>
  <c r="Q272" i="1"/>
  <c r="P272" i="1"/>
  <c r="N272" i="1"/>
  <c r="BO272" i="1"/>
  <c r="BN272" i="1"/>
  <c r="DG281" i="1"/>
  <c r="DA281" i="1"/>
  <c r="T281" i="1"/>
  <c r="S281" i="1"/>
  <c r="Q281" i="1"/>
  <c r="P281" i="1"/>
  <c r="N281" i="1"/>
  <c r="BO281" i="1"/>
  <c r="BN281" i="1"/>
  <c r="DG283" i="1"/>
  <c r="DA283" i="1"/>
  <c r="T283" i="1"/>
  <c r="S283" i="1"/>
  <c r="Q283" i="1"/>
  <c r="P283" i="1"/>
  <c r="N283" i="1"/>
  <c r="BO283" i="1"/>
  <c r="BN283" i="1"/>
  <c r="DG282" i="1"/>
  <c r="DA282" i="1"/>
  <c r="T282" i="1"/>
  <c r="S282" i="1"/>
  <c r="Q282" i="1"/>
  <c r="P282" i="1"/>
  <c r="N282" i="1"/>
  <c r="BO282" i="1"/>
  <c r="BN282" i="1"/>
  <c r="DG308" i="1"/>
  <c r="DA308" i="1"/>
  <c r="T308" i="1"/>
  <c r="S308" i="1"/>
  <c r="Q308" i="1"/>
  <c r="P308" i="1"/>
  <c r="N308" i="1"/>
  <c r="BO308" i="1"/>
  <c r="BN308" i="1"/>
  <c r="DG306" i="1"/>
  <c r="DA306" i="1"/>
  <c r="T306" i="1"/>
  <c r="S306" i="1"/>
  <c r="Q306" i="1"/>
  <c r="P306" i="1"/>
  <c r="N306" i="1"/>
  <c r="BO306" i="1"/>
  <c r="BN306" i="1"/>
  <c r="DG307" i="1"/>
  <c r="DA307" i="1"/>
  <c r="T307" i="1"/>
  <c r="S307" i="1"/>
  <c r="Q307" i="1"/>
  <c r="P307" i="1"/>
  <c r="N307" i="1"/>
  <c r="BO307" i="1"/>
  <c r="BN307" i="1"/>
  <c r="DG304" i="1"/>
  <c r="DA304" i="1"/>
  <c r="T304" i="1"/>
  <c r="S304" i="1"/>
  <c r="Q304" i="1"/>
  <c r="P304" i="1"/>
  <c r="N304" i="1"/>
  <c r="BO304" i="1"/>
  <c r="BN304" i="1"/>
  <c r="DG305" i="1"/>
  <c r="DA305" i="1"/>
  <c r="T305" i="1"/>
  <c r="S305" i="1"/>
  <c r="Q305" i="1"/>
  <c r="P305" i="1"/>
  <c r="N305" i="1"/>
  <c r="BO305" i="1"/>
  <c r="BN305" i="1"/>
  <c r="DG301" i="1"/>
  <c r="DA301" i="1"/>
  <c r="T301" i="1"/>
  <c r="S301" i="1"/>
  <c r="Q301" i="1"/>
  <c r="P301" i="1"/>
  <c r="N301" i="1"/>
  <c r="BO301" i="1"/>
  <c r="BN301" i="1"/>
  <c r="DG298" i="1"/>
  <c r="DA298" i="1"/>
  <c r="T298" i="1"/>
  <c r="S298" i="1"/>
  <c r="Q298" i="1"/>
  <c r="P298" i="1"/>
  <c r="N298" i="1"/>
  <c r="BO298" i="1"/>
  <c r="BN298" i="1"/>
  <c r="DG302" i="1"/>
  <c r="DA302" i="1"/>
  <c r="T302" i="1"/>
  <c r="S302" i="1"/>
  <c r="Q302" i="1"/>
  <c r="P302" i="1"/>
  <c r="N302" i="1"/>
  <c r="BO302" i="1"/>
  <c r="BN302" i="1"/>
  <c r="DG2069" i="1"/>
  <c r="DA2069" i="1"/>
  <c r="T2069" i="1"/>
  <c r="S2069" i="1"/>
  <c r="Q2069" i="1"/>
  <c r="P2069" i="1"/>
  <c r="N2069" i="1"/>
  <c r="BO2069" i="1"/>
  <c r="BN2069" i="1"/>
  <c r="DG299" i="1"/>
  <c r="DA299" i="1"/>
  <c r="T299" i="1"/>
  <c r="S299" i="1"/>
  <c r="Q299" i="1"/>
  <c r="P299" i="1"/>
  <c r="N299" i="1"/>
  <c r="BO299" i="1"/>
  <c r="BN299" i="1"/>
  <c r="DG297" i="1"/>
  <c r="DA297" i="1"/>
  <c r="T297" i="1"/>
  <c r="S297" i="1"/>
  <c r="Q297" i="1"/>
  <c r="P297" i="1"/>
  <c r="N297" i="1"/>
  <c r="BO297" i="1"/>
  <c r="BN297" i="1"/>
  <c r="DG296" i="1"/>
  <c r="DA296" i="1"/>
  <c r="T296" i="1"/>
  <c r="S296" i="1"/>
  <c r="Q296" i="1"/>
  <c r="P296" i="1"/>
  <c r="N296" i="1"/>
  <c r="BO296" i="1"/>
  <c r="BN296" i="1"/>
  <c r="DG295" i="1"/>
  <c r="DA295" i="1"/>
  <c r="T295" i="1"/>
  <c r="S295" i="1"/>
  <c r="Q295" i="1"/>
  <c r="P295" i="1"/>
  <c r="N295" i="1"/>
  <c r="BO295" i="1"/>
  <c r="BN295" i="1"/>
  <c r="DG294" i="1"/>
  <c r="DA294" i="1"/>
  <c r="T294" i="1"/>
  <c r="S294" i="1"/>
  <c r="Q294" i="1"/>
  <c r="P294" i="1"/>
  <c r="N294" i="1"/>
  <c r="BO294" i="1"/>
  <c r="BN294" i="1"/>
  <c r="DG293" i="1"/>
  <c r="DA293" i="1"/>
  <c r="T293" i="1"/>
  <c r="S293" i="1"/>
  <c r="Q293" i="1"/>
  <c r="P293" i="1"/>
  <c r="N293" i="1"/>
  <c r="BO293" i="1"/>
  <c r="BN293" i="1"/>
  <c r="DG292" i="1"/>
  <c r="DA292" i="1"/>
  <c r="T292" i="1"/>
  <c r="S292" i="1"/>
  <c r="Q292" i="1"/>
  <c r="P292" i="1"/>
  <c r="N292" i="1"/>
  <c r="BO292" i="1"/>
  <c r="BN292" i="1"/>
  <c r="DG2061" i="1"/>
  <c r="DA2061" i="1"/>
  <c r="T2061" i="1"/>
  <c r="S2061" i="1"/>
  <c r="Q2061" i="1"/>
  <c r="P2061" i="1"/>
  <c r="N2061" i="1"/>
  <c r="BO2061" i="1"/>
  <c r="BN2061" i="1"/>
  <c r="DG290" i="1"/>
  <c r="DA290" i="1"/>
  <c r="T290" i="1"/>
  <c r="S290" i="1"/>
  <c r="Q290" i="1"/>
  <c r="P290" i="1"/>
  <c r="N290" i="1"/>
  <c r="BO290" i="1"/>
  <c r="BN290" i="1"/>
  <c r="DG289" i="1"/>
  <c r="DA289" i="1"/>
  <c r="T289" i="1"/>
  <c r="S289" i="1"/>
  <c r="Q289" i="1"/>
  <c r="P289" i="1"/>
  <c r="N289" i="1"/>
  <c r="BO289" i="1"/>
  <c r="BN289" i="1"/>
  <c r="DG286" i="1"/>
  <c r="DA286" i="1"/>
  <c r="T286" i="1"/>
  <c r="S286" i="1"/>
  <c r="Q286" i="1"/>
  <c r="P286" i="1"/>
  <c r="N286" i="1"/>
  <c r="BO286" i="1"/>
  <c r="BN286" i="1"/>
  <c r="DG285" i="1"/>
  <c r="DA285" i="1"/>
  <c r="T285" i="1"/>
  <c r="S285" i="1"/>
  <c r="Q285" i="1"/>
  <c r="P285" i="1"/>
  <c r="N285" i="1"/>
  <c r="BO285" i="1"/>
  <c r="BN285" i="1"/>
  <c r="DG303" i="1"/>
  <c r="DA303" i="1"/>
  <c r="T303" i="1"/>
  <c r="S303" i="1"/>
  <c r="Q303" i="1"/>
  <c r="P303" i="1"/>
  <c r="N303" i="1"/>
  <c r="BO303" i="1"/>
  <c r="BN303" i="1"/>
  <c r="DG284" i="1"/>
  <c r="DA284" i="1"/>
  <c r="T284" i="1"/>
  <c r="S284" i="1"/>
  <c r="Q284" i="1"/>
  <c r="P284" i="1"/>
  <c r="N284" i="1"/>
  <c r="BO284" i="1"/>
  <c r="BN284" i="1"/>
  <c r="DG288" i="1"/>
  <c r="DA288" i="1"/>
  <c r="T288" i="1"/>
  <c r="S288" i="1"/>
  <c r="Q288" i="1"/>
  <c r="P288" i="1"/>
  <c r="N288" i="1"/>
  <c r="BO288" i="1"/>
  <c r="BN288" i="1"/>
  <c r="DG2053" i="1"/>
  <c r="DA2053" i="1"/>
  <c r="T2053" i="1"/>
  <c r="S2053" i="1"/>
  <c r="Q2053" i="1"/>
  <c r="P2053" i="1"/>
  <c r="N2053" i="1"/>
  <c r="BO2053" i="1"/>
  <c r="BN2053" i="1"/>
  <c r="DG313" i="1"/>
  <c r="DA313" i="1"/>
  <c r="T313" i="1"/>
  <c r="S313" i="1"/>
  <c r="Q313" i="1"/>
  <c r="P313" i="1"/>
  <c r="N313" i="1"/>
  <c r="BO313" i="1"/>
  <c r="BN313" i="1"/>
  <c r="DG311" i="1"/>
  <c r="DA311" i="1"/>
  <c r="T311" i="1"/>
  <c r="S311" i="1"/>
  <c r="Q311" i="1"/>
  <c r="P311" i="1"/>
  <c r="N311" i="1"/>
  <c r="BO311" i="1"/>
  <c r="BN311" i="1"/>
  <c r="DG310" i="1"/>
  <c r="DA310" i="1"/>
  <c r="T310" i="1"/>
  <c r="S310" i="1"/>
  <c r="Q310" i="1"/>
  <c r="P310" i="1"/>
  <c r="N310" i="1"/>
  <c r="BO310" i="1"/>
  <c r="BN310" i="1"/>
  <c r="DG314" i="1"/>
  <c r="DA314" i="1"/>
  <c r="T314" i="1"/>
  <c r="S314" i="1"/>
  <c r="Q314" i="1"/>
  <c r="P314" i="1"/>
  <c r="N314" i="1"/>
  <c r="BO314" i="1"/>
  <c r="BN314" i="1"/>
  <c r="DG309" i="1"/>
  <c r="DA309" i="1"/>
  <c r="T309" i="1"/>
  <c r="S309" i="1"/>
  <c r="Q309" i="1"/>
  <c r="P309" i="1"/>
  <c r="N309" i="1"/>
  <c r="BO309" i="1"/>
  <c r="BN309" i="1"/>
  <c r="DG312" i="1"/>
  <c r="DA312" i="1"/>
  <c r="T312" i="1"/>
  <c r="S312" i="1"/>
  <c r="Q312" i="1"/>
  <c r="P312" i="1"/>
  <c r="N312" i="1"/>
  <c r="BO312" i="1"/>
  <c r="BN312" i="1"/>
  <c r="DG315" i="1"/>
  <c r="DA315" i="1"/>
  <c r="T315" i="1"/>
  <c r="S315" i="1"/>
  <c r="Q315" i="1"/>
  <c r="P315" i="1"/>
  <c r="N315" i="1"/>
  <c r="BO315" i="1"/>
  <c r="BN315" i="1"/>
  <c r="DG341" i="1"/>
  <c r="DA341" i="1"/>
  <c r="T341" i="1"/>
  <c r="S341" i="1"/>
  <c r="Q341" i="1"/>
  <c r="P341" i="1"/>
  <c r="N341" i="1"/>
  <c r="BO341" i="1"/>
  <c r="BN341" i="1"/>
  <c r="DG340" i="1"/>
  <c r="DA340" i="1"/>
  <c r="T340" i="1"/>
  <c r="S340" i="1"/>
  <c r="Q340" i="1"/>
  <c r="P340" i="1"/>
  <c r="N340" i="1"/>
  <c r="BO340" i="1"/>
  <c r="BN340" i="1"/>
  <c r="DG343" i="1"/>
  <c r="DA343" i="1"/>
  <c r="T343" i="1"/>
  <c r="S343" i="1"/>
  <c r="Q343" i="1"/>
  <c r="P343" i="1"/>
  <c r="N343" i="1"/>
  <c r="BO343" i="1"/>
  <c r="BN343" i="1"/>
  <c r="DG337" i="1"/>
  <c r="DA337" i="1"/>
  <c r="T337" i="1"/>
  <c r="S337" i="1"/>
  <c r="Q337" i="1"/>
  <c r="P337" i="1"/>
  <c r="N337" i="1"/>
  <c r="BO337" i="1"/>
  <c r="BN337" i="1"/>
  <c r="DG336" i="1"/>
  <c r="DA336" i="1"/>
  <c r="T336" i="1"/>
  <c r="S336" i="1"/>
  <c r="Q336" i="1"/>
  <c r="P336" i="1"/>
  <c r="N336" i="1"/>
  <c r="BO336" i="1"/>
  <c r="BN336" i="1"/>
  <c r="DG335" i="1"/>
  <c r="DA335" i="1"/>
  <c r="T335" i="1"/>
  <c r="S335" i="1"/>
  <c r="Q335" i="1"/>
  <c r="P335" i="1"/>
  <c r="N335" i="1"/>
  <c r="BO335" i="1"/>
  <c r="BN335" i="1"/>
  <c r="DG334" i="1"/>
  <c r="DA334" i="1"/>
  <c r="T334" i="1"/>
  <c r="S334" i="1"/>
  <c r="Q334" i="1"/>
  <c r="P334" i="1"/>
  <c r="N334" i="1"/>
  <c r="BO334" i="1"/>
  <c r="BN334" i="1"/>
  <c r="DG333" i="1"/>
  <c r="DA333" i="1"/>
  <c r="T333" i="1"/>
  <c r="S333" i="1"/>
  <c r="Q333" i="1"/>
  <c r="P333" i="1"/>
  <c r="N333" i="1"/>
  <c r="BO333" i="1"/>
  <c r="BN333" i="1"/>
  <c r="DG2488" i="1"/>
  <c r="DA2488" i="1"/>
  <c r="T2488" i="1"/>
  <c r="S2488" i="1"/>
  <c r="Q2488" i="1"/>
  <c r="P2488" i="1"/>
  <c r="N2488" i="1"/>
  <c r="BO2488" i="1"/>
  <c r="BN2488" i="1"/>
  <c r="DG332" i="1"/>
  <c r="DA332" i="1"/>
  <c r="T332" i="1"/>
  <c r="S332" i="1"/>
  <c r="Q332" i="1"/>
  <c r="P332" i="1"/>
  <c r="N332" i="1"/>
  <c r="BO332" i="1"/>
  <c r="BN332" i="1"/>
  <c r="DG331" i="1"/>
  <c r="DA331" i="1"/>
  <c r="T331" i="1"/>
  <c r="S331" i="1"/>
  <c r="Q331" i="1"/>
  <c r="P331" i="1"/>
  <c r="N331" i="1"/>
  <c r="BO331" i="1"/>
  <c r="BN331" i="1"/>
  <c r="DG339" i="1"/>
  <c r="DA339" i="1"/>
  <c r="T339" i="1"/>
  <c r="S339" i="1"/>
  <c r="Q339" i="1"/>
  <c r="P339" i="1"/>
  <c r="N339" i="1"/>
  <c r="BO339" i="1"/>
  <c r="BN339" i="1"/>
  <c r="DG2035" i="1"/>
  <c r="DA2035" i="1"/>
  <c r="T2035" i="1"/>
  <c r="S2035" i="1"/>
  <c r="Q2035" i="1"/>
  <c r="P2035" i="1"/>
  <c r="N2035" i="1"/>
  <c r="BO2035" i="1"/>
  <c r="BN2035" i="1"/>
  <c r="DG344" i="1"/>
  <c r="DA344" i="1"/>
  <c r="T344" i="1"/>
  <c r="S344" i="1"/>
  <c r="Q344" i="1"/>
  <c r="P344" i="1"/>
  <c r="N344" i="1"/>
  <c r="BO344" i="1"/>
  <c r="BN344" i="1"/>
  <c r="DG2438" i="1"/>
  <c r="DA2438" i="1"/>
  <c r="T2438" i="1"/>
  <c r="S2438" i="1"/>
  <c r="Q2438" i="1"/>
  <c r="P2438" i="1"/>
  <c r="N2438" i="1"/>
  <c r="BO2438" i="1"/>
  <c r="BN2438" i="1"/>
  <c r="DG2585" i="1"/>
  <c r="DA2585" i="1"/>
  <c r="T2585" i="1"/>
  <c r="S2585" i="1"/>
  <c r="Q2585" i="1"/>
  <c r="P2585" i="1"/>
  <c r="N2585" i="1"/>
  <c r="BO2585" i="1"/>
  <c r="BN2585" i="1"/>
  <c r="DG2014" i="1"/>
  <c r="DA2014" i="1"/>
  <c r="T2014" i="1"/>
  <c r="S2014" i="1"/>
  <c r="Q2014" i="1"/>
  <c r="P2014" i="1"/>
  <c r="N2014" i="1"/>
  <c r="BO2014" i="1"/>
  <c r="BN2014" i="1"/>
  <c r="DG3072" i="1"/>
  <c r="DA3072" i="1"/>
  <c r="T3072" i="1"/>
  <c r="S3072" i="1"/>
  <c r="Q3072" i="1"/>
  <c r="P3072" i="1"/>
  <c r="N3072" i="1"/>
  <c r="BO3072" i="1"/>
  <c r="BN3072" i="1"/>
  <c r="DG3075" i="1"/>
  <c r="DA3075" i="1"/>
  <c r="T3075" i="1"/>
  <c r="S3075" i="1"/>
  <c r="Q3075" i="1"/>
  <c r="P3075" i="1"/>
  <c r="N3075" i="1"/>
  <c r="BO3075" i="1"/>
  <c r="BN3075" i="1"/>
  <c r="DG1985" i="1"/>
  <c r="DA1985" i="1"/>
  <c r="T1985" i="1"/>
  <c r="S1985" i="1"/>
  <c r="Q1985" i="1"/>
  <c r="P1985" i="1"/>
  <c r="N1985" i="1"/>
  <c r="BO1985" i="1"/>
  <c r="BN1985" i="1"/>
  <c r="DG1965" i="1"/>
  <c r="DA1965" i="1"/>
  <c r="T1965" i="1"/>
  <c r="S1965" i="1"/>
  <c r="Q1965" i="1"/>
  <c r="P1965" i="1"/>
  <c r="N1965" i="1"/>
  <c r="BO1965" i="1"/>
  <c r="BN1965" i="1"/>
  <c r="DG3083" i="1"/>
  <c r="DA3083" i="1"/>
  <c r="T3083" i="1"/>
  <c r="S3083" i="1"/>
  <c r="Q3083" i="1"/>
  <c r="P3083" i="1"/>
  <c r="N3083" i="1"/>
  <c r="BO3083" i="1"/>
  <c r="BN3083" i="1"/>
  <c r="DG2551" i="1"/>
  <c r="DA2551" i="1"/>
  <c r="T2551" i="1"/>
  <c r="S2551" i="1"/>
  <c r="Q2551" i="1"/>
  <c r="P2551" i="1"/>
  <c r="N2551" i="1"/>
  <c r="BO2551" i="1"/>
  <c r="BN2551" i="1"/>
  <c r="DG358" i="1"/>
  <c r="DA358" i="1"/>
  <c r="T358" i="1"/>
  <c r="S358" i="1"/>
  <c r="Q358" i="1"/>
  <c r="P358" i="1"/>
  <c r="N358" i="1"/>
  <c r="BO358" i="1"/>
  <c r="BN358" i="1"/>
  <c r="DG2547" i="1"/>
  <c r="DA2547" i="1"/>
  <c r="T2547" i="1"/>
  <c r="S2547" i="1"/>
  <c r="Q2547" i="1"/>
  <c r="P2547" i="1"/>
  <c r="N2547" i="1"/>
  <c r="BO2547" i="1"/>
  <c r="BN2547" i="1"/>
  <c r="DG357" i="1"/>
  <c r="DA357" i="1"/>
  <c r="T357" i="1"/>
  <c r="S357" i="1"/>
  <c r="Q357" i="1"/>
  <c r="P357" i="1"/>
  <c r="N357" i="1"/>
  <c r="BO357" i="1"/>
  <c r="BN357" i="1"/>
  <c r="DG355" i="1"/>
  <c r="DA355" i="1"/>
  <c r="T355" i="1"/>
  <c r="S355" i="1"/>
  <c r="Q355" i="1"/>
  <c r="P355" i="1"/>
  <c r="N355" i="1"/>
  <c r="BO355" i="1"/>
  <c r="BN355" i="1"/>
  <c r="DG354" i="1"/>
  <c r="DA354" i="1"/>
  <c r="T354" i="1"/>
  <c r="S354" i="1"/>
  <c r="Q354" i="1"/>
  <c r="P354" i="1"/>
  <c r="N354" i="1"/>
  <c r="BO354" i="1"/>
  <c r="BN354" i="1"/>
  <c r="DG353" i="1"/>
  <c r="DA353" i="1"/>
  <c r="T353" i="1"/>
  <c r="S353" i="1"/>
  <c r="Q353" i="1"/>
  <c r="P353" i="1"/>
  <c r="N353" i="1"/>
  <c r="BO353" i="1"/>
  <c r="BN353" i="1"/>
  <c r="DG352" i="1"/>
  <c r="DA352" i="1"/>
  <c r="T352" i="1"/>
  <c r="S352" i="1"/>
  <c r="Q352" i="1"/>
  <c r="P352" i="1"/>
  <c r="N352" i="1"/>
  <c r="BO352" i="1"/>
  <c r="BN352" i="1"/>
  <c r="DG351" i="1"/>
  <c r="DA351" i="1"/>
  <c r="T351" i="1"/>
  <c r="S351" i="1"/>
  <c r="Q351" i="1"/>
  <c r="P351" i="1"/>
  <c r="N351" i="1"/>
  <c r="BO351" i="1"/>
  <c r="BN351" i="1"/>
  <c r="DG350" i="1"/>
  <c r="DA350" i="1"/>
  <c r="T350" i="1"/>
  <c r="S350" i="1"/>
  <c r="Q350" i="1"/>
  <c r="P350" i="1"/>
  <c r="N350" i="1"/>
  <c r="BO350" i="1"/>
  <c r="BN350" i="1"/>
  <c r="DG349" i="1"/>
  <c r="DA349" i="1"/>
  <c r="T349" i="1"/>
  <c r="S349" i="1"/>
  <c r="Q349" i="1"/>
  <c r="P349" i="1"/>
  <c r="N349" i="1"/>
  <c r="BO349" i="1"/>
  <c r="BN349" i="1"/>
  <c r="DG362" i="1"/>
  <c r="DA362" i="1"/>
  <c r="T362" i="1"/>
  <c r="S362" i="1"/>
  <c r="Q362" i="1"/>
  <c r="P362" i="1"/>
  <c r="N362" i="1"/>
  <c r="BO362" i="1"/>
  <c r="BN362" i="1"/>
  <c r="DG348" i="1"/>
  <c r="DA348" i="1"/>
  <c r="T348" i="1"/>
  <c r="S348" i="1"/>
  <c r="Q348" i="1"/>
  <c r="P348" i="1"/>
  <c r="N348" i="1"/>
  <c r="BO348" i="1"/>
  <c r="BN348" i="1"/>
  <c r="DG347" i="1"/>
  <c r="DA347" i="1"/>
  <c r="T347" i="1"/>
  <c r="S347" i="1"/>
  <c r="Q347" i="1"/>
  <c r="P347" i="1"/>
  <c r="N347" i="1"/>
  <c r="BO347" i="1"/>
  <c r="BN347" i="1"/>
  <c r="DG346" i="1"/>
  <c r="DA346" i="1"/>
  <c r="T346" i="1"/>
  <c r="S346" i="1"/>
  <c r="Q346" i="1"/>
  <c r="P346" i="1"/>
  <c r="N346" i="1"/>
  <c r="BO346" i="1"/>
  <c r="BN346" i="1"/>
  <c r="DG361" i="1"/>
  <c r="DA361" i="1"/>
  <c r="T361" i="1"/>
  <c r="S361" i="1"/>
  <c r="Q361" i="1"/>
  <c r="P361" i="1"/>
  <c r="N361" i="1"/>
  <c r="BO361" i="1"/>
  <c r="BN361" i="1"/>
  <c r="DG356" i="1"/>
  <c r="DA356" i="1"/>
  <c r="T356" i="1"/>
  <c r="S356" i="1"/>
  <c r="Q356" i="1"/>
  <c r="P356" i="1"/>
  <c r="N356" i="1"/>
  <c r="BO356" i="1"/>
  <c r="BN356" i="1"/>
  <c r="DG360" i="1"/>
  <c r="DA360" i="1"/>
  <c r="T360" i="1"/>
  <c r="S360" i="1"/>
  <c r="Q360" i="1"/>
  <c r="P360" i="1"/>
  <c r="N360" i="1"/>
  <c r="BO360" i="1"/>
  <c r="BN360" i="1"/>
  <c r="DG1929" i="1"/>
  <c r="DA1929" i="1"/>
  <c r="T1929" i="1"/>
  <c r="S1929" i="1"/>
  <c r="Q1929" i="1"/>
  <c r="P1929" i="1"/>
  <c r="N1929" i="1"/>
  <c r="BO1929" i="1"/>
  <c r="BN1929" i="1"/>
  <c r="DG363" i="1"/>
  <c r="DA363" i="1"/>
  <c r="T363" i="1"/>
  <c r="S363" i="1"/>
  <c r="Q363" i="1"/>
  <c r="P363" i="1"/>
  <c r="N363" i="1"/>
  <c r="BO363" i="1"/>
  <c r="BN363" i="1"/>
  <c r="DG364" i="1"/>
  <c r="DA364" i="1"/>
  <c r="T364" i="1"/>
  <c r="S364" i="1"/>
  <c r="Q364" i="1"/>
  <c r="P364" i="1"/>
  <c r="N364" i="1"/>
  <c r="BO364" i="1"/>
  <c r="BN364" i="1"/>
  <c r="DG369" i="1"/>
  <c r="DA369" i="1"/>
  <c r="T369" i="1"/>
  <c r="S369" i="1"/>
  <c r="Q369" i="1"/>
  <c r="P369" i="1"/>
  <c r="N369" i="1"/>
  <c r="BO369" i="1"/>
  <c r="BN369" i="1"/>
  <c r="DG365" i="1"/>
  <c r="DA365" i="1"/>
  <c r="T365" i="1"/>
  <c r="S365" i="1"/>
  <c r="Q365" i="1"/>
  <c r="P365" i="1"/>
  <c r="N365" i="1"/>
  <c r="BO365" i="1"/>
  <c r="BN365" i="1"/>
  <c r="DG368" i="1"/>
  <c r="DA368" i="1"/>
  <c r="T368" i="1"/>
  <c r="S368" i="1"/>
  <c r="Q368" i="1"/>
  <c r="P368" i="1"/>
  <c r="N368" i="1"/>
  <c r="BO368" i="1"/>
  <c r="BN368" i="1"/>
  <c r="DG366" i="1"/>
  <c r="DA366" i="1"/>
  <c r="T366" i="1"/>
  <c r="S366" i="1"/>
  <c r="Q366" i="1"/>
  <c r="P366" i="1"/>
  <c r="N366" i="1"/>
  <c r="BO366" i="1"/>
  <c r="BN366" i="1"/>
  <c r="DG367" i="1"/>
  <c r="DA367" i="1"/>
  <c r="T367" i="1"/>
  <c r="S367" i="1"/>
  <c r="Q367" i="1"/>
  <c r="P367" i="1"/>
  <c r="N367" i="1"/>
  <c r="BO367" i="1"/>
  <c r="BN367" i="1"/>
  <c r="DG1921" i="1"/>
  <c r="DA1921" i="1"/>
  <c r="T1921" i="1"/>
  <c r="S1921" i="1"/>
  <c r="Q1921" i="1"/>
  <c r="P1921" i="1"/>
  <c r="N1921" i="1"/>
  <c r="BO1921" i="1"/>
  <c r="BN1921" i="1"/>
  <c r="DG434" i="1"/>
  <c r="DA434" i="1"/>
  <c r="T434" i="1"/>
  <c r="S434" i="1"/>
  <c r="Q434" i="1"/>
  <c r="P434" i="1"/>
  <c r="N434" i="1"/>
  <c r="BO434" i="1"/>
  <c r="BN434" i="1"/>
  <c r="DG433" i="1"/>
  <c r="DA433" i="1"/>
  <c r="T433" i="1"/>
  <c r="S433" i="1"/>
  <c r="Q433" i="1"/>
  <c r="P433" i="1"/>
  <c r="N433" i="1"/>
  <c r="BO433" i="1"/>
  <c r="BN433" i="1"/>
  <c r="DG432" i="1"/>
  <c r="DA432" i="1"/>
  <c r="T432" i="1"/>
  <c r="S432" i="1"/>
  <c r="Q432" i="1"/>
  <c r="P432" i="1"/>
  <c r="N432" i="1"/>
  <c r="BO432" i="1"/>
  <c r="BN432" i="1"/>
  <c r="DG431" i="1"/>
  <c r="DA431" i="1"/>
  <c r="T431" i="1"/>
  <c r="S431" i="1"/>
  <c r="Q431" i="1"/>
  <c r="P431" i="1"/>
  <c r="N431" i="1"/>
  <c r="BO431" i="1"/>
  <c r="BN431" i="1"/>
  <c r="DG430" i="1"/>
  <c r="DA430" i="1"/>
  <c r="T430" i="1"/>
  <c r="S430" i="1"/>
  <c r="Q430" i="1"/>
  <c r="P430" i="1"/>
  <c r="N430" i="1"/>
  <c r="BO430" i="1"/>
  <c r="BN430" i="1"/>
  <c r="DG429" i="1"/>
  <c r="DA429" i="1"/>
  <c r="T429" i="1"/>
  <c r="S429" i="1"/>
  <c r="Q429" i="1"/>
  <c r="P429" i="1"/>
  <c r="N429" i="1"/>
  <c r="BO429" i="1"/>
  <c r="BN429" i="1"/>
  <c r="DG428" i="1"/>
  <c r="DA428" i="1"/>
  <c r="T428" i="1"/>
  <c r="S428" i="1"/>
  <c r="Q428" i="1"/>
  <c r="P428" i="1"/>
  <c r="N428" i="1"/>
  <c r="BO428" i="1"/>
  <c r="BN428" i="1"/>
  <c r="DG2941" i="1"/>
  <c r="DA2941" i="1"/>
  <c r="T2941" i="1"/>
  <c r="S2941" i="1"/>
  <c r="Q2941" i="1"/>
  <c r="P2941" i="1"/>
  <c r="N2941" i="1"/>
  <c r="BO2941" i="1"/>
  <c r="BN2941" i="1"/>
  <c r="DG426" i="1"/>
  <c r="DA426" i="1"/>
  <c r="T426" i="1"/>
  <c r="S426" i="1"/>
  <c r="Q426" i="1"/>
  <c r="P426" i="1"/>
  <c r="N426" i="1"/>
  <c r="BO426" i="1"/>
  <c r="BN426" i="1"/>
  <c r="DG425" i="1"/>
  <c r="DA425" i="1"/>
  <c r="T425" i="1"/>
  <c r="S425" i="1"/>
  <c r="Q425" i="1"/>
  <c r="P425" i="1"/>
  <c r="N425" i="1"/>
  <c r="BO425" i="1"/>
  <c r="BN425" i="1"/>
  <c r="DG424" i="1"/>
  <c r="DA424" i="1"/>
  <c r="T424" i="1"/>
  <c r="S424" i="1"/>
  <c r="Q424" i="1"/>
  <c r="P424" i="1"/>
  <c r="N424" i="1"/>
  <c r="BO424" i="1"/>
  <c r="BN424" i="1"/>
  <c r="DG423" i="1"/>
  <c r="DA423" i="1"/>
  <c r="T423" i="1"/>
  <c r="S423" i="1"/>
  <c r="Q423" i="1"/>
  <c r="P423" i="1"/>
  <c r="N423" i="1"/>
  <c r="BO423" i="1"/>
  <c r="BN423" i="1"/>
  <c r="DG422" i="1"/>
  <c r="DA422" i="1"/>
  <c r="T422" i="1"/>
  <c r="S422" i="1"/>
  <c r="Q422" i="1"/>
  <c r="P422" i="1"/>
  <c r="N422" i="1"/>
  <c r="BO422" i="1"/>
  <c r="BN422" i="1"/>
  <c r="DG421" i="1"/>
  <c r="DA421" i="1"/>
  <c r="T421" i="1"/>
  <c r="S421" i="1"/>
  <c r="Q421" i="1"/>
  <c r="P421" i="1"/>
  <c r="N421" i="1"/>
  <c r="BO421" i="1"/>
  <c r="BN421" i="1"/>
  <c r="DG420" i="1"/>
  <c r="DA420" i="1"/>
  <c r="T420" i="1"/>
  <c r="S420" i="1"/>
  <c r="Q420" i="1"/>
  <c r="P420" i="1"/>
  <c r="N420" i="1"/>
  <c r="BO420" i="1"/>
  <c r="BN420" i="1"/>
  <c r="DG419" i="1"/>
  <c r="DA419" i="1"/>
  <c r="T419" i="1"/>
  <c r="S419" i="1"/>
  <c r="Q419" i="1"/>
  <c r="P419" i="1"/>
  <c r="N419" i="1"/>
  <c r="BO419" i="1"/>
  <c r="BN419" i="1"/>
  <c r="DG418" i="1"/>
  <c r="DA418" i="1"/>
  <c r="T418" i="1"/>
  <c r="S418" i="1"/>
  <c r="Q418" i="1"/>
  <c r="P418" i="1"/>
  <c r="N418" i="1"/>
  <c r="BO418" i="1"/>
  <c r="BN418" i="1"/>
  <c r="DG417" i="1"/>
  <c r="DA417" i="1"/>
  <c r="T417" i="1"/>
  <c r="S417" i="1"/>
  <c r="Q417" i="1"/>
  <c r="P417" i="1"/>
  <c r="N417" i="1"/>
  <c r="BO417" i="1"/>
  <c r="BN417" i="1"/>
  <c r="DG416" i="1"/>
  <c r="DA416" i="1"/>
  <c r="T416" i="1"/>
  <c r="S416" i="1"/>
  <c r="Q416" i="1"/>
  <c r="P416" i="1"/>
  <c r="N416" i="1"/>
  <c r="BO416" i="1"/>
  <c r="BN416" i="1"/>
  <c r="DG415" i="1"/>
  <c r="DA415" i="1"/>
  <c r="T415" i="1"/>
  <c r="S415" i="1"/>
  <c r="Q415" i="1"/>
  <c r="P415" i="1"/>
  <c r="N415" i="1"/>
  <c r="BO415" i="1"/>
  <c r="BN415" i="1"/>
  <c r="DG414" i="1"/>
  <c r="DA414" i="1"/>
  <c r="T414" i="1"/>
  <c r="S414" i="1"/>
  <c r="Q414" i="1"/>
  <c r="P414" i="1"/>
  <c r="N414" i="1"/>
  <c r="BO414" i="1"/>
  <c r="BN414" i="1"/>
  <c r="DG413" i="1"/>
  <c r="DA413" i="1"/>
  <c r="T413" i="1"/>
  <c r="S413" i="1"/>
  <c r="Q413" i="1"/>
  <c r="P413" i="1"/>
  <c r="N413" i="1"/>
  <c r="BO413" i="1"/>
  <c r="BN413" i="1"/>
  <c r="DG412" i="1"/>
  <c r="DA412" i="1"/>
  <c r="T412" i="1"/>
  <c r="S412" i="1"/>
  <c r="Q412" i="1"/>
  <c r="P412" i="1"/>
  <c r="N412" i="1"/>
  <c r="BO412" i="1"/>
  <c r="BN412" i="1"/>
  <c r="DG3102" i="1"/>
  <c r="DA3102" i="1"/>
  <c r="T3102" i="1"/>
  <c r="S3102" i="1"/>
  <c r="Q3102" i="1"/>
  <c r="P3102" i="1"/>
  <c r="N3102" i="1"/>
  <c r="BO3102" i="1"/>
  <c r="BN3102" i="1"/>
  <c r="DG410" i="1"/>
  <c r="DA410" i="1"/>
  <c r="T410" i="1"/>
  <c r="S410" i="1"/>
  <c r="Q410" i="1"/>
  <c r="P410" i="1"/>
  <c r="N410" i="1"/>
  <c r="BO410" i="1"/>
  <c r="BN410" i="1"/>
  <c r="DG3103" i="1"/>
  <c r="DA3103" i="1"/>
  <c r="T3103" i="1"/>
  <c r="S3103" i="1"/>
  <c r="Q3103" i="1"/>
  <c r="P3103" i="1"/>
  <c r="N3103" i="1"/>
  <c r="BO3103" i="1"/>
  <c r="BN3103" i="1"/>
  <c r="DG408" i="1"/>
  <c r="DA408" i="1"/>
  <c r="T408" i="1"/>
  <c r="S408" i="1"/>
  <c r="Q408" i="1"/>
  <c r="P408" i="1"/>
  <c r="N408" i="1"/>
  <c r="BO408" i="1"/>
  <c r="BN408" i="1"/>
  <c r="DG2440" i="1"/>
  <c r="DA2440" i="1"/>
  <c r="T2440" i="1"/>
  <c r="S2440" i="1"/>
  <c r="Q2440" i="1"/>
  <c r="P2440" i="1"/>
  <c r="N2440" i="1"/>
  <c r="BO2440" i="1"/>
  <c r="BN2440" i="1"/>
  <c r="DG406" i="1"/>
  <c r="DA406" i="1"/>
  <c r="T406" i="1"/>
  <c r="S406" i="1"/>
  <c r="Q406" i="1"/>
  <c r="P406" i="1"/>
  <c r="N406" i="1"/>
  <c r="BO406" i="1"/>
  <c r="BN406" i="1"/>
  <c r="DG405" i="1"/>
  <c r="DA405" i="1"/>
  <c r="T405" i="1"/>
  <c r="S405" i="1"/>
  <c r="Q405" i="1"/>
  <c r="P405" i="1"/>
  <c r="N405" i="1"/>
  <c r="BO405" i="1"/>
  <c r="BN405" i="1"/>
  <c r="DG404" i="1"/>
  <c r="DA404" i="1"/>
  <c r="T404" i="1"/>
  <c r="S404" i="1"/>
  <c r="Q404" i="1"/>
  <c r="P404" i="1"/>
  <c r="N404" i="1"/>
  <c r="BO404" i="1"/>
  <c r="BN404" i="1"/>
  <c r="DG2237" i="1"/>
  <c r="DA2237" i="1"/>
  <c r="T2237" i="1"/>
  <c r="S2237" i="1"/>
  <c r="Q2237" i="1"/>
  <c r="P2237" i="1"/>
  <c r="N2237" i="1"/>
  <c r="BO2237" i="1"/>
  <c r="BN2237" i="1"/>
  <c r="DG402" i="1"/>
  <c r="DA402" i="1"/>
  <c r="T402" i="1"/>
  <c r="S402" i="1"/>
  <c r="Q402" i="1"/>
  <c r="P402" i="1"/>
  <c r="N402" i="1"/>
  <c r="BO402" i="1"/>
  <c r="BN402" i="1"/>
  <c r="DG401" i="1"/>
  <c r="DA401" i="1"/>
  <c r="T401" i="1"/>
  <c r="S401" i="1"/>
  <c r="Q401" i="1"/>
  <c r="P401" i="1"/>
  <c r="N401" i="1"/>
  <c r="BO401" i="1"/>
  <c r="BN401" i="1"/>
  <c r="DG400" i="1"/>
  <c r="DA400" i="1"/>
  <c r="T400" i="1"/>
  <c r="S400" i="1"/>
  <c r="Q400" i="1"/>
  <c r="P400" i="1"/>
  <c r="N400" i="1"/>
  <c r="BO400" i="1"/>
  <c r="BN400" i="1"/>
  <c r="DG399" i="1"/>
  <c r="DA399" i="1"/>
  <c r="T399" i="1"/>
  <c r="S399" i="1"/>
  <c r="Q399" i="1"/>
  <c r="P399" i="1"/>
  <c r="N399" i="1"/>
  <c r="BO399" i="1"/>
  <c r="BN399" i="1"/>
  <c r="DG398" i="1"/>
  <c r="DA398" i="1"/>
  <c r="T398" i="1"/>
  <c r="S398" i="1"/>
  <c r="Q398" i="1"/>
  <c r="P398" i="1"/>
  <c r="N398" i="1"/>
  <c r="BO398" i="1"/>
  <c r="BN398" i="1"/>
  <c r="DG397" i="1"/>
  <c r="DA397" i="1"/>
  <c r="T397" i="1"/>
  <c r="S397" i="1"/>
  <c r="Q397" i="1"/>
  <c r="P397" i="1"/>
  <c r="N397" i="1"/>
  <c r="BO397" i="1"/>
  <c r="BN397" i="1"/>
  <c r="DG396" i="1"/>
  <c r="DA396" i="1"/>
  <c r="T396" i="1"/>
  <c r="S396" i="1"/>
  <c r="Q396" i="1"/>
  <c r="P396" i="1"/>
  <c r="N396" i="1"/>
  <c r="BO396" i="1"/>
  <c r="BN396" i="1"/>
  <c r="DG2502" i="1"/>
  <c r="DA2502" i="1"/>
  <c r="T2502" i="1"/>
  <c r="S2502" i="1"/>
  <c r="Q2502" i="1"/>
  <c r="P2502" i="1"/>
  <c r="N2502" i="1"/>
  <c r="BO2502" i="1"/>
  <c r="BN2502" i="1"/>
  <c r="DG394" i="1"/>
  <c r="DA394" i="1"/>
  <c r="T394" i="1"/>
  <c r="S394" i="1"/>
  <c r="Q394" i="1"/>
  <c r="P394" i="1"/>
  <c r="N394" i="1"/>
  <c r="BO394" i="1"/>
  <c r="BN394" i="1"/>
  <c r="DG393" i="1"/>
  <c r="DA393" i="1"/>
  <c r="T393" i="1"/>
  <c r="S393" i="1"/>
  <c r="Q393" i="1"/>
  <c r="P393" i="1"/>
  <c r="N393" i="1"/>
  <c r="BO393" i="1"/>
  <c r="BN393" i="1"/>
  <c r="DG392" i="1"/>
  <c r="DA392" i="1"/>
  <c r="T392" i="1"/>
  <c r="S392" i="1"/>
  <c r="Q392" i="1"/>
  <c r="P392" i="1"/>
  <c r="N392" i="1"/>
  <c r="BO392" i="1"/>
  <c r="BN392" i="1"/>
  <c r="DG2441" i="1"/>
  <c r="DA2441" i="1"/>
  <c r="T2441" i="1"/>
  <c r="S2441" i="1"/>
  <c r="Q2441" i="1"/>
  <c r="P2441" i="1"/>
  <c r="N2441" i="1"/>
  <c r="BO2441" i="1"/>
  <c r="BN2441" i="1"/>
  <c r="DG390" i="1"/>
  <c r="DA390" i="1"/>
  <c r="T390" i="1"/>
  <c r="S390" i="1"/>
  <c r="Q390" i="1"/>
  <c r="P390" i="1"/>
  <c r="N390" i="1"/>
  <c r="BO390" i="1"/>
  <c r="BN390" i="1"/>
  <c r="DG388" i="1"/>
  <c r="DA388" i="1"/>
  <c r="T388" i="1"/>
  <c r="S388" i="1"/>
  <c r="Q388" i="1"/>
  <c r="P388" i="1"/>
  <c r="N388" i="1"/>
  <c r="BO388" i="1"/>
  <c r="BN388" i="1"/>
  <c r="DG387" i="1"/>
  <c r="DA387" i="1"/>
  <c r="T387" i="1"/>
  <c r="S387" i="1"/>
  <c r="Q387" i="1"/>
  <c r="P387" i="1"/>
  <c r="N387" i="1"/>
  <c r="BO387" i="1"/>
  <c r="BN387" i="1"/>
  <c r="DG1938" i="1"/>
  <c r="DA1938" i="1"/>
  <c r="T1938" i="1"/>
  <c r="S1938" i="1"/>
  <c r="Q1938" i="1"/>
  <c r="P1938" i="1"/>
  <c r="N1938" i="1"/>
  <c r="BO1938" i="1"/>
  <c r="BN1938" i="1"/>
  <c r="DG385" i="1"/>
  <c r="DA385" i="1"/>
  <c r="T385" i="1"/>
  <c r="S385" i="1"/>
  <c r="Q385" i="1"/>
  <c r="P385" i="1"/>
  <c r="N385" i="1"/>
  <c r="BO385" i="1"/>
  <c r="BN385" i="1"/>
  <c r="DG384" i="1"/>
  <c r="DA384" i="1"/>
  <c r="T384" i="1"/>
  <c r="S384" i="1"/>
  <c r="Q384" i="1"/>
  <c r="P384" i="1"/>
  <c r="N384" i="1"/>
  <c r="BO384" i="1"/>
  <c r="BN384" i="1"/>
  <c r="DG383" i="1"/>
  <c r="DA383" i="1"/>
  <c r="T383" i="1"/>
  <c r="S383" i="1"/>
  <c r="Q383" i="1"/>
  <c r="P383" i="1"/>
  <c r="N383" i="1"/>
  <c r="BO383" i="1"/>
  <c r="BN383" i="1"/>
  <c r="DG382" i="1"/>
  <c r="DA382" i="1"/>
  <c r="T382" i="1"/>
  <c r="S382" i="1"/>
  <c r="Q382" i="1"/>
  <c r="P382" i="1"/>
  <c r="N382" i="1"/>
  <c r="BO382" i="1"/>
  <c r="BN382" i="1"/>
  <c r="DG381" i="1"/>
  <c r="DA381" i="1"/>
  <c r="T381" i="1"/>
  <c r="S381" i="1"/>
  <c r="Q381" i="1"/>
  <c r="P381" i="1"/>
  <c r="N381" i="1"/>
  <c r="BO381" i="1"/>
  <c r="BN381" i="1"/>
  <c r="DG380" i="1"/>
  <c r="DA380" i="1"/>
  <c r="T380" i="1"/>
  <c r="S380" i="1"/>
  <c r="Q380" i="1"/>
  <c r="P380" i="1"/>
  <c r="N380" i="1"/>
  <c r="BO380" i="1"/>
  <c r="BN380" i="1"/>
  <c r="DG379" i="1"/>
  <c r="DA379" i="1"/>
  <c r="T379" i="1"/>
  <c r="S379" i="1"/>
  <c r="Q379" i="1"/>
  <c r="P379" i="1"/>
  <c r="N379" i="1"/>
  <c r="BO379" i="1"/>
  <c r="BN379" i="1"/>
  <c r="DG3016" i="1"/>
  <c r="DA3016" i="1"/>
  <c r="T3016" i="1"/>
  <c r="S3016" i="1"/>
  <c r="Q3016" i="1"/>
  <c r="P3016" i="1"/>
  <c r="N3016" i="1"/>
  <c r="BO3016" i="1"/>
  <c r="BN3016" i="1"/>
  <c r="DG377" i="1"/>
  <c r="DA377" i="1"/>
  <c r="T377" i="1"/>
  <c r="S377" i="1"/>
  <c r="Q377" i="1"/>
  <c r="P377" i="1"/>
  <c r="N377" i="1"/>
  <c r="BO377" i="1"/>
  <c r="BN377" i="1"/>
  <c r="DG376" i="1"/>
  <c r="DA376" i="1"/>
  <c r="T376" i="1"/>
  <c r="S376" i="1"/>
  <c r="Q376" i="1"/>
  <c r="P376" i="1"/>
  <c r="N376" i="1"/>
  <c r="BO376" i="1"/>
  <c r="BN376" i="1"/>
  <c r="DG375" i="1"/>
  <c r="DA375" i="1"/>
  <c r="T375" i="1"/>
  <c r="S375" i="1"/>
  <c r="Q375" i="1"/>
  <c r="P375" i="1"/>
  <c r="N375" i="1"/>
  <c r="BO375" i="1"/>
  <c r="BN375" i="1"/>
  <c r="DG374" i="1"/>
  <c r="DA374" i="1"/>
  <c r="T374" i="1"/>
  <c r="S374" i="1"/>
  <c r="Q374" i="1"/>
  <c r="P374" i="1"/>
  <c r="N374" i="1"/>
  <c r="BO374" i="1"/>
  <c r="BN374" i="1"/>
  <c r="DG373" i="1"/>
  <c r="DA373" i="1"/>
  <c r="T373" i="1"/>
  <c r="S373" i="1"/>
  <c r="Q373" i="1"/>
  <c r="P373" i="1"/>
  <c r="N373" i="1"/>
  <c r="BO373" i="1"/>
  <c r="BN373" i="1"/>
  <c r="DG371" i="1"/>
  <c r="DA371" i="1"/>
  <c r="T371" i="1"/>
  <c r="S371" i="1"/>
  <c r="Q371" i="1"/>
  <c r="P371" i="1"/>
  <c r="N371" i="1"/>
  <c r="BO371" i="1"/>
  <c r="BN371" i="1"/>
  <c r="DG372" i="1"/>
  <c r="DA372" i="1"/>
  <c r="T372" i="1"/>
  <c r="S372" i="1"/>
  <c r="Q372" i="1"/>
  <c r="P372" i="1"/>
  <c r="N372" i="1"/>
  <c r="BO372" i="1"/>
  <c r="BN372" i="1"/>
  <c r="DG3123" i="1"/>
  <c r="DA3123" i="1"/>
  <c r="T3123" i="1"/>
  <c r="S3123" i="1"/>
  <c r="Q3123" i="1"/>
  <c r="P3123" i="1"/>
  <c r="N3123" i="1"/>
  <c r="BO3123" i="1"/>
  <c r="BN3123" i="1"/>
  <c r="DG435" i="1"/>
  <c r="DA435" i="1"/>
  <c r="T435" i="1"/>
  <c r="S435" i="1"/>
  <c r="Q435" i="1"/>
  <c r="P435" i="1"/>
  <c r="N435" i="1"/>
  <c r="BO435" i="1"/>
  <c r="BN435" i="1"/>
  <c r="DG389" i="1"/>
  <c r="DA389" i="1"/>
  <c r="T389" i="1"/>
  <c r="S389" i="1"/>
  <c r="Q389" i="1"/>
  <c r="P389" i="1"/>
  <c r="N389" i="1"/>
  <c r="BO389" i="1"/>
  <c r="BN389" i="1"/>
  <c r="DG437" i="1"/>
  <c r="DA437" i="1"/>
  <c r="T437" i="1"/>
  <c r="S437" i="1"/>
  <c r="Q437" i="1"/>
  <c r="P437" i="1"/>
  <c r="N437" i="1"/>
  <c r="BO437" i="1"/>
  <c r="BN437" i="1"/>
  <c r="DG441" i="1"/>
  <c r="DA441" i="1"/>
  <c r="T441" i="1"/>
  <c r="S441" i="1"/>
  <c r="Q441" i="1"/>
  <c r="P441" i="1"/>
  <c r="N441" i="1"/>
  <c r="BO441" i="1"/>
  <c r="BN441" i="1"/>
  <c r="DG440" i="1"/>
  <c r="DA440" i="1"/>
  <c r="T440" i="1"/>
  <c r="S440" i="1"/>
  <c r="Q440" i="1"/>
  <c r="P440" i="1"/>
  <c r="N440" i="1"/>
  <c r="BO440" i="1"/>
  <c r="BN440" i="1"/>
  <c r="DG439" i="1"/>
  <c r="DA439" i="1"/>
  <c r="T439" i="1"/>
  <c r="S439" i="1"/>
  <c r="Q439" i="1"/>
  <c r="P439" i="1"/>
  <c r="N439" i="1"/>
  <c r="BO439" i="1"/>
  <c r="BN439" i="1"/>
  <c r="DG438" i="1"/>
  <c r="DA438" i="1"/>
  <c r="T438" i="1"/>
  <c r="S438" i="1"/>
  <c r="Q438" i="1"/>
  <c r="P438" i="1"/>
  <c r="N438" i="1"/>
  <c r="BO438" i="1"/>
  <c r="BN438" i="1"/>
  <c r="DG3128" i="1"/>
  <c r="DA3128" i="1"/>
  <c r="T3128" i="1"/>
  <c r="S3128" i="1"/>
  <c r="Q3128" i="1"/>
  <c r="P3128" i="1"/>
  <c r="N3128" i="1"/>
  <c r="BO3128" i="1"/>
  <c r="BN3128" i="1"/>
  <c r="DG449" i="1"/>
  <c r="DA449" i="1"/>
  <c r="T449" i="1"/>
  <c r="S449" i="1"/>
  <c r="Q449" i="1"/>
  <c r="P449" i="1"/>
  <c r="N449" i="1"/>
  <c r="BO449" i="1"/>
  <c r="BN449" i="1"/>
  <c r="DG448" i="1"/>
  <c r="DA448" i="1"/>
  <c r="T448" i="1"/>
  <c r="S448" i="1"/>
  <c r="Q448" i="1"/>
  <c r="P448" i="1"/>
  <c r="N448" i="1"/>
  <c r="BO448" i="1"/>
  <c r="BN448" i="1"/>
  <c r="DG451" i="1"/>
  <c r="DA451" i="1"/>
  <c r="T451" i="1"/>
  <c r="S451" i="1"/>
  <c r="Q451" i="1"/>
  <c r="P451" i="1"/>
  <c r="N451" i="1"/>
  <c r="BO451" i="1"/>
  <c r="BN451" i="1"/>
  <c r="DG446" i="1"/>
  <c r="DA446" i="1"/>
  <c r="T446" i="1"/>
  <c r="S446" i="1"/>
  <c r="Q446" i="1"/>
  <c r="P446" i="1"/>
  <c r="N446" i="1"/>
  <c r="BO446" i="1"/>
  <c r="BN446" i="1"/>
  <c r="DG445" i="1"/>
  <c r="DA445" i="1"/>
  <c r="T445" i="1"/>
  <c r="S445" i="1"/>
  <c r="Q445" i="1"/>
  <c r="P445" i="1"/>
  <c r="N445" i="1"/>
  <c r="BO445" i="1"/>
  <c r="BN445" i="1"/>
  <c r="DG444" i="1"/>
  <c r="DA444" i="1"/>
  <c r="T444" i="1"/>
  <c r="S444" i="1"/>
  <c r="Q444" i="1"/>
  <c r="P444" i="1"/>
  <c r="N444" i="1"/>
  <c r="BO444" i="1"/>
  <c r="BN444" i="1"/>
  <c r="DG450" i="1"/>
  <c r="DA450" i="1"/>
  <c r="T450" i="1"/>
  <c r="S450" i="1"/>
  <c r="Q450" i="1"/>
  <c r="P450" i="1"/>
  <c r="N450" i="1"/>
  <c r="BO450" i="1"/>
  <c r="BN450" i="1"/>
  <c r="DG442" i="1"/>
  <c r="DA442" i="1"/>
  <c r="T442" i="1"/>
  <c r="S442" i="1"/>
  <c r="Q442" i="1"/>
  <c r="P442" i="1"/>
  <c r="N442" i="1"/>
  <c r="BO442" i="1"/>
  <c r="BN442" i="1"/>
  <c r="DG447" i="1"/>
  <c r="DA447" i="1"/>
  <c r="T447" i="1"/>
  <c r="S447" i="1"/>
  <c r="Q447" i="1"/>
  <c r="P447" i="1"/>
  <c r="N447" i="1"/>
  <c r="BO447" i="1"/>
  <c r="BN447" i="1"/>
  <c r="DG443" i="1"/>
  <c r="DA443" i="1"/>
  <c r="T443" i="1"/>
  <c r="S443" i="1"/>
  <c r="Q443" i="1"/>
  <c r="P443" i="1"/>
  <c r="N443" i="1"/>
  <c r="BO443" i="1"/>
  <c r="BN443" i="1"/>
  <c r="DG453" i="1"/>
  <c r="DA453" i="1"/>
  <c r="T453" i="1"/>
  <c r="S453" i="1"/>
  <c r="Q453" i="1"/>
  <c r="P453" i="1"/>
  <c r="N453" i="1"/>
  <c r="BO453" i="1"/>
  <c r="BN453" i="1"/>
  <c r="DG454" i="1"/>
  <c r="DA454" i="1"/>
  <c r="T454" i="1"/>
  <c r="S454" i="1"/>
  <c r="Q454" i="1"/>
  <c r="P454" i="1"/>
  <c r="N454" i="1"/>
  <c r="BO454" i="1"/>
  <c r="BN454" i="1"/>
  <c r="DG455" i="1"/>
  <c r="DA455" i="1"/>
  <c r="T455" i="1"/>
  <c r="S455" i="1"/>
  <c r="Q455" i="1"/>
  <c r="P455" i="1"/>
  <c r="N455" i="1"/>
  <c r="BO455" i="1"/>
  <c r="BN455" i="1"/>
  <c r="DG456" i="1"/>
  <c r="DA456" i="1"/>
  <c r="T456" i="1"/>
  <c r="S456" i="1"/>
  <c r="Q456" i="1"/>
  <c r="P456" i="1"/>
  <c r="N456" i="1"/>
  <c r="BO456" i="1"/>
  <c r="BN456" i="1"/>
  <c r="DG459" i="1"/>
  <c r="DA459" i="1"/>
  <c r="T459" i="1"/>
  <c r="S459" i="1"/>
  <c r="Q459" i="1"/>
  <c r="P459" i="1"/>
  <c r="N459" i="1"/>
  <c r="BO459" i="1"/>
  <c r="BN459" i="1"/>
  <c r="DG2434" i="1"/>
  <c r="DA2434" i="1"/>
  <c r="T2434" i="1"/>
  <c r="S2434" i="1"/>
  <c r="Q2434" i="1"/>
  <c r="P2434" i="1"/>
  <c r="N2434" i="1"/>
  <c r="BO2434" i="1"/>
  <c r="BN2434" i="1"/>
  <c r="DG457" i="1"/>
  <c r="DA457" i="1"/>
  <c r="T457" i="1"/>
  <c r="S457" i="1"/>
  <c r="Q457" i="1"/>
  <c r="P457" i="1"/>
  <c r="N457" i="1"/>
  <c r="BO457" i="1"/>
  <c r="BN457" i="1"/>
  <c r="DG460" i="1"/>
  <c r="DA460" i="1"/>
  <c r="T460" i="1"/>
  <c r="S460" i="1"/>
  <c r="Q460" i="1"/>
  <c r="P460" i="1"/>
  <c r="N460" i="1"/>
  <c r="BO460" i="1"/>
  <c r="BN460" i="1"/>
  <c r="DG461" i="1"/>
  <c r="DA461" i="1"/>
  <c r="T461" i="1"/>
  <c r="S461" i="1"/>
  <c r="Q461" i="1"/>
  <c r="P461" i="1"/>
  <c r="N461" i="1"/>
  <c r="BO461" i="1"/>
  <c r="BN461" i="1"/>
  <c r="DG2430" i="1"/>
  <c r="DA2430" i="1"/>
  <c r="T2430" i="1"/>
  <c r="S2430" i="1"/>
  <c r="Q2430" i="1"/>
  <c r="P2430" i="1"/>
  <c r="N2430" i="1"/>
  <c r="BO2430" i="1"/>
  <c r="BN2430" i="1"/>
  <c r="DG463" i="1"/>
  <c r="DA463" i="1"/>
  <c r="T463" i="1"/>
  <c r="S463" i="1"/>
  <c r="Q463" i="1"/>
  <c r="P463" i="1"/>
  <c r="N463" i="1"/>
  <c r="BO463" i="1"/>
  <c r="BN463" i="1"/>
  <c r="DG668" i="1"/>
  <c r="DA668" i="1"/>
  <c r="T668" i="1"/>
  <c r="S668" i="1"/>
  <c r="Q668" i="1"/>
  <c r="P668" i="1"/>
  <c r="N668" i="1"/>
  <c r="BO668" i="1"/>
  <c r="BN668" i="1"/>
  <c r="DG529" i="1"/>
  <c r="DA529" i="1"/>
  <c r="T529" i="1"/>
  <c r="S529" i="1"/>
  <c r="Q529" i="1"/>
  <c r="P529" i="1"/>
  <c r="N529" i="1"/>
  <c r="BO529" i="1"/>
  <c r="BN529" i="1"/>
  <c r="DG2248" i="1"/>
  <c r="DA2248" i="1"/>
  <c r="T2248" i="1"/>
  <c r="S2248" i="1"/>
  <c r="Q2248" i="1"/>
  <c r="P2248" i="1"/>
  <c r="N2248" i="1"/>
  <c r="BO2248" i="1"/>
  <c r="BN2248" i="1"/>
  <c r="DG648" i="1"/>
  <c r="DA648" i="1"/>
  <c r="T648" i="1"/>
  <c r="S648" i="1"/>
  <c r="Q648" i="1"/>
  <c r="P648" i="1"/>
  <c r="N648" i="1"/>
  <c r="BO648" i="1"/>
  <c r="BN648" i="1"/>
  <c r="DG655" i="1"/>
  <c r="DA655" i="1"/>
  <c r="T655" i="1"/>
  <c r="S655" i="1"/>
  <c r="Q655" i="1"/>
  <c r="P655" i="1"/>
  <c r="N655" i="1"/>
  <c r="BO655" i="1"/>
  <c r="BN655" i="1"/>
  <c r="DG664" i="1"/>
  <c r="DA664" i="1"/>
  <c r="T664" i="1"/>
  <c r="S664" i="1"/>
  <c r="Q664" i="1"/>
  <c r="P664" i="1"/>
  <c r="N664" i="1"/>
  <c r="BO664" i="1"/>
  <c r="BN664" i="1"/>
  <c r="DG661" i="1"/>
  <c r="DA661" i="1"/>
  <c r="T661" i="1"/>
  <c r="S661" i="1"/>
  <c r="Q661" i="1"/>
  <c r="P661" i="1"/>
  <c r="N661" i="1"/>
  <c r="BO661" i="1"/>
  <c r="BN661" i="1"/>
  <c r="DG3182" i="1"/>
  <c r="DA3182" i="1"/>
  <c r="T3182" i="1"/>
  <c r="S3182" i="1"/>
  <c r="Q3182" i="1"/>
  <c r="P3182" i="1"/>
  <c r="N3182" i="1"/>
  <c r="BO3182" i="1"/>
  <c r="BN3182" i="1"/>
  <c r="DG662" i="1"/>
  <c r="DA662" i="1"/>
  <c r="T662" i="1"/>
  <c r="S662" i="1"/>
  <c r="Q662" i="1"/>
  <c r="P662" i="1"/>
  <c r="N662" i="1"/>
  <c r="BO662" i="1"/>
  <c r="BN662" i="1"/>
  <c r="DG665" i="1"/>
  <c r="DA665" i="1"/>
  <c r="T665" i="1"/>
  <c r="S665" i="1"/>
  <c r="Q665" i="1"/>
  <c r="P665" i="1"/>
  <c r="N665" i="1"/>
  <c r="BO665" i="1"/>
  <c r="BN665" i="1"/>
  <c r="DG666" i="1"/>
  <c r="DA666" i="1"/>
  <c r="T666" i="1"/>
  <c r="S666" i="1"/>
  <c r="Q666" i="1"/>
  <c r="P666" i="1"/>
  <c r="N666" i="1"/>
  <c r="BO666" i="1"/>
  <c r="BN666" i="1"/>
  <c r="DG490" i="1"/>
  <c r="DA490" i="1"/>
  <c r="T490" i="1"/>
  <c r="S490" i="1"/>
  <c r="Q490" i="1"/>
  <c r="P490" i="1"/>
  <c r="N490" i="1"/>
  <c r="BO490" i="1"/>
  <c r="BN490" i="1"/>
  <c r="DG667" i="1"/>
  <c r="DA667" i="1"/>
  <c r="T667" i="1"/>
  <c r="S667" i="1"/>
  <c r="Q667" i="1"/>
  <c r="P667" i="1"/>
  <c r="N667" i="1"/>
  <c r="BO667" i="1"/>
  <c r="BN667" i="1"/>
  <c r="DG530" i="1"/>
  <c r="DA530" i="1"/>
  <c r="T530" i="1"/>
  <c r="S530" i="1"/>
  <c r="Q530" i="1"/>
  <c r="P530" i="1"/>
  <c r="N530" i="1"/>
  <c r="BO530" i="1"/>
  <c r="BN530" i="1"/>
  <c r="DG489" i="1"/>
  <c r="DA489" i="1"/>
  <c r="T489" i="1"/>
  <c r="S489" i="1"/>
  <c r="Q489" i="1"/>
  <c r="P489" i="1"/>
  <c r="N489" i="1"/>
  <c r="BO489" i="1"/>
  <c r="BN489" i="1"/>
  <c r="DG494" i="1"/>
  <c r="DA494" i="1"/>
  <c r="T494" i="1"/>
  <c r="S494" i="1"/>
  <c r="Q494" i="1"/>
  <c r="P494" i="1"/>
  <c r="N494" i="1"/>
  <c r="BO494" i="1"/>
  <c r="BN494" i="1"/>
  <c r="DG488" i="1"/>
  <c r="DA488" i="1"/>
  <c r="T488" i="1"/>
  <c r="S488" i="1"/>
  <c r="Q488" i="1"/>
  <c r="P488" i="1"/>
  <c r="N488" i="1"/>
  <c r="BO488" i="1"/>
  <c r="BN488" i="1"/>
  <c r="DG656" i="1"/>
  <c r="DA656" i="1"/>
  <c r="T656" i="1"/>
  <c r="S656" i="1"/>
  <c r="Q656" i="1"/>
  <c r="P656" i="1"/>
  <c r="N656" i="1"/>
  <c r="BO656" i="1"/>
  <c r="BN656" i="1"/>
  <c r="DG660" i="1"/>
  <c r="DA660" i="1"/>
  <c r="T660" i="1"/>
  <c r="S660" i="1"/>
  <c r="Q660" i="1"/>
  <c r="P660" i="1"/>
  <c r="N660" i="1"/>
  <c r="BO660" i="1"/>
  <c r="BN660" i="1"/>
  <c r="DG657" i="1"/>
  <c r="DA657" i="1"/>
  <c r="T657" i="1"/>
  <c r="S657" i="1"/>
  <c r="Q657" i="1"/>
  <c r="P657" i="1"/>
  <c r="N657" i="1"/>
  <c r="BO657" i="1"/>
  <c r="BN657" i="1"/>
  <c r="DG719" i="1"/>
  <c r="DA719" i="1"/>
  <c r="T719" i="1"/>
  <c r="S719" i="1"/>
  <c r="Q719" i="1"/>
  <c r="P719" i="1"/>
  <c r="N719" i="1"/>
  <c r="BO719" i="1"/>
  <c r="BN719" i="1"/>
  <c r="DG528" i="1"/>
  <c r="DA528" i="1"/>
  <c r="T528" i="1"/>
  <c r="S528" i="1"/>
  <c r="Q528" i="1"/>
  <c r="P528" i="1"/>
  <c r="N528" i="1"/>
  <c r="BO528" i="1"/>
  <c r="BN528" i="1"/>
  <c r="DG3162" i="1"/>
  <c r="DA3162" i="1"/>
  <c r="T3162" i="1"/>
  <c r="S3162" i="1"/>
  <c r="Q3162" i="1"/>
  <c r="P3162" i="1"/>
  <c r="N3162" i="1"/>
  <c r="BO3162" i="1"/>
  <c r="BN3162" i="1"/>
  <c r="DG663" i="1"/>
  <c r="DA663" i="1"/>
  <c r="T663" i="1"/>
  <c r="S663" i="1"/>
  <c r="Q663" i="1"/>
  <c r="P663" i="1"/>
  <c r="N663" i="1"/>
  <c r="BO663" i="1"/>
  <c r="BN663" i="1"/>
  <c r="DG486" i="1"/>
  <c r="DA486" i="1"/>
  <c r="T486" i="1"/>
  <c r="S486" i="1"/>
  <c r="Q486" i="1"/>
  <c r="P486" i="1"/>
  <c r="N486" i="1"/>
  <c r="BO486" i="1"/>
  <c r="BN486" i="1"/>
  <c r="DG653" i="1"/>
  <c r="DA653" i="1"/>
  <c r="T653" i="1"/>
  <c r="S653" i="1"/>
  <c r="Q653" i="1"/>
  <c r="P653" i="1"/>
  <c r="N653" i="1"/>
  <c r="BO653" i="1"/>
  <c r="BN653" i="1"/>
  <c r="DG684" i="1"/>
  <c r="DA684" i="1"/>
  <c r="T684" i="1"/>
  <c r="S684" i="1"/>
  <c r="Q684" i="1"/>
  <c r="P684" i="1"/>
  <c r="N684" i="1"/>
  <c r="BO684" i="1"/>
  <c r="BN684" i="1"/>
  <c r="DG658" i="1"/>
  <c r="DA658" i="1"/>
  <c r="T658" i="1"/>
  <c r="S658" i="1"/>
  <c r="Q658" i="1"/>
  <c r="P658" i="1"/>
  <c r="N658" i="1"/>
  <c r="BO658" i="1"/>
  <c r="BN658" i="1"/>
  <c r="DG683" i="1"/>
  <c r="DA683" i="1"/>
  <c r="T683" i="1"/>
  <c r="S683" i="1"/>
  <c r="Q683" i="1"/>
  <c r="P683" i="1"/>
  <c r="N683" i="1"/>
  <c r="BO683" i="1"/>
  <c r="BN683" i="1"/>
  <c r="DG484" i="1"/>
  <c r="DA484" i="1"/>
  <c r="T484" i="1"/>
  <c r="S484" i="1"/>
  <c r="Q484" i="1"/>
  <c r="P484" i="1"/>
  <c r="N484" i="1"/>
  <c r="BO484" i="1"/>
  <c r="BN484" i="1"/>
  <c r="DG2413" i="1"/>
  <c r="DA2413" i="1"/>
  <c r="T2413" i="1"/>
  <c r="S2413" i="1"/>
  <c r="Q2413" i="1"/>
  <c r="P2413" i="1"/>
  <c r="N2413" i="1"/>
  <c r="BO2413" i="1"/>
  <c r="BN2413" i="1"/>
  <c r="DG495" i="1"/>
  <c r="DA495" i="1"/>
  <c r="T495" i="1"/>
  <c r="S495" i="1"/>
  <c r="Q495" i="1"/>
  <c r="P495" i="1"/>
  <c r="N495" i="1"/>
  <c r="BO495" i="1"/>
  <c r="BN495" i="1"/>
  <c r="DG681" i="1"/>
  <c r="DA681" i="1"/>
  <c r="T681" i="1"/>
  <c r="S681" i="1"/>
  <c r="Q681" i="1"/>
  <c r="P681" i="1"/>
  <c r="N681" i="1"/>
  <c r="BO681" i="1"/>
  <c r="BN681" i="1"/>
  <c r="DG501" i="1"/>
  <c r="DA501" i="1"/>
  <c r="T501" i="1"/>
  <c r="S501" i="1"/>
  <c r="Q501" i="1"/>
  <c r="P501" i="1"/>
  <c r="N501" i="1"/>
  <c r="BO501" i="1"/>
  <c r="BN501" i="1"/>
  <c r="DG680" i="1"/>
  <c r="DA680" i="1"/>
  <c r="T680" i="1"/>
  <c r="S680" i="1"/>
  <c r="Q680" i="1"/>
  <c r="P680" i="1"/>
  <c r="N680" i="1"/>
  <c r="BO680" i="1"/>
  <c r="BN680" i="1"/>
  <c r="DG679" i="1"/>
  <c r="DA679" i="1"/>
  <c r="T679" i="1"/>
  <c r="S679" i="1"/>
  <c r="Q679" i="1"/>
  <c r="P679" i="1"/>
  <c r="N679" i="1"/>
  <c r="BO679" i="1"/>
  <c r="BN679" i="1"/>
  <c r="DG493" i="1"/>
  <c r="DA493" i="1"/>
  <c r="T493" i="1"/>
  <c r="S493" i="1"/>
  <c r="Q493" i="1"/>
  <c r="P493" i="1"/>
  <c r="N493" i="1"/>
  <c r="BO493" i="1"/>
  <c r="BN493" i="1"/>
  <c r="DG2049" i="1"/>
  <c r="DA2049" i="1"/>
  <c r="T2049" i="1"/>
  <c r="S2049" i="1"/>
  <c r="Q2049" i="1"/>
  <c r="P2049" i="1"/>
  <c r="N2049" i="1"/>
  <c r="BO2049" i="1"/>
  <c r="BN2049" i="1"/>
  <c r="DG654" i="1"/>
  <c r="DA654" i="1"/>
  <c r="T654" i="1"/>
  <c r="S654" i="1"/>
  <c r="Q654" i="1"/>
  <c r="P654" i="1"/>
  <c r="N654" i="1"/>
  <c r="BO654" i="1"/>
  <c r="BN654" i="1"/>
  <c r="DG677" i="1"/>
  <c r="DA677" i="1"/>
  <c r="T677" i="1"/>
  <c r="S677" i="1"/>
  <c r="Q677" i="1"/>
  <c r="P677" i="1"/>
  <c r="N677" i="1"/>
  <c r="BO677" i="1"/>
  <c r="BN677" i="1"/>
  <c r="DG675" i="1"/>
  <c r="DA675" i="1"/>
  <c r="T675" i="1"/>
  <c r="S675" i="1"/>
  <c r="Q675" i="1"/>
  <c r="P675" i="1"/>
  <c r="N675" i="1"/>
  <c r="BO675" i="1"/>
  <c r="BN675" i="1"/>
  <c r="DG674" i="1"/>
  <c r="DA674" i="1"/>
  <c r="T674" i="1"/>
  <c r="S674" i="1"/>
  <c r="Q674" i="1"/>
  <c r="P674" i="1"/>
  <c r="N674" i="1"/>
  <c r="BO674" i="1"/>
  <c r="BN674" i="1"/>
  <c r="DG673" i="1"/>
  <c r="DA673" i="1"/>
  <c r="T673" i="1"/>
  <c r="S673" i="1"/>
  <c r="Q673" i="1"/>
  <c r="P673" i="1"/>
  <c r="N673" i="1"/>
  <c r="BO673" i="1"/>
  <c r="BN673" i="1"/>
  <c r="DG672" i="1"/>
  <c r="DA672" i="1"/>
  <c r="T672" i="1"/>
  <c r="S672" i="1"/>
  <c r="Q672" i="1"/>
  <c r="P672" i="1"/>
  <c r="N672" i="1"/>
  <c r="BO672" i="1"/>
  <c r="BN672" i="1"/>
  <c r="DG671" i="1"/>
  <c r="DA671" i="1"/>
  <c r="T671" i="1"/>
  <c r="S671" i="1"/>
  <c r="Q671" i="1"/>
  <c r="P671" i="1"/>
  <c r="N671" i="1"/>
  <c r="BO671" i="1"/>
  <c r="BN671" i="1"/>
  <c r="DG670" i="1"/>
  <c r="DA670" i="1"/>
  <c r="T670" i="1"/>
  <c r="S670" i="1"/>
  <c r="Q670" i="1"/>
  <c r="P670" i="1"/>
  <c r="N670" i="1"/>
  <c r="BO670" i="1"/>
  <c r="BN670" i="1"/>
  <c r="DG669" i="1"/>
  <c r="DA669" i="1"/>
  <c r="T669" i="1"/>
  <c r="S669" i="1"/>
  <c r="Q669" i="1"/>
  <c r="P669" i="1"/>
  <c r="N669" i="1"/>
  <c r="BO669" i="1"/>
  <c r="BN669" i="1"/>
  <c r="DG639" i="1"/>
  <c r="DA639" i="1"/>
  <c r="T639" i="1"/>
  <c r="S639" i="1"/>
  <c r="Q639" i="1"/>
  <c r="P639" i="1"/>
  <c r="N639" i="1"/>
  <c r="BO639" i="1"/>
  <c r="BN639" i="1"/>
  <c r="DG638" i="1"/>
  <c r="DA638" i="1"/>
  <c r="T638" i="1"/>
  <c r="S638" i="1"/>
  <c r="Q638" i="1"/>
  <c r="P638" i="1"/>
  <c r="N638" i="1"/>
  <c r="BO638" i="1"/>
  <c r="BN638" i="1"/>
  <c r="DG637" i="1"/>
  <c r="DA637" i="1"/>
  <c r="T637" i="1"/>
  <c r="S637" i="1"/>
  <c r="Q637" i="1"/>
  <c r="P637" i="1"/>
  <c r="N637" i="1"/>
  <c r="BO637" i="1"/>
  <c r="BN637" i="1"/>
  <c r="DG636" i="1"/>
  <c r="DA636" i="1"/>
  <c r="T636" i="1"/>
  <c r="S636" i="1"/>
  <c r="Q636" i="1"/>
  <c r="P636" i="1"/>
  <c r="N636" i="1"/>
  <c r="BO636" i="1"/>
  <c r="BN636" i="1"/>
  <c r="DG635" i="1"/>
  <c r="DA635" i="1"/>
  <c r="T635" i="1"/>
  <c r="S635" i="1"/>
  <c r="Q635" i="1"/>
  <c r="P635" i="1"/>
  <c r="N635" i="1"/>
  <c r="BO635" i="1"/>
  <c r="BN635" i="1"/>
  <c r="DG634" i="1"/>
  <c r="DA634" i="1"/>
  <c r="T634" i="1"/>
  <c r="S634" i="1"/>
  <c r="Q634" i="1"/>
  <c r="P634" i="1"/>
  <c r="N634" i="1"/>
  <c r="BO634" i="1"/>
  <c r="BN634" i="1"/>
  <c r="DG1979" i="1"/>
  <c r="DA1979" i="1"/>
  <c r="T1979" i="1"/>
  <c r="S1979" i="1"/>
  <c r="Q1979" i="1"/>
  <c r="P1979" i="1"/>
  <c r="N1979" i="1"/>
  <c r="BO1979" i="1"/>
  <c r="BN1979" i="1"/>
  <c r="DG632" i="1"/>
  <c r="DA632" i="1"/>
  <c r="T632" i="1"/>
  <c r="S632" i="1"/>
  <c r="Q632" i="1"/>
  <c r="P632" i="1"/>
  <c r="N632" i="1"/>
  <c r="BO632" i="1"/>
  <c r="BN632" i="1"/>
  <c r="DG631" i="1"/>
  <c r="DA631" i="1"/>
  <c r="T631" i="1"/>
  <c r="S631" i="1"/>
  <c r="Q631" i="1"/>
  <c r="P631" i="1"/>
  <c r="N631" i="1"/>
  <c r="BO631" i="1"/>
  <c r="BN631" i="1"/>
  <c r="DG630" i="1"/>
  <c r="DA630" i="1"/>
  <c r="T630" i="1"/>
  <c r="S630" i="1"/>
  <c r="Q630" i="1"/>
  <c r="P630" i="1"/>
  <c r="N630" i="1"/>
  <c r="BO630" i="1"/>
  <c r="BN630" i="1"/>
  <c r="DG1966" i="1"/>
  <c r="DA1966" i="1"/>
  <c r="T1966" i="1"/>
  <c r="S1966" i="1"/>
  <c r="Q1966" i="1"/>
  <c r="P1966" i="1"/>
  <c r="N1966" i="1"/>
  <c r="BO1966" i="1"/>
  <c r="BN1966" i="1"/>
  <c r="DG628" i="1"/>
  <c r="DA628" i="1"/>
  <c r="T628" i="1"/>
  <c r="S628" i="1"/>
  <c r="Q628" i="1"/>
  <c r="P628" i="1"/>
  <c r="N628" i="1"/>
  <c r="BO628" i="1"/>
  <c r="BN628" i="1"/>
  <c r="DG627" i="1"/>
  <c r="DA627" i="1"/>
  <c r="T627" i="1"/>
  <c r="S627" i="1"/>
  <c r="Q627" i="1"/>
  <c r="P627" i="1"/>
  <c r="N627" i="1"/>
  <c r="BO627" i="1"/>
  <c r="BN627" i="1"/>
  <c r="DG626" i="1"/>
  <c r="DA626" i="1"/>
  <c r="T626" i="1"/>
  <c r="S626" i="1"/>
  <c r="Q626" i="1"/>
  <c r="P626" i="1"/>
  <c r="N626" i="1"/>
  <c r="BO626" i="1"/>
  <c r="BN626" i="1"/>
  <c r="DG2395" i="1"/>
  <c r="DA2395" i="1"/>
  <c r="T2395" i="1"/>
  <c r="S2395" i="1"/>
  <c r="Q2395" i="1"/>
  <c r="P2395" i="1"/>
  <c r="N2395" i="1"/>
  <c r="BO2395" i="1"/>
  <c r="BN2395" i="1"/>
  <c r="DG624" i="1"/>
  <c r="DA624" i="1"/>
  <c r="T624" i="1"/>
  <c r="S624" i="1"/>
  <c r="Q624" i="1"/>
  <c r="P624" i="1"/>
  <c r="N624" i="1"/>
  <c r="BO624" i="1"/>
  <c r="BN624" i="1"/>
  <c r="DG623" i="1"/>
  <c r="DA623" i="1"/>
  <c r="T623" i="1"/>
  <c r="S623" i="1"/>
  <c r="Q623" i="1"/>
  <c r="P623" i="1"/>
  <c r="N623" i="1"/>
  <c r="BO623" i="1"/>
  <c r="BN623" i="1"/>
  <c r="DG622" i="1"/>
  <c r="DA622" i="1"/>
  <c r="T622" i="1"/>
  <c r="S622" i="1"/>
  <c r="Q622" i="1"/>
  <c r="P622" i="1"/>
  <c r="N622" i="1"/>
  <c r="BO622" i="1"/>
  <c r="BN622" i="1"/>
  <c r="DG621" i="1"/>
  <c r="DA621" i="1"/>
  <c r="T621" i="1"/>
  <c r="S621" i="1"/>
  <c r="Q621" i="1"/>
  <c r="P621" i="1"/>
  <c r="N621" i="1"/>
  <c r="BO621" i="1"/>
  <c r="BN621" i="1"/>
  <c r="DG620" i="1"/>
  <c r="DA620" i="1"/>
  <c r="T620" i="1"/>
  <c r="S620" i="1"/>
  <c r="Q620" i="1"/>
  <c r="P620" i="1"/>
  <c r="N620" i="1"/>
  <c r="BO620" i="1"/>
  <c r="BN620" i="1"/>
  <c r="DG619" i="1"/>
  <c r="DA619" i="1"/>
  <c r="T619" i="1"/>
  <c r="S619" i="1"/>
  <c r="Q619" i="1"/>
  <c r="P619" i="1"/>
  <c r="N619" i="1"/>
  <c r="BO619" i="1"/>
  <c r="BN619" i="1"/>
  <c r="DG618" i="1"/>
  <c r="DA618" i="1"/>
  <c r="T618" i="1"/>
  <c r="S618" i="1"/>
  <c r="Q618" i="1"/>
  <c r="P618" i="1"/>
  <c r="N618" i="1"/>
  <c r="BO618" i="1"/>
  <c r="BN618" i="1"/>
  <c r="DG2976" i="1"/>
  <c r="DA2976" i="1"/>
  <c r="T2976" i="1"/>
  <c r="S2976" i="1"/>
  <c r="Q2976" i="1"/>
  <c r="P2976" i="1"/>
  <c r="N2976" i="1"/>
  <c r="BO2976" i="1"/>
  <c r="BN2976" i="1"/>
  <c r="DG616" i="1"/>
  <c r="DA616" i="1"/>
  <c r="T616" i="1"/>
  <c r="S616" i="1"/>
  <c r="Q616" i="1"/>
  <c r="P616" i="1"/>
  <c r="N616" i="1"/>
  <c r="BO616" i="1"/>
  <c r="BN616" i="1"/>
  <c r="DG615" i="1"/>
  <c r="DA615" i="1"/>
  <c r="T615" i="1"/>
  <c r="S615" i="1"/>
  <c r="Q615" i="1"/>
  <c r="P615" i="1"/>
  <c r="N615" i="1"/>
  <c r="BO615" i="1"/>
  <c r="BN615" i="1"/>
  <c r="DG614" i="1"/>
  <c r="DA614" i="1"/>
  <c r="T614" i="1"/>
  <c r="S614" i="1"/>
  <c r="Q614" i="1"/>
  <c r="P614" i="1"/>
  <c r="N614" i="1"/>
  <c r="BO614" i="1"/>
  <c r="BN614" i="1"/>
  <c r="DG613" i="1"/>
  <c r="DA613" i="1"/>
  <c r="T613" i="1"/>
  <c r="S613" i="1"/>
  <c r="Q613" i="1"/>
  <c r="P613" i="1"/>
  <c r="N613" i="1"/>
  <c r="BO613" i="1"/>
  <c r="BN613" i="1"/>
  <c r="DG612" i="1"/>
  <c r="DA612" i="1"/>
  <c r="T612" i="1"/>
  <c r="S612" i="1"/>
  <c r="Q612" i="1"/>
  <c r="P612" i="1"/>
  <c r="N612" i="1"/>
  <c r="BO612" i="1"/>
  <c r="BN612" i="1"/>
  <c r="DG611" i="1"/>
  <c r="DA611" i="1"/>
  <c r="T611" i="1"/>
  <c r="S611" i="1"/>
  <c r="Q611" i="1"/>
  <c r="P611" i="1"/>
  <c r="N611" i="1"/>
  <c r="BO611" i="1"/>
  <c r="BN611" i="1"/>
  <c r="DG610" i="1"/>
  <c r="DA610" i="1"/>
  <c r="T610" i="1"/>
  <c r="S610" i="1"/>
  <c r="Q610" i="1"/>
  <c r="P610" i="1"/>
  <c r="N610" i="1"/>
  <c r="BO610" i="1"/>
  <c r="BN610" i="1"/>
  <c r="DG2764" i="1"/>
  <c r="DA2764" i="1"/>
  <c r="T2764" i="1"/>
  <c r="S2764" i="1"/>
  <c r="Q2764" i="1"/>
  <c r="P2764" i="1"/>
  <c r="N2764" i="1"/>
  <c r="BO2764" i="1"/>
  <c r="BN2764" i="1"/>
  <c r="DG608" i="1"/>
  <c r="DA608" i="1"/>
  <c r="T608" i="1"/>
  <c r="S608" i="1"/>
  <c r="Q608" i="1"/>
  <c r="P608" i="1"/>
  <c r="N608" i="1"/>
  <c r="BO608" i="1"/>
  <c r="BN608" i="1"/>
  <c r="DG607" i="1"/>
  <c r="DA607" i="1"/>
  <c r="T607" i="1"/>
  <c r="S607" i="1"/>
  <c r="Q607" i="1"/>
  <c r="P607" i="1"/>
  <c r="N607" i="1"/>
  <c r="BO607" i="1"/>
  <c r="BN607" i="1"/>
  <c r="DG606" i="1"/>
  <c r="DA606" i="1"/>
  <c r="T606" i="1"/>
  <c r="S606" i="1"/>
  <c r="Q606" i="1"/>
  <c r="P606" i="1"/>
  <c r="N606" i="1"/>
  <c r="BO606" i="1"/>
  <c r="BN606" i="1"/>
  <c r="DG605" i="1"/>
  <c r="DA605" i="1"/>
  <c r="T605" i="1"/>
  <c r="S605" i="1"/>
  <c r="Q605" i="1"/>
  <c r="P605" i="1"/>
  <c r="N605" i="1"/>
  <c r="BO605" i="1"/>
  <c r="BN605" i="1"/>
  <c r="DG604" i="1"/>
  <c r="DA604" i="1"/>
  <c r="T604" i="1"/>
  <c r="S604" i="1"/>
  <c r="Q604" i="1"/>
  <c r="P604" i="1"/>
  <c r="N604" i="1"/>
  <c r="BO604" i="1"/>
  <c r="BN604" i="1"/>
  <c r="DG603" i="1"/>
  <c r="DA603" i="1"/>
  <c r="T603" i="1"/>
  <c r="S603" i="1"/>
  <c r="Q603" i="1"/>
  <c r="P603" i="1"/>
  <c r="N603" i="1"/>
  <c r="BO603" i="1"/>
  <c r="BN603" i="1"/>
  <c r="DG602" i="1"/>
  <c r="DA602" i="1"/>
  <c r="T602" i="1"/>
  <c r="S602" i="1"/>
  <c r="Q602" i="1"/>
  <c r="P602" i="1"/>
  <c r="N602" i="1"/>
  <c r="BO602" i="1"/>
  <c r="BN602" i="1"/>
  <c r="DG2375" i="1"/>
  <c r="DA2375" i="1"/>
  <c r="T2375" i="1"/>
  <c r="S2375" i="1"/>
  <c r="Q2375" i="1"/>
  <c r="P2375" i="1"/>
  <c r="N2375" i="1"/>
  <c r="BO2375" i="1"/>
  <c r="BN2375" i="1"/>
  <c r="DG600" i="1"/>
  <c r="DA600" i="1"/>
  <c r="T600" i="1"/>
  <c r="S600" i="1"/>
  <c r="Q600" i="1"/>
  <c r="P600" i="1"/>
  <c r="N600" i="1"/>
  <c r="BO600" i="1"/>
  <c r="BN600" i="1"/>
  <c r="DG599" i="1"/>
  <c r="DA599" i="1"/>
  <c r="T599" i="1"/>
  <c r="S599" i="1"/>
  <c r="Q599" i="1"/>
  <c r="P599" i="1"/>
  <c r="N599" i="1"/>
  <c r="BO599" i="1"/>
  <c r="BN599" i="1"/>
  <c r="DG598" i="1"/>
  <c r="DA598" i="1"/>
  <c r="T598" i="1"/>
  <c r="S598" i="1"/>
  <c r="Q598" i="1"/>
  <c r="P598" i="1"/>
  <c r="N598" i="1"/>
  <c r="BO598" i="1"/>
  <c r="BN598" i="1"/>
  <c r="DG597" i="1"/>
  <c r="DA597" i="1"/>
  <c r="T597" i="1"/>
  <c r="S597" i="1"/>
  <c r="Q597" i="1"/>
  <c r="P597" i="1"/>
  <c r="N597" i="1"/>
  <c r="BO597" i="1"/>
  <c r="BN597" i="1"/>
  <c r="DG596" i="1"/>
  <c r="DA596" i="1"/>
  <c r="T596" i="1"/>
  <c r="S596" i="1"/>
  <c r="Q596" i="1"/>
  <c r="P596" i="1"/>
  <c r="N596" i="1"/>
  <c r="BO596" i="1"/>
  <c r="BN596" i="1"/>
  <c r="DG595" i="1"/>
  <c r="DA595" i="1"/>
  <c r="T595" i="1"/>
  <c r="S595" i="1"/>
  <c r="Q595" i="1"/>
  <c r="P595" i="1"/>
  <c r="N595" i="1"/>
  <c r="BO595" i="1"/>
  <c r="BN595" i="1"/>
  <c r="DG594" i="1"/>
  <c r="DA594" i="1"/>
  <c r="T594" i="1"/>
  <c r="S594" i="1"/>
  <c r="Q594" i="1"/>
  <c r="P594" i="1"/>
  <c r="N594" i="1"/>
  <c r="BO594" i="1"/>
  <c r="BN594" i="1"/>
  <c r="DG2368" i="1"/>
  <c r="DA2368" i="1"/>
  <c r="T2368" i="1"/>
  <c r="S2368" i="1"/>
  <c r="Q2368" i="1"/>
  <c r="P2368" i="1"/>
  <c r="N2368" i="1"/>
  <c r="BO2368" i="1"/>
  <c r="BN2368" i="1"/>
  <c r="DG592" i="1"/>
  <c r="DA592" i="1"/>
  <c r="T592" i="1"/>
  <c r="S592" i="1"/>
  <c r="Q592" i="1"/>
  <c r="P592" i="1"/>
  <c r="N592" i="1"/>
  <c r="BO592" i="1"/>
  <c r="BN592" i="1"/>
  <c r="DG591" i="1"/>
  <c r="DA591" i="1"/>
  <c r="T591" i="1"/>
  <c r="S591" i="1"/>
  <c r="Q591" i="1"/>
  <c r="P591" i="1"/>
  <c r="N591" i="1"/>
  <c r="BO591" i="1"/>
  <c r="BN591" i="1"/>
  <c r="DG590" i="1"/>
  <c r="DA590" i="1"/>
  <c r="T590" i="1"/>
  <c r="S590" i="1"/>
  <c r="Q590" i="1"/>
  <c r="P590" i="1"/>
  <c r="N590" i="1"/>
  <c r="BO590" i="1"/>
  <c r="BN590" i="1"/>
  <c r="DG588" i="1"/>
  <c r="DA588" i="1"/>
  <c r="T588" i="1"/>
  <c r="S588" i="1"/>
  <c r="Q588" i="1"/>
  <c r="P588" i="1"/>
  <c r="N588" i="1"/>
  <c r="BO588" i="1"/>
  <c r="BN588" i="1"/>
  <c r="DG587" i="1"/>
  <c r="DA587" i="1"/>
  <c r="T587" i="1"/>
  <c r="S587" i="1"/>
  <c r="Q587" i="1"/>
  <c r="P587" i="1"/>
  <c r="N587" i="1"/>
  <c r="BO587" i="1"/>
  <c r="BN587" i="1"/>
  <c r="DG586" i="1"/>
  <c r="DA586" i="1"/>
  <c r="T586" i="1"/>
  <c r="S586" i="1"/>
  <c r="Q586" i="1"/>
  <c r="P586" i="1"/>
  <c r="N586" i="1"/>
  <c r="BO586" i="1"/>
  <c r="BN586" i="1"/>
  <c r="DG585" i="1"/>
  <c r="DA585" i="1"/>
  <c r="T585" i="1"/>
  <c r="S585" i="1"/>
  <c r="Q585" i="1"/>
  <c r="P585" i="1"/>
  <c r="N585" i="1"/>
  <c r="BO585" i="1"/>
  <c r="BN585" i="1"/>
  <c r="DG2361" i="1"/>
  <c r="DA2361" i="1"/>
  <c r="T2361" i="1"/>
  <c r="S2361" i="1"/>
  <c r="Q2361" i="1"/>
  <c r="P2361" i="1"/>
  <c r="N2361" i="1"/>
  <c r="BO2361" i="1"/>
  <c r="BN2361" i="1"/>
  <c r="DG582" i="1"/>
  <c r="DA582" i="1"/>
  <c r="T582" i="1"/>
  <c r="S582" i="1"/>
  <c r="Q582" i="1"/>
  <c r="P582" i="1"/>
  <c r="N582" i="1"/>
  <c r="BO582" i="1"/>
  <c r="BN582" i="1"/>
  <c r="DG581" i="1"/>
  <c r="DA581" i="1"/>
  <c r="T581" i="1"/>
  <c r="S581" i="1"/>
  <c r="Q581" i="1"/>
  <c r="P581" i="1"/>
  <c r="N581" i="1"/>
  <c r="BO581" i="1"/>
  <c r="BN581" i="1"/>
  <c r="DG580" i="1"/>
  <c r="DA580" i="1"/>
  <c r="T580" i="1"/>
  <c r="S580" i="1"/>
  <c r="Q580" i="1"/>
  <c r="P580" i="1"/>
  <c r="N580" i="1"/>
  <c r="BO580" i="1"/>
  <c r="BN580" i="1"/>
  <c r="DG579" i="1"/>
  <c r="DA579" i="1"/>
  <c r="T579" i="1"/>
  <c r="S579" i="1"/>
  <c r="Q579" i="1"/>
  <c r="P579" i="1"/>
  <c r="N579" i="1"/>
  <c r="BO579" i="1"/>
  <c r="BN579" i="1"/>
  <c r="DG578" i="1"/>
  <c r="DA578" i="1"/>
  <c r="T578" i="1"/>
  <c r="S578" i="1"/>
  <c r="Q578" i="1"/>
  <c r="P578" i="1"/>
  <c r="N578" i="1"/>
  <c r="BO578" i="1"/>
  <c r="BN578" i="1"/>
  <c r="DG577" i="1"/>
  <c r="DA577" i="1"/>
  <c r="T577" i="1"/>
  <c r="S577" i="1"/>
  <c r="Q577" i="1"/>
  <c r="P577" i="1"/>
  <c r="N577" i="1"/>
  <c r="BO577" i="1"/>
  <c r="BN577" i="1"/>
  <c r="DG576" i="1"/>
  <c r="DA576" i="1"/>
  <c r="T576" i="1"/>
  <c r="S576" i="1"/>
  <c r="Q576" i="1"/>
  <c r="P576" i="1"/>
  <c r="N576" i="1"/>
  <c r="BO576" i="1"/>
  <c r="BN576" i="1"/>
  <c r="DG575" i="1"/>
  <c r="DA575" i="1"/>
  <c r="T575" i="1"/>
  <c r="S575" i="1"/>
  <c r="Q575" i="1"/>
  <c r="P575" i="1"/>
  <c r="N575" i="1"/>
  <c r="BO575" i="1"/>
  <c r="BN575" i="1"/>
  <c r="DG574" i="1"/>
  <c r="DA574" i="1"/>
  <c r="T574" i="1"/>
  <c r="S574" i="1"/>
  <c r="Q574" i="1"/>
  <c r="P574" i="1"/>
  <c r="N574" i="1"/>
  <c r="BO574" i="1"/>
  <c r="BN574" i="1"/>
  <c r="DG573" i="1"/>
  <c r="DA573" i="1"/>
  <c r="T573" i="1"/>
  <c r="S573" i="1"/>
  <c r="Q573" i="1"/>
  <c r="P573" i="1"/>
  <c r="N573" i="1"/>
  <c r="BO573" i="1"/>
  <c r="BN573" i="1"/>
  <c r="DG572" i="1"/>
  <c r="DA572" i="1"/>
  <c r="T572" i="1"/>
  <c r="S572" i="1"/>
  <c r="Q572" i="1"/>
  <c r="P572" i="1"/>
  <c r="N572" i="1"/>
  <c r="BO572" i="1"/>
  <c r="BN572" i="1"/>
  <c r="DG571" i="1"/>
  <c r="DA571" i="1"/>
  <c r="T571" i="1"/>
  <c r="S571" i="1"/>
  <c r="Q571" i="1"/>
  <c r="P571" i="1"/>
  <c r="N571" i="1"/>
  <c r="BO571" i="1"/>
  <c r="BN571" i="1"/>
  <c r="DG570" i="1"/>
  <c r="DA570" i="1"/>
  <c r="T570" i="1"/>
  <c r="S570" i="1"/>
  <c r="Q570" i="1"/>
  <c r="P570" i="1"/>
  <c r="N570" i="1"/>
  <c r="BO570" i="1"/>
  <c r="BN570" i="1"/>
  <c r="DG569" i="1"/>
  <c r="DA569" i="1"/>
  <c r="T569" i="1"/>
  <c r="S569" i="1"/>
  <c r="Q569" i="1"/>
  <c r="P569" i="1"/>
  <c r="N569" i="1"/>
  <c r="BO569" i="1"/>
  <c r="BN569" i="1"/>
  <c r="DG568" i="1"/>
  <c r="DA568" i="1"/>
  <c r="T568" i="1"/>
  <c r="S568" i="1"/>
  <c r="Q568" i="1"/>
  <c r="P568" i="1"/>
  <c r="N568" i="1"/>
  <c r="BO568" i="1"/>
  <c r="BN568" i="1"/>
  <c r="DG2346" i="1"/>
  <c r="DA2346" i="1"/>
  <c r="T2346" i="1"/>
  <c r="S2346" i="1"/>
  <c r="Q2346" i="1"/>
  <c r="P2346" i="1"/>
  <c r="N2346" i="1"/>
  <c r="BO2346" i="1"/>
  <c r="BN2346" i="1"/>
  <c r="DG566" i="1"/>
  <c r="DA566" i="1"/>
  <c r="T566" i="1"/>
  <c r="S566" i="1"/>
  <c r="Q566" i="1"/>
  <c r="P566" i="1"/>
  <c r="N566" i="1"/>
  <c r="BO566" i="1"/>
  <c r="BN566" i="1"/>
  <c r="DG565" i="1"/>
  <c r="DA565" i="1"/>
  <c r="T565" i="1"/>
  <c r="S565" i="1"/>
  <c r="Q565" i="1"/>
  <c r="P565" i="1"/>
  <c r="N565" i="1"/>
  <c r="BO565" i="1"/>
  <c r="BN565" i="1"/>
  <c r="DG564" i="1"/>
  <c r="DA564" i="1"/>
  <c r="T564" i="1"/>
  <c r="S564" i="1"/>
  <c r="Q564" i="1"/>
  <c r="P564" i="1"/>
  <c r="N564" i="1"/>
  <c r="BO564" i="1"/>
  <c r="BN564" i="1"/>
  <c r="DG2744" i="1"/>
  <c r="DA2744" i="1"/>
  <c r="T2744" i="1"/>
  <c r="S2744" i="1"/>
  <c r="Q2744" i="1"/>
  <c r="P2744" i="1"/>
  <c r="N2744" i="1"/>
  <c r="BO2744" i="1"/>
  <c r="BN2744" i="1"/>
  <c r="DG562" i="1"/>
  <c r="DA562" i="1"/>
  <c r="T562" i="1"/>
  <c r="S562" i="1"/>
  <c r="Q562" i="1"/>
  <c r="P562" i="1"/>
  <c r="N562" i="1"/>
  <c r="BO562" i="1"/>
  <c r="BN562" i="1"/>
  <c r="DG561" i="1"/>
  <c r="DA561" i="1"/>
  <c r="T561" i="1"/>
  <c r="S561" i="1"/>
  <c r="Q561" i="1"/>
  <c r="P561" i="1"/>
  <c r="N561" i="1"/>
  <c r="BO561" i="1"/>
  <c r="BN561" i="1"/>
  <c r="DG560" i="1"/>
  <c r="DA560" i="1"/>
  <c r="T560" i="1"/>
  <c r="S560" i="1"/>
  <c r="Q560" i="1"/>
  <c r="P560" i="1"/>
  <c r="N560" i="1"/>
  <c r="BO560" i="1"/>
  <c r="BN560" i="1"/>
  <c r="DG2338" i="1"/>
  <c r="DA2338" i="1"/>
  <c r="T2338" i="1"/>
  <c r="S2338" i="1"/>
  <c r="Q2338" i="1"/>
  <c r="P2338" i="1"/>
  <c r="N2338" i="1"/>
  <c r="BO2338" i="1"/>
  <c r="BN2338" i="1"/>
  <c r="DG558" i="1"/>
  <c r="DA558" i="1"/>
  <c r="T558" i="1"/>
  <c r="S558" i="1"/>
  <c r="Q558" i="1"/>
  <c r="P558" i="1"/>
  <c r="N558" i="1"/>
  <c r="BO558" i="1"/>
  <c r="BN558" i="1"/>
  <c r="DG557" i="1"/>
  <c r="DA557" i="1"/>
  <c r="T557" i="1"/>
  <c r="S557" i="1"/>
  <c r="Q557" i="1"/>
  <c r="P557" i="1"/>
  <c r="N557" i="1"/>
  <c r="BO557" i="1"/>
  <c r="BN557" i="1"/>
  <c r="DG556" i="1"/>
  <c r="DA556" i="1"/>
  <c r="T556" i="1"/>
  <c r="S556" i="1"/>
  <c r="Q556" i="1"/>
  <c r="P556" i="1"/>
  <c r="N556" i="1"/>
  <c r="BO556" i="1"/>
  <c r="BN556" i="1"/>
  <c r="DG555" i="1"/>
  <c r="DA555" i="1"/>
  <c r="T555" i="1"/>
  <c r="S555" i="1"/>
  <c r="Q555" i="1"/>
  <c r="P555" i="1"/>
  <c r="N555" i="1"/>
  <c r="BO555" i="1"/>
  <c r="BN555" i="1"/>
  <c r="DG554" i="1"/>
  <c r="DA554" i="1"/>
  <c r="T554" i="1"/>
  <c r="S554" i="1"/>
  <c r="Q554" i="1"/>
  <c r="P554" i="1"/>
  <c r="N554" i="1"/>
  <c r="BO554" i="1"/>
  <c r="BN554" i="1"/>
  <c r="DG553" i="1"/>
  <c r="DA553" i="1"/>
  <c r="T553" i="1"/>
  <c r="S553" i="1"/>
  <c r="Q553" i="1"/>
  <c r="P553" i="1"/>
  <c r="N553" i="1"/>
  <c r="BO553" i="1"/>
  <c r="BN553" i="1"/>
  <c r="DG552" i="1"/>
  <c r="DA552" i="1"/>
  <c r="T552" i="1"/>
  <c r="S552" i="1"/>
  <c r="Q552" i="1"/>
  <c r="P552" i="1"/>
  <c r="N552" i="1"/>
  <c r="BO552" i="1"/>
  <c r="BN552" i="1"/>
  <c r="DG2330" i="1"/>
  <c r="DA2330" i="1"/>
  <c r="T2330" i="1"/>
  <c r="S2330" i="1"/>
  <c r="Q2330" i="1"/>
  <c r="P2330" i="1"/>
  <c r="N2330" i="1"/>
  <c r="BO2330" i="1"/>
  <c r="BN2330" i="1"/>
  <c r="DG550" i="1"/>
  <c r="DA550" i="1"/>
  <c r="T550" i="1"/>
  <c r="S550" i="1"/>
  <c r="Q550" i="1"/>
  <c r="P550" i="1"/>
  <c r="N550" i="1"/>
  <c r="BO550" i="1"/>
  <c r="BN550" i="1"/>
  <c r="DG549" i="1"/>
  <c r="DA549" i="1"/>
  <c r="T549" i="1"/>
  <c r="S549" i="1"/>
  <c r="Q549" i="1"/>
  <c r="P549" i="1"/>
  <c r="N549" i="1"/>
  <c r="BO549" i="1"/>
  <c r="BN549" i="1"/>
  <c r="DG548" i="1"/>
  <c r="DA548" i="1"/>
  <c r="T548" i="1"/>
  <c r="S548" i="1"/>
  <c r="Q548" i="1"/>
  <c r="P548" i="1"/>
  <c r="N548" i="1"/>
  <c r="BO548" i="1"/>
  <c r="BN548" i="1"/>
  <c r="DG547" i="1"/>
  <c r="DA547" i="1"/>
  <c r="T547" i="1"/>
  <c r="S547" i="1"/>
  <c r="Q547" i="1"/>
  <c r="P547" i="1"/>
  <c r="N547" i="1"/>
  <c r="BO547" i="1"/>
  <c r="BN547" i="1"/>
  <c r="DG546" i="1"/>
  <c r="DA546" i="1"/>
  <c r="T546" i="1"/>
  <c r="S546" i="1"/>
  <c r="Q546" i="1"/>
  <c r="P546" i="1"/>
  <c r="N546" i="1"/>
  <c r="BO546" i="1"/>
  <c r="BN546" i="1"/>
  <c r="DG545" i="1"/>
  <c r="DA545" i="1"/>
  <c r="T545" i="1"/>
  <c r="S545" i="1"/>
  <c r="Q545" i="1"/>
  <c r="P545" i="1"/>
  <c r="N545" i="1"/>
  <c r="BO545" i="1"/>
  <c r="BN545" i="1"/>
  <c r="DG544" i="1"/>
  <c r="DA544" i="1"/>
  <c r="T544" i="1"/>
  <c r="S544" i="1"/>
  <c r="Q544" i="1"/>
  <c r="P544" i="1"/>
  <c r="N544" i="1"/>
  <c r="BO544" i="1"/>
  <c r="BN544" i="1"/>
  <c r="DG543" i="1"/>
  <c r="DA543" i="1"/>
  <c r="T543" i="1"/>
  <c r="S543" i="1"/>
  <c r="Q543" i="1"/>
  <c r="P543" i="1"/>
  <c r="N543" i="1"/>
  <c r="BO543" i="1"/>
  <c r="BN543" i="1"/>
  <c r="DG542" i="1"/>
  <c r="DA542" i="1"/>
  <c r="T542" i="1"/>
  <c r="S542" i="1"/>
  <c r="Q542" i="1"/>
  <c r="P542" i="1"/>
  <c r="N542" i="1"/>
  <c r="BO542" i="1"/>
  <c r="BN542" i="1"/>
  <c r="DG541" i="1"/>
  <c r="DA541" i="1"/>
  <c r="T541" i="1"/>
  <c r="S541" i="1"/>
  <c r="Q541" i="1"/>
  <c r="P541" i="1"/>
  <c r="N541" i="1"/>
  <c r="BO541" i="1"/>
  <c r="BN541" i="1"/>
  <c r="DG540" i="1"/>
  <c r="DA540" i="1"/>
  <c r="T540" i="1"/>
  <c r="S540" i="1"/>
  <c r="Q540" i="1"/>
  <c r="P540" i="1"/>
  <c r="N540" i="1"/>
  <c r="BO540" i="1"/>
  <c r="BN540" i="1"/>
  <c r="DG539" i="1"/>
  <c r="DA539" i="1"/>
  <c r="T539" i="1"/>
  <c r="S539" i="1"/>
  <c r="Q539" i="1"/>
  <c r="P539" i="1"/>
  <c r="N539" i="1"/>
  <c r="BO539" i="1"/>
  <c r="BN539" i="1"/>
  <c r="DG538" i="1"/>
  <c r="DA538" i="1"/>
  <c r="T538" i="1"/>
  <c r="S538" i="1"/>
  <c r="Q538" i="1"/>
  <c r="P538" i="1"/>
  <c r="N538" i="1"/>
  <c r="BO538" i="1"/>
  <c r="BN538" i="1"/>
  <c r="DG537" i="1"/>
  <c r="DA537" i="1"/>
  <c r="T537" i="1"/>
  <c r="S537" i="1"/>
  <c r="Q537" i="1"/>
  <c r="P537" i="1"/>
  <c r="N537" i="1"/>
  <c r="BO537" i="1"/>
  <c r="BN537" i="1"/>
  <c r="DG536" i="1"/>
  <c r="DA536" i="1"/>
  <c r="T536" i="1"/>
  <c r="S536" i="1"/>
  <c r="Q536" i="1"/>
  <c r="P536" i="1"/>
  <c r="N536" i="1"/>
  <c r="BO536" i="1"/>
  <c r="BN536" i="1"/>
  <c r="DG2730" i="1"/>
  <c r="DA2730" i="1"/>
  <c r="T2730" i="1"/>
  <c r="S2730" i="1"/>
  <c r="Q2730" i="1"/>
  <c r="P2730" i="1"/>
  <c r="N2730" i="1"/>
  <c r="BO2730" i="1"/>
  <c r="BN2730" i="1"/>
  <c r="DG534" i="1"/>
  <c r="DA534" i="1"/>
  <c r="T534" i="1"/>
  <c r="S534" i="1"/>
  <c r="Q534" i="1"/>
  <c r="P534" i="1"/>
  <c r="N534" i="1"/>
  <c r="BO534" i="1"/>
  <c r="BN534" i="1"/>
  <c r="DG533" i="1"/>
  <c r="DA533" i="1"/>
  <c r="T533" i="1"/>
  <c r="S533" i="1"/>
  <c r="Q533" i="1"/>
  <c r="P533" i="1"/>
  <c r="N533" i="1"/>
  <c r="BO533" i="1"/>
  <c r="BN533" i="1"/>
  <c r="DG532" i="1"/>
  <c r="DA532" i="1"/>
  <c r="T532" i="1"/>
  <c r="S532" i="1"/>
  <c r="Q532" i="1"/>
  <c r="P532" i="1"/>
  <c r="N532" i="1"/>
  <c r="BO532" i="1"/>
  <c r="BN532" i="1"/>
  <c r="DG527" i="1"/>
  <c r="DA527" i="1"/>
  <c r="T527" i="1"/>
  <c r="S527" i="1"/>
  <c r="Q527" i="1"/>
  <c r="P527" i="1"/>
  <c r="N527" i="1"/>
  <c r="BO527" i="1"/>
  <c r="BN527" i="1"/>
  <c r="DG526" i="1"/>
  <c r="DA526" i="1"/>
  <c r="T526" i="1"/>
  <c r="S526" i="1"/>
  <c r="Q526" i="1"/>
  <c r="P526" i="1"/>
  <c r="N526" i="1"/>
  <c r="BO526" i="1"/>
  <c r="BN526" i="1"/>
  <c r="DG525" i="1"/>
  <c r="DA525" i="1"/>
  <c r="T525" i="1"/>
  <c r="S525" i="1"/>
  <c r="Q525" i="1"/>
  <c r="P525" i="1"/>
  <c r="N525" i="1"/>
  <c r="BO525" i="1"/>
  <c r="BN525" i="1"/>
  <c r="DG524" i="1"/>
  <c r="DA524" i="1"/>
  <c r="T524" i="1"/>
  <c r="S524" i="1"/>
  <c r="Q524" i="1"/>
  <c r="P524" i="1"/>
  <c r="N524" i="1"/>
  <c r="BO524" i="1"/>
  <c r="BN524" i="1"/>
  <c r="DG2307" i="1"/>
  <c r="DA2307" i="1"/>
  <c r="T2307" i="1"/>
  <c r="S2307" i="1"/>
  <c r="Q2307" i="1"/>
  <c r="P2307" i="1"/>
  <c r="N2307" i="1"/>
  <c r="BO2307" i="1"/>
  <c r="BN2307" i="1"/>
  <c r="DG522" i="1"/>
  <c r="DA522" i="1"/>
  <c r="T522" i="1"/>
  <c r="S522" i="1"/>
  <c r="Q522" i="1"/>
  <c r="P522" i="1"/>
  <c r="N522" i="1"/>
  <c r="BO522" i="1"/>
  <c r="BN522" i="1"/>
  <c r="DG520" i="1"/>
  <c r="DA520" i="1"/>
  <c r="T520" i="1"/>
  <c r="S520" i="1"/>
  <c r="Q520" i="1"/>
  <c r="P520" i="1"/>
  <c r="N520" i="1"/>
  <c r="BO520" i="1"/>
  <c r="BN520" i="1"/>
  <c r="DG519" i="1"/>
  <c r="DA519" i="1"/>
  <c r="T519" i="1"/>
  <c r="S519" i="1"/>
  <c r="Q519" i="1"/>
  <c r="P519" i="1"/>
  <c r="N519" i="1"/>
  <c r="BO519" i="1"/>
  <c r="BN519" i="1"/>
  <c r="DG518" i="1"/>
  <c r="DA518" i="1"/>
  <c r="T518" i="1"/>
  <c r="S518" i="1"/>
  <c r="Q518" i="1"/>
  <c r="P518" i="1"/>
  <c r="N518" i="1"/>
  <c r="BO518" i="1"/>
  <c r="BN518" i="1"/>
  <c r="DG645" i="1"/>
  <c r="DA645" i="1"/>
  <c r="T645" i="1"/>
  <c r="S645" i="1"/>
  <c r="Q645" i="1"/>
  <c r="P645" i="1"/>
  <c r="N645" i="1"/>
  <c r="BO645" i="1"/>
  <c r="BN645" i="1"/>
  <c r="DG517" i="1"/>
  <c r="DA517" i="1"/>
  <c r="T517" i="1"/>
  <c r="S517" i="1"/>
  <c r="Q517" i="1"/>
  <c r="P517" i="1"/>
  <c r="N517" i="1"/>
  <c r="BO517" i="1"/>
  <c r="BN517" i="1"/>
  <c r="DG516" i="1"/>
  <c r="DA516" i="1"/>
  <c r="T516" i="1"/>
  <c r="S516" i="1"/>
  <c r="Q516" i="1"/>
  <c r="P516" i="1"/>
  <c r="N516" i="1"/>
  <c r="BO516" i="1"/>
  <c r="BN516" i="1"/>
  <c r="DG2300" i="1"/>
  <c r="DA2300" i="1"/>
  <c r="T2300" i="1"/>
  <c r="S2300" i="1"/>
  <c r="Q2300" i="1"/>
  <c r="P2300" i="1"/>
  <c r="N2300" i="1"/>
  <c r="BO2300" i="1"/>
  <c r="BN2300" i="1"/>
  <c r="DG643" i="1"/>
  <c r="DA643" i="1"/>
  <c r="T643" i="1"/>
  <c r="S643" i="1"/>
  <c r="Q643" i="1"/>
  <c r="P643" i="1"/>
  <c r="N643" i="1"/>
  <c r="BO643" i="1"/>
  <c r="BN643" i="1"/>
  <c r="DG515" i="1"/>
  <c r="DA515" i="1"/>
  <c r="T515" i="1"/>
  <c r="S515" i="1"/>
  <c r="Q515" i="1"/>
  <c r="P515" i="1"/>
  <c r="N515" i="1"/>
  <c r="BO515" i="1"/>
  <c r="BN515" i="1"/>
  <c r="DG642" i="1"/>
  <c r="DA642" i="1"/>
  <c r="T642" i="1"/>
  <c r="S642" i="1"/>
  <c r="Q642" i="1"/>
  <c r="P642" i="1"/>
  <c r="N642" i="1"/>
  <c r="BO642" i="1"/>
  <c r="BN642" i="1"/>
  <c r="DG641" i="1"/>
  <c r="DA641" i="1"/>
  <c r="T641" i="1"/>
  <c r="S641" i="1"/>
  <c r="Q641" i="1"/>
  <c r="P641" i="1"/>
  <c r="N641" i="1"/>
  <c r="BO641" i="1"/>
  <c r="BN641" i="1"/>
  <c r="DG514" i="1"/>
  <c r="DA514" i="1"/>
  <c r="T514" i="1"/>
  <c r="S514" i="1"/>
  <c r="Q514" i="1"/>
  <c r="P514" i="1"/>
  <c r="N514" i="1"/>
  <c r="BO514" i="1"/>
  <c r="BN514" i="1"/>
  <c r="DG513" i="1"/>
  <c r="DA513" i="1"/>
  <c r="T513" i="1"/>
  <c r="S513" i="1"/>
  <c r="Q513" i="1"/>
  <c r="P513" i="1"/>
  <c r="N513" i="1"/>
  <c r="BO513" i="1"/>
  <c r="BN513" i="1"/>
  <c r="DG531" i="1"/>
  <c r="DA531" i="1"/>
  <c r="T531" i="1"/>
  <c r="S531" i="1"/>
  <c r="Q531" i="1"/>
  <c r="P531" i="1"/>
  <c r="N531" i="1"/>
  <c r="BO531" i="1"/>
  <c r="BN531" i="1"/>
  <c r="DG503" i="1"/>
  <c r="DA503" i="1"/>
  <c r="T503" i="1"/>
  <c r="S503" i="1"/>
  <c r="Q503" i="1"/>
  <c r="P503" i="1"/>
  <c r="N503" i="1"/>
  <c r="BO503" i="1"/>
  <c r="BN503" i="1"/>
  <c r="DG512" i="1"/>
  <c r="DA512" i="1"/>
  <c r="T512" i="1"/>
  <c r="S512" i="1"/>
  <c r="Q512" i="1"/>
  <c r="P512" i="1"/>
  <c r="N512" i="1"/>
  <c r="BO512" i="1"/>
  <c r="BN512" i="1"/>
  <c r="DG511" i="1"/>
  <c r="DA511" i="1"/>
  <c r="T511" i="1"/>
  <c r="S511" i="1"/>
  <c r="Q511" i="1"/>
  <c r="P511" i="1"/>
  <c r="N511" i="1"/>
  <c r="BO511" i="1"/>
  <c r="BN511" i="1"/>
  <c r="DG510" i="1"/>
  <c r="DA510" i="1"/>
  <c r="T510" i="1"/>
  <c r="S510" i="1"/>
  <c r="Q510" i="1"/>
  <c r="P510" i="1"/>
  <c r="N510" i="1"/>
  <c r="BO510" i="1"/>
  <c r="BN510" i="1"/>
  <c r="DG509" i="1"/>
  <c r="DA509" i="1"/>
  <c r="T509" i="1"/>
  <c r="S509" i="1"/>
  <c r="Q509" i="1"/>
  <c r="P509" i="1"/>
  <c r="N509" i="1"/>
  <c r="BO509" i="1"/>
  <c r="BN509" i="1"/>
  <c r="DG504" i="1"/>
  <c r="DA504" i="1"/>
  <c r="T504" i="1"/>
  <c r="S504" i="1"/>
  <c r="Q504" i="1"/>
  <c r="P504" i="1"/>
  <c r="N504" i="1"/>
  <c r="BO504" i="1"/>
  <c r="BN504" i="1"/>
  <c r="DG652" i="1"/>
  <c r="DA652" i="1"/>
  <c r="T652" i="1"/>
  <c r="S652" i="1"/>
  <c r="Q652" i="1"/>
  <c r="P652" i="1"/>
  <c r="N652" i="1"/>
  <c r="BO652" i="1"/>
  <c r="BN652" i="1"/>
  <c r="DG508" i="1"/>
  <c r="DA508" i="1"/>
  <c r="T508" i="1"/>
  <c r="S508" i="1"/>
  <c r="Q508" i="1"/>
  <c r="P508" i="1"/>
  <c r="N508" i="1"/>
  <c r="BO508" i="1"/>
  <c r="BN508" i="1"/>
  <c r="DG3002" i="1"/>
  <c r="DA3002" i="1"/>
  <c r="T3002" i="1"/>
  <c r="S3002" i="1"/>
  <c r="Q3002" i="1"/>
  <c r="P3002" i="1"/>
  <c r="N3002" i="1"/>
  <c r="BO3002" i="1"/>
  <c r="BN3002" i="1"/>
  <c r="DG506" i="1"/>
  <c r="DA506" i="1"/>
  <c r="T506" i="1"/>
  <c r="S506" i="1"/>
  <c r="Q506" i="1"/>
  <c r="P506" i="1"/>
  <c r="N506" i="1"/>
  <c r="BO506" i="1"/>
  <c r="BN506" i="1"/>
  <c r="DG505" i="1"/>
  <c r="DA505" i="1"/>
  <c r="T505" i="1"/>
  <c r="S505" i="1"/>
  <c r="Q505" i="1"/>
  <c r="P505" i="1"/>
  <c r="N505" i="1"/>
  <c r="BO505" i="1"/>
  <c r="BN505" i="1"/>
  <c r="DG500" i="1"/>
  <c r="DA500" i="1"/>
  <c r="T500" i="1"/>
  <c r="S500" i="1"/>
  <c r="Q500" i="1"/>
  <c r="P500" i="1"/>
  <c r="N500" i="1"/>
  <c r="BO500" i="1"/>
  <c r="BN500" i="1"/>
  <c r="DG2281" i="1"/>
  <c r="DA2281" i="1"/>
  <c r="T2281" i="1"/>
  <c r="S2281" i="1"/>
  <c r="Q2281" i="1"/>
  <c r="P2281" i="1"/>
  <c r="N2281" i="1"/>
  <c r="BO2281" i="1"/>
  <c r="BN2281" i="1"/>
  <c r="DG498" i="1"/>
  <c r="DA498" i="1"/>
  <c r="T498" i="1"/>
  <c r="S498" i="1"/>
  <c r="Q498" i="1"/>
  <c r="P498" i="1"/>
  <c r="N498" i="1"/>
  <c r="BO498" i="1"/>
  <c r="BN498" i="1"/>
  <c r="DG483" i="1"/>
  <c r="DA483" i="1"/>
  <c r="T483" i="1"/>
  <c r="S483" i="1"/>
  <c r="Q483" i="1"/>
  <c r="P483" i="1"/>
  <c r="N483" i="1"/>
  <c r="BO483" i="1"/>
  <c r="BN483" i="1"/>
  <c r="DG482" i="1"/>
  <c r="DA482" i="1"/>
  <c r="T482" i="1"/>
  <c r="S482" i="1"/>
  <c r="Q482" i="1"/>
  <c r="P482" i="1"/>
  <c r="N482" i="1"/>
  <c r="BO482" i="1"/>
  <c r="BN482" i="1"/>
  <c r="DG2277" i="1"/>
  <c r="DA2277" i="1"/>
  <c r="T2277" i="1"/>
  <c r="S2277" i="1"/>
  <c r="Q2277" i="1"/>
  <c r="P2277" i="1"/>
  <c r="N2277" i="1"/>
  <c r="BO2277" i="1"/>
  <c r="BN2277" i="1"/>
  <c r="DG480" i="1"/>
  <c r="DA480" i="1"/>
  <c r="T480" i="1"/>
  <c r="S480" i="1"/>
  <c r="Q480" i="1"/>
  <c r="P480" i="1"/>
  <c r="N480" i="1"/>
  <c r="BO480" i="1"/>
  <c r="BN480" i="1"/>
  <c r="DG479" i="1"/>
  <c r="DA479" i="1"/>
  <c r="T479" i="1"/>
  <c r="S479" i="1"/>
  <c r="Q479" i="1"/>
  <c r="P479" i="1"/>
  <c r="N479" i="1"/>
  <c r="BO479" i="1"/>
  <c r="BN479" i="1"/>
  <c r="DG478" i="1"/>
  <c r="DA478" i="1"/>
  <c r="T478" i="1"/>
  <c r="S478" i="1"/>
  <c r="Q478" i="1"/>
  <c r="P478" i="1"/>
  <c r="N478" i="1"/>
  <c r="BO478" i="1"/>
  <c r="BN478" i="1"/>
  <c r="DG477" i="1"/>
  <c r="DA477" i="1"/>
  <c r="T477" i="1"/>
  <c r="S477" i="1"/>
  <c r="Q477" i="1"/>
  <c r="P477" i="1"/>
  <c r="N477" i="1"/>
  <c r="BO477" i="1"/>
  <c r="BN477" i="1"/>
  <c r="DG476" i="1"/>
  <c r="DA476" i="1"/>
  <c r="T476" i="1"/>
  <c r="S476" i="1"/>
  <c r="Q476" i="1"/>
  <c r="P476" i="1"/>
  <c r="N476" i="1"/>
  <c r="BO476" i="1"/>
  <c r="BN476" i="1"/>
  <c r="DG475" i="1"/>
  <c r="DA475" i="1"/>
  <c r="T475" i="1"/>
  <c r="S475" i="1"/>
  <c r="Q475" i="1"/>
  <c r="P475" i="1"/>
  <c r="N475" i="1"/>
  <c r="BO475" i="1"/>
  <c r="BN475" i="1"/>
  <c r="DG474" i="1"/>
  <c r="DA474" i="1"/>
  <c r="T474" i="1"/>
  <c r="S474" i="1"/>
  <c r="Q474" i="1"/>
  <c r="P474" i="1"/>
  <c r="N474" i="1"/>
  <c r="BO474" i="1"/>
  <c r="BN474" i="1"/>
  <c r="DG2269" i="1"/>
  <c r="DA2269" i="1"/>
  <c r="T2269" i="1"/>
  <c r="S2269" i="1"/>
  <c r="Q2269" i="1"/>
  <c r="P2269" i="1"/>
  <c r="N2269" i="1"/>
  <c r="BO2269" i="1"/>
  <c r="BN2269" i="1"/>
  <c r="DG472" i="1"/>
  <c r="DA472" i="1"/>
  <c r="T472" i="1"/>
  <c r="S472" i="1"/>
  <c r="Q472" i="1"/>
  <c r="P472" i="1"/>
  <c r="N472" i="1"/>
  <c r="BO472" i="1"/>
  <c r="BN472" i="1"/>
  <c r="DG469" i="1"/>
  <c r="DA469" i="1"/>
  <c r="T469" i="1"/>
  <c r="S469" i="1"/>
  <c r="Q469" i="1"/>
  <c r="P469" i="1"/>
  <c r="N469" i="1"/>
  <c r="BO469" i="1"/>
  <c r="BN469" i="1"/>
  <c r="DG468" i="1"/>
  <c r="DA468" i="1"/>
  <c r="T468" i="1"/>
  <c r="S468" i="1"/>
  <c r="Q468" i="1"/>
  <c r="P468" i="1"/>
  <c r="N468" i="1"/>
  <c r="BO468" i="1"/>
  <c r="BN468" i="1"/>
  <c r="DG3007" i="1"/>
  <c r="DA3007" i="1"/>
  <c r="T3007" i="1"/>
  <c r="S3007" i="1"/>
  <c r="Q3007" i="1"/>
  <c r="P3007" i="1"/>
  <c r="N3007" i="1"/>
  <c r="BO3007" i="1"/>
  <c r="BN3007" i="1"/>
  <c r="DG466" i="1"/>
  <c r="DA466" i="1"/>
  <c r="T466" i="1"/>
  <c r="S466" i="1"/>
  <c r="Q466" i="1"/>
  <c r="P466" i="1"/>
  <c r="N466" i="1"/>
  <c r="BO466" i="1"/>
  <c r="BN466" i="1"/>
  <c r="DG465" i="1"/>
  <c r="DA465" i="1"/>
  <c r="T465" i="1"/>
  <c r="S465" i="1"/>
  <c r="Q465" i="1"/>
  <c r="P465" i="1"/>
  <c r="N465" i="1"/>
  <c r="BO465" i="1"/>
  <c r="BN465" i="1"/>
  <c r="DG464" i="1"/>
  <c r="DA464" i="1"/>
  <c r="T464" i="1"/>
  <c r="S464" i="1"/>
  <c r="Q464" i="1"/>
  <c r="P464" i="1"/>
  <c r="N464" i="1"/>
  <c r="BO464" i="1"/>
  <c r="BN464" i="1"/>
  <c r="DG2261" i="1"/>
  <c r="DA2261" i="1"/>
  <c r="T2261" i="1"/>
  <c r="S2261" i="1"/>
  <c r="Q2261" i="1"/>
  <c r="P2261" i="1"/>
  <c r="N2261" i="1"/>
  <c r="BO2261" i="1"/>
  <c r="BN2261" i="1"/>
  <c r="DG471" i="1"/>
  <c r="DA471" i="1"/>
  <c r="T471" i="1"/>
  <c r="S471" i="1"/>
  <c r="Q471" i="1"/>
  <c r="P471" i="1"/>
  <c r="N471" i="1"/>
  <c r="BO471" i="1"/>
  <c r="BN471" i="1"/>
  <c r="DG470" i="1"/>
  <c r="DA470" i="1"/>
  <c r="T470" i="1"/>
  <c r="S470" i="1"/>
  <c r="Q470" i="1"/>
  <c r="P470" i="1"/>
  <c r="N470" i="1"/>
  <c r="BO470" i="1"/>
  <c r="BN470" i="1"/>
  <c r="DG589" i="1"/>
  <c r="DA589" i="1"/>
  <c r="T589" i="1"/>
  <c r="S589" i="1"/>
  <c r="Q589" i="1"/>
  <c r="P589" i="1"/>
  <c r="N589" i="1"/>
  <c r="BO589" i="1"/>
  <c r="BN589" i="1"/>
  <c r="DG502" i="1"/>
  <c r="DA502" i="1"/>
  <c r="T502" i="1"/>
  <c r="S502" i="1"/>
  <c r="Q502" i="1"/>
  <c r="P502" i="1"/>
  <c r="N502" i="1"/>
  <c r="BO502" i="1"/>
  <c r="BN502" i="1"/>
  <c r="DG650" i="1"/>
  <c r="DA650" i="1"/>
  <c r="T650" i="1"/>
  <c r="S650" i="1"/>
  <c r="Q650" i="1"/>
  <c r="P650" i="1"/>
  <c r="N650" i="1"/>
  <c r="BO650" i="1"/>
  <c r="BN650" i="1"/>
  <c r="DG676" i="1"/>
  <c r="DA676" i="1"/>
  <c r="T676" i="1"/>
  <c r="S676" i="1"/>
  <c r="Q676" i="1"/>
  <c r="P676" i="1"/>
  <c r="N676" i="1"/>
  <c r="BO676" i="1"/>
  <c r="BN676" i="1"/>
  <c r="DG583" i="1"/>
  <c r="DA583" i="1"/>
  <c r="T583" i="1"/>
  <c r="S583" i="1"/>
  <c r="Q583" i="1"/>
  <c r="P583" i="1"/>
  <c r="N583" i="1"/>
  <c r="BO583" i="1"/>
  <c r="BN583" i="1"/>
  <c r="DG2699" i="1"/>
  <c r="DA2699" i="1"/>
  <c r="T2699" i="1"/>
  <c r="S2699" i="1"/>
  <c r="Q2699" i="1"/>
  <c r="P2699" i="1"/>
  <c r="N2699" i="1"/>
  <c r="BO2699" i="1"/>
  <c r="BN2699" i="1"/>
  <c r="DG646" i="1"/>
  <c r="DA646" i="1"/>
  <c r="T646" i="1"/>
  <c r="S646" i="1"/>
  <c r="Q646" i="1"/>
  <c r="P646" i="1"/>
  <c r="N646" i="1"/>
  <c r="BO646" i="1"/>
  <c r="BN646" i="1"/>
  <c r="DG651" i="1"/>
  <c r="DA651" i="1"/>
  <c r="T651" i="1"/>
  <c r="S651" i="1"/>
  <c r="Q651" i="1"/>
  <c r="P651" i="1"/>
  <c r="N651" i="1"/>
  <c r="BO651" i="1"/>
  <c r="BN651" i="1"/>
  <c r="DG659" i="1"/>
  <c r="DA659" i="1"/>
  <c r="T659" i="1"/>
  <c r="S659" i="1"/>
  <c r="Q659" i="1"/>
  <c r="P659" i="1"/>
  <c r="N659" i="1"/>
  <c r="BO659" i="1"/>
  <c r="BN659" i="1"/>
  <c r="DG492" i="1"/>
  <c r="DA492" i="1"/>
  <c r="T492" i="1"/>
  <c r="S492" i="1"/>
  <c r="Q492" i="1"/>
  <c r="P492" i="1"/>
  <c r="N492" i="1"/>
  <c r="BO492" i="1"/>
  <c r="BN492" i="1"/>
  <c r="DG491" i="1"/>
  <c r="DA491" i="1"/>
  <c r="T491" i="1"/>
  <c r="S491" i="1"/>
  <c r="Q491" i="1"/>
  <c r="P491" i="1"/>
  <c r="N491" i="1"/>
  <c r="BO491" i="1"/>
  <c r="BN491" i="1"/>
  <c r="DG647" i="1"/>
  <c r="DA647" i="1"/>
  <c r="T647" i="1"/>
  <c r="S647" i="1"/>
  <c r="Q647" i="1"/>
  <c r="P647" i="1"/>
  <c r="N647" i="1"/>
  <c r="BO647" i="1"/>
  <c r="BN647" i="1"/>
  <c r="DG485" i="1"/>
  <c r="DA485" i="1"/>
  <c r="T485" i="1"/>
  <c r="S485" i="1"/>
  <c r="Q485" i="1"/>
  <c r="P485" i="1"/>
  <c r="N485" i="1"/>
  <c r="BO485" i="1"/>
  <c r="BN485" i="1"/>
  <c r="DG3013" i="1"/>
  <c r="DA3013" i="1"/>
  <c r="T3013" i="1"/>
  <c r="S3013" i="1"/>
  <c r="Q3013" i="1"/>
  <c r="P3013" i="1"/>
  <c r="N3013" i="1"/>
  <c r="BO3013" i="1"/>
  <c r="BN3013" i="1"/>
  <c r="DG496" i="1"/>
  <c r="DA496" i="1"/>
  <c r="T496" i="1"/>
  <c r="S496" i="1"/>
  <c r="Q496" i="1"/>
  <c r="P496" i="1"/>
  <c r="N496" i="1"/>
  <c r="BO496" i="1"/>
  <c r="BN496" i="1"/>
  <c r="DG685" i="1"/>
  <c r="DA685" i="1"/>
  <c r="T685" i="1"/>
  <c r="S685" i="1"/>
  <c r="Q685" i="1"/>
  <c r="P685" i="1"/>
  <c r="N685" i="1"/>
  <c r="BO685" i="1"/>
  <c r="BN685" i="1"/>
  <c r="DG686" i="1"/>
  <c r="DA686" i="1"/>
  <c r="T686" i="1"/>
  <c r="S686" i="1"/>
  <c r="Q686" i="1"/>
  <c r="P686" i="1"/>
  <c r="N686" i="1"/>
  <c r="BO686" i="1"/>
  <c r="BN686" i="1"/>
  <c r="DG687" i="1"/>
  <c r="DA687" i="1"/>
  <c r="T687" i="1"/>
  <c r="S687" i="1"/>
  <c r="Q687" i="1"/>
  <c r="P687" i="1"/>
  <c r="N687" i="1"/>
  <c r="BO687" i="1"/>
  <c r="BN687" i="1"/>
  <c r="DG688" i="1"/>
  <c r="DA688" i="1"/>
  <c r="T688" i="1"/>
  <c r="S688" i="1"/>
  <c r="Q688" i="1"/>
  <c r="P688" i="1"/>
  <c r="N688" i="1"/>
  <c r="BO688" i="1"/>
  <c r="BN688" i="1"/>
  <c r="DG689" i="1"/>
  <c r="DA689" i="1"/>
  <c r="T689" i="1"/>
  <c r="S689" i="1"/>
  <c r="Q689" i="1"/>
  <c r="P689" i="1"/>
  <c r="N689" i="1"/>
  <c r="BO689" i="1"/>
  <c r="BN689" i="1"/>
  <c r="DG690" i="1"/>
  <c r="DA690" i="1"/>
  <c r="T690" i="1"/>
  <c r="S690" i="1"/>
  <c r="Q690" i="1"/>
  <c r="P690" i="1"/>
  <c r="N690" i="1"/>
  <c r="BO690" i="1"/>
  <c r="BN690" i="1"/>
  <c r="DG2446" i="1"/>
  <c r="DA2446" i="1"/>
  <c r="T2446" i="1"/>
  <c r="S2446" i="1"/>
  <c r="Q2446" i="1"/>
  <c r="P2446" i="1"/>
  <c r="N2446" i="1"/>
  <c r="BO2446" i="1"/>
  <c r="BN2446" i="1"/>
  <c r="DG692" i="1"/>
  <c r="DA692" i="1"/>
  <c r="T692" i="1"/>
  <c r="S692" i="1"/>
  <c r="Q692" i="1"/>
  <c r="P692" i="1"/>
  <c r="N692" i="1"/>
  <c r="BO692" i="1"/>
  <c r="BN692" i="1"/>
  <c r="DG693" i="1"/>
  <c r="DA693" i="1"/>
  <c r="T693" i="1"/>
  <c r="S693" i="1"/>
  <c r="Q693" i="1"/>
  <c r="P693" i="1"/>
  <c r="N693" i="1"/>
  <c r="BO693" i="1"/>
  <c r="BN693" i="1"/>
  <c r="DG694" i="1"/>
  <c r="DA694" i="1"/>
  <c r="T694" i="1"/>
  <c r="S694" i="1"/>
  <c r="Q694" i="1"/>
  <c r="P694" i="1"/>
  <c r="N694" i="1"/>
  <c r="BO694" i="1"/>
  <c r="BN694" i="1"/>
  <c r="DG695" i="1"/>
  <c r="DA695" i="1"/>
  <c r="T695" i="1"/>
  <c r="S695" i="1"/>
  <c r="Q695" i="1"/>
  <c r="P695" i="1"/>
  <c r="N695" i="1"/>
  <c r="BO695" i="1"/>
  <c r="BN695" i="1"/>
  <c r="DG696" i="1"/>
  <c r="DA696" i="1"/>
  <c r="T696" i="1"/>
  <c r="S696" i="1"/>
  <c r="Q696" i="1"/>
  <c r="P696" i="1"/>
  <c r="N696" i="1"/>
  <c r="BO696" i="1"/>
  <c r="BN696" i="1"/>
  <c r="DG697" i="1"/>
  <c r="DA697" i="1"/>
  <c r="T697" i="1"/>
  <c r="S697" i="1"/>
  <c r="Q697" i="1"/>
  <c r="P697" i="1"/>
  <c r="N697" i="1"/>
  <c r="BO697" i="1"/>
  <c r="BN697" i="1"/>
  <c r="DG698" i="1"/>
  <c r="DA698" i="1"/>
  <c r="T698" i="1"/>
  <c r="S698" i="1"/>
  <c r="Q698" i="1"/>
  <c r="P698" i="1"/>
  <c r="N698" i="1"/>
  <c r="BO698" i="1"/>
  <c r="BN698" i="1"/>
  <c r="DG699" i="1"/>
  <c r="DA699" i="1"/>
  <c r="T699" i="1"/>
  <c r="S699" i="1"/>
  <c r="Q699" i="1"/>
  <c r="P699" i="1"/>
  <c r="N699" i="1"/>
  <c r="BO699" i="1"/>
  <c r="BN699" i="1"/>
  <c r="DG700" i="1"/>
  <c r="DA700" i="1"/>
  <c r="T700" i="1"/>
  <c r="S700" i="1"/>
  <c r="Q700" i="1"/>
  <c r="P700" i="1"/>
  <c r="N700" i="1"/>
  <c r="BO700" i="1"/>
  <c r="BN700" i="1"/>
  <c r="DG701" i="1"/>
  <c r="DA701" i="1"/>
  <c r="T701" i="1"/>
  <c r="S701" i="1"/>
  <c r="Q701" i="1"/>
  <c r="P701" i="1"/>
  <c r="N701" i="1"/>
  <c r="BO701" i="1"/>
  <c r="BN701" i="1"/>
  <c r="DG702" i="1"/>
  <c r="DA702" i="1"/>
  <c r="T702" i="1"/>
  <c r="S702" i="1"/>
  <c r="Q702" i="1"/>
  <c r="P702" i="1"/>
  <c r="N702" i="1"/>
  <c r="BO702" i="1"/>
  <c r="BN702" i="1"/>
  <c r="DG703" i="1"/>
  <c r="DA703" i="1"/>
  <c r="T703" i="1"/>
  <c r="S703" i="1"/>
  <c r="Q703" i="1"/>
  <c r="P703" i="1"/>
  <c r="N703" i="1"/>
  <c r="BO703" i="1"/>
  <c r="BN703" i="1"/>
  <c r="DG704" i="1"/>
  <c r="DA704" i="1"/>
  <c r="T704" i="1"/>
  <c r="S704" i="1"/>
  <c r="Q704" i="1"/>
  <c r="P704" i="1"/>
  <c r="N704" i="1"/>
  <c r="BO704" i="1"/>
  <c r="BN704" i="1"/>
  <c r="DG705" i="1"/>
  <c r="DA705" i="1"/>
  <c r="T705" i="1"/>
  <c r="S705" i="1"/>
  <c r="Q705" i="1"/>
  <c r="P705" i="1"/>
  <c r="N705" i="1"/>
  <c r="BO705" i="1"/>
  <c r="BN705" i="1"/>
  <c r="DG706" i="1"/>
  <c r="DA706" i="1"/>
  <c r="T706" i="1"/>
  <c r="S706" i="1"/>
  <c r="Q706" i="1"/>
  <c r="P706" i="1"/>
  <c r="N706" i="1"/>
  <c r="BO706" i="1"/>
  <c r="BN706" i="1"/>
  <c r="DG2454" i="1"/>
  <c r="DA2454" i="1"/>
  <c r="T2454" i="1"/>
  <c r="S2454" i="1"/>
  <c r="Q2454" i="1"/>
  <c r="P2454" i="1"/>
  <c r="N2454" i="1"/>
  <c r="BO2454" i="1"/>
  <c r="BN2454" i="1"/>
  <c r="DG708" i="1"/>
  <c r="DA708" i="1"/>
  <c r="T708" i="1"/>
  <c r="S708" i="1"/>
  <c r="Q708" i="1"/>
  <c r="P708" i="1"/>
  <c r="N708" i="1"/>
  <c r="BO708" i="1"/>
  <c r="BN708" i="1"/>
  <c r="DG709" i="1"/>
  <c r="DA709" i="1"/>
  <c r="T709" i="1"/>
  <c r="S709" i="1"/>
  <c r="Q709" i="1"/>
  <c r="P709" i="1"/>
  <c r="N709" i="1"/>
  <c r="BO709" i="1"/>
  <c r="BN709" i="1"/>
  <c r="DG710" i="1"/>
  <c r="DA710" i="1"/>
  <c r="T710" i="1"/>
  <c r="S710" i="1"/>
  <c r="Q710" i="1"/>
  <c r="P710" i="1"/>
  <c r="N710" i="1"/>
  <c r="BO710" i="1"/>
  <c r="BN710" i="1"/>
  <c r="DG2212" i="1"/>
  <c r="DA2212" i="1"/>
  <c r="T2212" i="1"/>
  <c r="S2212" i="1"/>
  <c r="Q2212" i="1"/>
  <c r="P2212" i="1"/>
  <c r="N2212" i="1"/>
  <c r="BO2212" i="1"/>
  <c r="BN2212" i="1"/>
  <c r="DG712" i="1"/>
  <c r="DA712" i="1"/>
  <c r="T712" i="1"/>
  <c r="S712" i="1"/>
  <c r="Q712" i="1"/>
  <c r="P712" i="1"/>
  <c r="N712" i="1"/>
  <c r="BO712" i="1"/>
  <c r="BN712" i="1"/>
  <c r="DG713" i="1"/>
  <c r="DA713" i="1"/>
  <c r="T713" i="1"/>
  <c r="S713" i="1"/>
  <c r="Q713" i="1"/>
  <c r="P713" i="1"/>
  <c r="N713" i="1"/>
  <c r="BO713" i="1"/>
  <c r="BN713" i="1"/>
  <c r="DG714" i="1"/>
  <c r="DA714" i="1"/>
  <c r="T714" i="1"/>
  <c r="S714" i="1"/>
  <c r="Q714" i="1"/>
  <c r="P714" i="1"/>
  <c r="N714" i="1"/>
  <c r="BO714" i="1"/>
  <c r="BN714" i="1"/>
  <c r="DG2011" i="1"/>
  <c r="DA2011" i="1"/>
  <c r="T2011" i="1"/>
  <c r="S2011" i="1"/>
  <c r="Q2011" i="1"/>
  <c r="P2011" i="1"/>
  <c r="N2011" i="1"/>
  <c r="BO2011" i="1"/>
  <c r="BN2011" i="1"/>
  <c r="DG724" i="1"/>
  <c r="DA724" i="1"/>
  <c r="T724" i="1"/>
  <c r="S724" i="1"/>
  <c r="Q724" i="1"/>
  <c r="P724" i="1"/>
  <c r="N724" i="1"/>
  <c r="BO724" i="1"/>
  <c r="BN724" i="1"/>
  <c r="DG718" i="1"/>
  <c r="DA718" i="1"/>
  <c r="T718" i="1"/>
  <c r="S718" i="1"/>
  <c r="Q718" i="1"/>
  <c r="P718" i="1"/>
  <c r="N718" i="1"/>
  <c r="BO718" i="1"/>
  <c r="BN718" i="1"/>
  <c r="DG717" i="1"/>
  <c r="DA717" i="1"/>
  <c r="T717" i="1"/>
  <c r="S717" i="1"/>
  <c r="Q717" i="1"/>
  <c r="P717" i="1"/>
  <c r="N717" i="1"/>
  <c r="BO717" i="1"/>
  <c r="BN717" i="1"/>
  <c r="DG716" i="1"/>
  <c r="DA716" i="1"/>
  <c r="T716" i="1"/>
  <c r="S716" i="1"/>
  <c r="Q716" i="1"/>
  <c r="P716" i="1"/>
  <c r="N716" i="1"/>
  <c r="BO716" i="1"/>
  <c r="BN716" i="1"/>
  <c r="DG723" i="1"/>
  <c r="DA723" i="1"/>
  <c r="T723" i="1"/>
  <c r="S723" i="1"/>
  <c r="Q723" i="1"/>
  <c r="P723" i="1"/>
  <c r="N723" i="1"/>
  <c r="BO723" i="1"/>
  <c r="BN723" i="1"/>
  <c r="DG722" i="1"/>
  <c r="DA722" i="1"/>
  <c r="T722" i="1"/>
  <c r="S722" i="1"/>
  <c r="Q722" i="1"/>
  <c r="P722" i="1"/>
  <c r="N722" i="1"/>
  <c r="BO722" i="1"/>
  <c r="BN722" i="1"/>
  <c r="DG720" i="1"/>
  <c r="DA720" i="1"/>
  <c r="T720" i="1"/>
  <c r="S720" i="1"/>
  <c r="Q720" i="1"/>
  <c r="P720" i="1"/>
  <c r="N720" i="1"/>
  <c r="BO720" i="1"/>
  <c r="BN720" i="1"/>
  <c r="DG2201" i="1"/>
  <c r="DA2201" i="1"/>
  <c r="T2201" i="1"/>
  <c r="S2201" i="1"/>
  <c r="Q2201" i="1"/>
  <c r="P2201" i="1"/>
  <c r="N2201" i="1"/>
  <c r="BO2201" i="1"/>
  <c r="BN2201" i="1"/>
  <c r="DG725" i="1"/>
  <c r="DA725" i="1"/>
  <c r="T725" i="1"/>
  <c r="S725" i="1"/>
  <c r="Q725" i="1"/>
  <c r="P725" i="1"/>
  <c r="N725" i="1"/>
  <c r="BO725" i="1"/>
  <c r="BN725" i="1"/>
  <c r="DG726" i="1"/>
  <c r="DA726" i="1"/>
  <c r="T726" i="1"/>
  <c r="S726" i="1"/>
  <c r="Q726" i="1"/>
  <c r="P726" i="1"/>
  <c r="N726" i="1"/>
  <c r="BO726" i="1"/>
  <c r="BN726" i="1"/>
  <c r="DG727" i="1"/>
  <c r="DA727" i="1"/>
  <c r="T727" i="1"/>
  <c r="S727" i="1"/>
  <c r="Q727" i="1"/>
  <c r="P727" i="1"/>
  <c r="N727" i="1"/>
  <c r="BO727" i="1"/>
  <c r="BN727" i="1"/>
  <c r="DG731" i="1"/>
  <c r="DA731" i="1"/>
  <c r="T731" i="1"/>
  <c r="S731" i="1"/>
  <c r="Q731" i="1"/>
  <c r="P731" i="1"/>
  <c r="N731" i="1"/>
  <c r="BO731" i="1"/>
  <c r="BN731" i="1"/>
  <c r="DG730" i="1"/>
  <c r="DA730" i="1"/>
  <c r="T730" i="1"/>
  <c r="S730" i="1"/>
  <c r="Q730" i="1"/>
  <c r="P730" i="1"/>
  <c r="N730" i="1"/>
  <c r="BO730" i="1"/>
  <c r="BN730" i="1"/>
  <c r="DG729" i="1"/>
  <c r="DA729" i="1"/>
  <c r="T729" i="1"/>
  <c r="S729" i="1"/>
  <c r="Q729" i="1"/>
  <c r="P729" i="1"/>
  <c r="N729" i="1"/>
  <c r="BO729" i="1"/>
  <c r="BN729" i="1"/>
  <c r="DG728" i="1"/>
  <c r="DA728" i="1"/>
  <c r="T728" i="1"/>
  <c r="S728" i="1"/>
  <c r="Q728" i="1"/>
  <c r="P728" i="1"/>
  <c r="N728" i="1"/>
  <c r="BO728" i="1"/>
  <c r="BN728" i="1"/>
  <c r="DG732" i="1"/>
  <c r="DA732" i="1"/>
  <c r="T732" i="1"/>
  <c r="S732" i="1"/>
  <c r="Q732" i="1"/>
  <c r="P732" i="1"/>
  <c r="N732" i="1"/>
  <c r="BO732" i="1"/>
  <c r="BN732" i="1"/>
  <c r="DG733" i="1"/>
  <c r="DA733" i="1"/>
  <c r="T733" i="1"/>
  <c r="S733" i="1"/>
  <c r="Q733" i="1"/>
  <c r="P733" i="1"/>
  <c r="N733" i="1"/>
  <c r="BO733" i="1"/>
  <c r="BN733" i="1"/>
  <c r="DG2661" i="1"/>
  <c r="DA2661" i="1"/>
  <c r="T2661" i="1"/>
  <c r="S2661" i="1"/>
  <c r="Q2661" i="1"/>
  <c r="P2661" i="1"/>
  <c r="N2661" i="1"/>
  <c r="BO2661" i="1"/>
  <c r="BN2661" i="1"/>
  <c r="DG2816" i="1"/>
  <c r="DA2816" i="1"/>
  <c r="T2816" i="1"/>
  <c r="S2816" i="1"/>
  <c r="Q2816" i="1"/>
  <c r="P2816" i="1"/>
  <c r="N2816" i="1"/>
  <c r="BO2816" i="1"/>
  <c r="BN2816" i="1"/>
  <c r="DG2653" i="1"/>
  <c r="DA2653" i="1"/>
  <c r="T2653" i="1"/>
  <c r="S2653" i="1"/>
  <c r="Q2653" i="1"/>
  <c r="P2653" i="1"/>
  <c r="N2653" i="1"/>
  <c r="BO2653" i="1"/>
  <c r="BN2653" i="1"/>
  <c r="DG2145" i="1"/>
  <c r="DA2145" i="1"/>
  <c r="T2145" i="1"/>
  <c r="S2145" i="1"/>
  <c r="Q2145" i="1"/>
  <c r="P2145" i="1"/>
  <c r="N2145" i="1"/>
  <c r="BO2145" i="1"/>
  <c r="BN2145" i="1"/>
  <c r="DG2643" i="1"/>
  <c r="DA2643" i="1"/>
  <c r="T2643" i="1"/>
  <c r="S2643" i="1"/>
  <c r="Q2643" i="1"/>
  <c r="P2643" i="1"/>
  <c r="N2643" i="1"/>
  <c r="BO2643" i="1"/>
  <c r="BN2643" i="1"/>
  <c r="DG2137" i="1"/>
  <c r="DA2137" i="1"/>
  <c r="T2137" i="1"/>
  <c r="S2137" i="1"/>
  <c r="Q2137" i="1"/>
  <c r="P2137" i="1"/>
  <c r="N2137" i="1"/>
  <c r="BO2137" i="1"/>
  <c r="BN2137" i="1"/>
  <c r="DG2637" i="1"/>
  <c r="DA2637" i="1"/>
  <c r="T2637" i="1"/>
  <c r="S2637" i="1"/>
  <c r="Q2637" i="1"/>
  <c r="P2637" i="1"/>
  <c r="N2637" i="1"/>
  <c r="BO2637" i="1"/>
  <c r="BN2637" i="1"/>
  <c r="DG1825" i="1"/>
  <c r="DA1825" i="1"/>
  <c r="T1825" i="1"/>
  <c r="S1825" i="1"/>
  <c r="Q1825" i="1"/>
  <c r="P1825" i="1"/>
  <c r="N1825" i="1"/>
  <c r="BO1825" i="1"/>
  <c r="BN1825" i="1"/>
  <c r="DG1790" i="1"/>
  <c r="DA1790" i="1"/>
  <c r="T1790" i="1"/>
  <c r="S1790" i="1"/>
  <c r="Q1790" i="1"/>
  <c r="P1790" i="1"/>
  <c r="N1790" i="1"/>
  <c r="BO1790" i="1"/>
  <c r="BN1790" i="1"/>
  <c r="DG41" i="1"/>
  <c r="DA41" i="1"/>
  <c r="T41" i="1"/>
  <c r="S41" i="1"/>
  <c r="Q41" i="1"/>
  <c r="P41" i="1"/>
  <c r="N41" i="1"/>
  <c r="BO41" i="1"/>
  <c r="BN41" i="1"/>
  <c r="DG42" i="1"/>
  <c r="DA42" i="1"/>
  <c r="T42" i="1"/>
  <c r="S42" i="1"/>
  <c r="Q42" i="1"/>
  <c r="P42" i="1"/>
  <c r="N42" i="1"/>
  <c r="BO42" i="1"/>
  <c r="BN42" i="1"/>
  <c r="DG43" i="1"/>
  <c r="DA43" i="1"/>
  <c r="T43" i="1"/>
  <c r="S43" i="1"/>
  <c r="Q43" i="1"/>
  <c r="P43" i="1"/>
  <c r="N43" i="1"/>
  <c r="BO43" i="1"/>
  <c r="BN43" i="1"/>
  <c r="DG36" i="1"/>
  <c r="DA36" i="1"/>
  <c r="T36" i="1"/>
  <c r="S36" i="1"/>
  <c r="Q36" i="1"/>
  <c r="P36" i="1"/>
  <c r="N36" i="1"/>
  <c r="BO36" i="1"/>
  <c r="BN36" i="1"/>
  <c r="DG29" i="1"/>
  <c r="DA29" i="1"/>
  <c r="T29" i="1"/>
  <c r="S29" i="1"/>
  <c r="Q29" i="1"/>
  <c r="P29" i="1"/>
  <c r="N29" i="1"/>
  <c r="BO29" i="1"/>
  <c r="BN29" i="1"/>
  <c r="DG30" i="1"/>
  <c r="DA30" i="1"/>
  <c r="T30" i="1"/>
  <c r="S30" i="1"/>
  <c r="Q30" i="1"/>
  <c r="P30" i="1"/>
  <c r="N30" i="1"/>
  <c r="BO30" i="1"/>
  <c r="BN30" i="1"/>
  <c r="DG31" i="1"/>
  <c r="DA31" i="1"/>
  <c r="T31" i="1"/>
  <c r="S31" i="1"/>
  <c r="Q31" i="1"/>
  <c r="P31" i="1"/>
  <c r="N31" i="1"/>
  <c r="BO31" i="1"/>
  <c r="BN31" i="1"/>
  <c r="DG32" i="1"/>
  <c r="DA32" i="1"/>
  <c r="T32" i="1"/>
  <c r="S32" i="1"/>
  <c r="Q32" i="1"/>
  <c r="P32" i="1"/>
  <c r="N32" i="1"/>
  <c r="BO32" i="1"/>
  <c r="BN32" i="1"/>
  <c r="DG33" i="1"/>
  <c r="DA33" i="1"/>
  <c r="T33" i="1"/>
  <c r="S33" i="1"/>
  <c r="Q33" i="1"/>
  <c r="P33" i="1"/>
  <c r="N33" i="1"/>
  <c r="BO33" i="1"/>
  <c r="BN33" i="1"/>
  <c r="DG34" i="1"/>
  <c r="DA34" i="1"/>
  <c r="T34" i="1"/>
  <c r="S34" i="1"/>
  <c r="Q34" i="1"/>
  <c r="P34" i="1"/>
  <c r="N34" i="1"/>
  <c r="BO34" i="1"/>
  <c r="BN34" i="1"/>
  <c r="DG35" i="1"/>
  <c r="DA35" i="1"/>
  <c r="T35" i="1"/>
  <c r="S35" i="1"/>
  <c r="Q35" i="1"/>
  <c r="P35" i="1"/>
  <c r="N35" i="1"/>
  <c r="BO35" i="1"/>
  <c r="BN35" i="1"/>
  <c r="DG28" i="1"/>
  <c r="DA28" i="1"/>
  <c r="T28" i="1"/>
  <c r="S28" i="1"/>
  <c r="Q28" i="1"/>
  <c r="P28" i="1"/>
  <c r="N28" i="1"/>
  <c r="BO28" i="1"/>
  <c r="BN28" i="1"/>
  <c r="DG24" i="1"/>
  <c r="DA24" i="1"/>
  <c r="T24" i="1"/>
  <c r="S24" i="1"/>
  <c r="Q24" i="1"/>
  <c r="P24" i="1"/>
  <c r="N24" i="1"/>
  <c r="BO24" i="1"/>
  <c r="BN24" i="1"/>
  <c r="DG26" i="1"/>
  <c r="DA26" i="1"/>
  <c r="T26" i="1"/>
  <c r="S26" i="1"/>
  <c r="Q26" i="1"/>
  <c r="P26" i="1"/>
  <c r="N26" i="1"/>
  <c r="BO26" i="1"/>
  <c r="BN26" i="1"/>
  <c r="DG27" i="1"/>
  <c r="DA27" i="1"/>
  <c r="T27" i="1"/>
  <c r="S27" i="1"/>
  <c r="Q27" i="1"/>
  <c r="P27" i="1"/>
  <c r="N27" i="1"/>
  <c r="BO27" i="1"/>
  <c r="BN27" i="1"/>
  <c r="DG25" i="1"/>
  <c r="DA25" i="1"/>
  <c r="T25" i="1"/>
  <c r="S25" i="1"/>
  <c r="Q25" i="1"/>
  <c r="P25" i="1"/>
  <c r="N25" i="1"/>
  <c r="BO25" i="1"/>
  <c r="BN25" i="1"/>
  <c r="DG23" i="1"/>
  <c r="DA23" i="1"/>
  <c r="T23" i="1"/>
  <c r="S23" i="1"/>
  <c r="Q23" i="1"/>
  <c r="P23" i="1"/>
  <c r="N23" i="1"/>
  <c r="BO23" i="1"/>
  <c r="BN23" i="1"/>
  <c r="DG22" i="1"/>
  <c r="DA22" i="1"/>
  <c r="T22" i="1"/>
  <c r="S22" i="1"/>
  <c r="Q22" i="1"/>
  <c r="P22" i="1"/>
  <c r="N22" i="1"/>
  <c r="BO22" i="1"/>
  <c r="BN22" i="1"/>
  <c r="DG21" i="1"/>
  <c r="DA21" i="1"/>
  <c r="T21" i="1"/>
  <c r="S21" i="1"/>
  <c r="Q21" i="1"/>
  <c r="P21" i="1"/>
  <c r="N21" i="1"/>
  <c r="BO21" i="1"/>
  <c r="BN21" i="1"/>
  <c r="DG20" i="1"/>
  <c r="DA20" i="1"/>
  <c r="T20" i="1"/>
  <c r="S20" i="1"/>
  <c r="Q20" i="1"/>
  <c r="P20" i="1"/>
  <c r="N20" i="1"/>
  <c r="BO20" i="1"/>
  <c r="BN20" i="1"/>
  <c r="DG19" i="1"/>
  <c r="DA19" i="1"/>
  <c r="T19" i="1"/>
  <c r="S19" i="1"/>
  <c r="Q19" i="1"/>
  <c r="P19" i="1"/>
  <c r="N19" i="1"/>
  <c r="BO19" i="1"/>
  <c r="BN19" i="1"/>
  <c r="DG18" i="1"/>
  <c r="DA18" i="1"/>
  <c r="T18" i="1"/>
  <c r="S18" i="1"/>
  <c r="Q18" i="1"/>
  <c r="P18" i="1"/>
  <c r="N18" i="1"/>
  <c r="BO18" i="1"/>
  <c r="BN18" i="1"/>
  <c r="DG16" i="1"/>
  <c r="DA16" i="1"/>
  <c r="T16" i="1"/>
  <c r="S16" i="1"/>
  <c r="Q16" i="1"/>
  <c r="P16" i="1"/>
  <c r="N16" i="1"/>
  <c r="BO16" i="1"/>
  <c r="BN16" i="1"/>
  <c r="DG15" i="1"/>
  <c r="DA15" i="1"/>
  <c r="T15" i="1"/>
  <c r="S15" i="1"/>
  <c r="Q15" i="1"/>
  <c r="P15" i="1"/>
  <c r="N15" i="1"/>
  <c r="BO15" i="1"/>
  <c r="BN15" i="1"/>
  <c r="DG17" i="1"/>
  <c r="DA17" i="1"/>
  <c r="T17" i="1"/>
  <c r="S17" i="1"/>
  <c r="Q17" i="1"/>
  <c r="P17" i="1"/>
  <c r="N17" i="1"/>
  <c r="BO17" i="1"/>
  <c r="BN17" i="1"/>
  <c r="DG14" i="1"/>
  <c r="DA14" i="1"/>
  <c r="T14" i="1"/>
  <c r="S14" i="1"/>
  <c r="Q14" i="1"/>
  <c r="P14" i="1"/>
  <c r="N14" i="1"/>
  <c r="BO14" i="1"/>
  <c r="BN14" i="1"/>
  <c r="DG13" i="1"/>
  <c r="DA13" i="1"/>
  <c r="T13" i="1"/>
  <c r="S13" i="1"/>
  <c r="Q13" i="1"/>
  <c r="P13" i="1"/>
  <c r="N13" i="1"/>
  <c r="BO13" i="1"/>
  <c r="BN13" i="1"/>
  <c r="DG12" i="1"/>
  <c r="DA12" i="1"/>
  <c r="T12" i="1"/>
  <c r="S12" i="1"/>
  <c r="Q12" i="1"/>
  <c r="P12" i="1"/>
  <c r="N12" i="1"/>
  <c r="BO12" i="1"/>
  <c r="BN12" i="1"/>
  <c r="DG11" i="1"/>
  <c r="DA11" i="1"/>
  <c r="T11" i="1"/>
  <c r="S11" i="1"/>
  <c r="Q11" i="1"/>
  <c r="P11" i="1"/>
  <c r="N11" i="1"/>
  <c r="BO11" i="1"/>
  <c r="BN11" i="1"/>
  <c r="DG10" i="1"/>
  <c r="DA10" i="1"/>
  <c r="T10" i="1"/>
  <c r="S10" i="1"/>
  <c r="Q10" i="1"/>
  <c r="P10" i="1"/>
  <c r="N10" i="1"/>
  <c r="BO10" i="1"/>
  <c r="BN10" i="1"/>
  <c r="DG9" i="1"/>
  <c r="DA9" i="1"/>
  <c r="T9" i="1"/>
  <c r="S9" i="1"/>
  <c r="Q9" i="1"/>
  <c r="P9" i="1"/>
  <c r="N9" i="1"/>
  <c r="BO9" i="1"/>
  <c r="BN9" i="1"/>
  <c r="DG8" i="1"/>
  <c r="DA8" i="1"/>
  <c r="T8" i="1"/>
  <c r="S8" i="1"/>
  <c r="Q8" i="1"/>
  <c r="P8" i="1"/>
  <c r="N8" i="1"/>
  <c r="BO8" i="1"/>
  <c r="BN8" i="1"/>
  <c r="DG7" i="1"/>
  <c r="DA7" i="1"/>
  <c r="T7" i="1"/>
  <c r="S7" i="1"/>
  <c r="Q7" i="1"/>
  <c r="P7" i="1"/>
  <c r="N7" i="1"/>
  <c r="BO7" i="1"/>
  <c r="BN7" i="1"/>
  <c r="DG6" i="1"/>
  <c r="DA6" i="1"/>
  <c r="T6" i="1"/>
  <c r="S6" i="1"/>
  <c r="Q6" i="1"/>
  <c r="P6" i="1"/>
  <c r="N6" i="1"/>
  <c r="BO6" i="1"/>
  <c r="BN6" i="1"/>
  <c r="DG5" i="1"/>
  <c r="DA5" i="1"/>
  <c r="T5" i="1"/>
  <c r="S5" i="1"/>
  <c r="Q5" i="1"/>
  <c r="P5" i="1"/>
  <c r="N5" i="1"/>
  <c r="BO5" i="1"/>
  <c r="BN5" i="1"/>
  <c r="DG4" i="1"/>
  <c r="DA4" i="1"/>
  <c r="T4" i="1"/>
  <c r="S4" i="1"/>
  <c r="Q4" i="1"/>
  <c r="P4" i="1"/>
  <c r="N4" i="1"/>
  <c r="BO4" i="1"/>
  <c r="BN4" i="1"/>
  <c r="DG3" i="1"/>
  <c r="DA3" i="1"/>
  <c r="T3" i="1"/>
  <c r="S3" i="1"/>
  <c r="Q3" i="1"/>
  <c r="P3" i="1"/>
  <c r="N3" i="1"/>
  <c r="BO3" i="1"/>
  <c r="BN3" i="1"/>
  <c r="DG2" i="1"/>
  <c r="DA2" i="1"/>
  <c r="T2" i="1"/>
  <c r="S2" i="1"/>
  <c r="Q2" i="1"/>
  <c r="P2" i="1"/>
  <c r="N2" i="1"/>
  <c r="BO2" i="1"/>
  <c r="BN2" i="1"/>
  <c r="DG742" i="1"/>
  <c r="DA742" i="1"/>
  <c r="T742" i="1"/>
  <c r="S742" i="1"/>
  <c r="Q742" i="1"/>
  <c r="P742" i="1"/>
  <c r="N742" i="1"/>
  <c r="BO742" i="1"/>
  <c r="BN742" i="1"/>
  <c r="DG3168" i="1"/>
  <c r="DA3168" i="1"/>
  <c r="T3168" i="1"/>
  <c r="S3168" i="1"/>
  <c r="Q3168" i="1"/>
  <c r="P3168" i="1"/>
  <c r="N3168" i="1"/>
  <c r="BO3168" i="1"/>
  <c r="BN3168" i="1"/>
  <c r="DG2802" i="1"/>
  <c r="DA2802" i="1"/>
  <c r="T2802" i="1"/>
  <c r="S2802" i="1"/>
  <c r="Q2802" i="1"/>
  <c r="P2802" i="1"/>
  <c r="N2802" i="1"/>
  <c r="BO2802" i="1"/>
  <c r="BN2802" i="1"/>
  <c r="DG2914" i="1"/>
  <c r="DA2914" i="1"/>
  <c r="T2914" i="1"/>
  <c r="S2914" i="1"/>
  <c r="Q2914" i="1"/>
  <c r="P2914" i="1"/>
  <c r="N2914" i="1"/>
  <c r="BO2914" i="1"/>
  <c r="BN2914" i="1"/>
  <c r="DG2479" i="1"/>
  <c r="DA2479" i="1"/>
  <c r="T2479" i="1"/>
  <c r="S2479" i="1"/>
  <c r="Q2479" i="1"/>
  <c r="P2479" i="1"/>
  <c r="N2479" i="1"/>
  <c r="BO2479" i="1"/>
  <c r="BN2479" i="1"/>
  <c r="DG3043" i="1"/>
  <c r="DA3043" i="1"/>
  <c r="T3043" i="1"/>
  <c r="S3043" i="1"/>
  <c r="Q3043" i="1"/>
  <c r="P3043" i="1"/>
  <c r="N3043" i="1"/>
  <c r="BO3043" i="1"/>
  <c r="BN3043" i="1"/>
  <c r="DG2457" i="1"/>
  <c r="DA2457" i="1"/>
  <c r="T2457" i="1"/>
  <c r="S2457" i="1"/>
  <c r="Q2457" i="1"/>
  <c r="P2457" i="1"/>
  <c r="N2457" i="1"/>
  <c r="BO2457" i="1"/>
  <c r="BN2457" i="1"/>
  <c r="DG2634" i="1"/>
  <c r="DA2634" i="1"/>
  <c r="T2634" i="1"/>
  <c r="S2634" i="1"/>
  <c r="Q2634" i="1"/>
  <c r="P2634" i="1"/>
  <c r="N2634" i="1"/>
  <c r="BO2634" i="1"/>
  <c r="BN2634" i="1"/>
  <c r="DG2122" i="1"/>
  <c r="DA2122" i="1"/>
  <c r="T2122" i="1"/>
  <c r="S2122" i="1"/>
  <c r="Q2122" i="1"/>
  <c r="P2122" i="1"/>
  <c r="N2122" i="1"/>
  <c r="BO2122" i="1"/>
  <c r="BN2122" i="1"/>
  <c r="DG2121" i="1"/>
  <c r="DA2121" i="1"/>
  <c r="T2121" i="1"/>
  <c r="S2121" i="1"/>
  <c r="Q2121" i="1"/>
  <c r="P2121" i="1"/>
  <c r="N2121" i="1"/>
  <c r="BO2121" i="1"/>
  <c r="BN2121" i="1"/>
  <c r="DG2436" i="1"/>
  <c r="DA2436" i="1"/>
  <c r="T2436" i="1"/>
  <c r="S2436" i="1"/>
  <c r="Q2436" i="1"/>
  <c r="P2436" i="1"/>
  <c r="N2436" i="1"/>
  <c r="BO2436" i="1"/>
  <c r="BN2436" i="1"/>
  <c r="DG2633" i="1"/>
  <c r="DA2633" i="1"/>
  <c r="T2633" i="1"/>
  <c r="S2633" i="1"/>
  <c r="Q2633" i="1"/>
  <c r="P2633" i="1"/>
  <c r="N2633" i="1"/>
  <c r="BO2633" i="1"/>
  <c r="BN2633" i="1"/>
  <c r="DG2474" i="1"/>
  <c r="DA2474" i="1"/>
  <c r="T2474" i="1"/>
  <c r="S2474" i="1"/>
  <c r="Q2474" i="1"/>
  <c r="P2474" i="1"/>
  <c r="N2474" i="1"/>
  <c r="BO2474" i="1"/>
  <c r="BN2474" i="1"/>
  <c r="DG2120" i="1"/>
  <c r="DA2120" i="1"/>
  <c r="T2120" i="1"/>
  <c r="S2120" i="1"/>
  <c r="Q2120" i="1"/>
  <c r="P2120" i="1"/>
  <c r="N2120" i="1"/>
  <c r="BO2120" i="1"/>
  <c r="BN2120" i="1"/>
  <c r="DG3194" i="1"/>
  <c r="DA3194" i="1"/>
  <c r="T3194" i="1"/>
  <c r="S3194" i="1"/>
  <c r="Q3194" i="1"/>
  <c r="P3194" i="1"/>
  <c r="N3194" i="1"/>
  <c r="BO3194" i="1"/>
  <c r="BN3194" i="1"/>
  <c r="DG2119" i="1"/>
  <c r="DA2119" i="1"/>
  <c r="T2119" i="1"/>
  <c r="S2119" i="1"/>
  <c r="Q2119" i="1"/>
  <c r="P2119" i="1"/>
  <c r="N2119" i="1"/>
  <c r="BO2119" i="1"/>
  <c r="BN2119" i="1"/>
  <c r="DG2477" i="1"/>
  <c r="DA2477" i="1"/>
  <c r="T2477" i="1"/>
  <c r="S2477" i="1"/>
  <c r="Q2477" i="1"/>
  <c r="P2477" i="1"/>
  <c r="N2477" i="1"/>
  <c r="BO2477" i="1"/>
  <c r="BN2477" i="1"/>
  <c r="DG3044" i="1"/>
  <c r="DA3044" i="1"/>
  <c r="T3044" i="1"/>
  <c r="S3044" i="1"/>
  <c r="Q3044" i="1"/>
  <c r="P3044" i="1"/>
  <c r="N3044" i="1"/>
  <c r="BO3044" i="1"/>
  <c r="BN3044" i="1"/>
  <c r="DG2486" i="1"/>
  <c r="DA2486" i="1"/>
  <c r="T2486" i="1"/>
  <c r="S2486" i="1"/>
  <c r="Q2486" i="1"/>
  <c r="P2486" i="1"/>
  <c r="N2486" i="1"/>
  <c r="BO2486" i="1"/>
  <c r="BN2486" i="1"/>
  <c r="DG2632" i="1"/>
  <c r="DA2632" i="1"/>
  <c r="T2632" i="1"/>
  <c r="S2632" i="1"/>
  <c r="Q2632" i="1"/>
  <c r="P2632" i="1"/>
  <c r="N2632" i="1"/>
  <c r="BO2632" i="1"/>
  <c r="BN2632" i="1"/>
  <c r="DG2485" i="1"/>
  <c r="DA2485" i="1"/>
  <c r="T2485" i="1"/>
  <c r="S2485" i="1"/>
  <c r="Q2485" i="1"/>
  <c r="P2485" i="1"/>
  <c r="N2485" i="1"/>
  <c r="BO2485" i="1"/>
  <c r="BN2485" i="1"/>
  <c r="DG2118" i="1"/>
  <c r="DA2118" i="1"/>
  <c r="T2118" i="1"/>
  <c r="S2118" i="1"/>
  <c r="Q2118" i="1"/>
  <c r="P2118" i="1"/>
  <c r="N2118" i="1"/>
  <c r="BO2118" i="1"/>
  <c r="BN2118" i="1"/>
  <c r="DG2117" i="1"/>
  <c r="DA2117" i="1"/>
  <c r="T2117" i="1"/>
  <c r="S2117" i="1"/>
  <c r="Q2117" i="1"/>
  <c r="P2117" i="1"/>
  <c r="N2117" i="1"/>
  <c r="BO2117" i="1"/>
  <c r="BN2117" i="1"/>
  <c r="DG2631" i="1"/>
  <c r="DA2631" i="1"/>
  <c r="T2631" i="1"/>
  <c r="S2631" i="1"/>
  <c r="Q2631" i="1"/>
  <c r="P2631" i="1"/>
  <c r="N2631" i="1"/>
  <c r="BO2631" i="1"/>
  <c r="BN2631" i="1"/>
  <c r="DG2462" i="1"/>
  <c r="DA2462" i="1"/>
  <c r="T2462" i="1"/>
  <c r="S2462" i="1"/>
  <c r="Q2462" i="1"/>
  <c r="P2462" i="1"/>
  <c r="N2462" i="1"/>
  <c r="BO2462" i="1"/>
  <c r="BN2462" i="1"/>
  <c r="DG2116" i="1"/>
  <c r="DA2116" i="1"/>
  <c r="T2116" i="1"/>
  <c r="S2116" i="1"/>
  <c r="Q2116" i="1"/>
  <c r="P2116" i="1"/>
  <c r="N2116" i="1"/>
  <c r="BO2116" i="1"/>
  <c r="BN2116" i="1"/>
  <c r="DG2481" i="1"/>
  <c r="DA2481" i="1"/>
  <c r="T2481" i="1"/>
  <c r="S2481" i="1"/>
  <c r="Q2481" i="1"/>
  <c r="P2481" i="1"/>
  <c r="N2481" i="1"/>
  <c r="BO2481" i="1"/>
  <c r="BN2481" i="1"/>
  <c r="DG2115" i="1"/>
  <c r="DA2115" i="1"/>
  <c r="T2115" i="1"/>
  <c r="S2115" i="1"/>
  <c r="Q2115" i="1"/>
  <c r="P2115" i="1"/>
  <c r="N2115" i="1"/>
  <c r="BO2115" i="1"/>
  <c r="BN2115" i="1"/>
  <c r="DG3136" i="1"/>
  <c r="DA3136" i="1"/>
  <c r="T3136" i="1"/>
  <c r="S3136" i="1"/>
  <c r="Q3136" i="1"/>
  <c r="P3136" i="1"/>
  <c r="N3136" i="1"/>
  <c r="BO3136" i="1"/>
  <c r="BN3136" i="1"/>
  <c r="DG2818" i="1"/>
  <c r="DA2818" i="1"/>
  <c r="T2818" i="1"/>
  <c r="S2818" i="1"/>
  <c r="Q2818" i="1"/>
  <c r="P2818" i="1"/>
  <c r="N2818" i="1"/>
  <c r="BO2818" i="1"/>
  <c r="BN2818" i="1"/>
  <c r="DG3045" i="1"/>
  <c r="DA3045" i="1"/>
  <c r="T3045" i="1"/>
  <c r="S3045" i="1"/>
  <c r="Q3045" i="1"/>
  <c r="P3045" i="1"/>
  <c r="N3045" i="1"/>
  <c r="BO3045" i="1"/>
  <c r="BN3045" i="1"/>
  <c r="DG2482" i="1"/>
  <c r="DA2482" i="1"/>
  <c r="T2482" i="1"/>
  <c r="S2482" i="1"/>
  <c r="Q2482" i="1"/>
  <c r="P2482" i="1"/>
  <c r="N2482" i="1"/>
  <c r="BO2482" i="1"/>
  <c r="BN2482" i="1"/>
  <c r="DG2630" i="1"/>
  <c r="DA2630" i="1"/>
  <c r="T2630" i="1"/>
  <c r="S2630" i="1"/>
  <c r="Q2630" i="1"/>
  <c r="P2630" i="1"/>
  <c r="N2630" i="1"/>
  <c r="BO2630" i="1"/>
  <c r="BN2630" i="1"/>
  <c r="DG2467" i="1"/>
  <c r="DA2467" i="1"/>
  <c r="T2467" i="1"/>
  <c r="S2467" i="1"/>
  <c r="Q2467" i="1"/>
  <c r="P2467" i="1"/>
  <c r="N2467" i="1"/>
  <c r="BO2467" i="1"/>
  <c r="BN2467" i="1"/>
  <c r="DG2114" i="1"/>
  <c r="DA2114" i="1"/>
  <c r="T2114" i="1"/>
  <c r="S2114" i="1"/>
  <c r="Q2114" i="1"/>
  <c r="P2114" i="1"/>
  <c r="N2114" i="1"/>
  <c r="BO2114" i="1"/>
  <c r="BN2114" i="1"/>
  <c r="DG2483" i="1"/>
  <c r="DA2483" i="1"/>
  <c r="T2483" i="1"/>
  <c r="S2483" i="1"/>
  <c r="Q2483" i="1"/>
  <c r="P2483" i="1"/>
  <c r="N2483" i="1"/>
  <c r="BO2483" i="1"/>
  <c r="BN2483" i="1"/>
  <c r="DG2113" i="1"/>
  <c r="DA2113" i="1"/>
  <c r="T2113" i="1"/>
  <c r="S2113" i="1"/>
  <c r="Q2113" i="1"/>
  <c r="P2113" i="1"/>
  <c r="N2113" i="1"/>
  <c r="BO2113" i="1"/>
  <c r="BN2113" i="1"/>
  <c r="DG2629" i="1"/>
  <c r="DA2629" i="1"/>
  <c r="T2629" i="1"/>
  <c r="S2629" i="1"/>
  <c r="Q2629" i="1"/>
  <c r="P2629" i="1"/>
  <c r="N2629" i="1"/>
  <c r="BO2629" i="1"/>
  <c r="BN2629" i="1"/>
  <c r="DG2472" i="1"/>
  <c r="DA2472" i="1"/>
  <c r="T2472" i="1"/>
  <c r="S2472" i="1"/>
  <c r="Q2472" i="1"/>
  <c r="P2472" i="1"/>
  <c r="N2472" i="1"/>
  <c r="BO2472" i="1"/>
  <c r="BN2472" i="1"/>
  <c r="DG2112" i="1"/>
  <c r="DA2112" i="1"/>
  <c r="T2112" i="1"/>
  <c r="S2112" i="1"/>
  <c r="Q2112" i="1"/>
  <c r="P2112" i="1"/>
  <c r="N2112" i="1"/>
  <c r="BO2112" i="1"/>
  <c r="BN2112" i="1"/>
  <c r="DG2435" i="1"/>
  <c r="DA2435" i="1"/>
  <c r="T2435" i="1"/>
  <c r="S2435" i="1"/>
  <c r="Q2435" i="1"/>
  <c r="P2435" i="1"/>
  <c r="N2435" i="1"/>
  <c r="BO2435" i="1"/>
  <c r="BN2435" i="1"/>
  <c r="DG2111" i="1"/>
  <c r="DA2111" i="1"/>
  <c r="T2111" i="1"/>
  <c r="S2111" i="1"/>
  <c r="Q2111" i="1"/>
  <c r="P2111" i="1"/>
  <c r="N2111" i="1"/>
  <c r="BO2111" i="1"/>
  <c r="BN2111" i="1"/>
  <c r="DG2470" i="1"/>
  <c r="DA2470" i="1"/>
  <c r="T2470" i="1"/>
  <c r="S2470" i="1"/>
  <c r="Q2470" i="1"/>
  <c r="P2470" i="1"/>
  <c r="N2470" i="1"/>
  <c r="BO2470" i="1"/>
  <c r="BN2470" i="1"/>
  <c r="DG2850" i="1"/>
  <c r="DA2850" i="1"/>
  <c r="T2850" i="1"/>
  <c r="S2850" i="1"/>
  <c r="Q2850" i="1"/>
  <c r="P2850" i="1"/>
  <c r="N2850" i="1"/>
  <c r="BO2850" i="1"/>
  <c r="BN2850" i="1"/>
  <c r="DG3195" i="1"/>
  <c r="DA3195" i="1"/>
  <c r="T3195" i="1"/>
  <c r="S3195" i="1"/>
  <c r="Q3195" i="1"/>
  <c r="P3195" i="1"/>
  <c r="N3195" i="1"/>
  <c r="BO3195" i="1"/>
  <c r="BN3195" i="1"/>
  <c r="DG3046" i="1"/>
  <c r="DA3046" i="1"/>
  <c r="T3046" i="1"/>
  <c r="S3046" i="1"/>
  <c r="Q3046" i="1"/>
  <c r="P3046" i="1"/>
  <c r="N3046" i="1"/>
  <c r="BO3046" i="1"/>
  <c r="BN3046" i="1"/>
  <c r="DG2455" i="1"/>
  <c r="DA2455" i="1"/>
  <c r="T2455" i="1"/>
  <c r="S2455" i="1"/>
  <c r="Q2455" i="1"/>
  <c r="P2455" i="1"/>
  <c r="N2455" i="1"/>
  <c r="BO2455" i="1"/>
  <c r="BN2455" i="1"/>
  <c r="DG2110" i="1"/>
  <c r="DA2110" i="1"/>
  <c r="T2110" i="1"/>
  <c r="S2110" i="1"/>
  <c r="Q2110" i="1"/>
  <c r="P2110" i="1"/>
  <c r="N2110" i="1"/>
  <c r="BO2110" i="1"/>
  <c r="BN2110" i="1"/>
  <c r="DG2468" i="1"/>
  <c r="DA2468" i="1"/>
  <c r="T2468" i="1"/>
  <c r="S2468" i="1"/>
  <c r="Q2468" i="1"/>
  <c r="P2468" i="1"/>
  <c r="N2468" i="1"/>
  <c r="BO2468" i="1"/>
  <c r="BN2468" i="1"/>
  <c r="DG2628" i="1"/>
  <c r="DA2628" i="1"/>
  <c r="T2628" i="1"/>
  <c r="S2628" i="1"/>
  <c r="Q2628" i="1"/>
  <c r="P2628" i="1"/>
  <c r="N2628" i="1"/>
  <c r="BO2628" i="1"/>
  <c r="BN2628" i="1"/>
  <c r="DG2466" i="1"/>
  <c r="DA2466" i="1"/>
  <c r="T2466" i="1"/>
  <c r="S2466" i="1"/>
  <c r="Q2466" i="1"/>
  <c r="P2466" i="1"/>
  <c r="N2466" i="1"/>
  <c r="BO2466" i="1"/>
  <c r="BN2466" i="1"/>
  <c r="DG2109" i="1"/>
  <c r="DA2109" i="1"/>
  <c r="T2109" i="1"/>
  <c r="S2109" i="1"/>
  <c r="Q2109" i="1"/>
  <c r="P2109" i="1"/>
  <c r="N2109" i="1"/>
  <c r="BO2109" i="1"/>
  <c r="BN2109" i="1"/>
  <c r="DG2627" i="1"/>
  <c r="DA2627" i="1"/>
  <c r="T2627" i="1"/>
  <c r="S2627" i="1"/>
  <c r="Q2627" i="1"/>
  <c r="P2627" i="1"/>
  <c r="N2627" i="1"/>
  <c r="BO2627" i="1"/>
  <c r="BN2627" i="1"/>
  <c r="DG2464" i="1"/>
  <c r="DA2464" i="1"/>
  <c r="T2464" i="1"/>
  <c r="S2464" i="1"/>
  <c r="Q2464" i="1"/>
  <c r="P2464" i="1"/>
  <c r="N2464" i="1"/>
  <c r="BO2464" i="1"/>
  <c r="BN2464" i="1"/>
  <c r="DG2108" i="1"/>
  <c r="DA2108" i="1"/>
  <c r="T2108" i="1"/>
  <c r="S2108" i="1"/>
  <c r="Q2108" i="1"/>
  <c r="P2108" i="1"/>
  <c r="N2108" i="1"/>
  <c r="BO2108" i="1"/>
  <c r="BN2108" i="1"/>
  <c r="DG3040" i="1"/>
  <c r="DA3040" i="1"/>
  <c r="T3040" i="1"/>
  <c r="S3040" i="1"/>
  <c r="Q3040" i="1"/>
  <c r="P3040" i="1"/>
  <c r="N3040" i="1"/>
  <c r="BO3040" i="1"/>
  <c r="BN3040" i="1"/>
  <c r="DG2107" i="1"/>
  <c r="DA2107" i="1"/>
  <c r="T2107" i="1"/>
  <c r="S2107" i="1"/>
  <c r="Q2107" i="1"/>
  <c r="P2107" i="1"/>
  <c r="N2107" i="1"/>
  <c r="BO2107" i="1"/>
  <c r="BN2107" i="1"/>
  <c r="DG2480" i="1"/>
  <c r="DA2480" i="1"/>
  <c r="T2480" i="1"/>
  <c r="S2480" i="1"/>
  <c r="Q2480" i="1"/>
  <c r="P2480" i="1"/>
  <c r="N2480" i="1"/>
  <c r="BO2480" i="1"/>
  <c r="BN2480" i="1"/>
  <c r="DG2916" i="1"/>
  <c r="DA2916" i="1"/>
  <c r="T2916" i="1"/>
  <c r="S2916" i="1"/>
  <c r="Q2916" i="1"/>
  <c r="P2916" i="1"/>
  <c r="N2916" i="1"/>
  <c r="BO2916" i="1"/>
  <c r="BN2916" i="1"/>
  <c r="DG3104" i="1"/>
  <c r="DA3104" i="1"/>
  <c r="T3104" i="1"/>
  <c r="S3104" i="1"/>
  <c r="Q3104" i="1"/>
  <c r="P3104" i="1"/>
  <c r="N3104" i="1"/>
  <c r="BO3104" i="1"/>
  <c r="BN3104" i="1"/>
  <c r="DG2626" i="1"/>
  <c r="DA2626" i="1"/>
  <c r="T2626" i="1"/>
  <c r="S2626" i="1"/>
  <c r="Q2626" i="1"/>
  <c r="P2626" i="1"/>
  <c r="N2626" i="1"/>
  <c r="BO2626" i="1"/>
  <c r="BN2626" i="1"/>
  <c r="DG2459" i="1"/>
  <c r="DA2459" i="1"/>
  <c r="T2459" i="1"/>
  <c r="S2459" i="1"/>
  <c r="Q2459" i="1"/>
  <c r="P2459" i="1"/>
  <c r="N2459" i="1"/>
  <c r="BO2459" i="1"/>
  <c r="BN2459" i="1"/>
  <c r="DG2106" i="1"/>
  <c r="DA2106" i="1"/>
  <c r="T2106" i="1"/>
  <c r="S2106" i="1"/>
  <c r="Q2106" i="1"/>
  <c r="P2106" i="1"/>
  <c r="N2106" i="1"/>
  <c r="BO2106" i="1"/>
  <c r="BN2106" i="1"/>
  <c r="DG2465" i="1"/>
  <c r="DA2465" i="1"/>
  <c r="T2465" i="1"/>
  <c r="S2465" i="1"/>
  <c r="Q2465" i="1"/>
  <c r="P2465" i="1"/>
  <c r="N2465" i="1"/>
  <c r="BO2465" i="1"/>
  <c r="BN2465" i="1"/>
  <c r="DG2105" i="1"/>
  <c r="DA2105" i="1"/>
  <c r="T2105" i="1"/>
  <c r="S2105" i="1"/>
  <c r="Q2105" i="1"/>
  <c r="P2105" i="1"/>
  <c r="N2105" i="1"/>
  <c r="BO2105" i="1"/>
  <c r="BN2105" i="1"/>
  <c r="DG2469" i="1"/>
  <c r="DA2469" i="1"/>
  <c r="T2469" i="1"/>
  <c r="S2469" i="1"/>
  <c r="Q2469" i="1"/>
  <c r="P2469" i="1"/>
  <c r="N2469" i="1"/>
  <c r="BO2469" i="1"/>
  <c r="BN2469" i="1"/>
  <c r="DG3047" i="1"/>
  <c r="DA3047" i="1"/>
  <c r="T3047" i="1"/>
  <c r="S3047" i="1"/>
  <c r="Q3047" i="1"/>
  <c r="P3047" i="1"/>
  <c r="N3047" i="1"/>
  <c r="BO3047" i="1"/>
  <c r="BN3047" i="1"/>
  <c r="DG2456" i="1"/>
  <c r="DA2456" i="1"/>
  <c r="T2456" i="1"/>
  <c r="S2456" i="1"/>
  <c r="Q2456" i="1"/>
  <c r="P2456" i="1"/>
  <c r="N2456" i="1"/>
  <c r="BO2456" i="1"/>
  <c r="BN2456" i="1"/>
  <c r="DG2104" i="1"/>
  <c r="DA2104" i="1"/>
  <c r="T2104" i="1"/>
  <c r="S2104" i="1"/>
  <c r="Q2104" i="1"/>
  <c r="P2104" i="1"/>
  <c r="N2104" i="1"/>
  <c r="BO2104" i="1"/>
  <c r="BN2104" i="1"/>
  <c r="DG3192" i="1"/>
  <c r="DA3192" i="1"/>
  <c r="T3192" i="1"/>
  <c r="S3192" i="1"/>
  <c r="Q3192" i="1"/>
  <c r="P3192" i="1"/>
  <c r="N3192" i="1"/>
  <c r="BO3192" i="1"/>
  <c r="BN3192" i="1"/>
  <c r="DG2625" i="1"/>
  <c r="DA2625" i="1"/>
  <c r="T2625" i="1"/>
  <c r="S2625" i="1"/>
  <c r="Q2625" i="1"/>
  <c r="P2625" i="1"/>
  <c r="N2625" i="1"/>
  <c r="BO2625" i="1"/>
  <c r="BN2625" i="1"/>
  <c r="DG2103" i="1"/>
  <c r="DA2103" i="1"/>
  <c r="T2103" i="1"/>
  <c r="S2103" i="1"/>
  <c r="Q2103" i="1"/>
  <c r="P2103" i="1"/>
  <c r="N2103" i="1"/>
  <c r="BO2103" i="1"/>
  <c r="BN2103" i="1"/>
  <c r="DG2794" i="1"/>
  <c r="DA2794" i="1"/>
  <c r="T2794" i="1"/>
  <c r="S2794" i="1"/>
  <c r="Q2794" i="1"/>
  <c r="P2794" i="1"/>
  <c r="N2794" i="1"/>
  <c r="BO2794" i="1"/>
  <c r="BN2794" i="1"/>
  <c r="DG2475" i="1"/>
  <c r="DA2475" i="1"/>
  <c r="T2475" i="1"/>
  <c r="S2475" i="1"/>
  <c r="Q2475" i="1"/>
  <c r="P2475" i="1"/>
  <c r="N2475" i="1"/>
  <c r="BO2475" i="1"/>
  <c r="BN2475" i="1"/>
  <c r="DG3048" i="1"/>
  <c r="DA3048" i="1"/>
  <c r="T3048" i="1"/>
  <c r="S3048" i="1"/>
  <c r="Q3048" i="1"/>
  <c r="P3048" i="1"/>
  <c r="N3048" i="1"/>
  <c r="BO3048" i="1"/>
  <c r="BN3048" i="1"/>
  <c r="DG2476" i="1"/>
  <c r="DA2476" i="1"/>
  <c r="T2476" i="1"/>
  <c r="S2476" i="1"/>
  <c r="Q2476" i="1"/>
  <c r="P2476" i="1"/>
  <c r="N2476" i="1"/>
  <c r="BO2476" i="1"/>
  <c r="BN2476" i="1"/>
  <c r="DG2102" i="1"/>
  <c r="DA2102" i="1"/>
  <c r="T2102" i="1"/>
  <c r="S2102" i="1"/>
  <c r="Q2102" i="1"/>
  <c r="P2102" i="1"/>
  <c r="N2102" i="1"/>
  <c r="BO2102" i="1"/>
  <c r="BN2102" i="1"/>
  <c r="DG2471" i="1"/>
  <c r="DA2471" i="1"/>
  <c r="T2471" i="1"/>
  <c r="S2471" i="1"/>
  <c r="Q2471" i="1"/>
  <c r="P2471" i="1"/>
  <c r="N2471" i="1"/>
  <c r="BO2471" i="1"/>
  <c r="BN2471" i="1"/>
  <c r="DG2624" i="1"/>
  <c r="DA2624" i="1"/>
  <c r="T2624" i="1"/>
  <c r="S2624" i="1"/>
  <c r="Q2624" i="1"/>
  <c r="P2624" i="1"/>
  <c r="N2624" i="1"/>
  <c r="BO2624" i="1"/>
  <c r="BN2624" i="1"/>
  <c r="DG2478" i="1"/>
  <c r="DA2478" i="1"/>
  <c r="T2478" i="1"/>
  <c r="S2478" i="1"/>
  <c r="Q2478" i="1"/>
  <c r="P2478" i="1"/>
  <c r="N2478" i="1"/>
  <c r="BO2478" i="1"/>
  <c r="BN2478" i="1"/>
  <c r="DG2101" i="1"/>
  <c r="DA2101" i="1"/>
  <c r="T2101" i="1"/>
  <c r="S2101" i="1"/>
  <c r="Q2101" i="1"/>
  <c r="P2101" i="1"/>
  <c r="N2101" i="1"/>
  <c r="BO2101" i="1"/>
  <c r="BN2101" i="1"/>
  <c r="DG2851" i="1"/>
  <c r="DA2851" i="1"/>
  <c r="T2851" i="1"/>
  <c r="S2851" i="1"/>
  <c r="Q2851" i="1"/>
  <c r="P2851" i="1"/>
  <c r="N2851" i="1"/>
  <c r="BO2851" i="1"/>
  <c r="BN2851" i="1"/>
  <c r="DG2623" i="1"/>
  <c r="DA2623" i="1"/>
  <c r="T2623" i="1"/>
  <c r="S2623" i="1"/>
  <c r="Q2623" i="1"/>
  <c r="P2623" i="1"/>
  <c r="N2623" i="1"/>
  <c r="BO2623" i="1"/>
  <c r="BN2623" i="1"/>
  <c r="DG2100" i="1"/>
  <c r="DA2100" i="1"/>
  <c r="T2100" i="1"/>
  <c r="S2100" i="1"/>
  <c r="Q2100" i="1"/>
  <c r="P2100" i="1"/>
  <c r="N2100" i="1"/>
  <c r="BO2100" i="1"/>
  <c r="BN2100" i="1"/>
  <c r="DG2099" i="1"/>
  <c r="DA2099" i="1"/>
  <c r="T2099" i="1"/>
  <c r="S2099" i="1"/>
  <c r="Q2099" i="1"/>
  <c r="P2099" i="1"/>
  <c r="N2099" i="1"/>
  <c r="BO2099" i="1"/>
  <c r="BN2099" i="1"/>
  <c r="DG3049" i="1"/>
  <c r="DA3049" i="1"/>
  <c r="T3049" i="1"/>
  <c r="S3049" i="1"/>
  <c r="Q3049" i="1"/>
  <c r="P3049" i="1"/>
  <c r="N3049" i="1"/>
  <c r="BO3049" i="1"/>
  <c r="BN3049" i="1"/>
  <c r="DG2098" i="1"/>
  <c r="DA2098" i="1"/>
  <c r="T2098" i="1"/>
  <c r="S2098" i="1"/>
  <c r="Q2098" i="1"/>
  <c r="P2098" i="1"/>
  <c r="N2098" i="1"/>
  <c r="BO2098" i="1"/>
  <c r="BN2098" i="1"/>
  <c r="DG2622" i="1"/>
  <c r="DA2622" i="1"/>
  <c r="T2622" i="1"/>
  <c r="S2622" i="1"/>
  <c r="Q2622" i="1"/>
  <c r="P2622" i="1"/>
  <c r="N2622" i="1"/>
  <c r="BO2622" i="1"/>
  <c r="BN2622" i="1"/>
  <c r="DG2621" i="1"/>
  <c r="DA2621" i="1"/>
  <c r="T2621" i="1"/>
  <c r="S2621" i="1"/>
  <c r="Q2621" i="1"/>
  <c r="P2621" i="1"/>
  <c r="N2621" i="1"/>
  <c r="BO2621" i="1"/>
  <c r="BN2621" i="1"/>
  <c r="DG2096" i="1"/>
  <c r="DA2096" i="1"/>
  <c r="T2096" i="1"/>
  <c r="S2096" i="1"/>
  <c r="Q2096" i="1"/>
  <c r="P2096" i="1"/>
  <c r="N2096" i="1"/>
  <c r="BO2096" i="1"/>
  <c r="BN2096" i="1"/>
  <c r="DG2917" i="1"/>
  <c r="DA2917" i="1"/>
  <c r="T2917" i="1"/>
  <c r="S2917" i="1"/>
  <c r="Q2917" i="1"/>
  <c r="P2917" i="1"/>
  <c r="N2917" i="1"/>
  <c r="BO2917" i="1"/>
  <c r="BN2917" i="1"/>
  <c r="DG2095" i="1"/>
  <c r="DA2095" i="1"/>
  <c r="T2095" i="1"/>
  <c r="S2095" i="1"/>
  <c r="Q2095" i="1"/>
  <c r="P2095" i="1"/>
  <c r="N2095" i="1"/>
  <c r="BO2095" i="1"/>
  <c r="BN2095" i="1"/>
  <c r="DG2185" i="1"/>
  <c r="DA2185" i="1"/>
  <c r="T2185" i="1"/>
  <c r="S2185" i="1"/>
  <c r="Q2185" i="1"/>
  <c r="P2185" i="1"/>
  <c r="N2185" i="1"/>
  <c r="BO2185" i="1"/>
  <c r="BN2185" i="1"/>
  <c r="DG3050" i="1"/>
  <c r="DA3050" i="1"/>
  <c r="T3050" i="1"/>
  <c r="S3050" i="1"/>
  <c r="Q3050" i="1"/>
  <c r="P3050" i="1"/>
  <c r="N3050" i="1"/>
  <c r="BO3050" i="1"/>
  <c r="BN3050" i="1"/>
  <c r="DG2620" i="1"/>
  <c r="DA2620" i="1"/>
  <c r="T2620" i="1"/>
  <c r="S2620" i="1"/>
  <c r="Q2620" i="1"/>
  <c r="P2620" i="1"/>
  <c r="N2620" i="1"/>
  <c r="BO2620" i="1"/>
  <c r="BN2620" i="1"/>
  <c r="DG2093" i="1"/>
  <c r="DA2093" i="1"/>
  <c r="T2093" i="1"/>
  <c r="S2093" i="1"/>
  <c r="Q2093" i="1"/>
  <c r="P2093" i="1"/>
  <c r="N2093" i="1"/>
  <c r="BO2093" i="1"/>
  <c r="BN2093" i="1"/>
  <c r="DG2619" i="1"/>
  <c r="DA2619" i="1"/>
  <c r="T2619" i="1"/>
  <c r="S2619" i="1"/>
  <c r="Q2619" i="1"/>
  <c r="P2619" i="1"/>
  <c r="N2619" i="1"/>
  <c r="BO2619" i="1"/>
  <c r="BN2619" i="1"/>
  <c r="DG2092" i="1"/>
  <c r="DA2092" i="1"/>
  <c r="T2092" i="1"/>
  <c r="S2092" i="1"/>
  <c r="Q2092" i="1"/>
  <c r="P2092" i="1"/>
  <c r="N2092" i="1"/>
  <c r="BO2092" i="1"/>
  <c r="BN2092" i="1"/>
  <c r="DG2091" i="1"/>
  <c r="DA2091" i="1"/>
  <c r="T2091" i="1"/>
  <c r="S2091" i="1"/>
  <c r="Q2091" i="1"/>
  <c r="P2091" i="1"/>
  <c r="N2091" i="1"/>
  <c r="BO2091" i="1"/>
  <c r="BN2091" i="1"/>
  <c r="DG2819" i="1"/>
  <c r="DA2819" i="1"/>
  <c r="T2819" i="1"/>
  <c r="S2819" i="1"/>
  <c r="Q2819" i="1"/>
  <c r="P2819" i="1"/>
  <c r="N2819" i="1"/>
  <c r="BO2819" i="1"/>
  <c r="BN2819" i="1"/>
  <c r="DG2852" i="1"/>
  <c r="DA2852" i="1"/>
  <c r="T2852" i="1"/>
  <c r="S2852" i="1"/>
  <c r="Q2852" i="1"/>
  <c r="P2852" i="1"/>
  <c r="N2852" i="1"/>
  <c r="BO2852" i="1"/>
  <c r="BN2852" i="1"/>
  <c r="DG3051" i="1"/>
  <c r="DA3051" i="1"/>
  <c r="T3051" i="1"/>
  <c r="S3051" i="1"/>
  <c r="Q3051" i="1"/>
  <c r="P3051" i="1"/>
  <c r="N3051" i="1"/>
  <c r="BO3051" i="1"/>
  <c r="BN3051" i="1"/>
  <c r="DG2618" i="1"/>
  <c r="DA2618" i="1"/>
  <c r="T2618" i="1"/>
  <c r="S2618" i="1"/>
  <c r="Q2618" i="1"/>
  <c r="P2618" i="1"/>
  <c r="N2618" i="1"/>
  <c r="BO2618" i="1"/>
  <c r="BN2618" i="1"/>
  <c r="DG2090" i="1"/>
  <c r="DA2090" i="1"/>
  <c r="T2090" i="1"/>
  <c r="S2090" i="1"/>
  <c r="Q2090" i="1"/>
  <c r="P2090" i="1"/>
  <c r="N2090" i="1"/>
  <c r="BO2090" i="1"/>
  <c r="BN2090" i="1"/>
  <c r="DG2089" i="1"/>
  <c r="DA2089" i="1"/>
  <c r="T2089" i="1"/>
  <c r="S2089" i="1"/>
  <c r="Q2089" i="1"/>
  <c r="P2089" i="1"/>
  <c r="N2089" i="1"/>
  <c r="BO2089" i="1"/>
  <c r="BN2089" i="1"/>
  <c r="DG2919" i="1"/>
  <c r="DA2919" i="1"/>
  <c r="T2919" i="1"/>
  <c r="S2919" i="1"/>
  <c r="Q2919" i="1"/>
  <c r="P2919" i="1"/>
  <c r="N2919" i="1"/>
  <c r="BO2919" i="1"/>
  <c r="BN2919" i="1"/>
  <c r="DG2088" i="1"/>
  <c r="DA2088" i="1"/>
  <c r="T2088" i="1"/>
  <c r="S2088" i="1"/>
  <c r="Q2088" i="1"/>
  <c r="P2088" i="1"/>
  <c r="N2088" i="1"/>
  <c r="BO2088" i="1"/>
  <c r="BN2088" i="1"/>
  <c r="DG2617" i="1"/>
  <c r="DA2617" i="1"/>
  <c r="T2617" i="1"/>
  <c r="S2617" i="1"/>
  <c r="Q2617" i="1"/>
  <c r="P2617" i="1"/>
  <c r="N2617" i="1"/>
  <c r="BO2617" i="1"/>
  <c r="BN2617" i="1"/>
  <c r="DG2087" i="1"/>
  <c r="DA2087" i="1"/>
  <c r="T2087" i="1"/>
  <c r="S2087" i="1"/>
  <c r="Q2087" i="1"/>
  <c r="P2087" i="1"/>
  <c r="N2087" i="1"/>
  <c r="BO2087" i="1"/>
  <c r="BN2087" i="1"/>
  <c r="DG3052" i="1"/>
  <c r="DA3052" i="1"/>
  <c r="T3052" i="1"/>
  <c r="S3052" i="1"/>
  <c r="Q3052" i="1"/>
  <c r="P3052" i="1"/>
  <c r="N3052" i="1"/>
  <c r="BO3052" i="1"/>
  <c r="BN3052" i="1"/>
  <c r="DG2086" i="1"/>
  <c r="DA2086" i="1"/>
  <c r="T2086" i="1"/>
  <c r="S2086" i="1"/>
  <c r="Q2086" i="1"/>
  <c r="P2086" i="1"/>
  <c r="N2086" i="1"/>
  <c r="BO2086" i="1"/>
  <c r="BN2086" i="1"/>
  <c r="DG2085" i="1"/>
  <c r="DA2085" i="1"/>
  <c r="T2085" i="1"/>
  <c r="S2085" i="1"/>
  <c r="Q2085" i="1"/>
  <c r="P2085" i="1"/>
  <c r="N2085" i="1"/>
  <c r="BO2085" i="1"/>
  <c r="BN2085" i="1"/>
  <c r="DG2615" i="1"/>
  <c r="DA2615" i="1"/>
  <c r="T2615" i="1"/>
  <c r="S2615" i="1"/>
  <c r="Q2615" i="1"/>
  <c r="P2615" i="1"/>
  <c r="N2615" i="1"/>
  <c r="BO2615" i="1"/>
  <c r="BN2615" i="1"/>
  <c r="DG2084" i="1"/>
  <c r="DA2084" i="1"/>
  <c r="T2084" i="1"/>
  <c r="S2084" i="1"/>
  <c r="Q2084" i="1"/>
  <c r="P2084" i="1"/>
  <c r="N2084" i="1"/>
  <c r="BO2084" i="1"/>
  <c r="BN2084" i="1"/>
  <c r="DG2083" i="1"/>
  <c r="DA2083" i="1"/>
  <c r="T2083" i="1"/>
  <c r="S2083" i="1"/>
  <c r="Q2083" i="1"/>
  <c r="P2083" i="1"/>
  <c r="N2083" i="1"/>
  <c r="BO2083" i="1"/>
  <c r="BN2083" i="1"/>
  <c r="DG2920" i="1"/>
  <c r="DA2920" i="1"/>
  <c r="T2920" i="1"/>
  <c r="S2920" i="1"/>
  <c r="Q2920" i="1"/>
  <c r="P2920" i="1"/>
  <c r="N2920" i="1"/>
  <c r="BO2920" i="1"/>
  <c r="BN2920" i="1"/>
  <c r="DG3053" i="1"/>
  <c r="DA3053" i="1"/>
  <c r="T3053" i="1"/>
  <c r="S3053" i="1"/>
  <c r="Q3053" i="1"/>
  <c r="P3053" i="1"/>
  <c r="N3053" i="1"/>
  <c r="BO3053" i="1"/>
  <c r="BN3053" i="1"/>
  <c r="DG2614" i="1"/>
  <c r="DA2614" i="1"/>
  <c r="T2614" i="1"/>
  <c r="S2614" i="1"/>
  <c r="Q2614" i="1"/>
  <c r="P2614" i="1"/>
  <c r="N2614" i="1"/>
  <c r="BO2614" i="1"/>
  <c r="BN2614" i="1"/>
  <c r="DG2082" i="1"/>
  <c r="DA2082" i="1"/>
  <c r="T2082" i="1"/>
  <c r="S2082" i="1"/>
  <c r="Q2082" i="1"/>
  <c r="P2082" i="1"/>
  <c r="N2082" i="1"/>
  <c r="BO2082" i="1"/>
  <c r="BN2082" i="1"/>
  <c r="DG2081" i="1"/>
  <c r="DA2081" i="1"/>
  <c r="T2081" i="1"/>
  <c r="S2081" i="1"/>
  <c r="Q2081" i="1"/>
  <c r="P2081" i="1"/>
  <c r="N2081" i="1"/>
  <c r="BO2081" i="1"/>
  <c r="BN2081" i="1"/>
  <c r="DG2613" i="1"/>
  <c r="DA2613" i="1"/>
  <c r="T2613" i="1"/>
  <c r="S2613" i="1"/>
  <c r="Q2613" i="1"/>
  <c r="P2613" i="1"/>
  <c r="N2613" i="1"/>
  <c r="BO2613" i="1"/>
  <c r="BN2613" i="1"/>
  <c r="DG2080" i="1"/>
  <c r="DA2080" i="1"/>
  <c r="T2080" i="1"/>
  <c r="S2080" i="1"/>
  <c r="Q2080" i="1"/>
  <c r="P2080" i="1"/>
  <c r="N2080" i="1"/>
  <c r="BO2080" i="1"/>
  <c r="BN2080" i="1"/>
  <c r="DG2079" i="1"/>
  <c r="DA2079" i="1"/>
  <c r="T2079" i="1"/>
  <c r="S2079" i="1"/>
  <c r="Q2079" i="1"/>
  <c r="P2079" i="1"/>
  <c r="N2079" i="1"/>
  <c r="BO2079" i="1"/>
  <c r="BN2079" i="1"/>
  <c r="DG3054" i="1"/>
  <c r="DA3054" i="1"/>
  <c r="T3054" i="1"/>
  <c r="S3054" i="1"/>
  <c r="Q3054" i="1"/>
  <c r="P3054" i="1"/>
  <c r="N3054" i="1"/>
  <c r="BO3054" i="1"/>
  <c r="BN3054" i="1"/>
  <c r="DG2612" i="1"/>
  <c r="DA2612" i="1"/>
  <c r="T2612" i="1"/>
  <c r="S2612" i="1"/>
  <c r="Q2612" i="1"/>
  <c r="P2612" i="1"/>
  <c r="N2612" i="1"/>
  <c r="BO2612" i="1"/>
  <c r="BN2612" i="1"/>
  <c r="DG2078" i="1"/>
  <c r="DA2078" i="1"/>
  <c r="T2078" i="1"/>
  <c r="S2078" i="1"/>
  <c r="Q2078" i="1"/>
  <c r="P2078" i="1"/>
  <c r="N2078" i="1"/>
  <c r="BO2078" i="1"/>
  <c r="BN2078" i="1"/>
  <c r="DG2077" i="1"/>
  <c r="DA2077" i="1"/>
  <c r="T2077" i="1"/>
  <c r="S2077" i="1"/>
  <c r="Q2077" i="1"/>
  <c r="P2077" i="1"/>
  <c r="N2077" i="1"/>
  <c r="BO2077" i="1"/>
  <c r="BN2077" i="1"/>
  <c r="DG2611" i="1"/>
  <c r="DA2611" i="1"/>
  <c r="T2611" i="1"/>
  <c r="S2611" i="1"/>
  <c r="Q2611" i="1"/>
  <c r="P2611" i="1"/>
  <c r="N2611" i="1"/>
  <c r="BO2611" i="1"/>
  <c r="BN2611" i="1"/>
  <c r="DG2076" i="1"/>
  <c r="DA2076" i="1"/>
  <c r="T2076" i="1"/>
  <c r="S2076" i="1"/>
  <c r="Q2076" i="1"/>
  <c r="P2076" i="1"/>
  <c r="N2076" i="1"/>
  <c r="BO2076" i="1"/>
  <c r="BN2076" i="1"/>
  <c r="DG2075" i="1"/>
  <c r="DA2075" i="1"/>
  <c r="T2075" i="1"/>
  <c r="S2075" i="1"/>
  <c r="Q2075" i="1"/>
  <c r="P2075" i="1"/>
  <c r="N2075" i="1"/>
  <c r="BO2075" i="1"/>
  <c r="BN2075" i="1"/>
  <c r="DG2853" i="1"/>
  <c r="DA2853" i="1"/>
  <c r="T2853" i="1"/>
  <c r="S2853" i="1"/>
  <c r="Q2853" i="1"/>
  <c r="P2853" i="1"/>
  <c r="N2853" i="1"/>
  <c r="BO2853" i="1"/>
  <c r="BN2853" i="1"/>
  <c r="DG3055" i="1"/>
  <c r="DA3055" i="1"/>
  <c r="T3055" i="1"/>
  <c r="S3055" i="1"/>
  <c r="Q3055" i="1"/>
  <c r="P3055" i="1"/>
  <c r="N3055" i="1"/>
  <c r="BO3055" i="1"/>
  <c r="BN3055" i="1"/>
  <c r="DG2610" i="1"/>
  <c r="DA2610" i="1"/>
  <c r="T2610" i="1"/>
  <c r="S2610" i="1"/>
  <c r="Q2610" i="1"/>
  <c r="P2610" i="1"/>
  <c r="N2610" i="1"/>
  <c r="BO2610" i="1"/>
  <c r="BN2610" i="1"/>
  <c r="DG2074" i="1"/>
  <c r="DA2074" i="1"/>
  <c r="T2074" i="1"/>
  <c r="S2074" i="1"/>
  <c r="Q2074" i="1"/>
  <c r="P2074" i="1"/>
  <c r="N2074" i="1"/>
  <c r="BO2074" i="1"/>
  <c r="BN2074" i="1"/>
  <c r="DG2073" i="1"/>
  <c r="DA2073" i="1"/>
  <c r="T2073" i="1"/>
  <c r="S2073" i="1"/>
  <c r="Q2073" i="1"/>
  <c r="P2073" i="1"/>
  <c r="N2073" i="1"/>
  <c r="BO2073" i="1"/>
  <c r="BN2073" i="1"/>
  <c r="DG2609" i="1"/>
  <c r="DA2609" i="1"/>
  <c r="T2609" i="1"/>
  <c r="S2609" i="1"/>
  <c r="Q2609" i="1"/>
  <c r="P2609" i="1"/>
  <c r="N2609" i="1"/>
  <c r="BO2609" i="1"/>
  <c r="BN2609" i="1"/>
  <c r="DG2072" i="1"/>
  <c r="DA2072" i="1"/>
  <c r="T2072" i="1"/>
  <c r="S2072" i="1"/>
  <c r="Q2072" i="1"/>
  <c r="P2072" i="1"/>
  <c r="N2072" i="1"/>
  <c r="BO2072" i="1"/>
  <c r="BN2072" i="1"/>
  <c r="DG2071" i="1"/>
  <c r="DA2071" i="1"/>
  <c r="T2071" i="1"/>
  <c r="S2071" i="1"/>
  <c r="Q2071" i="1"/>
  <c r="P2071" i="1"/>
  <c r="N2071" i="1"/>
  <c r="BO2071" i="1"/>
  <c r="BN2071" i="1"/>
  <c r="DG2921" i="1"/>
  <c r="DA2921" i="1"/>
  <c r="T2921" i="1"/>
  <c r="S2921" i="1"/>
  <c r="Q2921" i="1"/>
  <c r="P2921" i="1"/>
  <c r="N2921" i="1"/>
  <c r="BO2921" i="1"/>
  <c r="BN2921" i="1"/>
  <c r="DG2608" i="1"/>
  <c r="DA2608" i="1"/>
  <c r="T2608" i="1"/>
  <c r="S2608" i="1"/>
  <c r="Q2608" i="1"/>
  <c r="P2608" i="1"/>
  <c r="N2608" i="1"/>
  <c r="BO2608" i="1"/>
  <c r="BN2608" i="1"/>
  <c r="DG2070" i="1"/>
  <c r="DA2070" i="1"/>
  <c r="T2070" i="1"/>
  <c r="S2070" i="1"/>
  <c r="Q2070" i="1"/>
  <c r="P2070" i="1"/>
  <c r="N2070" i="1"/>
  <c r="BO2070" i="1"/>
  <c r="BN2070" i="1"/>
  <c r="DG3056" i="1"/>
  <c r="DA3056" i="1"/>
  <c r="T3056" i="1"/>
  <c r="S3056" i="1"/>
  <c r="Q3056" i="1"/>
  <c r="P3056" i="1"/>
  <c r="N3056" i="1"/>
  <c r="BO3056" i="1"/>
  <c r="BN3056" i="1"/>
  <c r="DG2068" i="1"/>
  <c r="DA2068" i="1"/>
  <c r="T2068" i="1"/>
  <c r="S2068" i="1"/>
  <c r="Q2068" i="1"/>
  <c r="P2068" i="1"/>
  <c r="N2068" i="1"/>
  <c r="BO2068" i="1"/>
  <c r="BN2068" i="1"/>
  <c r="DG2607" i="1"/>
  <c r="DA2607" i="1"/>
  <c r="T2607" i="1"/>
  <c r="S2607" i="1"/>
  <c r="Q2607" i="1"/>
  <c r="P2607" i="1"/>
  <c r="N2607" i="1"/>
  <c r="BO2607" i="1"/>
  <c r="BN2607" i="1"/>
  <c r="DG2067" i="1"/>
  <c r="DA2067" i="1"/>
  <c r="T2067" i="1"/>
  <c r="S2067" i="1"/>
  <c r="Q2067" i="1"/>
  <c r="P2067" i="1"/>
  <c r="N2067" i="1"/>
  <c r="BO2067" i="1"/>
  <c r="BN2067" i="1"/>
  <c r="DG2922" i="1"/>
  <c r="DA2922" i="1"/>
  <c r="T2922" i="1"/>
  <c r="S2922" i="1"/>
  <c r="Q2922" i="1"/>
  <c r="P2922" i="1"/>
  <c r="N2922" i="1"/>
  <c r="BO2922" i="1"/>
  <c r="BN2922" i="1"/>
  <c r="DG3057" i="1"/>
  <c r="DA3057" i="1"/>
  <c r="T3057" i="1"/>
  <c r="S3057" i="1"/>
  <c r="Q3057" i="1"/>
  <c r="P3057" i="1"/>
  <c r="N3057" i="1"/>
  <c r="BO3057" i="1"/>
  <c r="BN3057" i="1"/>
  <c r="DG2606" i="1"/>
  <c r="DA2606" i="1"/>
  <c r="T2606" i="1"/>
  <c r="S2606" i="1"/>
  <c r="Q2606" i="1"/>
  <c r="P2606" i="1"/>
  <c r="N2606" i="1"/>
  <c r="BO2606" i="1"/>
  <c r="BN2606" i="1"/>
  <c r="DG2066" i="1"/>
  <c r="DA2066" i="1"/>
  <c r="T2066" i="1"/>
  <c r="S2066" i="1"/>
  <c r="Q2066" i="1"/>
  <c r="P2066" i="1"/>
  <c r="N2066" i="1"/>
  <c r="BO2066" i="1"/>
  <c r="BN2066" i="1"/>
  <c r="DG2065" i="1"/>
  <c r="DA2065" i="1"/>
  <c r="T2065" i="1"/>
  <c r="S2065" i="1"/>
  <c r="Q2065" i="1"/>
  <c r="P2065" i="1"/>
  <c r="N2065" i="1"/>
  <c r="BO2065" i="1"/>
  <c r="BN2065" i="1"/>
  <c r="DG2605" i="1"/>
  <c r="DA2605" i="1"/>
  <c r="T2605" i="1"/>
  <c r="S2605" i="1"/>
  <c r="Q2605" i="1"/>
  <c r="P2605" i="1"/>
  <c r="N2605" i="1"/>
  <c r="BO2605" i="1"/>
  <c r="BN2605" i="1"/>
  <c r="DG2064" i="1"/>
  <c r="DA2064" i="1"/>
  <c r="T2064" i="1"/>
  <c r="S2064" i="1"/>
  <c r="Q2064" i="1"/>
  <c r="P2064" i="1"/>
  <c r="N2064" i="1"/>
  <c r="BO2064" i="1"/>
  <c r="BN2064" i="1"/>
  <c r="DG2063" i="1"/>
  <c r="DA2063" i="1"/>
  <c r="T2063" i="1"/>
  <c r="S2063" i="1"/>
  <c r="Q2063" i="1"/>
  <c r="P2063" i="1"/>
  <c r="N2063" i="1"/>
  <c r="BO2063" i="1"/>
  <c r="BN2063" i="1"/>
  <c r="DG3058" i="1"/>
  <c r="DA3058" i="1"/>
  <c r="T3058" i="1"/>
  <c r="S3058" i="1"/>
  <c r="Q3058" i="1"/>
  <c r="P3058" i="1"/>
  <c r="N3058" i="1"/>
  <c r="BO3058" i="1"/>
  <c r="BN3058" i="1"/>
  <c r="DG2604" i="1"/>
  <c r="DA2604" i="1"/>
  <c r="T2604" i="1"/>
  <c r="S2604" i="1"/>
  <c r="Q2604" i="1"/>
  <c r="P2604" i="1"/>
  <c r="N2604" i="1"/>
  <c r="BO2604" i="1"/>
  <c r="BN2604" i="1"/>
  <c r="DG2062" i="1"/>
  <c r="DA2062" i="1"/>
  <c r="T2062" i="1"/>
  <c r="S2062" i="1"/>
  <c r="Q2062" i="1"/>
  <c r="P2062" i="1"/>
  <c r="N2062" i="1"/>
  <c r="BO2062" i="1"/>
  <c r="BN2062" i="1"/>
  <c r="DG2603" i="1"/>
  <c r="DA2603" i="1"/>
  <c r="T2603" i="1"/>
  <c r="S2603" i="1"/>
  <c r="Q2603" i="1"/>
  <c r="P2603" i="1"/>
  <c r="N2603" i="1"/>
  <c r="BO2603" i="1"/>
  <c r="BN2603" i="1"/>
  <c r="DG2060" i="1"/>
  <c r="DA2060" i="1"/>
  <c r="T2060" i="1"/>
  <c r="S2060" i="1"/>
  <c r="Q2060" i="1"/>
  <c r="P2060" i="1"/>
  <c r="N2060" i="1"/>
  <c r="BO2060" i="1"/>
  <c r="BN2060" i="1"/>
  <c r="DG2059" i="1"/>
  <c r="DA2059" i="1"/>
  <c r="T2059" i="1"/>
  <c r="S2059" i="1"/>
  <c r="Q2059" i="1"/>
  <c r="P2059" i="1"/>
  <c r="N2059" i="1"/>
  <c r="BO2059" i="1"/>
  <c r="BN2059" i="1"/>
  <c r="DG2820" i="1"/>
  <c r="DA2820" i="1"/>
  <c r="T2820" i="1"/>
  <c r="S2820" i="1"/>
  <c r="Q2820" i="1"/>
  <c r="P2820" i="1"/>
  <c r="N2820" i="1"/>
  <c r="BO2820" i="1"/>
  <c r="BN2820" i="1"/>
  <c r="DG3059" i="1"/>
  <c r="DA3059" i="1"/>
  <c r="T3059" i="1"/>
  <c r="S3059" i="1"/>
  <c r="Q3059" i="1"/>
  <c r="P3059" i="1"/>
  <c r="N3059" i="1"/>
  <c r="BO3059" i="1"/>
  <c r="BN3059" i="1"/>
  <c r="DG2602" i="1"/>
  <c r="DA2602" i="1"/>
  <c r="T2602" i="1"/>
  <c r="S2602" i="1"/>
  <c r="Q2602" i="1"/>
  <c r="P2602" i="1"/>
  <c r="N2602" i="1"/>
  <c r="BO2602" i="1"/>
  <c r="BN2602" i="1"/>
  <c r="DG1990" i="1"/>
  <c r="DA1990" i="1"/>
  <c r="T1990" i="1"/>
  <c r="S1990" i="1"/>
  <c r="Q1990" i="1"/>
  <c r="P1990" i="1"/>
  <c r="N1990" i="1"/>
  <c r="BO1990" i="1"/>
  <c r="BN1990" i="1"/>
  <c r="DG2058" i="1"/>
  <c r="DA2058" i="1"/>
  <c r="T2058" i="1"/>
  <c r="S2058" i="1"/>
  <c r="Q2058" i="1"/>
  <c r="P2058" i="1"/>
  <c r="N2058" i="1"/>
  <c r="BO2058" i="1"/>
  <c r="BN2058" i="1"/>
  <c r="DG2057" i="1"/>
  <c r="DA2057" i="1"/>
  <c r="T2057" i="1"/>
  <c r="S2057" i="1"/>
  <c r="Q2057" i="1"/>
  <c r="P2057" i="1"/>
  <c r="N2057" i="1"/>
  <c r="BO2057" i="1"/>
  <c r="BN2057" i="1"/>
  <c r="DG2601" i="1"/>
  <c r="DA2601" i="1"/>
  <c r="T2601" i="1"/>
  <c r="S2601" i="1"/>
  <c r="Q2601" i="1"/>
  <c r="P2601" i="1"/>
  <c r="N2601" i="1"/>
  <c r="BO2601" i="1"/>
  <c r="BN2601" i="1"/>
  <c r="DG2056" i="1"/>
  <c r="DA2056" i="1"/>
  <c r="T2056" i="1"/>
  <c r="S2056" i="1"/>
  <c r="Q2056" i="1"/>
  <c r="P2056" i="1"/>
  <c r="N2056" i="1"/>
  <c r="BO2056" i="1"/>
  <c r="BN2056" i="1"/>
  <c r="DG2055" i="1"/>
  <c r="DA2055" i="1"/>
  <c r="T2055" i="1"/>
  <c r="S2055" i="1"/>
  <c r="Q2055" i="1"/>
  <c r="P2055" i="1"/>
  <c r="N2055" i="1"/>
  <c r="BO2055" i="1"/>
  <c r="BN2055" i="1"/>
  <c r="DG2923" i="1"/>
  <c r="DA2923" i="1"/>
  <c r="T2923" i="1"/>
  <c r="S2923" i="1"/>
  <c r="Q2923" i="1"/>
  <c r="P2923" i="1"/>
  <c r="N2923" i="1"/>
  <c r="BO2923" i="1"/>
  <c r="BN2923" i="1"/>
  <c r="DG2600" i="1"/>
  <c r="DA2600" i="1"/>
  <c r="T2600" i="1"/>
  <c r="S2600" i="1"/>
  <c r="Q2600" i="1"/>
  <c r="P2600" i="1"/>
  <c r="N2600" i="1"/>
  <c r="BO2600" i="1"/>
  <c r="BN2600" i="1"/>
  <c r="DG2054" i="1"/>
  <c r="DA2054" i="1"/>
  <c r="T2054" i="1"/>
  <c r="S2054" i="1"/>
  <c r="Q2054" i="1"/>
  <c r="P2054" i="1"/>
  <c r="N2054" i="1"/>
  <c r="BO2054" i="1"/>
  <c r="BN2054" i="1"/>
  <c r="DG3060" i="1"/>
  <c r="DA3060" i="1"/>
  <c r="T3060" i="1"/>
  <c r="S3060" i="1"/>
  <c r="Q3060" i="1"/>
  <c r="P3060" i="1"/>
  <c r="N3060" i="1"/>
  <c r="BO3060" i="1"/>
  <c r="BN3060" i="1"/>
  <c r="DG2052" i="1"/>
  <c r="DA2052" i="1"/>
  <c r="T2052" i="1"/>
  <c r="S2052" i="1"/>
  <c r="Q2052" i="1"/>
  <c r="P2052" i="1"/>
  <c r="N2052" i="1"/>
  <c r="BO2052" i="1"/>
  <c r="BN2052" i="1"/>
  <c r="DG2599" i="1"/>
  <c r="DA2599" i="1"/>
  <c r="T2599" i="1"/>
  <c r="S2599" i="1"/>
  <c r="Q2599" i="1"/>
  <c r="P2599" i="1"/>
  <c r="N2599" i="1"/>
  <c r="BO2599" i="1"/>
  <c r="BN2599" i="1"/>
  <c r="DG2051" i="1"/>
  <c r="DA2051" i="1"/>
  <c r="T2051" i="1"/>
  <c r="S2051" i="1"/>
  <c r="Q2051" i="1"/>
  <c r="P2051" i="1"/>
  <c r="N2051" i="1"/>
  <c r="BO2051" i="1"/>
  <c r="BN2051" i="1"/>
  <c r="DG2790" i="1"/>
  <c r="DA2790" i="1"/>
  <c r="T2790" i="1"/>
  <c r="S2790" i="1"/>
  <c r="Q2790" i="1"/>
  <c r="P2790" i="1"/>
  <c r="N2790" i="1"/>
  <c r="BO2790" i="1"/>
  <c r="BN2790" i="1"/>
  <c r="DG2854" i="1"/>
  <c r="DA2854" i="1"/>
  <c r="T2854" i="1"/>
  <c r="S2854" i="1"/>
  <c r="Q2854" i="1"/>
  <c r="P2854" i="1"/>
  <c r="N2854" i="1"/>
  <c r="BO2854" i="1"/>
  <c r="BN2854" i="1"/>
  <c r="DG2924" i="1"/>
  <c r="DA2924" i="1"/>
  <c r="T2924" i="1"/>
  <c r="S2924" i="1"/>
  <c r="Q2924" i="1"/>
  <c r="P2924" i="1"/>
  <c r="N2924" i="1"/>
  <c r="BO2924" i="1"/>
  <c r="BN2924" i="1"/>
  <c r="DG3061" i="1"/>
  <c r="DA3061" i="1"/>
  <c r="T3061" i="1"/>
  <c r="S3061" i="1"/>
  <c r="Q3061" i="1"/>
  <c r="P3061" i="1"/>
  <c r="N3061" i="1"/>
  <c r="BO3061" i="1"/>
  <c r="BN3061" i="1"/>
  <c r="DG2050" i="1"/>
  <c r="DA2050" i="1"/>
  <c r="T2050" i="1"/>
  <c r="S2050" i="1"/>
  <c r="Q2050" i="1"/>
  <c r="P2050" i="1"/>
  <c r="N2050" i="1"/>
  <c r="BO2050" i="1"/>
  <c r="BN2050" i="1"/>
  <c r="DG2598" i="1"/>
  <c r="DA2598" i="1"/>
  <c r="T2598" i="1"/>
  <c r="S2598" i="1"/>
  <c r="Q2598" i="1"/>
  <c r="P2598" i="1"/>
  <c r="N2598" i="1"/>
  <c r="BO2598" i="1"/>
  <c r="BN2598" i="1"/>
  <c r="DG2597" i="1"/>
  <c r="DA2597" i="1"/>
  <c r="T2597" i="1"/>
  <c r="S2597" i="1"/>
  <c r="Q2597" i="1"/>
  <c r="P2597" i="1"/>
  <c r="N2597" i="1"/>
  <c r="BO2597" i="1"/>
  <c r="BN2597" i="1"/>
  <c r="DG2048" i="1"/>
  <c r="DA2048" i="1"/>
  <c r="T2048" i="1"/>
  <c r="S2048" i="1"/>
  <c r="Q2048" i="1"/>
  <c r="P2048" i="1"/>
  <c r="N2048" i="1"/>
  <c r="BO2048" i="1"/>
  <c r="BN2048" i="1"/>
  <c r="DG2047" i="1"/>
  <c r="DA2047" i="1"/>
  <c r="T2047" i="1"/>
  <c r="S2047" i="1"/>
  <c r="Q2047" i="1"/>
  <c r="P2047" i="1"/>
  <c r="N2047" i="1"/>
  <c r="BO2047" i="1"/>
  <c r="BN2047" i="1"/>
  <c r="DG3062" i="1"/>
  <c r="DA3062" i="1"/>
  <c r="T3062" i="1"/>
  <c r="S3062" i="1"/>
  <c r="Q3062" i="1"/>
  <c r="P3062" i="1"/>
  <c r="N3062" i="1"/>
  <c r="BO3062" i="1"/>
  <c r="BN3062" i="1"/>
  <c r="DG2596" i="1"/>
  <c r="DA2596" i="1"/>
  <c r="T2596" i="1"/>
  <c r="S2596" i="1"/>
  <c r="Q2596" i="1"/>
  <c r="P2596" i="1"/>
  <c r="N2596" i="1"/>
  <c r="BO2596" i="1"/>
  <c r="BN2596" i="1"/>
  <c r="DG2046" i="1"/>
  <c r="DA2046" i="1"/>
  <c r="T2046" i="1"/>
  <c r="S2046" i="1"/>
  <c r="Q2046" i="1"/>
  <c r="P2046" i="1"/>
  <c r="N2046" i="1"/>
  <c r="BO2046" i="1"/>
  <c r="BN2046" i="1"/>
  <c r="DG2045" i="1"/>
  <c r="DA2045" i="1"/>
  <c r="T2045" i="1"/>
  <c r="S2045" i="1"/>
  <c r="Q2045" i="1"/>
  <c r="P2045" i="1"/>
  <c r="N2045" i="1"/>
  <c r="BO2045" i="1"/>
  <c r="BN2045" i="1"/>
  <c r="DG2595" i="1"/>
  <c r="DA2595" i="1"/>
  <c r="T2595" i="1"/>
  <c r="S2595" i="1"/>
  <c r="Q2595" i="1"/>
  <c r="P2595" i="1"/>
  <c r="N2595" i="1"/>
  <c r="BO2595" i="1"/>
  <c r="BN2595" i="1"/>
  <c r="DG2044" i="1"/>
  <c r="DA2044" i="1"/>
  <c r="T2044" i="1"/>
  <c r="S2044" i="1"/>
  <c r="Q2044" i="1"/>
  <c r="P2044" i="1"/>
  <c r="N2044" i="1"/>
  <c r="BO2044" i="1"/>
  <c r="BN2044" i="1"/>
  <c r="DG2043" i="1"/>
  <c r="DA2043" i="1"/>
  <c r="T2043" i="1"/>
  <c r="S2043" i="1"/>
  <c r="Q2043" i="1"/>
  <c r="P2043" i="1"/>
  <c r="N2043" i="1"/>
  <c r="BO2043" i="1"/>
  <c r="BN2043" i="1"/>
  <c r="DG2490" i="1"/>
  <c r="DA2490" i="1"/>
  <c r="T2490" i="1"/>
  <c r="S2490" i="1"/>
  <c r="Q2490" i="1"/>
  <c r="P2490" i="1"/>
  <c r="N2490" i="1"/>
  <c r="BO2490" i="1"/>
  <c r="BN2490" i="1"/>
  <c r="DG2489" i="1"/>
  <c r="DA2489" i="1"/>
  <c r="T2489" i="1"/>
  <c r="S2489" i="1"/>
  <c r="Q2489" i="1"/>
  <c r="P2489" i="1"/>
  <c r="N2489" i="1"/>
  <c r="BO2489" i="1"/>
  <c r="BN2489" i="1"/>
  <c r="DG2803" i="1"/>
  <c r="DA2803" i="1"/>
  <c r="T2803" i="1"/>
  <c r="S2803" i="1"/>
  <c r="Q2803" i="1"/>
  <c r="P2803" i="1"/>
  <c r="N2803" i="1"/>
  <c r="BO2803" i="1"/>
  <c r="BN2803" i="1"/>
  <c r="DG3063" i="1"/>
  <c r="DA3063" i="1"/>
  <c r="T3063" i="1"/>
  <c r="S3063" i="1"/>
  <c r="Q3063" i="1"/>
  <c r="P3063" i="1"/>
  <c r="N3063" i="1"/>
  <c r="BO3063" i="1"/>
  <c r="BN3063" i="1"/>
  <c r="DG2594" i="1"/>
  <c r="DA2594" i="1"/>
  <c r="T2594" i="1"/>
  <c r="S2594" i="1"/>
  <c r="Q2594" i="1"/>
  <c r="P2594" i="1"/>
  <c r="N2594" i="1"/>
  <c r="BO2594" i="1"/>
  <c r="BN2594" i="1"/>
  <c r="DG2042" i="1"/>
  <c r="DA2042" i="1"/>
  <c r="T2042" i="1"/>
  <c r="S2042" i="1"/>
  <c r="Q2042" i="1"/>
  <c r="P2042" i="1"/>
  <c r="N2042" i="1"/>
  <c r="BO2042" i="1"/>
  <c r="BN2042" i="1"/>
  <c r="DG2041" i="1"/>
  <c r="DA2041" i="1"/>
  <c r="T2041" i="1"/>
  <c r="S2041" i="1"/>
  <c r="Q2041" i="1"/>
  <c r="P2041" i="1"/>
  <c r="N2041" i="1"/>
  <c r="BO2041" i="1"/>
  <c r="BN2041" i="1"/>
  <c r="DG2593" i="1"/>
  <c r="DA2593" i="1"/>
  <c r="T2593" i="1"/>
  <c r="S2593" i="1"/>
  <c r="Q2593" i="1"/>
  <c r="P2593" i="1"/>
  <c r="N2593" i="1"/>
  <c r="BO2593" i="1"/>
  <c r="BN2593" i="1"/>
  <c r="DG2040" i="1"/>
  <c r="DA2040" i="1"/>
  <c r="T2040" i="1"/>
  <c r="S2040" i="1"/>
  <c r="Q2040" i="1"/>
  <c r="P2040" i="1"/>
  <c r="N2040" i="1"/>
  <c r="BO2040" i="1"/>
  <c r="BN2040" i="1"/>
  <c r="DG2039" i="1"/>
  <c r="DA2039" i="1"/>
  <c r="T2039" i="1"/>
  <c r="S2039" i="1"/>
  <c r="Q2039" i="1"/>
  <c r="P2039" i="1"/>
  <c r="N2039" i="1"/>
  <c r="BO2039" i="1"/>
  <c r="BN2039" i="1"/>
  <c r="DG2925" i="1"/>
  <c r="DA2925" i="1"/>
  <c r="T2925" i="1"/>
  <c r="S2925" i="1"/>
  <c r="Q2925" i="1"/>
  <c r="P2925" i="1"/>
  <c r="N2925" i="1"/>
  <c r="BO2925" i="1"/>
  <c r="BN2925" i="1"/>
  <c r="DG2592" i="1"/>
  <c r="DA2592" i="1"/>
  <c r="T2592" i="1"/>
  <c r="S2592" i="1"/>
  <c r="Q2592" i="1"/>
  <c r="P2592" i="1"/>
  <c r="N2592" i="1"/>
  <c r="BO2592" i="1"/>
  <c r="BN2592" i="1"/>
  <c r="DG2487" i="1"/>
  <c r="DA2487" i="1"/>
  <c r="T2487" i="1"/>
  <c r="S2487" i="1"/>
  <c r="Q2487" i="1"/>
  <c r="P2487" i="1"/>
  <c r="N2487" i="1"/>
  <c r="BO2487" i="1"/>
  <c r="BN2487" i="1"/>
  <c r="DG2038" i="1"/>
  <c r="DA2038" i="1"/>
  <c r="T2038" i="1"/>
  <c r="S2038" i="1"/>
  <c r="Q2038" i="1"/>
  <c r="P2038" i="1"/>
  <c r="N2038" i="1"/>
  <c r="BO2038" i="1"/>
  <c r="BN2038" i="1"/>
  <c r="DG2037" i="1"/>
  <c r="DA2037" i="1"/>
  <c r="T2037" i="1"/>
  <c r="S2037" i="1"/>
  <c r="Q2037" i="1"/>
  <c r="P2037" i="1"/>
  <c r="N2037" i="1"/>
  <c r="BO2037" i="1"/>
  <c r="BN2037" i="1"/>
  <c r="DG3064" i="1"/>
  <c r="DA3064" i="1"/>
  <c r="T3064" i="1"/>
  <c r="S3064" i="1"/>
  <c r="Q3064" i="1"/>
  <c r="P3064" i="1"/>
  <c r="N3064" i="1"/>
  <c r="BO3064" i="1"/>
  <c r="BN3064" i="1"/>
  <c r="DG2036" i="1"/>
  <c r="DA2036" i="1"/>
  <c r="T2036" i="1"/>
  <c r="S2036" i="1"/>
  <c r="Q2036" i="1"/>
  <c r="P2036" i="1"/>
  <c r="N2036" i="1"/>
  <c r="BO2036" i="1"/>
  <c r="BN2036" i="1"/>
  <c r="DG2591" i="1"/>
  <c r="DA2591" i="1"/>
  <c r="T2591" i="1"/>
  <c r="S2591" i="1"/>
  <c r="Q2591" i="1"/>
  <c r="P2591" i="1"/>
  <c r="N2591" i="1"/>
  <c r="BO2591" i="1"/>
  <c r="BN2591" i="1"/>
  <c r="DG2855" i="1"/>
  <c r="DA2855" i="1"/>
  <c r="T2855" i="1"/>
  <c r="S2855" i="1"/>
  <c r="Q2855" i="1"/>
  <c r="P2855" i="1"/>
  <c r="N2855" i="1"/>
  <c r="BO2855" i="1"/>
  <c r="BN2855" i="1"/>
  <c r="DG3065" i="1"/>
  <c r="DA3065" i="1"/>
  <c r="T3065" i="1"/>
  <c r="S3065" i="1"/>
  <c r="Q3065" i="1"/>
  <c r="P3065" i="1"/>
  <c r="N3065" i="1"/>
  <c r="BO3065" i="1"/>
  <c r="BN3065" i="1"/>
  <c r="DG2590" i="1"/>
  <c r="DA2590" i="1"/>
  <c r="T2590" i="1"/>
  <c r="S2590" i="1"/>
  <c r="Q2590" i="1"/>
  <c r="P2590" i="1"/>
  <c r="N2590" i="1"/>
  <c r="BO2590" i="1"/>
  <c r="BN2590" i="1"/>
  <c r="DG2034" i="1"/>
  <c r="DA2034" i="1"/>
  <c r="T2034" i="1"/>
  <c r="S2034" i="1"/>
  <c r="Q2034" i="1"/>
  <c r="P2034" i="1"/>
  <c r="N2034" i="1"/>
  <c r="BO2034" i="1"/>
  <c r="BN2034" i="1"/>
  <c r="DG2033" i="1"/>
  <c r="DA2033" i="1"/>
  <c r="T2033" i="1"/>
  <c r="S2033" i="1"/>
  <c r="Q2033" i="1"/>
  <c r="P2033" i="1"/>
  <c r="N2033" i="1"/>
  <c r="BO2033" i="1"/>
  <c r="BN2033" i="1"/>
  <c r="DG2589" i="1"/>
  <c r="DA2589" i="1"/>
  <c r="T2589" i="1"/>
  <c r="S2589" i="1"/>
  <c r="Q2589" i="1"/>
  <c r="P2589" i="1"/>
  <c r="N2589" i="1"/>
  <c r="BO2589" i="1"/>
  <c r="BN2589" i="1"/>
  <c r="DG2032" i="1"/>
  <c r="DA2032" i="1"/>
  <c r="T2032" i="1"/>
  <c r="S2032" i="1"/>
  <c r="Q2032" i="1"/>
  <c r="P2032" i="1"/>
  <c r="N2032" i="1"/>
  <c r="BO2032" i="1"/>
  <c r="BN2032" i="1"/>
  <c r="DG2031" i="1"/>
  <c r="DA2031" i="1"/>
  <c r="T2031" i="1"/>
  <c r="S2031" i="1"/>
  <c r="Q2031" i="1"/>
  <c r="P2031" i="1"/>
  <c r="N2031" i="1"/>
  <c r="BO2031" i="1"/>
  <c r="BN2031" i="1"/>
  <c r="DG2926" i="1"/>
  <c r="DA2926" i="1"/>
  <c r="T2926" i="1"/>
  <c r="S2926" i="1"/>
  <c r="Q2926" i="1"/>
  <c r="P2926" i="1"/>
  <c r="N2926" i="1"/>
  <c r="BO2926" i="1"/>
  <c r="BN2926" i="1"/>
  <c r="DG3066" i="1"/>
  <c r="DA3066" i="1"/>
  <c r="T3066" i="1"/>
  <c r="S3066" i="1"/>
  <c r="Q3066" i="1"/>
  <c r="P3066" i="1"/>
  <c r="N3066" i="1"/>
  <c r="BO3066" i="1"/>
  <c r="BN3066" i="1"/>
  <c r="DG2030" i="1"/>
  <c r="DA2030" i="1"/>
  <c r="T2030" i="1"/>
  <c r="S2030" i="1"/>
  <c r="Q2030" i="1"/>
  <c r="P2030" i="1"/>
  <c r="N2030" i="1"/>
  <c r="BO2030" i="1"/>
  <c r="BN2030" i="1"/>
  <c r="DG2588" i="1"/>
  <c r="DA2588" i="1"/>
  <c r="T2588" i="1"/>
  <c r="S2588" i="1"/>
  <c r="Q2588" i="1"/>
  <c r="P2588" i="1"/>
  <c r="N2588" i="1"/>
  <c r="BO2588" i="1"/>
  <c r="BN2588" i="1"/>
  <c r="DG2587" i="1"/>
  <c r="DA2587" i="1"/>
  <c r="T2587" i="1"/>
  <c r="S2587" i="1"/>
  <c r="Q2587" i="1"/>
  <c r="P2587" i="1"/>
  <c r="N2587" i="1"/>
  <c r="BO2587" i="1"/>
  <c r="BN2587" i="1"/>
  <c r="DG2028" i="1"/>
  <c r="DA2028" i="1"/>
  <c r="T2028" i="1"/>
  <c r="S2028" i="1"/>
  <c r="Q2028" i="1"/>
  <c r="P2028" i="1"/>
  <c r="N2028" i="1"/>
  <c r="BO2028" i="1"/>
  <c r="BN2028" i="1"/>
  <c r="DG2027" i="1"/>
  <c r="DA2027" i="1"/>
  <c r="T2027" i="1"/>
  <c r="S2027" i="1"/>
  <c r="Q2027" i="1"/>
  <c r="P2027" i="1"/>
  <c r="N2027" i="1"/>
  <c r="BO2027" i="1"/>
  <c r="BN2027" i="1"/>
  <c r="DG2821" i="1"/>
  <c r="DA2821" i="1"/>
  <c r="T2821" i="1"/>
  <c r="S2821" i="1"/>
  <c r="Q2821" i="1"/>
  <c r="P2821" i="1"/>
  <c r="N2821" i="1"/>
  <c r="BO2821" i="1"/>
  <c r="BN2821" i="1"/>
  <c r="DG2927" i="1"/>
  <c r="DA2927" i="1"/>
  <c r="T2927" i="1"/>
  <c r="S2927" i="1"/>
  <c r="Q2927" i="1"/>
  <c r="P2927" i="1"/>
  <c r="N2927" i="1"/>
  <c r="BO2927" i="1"/>
  <c r="BN2927" i="1"/>
  <c r="DG2586" i="1"/>
  <c r="DA2586" i="1"/>
  <c r="T2586" i="1"/>
  <c r="S2586" i="1"/>
  <c r="Q2586" i="1"/>
  <c r="P2586" i="1"/>
  <c r="N2586" i="1"/>
  <c r="BO2586" i="1"/>
  <c r="BN2586" i="1"/>
  <c r="DG2026" i="1"/>
  <c r="DA2026" i="1"/>
  <c r="T2026" i="1"/>
  <c r="S2026" i="1"/>
  <c r="Q2026" i="1"/>
  <c r="P2026" i="1"/>
  <c r="N2026" i="1"/>
  <c r="BO2026" i="1"/>
  <c r="BN2026" i="1"/>
  <c r="DG2025" i="1"/>
  <c r="DA2025" i="1"/>
  <c r="T2025" i="1"/>
  <c r="S2025" i="1"/>
  <c r="Q2025" i="1"/>
  <c r="P2025" i="1"/>
  <c r="N2025" i="1"/>
  <c r="BO2025" i="1"/>
  <c r="BN2025" i="1"/>
  <c r="DG3067" i="1"/>
  <c r="DA3067" i="1"/>
  <c r="T3067" i="1"/>
  <c r="S3067" i="1"/>
  <c r="Q3067" i="1"/>
  <c r="P3067" i="1"/>
  <c r="N3067" i="1"/>
  <c r="BO3067" i="1"/>
  <c r="BN3067" i="1"/>
  <c r="DG2024" i="1"/>
  <c r="DA2024" i="1"/>
  <c r="T2024" i="1"/>
  <c r="S2024" i="1"/>
  <c r="Q2024" i="1"/>
  <c r="P2024" i="1"/>
  <c r="N2024" i="1"/>
  <c r="BO2024" i="1"/>
  <c r="BN2024" i="1"/>
  <c r="DG2856" i="1"/>
  <c r="DA2856" i="1"/>
  <c r="T2856" i="1"/>
  <c r="S2856" i="1"/>
  <c r="Q2856" i="1"/>
  <c r="P2856" i="1"/>
  <c r="N2856" i="1"/>
  <c r="BO2856" i="1"/>
  <c r="BN2856" i="1"/>
  <c r="DG2584" i="1"/>
  <c r="DA2584" i="1"/>
  <c r="T2584" i="1"/>
  <c r="S2584" i="1"/>
  <c r="Q2584" i="1"/>
  <c r="P2584" i="1"/>
  <c r="N2584" i="1"/>
  <c r="BO2584" i="1"/>
  <c r="BN2584" i="1"/>
  <c r="DG2022" i="1"/>
  <c r="DA2022" i="1"/>
  <c r="T2022" i="1"/>
  <c r="S2022" i="1"/>
  <c r="Q2022" i="1"/>
  <c r="P2022" i="1"/>
  <c r="N2022" i="1"/>
  <c r="BO2022" i="1"/>
  <c r="BN2022" i="1"/>
  <c r="DG2021" i="1"/>
  <c r="DA2021" i="1"/>
  <c r="T2021" i="1"/>
  <c r="S2021" i="1"/>
  <c r="Q2021" i="1"/>
  <c r="P2021" i="1"/>
  <c r="N2021" i="1"/>
  <c r="BO2021" i="1"/>
  <c r="BN2021" i="1"/>
  <c r="DG3068" i="1"/>
  <c r="DA3068" i="1"/>
  <c r="T3068" i="1"/>
  <c r="S3068" i="1"/>
  <c r="Q3068" i="1"/>
  <c r="P3068" i="1"/>
  <c r="N3068" i="1"/>
  <c r="BO3068" i="1"/>
  <c r="BN3068" i="1"/>
  <c r="DG2020" i="1"/>
  <c r="DA2020" i="1"/>
  <c r="T2020" i="1"/>
  <c r="S2020" i="1"/>
  <c r="Q2020" i="1"/>
  <c r="P2020" i="1"/>
  <c r="N2020" i="1"/>
  <c r="BO2020" i="1"/>
  <c r="BN2020" i="1"/>
  <c r="DG2583" i="1"/>
  <c r="DA2583" i="1"/>
  <c r="T2583" i="1"/>
  <c r="S2583" i="1"/>
  <c r="Q2583" i="1"/>
  <c r="P2583" i="1"/>
  <c r="N2583" i="1"/>
  <c r="BO2583" i="1"/>
  <c r="BN2583" i="1"/>
  <c r="DG2788" i="1"/>
  <c r="DA2788" i="1"/>
  <c r="T2788" i="1"/>
  <c r="S2788" i="1"/>
  <c r="Q2788" i="1"/>
  <c r="P2788" i="1"/>
  <c r="N2788" i="1"/>
  <c r="BO2788" i="1"/>
  <c r="BN2788" i="1"/>
  <c r="DG3069" i="1"/>
  <c r="DA3069" i="1"/>
  <c r="T3069" i="1"/>
  <c r="S3069" i="1"/>
  <c r="Q3069" i="1"/>
  <c r="P3069" i="1"/>
  <c r="N3069" i="1"/>
  <c r="BO3069" i="1"/>
  <c r="BN3069" i="1"/>
  <c r="DG2018" i="1"/>
  <c r="DA2018" i="1"/>
  <c r="T2018" i="1"/>
  <c r="S2018" i="1"/>
  <c r="Q2018" i="1"/>
  <c r="P2018" i="1"/>
  <c r="N2018" i="1"/>
  <c r="BO2018" i="1"/>
  <c r="BN2018" i="1"/>
  <c r="DG2582" i="1"/>
  <c r="DA2582" i="1"/>
  <c r="T2582" i="1"/>
  <c r="S2582" i="1"/>
  <c r="Q2582" i="1"/>
  <c r="P2582" i="1"/>
  <c r="N2582" i="1"/>
  <c r="BO2582" i="1"/>
  <c r="BN2582" i="1"/>
  <c r="DG2928" i="1"/>
  <c r="DA2928" i="1"/>
  <c r="T2928" i="1"/>
  <c r="S2928" i="1"/>
  <c r="Q2928" i="1"/>
  <c r="P2928" i="1"/>
  <c r="N2928" i="1"/>
  <c r="BO2928" i="1"/>
  <c r="BN2928" i="1"/>
  <c r="DG2016" i="1"/>
  <c r="DA2016" i="1"/>
  <c r="T2016" i="1"/>
  <c r="S2016" i="1"/>
  <c r="Q2016" i="1"/>
  <c r="P2016" i="1"/>
  <c r="N2016" i="1"/>
  <c r="BO2016" i="1"/>
  <c r="BN2016" i="1"/>
  <c r="DG2581" i="1"/>
  <c r="DA2581" i="1"/>
  <c r="T2581" i="1"/>
  <c r="S2581" i="1"/>
  <c r="Q2581" i="1"/>
  <c r="P2581" i="1"/>
  <c r="N2581" i="1"/>
  <c r="BO2581" i="1"/>
  <c r="BN2581" i="1"/>
  <c r="DG2580" i="1"/>
  <c r="DA2580" i="1"/>
  <c r="T2580" i="1"/>
  <c r="S2580" i="1"/>
  <c r="Q2580" i="1"/>
  <c r="P2580" i="1"/>
  <c r="N2580" i="1"/>
  <c r="BO2580" i="1"/>
  <c r="BN2580" i="1"/>
  <c r="DG2013" i="1"/>
  <c r="DA2013" i="1"/>
  <c r="T2013" i="1"/>
  <c r="S2013" i="1"/>
  <c r="Q2013" i="1"/>
  <c r="P2013" i="1"/>
  <c r="N2013" i="1"/>
  <c r="BO2013" i="1"/>
  <c r="BN2013" i="1"/>
  <c r="DG2579" i="1"/>
  <c r="DA2579" i="1"/>
  <c r="T2579" i="1"/>
  <c r="S2579" i="1"/>
  <c r="Q2579" i="1"/>
  <c r="P2579" i="1"/>
  <c r="N2579" i="1"/>
  <c r="BO2579" i="1"/>
  <c r="BN2579" i="1"/>
  <c r="DG3070" i="1"/>
  <c r="DA3070" i="1"/>
  <c r="T3070" i="1"/>
  <c r="S3070" i="1"/>
  <c r="Q3070" i="1"/>
  <c r="P3070" i="1"/>
  <c r="N3070" i="1"/>
  <c r="BO3070" i="1"/>
  <c r="BN3070" i="1"/>
  <c r="DG3071" i="1"/>
  <c r="DA3071" i="1"/>
  <c r="T3071" i="1"/>
  <c r="S3071" i="1"/>
  <c r="Q3071" i="1"/>
  <c r="P3071" i="1"/>
  <c r="N3071" i="1"/>
  <c r="BO3071" i="1"/>
  <c r="BN3071" i="1"/>
  <c r="DG2010" i="1"/>
  <c r="DA2010" i="1"/>
  <c r="T2010" i="1"/>
  <c r="S2010" i="1"/>
  <c r="Q2010" i="1"/>
  <c r="P2010" i="1"/>
  <c r="N2010" i="1"/>
  <c r="BO2010" i="1"/>
  <c r="BN2010" i="1"/>
  <c r="DG2857" i="1"/>
  <c r="DA2857" i="1"/>
  <c r="T2857" i="1"/>
  <c r="S2857" i="1"/>
  <c r="Q2857" i="1"/>
  <c r="P2857" i="1"/>
  <c r="N2857" i="1"/>
  <c r="BO2857" i="1"/>
  <c r="BN2857" i="1"/>
  <c r="DG2578" i="1"/>
  <c r="DA2578" i="1"/>
  <c r="T2578" i="1"/>
  <c r="S2578" i="1"/>
  <c r="Q2578" i="1"/>
  <c r="P2578" i="1"/>
  <c r="N2578" i="1"/>
  <c r="BO2578" i="1"/>
  <c r="BN2578" i="1"/>
  <c r="DG2929" i="1"/>
  <c r="DA2929" i="1"/>
  <c r="T2929" i="1"/>
  <c r="S2929" i="1"/>
  <c r="Q2929" i="1"/>
  <c r="P2929" i="1"/>
  <c r="N2929" i="1"/>
  <c r="BO2929" i="1"/>
  <c r="BN2929" i="1"/>
  <c r="DG2008" i="1"/>
  <c r="DA2008" i="1"/>
  <c r="T2008" i="1"/>
  <c r="S2008" i="1"/>
  <c r="Q2008" i="1"/>
  <c r="P2008" i="1"/>
  <c r="N2008" i="1"/>
  <c r="BO2008" i="1"/>
  <c r="BN2008" i="1"/>
  <c r="DG2577" i="1"/>
  <c r="DA2577" i="1"/>
  <c r="T2577" i="1"/>
  <c r="S2577" i="1"/>
  <c r="Q2577" i="1"/>
  <c r="P2577" i="1"/>
  <c r="N2577" i="1"/>
  <c r="BO2577" i="1"/>
  <c r="BN2577" i="1"/>
  <c r="DG2576" i="1"/>
  <c r="DA2576" i="1"/>
  <c r="T2576" i="1"/>
  <c r="S2576" i="1"/>
  <c r="Q2576" i="1"/>
  <c r="P2576" i="1"/>
  <c r="N2576" i="1"/>
  <c r="BO2576" i="1"/>
  <c r="BN2576" i="1"/>
  <c r="DG2006" i="1"/>
  <c r="DA2006" i="1"/>
  <c r="T2006" i="1"/>
  <c r="S2006" i="1"/>
  <c r="Q2006" i="1"/>
  <c r="P2006" i="1"/>
  <c r="N2006" i="1"/>
  <c r="BO2006" i="1"/>
  <c r="BN2006" i="1"/>
  <c r="DG2005" i="1"/>
  <c r="DA2005" i="1"/>
  <c r="T2005" i="1"/>
  <c r="S2005" i="1"/>
  <c r="Q2005" i="1"/>
  <c r="P2005" i="1"/>
  <c r="N2005" i="1"/>
  <c r="BO2005" i="1"/>
  <c r="BN2005" i="1"/>
  <c r="DG2234" i="1"/>
  <c r="DA2234" i="1"/>
  <c r="T2234" i="1"/>
  <c r="S2234" i="1"/>
  <c r="Q2234" i="1"/>
  <c r="P2234" i="1"/>
  <c r="N2234" i="1"/>
  <c r="BO2234" i="1"/>
  <c r="BN2234" i="1"/>
  <c r="DG2575" i="1"/>
  <c r="DA2575" i="1"/>
  <c r="T2575" i="1"/>
  <c r="S2575" i="1"/>
  <c r="Q2575" i="1"/>
  <c r="P2575" i="1"/>
  <c r="N2575" i="1"/>
  <c r="BO2575" i="1"/>
  <c r="BN2575" i="1"/>
  <c r="DG2182" i="1"/>
  <c r="DA2182" i="1"/>
  <c r="T2182" i="1"/>
  <c r="S2182" i="1"/>
  <c r="Q2182" i="1"/>
  <c r="P2182" i="1"/>
  <c r="N2182" i="1"/>
  <c r="BO2182" i="1"/>
  <c r="BN2182" i="1"/>
  <c r="DG2002" i="1"/>
  <c r="DA2002" i="1"/>
  <c r="T2002" i="1"/>
  <c r="S2002" i="1"/>
  <c r="Q2002" i="1"/>
  <c r="P2002" i="1"/>
  <c r="N2002" i="1"/>
  <c r="BO2002" i="1"/>
  <c r="BN2002" i="1"/>
  <c r="DG3073" i="1"/>
  <c r="DA3073" i="1"/>
  <c r="T3073" i="1"/>
  <c r="S3073" i="1"/>
  <c r="Q3073" i="1"/>
  <c r="P3073" i="1"/>
  <c r="N3073" i="1"/>
  <c r="BO3073" i="1"/>
  <c r="BN3073" i="1"/>
  <c r="DG2574" i="1"/>
  <c r="DA2574" i="1"/>
  <c r="T2574" i="1"/>
  <c r="S2574" i="1"/>
  <c r="Q2574" i="1"/>
  <c r="P2574" i="1"/>
  <c r="N2574" i="1"/>
  <c r="BO2574" i="1"/>
  <c r="BN2574" i="1"/>
  <c r="DG2178" i="1"/>
  <c r="DA2178" i="1"/>
  <c r="T2178" i="1"/>
  <c r="S2178" i="1"/>
  <c r="Q2178" i="1"/>
  <c r="P2178" i="1"/>
  <c r="N2178" i="1"/>
  <c r="BO2178" i="1"/>
  <c r="BN2178" i="1"/>
  <c r="DG2000" i="1"/>
  <c r="DA2000" i="1"/>
  <c r="T2000" i="1"/>
  <c r="S2000" i="1"/>
  <c r="Q2000" i="1"/>
  <c r="P2000" i="1"/>
  <c r="N2000" i="1"/>
  <c r="BO2000" i="1"/>
  <c r="BN2000" i="1"/>
  <c r="DG2930" i="1"/>
  <c r="DA2930" i="1"/>
  <c r="T2930" i="1"/>
  <c r="S2930" i="1"/>
  <c r="Q2930" i="1"/>
  <c r="P2930" i="1"/>
  <c r="N2930" i="1"/>
  <c r="BO2930" i="1"/>
  <c r="BN2930" i="1"/>
  <c r="DG2573" i="1"/>
  <c r="DA2573" i="1"/>
  <c r="T2573" i="1"/>
  <c r="S2573" i="1"/>
  <c r="Q2573" i="1"/>
  <c r="P2573" i="1"/>
  <c r="N2573" i="1"/>
  <c r="BO2573" i="1"/>
  <c r="BN2573" i="1"/>
  <c r="DG2572" i="1"/>
  <c r="DA2572" i="1"/>
  <c r="T2572" i="1"/>
  <c r="S2572" i="1"/>
  <c r="Q2572" i="1"/>
  <c r="P2572" i="1"/>
  <c r="N2572" i="1"/>
  <c r="BO2572" i="1"/>
  <c r="BN2572" i="1"/>
  <c r="DG1998" i="1"/>
  <c r="DA1998" i="1"/>
  <c r="T1998" i="1"/>
  <c r="S1998" i="1"/>
  <c r="Q1998" i="1"/>
  <c r="P1998" i="1"/>
  <c r="N1998" i="1"/>
  <c r="BO1998" i="1"/>
  <c r="BN1998" i="1"/>
  <c r="DG1997" i="1"/>
  <c r="DA1997" i="1"/>
  <c r="T1997" i="1"/>
  <c r="S1997" i="1"/>
  <c r="Q1997" i="1"/>
  <c r="P1997" i="1"/>
  <c r="N1997" i="1"/>
  <c r="BO1997" i="1"/>
  <c r="BN1997" i="1"/>
  <c r="DG2906" i="1"/>
  <c r="DA2906" i="1"/>
  <c r="T2906" i="1"/>
  <c r="S2906" i="1"/>
  <c r="Q2906" i="1"/>
  <c r="P2906" i="1"/>
  <c r="N2906" i="1"/>
  <c r="BO2906" i="1"/>
  <c r="BN2906" i="1"/>
  <c r="DG2571" i="1"/>
  <c r="DA2571" i="1"/>
  <c r="T2571" i="1"/>
  <c r="S2571" i="1"/>
  <c r="Q2571" i="1"/>
  <c r="P2571" i="1"/>
  <c r="N2571" i="1"/>
  <c r="BO2571" i="1"/>
  <c r="BN2571" i="1"/>
  <c r="DG3074" i="1"/>
  <c r="DA3074" i="1"/>
  <c r="T3074" i="1"/>
  <c r="S3074" i="1"/>
  <c r="Q3074" i="1"/>
  <c r="P3074" i="1"/>
  <c r="N3074" i="1"/>
  <c r="BO3074" i="1"/>
  <c r="BN3074" i="1"/>
  <c r="DG2822" i="1"/>
  <c r="DA2822" i="1"/>
  <c r="T2822" i="1"/>
  <c r="S2822" i="1"/>
  <c r="Q2822" i="1"/>
  <c r="P2822" i="1"/>
  <c r="N2822" i="1"/>
  <c r="BO2822" i="1"/>
  <c r="BN2822" i="1"/>
  <c r="DG1994" i="1"/>
  <c r="DA1994" i="1"/>
  <c r="T1994" i="1"/>
  <c r="S1994" i="1"/>
  <c r="Q1994" i="1"/>
  <c r="P1994" i="1"/>
  <c r="N1994" i="1"/>
  <c r="BO1994" i="1"/>
  <c r="BN1994" i="1"/>
  <c r="DG2570" i="1"/>
  <c r="DA2570" i="1"/>
  <c r="T2570" i="1"/>
  <c r="S2570" i="1"/>
  <c r="Q2570" i="1"/>
  <c r="P2570" i="1"/>
  <c r="N2570" i="1"/>
  <c r="BO2570" i="1"/>
  <c r="BN2570" i="1"/>
  <c r="DG1993" i="1"/>
  <c r="DA1993" i="1"/>
  <c r="T1993" i="1"/>
  <c r="S1993" i="1"/>
  <c r="Q1993" i="1"/>
  <c r="P1993" i="1"/>
  <c r="N1993" i="1"/>
  <c r="BO1993" i="1"/>
  <c r="BN1993" i="1"/>
  <c r="DG2569" i="1"/>
  <c r="DA2569" i="1"/>
  <c r="T2569" i="1"/>
  <c r="S2569" i="1"/>
  <c r="Q2569" i="1"/>
  <c r="P2569" i="1"/>
  <c r="N2569" i="1"/>
  <c r="BO2569" i="1"/>
  <c r="BN2569" i="1"/>
  <c r="DG1992" i="1"/>
  <c r="DA1992" i="1"/>
  <c r="T1992" i="1"/>
  <c r="S1992" i="1"/>
  <c r="Q1992" i="1"/>
  <c r="P1992" i="1"/>
  <c r="N1992" i="1"/>
  <c r="BO1992" i="1"/>
  <c r="BN1992" i="1"/>
  <c r="DG1991" i="1"/>
  <c r="DA1991" i="1"/>
  <c r="T1991" i="1"/>
  <c r="S1991" i="1"/>
  <c r="Q1991" i="1"/>
  <c r="P1991" i="1"/>
  <c r="N1991" i="1"/>
  <c r="BO1991" i="1"/>
  <c r="BN1991" i="1"/>
  <c r="DG2858" i="1"/>
  <c r="DA2858" i="1"/>
  <c r="T2858" i="1"/>
  <c r="S2858" i="1"/>
  <c r="Q2858" i="1"/>
  <c r="P2858" i="1"/>
  <c r="N2858" i="1"/>
  <c r="BO2858" i="1"/>
  <c r="BN2858" i="1"/>
  <c r="DG1989" i="1"/>
  <c r="DA1989" i="1"/>
  <c r="T1989" i="1"/>
  <c r="S1989" i="1"/>
  <c r="Q1989" i="1"/>
  <c r="P1989" i="1"/>
  <c r="N1989" i="1"/>
  <c r="BO1989" i="1"/>
  <c r="BN1989" i="1"/>
  <c r="DG1988" i="1"/>
  <c r="DA1988" i="1"/>
  <c r="T1988" i="1"/>
  <c r="S1988" i="1"/>
  <c r="Q1988" i="1"/>
  <c r="P1988" i="1"/>
  <c r="N1988" i="1"/>
  <c r="BO1988" i="1"/>
  <c r="BN1988" i="1"/>
  <c r="DG2931" i="1"/>
  <c r="DA2931" i="1"/>
  <c r="T2931" i="1"/>
  <c r="S2931" i="1"/>
  <c r="Q2931" i="1"/>
  <c r="P2931" i="1"/>
  <c r="N2931" i="1"/>
  <c r="BO2931" i="1"/>
  <c r="BN2931" i="1"/>
  <c r="DG2567" i="1"/>
  <c r="DA2567" i="1"/>
  <c r="T2567" i="1"/>
  <c r="S2567" i="1"/>
  <c r="Q2567" i="1"/>
  <c r="P2567" i="1"/>
  <c r="N2567" i="1"/>
  <c r="BO2567" i="1"/>
  <c r="BN2567" i="1"/>
  <c r="DG2568" i="1"/>
  <c r="DA2568" i="1"/>
  <c r="T2568" i="1"/>
  <c r="S2568" i="1"/>
  <c r="Q2568" i="1"/>
  <c r="P2568" i="1"/>
  <c r="N2568" i="1"/>
  <c r="BO2568" i="1"/>
  <c r="BN2568" i="1"/>
  <c r="DG3149" i="1"/>
  <c r="DA3149" i="1"/>
  <c r="T3149" i="1"/>
  <c r="S3149" i="1"/>
  <c r="Q3149" i="1"/>
  <c r="P3149" i="1"/>
  <c r="N3149" i="1"/>
  <c r="BO3149" i="1"/>
  <c r="BN3149" i="1"/>
  <c r="DG2932" i="1"/>
  <c r="DA2932" i="1"/>
  <c r="T2932" i="1"/>
  <c r="S2932" i="1"/>
  <c r="Q2932" i="1"/>
  <c r="P2932" i="1"/>
  <c r="N2932" i="1"/>
  <c r="BO2932" i="1"/>
  <c r="BN2932" i="1"/>
  <c r="DG3077" i="1"/>
  <c r="DA3077" i="1"/>
  <c r="T3077" i="1"/>
  <c r="S3077" i="1"/>
  <c r="Q3077" i="1"/>
  <c r="P3077" i="1"/>
  <c r="N3077" i="1"/>
  <c r="BO3077" i="1"/>
  <c r="BN3077" i="1"/>
  <c r="DG2566" i="1"/>
  <c r="DA2566" i="1"/>
  <c r="T2566" i="1"/>
  <c r="S2566" i="1"/>
  <c r="Q2566" i="1"/>
  <c r="P2566" i="1"/>
  <c r="N2566" i="1"/>
  <c r="BO2566" i="1"/>
  <c r="BN2566" i="1"/>
  <c r="DG2565" i="1"/>
  <c r="DA2565" i="1"/>
  <c r="T2565" i="1"/>
  <c r="S2565" i="1"/>
  <c r="Q2565" i="1"/>
  <c r="P2565" i="1"/>
  <c r="N2565" i="1"/>
  <c r="BO2565" i="1"/>
  <c r="BN2565" i="1"/>
  <c r="DG1983" i="1"/>
  <c r="DA1983" i="1"/>
  <c r="T1983" i="1"/>
  <c r="S1983" i="1"/>
  <c r="Q1983" i="1"/>
  <c r="P1983" i="1"/>
  <c r="N1983" i="1"/>
  <c r="BO1983" i="1"/>
  <c r="BN1983" i="1"/>
  <c r="DG2795" i="1"/>
  <c r="DA2795" i="1"/>
  <c r="T2795" i="1"/>
  <c r="S2795" i="1"/>
  <c r="Q2795" i="1"/>
  <c r="P2795" i="1"/>
  <c r="N2795" i="1"/>
  <c r="BO2795" i="1"/>
  <c r="BN2795" i="1"/>
  <c r="DG2564" i="1"/>
  <c r="DA2564" i="1"/>
  <c r="T2564" i="1"/>
  <c r="S2564" i="1"/>
  <c r="Q2564" i="1"/>
  <c r="P2564" i="1"/>
  <c r="N2564" i="1"/>
  <c r="BO2564" i="1"/>
  <c r="BN2564" i="1"/>
  <c r="DG1981" i="1"/>
  <c r="DA1981" i="1"/>
  <c r="T1981" i="1"/>
  <c r="S1981" i="1"/>
  <c r="Q1981" i="1"/>
  <c r="P1981" i="1"/>
  <c r="N1981" i="1"/>
  <c r="BO1981" i="1"/>
  <c r="BN1981" i="1"/>
  <c r="DG1980" i="1"/>
  <c r="DA1980" i="1"/>
  <c r="T1980" i="1"/>
  <c r="S1980" i="1"/>
  <c r="Q1980" i="1"/>
  <c r="P1980" i="1"/>
  <c r="N1980" i="1"/>
  <c r="BO1980" i="1"/>
  <c r="BN1980" i="1"/>
  <c r="DG2804" i="1"/>
  <c r="DA2804" i="1"/>
  <c r="T2804" i="1"/>
  <c r="S2804" i="1"/>
  <c r="Q2804" i="1"/>
  <c r="P2804" i="1"/>
  <c r="N2804" i="1"/>
  <c r="BO2804" i="1"/>
  <c r="BN2804" i="1"/>
  <c r="DG2563" i="1"/>
  <c r="DA2563" i="1"/>
  <c r="T2563" i="1"/>
  <c r="S2563" i="1"/>
  <c r="Q2563" i="1"/>
  <c r="P2563" i="1"/>
  <c r="N2563" i="1"/>
  <c r="BO2563" i="1"/>
  <c r="BN2563" i="1"/>
  <c r="DG3078" i="1"/>
  <c r="DA3078" i="1"/>
  <c r="T3078" i="1"/>
  <c r="S3078" i="1"/>
  <c r="Q3078" i="1"/>
  <c r="P3078" i="1"/>
  <c r="N3078" i="1"/>
  <c r="BO3078" i="1"/>
  <c r="BN3078" i="1"/>
  <c r="DG2859" i="1"/>
  <c r="DA2859" i="1"/>
  <c r="T2859" i="1"/>
  <c r="S2859" i="1"/>
  <c r="Q2859" i="1"/>
  <c r="P2859" i="1"/>
  <c r="N2859" i="1"/>
  <c r="BO2859" i="1"/>
  <c r="BN2859" i="1"/>
  <c r="DG3079" i="1"/>
  <c r="DA3079" i="1"/>
  <c r="T3079" i="1"/>
  <c r="S3079" i="1"/>
  <c r="Q3079" i="1"/>
  <c r="P3079" i="1"/>
  <c r="N3079" i="1"/>
  <c r="BO3079" i="1"/>
  <c r="BN3079" i="1"/>
  <c r="DG1977" i="1"/>
  <c r="DA1977" i="1"/>
  <c r="T1977" i="1"/>
  <c r="S1977" i="1"/>
  <c r="Q1977" i="1"/>
  <c r="P1977" i="1"/>
  <c r="N1977" i="1"/>
  <c r="BO1977" i="1"/>
  <c r="BN1977" i="1"/>
  <c r="DG2562" i="1"/>
  <c r="DA2562" i="1"/>
  <c r="T2562" i="1"/>
  <c r="S2562" i="1"/>
  <c r="Q2562" i="1"/>
  <c r="P2562" i="1"/>
  <c r="N2562" i="1"/>
  <c r="BO2562" i="1"/>
  <c r="BN2562" i="1"/>
  <c r="DG2933" i="1"/>
  <c r="DA2933" i="1"/>
  <c r="T2933" i="1"/>
  <c r="S2933" i="1"/>
  <c r="Q2933" i="1"/>
  <c r="P2933" i="1"/>
  <c r="N2933" i="1"/>
  <c r="BO2933" i="1"/>
  <c r="BN2933" i="1"/>
  <c r="DG1975" i="1"/>
  <c r="DA1975" i="1"/>
  <c r="T1975" i="1"/>
  <c r="S1975" i="1"/>
  <c r="Q1975" i="1"/>
  <c r="P1975" i="1"/>
  <c r="N1975" i="1"/>
  <c r="BO1975" i="1"/>
  <c r="BN1975" i="1"/>
  <c r="DG2561" i="1"/>
  <c r="DA2561" i="1"/>
  <c r="T2561" i="1"/>
  <c r="S2561" i="1"/>
  <c r="Q2561" i="1"/>
  <c r="P2561" i="1"/>
  <c r="N2561" i="1"/>
  <c r="BO2561" i="1"/>
  <c r="BN2561" i="1"/>
  <c r="DG2560" i="1"/>
  <c r="DA2560" i="1"/>
  <c r="T2560" i="1"/>
  <c r="S2560" i="1"/>
  <c r="Q2560" i="1"/>
  <c r="P2560" i="1"/>
  <c r="N2560" i="1"/>
  <c r="BO2560" i="1"/>
  <c r="BN2560" i="1"/>
  <c r="DG1973" i="1"/>
  <c r="DA1973" i="1"/>
  <c r="T1973" i="1"/>
  <c r="S1973" i="1"/>
  <c r="Q1973" i="1"/>
  <c r="P1973" i="1"/>
  <c r="N1973" i="1"/>
  <c r="BO1973" i="1"/>
  <c r="BN1973" i="1"/>
  <c r="DG1972" i="1"/>
  <c r="DA1972" i="1"/>
  <c r="T1972" i="1"/>
  <c r="S1972" i="1"/>
  <c r="Q1972" i="1"/>
  <c r="P1972" i="1"/>
  <c r="N1972" i="1"/>
  <c r="BO1972" i="1"/>
  <c r="BN1972" i="1"/>
  <c r="DG3080" i="1"/>
  <c r="DA3080" i="1"/>
  <c r="T3080" i="1"/>
  <c r="S3080" i="1"/>
  <c r="Q3080" i="1"/>
  <c r="P3080" i="1"/>
  <c r="N3080" i="1"/>
  <c r="BO3080" i="1"/>
  <c r="BN3080" i="1"/>
  <c r="DG2559" i="1"/>
  <c r="DA2559" i="1"/>
  <c r="T2559" i="1"/>
  <c r="S2559" i="1"/>
  <c r="Q2559" i="1"/>
  <c r="P2559" i="1"/>
  <c r="N2559" i="1"/>
  <c r="BO2559" i="1"/>
  <c r="BN2559" i="1"/>
  <c r="DG2188" i="1"/>
  <c r="DA2188" i="1"/>
  <c r="T2188" i="1"/>
  <c r="S2188" i="1"/>
  <c r="Q2188" i="1"/>
  <c r="P2188" i="1"/>
  <c r="N2188" i="1"/>
  <c r="BO2188" i="1"/>
  <c r="BN2188" i="1"/>
  <c r="DG2558" i="1"/>
  <c r="DA2558" i="1"/>
  <c r="T2558" i="1"/>
  <c r="S2558" i="1"/>
  <c r="Q2558" i="1"/>
  <c r="P2558" i="1"/>
  <c r="N2558" i="1"/>
  <c r="BO2558" i="1"/>
  <c r="BN2558" i="1"/>
  <c r="DG1969" i="1"/>
  <c r="DA1969" i="1"/>
  <c r="T1969" i="1"/>
  <c r="S1969" i="1"/>
  <c r="Q1969" i="1"/>
  <c r="P1969" i="1"/>
  <c r="N1969" i="1"/>
  <c r="BO1969" i="1"/>
  <c r="BN1969" i="1"/>
  <c r="DG2934" i="1"/>
  <c r="DA2934" i="1"/>
  <c r="T2934" i="1"/>
  <c r="S2934" i="1"/>
  <c r="Q2934" i="1"/>
  <c r="P2934" i="1"/>
  <c r="N2934" i="1"/>
  <c r="BO2934" i="1"/>
  <c r="BN2934" i="1"/>
  <c r="DG1967" i="1"/>
  <c r="DA1967" i="1"/>
  <c r="T1967" i="1"/>
  <c r="S1967" i="1"/>
  <c r="Q1967" i="1"/>
  <c r="P1967" i="1"/>
  <c r="N1967" i="1"/>
  <c r="BO1967" i="1"/>
  <c r="BN1967" i="1"/>
  <c r="DG3081" i="1"/>
  <c r="DA3081" i="1"/>
  <c r="T3081" i="1"/>
  <c r="S3081" i="1"/>
  <c r="Q3081" i="1"/>
  <c r="P3081" i="1"/>
  <c r="N3081" i="1"/>
  <c r="BO3081" i="1"/>
  <c r="BN3081" i="1"/>
  <c r="DG2557" i="1"/>
  <c r="DA2557" i="1"/>
  <c r="T2557" i="1"/>
  <c r="S2557" i="1"/>
  <c r="Q2557" i="1"/>
  <c r="P2557" i="1"/>
  <c r="N2557" i="1"/>
  <c r="BO2557" i="1"/>
  <c r="BN2557" i="1"/>
  <c r="DG2236" i="1"/>
  <c r="DA2236" i="1"/>
  <c r="T2236" i="1"/>
  <c r="S2236" i="1"/>
  <c r="Q2236" i="1"/>
  <c r="P2236" i="1"/>
  <c r="N2236" i="1"/>
  <c r="BO2236" i="1"/>
  <c r="BN2236" i="1"/>
  <c r="DG2556" i="1"/>
  <c r="DA2556" i="1"/>
  <c r="T2556" i="1"/>
  <c r="S2556" i="1"/>
  <c r="Q2556" i="1"/>
  <c r="P2556" i="1"/>
  <c r="N2556" i="1"/>
  <c r="BO2556" i="1"/>
  <c r="BN2556" i="1"/>
  <c r="DG1964" i="1"/>
  <c r="DA1964" i="1"/>
  <c r="T1964" i="1"/>
  <c r="S1964" i="1"/>
  <c r="Q1964" i="1"/>
  <c r="P1964" i="1"/>
  <c r="N1964" i="1"/>
  <c r="BO1964" i="1"/>
  <c r="BN1964" i="1"/>
  <c r="DG2555" i="1"/>
  <c r="DA2555" i="1"/>
  <c r="T2555" i="1"/>
  <c r="S2555" i="1"/>
  <c r="Q2555" i="1"/>
  <c r="P2555" i="1"/>
  <c r="N2555" i="1"/>
  <c r="BO2555" i="1"/>
  <c r="BN2555" i="1"/>
  <c r="DG3082" i="1"/>
  <c r="DA3082" i="1"/>
  <c r="T3082" i="1"/>
  <c r="S3082" i="1"/>
  <c r="Q3082" i="1"/>
  <c r="P3082" i="1"/>
  <c r="N3082" i="1"/>
  <c r="BO3082" i="1"/>
  <c r="BN3082" i="1"/>
  <c r="DG2935" i="1"/>
  <c r="DA2935" i="1"/>
  <c r="T2935" i="1"/>
  <c r="S2935" i="1"/>
  <c r="Q2935" i="1"/>
  <c r="P2935" i="1"/>
  <c r="N2935" i="1"/>
  <c r="BO2935" i="1"/>
  <c r="BN2935" i="1"/>
  <c r="DG2554" i="1"/>
  <c r="DA2554" i="1"/>
  <c r="T2554" i="1"/>
  <c r="S2554" i="1"/>
  <c r="Q2554" i="1"/>
  <c r="P2554" i="1"/>
  <c r="N2554" i="1"/>
  <c r="BO2554" i="1"/>
  <c r="BN2554" i="1"/>
  <c r="DG1961" i="1"/>
  <c r="DA1961" i="1"/>
  <c r="T1961" i="1"/>
  <c r="S1961" i="1"/>
  <c r="Q1961" i="1"/>
  <c r="P1961" i="1"/>
  <c r="N1961" i="1"/>
  <c r="BO1961" i="1"/>
  <c r="BN1961" i="1"/>
  <c r="DG1960" i="1"/>
  <c r="DA1960" i="1"/>
  <c r="T1960" i="1"/>
  <c r="S1960" i="1"/>
  <c r="Q1960" i="1"/>
  <c r="P1960" i="1"/>
  <c r="N1960" i="1"/>
  <c r="BO1960" i="1"/>
  <c r="BN1960" i="1"/>
  <c r="DG1959" i="1"/>
  <c r="DA1959" i="1"/>
  <c r="T1959" i="1"/>
  <c r="S1959" i="1"/>
  <c r="Q1959" i="1"/>
  <c r="P1959" i="1"/>
  <c r="N1959" i="1"/>
  <c r="BO1959" i="1"/>
  <c r="BN1959" i="1"/>
  <c r="DG2553" i="1"/>
  <c r="DA2553" i="1"/>
  <c r="T2553" i="1"/>
  <c r="S2553" i="1"/>
  <c r="Q2553" i="1"/>
  <c r="P2553" i="1"/>
  <c r="N2553" i="1"/>
  <c r="BO2553" i="1"/>
  <c r="BN2553" i="1"/>
  <c r="DG2823" i="1"/>
  <c r="DA2823" i="1"/>
  <c r="T2823" i="1"/>
  <c r="S2823" i="1"/>
  <c r="Q2823" i="1"/>
  <c r="P2823" i="1"/>
  <c r="N2823" i="1"/>
  <c r="BO2823" i="1"/>
  <c r="BN2823" i="1"/>
  <c r="DG2552" i="1"/>
  <c r="DA2552" i="1"/>
  <c r="T2552" i="1"/>
  <c r="S2552" i="1"/>
  <c r="Q2552" i="1"/>
  <c r="P2552" i="1"/>
  <c r="N2552" i="1"/>
  <c r="BO2552" i="1"/>
  <c r="BN2552" i="1"/>
  <c r="DG1957" i="1"/>
  <c r="DA1957" i="1"/>
  <c r="T1957" i="1"/>
  <c r="S1957" i="1"/>
  <c r="Q1957" i="1"/>
  <c r="P1957" i="1"/>
  <c r="N1957" i="1"/>
  <c r="BO1957" i="1"/>
  <c r="BN1957" i="1"/>
  <c r="DG1956" i="1"/>
  <c r="DA1956" i="1"/>
  <c r="T1956" i="1"/>
  <c r="S1956" i="1"/>
  <c r="Q1956" i="1"/>
  <c r="P1956" i="1"/>
  <c r="N1956" i="1"/>
  <c r="BO1956" i="1"/>
  <c r="BN1956" i="1"/>
  <c r="DG2860" i="1"/>
  <c r="DA2860" i="1"/>
  <c r="T2860" i="1"/>
  <c r="S2860" i="1"/>
  <c r="Q2860" i="1"/>
  <c r="P2860" i="1"/>
  <c r="N2860" i="1"/>
  <c r="BO2860" i="1"/>
  <c r="BN2860" i="1"/>
  <c r="DG3084" i="1"/>
  <c r="DA3084" i="1"/>
  <c r="T3084" i="1"/>
  <c r="S3084" i="1"/>
  <c r="Q3084" i="1"/>
  <c r="P3084" i="1"/>
  <c r="N3084" i="1"/>
  <c r="BO3084" i="1"/>
  <c r="BN3084" i="1"/>
  <c r="DG3189" i="1"/>
  <c r="DA3189" i="1"/>
  <c r="T3189" i="1"/>
  <c r="S3189" i="1"/>
  <c r="Q3189" i="1"/>
  <c r="P3189" i="1"/>
  <c r="N3189" i="1"/>
  <c r="BO3189" i="1"/>
  <c r="BN3189" i="1"/>
  <c r="DG3085" i="1"/>
  <c r="DA3085" i="1"/>
  <c r="T3085" i="1"/>
  <c r="S3085" i="1"/>
  <c r="Q3085" i="1"/>
  <c r="P3085" i="1"/>
  <c r="N3085" i="1"/>
  <c r="BO3085" i="1"/>
  <c r="BN3085" i="1"/>
  <c r="DG2550" i="1"/>
  <c r="DA2550" i="1"/>
  <c r="T2550" i="1"/>
  <c r="S2550" i="1"/>
  <c r="Q2550" i="1"/>
  <c r="P2550" i="1"/>
  <c r="N2550" i="1"/>
  <c r="BO2550" i="1"/>
  <c r="BN2550" i="1"/>
  <c r="DG1953" i="1"/>
  <c r="DA1953" i="1"/>
  <c r="T1953" i="1"/>
  <c r="S1953" i="1"/>
  <c r="Q1953" i="1"/>
  <c r="P1953" i="1"/>
  <c r="N1953" i="1"/>
  <c r="BO1953" i="1"/>
  <c r="BN1953" i="1"/>
  <c r="DG1952" i="1"/>
  <c r="DA1952" i="1"/>
  <c r="T1952" i="1"/>
  <c r="S1952" i="1"/>
  <c r="Q1952" i="1"/>
  <c r="P1952" i="1"/>
  <c r="N1952" i="1"/>
  <c r="BO1952" i="1"/>
  <c r="BN1952" i="1"/>
  <c r="DG2549" i="1"/>
  <c r="DA2549" i="1"/>
  <c r="T2549" i="1"/>
  <c r="S2549" i="1"/>
  <c r="Q2549" i="1"/>
  <c r="P2549" i="1"/>
  <c r="N2549" i="1"/>
  <c r="BO2549" i="1"/>
  <c r="BN2549" i="1"/>
  <c r="DG1951" i="1"/>
  <c r="DA1951" i="1"/>
  <c r="T1951" i="1"/>
  <c r="S1951" i="1"/>
  <c r="Q1951" i="1"/>
  <c r="P1951" i="1"/>
  <c r="N1951" i="1"/>
  <c r="BO1951" i="1"/>
  <c r="BN1951" i="1"/>
  <c r="DG1950" i="1"/>
  <c r="DA1950" i="1"/>
  <c r="T1950" i="1"/>
  <c r="S1950" i="1"/>
  <c r="Q1950" i="1"/>
  <c r="P1950" i="1"/>
  <c r="N1950" i="1"/>
  <c r="BO1950" i="1"/>
  <c r="BN1950" i="1"/>
  <c r="DG3172" i="1"/>
  <c r="DA3172" i="1"/>
  <c r="T3172" i="1"/>
  <c r="S3172" i="1"/>
  <c r="Q3172" i="1"/>
  <c r="P3172" i="1"/>
  <c r="N3172" i="1"/>
  <c r="BO3172" i="1"/>
  <c r="BN3172" i="1"/>
  <c r="DG2936" i="1"/>
  <c r="DA2936" i="1"/>
  <c r="T2936" i="1"/>
  <c r="S2936" i="1"/>
  <c r="Q2936" i="1"/>
  <c r="P2936" i="1"/>
  <c r="N2936" i="1"/>
  <c r="BO2936" i="1"/>
  <c r="BN2936" i="1"/>
  <c r="DG2548" i="1"/>
  <c r="DA2548" i="1"/>
  <c r="T2548" i="1"/>
  <c r="S2548" i="1"/>
  <c r="Q2548" i="1"/>
  <c r="P2548" i="1"/>
  <c r="N2548" i="1"/>
  <c r="BO2548" i="1"/>
  <c r="BN2548" i="1"/>
  <c r="DG1949" i="1"/>
  <c r="DA1949" i="1"/>
  <c r="T1949" i="1"/>
  <c r="S1949" i="1"/>
  <c r="Q1949" i="1"/>
  <c r="P1949" i="1"/>
  <c r="N1949" i="1"/>
  <c r="BO1949" i="1"/>
  <c r="BN1949" i="1"/>
  <c r="DG1948" i="1"/>
  <c r="DA1948" i="1"/>
  <c r="T1948" i="1"/>
  <c r="S1948" i="1"/>
  <c r="Q1948" i="1"/>
  <c r="P1948" i="1"/>
  <c r="N1948" i="1"/>
  <c r="BO1948" i="1"/>
  <c r="BN1948" i="1"/>
  <c r="DG3086" i="1"/>
  <c r="DA3086" i="1"/>
  <c r="T3086" i="1"/>
  <c r="S3086" i="1"/>
  <c r="Q3086" i="1"/>
  <c r="P3086" i="1"/>
  <c r="N3086" i="1"/>
  <c r="BO3086" i="1"/>
  <c r="BN3086" i="1"/>
  <c r="DG1947" i="1"/>
  <c r="DA1947" i="1"/>
  <c r="T1947" i="1"/>
  <c r="S1947" i="1"/>
  <c r="Q1947" i="1"/>
  <c r="P1947" i="1"/>
  <c r="N1947" i="1"/>
  <c r="BO1947" i="1"/>
  <c r="BN1947" i="1"/>
  <c r="DG1946" i="1"/>
  <c r="DA1946" i="1"/>
  <c r="T1946" i="1"/>
  <c r="S1946" i="1"/>
  <c r="Q1946" i="1"/>
  <c r="P1946" i="1"/>
  <c r="N1946" i="1"/>
  <c r="BO1946" i="1"/>
  <c r="BN1946" i="1"/>
  <c r="DG2861" i="1"/>
  <c r="DA2861" i="1"/>
  <c r="T2861" i="1"/>
  <c r="S2861" i="1"/>
  <c r="Q2861" i="1"/>
  <c r="P2861" i="1"/>
  <c r="N2861" i="1"/>
  <c r="BO2861" i="1"/>
  <c r="BN2861" i="1"/>
  <c r="DG3087" i="1"/>
  <c r="DA3087" i="1"/>
  <c r="T3087" i="1"/>
  <c r="S3087" i="1"/>
  <c r="Q3087" i="1"/>
  <c r="P3087" i="1"/>
  <c r="N3087" i="1"/>
  <c r="BO3087" i="1"/>
  <c r="BN3087" i="1"/>
  <c r="DG1945" i="1"/>
  <c r="DA1945" i="1"/>
  <c r="T1945" i="1"/>
  <c r="S1945" i="1"/>
  <c r="Q1945" i="1"/>
  <c r="P1945" i="1"/>
  <c r="N1945" i="1"/>
  <c r="BO1945" i="1"/>
  <c r="BN1945" i="1"/>
  <c r="DG2546" i="1"/>
  <c r="DA2546" i="1"/>
  <c r="T2546" i="1"/>
  <c r="S2546" i="1"/>
  <c r="Q2546" i="1"/>
  <c r="P2546" i="1"/>
  <c r="N2546" i="1"/>
  <c r="BO2546" i="1"/>
  <c r="BN2546" i="1"/>
  <c r="DG2937" i="1"/>
  <c r="DA2937" i="1"/>
  <c r="T2937" i="1"/>
  <c r="S2937" i="1"/>
  <c r="Q2937" i="1"/>
  <c r="P2937" i="1"/>
  <c r="N2937" i="1"/>
  <c r="BO2937" i="1"/>
  <c r="BN2937" i="1"/>
  <c r="DG1943" i="1"/>
  <c r="DA1943" i="1"/>
  <c r="T1943" i="1"/>
  <c r="S1943" i="1"/>
  <c r="Q1943" i="1"/>
  <c r="P1943" i="1"/>
  <c r="N1943" i="1"/>
  <c r="BO1943" i="1"/>
  <c r="BN1943" i="1"/>
  <c r="DG2545" i="1"/>
  <c r="DA2545" i="1"/>
  <c r="T2545" i="1"/>
  <c r="S2545" i="1"/>
  <c r="Q2545" i="1"/>
  <c r="P2545" i="1"/>
  <c r="N2545" i="1"/>
  <c r="BO2545" i="1"/>
  <c r="BN2545" i="1"/>
  <c r="DG3140" i="1"/>
  <c r="DA3140" i="1"/>
  <c r="T3140" i="1"/>
  <c r="S3140" i="1"/>
  <c r="Q3140" i="1"/>
  <c r="P3140" i="1"/>
  <c r="N3140" i="1"/>
  <c r="BO3140" i="1"/>
  <c r="BN3140" i="1"/>
  <c r="DG3014" i="1"/>
  <c r="DA3014" i="1"/>
  <c r="T3014" i="1"/>
  <c r="S3014" i="1"/>
  <c r="Q3014" i="1"/>
  <c r="P3014" i="1"/>
  <c r="N3014" i="1"/>
  <c r="BO3014" i="1"/>
  <c r="BN3014" i="1"/>
  <c r="DG1941" i="1"/>
  <c r="DA1941" i="1"/>
  <c r="T1941" i="1"/>
  <c r="S1941" i="1"/>
  <c r="Q1941" i="1"/>
  <c r="P1941" i="1"/>
  <c r="N1941" i="1"/>
  <c r="BO1941" i="1"/>
  <c r="BN1941" i="1"/>
  <c r="DG2544" i="1"/>
  <c r="DA2544" i="1"/>
  <c r="T2544" i="1"/>
  <c r="S2544" i="1"/>
  <c r="Q2544" i="1"/>
  <c r="P2544" i="1"/>
  <c r="N2544" i="1"/>
  <c r="BO2544" i="1"/>
  <c r="BN2544" i="1"/>
  <c r="DG1940" i="1"/>
  <c r="DA1940" i="1"/>
  <c r="T1940" i="1"/>
  <c r="S1940" i="1"/>
  <c r="Q1940" i="1"/>
  <c r="P1940" i="1"/>
  <c r="N1940" i="1"/>
  <c r="BO1940" i="1"/>
  <c r="BN1940" i="1"/>
  <c r="DG1939" i="1"/>
  <c r="DA1939" i="1"/>
  <c r="T1939" i="1"/>
  <c r="S1939" i="1"/>
  <c r="Q1939" i="1"/>
  <c r="P1939" i="1"/>
  <c r="N1939" i="1"/>
  <c r="BO1939" i="1"/>
  <c r="BN1939" i="1"/>
  <c r="DG3088" i="1"/>
  <c r="DA3088" i="1"/>
  <c r="T3088" i="1"/>
  <c r="S3088" i="1"/>
  <c r="Q3088" i="1"/>
  <c r="P3088" i="1"/>
  <c r="N3088" i="1"/>
  <c r="BO3088" i="1"/>
  <c r="BN3088" i="1"/>
  <c r="DG2543" i="1"/>
  <c r="DA2543" i="1"/>
  <c r="T2543" i="1"/>
  <c r="S2543" i="1"/>
  <c r="Q2543" i="1"/>
  <c r="P2543" i="1"/>
  <c r="N2543" i="1"/>
  <c r="BO2543" i="1"/>
  <c r="BN2543" i="1"/>
  <c r="DG2181" i="1"/>
  <c r="DA2181" i="1"/>
  <c r="T2181" i="1"/>
  <c r="S2181" i="1"/>
  <c r="Q2181" i="1"/>
  <c r="P2181" i="1"/>
  <c r="N2181" i="1"/>
  <c r="BO2181" i="1"/>
  <c r="BN2181" i="1"/>
  <c r="DG3089" i="1"/>
  <c r="DA3089" i="1"/>
  <c r="T3089" i="1"/>
  <c r="S3089" i="1"/>
  <c r="Q3089" i="1"/>
  <c r="P3089" i="1"/>
  <c r="N3089" i="1"/>
  <c r="BO3089" i="1"/>
  <c r="BN3089" i="1"/>
  <c r="DG1936" i="1"/>
  <c r="DA1936" i="1"/>
  <c r="T1936" i="1"/>
  <c r="S1936" i="1"/>
  <c r="Q1936" i="1"/>
  <c r="P1936" i="1"/>
  <c r="N1936" i="1"/>
  <c r="BO1936" i="1"/>
  <c r="BN1936" i="1"/>
  <c r="DG2542" i="1"/>
  <c r="DA2542" i="1"/>
  <c r="T2542" i="1"/>
  <c r="S2542" i="1"/>
  <c r="Q2542" i="1"/>
  <c r="P2542" i="1"/>
  <c r="N2542" i="1"/>
  <c r="BO2542" i="1"/>
  <c r="BN2542" i="1"/>
  <c r="DG1935" i="1"/>
  <c r="DA1935" i="1"/>
  <c r="T1935" i="1"/>
  <c r="S1935" i="1"/>
  <c r="Q1935" i="1"/>
  <c r="P1935" i="1"/>
  <c r="N1935" i="1"/>
  <c r="BO1935" i="1"/>
  <c r="BN1935" i="1"/>
  <c r="DG2938" i="1"/>
  <c r="DA2938" i="1"/>
  <c r="T2938" i="1"/>
  <c r="S2938" i="1"/>
  <c r="Q2938" i="1"/>
  <c r="P2938" i="1"/>
  <c r="N2938" i="1"/>
  <c r="BO2938" i="1"/>
  <c r="BN2938" i="1"/>
  <c r="DG1934" i="1"/>
  <c r="DA1934" i="1"/>
  <c r="T1934" i="1"/>
  <c r="S1934" i="1"/>
  <c r="Q1934" i="1"/>
  <c r="P1934" i="1"/>
  <c r="N1934" i="1"/>
  <c r="BO1934" i="1"/>
  <c r="BN1934" i="1"/>
  <c r="DG2541" i="1"/>
  <c r="DA2541" i="1"/>
  <c r="T2541" i="1"/>
  <c r="S2541" i="1"/>
  <c r="Q2541" i="1"/>
  <c r="P2541" i="1"/>
  <c r="N2541" i="1"/>
  <c r="BO2541" i="1"/>
  <c r="BN2541" i="1"/>
  <c r="DG1933" i="1"/>
  <c r="DA1933" i="1"/>
  <c r="T1933" i="1"/>
  <c r="S1933" i="1"/>
  <c r="Q1933" i="1"/>
  <c r="P1933" i="1"/>
  <c r="N1933" i="1"/>
  <c r="BO1933" i="1"/>
  <c r="BN1933" i="1"/>
  <c r="DG3090" i="1"/>
  <c r="DA3090" i="1"/>
  <c r="T3090" i="1"/>
  <c r="S3090" i="1"/>
  <c r="Q3090" i="1"/>
  <c r="P3090" i="1"/>
  <c r="N3090" i="1"/>
  <c r="BO3090" i="1"/>
  <c r="BN3090" i="1"/>
  <c r="DG1932" i="1"/>
  <c r="DA1932" i="1"/>
  <c r="T1932" i="1"/>
  <c r="S1932" i="1"/>
  <c r="Q1932" i="1"/>
  <c r="P1932" i="1"/>
  <c r="N1932" i="1"/>
  <c r="BO1932" i="1"/>
  <c r="BN1932" i="1"/>
  <c r="DG2540" i="1"/>
  <c r="DA2540" i="1"/>
  <c r="T2540" i="1"/>
  <c r="S2540" i="1"/>
  <c r="Q2540" i="1"/>
  <c r="P2540" i="1"/>
  <c r="N2540" i="1"/>
  <c r="BO2540" i="1"/>
  <c r="BN2540" i="1"/>
  <c r="DG1931" i="1"/>
  <c r="DA1931" i="1"/>
  <c r="T1931" i="1"/>
  <c r="S1931" i="1"/>
  <c r="Q1931" i="1"/>
  <c r="P1931" i="1"/>
  <c r="N1931" i="1"/>
  <c r="BO1931" i="1"/>
  <c r="BN1931" i="1"/>
  <c r="DG2539" i="1"/>
  <c r="DA2539" i="1"/>
  <c r="T2539" i="1"/>
  <c r="S2539" i="1"/>
  <c r="Q2539" i="1"/>
  <c r="P2539" i="1"/>
  <c r="N2539" i="1"/>
  <c r="BO2539" i="1"/>
  <c r="BN2539" i="1"/>
  <c r="DG1928" i="1"/>
  <c r="DA1928" i="1"/>
  <c r="T1928" i="1"/>
  <c r="S1928" i="1"/>
  <c r="Q1928" i="1"/>
  <c r="P1928" i="1"/>
  <c r="N1928" i="1"/>
  <c r="BO1928" i="1"/>
  <c r="BN1928" i="1"/>
  <c r="DG3091" i="1"/>
  <c r="DA3091" i="1"/>
  <c r="T3091" i="1"/>
  <c r="S3091" i="1"/>
  <c r="Q3091" i="1"/>
  <c r="P3091" i="1"/>
  <c r="N3091" i="1"/>
  <c r="BO3091" i="1"/>
  <c r="BN3091" i="1"/>
  <c r="DG1927" i="1"/>
  <c r="DA1927" i="1"/>
  <c r="T1927" i="1"/>
  <c r="S1927" i="1"/>
  <c r="Q1927" i="1"/>
  <c r="P1927" i="1"/>
  <c r="N1927" i="1"/>
  <c r="BO1927" i="1"/>
  <c r="BN1927" i="1"/>
  <c r="DG2538" i="1"/>
  <c r="DA2538" i="1"/>
  <c r="T2538" i="1"/>
  <c r="S2538" i="1"/>
  <c r="Q2538" i="1"/>
  <c r="P2538" i="1"/>
  <c r="N2538" i="1"/>
  <c r="BO2538" i="1"/>
  <c r="BN2538" i="1"/>
  <c r="DG1926" i="1"/>
  <c r="DA1926" i="1"/>
  <c r="T1926" i="1"/>
  <c r="S1926" i="1"/>
  <c r="Q1926" i="1"/>
  <c r="P1926" i="1"/>
  <c r="N1926" i="1"/>
  <c r="BO1926" i="1"/>
  <c r="BN1926" i="1"/>
  <c r="DG2939" i="1"/>
  <c r="DA2939" i="1"/>
  <c r="T2939" i="1"/>
  <c r="S2939" i="1"/>
  <c r="Q2939" i="1"/>
  <c r="P2939" i="1"/>
  <c r="N2939" i="1"/>
  <c r="BO2939" i="1"/>
  <c r="BN2939" i="1"/>
  <c r="DG1925" i="1"/>
  <c r="DA1925" i="1"/>
  <c r="T1925" i="1"/>
  <c r="S1925" i="1"/>
  <c r="Q1925" i="1"/>
  <c r="P1925" i="1"/>
  <c r="N1925" i="1"/>
  <c r="BO1925" i="1"/>
  <c r="BN1925" i="1"/>
  <c r="DG2537" i="1"/>
  <c r="DA2537" i="1"/>
  <c r="T2537" i="1"/>
  <c r="S2537" i="1"/>
  <c r="Q2537" i="1"/>
  <c r="P2537" i="1"/>
  <c r="N2537" i="1"/>
  <c r="BO2537" i="1"/>
  <c r="BN2537" i="1"/>
  <c r="DG3076" i="1"/>
  <c r="DA3076" i="1"/>
  <c r="T3076" i="1"/>
  <c r="S3076" i="1"/>
  <c r="Q3076" i="1"/>
  <c r="P3076" i="1"/>
  <c r="N3076" i="1"/>
  <c r="BO3076" i="1"/>
  <c r="BN3076" i="1"/>
  <c r="DG1924" i="1"/>
  <c r="DA1924" i="1"/>
  <c r="T1924" i="1"/>
  <c r="S1924" i="1"/>
  <c r="Q1924" i="1"/>
  <c r="P1924" i="1"/>
  <c r="N1924" i="1"/>
  <c r="BO1924" i="1"/>
  <c r="BN1924" i="1"/>
  <c r="DG3092" i="1"/>
  <c r="DA3092" i="1"/>
  <c r="T3092" i="1"/>
  <c r="S3092" i="1"/>
  <c r="Q3092" i="1"/>
  <c r="P3092" i="1"/>
  <c r="N3092" i="1"/>
  <c r="BO3092" i="1"/>
  <c r="BN3092" i="1"/>
  <c r="DG1923" i="1"/>
  <c r="DA1923" i="1"/>
  <c r="T1923" i="1"/>
  <c r="S1923" i="1"/>
  <c r="Q1923" i="1"/>
  <c r="P1923" i="1"/>
  <c r="N1923" i="1"/>
  <c r="BO1923" i="1"/>
  <c r="BN1923" i="1"/>
  <c r="DG2536" i="1"/>
  <c r="DA2536" i="1"/>
  <c r="T2536" i="1"/>
  <c r="S2536" i="1"/>
  <c r="Q2536" i="1"/>
  <c r="P2536" i="1"/>
  <c r="N2536" i="1"/>
  <c r="BO2536" i="1"/>
  <c r="BN2536" i="1"/>
  <c r="DG1922" i="1"/>
  <c r="DA1922" i="1"/>
  <c r="T1922" i="1"/>
  <c r="S1922" i="1"/>
  <c r="Q1922" i="1"/>
  <c r="P1922" i="1"/>
  <c r="N1922" i="1"/>
  <c r="BO1922" i="1"/>
  <c r="BN1922" i="1"/>
  <c r="DG2535" i="1"/>
  <c r="DA2535" i="1"/>
  <c r="T2535" i="1"/>
  <c r="S2535" i="1"/>
  <c r="Q2535" i="1"/>
  <c r="P2535" i="1"/>
  <c r="N2535" i="1"/>
  <c r="BO2535" i="1"/>
  <c r="BN2535" i="1"/>
  <c r="DG1920" i="1"/>
  <c r="DA1920" i="1"/>
  <c r="T1920" i="1"/>
  <c r="S1920" i="1"/>
  <c r="Q1920" i="1"/>
  <c r="P1920" i="1"/>
  <c r="N1920" i="1"/>
  <c r="BO1920" i="1"/>
  <c r="BN1920" i="1"/>
  <c r="DG2862" i="1"/>
  <c r="DA2862" i="1"/>
  <c r="T2862" i="1"/>
  <c r="S2862" i="1"/>
  <c r="Q2862" i="1"/>
  <c r="P2862" i="1"/>
  <c r="N2862" i="1"/>
  <c r="BO2862" i="1"/>
  <c r="BN2862" i="1"/>
  <c r="DG1919" i="1"/>
  <c r="DA1919" i="1"/>
  <c r="T1919" i="1"/>
  <c r="S1919" i="1"/>
  <c r="Q1919" i="1"/>
  <c r="P1919" i="1"/>
  <c r="N1919" i="1"/>
  <c r="BO1919" i="1"/>
  <c r="BN1919" i="1"/>
  <c r="DG2534" i="1"/>
  <c r="DA2534" i="1"/>
  <c r="T2534" i="1"/>
  <c r="S2534" i="1"/>
  <c r="Q2534" i="1"/>
  <c r="P2534" i="1"/>
  <c r="N2534" i="1"/>
  <c r="BO2534" i="1"/>
  <c r="BN2534" i="1"/>
  <c r="DG2200" i="1"/>
  <c r="DA2200" i="1"/>
  <c r="T2200" i="1"/>
  <c r="S2200" i="1"/>
  <c r="Q2200" i="1"/>
  <c r="P2200" i="1"/>
  <c r="N2200" i="1"/>
  <c r="BO2200" i="1"/>
  <c r="BN2200" i="1"/>
  <c r="DG1918" i="1"/>
  <c r="DA1918" i="1"/>
  <c r="T1918" i="1"/>
  <c r="S1918" i="1"/>
  <c r="Q1918" i="1"/>
  <c r="P1918" i="1"/>
  <c r="N1918" i="1"/>
  <c r="BO1918" i="1"/>
  <c r="BN1918" i="1"/>
  <c r="DG2533" i="1"/>
  <c r="DA2533" i="1"/>
  <c r="T2533" i="1"/>
  <c r="S2533" i="1"/>
  <c r="Q2533" i="1"/>
  <c r="P2533" i="1"/>
  <c r="N2533" i="1"/>
  <c r="BO2533" i="1"/>
  <c r="BN2533" i="1"/>
  <c r="DG2940" i="1"/>
  <c r="DA2940" i="1"/>
  <c r="T2940" i="1"/>
  <c r="S2940" i="1"/>
  <c r="Q2940" i="1"/>
  <c r="P2940" i="1"/>
  <c r="N2940" i="1"/>
  <c r="BO2940" i="1"/>
  <c r="BN2940" i="1"/>
  <c r="DG3093" i="1"/>
  <c r="DA3093" i="1"/>
  <c r="T3093" i="1"/>
  <c r="S3093" i="1"/>
  <c r="Q3093" i="1"/>
  <c r="P3093" i="1"/>
  <c r="N3093" i="1"/>
  <c r="BO3093" i="1"/>
  <c r="BN3093" i="1"/>
  <c r="DG3094" i="1"/>
  <c r="DA3094" i="1"/>
  <c r="T3094" i="1"/>
  <c r="S3094" i="1"/>
  <c r="Q3094" i="1"/>
  <c r="P3094" i="1"/>
  <c r="N3094" i="1"/>
  <c r="BO3094" i="1"/>
  <c r="BN3094" i="1"/>
  <c r="DG2532" i="1"/>
  <c r="DA2532" i="1"/>
  <c r="T2532" i="1"/>
  <c r="S2532" i="1"/>
  <c r="Q2532" i="1"/>
  <c r="P2532" i="1"/>
  <c r="N2532" i="1"/>
  <c r="BO2532" i="1"/>
  <c r="BN2532" i="1"/>
  <c r="DG2531" i="1"/>
  <c r="DA2531" i="1"/>
  <c r="T2531" i="1"/>
  <c r="S2531" i="1"/>
  <c r="Q2531" i="1"/>
  <c r="P2531" i="1"/>
  <c r="N2531" i="1"/>
  <c r="BO2531" i="1"/>
  <c r="BN2531" i="1"/>
  <c r="DG2805" i="1"/>
  <c r="DA2805" i="1"/>
  <c r="T2805" i="1"/>
  <c r="S2805" i="1"/>
  <c r="Q2805" i="1"/>
  <c r="P2805" i="1"/>
  <c r="N2805" i="1"/>
  <c r="BO2805" i="1"/>
  <c r="BN2805" i="1"/>
  <c r="DG2824" i="1"/>
  <c r="DA2824" i="1"/>
  <c r="T2824" i="1"/>
  <c r="S2824" i="1"/>
  <c r="Q2824" i="1"/>
  <c r="P2824" i="1"/>
  <c r="N2824" i="1"/>
  <c r="BO2824" i="1"/>
  <c r="BN2824" i="1"/>
  <c r="DG738" i="1"/>
  <c r="DA738" i="1"/>
  <c r="T738" i="1"/>
  <c r="S738" i="1"/>
  <c r="Q738" i="1"/>
  <c r="P738" i="1"/>
  <c r="N738" i="1"/>
  <c r="BO738" i="1"/>
  <c r="BN738" i="1"/>
  <c r="DG2530" i="1"/>
  <c r="DA2530" i="1"/>
  <c r="T2530" i="1"/>
  <c r="S2530" i="1"/>
  <c r="Q2530" i="1"/>
  <c r="P2530" i="1"/>
  <c r="N2530" i="1"/>
  <c r="BO2530" i="1"/>
  <c r="BN2530" i="1"/>
  <c r="DG3095" i="1"/>
  <c r="DA3095" i="1"/>
  <c r="T3095" i="1"/>
  <c r="S3095" i="1"/>
  <c r="Q3095" i="1"/>
  <c r="P3095" i="1"/>
  <c r="N3095" i="1"/>
  <c r="BO3095" i="1"/>
  <c r="BN3095" i="1"/>
  <c r="DG2529" i="1"/>
  <c r="DA2529" i="1"/>
  <c r="T2529" i="1"/>
  <c r="S2529" i="1"/>
  <c r="Q2529" i="1"/>
  <c r="P2529" i="1"/>
  <c r="N2529" i="1"/>
  <c r="BO2529" i="1"/>
  <c r="BN2529" i="1"/>
  <c r="DG3096" i="1"/>
  <c r="DA3096" i="1"/>
  <c r="T3096" i="1"/>
  <c r="S3096" i="1"/>
  <c r="Q3096" i="1"/>
  <c r="P3096" i="1"/>
  <c r="N3096" i="1"/>
  <c r="BO3096" i="1"/>
  <c r="BN3096" i="1"/>
  <c r="DG2528" i="1"/>
  <c r="DA2528" i="1"/>
  <c r="T2528" i="1"/>
  <c r="S2528" i="1"/>
  <c r="Q2528" i="1"/>
  <c r="P2528" i="1"/>
  <c r="N2528" i="1"/>
  <c r="BO2528" i="1"/>
  <c r="BN2528" i="1"/>
  <c r="DG2527" i="1"/>
  <c r="DA2527" i="1"/>
  <c r="T2527" i="1"/>
  <c r="S2527" i="1"/>
  <c r="Q2527" i="1"/>
  <c r="P2527" i="1"/>
  <c r="N2527" i="1"/>
  <c r="BO2527" i="1"/>
  <c r="BN2527" i="1"/>
  <c r="DG2863" i="1"/>
  <c r="DA2863" i="1"/>
  <c r="T2863" i="1"/>
  <c r="S2863" i="1"/>
  <c r="Q2863" i="1"/>
  <c r="P2863" i="1"/>
  <c r="N2863" i="1"/>
  <c r="BO2863" i="1"/>
  <c r="BN2863" i="1"/>
  <c r="DG3097" i="1"/>
  <c r="DA3097" i="1"/>
  <c r="T3097" i="1"/>
  <c r="S3097" i="1"/>
  <c r="Q3097" i="1"/>
  <c r="P3097" i="1"/>
  <c r="N3097" i="1"/>
  <c r="BO3097" i="1"/>
  <c r="BN3097" i="1"/>
  <c r="DG2526" i="1"/>
  <c r="DA2526" i="1"/>
  <c r="T2526" i="1"/>
  <c r="S2526" i="1"/>
  <c r="Q2526" i="1"/>
  <c r="P2526" i="1"/>
  <c r="N2526" i="1"/>
  <c r="BO2526" i="1"/>
  <c r="BN2526" i="1"/>
  <c r="DG2525" i="1"/>
  <c r="DA2525" i="1"/>
  <c r="T2525" i="1"/>
  <c r="S2525" i="1"/>
  <c r="Q2525" i="1"/>
  <c r="P2525" i="1"/>
  <c r="N2525" i="1"/>
  <c r="BO2525" i="1"/>
  <c r="BN2525" i="1"/>
  <c r="DG2942" i="1"/>
  <c r="DA2942" i="1"/>
  <c r="T2942" i="1"/>
  <c r="S2942" i="1"/>
  <c r="Q2942" i="1"/>
  <c r="P2942" i="1"/>
  <c r="N2942" i="1"/>
  <c r="BO2942" i="1"/>
  <c r="BN2942" i="1"/>
  <c r="DG3098" i="1"/>
  <c r="DA3098" i="1"/>
  <c r="T3098" i="1"/>
  <c r="S3098" i="1"/>
  <c r="Q3098" i="1"/>
  <c r="P3098" i="1"/>
  <c r="N3098" i="1"/>
  <c r="BO3098" i="1"/>
  <c r="BN3098" i="1"/>
  <c r="DG2524" i="1"/>
  <c r="DA2524" i="1"/>
  <c r="T2524" i="1"/>
  <c r="S2524" i="1"/>
  <c r="Q2524" i="1"/>
  <c r="P2524" i="1"/>
  <c r="N2524" i="1"/>
  <c r="BO2524" i="1"/>
  <c r="BN2524" i="1"/>
  <c r="DG2523" i="1"/>
  <c r="DA2523" i="1"/>
  <c r="T2523" i="1"/>
  <c r="S2523" i="1"/>
  <c r="Q2523" i="1"/>
  <c r="P2523" i="1"/>
  <c r="N2523" i="1"/>
  <c r="BO2523" i="1"/>
  <c r="BN2523" i="1"/>
  <c r="DG2196" i="1"/>
  <c r="DA2196" i="1"/>
  <c r="T2196" i="1"/>
  <c r="S2196" i="1"/>
  <c r="Q2196" i="1"/>
  <c r="P2196" i="1"/>
  <c r="N2196" i="1"/>
  <c r="BO2196" i="1"/>
  <c r="BN2196" i="1"/>
  <c r="DG2825" i="1"/>
  <c r="DA2825" i="1"/>
  <c r="T2825" i="1"/>
  <c r="S2825" i="1"/>
  <c r="Q2825" i="1"/>
  <c r="P2825" i="1"/>
  <c r="N2825" i="1"/>
  <c r="BO2825" i="1"/>
  <c r="BN2825" i="1"/>
  <c r="DG3099" i="1"/>
  <c r="DA3099" i="1"/>
  <c r="T3099" i="1"/>
  <c r="S3099" i="1"/>
  <c r="Q3099" i="1"/>
  <c r="P3099" i="1"/>
  <c r="N3099" i="1"/>
  <c r="BO3099" i="1"/>
  <c r="BN3099" i="1"/>
  <c r="DG2522" i="1"/>
  <c r="DA2522" i="1"/>
  <c r="T2522" i="1"/>
  <c r="S2522" i="1"/>
  <c r="Q2522" i="1"/>
  <c r="P2522" i="1"/>
  <c r="N2522" i="1"/>
  <c r="BO2522" i="1"/>
  <c r="BN2522" i="1"/>
  <c r="DG2521" i="1"/>
  <c r="DA2521" i="1"/>
  <c r="T2521" i="1"/>
  <c r="S2521" i="1"/>
  <c r="Q2521" i="1"/>
  <c r="P2521" i="1"/>
  <c r="N2521" i="1"/>
  <c r="BO2521" i="1"/>
  <c r="BN2521" i="1"/>
  <c r="DG2864" i="1"/>
  <c r="DA2864" i="1"/>
  <c r="T2864" i="1"/>
  <c r="S2864" i="1"/>
  <c r="Q2864" i="1"/>
  <c r="P2864" i="1"/>
  <c r="N2864" i="1"/>
  <c r="BO2864" i="1"/>
  <c r="BN2864" i="1"/>
  <c r="DG2948" i="1"/>
  <c r="DA2948" i="1"/>
  <c r="T2948" i="1"/>
  <c r="S2948" i="1"/>
  <c r="Q2948" i="1"/>
  <c r="P2948" i="1"/>
  <c r="N2948" i="1"/>
  <c r="BO2948" i="1"/>
  <c r="BN2948" i="1"/>
  <c r="DG2943" i="1"/>
  <c r="DA2943" i="1"/>
  <c r="T2943" i="1"/>
  <c r="S2943" i="1"/>
  <c r="Q2943" i="1"/>
  <c r="P2943" i="1"/>
  <c r="N2943" i="1"/>
  <c r="BO2943" i="1"/>
  <c r="BN2943" i="1"/>
  <c r="DG2520" i="1"/>
  <c r="DA2520" i="1"/>
  <c r="T2520" i="1"/>
  <c r="S2520" i="1"/>
  <c r="Q2520" i="1"/>
  <c r="P2520" i="1"/>
  <c r="N2520" i="1"/>
  <c r="BO2520" i="1"/>
  <c r="BN2520" i="1"/>
  <c r="DG2439" i="1"/>
  <c r="DA2439" i="1"/>
  <c r="T2439" i="1"/>
  <c r="S2439" i="1"/>
  <c r="Q2439" i="1"/>
  <c r="P2439" i="1"/>
  <c r="N2439" i="1"/>
  <c r="BO2439" i="1"/>
  <c r="BN2439" i="1"/>
  <c r="DG3100" i="1"/>
  <c r="DA3100" i="1"/>
  <c r="T3100" i="1"/>
  <c r="S3100" i="1"/>
  <c r="Q3100" i="1"/>
  <c r="P3100" i="1"/>
  <c r="N3100" i="1"/>
  <c r="BO3100" i="1"/>
  <c r="BN3100" i="1"/>
  <c r="DG2519" i="1"/>
  <c r="DA2519" i="1"/>
  <c r="T2519" i="1"/>
  <c r="S2519" i="1"/>
  <c r="Q2519" i="1"/>
  <c r="P2519" i="1"/>
  <c r="N2519" i="1"/>
  <c r="BO2519" i="1"/>
  <c r="BN2519" i="1"/>
  <c r="DG3101" i="1"/>
  <c r="DA3101" i="1"/>
  <c r="T3101" i="1"/>
  <c r="S3101" i="1"/>
  <c r="Q3101" i="1"/>
  <c r="P3101" i="1"/>
  <c r="N3101" i="1"/>
  <c r="BO3101" i="1"/>
  <c r="BN3101" i="1"/>
  <c r="DG2518" i="1"/>
  <c r="DA2518" i="1"/>
  <c r="T2518" i="1"/>
  <c r="S2518" i="1"/>
  <c r="Q2518" i="1"/>
  <c r="P2518" i="1"/>
  <c r="N2518" i="1"/>
  <c r="BO2518" i="1"/>
  <c r="BN2518" i="1"/>
  <c r="DG2517" i="1"/>
  <c r="DA2517" i="1"/>
  <c r="T2517" i="1"/>
  <c r="S2517" i="1"/>
  <c r="Q2517" i="1"/>
  <c r="P2517" i="1"/>
  <c r="N2517" i="1"/>
  <c r="BO2517" i="1"/>
  <c r="BN2517" i="1"/>
  <c r="DG2915" i="1"/>
  <c r="DA2915" i="1"/>
  <c r="T2915" i="1"/>
  <c r="S2915" i="1"/>
  <c r="Q2915" i="1"/>
  <c r="P2915" i="1"/>
  <c r="N2915" i="1"/>
  <c r="BO2915" i="1"/>
  <c r="BN2915" i="1"/>
  <c r="DG2944" i="1"/>
  <c r="DA2944" i="1"/>
  <c r="T2944" i="1"/>
  <c r="S2944" i="1"/>
  <c r="Q2944" i="1"/>
  <c r="P2944" i="1"/>
  <c r="N2944" i="1"/>
  <c r="BO2944" i="1"/>
  <c r="BN2944" i="1"/>
  <c r="DG2516" i="1"/>
  <c r="DA2516" i="1"/>
  <c r="T2516" i="1"/>
  <c r="S2516" i="1"/>
  <c r="Q2516" i="1"/>
  <c r="P2516" i="1"/>
  <c r="N2516" i="1"/>
  <c r="BO2516" i="1"/>
  <c r="BN2516" i="1"/>
  <c r="DG2515" i="1"/>
  <c r="DA2515" i="1"/>
  <c r="T2515" i="1"/>
  <c r="S2515" i="1"/>
  <c r="Q2515" i="1"/>
  <c r="P2515" i="1"/>
  <c r="N2515" i="1"/>
  <c r="BO2515" i="1"/>
  <c r="BN2515" i="1"/>
  <c r="DG2674" i="1"/>
  <c r="DA2674" i="1"/>
  <c r="T2674" i="1"/>
  <c r="S2674" i="1"/>
  <c r="Q2674" i="1"/>
  <c r="P2674" i="1"/>
  <c r="N2674" i="1"/>
  <c r="BO2674" i="1"/>
  <c r="BN2674" i="1"/>
  <c r="DG2514" i="1"/>
  <c r="DA2514" i="1"/>
  <c r="T2514" i="1"/>
  <c r="S2514" i="1"/>
  <c r="Q2514" i="1"/>
  <c r="P2514" i="1"/>
  <c r="N2514" i="1"/>
  <c r="BO2514" i="1"/>
  <c r="BN2514" i="1"/>
  <c r="DG2513" i="1"/>
  <c r="DA2513" i="1"/>
  <c r="T2513" i="1"/>
  <c r="S2513" i="1"/>
  <c r="Q2513" i="1"/>
  <c r="P2513" i="1"/>
  <c r="N2513" i="1"/>
  <c r="BO2513" i="1"/>
  <c r="BN2513" i="1"/>
  <c r="DG2865" i="1"/>
  <c r="DA2865" i="1"/>
  <c r="T2865" i="1"/>
  <c r="S2865" i="1"/>
  <c r="Q2865" i="1"/>
  <c r="P2865" i="1"/>
  <c r="N2865" i="1"/>
  <c r="BO2865" i="1"/>
  <c r="BN2865" i="1"/>
  <c r="DG735" i="1"/>
  <c r="DA735" i="1"/>
  <c r="T735" i="1"/>
  <c r="S735" i="1"/>
  <c r="Q735" i="1"/>
  <c r="P735" i="1"/>
  <c r="N735" i="1"/>
  <c r="BO735" i="1"/>
  <c r="BN735" i="1"/>
  <c r="DG2945" i="1"/>
  <c r="DA2945" i="1"/>
  <c r="T2945" i="1"/>
  <c r="S2945" i="1"/>
  <c r="Q2945" i="1"/>
  <c r="P2945" i="1"/>
  <c r="N2945" i="1"/>
  <c r="BO2945" i="1"/>
  <c r="BN2945" i="1"/>
  <c r="DG2512" i="1"/>
  <c r="DA2512" i="1"/>
  <c r="T2512" i="1"/>
  <c r="S2512" i="1"/>
  <c r="Q2512" i="1"/>
  <c r="P2512" i="1"/>
  <c r="N2512" i="1"/>
  <c r="BO2512" i="1"/>
  <c r="BN2512" i="1"/>
  <c r="DG2511" i="1"/>
  <c r="DA2511" i="1"/>
  <c r="T2511" i="1"/>
  <c r="S2511" i="1"/>
  <c r="Q2511" i="1"/>
  <c r="P2511" i="1"/>
  <c r="N2511" i="1"/>
  <c r="BO2511" i="1"/>
  <c r="BN2511" i="1"/>
  <c r="DG3105" i="1"/>
  <c r="DA3105" i="1"/>
  <c r="T3105" i="1"/>
  <c r="S3105" i="1"/>
  <c r="Q3105" i="1"/>
  <c r="P3105" i="1"/>
  <c r="N3105" i="1"/>
  <c r="BO3105" i="1"/>
  <c r="BN3105" i="1"/>
  <c r="DG2510" i="1"/>
  <c r="DA2510" i="1"/>
  <c r="T2510" i="1"/>
  <c r="S2510" i="1"/>
  <c r="Q2510" i="1"/>
  <c r="P2510" i="1"/>
  <c r="N2510" i="1"/>
  <c r="BO2510" i="1"/>
  <c r="BN2510" i="1"/>
  <c r="DG2946" i="1"/>
  <c r="DA2946" i="1"/>
  <c r="T2946" i="1"/>
  <c r="S2946" i="1"/>
  <c r="Q2946" i="1"/>
  <c r="P2946" i="1"/>
  <c r="N2946" i="1"/>
  <c r="BO2946" i="1"/>
  <c r="BN2946" i="1"/>
  <c r="DG2509" i="1"/>
  <c r="DA2509" i="1"/>
  <c r="T2509" i="1"/>
  <c r="S2509" i="1"/>
  <c r="Q2509" i="1"/>
  <c r="P2509" i="1"/>
  <c r="N2509" i="1"/>
  <c r="BO2509" i="1"/>
  <c r="BN2509" i="1"/>
  <c r="DG3106" i="1"/>
  <c r="DA3106" i="1"/>
  <c r="T3106" i="1"/>
  <c r="S3106" i="1"/>
  <c r="Q3106" i="1"/>
  <c r="P3106" i="1"/>
  <c r="N3106" i="1"/>
  <c r="BO3106" i="1"/>
  <c r="BN3106" i="1"/>
  <c r="DG2508" i="1"/>
  <c r="DA2508" i="1"/>
  <c r="T2508" i="1"/>
  <c r="S2508" i="1"/>
  <c r="Q2508" i="1"/>
  <c r="P2508" i="1"/>
  <c r="N2508" i="1"/>
  <c r="BO2508" i="1"/>
  <c r="BN2508" i="1"/>
  <c r="DG2507" i="1"/>
  <c r="DA2507" i="1"/>
  <c r="T2507" i="1"/>
  <c r="S2507" i="1"/>
  <c r="Q2507" i="1"/>
  <c r="P2507" i="1"/>
  <c r="N2507" i="1"/>
  <c r="BO2507" i="1"/>
  <c r="BN2507" i="1"/>
  <c r="DG3107" i="1"/>
  <c r="DA3107" i="1"/>
  <c r="T3107" i="1"/>
  <c r="S3107" i="1"/>
  <c r="Q3107" i="1"/>
  <c r="P3107" i="1"/>
  <c r="N3107" i="1"/>
  <c r="BO3107" i="1"/>
  <c r="BN3107" i="1"/>
  <c r="DG2506" i="1"/>
  <c r="DA2506" i="1"/>
  <c r="T2506" i="1"/>
  <c r="S2506" i="1"/>
  <c r="Q2506" i="1"/>
  <c r="P2506" i="1"/>
  <c r="N2506" i="1"/>
  <c r="BO2506" i="1"/>
  <c r="BN2506" i="1"/>
  <c r="DG2499" i="1"/>
  <c r="DA2499" i="1"/>
  <c r="T2499" i="1"/>
  <c r="S2499" i="1"/>
  <c r="Q2499" i="1"/>
  <c r="P2499" i="1"/>
  <c r="N2499" i="1"/>
  <c r="BO2499" i="1"/>
  <c r="BN2499" i="1"/>
  <c r="DG2791" i="1"/>
  <c r="DA2791" i="1"/>
  <c r="T2791" i="1"/>
  <c r="S2791" i="1"/>
  <c r="Q2791" i="1"/>
  <c r="P2791" i="1"/>
  <c r="N2791" i="1"/>
  <c r="BO2791" i="1"/>
  <c r="BN2791" i="1"/>
  <c r="DG2826" i="1"/>
  <c r="DA2826" i="1"/>
  <c r="T2826" i="1"/>
  <c r="S2826" i="1"/>
  <c r="Q2826" i="1"/>
  <c r="P2826" i="1"/>
  <c r="N2826" i="1"/>
  <c r="BO2826" i="1"/>
  <c r="BN2826" i="1"/>
  <c r="DG2947" i="1"/>
  <c r="DA2947" i="1"/>
  <c r="T2947" i="1"/>
  <c r="S2947" i="1"/>
  <c r="Q2947" i="1"/>
  <c r="P2947" i="1"/>
  <c r="N2947" i="1"/>
  <c r="BO2947" i="1"/>
  <c r="BN2947" i="1"/>
  <c r="DG2500" i="1"/>
  <c r="DA2500" i="1"/>
  <c r="T2500" i="1"/>
  <c r="S2500" i="1"/>
  <c r="Q2500" i="1"/>
  <c r="P2500" i="1"/>
  <c r="N2500" i="1"/>
  <c r="BO2500" i="1"/>
  <c r="BN2500" i="1"/>
  <c r="DG3108" i="1"/>
  <c r="DA3108" i="1"/>
  <c r="T3108" i="1"/>
  <c r="S3108" i="1"/>
  <c r="Q3108" i="1"/>
  <c r="P3108" i="1"/>
  <c r="N3108" i="1"/>
  <c r="BO3108" i="1"/>
  <c r="BN3108" i="1"/>
  <c r="DG2796" i="1"/>
  <c r="DA2796" i="1"/>
  <c r="T2796" i="1"/>
  <c r="S2796" i="1"/>
  <c r="Q2796" i="1"/>
  <c r="P2796" i="1"/>
  <c r="N2796" i="1"/>
  <c r="BO2796" i="1"/>
  <c r="BN2796" i="1"/>
  <c r="DG3109" i="1"/>
  <c r="DA3109" i="1"/>
  <c r="T3109" i="1"/>
  <c r="S3109" i="1"/>
  <c r="Q3109" i="1"/>
  <c r="P3109" i="1"/>
  <c r="N3109" i="1"/>
  <c r="BO3109" i="1"/>
  <c r="BN3109" i="1"/>
  <c r="DG2501" i="1"/>
  <c r="DA2501" i="1"/>
  <c r="T2501" i="1"/>
  <c r="S2501" i="1"/>
  <c r="Q2501" i="1"/>
  <c r="P2501" i="1"/>
  <c r="N2501" i="1"/>
  <c r="BO2501" i="1"/>
  <c r="BN2501" i="1"/>
  <c r="DG1930" i="1"/>
  <c r="DA1930" i="1"/>
  <c r="T1930" i="1"/>
  <c r="S1930" i="1"/>
  <c r="Q1930" i="1"/>
  <c r="P1930" i="1"/>
  <c r="N1930" i="1"/>
  <c r="BO1930" i="1"/>
  <c r="BN1930" i="1"/>
  <c r="DG2806" i="1"/>
  <c r="DA2806" i="1"/>
  <c r="T2806" i="1"/>
  <c r="S2806" i="1"/>
  <c r="Q2806" i="1"/>
  <c r="P2806" i="1"/>
  <c r="N2806" i="1"/>
  <c r="BO2806" i="1"/>
  <c r="BN2806" i="1"/>
  <c r="DG3110" i="1"/>
  <c r="DA3110" i="1"/>
  <c r="T3110" i="1"/>
  <c r="S3110" i="1"/>
  <c r="Q3110" i="1"/>
  <c r="P3110" i="1"/>
  <c r="N3110" i="1"/>
  <c r="BO3110" i="1"/>
  <c r="BN3110" i="1"/>
  <c r="DG2866" i="1"/>
  <c r="DA2866" i="1"/>
  <c r="T2866" i="1"/>
  <c r="S2866" i="1"/>
  <c r="Q2866" i="1"/>
  <c r="P2866" i="1"/>
  <c r="N2866" i="1"/>
  <c r="BO2866" i="1"/>
  <c r="BN2866" i="1"/>
  <c r="DG2867" i="1"/>
  <c r="DA2867" i="1"/>
  <c r="T2867" i="1"/>
  <c r="S2867" i="1"/>
  <c r="Q2867" i="1"/>
  <c r="P2867" i="1"/>
  <c r="N2867" i="1"/>
  <c r="BO2867" i="1"/>
  <c r="BN2867" i="1"/>
  <c r="DG2503" i="1"/>
  <c r="DA2503" i="1"/>
  <c r="T2503" i="1"/>
  <c r="S2503" i="1"/>
  <c r="Q2503" i="1"/>
  <c r="P2503" i="1"/>
  <c r="N2503" i="1"/>
  <c r="BO2503" i="1"/>
  <c r="BN2503" i="1"/>
  <c r="DG2243" i="1"/>
  <c r="DA2243" i="1"/>
  <c r="T2243" i="1"/>
  <c r="S2243" i="1"/>
  <c r="Q2243" i="1"/>
  <c r="P2243" i="1"/>
  <c r="N2243" i="1"/>
  <c r="BO2243" i="1"/>
  <c r="BN2243" i="1"/>
  <c r="DG3111" i="1"/>
  <c r="DA3111" i="1"/>
  <c r="T3111" i="1"/>
  <c r="S3111" i="1"/>
  <c r="Q3111" i="1"/>
  <c r="P3111" i="1"/>
  <c r="N3111" i="1"/>
  <c r="BO3111" i="1"/>
  <c r="BN3111" i="1"/>
  <c r="DG2504" i="1"/>
  <c r="DA2504" i="1"/>
  <c r="T2504" i="1"/>
  <c r="S2504" i="1"/>
  <c r="Q2504" i="1"/>
  <c r="P2504" i="1"/>
  <c r="N2504" i="1"/>
  <c r="BO2504" i="1"/>
  <c r="BN2504" i="1"/>
  <c r="DG2245" i="1"/>
  <c r="DA2245" i="1"/>
  <c r="T2245" i="1"/>
  <c r="S2245" i="1"/>
  <c r="Q2245" i="1"/>
  <c r="P2245" i="1"/>
  <c r="N2245" i="1"/>
  <c r="BO2245" i="1"/>
  <c r="BN2245" i="1"/>
  <c r="DG2949" i="1"/>
  <c r="DA2949" i="1"/>
  <c r="T2949" i="1"/>
  <c r="S2949" i="1"/>
  <c r="Q2949" i="1"/>
  <c r="P2949" i="1"/>
  <c r="N2949" i="1"/>
  <c r="BO2949" i="1"/>
  <c r="BN2949" i="1"/>
  <c r="DG3112" i="1"/>
  <c r="DA3112" i="1"/>
  <c r="T3112" i="1"/>
  <c r="S3112" i="1"/>
  <c r="Q3112" i="1"/>
  <c r="P3112" i="1"/>
  <c r="N3112" i="1"/>
  <c r="BO3112" i="1"/>
  <c r="BN3112" i="1"/>
  <c r="DG2505" i="1"/>
  <c r="DA2505" i="1"/>
  <c r="T2505" i="1"/>
  <c r="S2505" i="1"/>
  <c r="Q2505" i="1"/>
  <c r="P2505" i="1"/>
  <c r="N2505" i="1"/>
  <c r="BO2505" i="1"/>
  <c r="BN2505" i="1"/>
  <c r="DG3113" i="1"/>
  <c r="DA3113" i="1"/>
  <c r="T3113" i="1"/>
  <c r="S3113" i="1"/>
  <c r="Q3113" i="1"/>
  <c r="P3113" i="1"/>
  <c r="N3113" i="1"/>
  <c r="BO3113" i="1"/>
  <c r="BN3113" i="1"/>
  <c r="DG2244" i="1"/>
  <c r="DA2244" i="1"/>
  <c r="T2244" i="1"/>
  <c r="S2244" i="1"/>
  <c r="Q2244" i="1"/>
  <c r="P2244" i="1"/>
  <c r="N2244" i="1"/>
  <c r="BO2244" i="1"/>
  <c r="BN2244" i="1"/>
  <c r="DG734" i="1"/>
  <c r="DA734" i="1"/>
  <c r="T734" i="1"/>
  <c r="S734" i="1"/>
  <c r="Q734" i="1"/>
  <c r="P734" i="1"/>
  <c r="N734" i="1"/>
  <c r="BO734" i="1"/>
  <c r="BN734" i="1"/>
  <c r="DG3114" i="1"/>
  <c r="DA3114" i="1"/>
  <c r="T3114" i="1"/>
  <c r="S3114" i="1"/>
  <c r="Q3114" i="1"/>
  <c r="P3114" i="1"/>
  <c r="N3114" i="1"/>
  <c r="BO3114" i="1"/>
  <c r="BN3114" i="1"/>
  <c r="DG2246" i="1"/>
  <c r="DA2246" i="1"/>
  <c r="T2246" i="1"/>
  <c r="S2246" i="1"/>
  <c r="Q2246" i="1"/>
  <c r="P2246" i="1"/>
  <c r="N2246" i="1"/>
  <c r="BO2246" i="1"/>
  <c r="BN2246" i="1"/>
  <c r="DG2950" i="1"/>
  <c r="DA2950" i="1"/>
  <c r="T2950" i="1"/>
  <c r="S2950" i="1"/>
  <c r="Q2950" i="1"/>
  <c r="P2950" i="1"/>
  <c r="N2950" i="1"/>
  <c r="BO2950" i="1"/>
  <c r="BN2950" i="1"/>
  <c r="DG2951" i="1"/>
  <c r="DA2951" i="1"/>
  <c r="T2951" i="1"/>
  <c r="S2951" i="1"/>
  <c r="Q2951" i="1"/>
  <c r="P2951" i="1"/>
  <c r="N2951" i="1"/>
  <c r="BO2951" i="1"/>
  <c r="BN2951" i="1"/>
  <c r="DG2242" i="1"/>
  <c r="DA2242" i="1"/>
  <c r="T2242" i="1"/>
  <c r="S2242" i="1"/>
  <c r="Q2242" i="1"/>
  <c r="P2242" i="1"/>
  <c r="N2242" i="1"/>
  <c r="BO2242" i="1"/>
  <c r="BN2242" i="1"/>
  <c r="DG3115" i="1"/>
  <c r="DA3115" i="1"/>
  <c r="T3115" i="1"/>
  <c r="S3115" i="1"/>
  <c r="Q3115" i="1"/>
  <c r="P3115" i="1"/>
  <c r="N3115" i="1"/>
  <c r="BO3115" i="1"/>
  <c r="BN3115" i="1"/>
  <c r="DG2240" i="1"/>
  <c r="DA2240" i="1"/>
  <c r="T2240" i="1"/>
  <c r="S2240" i="1"/>
  <c r="Q2240" i="1"/>
  <c r="P2240" i="1"/>
  <c r="N2240" i="1"/>
  <c r="BO2240" i="1"/>
  <c r="BN2240" i="1"/>
  <c r="DG2868" i="1"/>
  <c r="DA2868" i="1"/>
  <c r="T2868" i="1"/>
  <c r="S2868" i="1"/>
  <c r="Q2868" i="1"/>
  <c r="P2868" i="1"/>
  <c r="N2868" i="1"/>
  <c r="BO2868" i="1"/>
  <c r="BN2868" i="1"/>
  <c r="DG3116" i="1"/>
  <c r="DA3116" i="1"/>
  <c r="T3116" i="1"/>
  <c r="S3116" i="1"/>
  <c r="Q3116" i="1"/>
  <c r="P3116" i="1"/>
  <c r="N3116" i="1"/>
  <c r="BO3116" i="1"/>
  <c r="BN3116" i="1"/>
  <c r="DG2197" i="1"/>
  <c r="DA2197" i="1"/>
  <c r="T2197" i="1"/>
  <c r="S2197" i="1"/>
  <c r="Q2197" i="1"/>
  <c r="P2197" i="1"/>
  <c r="N2197" i="1"/>
  <c r="BO2197" i="1"/>
  <c r="BN2197" i="1"/>
  <c r="DG2679" i="1"/>
  <c r="DA2679" i="1"/>
  <c r="T2679" i="1"/>
  <c r="S2679" i="1"/>
  <c r="Q2679" i="1"/>
  <c r="P2679" i="1"/>
  <c r="N2679" i="1"/>
  <c r="BO2679" i="1"/>
  <c r="BN2679" i="1"/>
  <c r="DG2952" i="1"/>
  <c r="DA2952" i="1"/>
  <c r="T2952" i="1"/>
  <c r="S2952" i="1"/>
  <c r="Q2952" i="1"/>
  <c r="P2952" i="1"/>
  <c r="N2952" i="1"/>
  <c r="BO2952" i="1"/>
  <c r="BN2952" i="1"/>
  <c r="DG3117" i="1"/>
  <c r="DA3117" i="1"/>
  <c r="T3117" i="1"/>
  <c r="S3117" i="1"/>
  <c r="Q3117" i="1"/>
  <c r="P3117" i="1"/>
  <c r="N3117" i="1"/>
  <c r="BO3117" i="1"/>
  <c r="BN3117" i="1"/>
  <c r="DG3118" i="1"/>
  <c r="DA3118" i="1"/>
  <c r="T3118" i="1"/>
  <c r="S3118" i="1"/>
  <c r="Q3118" i="1"/>
  <c r="P3118" i="1"/>
  <c r="N3118" i="1"/>
  <c r="BO3118" i="1"/>
  <c r="BN3118" i="1"/>
  <c r="DG2827" i="1"/>
  <c r="DA2827" i="1"/>
  <c r="T2827" i="1"/>
  <c r="S2827" i="1"/>
  <c r="Q2827" i="1"/>
  <c r="P2827" i="1"/>
  <c r="N2827" i="1"/>
  <c r="BO2827" i="1"/>
  <c r="BN2827" i="1"/>
  <c r="DG739" i="1"/>
  <c r="DA739" i="1"/>
  <c r="T739" i="1"/>
  <c r="S739" i="1"/>
  <c r="Q739" i="1"/>
  <c r="P739" i="1"/>
  <c r="N739" i="1"/>
  <c r="BO739" i="1"/>
  <c r="BN739" i="1"/>
  <c r="DG3024" i="1"/>
  <c r="DA3024" i="1"/>
  <c r="T3024" i="1"/>
  <c r="S3024" i="1"/>
  <c r="Q3024" i="1"/>
  <c r="P3024" i="1"/>
  <c r="N3024" i="1"/>
  <c r="BO3024" i="1"/>
  <c r="BN3024" i="1"/>
  <c r="DG2953" i="1"/>
  <c r="DA2953" i="1"/>
  <c r="T2953" i="1"/>
  <c r="S2953" i="1"/>
  <c r="Q2953" i="1"/>
  <c r="P2953" i="1"/>
  <c r="N2953" i="1"/>
  <c r="BO2953" i="1"/>
  <c r="BN2953" i="1"/>
  <c r="DG3119" i="1"/>
  <c r="DA3119" i="1"/>
  <c r="T3119" i="1"/>
  <c r="S3119" i="1"/>
  <c r="Q3119" i="1"/>
  <c r="P3119" i="1"/>
  <c r="N3119" i="1"/>
  <c r="BO3119" i="1"/>
  <c r="BN3119" i="1"/>
  <c r="DG2232" i="1"/>
  <c r="DA2232" i="1"/>
  <c r="T2232" i="1"/>
  <c r="S2232" i="1"/>
  <c r="Q2232" i="1"/>
  <c r="P2232" i="1"/>
  <c r="N2232" i="1"/>
  <c r="BO2232" i="1"/>
  <c r="BN2232" i="1"/>
  <c r="DG2231" i="1"/>
  <c r="DA2231" i="1"/>
  <c r="T2231" i="1"/>
  <c r="S2231" i="1"/>
  <c r="Q2231" i="1"/>
  <c r="P2231" i="1"/>
  <c r="N2231" i="1"/>
  <c r="BO2231" i="1"/>
  <c r="BN2231" i="1"/>
  <c r="DG3120" i="1"/>
  <c r="DA3120" i="1"/>
  <c r="T3120" i="1"/>
  <c r="S3120" i="1"/>
  <c r="Q3120" i="1"/>
  <c r="P3120" i="1"/>
  <c r="N3120" i="1"/>
  <c r="BO3120" i="1"/>
  <c r="BN3120" i="1"/>
  <c r="DG2869" i="1"/>
  <c r="DA2869" i="1"/>
  <c r="T2869" i="1"/>
  <c r="S2869" i="1"/>
  <c r="Q2869" i="1"/>
  <c r="P2869" i="1"/>
  <c r="N2869" i="1"/>
  <c r="BO2869" i="1"/>
  <c r="BN2869" i="1"/>
  <c r="DG2193" i="1"/>
  <c r="DA2193" i="1"/>
  <c r="T2193" i="1"/>
  <c r="S2193" i="1"/>
  <c r="Q2193" i="1"/>
  <c r="P2193" i="1"/>
  <c r="N2193" i="1"/>
  <c r="BO2193" i="1"/>
  <c r="BN2193" i="1"/>
  <c r="DG3121" i="1"/>
  <c r="DA3121" i="1"/>
  <c r="T3121" i="1"/>
  <c r="S3121" i="1"/>
  <c r="Q3121" i="1"/>
  <c r="P3121" i="1"/>
  <c r="N3121" i="1"/>
  <c r="BO3121" i="1"/>
  <c r="BN3121" i="1"/>
  <c r="DG2238" i="1"/>
  <c r="DA2238" i="1"/>
  <c r="T2238" i="1"/>
  <c r="S2238" i="1"/>
  <c r="Q2238" i="1"/>
  <c r="P2238" i="1"/>
  <c r="N2238" i="1"/>
  <c r="BO2238" i="1"/>
  <c r="BN2238" i="1"/>
  <c r="DG2954" i="1"/>
  <c r="DA2954" i="1"/>
  <c r="T2954" i="1"/>
  <c r="S2954" i="1"/>
  <c r="Q2954" i="1"/>
  <c r="P2954" i="1"/>
  <c r="N2954" i="1"/>
  <c r="BO2954" i="1"/>
  <c r="BN2954" i="1"/>
  <c r="DG3122" i="1"/>
  <c r="DA3122" i="1"/>
  <c r="T3122" i="1"/>
  <c r="S3122" i="1"/>
  <c r="Q3122" i="1"/>
  <c r="P3122" i="1"/>
  <c r="N3122" i="1"/>
  <c r="BO3122" i="1"/>
  <c r="BN3122" i="1"/>
  <c r="DG2249" i="1"/>
  <c r="DA2249" i="1"/>
  <c r="T2249" i="1"/>
  <c r="S2249" i="1"/>
  <c r="Q2249" i="1"/>
  <c r="P2249" i="1"/>
  <c r="N2249" i="1"/>
  <c r="BO2249" i="1"/>
  <c r="BN2249" i="1"/>
  <c r="DG2241" i="1"/>
  <c r="DA2241" i="1"/>
  <c r="T2241" i="1"/>
  <c r="S2241" i="1"/>
  <c r="Q2241" i="1"/>
  <c r="P2241" i="1"/>
  <c r="N2241" i="1"/>
  <c r="BO2241" i="1"/>
  <c r="BN2241" i="1"/>
  <c r="DG2870" i="1"/>
  <c r="DA2870" i="1"/>
  <c r="T2870" i="1"/>
  <c r="S2870" i="1"/>
  <c r="Q2870" i="1"/>
  <c r="P2870" i="1"/>
  <c r="N2870" i="1"/>
  <c r="BO2870" i="1"/>
  <c r="BN2870" i="1"/>
  <c r="DG2233" i="1"/>
  <c r="DA2233" i="1"/>
  <c r="T2233" i="1"/>
  <c r="S2233" i="1"/>
  <c r="Q2233" i="1"/>
  <c r="P2233" i="1"/>
  <c r="N2233" i="1"/>
  <c r="BO2233" i="1"/>
  <c r="BN2233" i="1"/>
  <c r="DG2955" i="1"/>
  <c r="DA2955" i="1"/>
  <c r="T2955" i="1"/>
  <c r="S2955" i="1"/>
  <c r="Q2955" i="1"/>
  <c r="P2955" i="1"/>
  <c r="N2955" i="1"/>
  <c r="BO2955" i="1"/>
  <c r="BN2955" i="1"/>
  <c r="DG2165" i="1"/>
  <c r="DA2165" i="1"/>
  <c r="T2165" i="1"/>
  <c r="S2165" i="1"/>
  <c r="Q2165" i="1"/>
  <c r="P2165" i="1"/>
  <c r="N2165" i="1"/>
  <c r="BO2165" i="1"/>
  <c r="BN2165" i="1"/>
  <c r="DG2807" i="1"/>
  <c r="DA2807" i="1"/>
  <c r="T2807" i="1"/>
  <c r="S2807" i="1"/>
  <c r="Q2807" i="1"/>
  <c r="P2807" i="1"/>
  <c r="N2807" i="1"/>
  <c r="BO2807" i="1"/>
  <c r="BN2807" i="1"/>
  <c r="DG3188" i="1"/>
  <c r="DA3188" i="1"/>
  <c r="T3188" i="1"/>
  <c r="S3188" i="1"/>
  <c r="Q3188" i="1"/>
  <c r="P3188" i="1"/>
  <c r="N3188" i="1"/>
  <c r="BO3188" i="1"/>
  <c r="BN3188" i="1"/>
  <c r="DG2828" i="1"/>
  <c r="DA2828" i="1"/>
  <c r="T2828" i="1"/>
  <c r="S2828" i="1"/>
  <c r="Q2828" i="1"/>
  <c r="P2828" i="1"/>
  <c r="N2828" i="1"/>
  <c r="BO2828" i="1"/>
  <c r="BN2828" i="1"/>
  <c r="DG3124" i="1"/>
  <c r="DA3124" i="1"/>
  <c r="T3124" i="1"/>
  <c r="S3124" i="1"/>
  <c r="Q3124" i="1"/>
  <c r="P3124" i="1"/>
  <c r="N3124" i="1"/>
  <c r="BO3124" i="1"/>
  <c r="BN3124" i="1"/>
  <c r="DG2179" i="1"/>
  <c r="DA2179" i="1"/>
  <c r="T2179" i="1"/>
  <c r="S2179" i="1"/>
  <c r="Q2179" i="1"/>
  <c r="P2179" i="1"/>
  <c r="N2179" i="1"/>
  <c r="BO2179" i="1"/>
  <c r="BN2179" i="1"/>
  <c r="DG3125" i="1"/>
  <c r="DA3125" i="1"/>
  <c r="T3125" i="1"/>
  <c r="S3125" i="1"/>
  <c r="Q3125" i="1"/>
  <c r="P3125" i="1"/>
  <c r="N3125" i="1"/>
  <c r="BO3125" i="1"/>
  <c r="BN3125" i="1"/>
  <c r="DG2956" i="1"/>
  <c r="DA2956" i="1"/>
  <c r="T2956" i="1"/>
  <c r="S2956" i="1"/>
  <c r="Q2956" i="1"/>
  <c r="P2956" i="1"/>
  <c r="N2956" i="1"/>
  <c r="BO2956" i="1"/>
  <c r="BN2956" i="1"/>
  <c r="DG3126" i="1"/>
  <c r="DA3126" i="1"/>
  <c r="T3126" i="1"/>
  <c r="S3126" i="1"/>
  <c r="Q3126" i="1"/>
  <c r="P3126" i="1"/>
  <c r="N3126" i="1"/>
  <c r="BO3126" i="1"/>
  <c r="BN3126" i="1"/>
  <c r="DG2871" i="1"/>
  <c r="DA2871" i="1"/>
  <c r="T2871" i="1"/>
  <c r="S2871" i="1"/>
  <c r="Q2871" i="1"/>
  <c r="P2871" i="1"/>
  <c r="N2871" i="1"/>
  <c r="BO2871" i="1"/>
  <c r="BN2871" i="1"/>
  <c r="DG3127" i="1"/>
  <c r="DA3127" i="1"/>
  <c r="T3127" i="1"/>
  <c r="S3127" i="1"/>
  <c r="Q3127" i="1"/>
  <c r="P3127" i="1"/>
  <c r="N3127" i="1"/>
  <c r="BO3127" i="1"/>
  <c r="BN3127" i="1"/>
  <c r="DG2957" i="1"/>
  <c r="DA2957" i="1"/>
  <c r="T2957" i="1"/>
  <c r="S2957" i="1"/>
  <c r="Q2957" i="1"/>
  <c r="P2957" i="1"/>
  <c r="N2957" i="1"/>
  <c r="BO2957" i="1"/>
  <c r="BN2957" i="1"/>
  <c r="DG2195" i="1"/>
  <c r="DA2195" i="1"/>
  <c r="T2195" i="1"/>
  <c r="S2195" i="1"/>
  <c r="Q2195" i="1"/>
  <c r="P2195" i="1"/>
  <c r="N2195" i="1"/>
  <c r="BO2195" i="1"/>
  <c r="BN2195" i="1"/>
  <c r="DG741" i="1"/>
  <c r="DA741" i="1"/>
  <c r="T741" i="1"/>
  <c r="S741" i="1"/>
  <c r="Q741" i="1"/>
  <c r="P741" i="1"/>
  <c r="N741" i="1"/>
  <c r="BO741" i="1"/>
  <c r="BN741" i="1"/>
  <c r="DG3129" i="1"/>
  <c r="DA3129" i="1"/>
  <c r="T3129" i="1"/>
  <c r="S3129" i="1"/>
  <c r="Q3129" i="1"/>
  <c r="P3129" i="1"/>
  <c r="N3129" i="1"/>
  <c r="BO3129" i="1"/>
  <c r="BN3129" i="1"/>
  <c r="DG2958" i="1"/>
  <c r="DA2958" i="1"/>
  <c r="T2958" i="1"/>
  <c r="S2958" i="1"/>
  <c r="Q2958" i="1"/>
  <c r="P2958" i="1"/>
  <c r="N2958" i="1"/>
  <c r="BO2958" i="1"/>
  <c r="BN2958" i="1"/>
  <c r="DG2191" i="1"/>
  <c r="DA2191" i="1"/>
  <c r="T2191" i="1"/>
  <c r="S2191" i="1"/>
  <c r="Q2191" i="1"/>
  <c r="P2191" i="1"/>
  <c r="N2191" i="1"/>
  <c r="BO2191" i="1"/>
  <c r="BN2191" i="1"/>
  <c r="DG2247" i="1"/>
  <c r="DA2247" i="1"/>
  <c r="T2247" i="1"/>
  <c r="S2247" i="1"/>
  <c r="Q2247" i="1"/>
  <c r="P2247" i="1"/>
  <c r="N2247" i="1"/>
  <c r="BO2247" i="1"/>
  <c r="BN2247" i="1"/>
  <c r="DG3130" i="1"/>
  <c r="DA3130" i="1"/>
  <c r="T3130" i="1"/>
  <c r="S3130" i="1"/>
  <c r="Q3130" i="1"/>
  <c r="P3130" i="1"/>
  <c r="N3130" i="1"/>
  <c r="BO3130" i="1"/>
  <c r="BN3130" i="1"/>
  <c r="DG2872" i="1"/>
  <c r="DA2872" i="1"/>
  <c r="T2872" i="1"/>
  <c r="S2872" i="1"/>
  <c r="Q2872" i="1"/>
  <c r="P2872" i="1"/>
  <c r="N2872" i="1"/>
  <c r="BO2872" i="1"/>
  <c r="BN2872" i="1"/>
  <c r="DG3131" i="1"/>
  <c r="DA3131" i="1"/>
  <c r="T3131" i="1"/>
  <c r="S3131" i="1"/>
  <c r="Q3131" i="1"/>
  <c r="P3131" i="1"/>
  <c r="N3131" i="1"/>
  <c r="BO3131" i="1"/>
  <c r="BN3131" i="1"/>
  <c r="DG2959" i="1"/>
  <c r="DA2959" i="1"/>
  <c r="T2959" i="1"/>
  <c r="S2959" i="1"/>
  <c r="Q2959" i="1"/>
  <c r="P2959" i="1"/>
  <c r="N2959" i="1"/>
  <c r="BO2959" i="1"/>
  <c r="BN2959" i="1"/>
  <c r="DG3132" i="1"/>
  <c r="DA3132" i="1"/>
  <c r="T3132" i="1"/>
  <c r="S3132" i="1"/>
  <c r="Q3132" i="1"/>
  <c r="P3132" i="1"/>
  <c r="N3132" i="1"/>
  <c r="BO3132" i="1"/>
  <c r="BN3132" i="1"/>
  <c r="DG2829" i="1"/>
  <c r="DA2829" i="1"/>
  <c r="T2829" i="1"/>
  <c r="S2829" i="1"/>
  <c r="Q2829" i="1"/>
  <c r="P2829" i="1"/>
  <c r="N2829" i="1"/>
  <c r="BO2829" i="1"/>
  <c r="BN2829" i="1"/>
  <c r="DG3133" i="1"/>
  <c r="DA3133" i="1"/>
  <c r="T3133" i="1"/>
  <c r="S3133" i="1"/>
  <c r="Q3133" i="1"/>
  <c r="P3133" i="1"/>
  <c r="N3133" i="1"/>
  <c r="BO3133" i="1"/>
  <c r="BN3133" i="1"/>
  <c r="DG2960" i="1"/>
  <c r="DA2960" i="1"/>
  <c r="T2960" i="1"/>
  <c r="S2960" i="1"/>
  <c r="Q2960" i="1"/>
  <c r="P2960" i="1"/>
  <c r="N2960" i="1"/>
  <c r="BO2960" i="1"/>
  <c r="BN2960" i="1"/>
  <c r="DG2192" i="1"/>
  <c r="DA2192" i="1"/>
  <c r="T2192" i="1"/>
  <c r="S2192" i="1"/>
  <c r="Q2192" i="1"/>
  <c r="P2192" i="1"/>
  <c r="N2192" i="1"/>
  <c r="BO2192" i="1"/>
  <c r="BN2192" i="1"/>
  <c r="DG3134" i="1"/>
  <c r="DA3134" i="1"/>
  <c r="T3134" i="1"/>
  <c r="S3134" i="1"/>
  <c r="Q3134" i="1"/>
  <c r="P3134" i="1"/>
  <c r="N3134" i="1"/>
  <c r="BO3134" i="1"/>
  <c r="BN3134" i="1"/>
  <c r="DG2873" i="1"/>
  <c r="DA2873" i="1"/>
  <c r="T2873" i="1"/>
  <c r="S2873" i="1"/>
  <c r="Q2873" i="1"/>
  <c r="P2873" i="1"/>
  <c r="N2873" i="1"/>
  <c r="BO2873" i="1"/>
  <c r="BN2873" i="1"/>
  <c r="DG3135" i="1"/>
  <c r="DA3135" i="1"/>
  <c r="T3135" i="1"/>
  <c r="S3135" i="1"/>
  <c r="Q3135" i="1"/>
  <c r="P3135" i="1"/>
  <c r="N3135" i="1"/>
  <c r="BO3135" i="1"/>
  <c r="BN3135" i="1"/>
  <c r="DG2961" i="1"/>
  <c r="DA2961" i="1"/>
  <c r="T2961" i="1"/>
  <c r="S2961" i="1"/>
  <c r="Q2961" i="1"/>
  <c r="P2961" i="1"/>
  <c r="N2961" i="1"/>
  <c r="BO2961" i="1"/>
  <c r="BN2961" i="1"/>
  <c r="DG3137" i="1"/>
  <c r="DA3137" i="1"/>
  <c r="T3137" i="1"/>
  <c r="S3137" i="1"/>
  <c r="Q3137" i="1"/>
  <c r="P3137" i="1"/>
  <c r="N3137" i="1"/>
  <c r="BO3137" i="1"/>
  <c r="BN3137" i="1"/>
  <c r="DG3015" i="1"/>
  <c r="DA3015" i="1"/>
  <c r="T3015" i="1"/>
  <c r="S3015" i="1"/>
  <c r="Q3015" i="1"/>
  <c r="P3015" i="1"/>
  <c r="N3015" i="1"/>
  <c r="BO3015" i="1"/>
  <c r="BN3015" i="1"/>
  <c r="DG2962" i="1"/>
  <c r="DA2962" i="1"/>
  <c r="T2962" i="1"/>
  <c r="S2962" i="1"/>
  <c r="Q2962" i="1"/>
  <c r="P2962" i="1"/>
  <c r="N2962" i="1"/>
  <c r="BO2962" i="1"/>
  <c r="BN2962" i="1"/>
  <c r="DG3138" i="1"/>
  <c r="DA3138" i="1"/>
  <c r="T3138" i="1"/>
  <c r="S3138" i="1"/>
  <c r="Q3138" i="1"/>
  <c r="P3138" i="1"/>
  <c r="N3138" i="1"/>
  <c r="BO3138" i="1"/>
  <c r="BN3138" i="1"/>
  <c r="DG2963" i="1"/>
  <c r="DA2963" i="1"/>
  <c r="T2963" i="1"/>
  <c r="S2963" i="1"/>
  <c r="Q2963" i="1"/>
  <c r="P2963" i="1"/>
  <c r="N2963" i="1"/>
  <c r="BO2963" i="1"/>
  <c r="BN2963" i="1"/>
  <c r="DG3139" i="1"/>
  <c r="DA3139" i="1"/>
  <c r="T3139" i="1"/>
  <c r="S3139" i="1"/>
  <c r="Q3139" i="1"/>
  <c r="P3139" i="1"/>
  <c r="N3139" i="1"/>
  <c r="BO3139" i="1"/>
  <c r="BN3139" i="1"/>
  <c r="DG2874" i="1"/>
  <c r="DA2874" i="1"/>
  <c r="T2874" i="1"/>
  <c r="S2874" i="1"/>
  <c r="Q2874" i="1"/>
  <c r="P2874" i="1"/>
  <c r="N2874" i="1"/>
  <c r="BO2874" i="1"/>
  <c r="BN2874" i="1"/>
  <c r="DG2830" i="1"/>
  <c r="DA2830" i="1"/>
  <c r="T2830" i="1"/>
  <c r="S2830" i="1"/>
  <c r="Q2830" i="1"/>
  <c r="P2830" i="1"/>
  <c r="N2830" i="1"/>
  <c r="BO2830" i="1"/>
  <c r="BN2830" i="1"/>
  <c r="DG3141" i="1"/>
  <c r="DA3141" i="1"/>
  <c r="T3141" i="1"/>
  <c r="S3141" i="1"/>
  <c r="Q3141" i="1"/>
  <c r="P3141" i="1"/>
  <c r="N3141" i="1"/>
  <c r="BO3141" i="1"/>
  <c r="BN3141" i="1"/>
  <c r="DG2964" i="1"/>
  <c r="DA2964" i="1"/>
  <c r="T2964" i="1"/>
  <c r="S2964" i="1"/>
  <c r="Q2964" i="1"/>
  <c r="P2964" i="1"/>
  <c r="N2964" i="1"/>
  <c r="BO2964" i="1"/>
  <c r="BN2964" i="1"/>
  <c r="DG2797" i="1"/>
  <c r="DA2797" i="1"/>
  <c r="T2797" i="1"/>
  <c r="S2797" i="1"/>
  <c r="Q2797" i="1"/>
  <c r="P2797" i="1"/>
  <c r="N2797" i="1"/>
  <c r="BO2797" i="1"/>
  <c r="BN2797" i="1"/>
  <c r="DG3142" i="1"/>
  <c r="DA3142" i="1"/>
  <c r="T3142" i="1"/>
  <c r="S3142" i="1"/>
  <c r="Q3142" i="1"/>
  <c r="P3142" i="1"/>
  <c r="N3142" i="1"/>
  <c r="BO3142" i="1"/>
  <c r="BN3142" i="1"/>
  <c r="DG2808" i="1"/>
  <c r="DA2808" i="1"/>
  <c r="T2808" i="1"/>
  <c r="S2808" i="1"/>
  <c r="Q2808" i="1"/>
  <c r="P2808" i="1"/>
  <c r="N2808" i="1"/>
  <c r="BO2808" i="1"/>
  <c r="BN2808" i="1"/>
  <c r="DG3143" i="1"/>
  <c r="DA3143" i="1"/>
  <c r="T3143" i="1"/>
  <c r="S3143" i="1"/>
  <c r="Q3143" i="1"/>
  <c r="P3143" i="1"/>
  <c r="N3143" i="1"/>
  <c r="BO3143" i="1"/>
  <c r="BN3143" i="1"/>
  <c r="DG736" i="1"/>
  <c r="DA736" i="1"/>
  <c r="T736" i="1"/>
  <c r="S736" i="1"/>
  <c r="Q736" i="1"/>
  <c r="P736" i="1"/>
  <c r="N736" i="1"/>
  <c r="BO736" i="1"/>
  <c r="BN736" i="1"/>
  <c r="DG2875" i="1"/>
  <c r="DA2875" i="1"/>
  <c r="T2875" i="1"/>
  <c r="S2875" i="1"/>
  <c r="Q2875" i="1"/>
  <c r="P2875" i="1"/>
  <c r="N2875" i="1"/>
  <c r="BO2875" i="1"/>
  <c r="BN2875" i="1"/>
  <c r="DG2965" i="1"/>
  <c r="DA2965" i="1"/>
  <c r="T2965" i="1"/>
  <c r="S2965" i="1"/>
  <c r="Q2965" i="1"/>
  <c r="P2965" i="1"/>
  <c r="N2965" i="1"/>
  <c r="BO2965" i="1"/>
  <c r="BN2965" i="1"/>
  <c r="DG2433" i="1"/>
  <c r="DA2433" i="1"/>
  <c r="T2433" i="1"/>
  <c r="S2433" i="1"/>
  <c r="Q2433" i="1"/>
  <c r="P2433" i="1"/>
  <c r="N2433" i="1"/>
  <c r="BO2433" i="1"/>
  <c r="BN2433" i="1"/>
  <c r="DG3144" i="1"/>
  <c r="DA3144" i="1"/>
  <c r="T3144" i="1"/>
  <c r="S3144" i="1"/>
  <c r="Q3144" i="1"/>
  <c r="P3144" i="1"/>
  <c r="N3144" i="1"/>
  <c r="BO3144" i="1"/>
  <c r="BN3144" i="1"/>
  <c r="DG2432" i="1"/>
  <c r="DA2432" i="1"/>
  <c r="T2432" i="1"/>
  <c r="S2432" i="1"/>
  <c r="Q2432" i="1"/>
  <c r="P2432" i="1"/>
  <c r="N2432" i="1"/>
  <c r="BO2432" i="1"/>
  <c r="BN2432" i="1"/>
  <c r="DG2431" i="1"/>
  <c r="DA2431" i="1"/>
  <c r="T2431" i="1"/>
  <c r="S2431" i="1"/>
  <c r="Q2431" i="1"/>
  <c r="P2431" i="1"/>
  <c r="N2431" i="1"/>
  <c r="BO2431" i="1"/>
  <c r="BN2431" i="1"/>
  <c r="DG3145" i="1"/>
  <c r="DA3145" i="1"/>
  <c r="T3145" i="1"/>
  <c r="S3145" i="1"/>
  <c r="Q3145" i="1"/>
  <c r="P3145" i="1"/>
  <c r="N3145" i="1"/>
  <c r="BO3145" i="1"/>
  <c r="BN3145" i="1"/>
  <c r="DG2966" i="1"/>
  <c r="DA2966" i="1"/>
  <c r="T2966" i="1"/>
  <c r="S2966" i="1"/>
  <c r="Q2966" i="1"/>
  <c r="P2966" i="1"/>
  <c r="N2966" i="1"/>
  <c r="BO2966" i="1"/>
  <c r="BN2966" i="1"/>
  <c r="DG2429" i="1"/>
  <c r="DA2429" i="1"/>
  <c r="T2429" i="1"/>
  <c r="S2429" i="1"/>
  <c r="Q2429" i="1"/>
  <c r="P2429" i="1"/>
  <c r="N2429" i="1"/>
  <c r="BO2429" i="1"/>
  <c r="BN2429" i="1"/>
  <c r="DG2787" i="1"/>
  <c r="DA2787" i="1"/>
  <c r="T2787" i="1"/>
  <c r="S2787" i="1"/>
  <c r="Q2787" i="1"/>
  <c r="P2787" i="1"/>
  <c r="N2787" i="1"/>
  <c r="BO2787" i="1"/>
  <c r="BN2787" i="1"/>
  <c r="DG2428" i="1"/>
  <c r="DA2428" i="1"/>
  <c r="T2428" i="1"/>
  <c r="S2428" i="1"/>
  <c r="Q2428" i="1"/>
  <c r="P2428" i="1"/>
  <c r="N2428" i="1"/>
  <c r="BO2428" i="1"/>
  <c r="BN2428" i="1"/>
  <c r="DG3026" i="1"/>
  <c r="DA3026" i="1"/>
  <c r="T3026" i="1"/>
  <c r="S3026" i="1"/>
  <c r="Q3026" i="1"/>
  <c r="P3026" i="1"/>
  <c r="N3026" i="1"/>
  <c r="BO3026" i="1"/>
  <c r="BN3026" i="1"/>
  <c r="DG2427" i="1"/>
  <c r="DA2427" i="1"/>
  <c r="T2427" i="1"/>
  <c r="S2427" i="1"/>
  <c r="Q2427" i="1"/>
  <c r="P2427" i="1"/>
  <c r="N2427" i="1"/>
  <c r="BO2427" i="1"/>
  <c r="BN2427" i="1"/>
  <c r="DG3028" i="1"/>
  <c r="DA3028" i="1"/>
  <c r="T3028" i="1"/>
  <c r="S3028" i="1"/>
  <c r="Q3028" i="1"/>
  <c r="P3028" i="1"/>
  <c r="N3028" i="1"/>
  <c r="BO3028" i="1"/>
  <c r="BN3028" i="1"/>
  <c r="DG2967" i="1"/>
  <c r="DA2967" i="1"/>
  <c r="T2967" i="1"/>
  <c r="S2967" i="1"/>
  <c r="Q2967" i="1"/>
  <c r="P2967" i="1"/>
  <c r="N2967" i="1"/>
  <c r="BO2967" i="1"/>
  <c r="BN2967" i="1"/>
  <c r="DG2426" i="1"/>
  <c r="DA2426" i="1"/>
  <c r="T2426" i="1"/>
  <c r="S2426" i="1"/>
  <c r="Q2426" i="1"/>
  <c r="P2426" i="1"/>
  <c r="N2426" i="1"/>
  <c r="BO2426" i="1"/>
  <c r="BN2426" i="1"/>
  <c r="DG2786" i="1"/>
  <c r="DA2786" i="1"/>
  <c r="T2786" i="1"/>
  <c r="S2786" i="1"/>
  <c r="Q2786" i="1"/>
  <c r="P2786" i="1"/>
  <c r="N2786" i="1"/>
  <c r="BO2786" i="1"/>
  <c r="BN2786" i="1"/>
  <c r="DG2876" i="1"/>
  <c r="DA2876" i="1"/>
  <c r="T2876" i="1"/>
  <c r="S2876" i="1"/>
  <c r="Q2876" i="1"/>
  <c r="P2876" i="1"/>
  <c r="N2876" i="1"/>
  <c r="BO2876" i="1"/>
  <c r="BN2876" i="1"/>
  <c r="DG2425" i="1"/>
  <c r="DA2425" i="1"/>
  <c r="T2425" i="1"/>
  <c r="S2425" i="1"/>
  <c r="Q2425" i="1"/>
  <c r="P2425" i="1"/>
  <c r="N2425" i="1"/>
  <c r="BO2425" i="1"/>
  <c r="BN2425" i="1"/>
  <c r="DG2831" i="1"/>
  <c r="DA2831" i="1"/>
  <c r="T2831" i="1"/>
  <c r="S2831" i="1"/>
  <c r="Q2831" i="1"/>
  <c r="P2831" i="1"/>
  <c r="N2831" i="1"/>
  <c r="BO2831" i="1"/>
  <c r="BN2831" i="1"/>
  <c r="DG2785" i="1"/>
  <c r="DA2785" i="1"/>
  <c r="T2785" i="1"/>
  <c r="S2785" i="1"/>
  <c r="Q2785" i="1"/>
  <c r="P2785" i="1"/>
  <c r="N2785" i="1"/>
  <c r="BO2785" i="1"/>
  <c r="BN2785" i="1"/>
  <c r="DG2424" i="1"/>
  <c r="DA2424" i="1"/>
  <c r="T2424" i="1"/>
  <c r="S2424" i="1"/>
  <c r="Q2424" i="1"/>
  <c r="P2424" i="1"/>
  <c r="N2424" i="1"/>
  <c r="BO2424" i="1"/>
  <c r="BN2424" i="1"/>
  <c r="DG3180" i="1"/>
  <c r="DA3180" i="1"/>
  <c r="T3180" i="1"/>
  <c r="S3180" i="1"/>
  <c r="Q3180" i="1"/>
  <c r="P3180" i="1"/>
  <c r="N3180" i="1"/>
  <c r="BO3180" i="1"/>
  <c r="BN3180" i="1"/>
  <c r="DG3179" i="1"/>
  <c r="DA3179" i="1"/>
  <c r="T3179" i="1"/>
  <c r="S3179" i="1"/>
  <c r="Q3179" i="1"/>
  <c r="P3179" i="1"/>
  <c r="N3179" i="1"/>
  <c r="BO3179" i="1"/>
  <c r="BN3179" i="1"/>
  <c r="DG3178" i="1"/>
  <c r="DA3178" i="1"/>
  <c r="T3178" i="1"/>
  <c r="S3178" i="1"/>
  <c r="Q3178" i="1"/>
  <c r="P3178" i="1"/>
  <c r="N3178" i="1"/>
  <c r="BO3178" i="1"/>
  <c r="BN3178" i="1"/>
  <c r="DG2423" i="1"/>
  <c r="DA2423" i="1"/>
  <c r="T2423" i="1"/>
  <c r="S2423" i="1"/>
  <c r="Q2423" i="1"/>
  <c r="P2423" i="1"/>
  <c r="N2423" i="1"/>
  <c r="BO2423" i="1"/>
  <c r="BN2423" i="1"/>
  <c r="DG3150" i="1"/>
  <c r="DA3150" i="1"/>
  <c r="T3150" i="1"/>
  <c r="S3150" i="1"/>
  <c r="Q3150" i="1"/>
  <c r="P3150" i="1"/>
  <c r="N3150" i="1"/>
  <c r="BO3150" i="1"/>
  <c r="BN3150" i="1"/>
  <c r="DG2495" i="1"/>
  <c r="DA2495" i="1"/>
  <c r="T2495" i="1"/>
  <c r="S2495" i="1"/>
  <c r="Q2495" i="1"/>
  <c r="P2495" i="1"/>
  <c r="N2495" i="1"/>
  <c r="BO2495" i="1"/>
  <c r="BN2495" i="1"/>
  <c r="DG3187" i="1"/>
  <c r="DA3187" i="1"/>
  <c r="T3187" i="1"/>
  <c r="S3187" i="1"/>
  <c r="Q3187" i="1"/>
  <c r="P3187" i="1"/>
  <c r="N3187" i="1"/>
  <c r="BO3187" i="1"/>
  <c r="BN3187" i="1"/>
  <c r="DG2784" i="1"/>
  <c r="DA2784" i="1"/>
  <c r="T2784" i="1"/>
  <c r="S2784" i="1"/>
  <c r="Q2784" i="1"/>
  <c r="P2784" i="1"/>
  <c r="N2784" i="1"/>
  <c r="BO2784" i="1"/>
  <c r="BN2784" i="1"/>
  <c r="DG2422" i="1"/>
  <c r="DA2422" i="1"/>
  <c r="T2422" i="1"/>
  <c r="S2422" i="1"/>
  <c r="Q2422" i="1"/>
  <c r="P2422" i="1"/>
  <c r="N2422" i="1"/>
  <c r="BO2422" i="1"/>
  <c r="BN2422" i="1"/>
  <c r="DG3181" i="1"/>
  <c r="DA3181" i="1"/>
  <c r="T3181" i="1"/>
  <c r="S3181" i="1"/>
  <c r="Q3181" i="1"/>
  <c r="P3181" i="1"/>
  <c r="N3181" i="1"/>
  <c r="BO3181" i="1"/>
  <c r="BN3181" i="1"/>
  <c r="DG2968" i="1"/>
  <c r="DA2968" i="1"/>
  <c r="T2968" i="1"/>
  <c r="S2968" i="1"/>
  <c r="Q2968" i="1"/>
  <c r="P2968" i="1"/>
  <c r="N2968" i="1"/>
  <c r="BO2968" i="1"/>
  <c r="BN2968" i="1"/>
  <c r="DG3186" i="1"/>
  <c r="DA3186" i="1"/>
  <c r="T3186" i="1"/>
  <c r="S3186" i="1"/>
  <c r="Q3186" i="1"/>
  <c r="P3186" i="1"/>
  <c r="N3186" i="1"/>
  <c r="BO3186" i="1"/>
  <c r="BN3186" i="1"/>
  <c r="DG3183" i="1"/>
  <c r="DA3183" i="1"/>
  <c r="T3183" i="1"/>
  <c r="S3183" i="1"/>
  <c r="Q3183" i="1"/>
  <c r="P3183" i="1"/>
  <c r="N3183" i="1"/>
  <c r="BO3183" i="1"/>
  <c r="BN3183" i="1"/>
  <c r="DG2421" i="1"/>
  <c r="DA2421" i="1"/>
  <c r="T2421" i="1"/>
  <c r="S2421" i="1"/>
  <c r="Q2421" i="1"/>
  <c r="P2421" i="1"/>
  <c r="N2421" i="1"/>
  <c r="BO2421" i="1"/>
  <c r="BN2421" i="1"/>
  <c r="DG3185" i="1"/>
  <c r="DA3185" i="1"/>
  <c r="T3185" i="1"/>
  <c r="S3185" i="1"/>
  <c r="Q3185" i="1"/>
  <c r="P3185" i="1"/>
  <c r="N3185" i="1"/>
  <c r="BO3185" i="1"/>
  <c r="BN3185" i="1"/>
  <c r="DG3184" i="1"/>
  <c r="DA3184" i="1"/>
  <c r="T3184" i="1"/>
  <c r="S3184" i="1"/>
  <c r="Q3184" i="1"/>
  <c r="P3184" i="1"/>
  <c r="N3184" i="1"/>
  <c r="BO3184" i="1"/>
  <c r="BN3184" i="1"/>
  <c r="DG3190" i="1"/>
  <c r="DA3190" i="1"/>
  <c r="T3190" i="1"/>
  <c r="S3190" i="1"/>
  <c r="Q3190" i="1"/>
  <c r="P3190" i="1"/>
  <c r="N3190" i="1"/>
  <c r="BO3190" i="1"/>
  <c r="BN3190" i="1"/>
  <c r="DG2783" i="1"/>
  <c r="DA2783" i="1"/>
  <c r="T2783" i="1"/>
  <c r="S2783" i="1"/>
  <c r="Q2783" i="1"/>
  <c r="P2783" i="1"/>
  <c r="N2783" i="1"/>
  <c r="BO2783" i="1"/>
  <c r="BN2783" i="1"/>
  <c r="DG2420" i="1"/>
  <c r="DA2420" i="1"/>
  <c r="T2420" i="1"/>
  <c r="S2420" i="1"/>
  <c r="Q2420" i="1"/>
  <c r="P2420" i="1"/>
  <c r="N2420" i="1"/>
  <c r="BO2420" i="1"/>
  <c r="BN2420" i="1"/>
  <c r="DG2497" i="1"/>
  <c r="DA2497" i="1"/>
  <c r="T2497" i="1"/>
  <c r="S2497" i="1"/>
  <c r="Q2497" i="1"/>
  <c r="P2497" i="1"/>
  <c r="N2497" i="1"/>
  <c r="BO2497" i="1"/>
  <c r="BN2497" i="1"/>
  <c r="DG2498" i="1"/>
  <c r="DA2498" i="1"/>
  <c r="T2498" i="1"/>
  <c r="S2498" i="1"/>
  <c r="Q2498" i="1"/>
  <c r="P2498" i="1"/>
  <c r="N2498" i="1"/>
  <c r="BO2498" i="1"/>
  <c r="BN2498" i="1"/>
  <c r="DG2496" i="1"/>
  <c r="DA2496" i="1"/>
  <c r="T2496" i="1"/>
  <c r="S2496" i="1"/>
  <c r="Q2496" i="1"/>
  <c r="P2496" i="1"/>
  <c r="N2496" i="1"/>
  <c r="BO2496" i="1"/>
  <c r="BN2496" i="1"/>
  <c r="DG3191" i="1"/>
  <c r="DA3191" i="1"/>
  <c r="T3191" i="1"/>
  <c r="S3191" i="1"/>
  <c r="Q3191" i="1"/>
  <c r="P3191" i="1"/>
  <c r="N3191" i="1"/>
  <c r="BO3191" i="1"/>
  <c r="BN3191" i="1"/>
  <c r="DG2419" i="1"/>
  <c r="DA2419" i="1"/>
  <c r="T2419" i="1"/>
  <c r="S2419" i="1"/>
  <c r="Q2419" i="1"/>
  <c r="P2419" i="1"/>
  <c r="N2419" i="1"/>
  <c r="BO2419" i="1"/>
  <c r="BN2419" i="1"/>
  <c r="DG3146" i="1"/>
  <c r="DA3146" i="1"/>
  <c r="T3146" i="1"/>
  <c r="S3146" i="1"/>
  <c r="Q3146" i="1"/>
  <c r="P3146" i="1"/>
  <c r="N3146" i="1"/>
  <c r="BO3146" i="1"/>
  <c r="BN3146" i="1"/>
  <c r="DG3177" i="1"/>
  <c r="DA3177" i="1"/>
  <c r="T3177" i="1"/>
  <c r="S3177" i="1"/>
  <c r="Q3177" i="1"/>
  <c r="P3177" i="1"/>
  <c r="N3177" i="1"/>
  <c r="BO3177" i="1"/>
  <c r="BN3177" i="1"/>
  <c r="DG3176" i="1"/>
  <c r="DA3176" i="1"/>
  <c r="T3176" i="1"/>
  <c r="S3176" i="1"/>
  <c r="Q3176" i="1"/>
  <c r="P3176" i="1"/>
  <c r="N3176" i="1"/>
  <c r="BO3176" i="1"/>
  <c r="BN3176" i="1"/>
  <c r="DG3175" i="1"/>
  <c r="DA3175" i="1"/>
  <c r="T3175" i="1"/>
  <c r="S3175" i="1"/>
  <c r="Q3175" i="1"/>
  <c r="P3175" i="1"/>
  <c r="N3175" i="1"/>
  <c r="BO3175" i="1"/>
  <c r="BN3175" i="1"/>
  <c r="DG3169" i="1"/>
  <c r="DA3169" i="1"/>
  <c r="T3169" i="1"/>
  <c r="S3169" i="1"/>
  <c r="Q3169" i="1"/>
  <c r="P3169" i="1"/>
  <c r="N3169" i="1"/>
  <c r="BO3169" i="1"/>
  <c r="BN3169" i="1"/>
  <c r="DG2782" i="1"/>
  <c r="DA2782" i="1"/>
  <c r="T2782" i="1"/>
  <c r="S2782" i="1"/>
  <c r="Q2782" i="1"/>
  <c r="P2782" i="1"/>
  <c r="N2782" i="1"/>
  <c r="BO2782" i="1"/>
  <c r="BN2782" i="1"/>
  <c r="DG2418" i="1"/>
  <c r="DA2418" i="1"/>
  <c r="T2418" i="1"/>
  <c r="S2418" i="1"/>
  <c r="Q2418" i="1"/>
  <c r="P2418" i="1"/>
  <c r="N2418" i="1"/>
  <c r="BO2418" i="1"/>
  <c r="BN2418" i="1"/>
  <c r="DG2877" i="1"/>
  <c r="DA2877" i="1"/>
  <c r="T2877" i="1"/>
  <c r="S2877" i="1"/>
  <c r="Q2877" i="1"/>
  <c r="P2877" i="1"/>
  <c r="N2877" i="1"/>
  <c r="BO2877" i="1"/>
  <c r="BN2877" i="1"/>
  <c r="DG2969" i="1"/>
  <c r="DA2969" i="1"/>
  <c r="T2969" i="1"/>
  <c r="S2969" i="1"/>
  <c r="Q2969" i="1"/>
  <c r="P2969" i="1"/>
  <c r="N2969" i="1"/>
  <c r="BO2969" i="1"/>
  <c r="BN2969" i="1"/>
  <c r="DG3174" i="1"/>
  <c r="DA3174" i="1"/>
  <c r="T3174" i="1"/>
  <c r="S3174" i="1"/>
  <c r="Q3174" i="1"/>
  <c r="P3174" i="1"/>
  <c r="N3174" i="1"/>
  <c r="BO3174" i="1"/>
  <c r="BN3174" i="1"/>
  <c r="DG3171" i="1"/>
  <c r="DA3171" i="1"/>
  <c r="T3171" i="1"/>
  <c r="S3171" i="1"/>
  <c r="Q3171" i="1"/>
  <c r="P3171" i="1"/>
  <c r="N3171" i="1"/>
  <c r="BO3171" i="1"/>
  <c r="BN3171" i="1"/>
  <c r="DG2417" i="1"/>
  <c r="DA2417" i="1"/>
  <c r="T2417" i="1"/>
  <c r="S2417" i="1"/>
  <c r="Q2417" i="1"/>
  <c r="P2417" i="1"/>
  <c r="N2417" i="1"/>
  <c r="BO2417" i="1"/>
  <c r="BN2417" i="1"/>
  <c r="DG3173" i="1"/>
  <c r="DA3173" i="1"/>
  <c r="T3173" i="1"/>
  <c r="S3173" i="1"/>
  <c r="Q3173" i="1"/>
  <c r="P3173" i="1"/>
  <c r="N3173" i="1"/>
  <c r="BO3173" i="1"/>
  <c r="BN3173" i="1"/>
  <c r="DG3170" i="1"/>
  <c r="DA3170" i="1"/>
  <c r="T3170" i="1"/>
  <c r="S3170" i="1"/>
  <c r="Q3170" i="1"/>
  <c r="P3170" i="1"/>
  <c r="N3170" i="1"/>
  <c r="BO3170" i="1"/>
  <c r="BN3170" i="1"/>
  <c r="DG740" i="1"/>
  <c r="DA740" i="1"/>
  <c r="T740" i="1"/>
  <c r="S740" i="1"/>
  <c r="Q740" i="1"/>
  <c r="P740" i="1"/>
  <c r="N740" i="1"/>
  <c r="BO740" i="1"/>
  <c r="BN740" i="1"/>
  <c r="DG2781" i="1"/>
  <c r="DA2781" i="1"/>
  <c r="T2781" i="1"/>
  <c r="S2781" i="1"/>
  <c r="Q2781" i="1"/>
  <c r="P2781" i="1"/>
  <c r="N2781" i="1"/>
  <c r="BO2781" i="1"/>
  <c r="BN2781" i="1"/>
  <c r="DG2416" i="1"/>
  <c r="DA2416" i="1"/>
  <c r="T2416" i="1"/>
  <c r="S2416" i="1"/>
  <c r="Q2416" i="1"/>
  <c r="P2416" i="1"/>
  <c r="N2416" i="1"/>
  <c r="BO2416" i="1"/>
  <c r="BN2416" i="1"/>
  <c r="DG3161" i="1"/>
  <c r="DA3161" i="1"/>
  <c r="T3161" i="1"/>
  <c r="S3161" i="1"/>
  <c r="Q3161" i="1"/>
  <c r="P3161" i="1"/>
  <c r="N3161" i="1"/>
  <c r="BO3161" i="1"/>
  <c r="BN3161" i="1"/>
  <c r="DG3160" i="1"/>
  <c r="DA3160" i="1"/>
  <c r="T3160" i="1"/>
  <c r="S3160" i="1"/>
  <c r="Q3160" i="1"/>
  <c r="P3160" i="1"/>
  <c r="N3160" i="1"/>
  <c r="BO3160" i="1"/>
  <c r="BN3160" i="1"/>
  <c r="DG2415" i="1"/>
  <c r="DA2415" i="1"/>
  <c r="T2415" i="1"/>
  <c r="S2415" i="1"/>
  <c r="Q2415" i="1"/>
  <c r="P2415" i="1"/>
  <c r="N2415" i="1"/>
  <c r="BO2415" i="1"/>
  <c r="BN2415" i="1"/>
  <c r="DG3155" i="1"/>
  <c r="DA3155" i="1"/>
  <c r="T3155" i="1"/>
  <c r="S3155" i="1"/>
  <c r="Q3155" i="1"/>
  <c r="P3155" i="1"/>
  <c r="N3155" i="1"/>
  <c r="BO3155" i="1"/>
  <c r="BN3155" i="1"/>
  <c r="DG3153" i="1"/>
  <c r="DA3153" i="1"/>
  <c r="T3153" i="1"/>
  <c r="S3153" i="1"/>
  <c r="Q3153" i="1"/>
  <c r="P3153" i="1"/>
  <c r="N3153" i="1"/>
  <c r="BO3153" i="1"/>
  <c r="BN3153" i="1"/>
  <c r="DG3167" i="1"/>
  <c r="DA3167" i="1"/>
  <c r="T3167" i="1"/>
  <c r="S3167" i="1"/>
  <c r="Q3167" i="1"/>
  <c r="P3167" i="1"/>
  <c r="N3167" i="1"/>
  <c r="BO3167" i="1"/>
  <c r="BN3167" i="1"/>
  <c r="DG3159" i="1"/>
  <c r="DA3159" i="1"/>
  <c r="T3159" i="1"/>
  <c r="S3159" i="1"/>
  <c r="Q3159" i="1"/>
  <c r="P3159" i="1"/>
  <c r="N3159" i="1"/>
  <c r="BO3159" i="1"/>
  <c r="BN3159" i="1"/>
  <c r="DG2780" i="1"/>
  <c r="DA2780" i="1"/>
  <c r="T2780" i="1"/>
  <c r="S2780" i="1"/>
  <c r="Q2780" i="1"/>
  <c r="P2780" i="1"/>
  <c r="N2780" i="1"/>
  <c r="BO2780" i="1"/>
  <c r="BN2780" i="1"/>
  <c r="DG2414" i="1"/>
  <c r="DA2414" i="1"/>
  <c r="T2414" i="1"/>
  <c r="S2414" i="1"/>
  <c r="Q2414" i="1"/>
  <c r="P2414" i="1"/>
  <c r="N2414" i="1"/>
  <c r="BO2414" i="1"/>
  <c r="BN2414" i="1"/>
  <c r="DG3157" i="1"/>
  <c r="DA3157" i="1"/>
  <c r="T3157" i="1"/>
  <c r="S3157" i="1"/>
  <c r="Q3157" i="1"/>
  <c r="P3157" i="1"/>
  <c r="N3157" i="1"/>
  <c r="BO3157" i="1"/>
  <c r="BN3157" i="1"/>
  <c r="DG2970" i="1"/>
  <c r="DA2970" i="1"/>
  <c r="T2970" i="1"/>
  <c r="S2970" i="1"/>
  <c r="Q2970" i="1"/>
  <c r="P2970" i="1"/>
  <c r="N2970" i="1"/>
  <c r="BO2970" i="1"/>
  <c r="BN2970" i="1"/>
  <c r="DG3166" i="1"/>
  <c r="DA3166" i="1"/>
  <c r="T3166" i="1"/>
  <c r="S3166" i="1"/>
  <c r="Q3166" i="1"/>
  <c r="P3166" i="1"/>
  <c r="N3166" i="1"/>
  <c r="BO3166" i="1"/>
  <c r="BN3166" i="1"/>
  <c r="DG3163" i="1"/>
  <c r="DA3163" i="1"/>
  <c r="T3163" i="1"/>
  <c r="S3163" i="1"/>
  <c r="Q3163" i="1"/>
  <c r="P3163" i="1"/>
  <c r="N3163" i="1"/>
  <c r="BO3163" i="1"/>
  <c r="BN3163" i="1"/>
  <c r="DG3165" i="1"/>
  <c r="DA3165" i="1"/>
  <c r="T3165" i="1"/>
  <c r="S3165" i="1"/>
  <c r="Q3165" i="1"/>
  <c r="P3165" i="1"/>
  <c r="N3165" i="1"/>
  <c r="BO3165" i="1"/>
  <c r="BN3165" i="1"/>
  <c r="DG3164" i="1"/>
  <c r="DA3164" i="1"/>
  <c r="T3164" i="1"/>
  <c r="S3164" i="1"/>
  <c r="Q3164" i="1"/>
  <c r="P3164" i="1"/>
  <c r="N3164" i="1"/>
  <c r="BO3164" i="1"/>
  <c r="BN3164" i="1"/>
  <c r="DG3158" i="1"/>
  <c r="DA3158" i="1"/>
  <c r="T3158" i="1"/>
  <c r="S3158" i="1"/>
  <c r="Q3158" i="1"/>
  <c r="P3158" i="1"/>
  <c r="N3158" i="1"/>
  <c r="BO3158" i="1"/>
  <c r="BN3158" i="1"/>
  <c r="DG3156" i="1"/>
  <c r="DA3156" i="1"/>
  <c r="T3156" i="1"/>
  <c r="S3156" i="1"/>
  <c r="Q3156" i="1"/>
  <c r="P3156" i="1"/>
  <c r="N3156" i="1"/>
  <c r="BO3156" i="1"/>
  <c r="BN3156" i="1"/>
  <c r="DG2779" i="1"/>
  <c r="DA2779" i="1"/>
  <c r="T2779" i="1"/>
  <c r="S2779" i="1"/>
  <c r="Q2779" i="1"/>
  <c r="P2779" i="1"/>
  <c r="N2779" i="1"/>
  <c r="BO2779" i="1"/>
  <c r="BN2779" i="1"/>
  <c r="DG2412" i="1"/>
  <c r="DA2412" i="1"/>
  <c r="T2412" i="1"/>
  <c r="S2412" i="1"/>
  <c r="Q2412" i="1"/>
  <c r="P2412" i="1"/>
  <c r="N2412" i="1"/>
  <c r="BO2412" i="1"/>
  <c r="BN2412" i="1"/>
  <c r="DG2411" i="1"/>
  <c r="DA2411" i="1"/>
  <c r="T2411" i="1"/>
  <c r="S2411" i="1"/>
  <c r="Q2411" i="1"/>
  <c r="P2411" i="1"/>
  <c r="N2411" i="1"/>
  <c r="BO2411" i="1"/>
  <c r="BN2411" i="1"/>
  <c r="DG2208" i="1"/>
  <c r="DA2208" i="1"/>
  <c r="T2208" i="1"/>
  <c r="S2208" i="1"/>
  <c r="Q2208" i="1"/>
  <c r="P2208" i="1"/>
  <c r="N2208" i="1"/>
  <c r="BO2208" i="1"/>
  <c r="BN2208" i="1"/>
  <c r="DG2878" i="1"/>
  <c r="DA2878" i="1"/>
  <c r="T2878" i="1"/>
  <c r="S2878" i="1"/>
  <c r="Q2878" i="1"/>
  <c r="P2878" i="1"/>
  <c r="N2878" i="1"/>
  <c r="BO2878" i="1"/>
  <c r="BN2878" i="1"/>
  <c r="DG2778" i="1"/>
  <c r="DA2778" i="1"/>
  <c r="T2778" i="1"/>
  <c r="S2778" i="1"/>
  <c r="Q2778" i="1"/>
  <c r="P2778" i="1"/>
  <c r="N2778" i="1"/>
  <c r="BO2778" i="1"/>
  <c r="BN2778" i="1"/>
  <c r="DG2410" i="1"/>
  <c r="DA2410" i="1"/>
  <c r="T2410" i="1"/>
  <c r="S2410" i="1"/>
  <c r="Q2410" i="1"/>
  <c r="P2410" i="1"/>
  <c r="N2410" i="1"/>
  <c r="BO2410" i="1"/>
  <c r="BN2410" i="1"/>
  <c r="DG2971" i="1"/>
  <c r="DA2971" i="1"/>
  <c r="T2971" i="1"/>
  <c r="S2971" i="1"/>
  <c r="Q2971" i="1"/>
  <c r="P2971" i="1"/>
  <c r="N2971" i="1"/>
  <c r="BO2971" i="1"/>
  <c r="BN2971" i="1"/>
  <c r="DG2809" i="1"/>
  <c r="DA2809" i="1"/>
  <c r="T2809" i="1"/>
  <c r="S2809" i="1"/>
  <c r="Q2809" i="1"/>
  <c r="P2809" i="1"/>
  <c r="N2809" i="1"/>
  <c r="BO2809" i="1"/>
  <c r="BN2809" i="1"/>
  <c r="DG2832" i="1"/>
  <c r="DA2832" i="1"/>
  <c r="T2832" i="1"/>
  <c r="S2832" i="1"/>
  <c r="Q2832" i="1"/>
  <c r="P2832" i="1"/>
  <c r="N2832" i="1"/>
  <c r="BO2832" i="1"/>
  <c r="BN2832" i="1"/>
  <c r="DG2409" i="1"/>
  <c r="DA2409" i="1"/>
  <c r="T2409" i="1"/>
  <c r="S2409" i="1"/>
  <c r="Q2409" i="1"/>
  <c r="P2409" i="1"/>
  <c r="N2409" i="1"/>
  <c r="BO2409" i="1"/>
  <c r="BN2409" i="1"/>
  <c r="DG2408" i="1"/>
  <c r="DA2408" i="1"/>
  <c r="T2408" i="1"/>
  <c r="S2408" i="1"/>
  <c r="Q2408" i="1"/>
  <c r="P2408" i="1"/>
  <c r="N2408" i="1"/>
  <c r="BO2408" i="1"/>
  <c r="BN2408" i="1"/>
  <c r="DG2777" i="1"/>
  <c r="DA2777" i="1"/>
  <c r="T2777" i="1"/>
  <c r="S2777" i="1"/>
  <c r="Q2777" i="1"/>
  <c r="P2777" i="1"/>
  <c r="N2777" i="1"/>
  <c r="BO2777" i="1"/>
  <c r="BN2777" i="1"/>
  <c r="DG2407" i="1"/>
  <c r="DA2407" i="1"/>
  <c r="T2407" i="1"/>
  <c r="S2407" i="1"/>
  <c r="Q2407" i="1"/>
  <c r="P2407" i="1"/>
  <c r="N2407" i="1"/>
  <c r="BO2407" i="1"/>
  <c r="BN2407" i="1"/>
  <c r="DG2972" i="1"/>
  <c r="DA2972" i="1"/>
  <c r="T2972" i="1"/>
  <c r="S2972" i="1"/>
  <c r="Q2972" i="1"/>
  <c r="P2972" i="1"/>
  <c r="N2972" i="1"/>
  <c r="BO2972" i="1"/>
  <c r="BN2972" i="1"/>
  <c r="DG2406" i="1"/>
  <c r="DA2406" i="1"/>
  <c r="T2406" i="1"/>
  <c r="S2406" i="1"/>
  <c r="Q2406" i="1"/>
  <c r="P2406" i="1"/>
  <c r="N2406" i="1"/>
  <c r="BO2406" i="1"/>
  <c r="BN2406" i="1"/>
  <c r="DG2029" i="1"/>
  <c r="DA2029" i="1"/>
  <c r="T2029" i="1"/>
  <c r="S2029" i="1"/>
  <c r="Q2029" i="1"/>
  <c r="P2029" i="1"/>
  <c r="N2029" i="1"/>
  <c r="BO2029" i="1"/>
  <c r="BN2029" i="1"/>
  <c r="DG2776" i="1"/>
  <c r="DA2776" i="1"/>
  <c r="T2776" i="1"/>
  <c r="S2776" i="1"/>
  <c r="Q2776" i="1"/>
  <c r="P2776" i="1"/>
  <c r="N2776" i="1"/>
  <c r="BO2776" i="1"/>
  <c r="BN2776" i="1"/>
  <c r="DG2405" i="1"/>
  <c r="DA2405" i="1"/>
  <c r="T2405" i="1"/>
  <c r="S2405" i="1"/>
  <c r="Q2405" i="1"/>
  <c r="P2405" i="1"/>
  <c r="N2405" i="1"/>
  <c r="BO2405" i="1"/>
  <c r="BN2405" i="1"/>
  <c r="DG2023" i="1"/>
  <c r="DA2023" i="1"/>
  <c r="T2023" i="1"/>
  <c r="S2023" i="1"/>
  <c r="Q2023" i="1"/>
  <c r="P2023" i="1"/>
  <c r="N2023" i="1"/>
  <c r="BO2023" i="1"/>
  <c r="BN2023" i="1"/>
  <c r="DG2019" i="1"/>
  <c r="DA2019" i="1"/>
  <c r="T2019" i="1"/>
  <c r="S2019" i="1"/>
  <c r="Q2019" i="1"/>
  <c r="P2019" i="1"/>
  <c r="N2019" i="1"/>
  <c r="BO2019" i="1"/>
  <c r="BN2019" i="1"/>
  <c r="DG2017" i="1"/>
  <c r="DA2017" i="1"/>
  <c r="T2017" i="1"/>
  <c r="S2017" i="1"/>
  <c r="Q2017" i="1"/>
  <c r="P2017" i="1"/>
  <c r="N2017" i="1"/>
  <c r="BO2017" i="1"/>
  <c r="BN2017" i="1"/>
  <c r="DG2775" i="1"/>
  <c r="DA2775" i="1"/>
  <c r="T2775" i="1"/>
  <c r="S2775" i="1"/>
  <c r="Q2775" i="1"/>
  <c r="P2775" i="1"/>
  <c r="N2775" i="1"/>
  <c r="BO2775" i="1"/>
  <c r="BN2775" i="1"/>
  <c r="DG2404" i="1"/>
  <c r="DA2404" i="1"/>
  <c r="T2404" i="1"/>
  <c r="S2404" i="1"/>
  <c r="Q2404" i="1"/>
  <c r="P2404" i="1"/>
  <c r="N2404" i="1"/>
  <c r="BO2404" i="1"/>
  <c r="BN2404" i="1"/>
  <c r="DG2015" i="1"/>
  <c r="DA2015" i="1"/>
  <c r="T2015" i="1"/>
  <c r="S2015" i="1"/>
  <c r="Q2015" i="1"/>
  <c r="P2015" i="1"/>
  <c r="N2015" i="1"/>
  <c r="BO2015" i="1"/>
  <c r="BN2015" i="1"/>
  <c r="DG2012" i="1"/>
  <c r="DA2012" i="1"/>
  <c r="T2012" i="1"/>
  <c r="S2012" i="1"/>
  <c r="Q2012" i="1"/>
  <c r="P2012" i="1"/>
  <c r="N2012" i="1"/>
  <c r="BO2012" i="1"/>
  <c r="BN2012" i="1"/>
  <c r="DG2009" i="1"/>
  <c r="DA2009" i="1"/>
  <c r="T2009" i="1"/>
  <c r="S2009" i="1"/>
  <c r="Q2009" i="1"/>
  <c r="P2009" i="1"/>
  <c r="N2009" i="1"/>
  <c r="BO2009" i="1"/>
  <c r="BN2009" i="1"/>
  <c r="DG2403" i="1"/>
  <c r="DA2403" i="1"/>
  <c r="T2403" i="1"/>
  <c r="S2403" i="1"/>
  <c r="Q2403" i="1"/>
  <c r="P2403" i="1"/>
  <c r="N2403" i="1"/>
  <c r="BO2403" i="1"/>
  <c r="BN2403" i="1"/>
  <c r="DG2007" i="1"/>
  <c r="DA2007" i="1"/>
  <c r="T2007" i="1"/>
  <c r="S2007" i="1"/>
  <c r="Q2007" i="1"/>
  <c r="P2007" i="1"/>
  <c r="N2007" i="1"/>
  <c r="BO2007" i="1"/>
  <c r="BN2007" i="1"/>
  <c r="DG2004" i="1"/>
  <c r="DA2004" i="1"/>
  <c r="T2004" i="1"/>
  <c r="S2004" i="1"/>
  <c r="Q2004" i="1"/>
  <c r="P2004" i="1"/>
  <c r="N2004" i="1"/>
  <c r="BO2004" i="1"/>
  <c r="BN2004" i="1"/>
  <c r="DG2001" i="1"/>
  <c r="DA2001" i="1"/>
  <c r="T2001" i="1"/>
  <c r="S2001" i="1"/>
  <c r="Q2001" i="1"/>
  <c r="P2001" i="1"/>
  <c r="N2001" i="1"/>
  <c r="BO2001" i="1"/>
  <c r="BN2001" i="1"/>
  <c r="DG2774" i="1"/>
  <c r="DA2774" i="1"/>
  <c r="T2774" i="1"/>
  <c r="S2774" i="1"/>
  <c r="Q2774" i="1"/>
  <c r="P2774" i="1"/>
  <c r="N2774" i="1"/>
  <c r="BO2774" i="1"/>
  <c r="BN2774" i="1"/>
  <c r="DG2402" i="1"/>
  <c r="DA2402" i="1"/>
  <c r="T2402" i="1"/>
  <c r="S2402" i="1"/>
  <c r="Q2402" i="1"/>
  <c r="P2402" i="1"/>
  <c r="N2402" i="1"/>
  <c r="BO2402" i="1"/>
  <c r="BN2402" i="1"/>
  <c r="DG1999" i="1"/>
  <c r="DA1999" i="1"/>
  <c r="T1999" i="1"/>
  <c r="S1999" i="1"/>
  <c r="Q1999" i="1"/>
  <c r="P1999" i="1"/>
  <c r="N1999" i="1"/>
  <c r="BO1999" i="1"/>
  <c r="BN1999" i="1"/>
  <c r="DG1996" i="1"/>
  <c r="DA1996" i="1"/>
  <c r="T1996" i="1"/>
  <c r="S1996" i="1"/>
  <c r="Q1996" i="1"/>
  <c r="P1996" i="1"/>
  <c r="N1996" i="1"/>
  <c r="BO1996" i="1"/>
  <c r="BN1996" i="1"/>
  <c r="DG2973" i="1"/>
  <c r="DA2973" i="1"/>
  <c r="T2973" i="1"/>
  <c r="S2973" i="1"/>
  <c r="Q2973" i="1"/>
  <c r="P2973" i="1"/>
  <c r="N2973" i="1"/>
  <c r="BO2973" i="1"/>
  <c r="BN2973" i="1"/>
  <c r="DG2401" i="1"/>
  <c r="DA2401" i="1"/>
  <c r="T2401" i="1"/>
  <c r="S2401" i="1"/>
  <c r="Q2401" i="1"/>
  <c r="P2401" i="1"/>
  <c r="N2401" i="1"/>
  <c r="BO2401" i="1"/>
  <c r="BN2401" i="1"/>
  <c r="DG2879" i="1"/>
  <c r="DA2879" i="1"/>
  <c r="T2879" i="1"/>
  <c r="S2879" i="1"/>
  <c r="Q2879" i="1"/>
  <c r="P2879" i="1"/>
  <c r="N2879" i="1"/>
  <c r="BO2879" i="1"/>
  <c r="BN2879" i="1"/>
  <c r="DG1984" i="1"/>
  <c r="DA1984" i="1"/>
  <c r="T1984" i="1"/>
  <c r="S1984" i="1"/>
  <c r="Q1984" i="1"/>
  <c r="P1984" i="1"/>
  <c r="N1984" i="1"/>
  <c r="BO1984" i="1"/>
  <c r="BN1984" i="1"/>
  <c r="DG2773" i="1"/>
  <c r="DA2773" i="1"/>
  <c r="T2773" i="1"/>
  <c r="S2773" i="1"/>
  <c r="Q2773" i="1"/>
  <c r="P2773" i="1"/>
  <c r="N2773" i="1"/>
  <c r="BO2773" i="1"/>
  <c r="BN2773" i="1"/>
  <c r="DG2400" i="1"/>
  <c r="DA2400" i="1"/>
  <c r="T2400" i="1"/>
  <c r="S2400" i="1"/>
  <c r="Q2400" i="1"/>
  <c r="P2400" i="1"/>
  <c r="N2400" i="1"/>
  <c r="BO2400" i="1"/>
  <c r="BN2400" i="1"/>
  <c r="DG1982" i="1"/>
  <c r="DA1982" i="1"/>
  <c r="T1982" i="1"/>
  <c r="S1982" i="1"/>
  <c r="Q1982" i="1"/>
  <c r="P1982" i="1"/>
  <c r="N1982" i="1"/>
  <c r="BO1982" i="1"/>
  <c r="BN1982" i="1"/>
  <c r="DG737" i="1"/>
  <c r="DA737" i="1"/>
  <c r="T737" i="1"/>
  <c r="S737" i="1"/>
  <c r="Q737" i="1"/>
  <c r="P737" i="1"/>
  <c r="N737" i="1"/>
  <c r="BO737" i="1"/>
  <c r="BN737" i="1"/>
  <c r="DG1976" i="1"/>
  <c r="DA1976" i="1"/>
  <c r="T1976" i="1"/>
  <c r="S1976" i="1"/>
  <c r="Q1976" i="1"/>
  <c r="P1976" i="1"/>
  <c r="N1976" i="1"/>
  <c r="BO1976" i="1"/>
  <c r="BN1976" i="1"/>
  <c r="DG2399" i="1"/>
  <c r="DA2399" i="1"/>
  <c r="T2399" i="1"/>
  <c r="S2399" i="1"/>
  <c r="Q2399" i="1"/>
  <c r="P2399" i="1"/>
  <c r="N2399" i="1"/>
  <c r="BO2399" i="1"/>
  <c r="BN2399" i="1"/>
  <c r="DG1974" i="1"/>
  <c r="DA1974" i="1"/>
  <c r="T1974" i="1"/>
  <c r="S1974" i="1"/>
  <c r="Q1974" i="1"/>
  <c r="P1974" i="1"/>
  <c r="N1974" i="1"/>
  <c r="BO1974" i="1"/>
  <c r="BN1974" i="1"/>
  <c r="DG1971" i="1"/>
  <c r="DA1971" i="1"/>
  <c r="T1971" i="1"/>
  <c r="S1971" i="1"/>
  <c r="Q1971" i="1"/>
  <c r="P1971" i="1"/>
  <c r="N1971" i="1"/>
  <c r="BO1971" i="1"/>
  <c r="BN1971" i="1"/>
  <c r="DG1968" i="1"/>
  <c r="DA1968" i="1"/>
  <c r="T1968" i="1"/>
  <c r="S1968" i="1"/>
  <c r="Q1968" i="1"/>
  <c r="P1968" i="1"/>
  <c r="N1968" i="1"/>
  <c r="BO1968" i="1"/>
  <c r="BN1968" i="1"/>
  <c r="DG2772" i="1"/>
  <c r="DA2772" i="1"/>
  <c r="T2772" i="1"/>
  <c r="S2772" i="1"/>
  <c r="Q2772" i="1"/>
  <c r="P2772" i="1"/>
  <c r="N2772" i="1"/>
  <c r="BO2772" i="1"/>
  <c r="BN2772" i="1"/>
  <c r="DG2398" i="1"/>
  <c r="DA2398" i="1"/>
  <c r="T2398" i="1"/>
  <c r="S2398" i="1"/>
  <c r="Q2398" i="1"/>
  <c r="P2398" i="1"/>
  <c r="N2398" i="1"/>
  <c r="BO2398" i="1"/>
  <c r="BN2398" i="1"/>
  <c r="DG1963" i="1"/>
  <c r="DA1963" i="1"/>
  <c r="T1963" i="1"/>
  <c r="S1963" i="1"/>
  <c r="Q1963" i="1"/>
  <c r="P1963" i="1"/>
  <c r="N1963" i="1"/>
  <c r="BO1963" i="1"/>
  <c r="BN1963" i="1"/>
  <c r="DG2974" i="1"/>
  <c r="DA2974" i="1"/>
  <c r="T2974" i="1"/>
  <c r="S2974" i="1"/>
  <c r="Q2974" i="1"/>
  <c r="P2974" i="1"/>
  <c r="N2974" i="1"/>
  <c r="BO2974" i="1"/>
  <c r="BN2974" i="1"/>
  <c r="DG1958" i="1"/>
  <c r="DA1958" i="1"/>
  <c r="T1958" i="1"/>
  <c r="S1958" i="1"/>
  <c r="Q1958" i="1"/>
  <c r="P1958" i="1"/>
  <c r="N1958" i="1"/>
  <c r="BO1958" i="1"/>
  <c r="BN1958" i="1"/>
  <c r="DG2397" i="1"/>
  <c r="DA2397" i="1"/>
  <c r="T2397" i="1"/>
  <c r="S2397" i="1"/>
  <c r="Q2397" i="1"/>
  <c r="P2397" i="1"/>
  <c r="N2397" i="1"/>
  <c r="BO2397" i="1"/>
  <c r="BN2397" i="1"/>
  <c r="DG2771" i="1"/>
  <c r="DA2771" i="1"/>
  <c r="T2771" i="1"/>
  <c r="S2771" i="1"/>
  <c r="Q2771" i="1"/>
  <c r="P2771" i="1"/>
  <c r="N2771" i="1"/>
  <c r="BO2771" i="1"/>
  <c r="BN2771" i="1"/>
  <c r="DG2396" i="1"/>
  <c r="DA2396" i="1"/>
  <c r="T2396" i="1"/>
  <c r="S2396" i="1"/>
  <c r="Q2396" i="1"/>
  <c r="P2396" i="1"/>
  <c r="N2396" i="1"/>
  <c r="BO2396" i="1"/>
  <c r="BN2396" i="1"/>
  <c r="DG1944" i="1"/>
  <c r="DA1944" i="1"/>
  <c r="T1944" i="1"/>
  <c r="S1944" i="1"/>
  <c r="Q1944" i="1"/>
  <c r="P1944" i="1"/>
  <c r="N1944" i="1"/>
  <c r="BO1944" i="1"/>
  <c r="BN1944" i="1"/>
  <c r="DG1942" i="1"/>
  <c r="DA1942" i="1"/>
  <c r="T1942" i="1"/>
  <c r="S1942" i="1"/>
  <c r="Q1942" i="1"/>
  <c r="P1942" i="1"/>
  <c r="N1942" i="1"/>
  <c r="BO1942" i="1"/>
  <c r="BN1942" i="1"/>
  <c r="DG2663" i="1"/>
  <c r="DA2663" i="1"/>
  <c r="T2663" i="1"/>
  <c r="S2663" i="1"/>
  <c r="Q2663" i="1"/>
  <c r="P2663" i="1"/>
  <c r="N2663" i="1"/>
  <c r="BO2663" i="1"/>
  <c r="BN2663" i="1"/>
  <c r="DG1937" i="1"/>
  <c r="DA1937" i="1"/>
  <c r="T1937" i="1"/>
  <c r="S1937" i="1"/>
  <c r="Q1937" i="1"/>
  <c r="P1937" i="1"/>
  <c r="N1937" i="1"/>
  <c r="BO1937" i="1"/>
  <c r="BN1937" i="1"/>
  <c r="DG2833" i="1"/>
  <c r="DA2833" i="1"/>
  <c r="T2833" i="1"/>
  <c r="S2833" i="1"/>
  <c r="Q2833" i="1"/>
  <c r="P2833" i="1"/>
  <c r="N2833" i="1"/>
  <c r="BO2833" i="1"/>
  <c r="BN2833" i="1"/>
  <c r="DG2770" i="1"/>
  <c r="DA2770" i="1"/>
  <c r="T2770" i="1"/>
  <c r="S2770" i="1"/>
  <c r="Q2770" i="1"/>
  <c r="P2770" i="1"/>
  <c r="N2770" i="1"/>
  <c r="BO2770" i="1"/>
  <c r="BN2770" i="1"/>
  <c r="DG2394" i="1"/>
  <c r="DA2394" i="1"/>
  <c r="T2394" i="1"/>
  <c r="S2394" i="1"/>
  <c r="Q2394" i="1"/>
  <c r="P2394" i="1"/>
  <c r="N2394" i="1"/>
  <c r="BO2394" i="1"/>
  <c r="BN2394" i="1"/>
  <c r="DG2880" i="1"/>
  <c r="DA2880" i="1"/>
  <c r="T2880" i="1"/>
  <c r="S2880" i="1"/>
  <c r="Q2880" i="1"/>
  <c r="P2880" i="1"/>
  <c r="N2880" i="1"/>
  <c r="BO2880" i="1"/>
  <c r="BN2880" i="1"/>
  <c r="DG2975" i="1"/>
  <c r="DA2975" i="1"/>
  <c r="T2975" i="1"/>
  <c r="S2975" i="1"/>
  <c r="Q2975" i="1"/>
  <c r="P2975" i="1"/>
  <c r="N2975" i="1"/>
  <c r="BO2975" i="1"/>
  <c r="BN2975" i="1"/>
  <c r="DG2235" i="1"/>
  <c r="DA2235" i="1"/>
  <c r="T2235" i="1"/>
  <c r="S2235" i="1"/>
  <c r="Q2235" i="1"/>
  <c r="P2235" i="1"/>
  <c r="N2235" i="1"/>
  <c r="BO2235" i="1"/>
  <c r="BN2235" i="1"/>
  <c r="DG2393" i="1"/>
  <c r="DA2393" i="1"/>
  <c r="T2393" i="1"/>
  <c r="S2393" i="1"/>
  <c r="Q2393" i="1"/>
  <c r="P2393" i="1"/>
  <c r="N2393" i="1"/>
  <c r="BO2393" i="1"/>
  <c r="BN2393" i="1"/>
  <c r="DG2769" i="1"/>
  <c r="DA2769" i="1"/>
  <c r="T2769" i="1"/>
  <c r="S2769" i="1"/>
  <c r="Q2769" i="1"/>
  <c r="P2769" i="1"/>
  <c r="N2769" i="1"/>
  <c r="BO2769" i="1"/>
  <c r="BN2769" i="1"/>
  <c r="DG2392" i="1"/>
  <c r="DA2392" i="1"/>
  <c r="T2392" i="1"/>
  <c r="S2392" i="1"/>
  <c r="Q2392" i="1"/>
  <c r="P2392" i="1"/>
  <c r="N2392" i="1"/>
  <c r="BO2392" i="1"/>
  <c r="BN2392" i="1"/>
  <c r="DG2391" i="1"/>
  <c r="DA2391" i="1"/>
  <c r="T2391" i="1"/>
  <c r="S2391" i="1"/>
  <c r="Q2391" i="1"/>
  <c r="P2391" i="1"/>
  <c r="N2391" i="1"/>
  <c r="BO2391" i="1"/>
  <c r="BN2391" i="1"/>
  <c r="DG2768" i="1"/>
  <c r="DA2768" i="1"/>
  <c r="T2768" i="1"/>
  <c r="S2768" i="1"/>
  <c r="Q2768" i="1"/>
  <c r="P2768" i="1"/>
  <c r="N2768" i="1"/>
  <c r="BO2768" i="1"/>
  <c r="BN2768" i="1"/>
  <c r="DG2390" i="1"/>
  <c r="DA2390" i="1"/>
  <c r="T2390" i="1"/>
  <c r="S2390" i="1"/>
  <c r="Q2390" i="1"/>
  <c r="P2390" i="1"/>
  <c r="N2390" i="1"/>
  <c r="BO2390" i="1"/>
  <c r="BN2390" i="1"/>
  <c r="DG2389" i="1"/>
  <c r="DA2389" i="1"/>
  <c r="T2389" i="1"/>
  <c r="S2389" i="1"/>
  <c r="Q2389" i="1"/>
  <c r="P2389" i="1"/>
  <c r="N2389" i="1"/>
  <c r="BO2389" i="1"/>
  <c r="BN2389" i="1"/>
  <c r="DG2767" i="1"/>
  <c r="DA2767" i="1"/>
  <c r="T2767" i="1"/>
  <c r="S2767" i="1"/>
  <c r="Q2767" i="1"/>
  <c r="P2767" i="1"/>
  <c r="N2767" i="1"/>
  <c r="BO2767" i="1"/>
  <c r="BN2767" i="1"/>
  <c r="DG2388" i="1"/>
  <c r="DA2388" i="1"/>
  <c r="T2388" i="1"/>
  <c r="S2388" i="1"/>
  <c r="Q2388" i="1"/>
  <c r="P2388" i="1"/>
  <c r="N2388" i="1"/>
  <c r="BO2388" i="1"/>
  <c r="BN2388" i="1"/>
  <c r="DG2387" i="1"/>
  <c r="DA2387" i="1"/>
  <c r="T2387" i="1"/>
  <c r="S2387" i="1"/>
  <c r="Q2387" i="1"/>
  <c r="P2387" i="1"/>
  <c r="N2387" i="1"/>
  <c r="BO2387" i="1"/>
  <c r="BN2387" i="1"/>
  <c r="DG3154" i="1"/>
  <c r="DA3154" i="1"/>
  <c r="T3154" i="1"/>
  <c r="S3154" i="1"/>
  <c r="Q3154" i="1"/>
  <c r="P3154" i="1"/>
  <c r="N3154" i="1"/>
  <c r="BO3154" i="1"/>
  <c r="BN3154" i="1"/>
  <c r="DG2190" i="1"/>
  <c r="DA2190" i="1"/>
  <c r="T2190" i="1"/>
  <c r="S2190" i="1"/>
  <c r="Q2190" i="1"/>
  <c r="P2190" i="1"/>
  <c r="N2190" i="1"/>
  <c r="BO2190" i="1"/>
  <c r="BN2190" i="1"/>
  <c r="DG2977" i="1"/>
  <c r="DA2977" i="1"/>
  <c r="T2977" i="1"/>
  <c r="S2977" i="1"/>
  <c r="Q2977" i="1"/>
  <c r="P2977" i="1"/>
  <c r="N2977" i="1"/>
  <c r="BO2977" i="1"/>
  <c r="BN2977" i="1"/>
  <c r="DG2386" i="1"/>
  <c r="DA2386" i="1"/>
  <c r="T2386" i="1"/>
  <c r="S2386" i="1"/>
  <c r="Q2386" i="1"/>
  <c r="P2386" i="1"/>
  <c r="N2386" i="1"/>
  <c r="BO2386" i="1"/>
  <c r="BN2386" i="1"/>
  <c r="DG2766" i="1"/>
  <c r="DA2766" i="1"/>
  <c r="T2766" i="1"/>
  <c r="S2766" i="1"/>
  <c r="Q2766" i="1"/>
  <c r="P2766" i="1"/>
  <c r="N2766" i="1"/>
  <c r="BO2766" i="1"/>
  <c r="BN2766" i="1"/>
  <c r="DG2881" i="1"/>
  <c r="DA2881" i="1"/>
  <c r="T2881" i="1"/>
  <c r="S2881" i="1"/>
  <c r="Q2881" i="1"/>
  <c r="P2881" i="1"/>
  <c r="N2881" i="1"/>
  <c r="BO2881" i="1"/>
  <c r="BN2881" i="1"/>
  <c r="DG2385" i="1"/>
  <c r="DA2385" i="1"/>
  <c r="T2385" i="1"/>
  <c r="S2385" i="1"/>
  <c r="Q2385" i="1"/>
  <c r="P2385" i="1"/>
  <c r="N2385" i="1"/>
  <c r="BO2385" i="1"/>
  <c r="BN2385" i="1"/>
  <c r="DG2198" i="1"/>
  <c r="DA2198" i="1"/>
  <c r="T2198" i="1"/>
  <c r="S2198" i="1"/>
  <c r="Q2198" i="1"/>
  <c r="P2198" i="1"/>
  <c r="N2198" i="1"/>
  <c r="BO2198" i="1"/>
  <c r="BN2198" i="1"/>
  <c r="DG2384" i="1"/>
  <c r="DA2384" i="1"/>
  <c r="T2384" i="1"/>
  <c r="S2384" i="1"/>
  <c r="Q2384" i="1"/>
  <c r="P2384" i="1"/>
  <c r="N2384" i="1"/>
  <c r="BO2384" i="1"/>
  <c r="BN2384" i="1"/>
  <c r="DG2765" i="1"/>
  <c r="DA2765" i="1"/>
  <c r="T2765" i="1"/>
  <c r="S2765" i="1"/>
  <c r="Q2765" i="1"/>
  <c r="P2765" i="1"/>
  <c r="N2765" i="1"/>
  <c r="BO2765" i="1"/>
  <c r="BN2765" i="1"/>
  <c r="DG2383" i="1"/>
  <c r="DA2383" i="1"/>
  <c r="T2383" i="1"/>
  <c r="S2383" i="1"/>
  <c r="Q2383" i="1"/>
  <c r="P2383" i="1"/>
  <c r="N2383" i="1"/>
  <c r="BO2383" i="1"/>
  <c r="BN2383" i="1"/>
  <c r="DG2382" i="1"/>
  <c r="DA2382" i="1"/>
  <c r="T2382" i="1"/>
  <c r="S2382" i="1"/>
  <c r="Q2382" i="1"/>
  <c r="P2382" i="1"/>
  <c r="N2382" i="1"/>
  <c r="BO2382" i="1"/>
  <c r="BN2382" i="1"/>
  <c r="DG2978" i="1"/>
  <c r="DA2978" i="1"/>
  <c r="T2978" i="1"/>
  <c r="S2978" i="1"/>
  <c r="Q2978" i="1"/>
  <c r="P2978" i="1"/>
  <c r="N2978" i="1"/>
  <c r="BO2978" i="1"/>
  <c r="BN2978" i="1"/>
  <c r="DG2381" i="1"/>
  <c r="DA2381" i="1"/>
  <c r="T2381" i="1"/>
  <c r="S2381" i="1"/>
  <c r="Q2381" i="1"/>
  <c r="P2381" i="1"/>
  <c r="N2381" i="1"/>
  <c r="BO2381" i="1"/>
  <c r="BN2381" i="1"/>
  <c r="DG2763" i="1"/>
  <c r="DA2763" i="1"/>
  <c r="T2763" i="1"/>
  <c r="S2763" i="1"/>
  <c r="Q2763" i="1"/>
  <c r="P2763" i="1"/>
  <c r="N2763" i="1"/>
  <c r="BO2763" i="1"/>
  <c r="BN2763" i="1"/>
  <c r="DG2380" i="1"/>
  <c r="DA2380" i="1"/>
  <c r="T2380" i="1"/>
  <c r="S2380" i="1"/>
  <c r="Q2380" i="1"/>
  <c r="P2380" i="1"/>
  <c r="N2380" i="1"/>
  <c r="BO2380" i="1"/>
  <c r="BN2380" i="1"/>
  <c r="DG2379" i="1"/>
  <c r="DA2379" i="1"/>
  <c r="T2379" i="1"/>
  <c r="S2379" i="1"/>
  <c r="Q2379" i="1"/>
  <c r="P2379" i="1"/>
  <c r="N2379" i="1"/>
  <c r="BO2379" i="1"/>
  <c r="BN2379" i="1"/>
  <c r="DG2810" i="1"/>
  <c r="DA2810" i="1"/>
  <c r="T2810" i="1"/>
  <c r="S2810" i="1"/>
  <c r="Q2810" i="1"/>
  <c r="P2810" i="1"/>
  <c r="N2810" i="1"/>
  <c r="BO2810" i="1"/>
  <c r="BN2810" i="1"/>
  <c r="DG2882" i="1"/>
  <c r="DA2882" i="1"/>
  <c r="T2882" i="1"/>
  <c r="S2882" i="1"/>
  <c r="Q2882" i="1"/>
  <c r="P2882" i="1"/>
  <c r="N2882" i="1"/>
  <c r="BO2882" i="1"/>
  <c r="BN2882" i="1"/>
  <c r="DG2762" i="1"/>
  <c r="DA2762" i="1"/>
  <c r="T2762" i="1"/>
  <c r="S2762" i="1"/>
  <c r="Q2762" i="1"/>
  <c r="P2762" i="1"/>
  <c r="N2762" i="1"/>
  <c r="BO2762" i="1"/>
  <c r="BN2762" i="1"/>
  <c r="DG2378" i="1"/>
  <c r="DA2378" i="1"/>
  <c r="T2378" i="1"/>
  <c r="S2378" i="1"/>
  <c r="Q2378" i="1"/>
  <c r="P2378" i="1"/>
  <c r="N2378" i="1"/>
  <c r="BO2378" i="1"/>
  <c r="BN2378" i="1"/>
  <c r="DG2979" i="1"/>
  <c r="DA2979" i="1"/>
  <c r="T2979" i="1"/>
  <c r="S2979" i="1"/>
  <c r="Q2979" i="1"/>
  <c r="P2979" i="1"/>
  <c r="N2979" i="1"/>
  <c r="BO2979" i="1"/>
  <c r="BN2979" i="1"/>
  <c r="DG2377" i="1"/>
  <c r="DA2377" i="1"/>
  <c r="T2377" i="1"/>
  <c r="S2377" i="1"/>
  <c r="Q2377" i="1"/>
  <c r="P2377" i="1"/>
  <c r="N2377" i="1"/>
  <c r="BO2377" i="1"/>
  <c r="BN2377" i="1"/>
  <c r="DG2834" i="1"/>
  <c r="DA2834" i="1"/>
  <c r="T2834" i="1"/>
  <c r="S2834" i="1"/>
  <c r="Q2834" i="1"/>
  <c r="P2834" i="1"/>
  <c r="N2834" i="1"/>
  <c r="BO2834" i="1"/>
  <c r="BN2834" i="1"/>
  <c r="DG2761" i="1"/>
  <c r="DA2761" i="1"/>
  <c r="T2761" i="1"/>
  <c r="S2761" i="1"/>
  <c r="Q2761" i="1"/>
  <c r="P2761" i="1"/>
  <c r="N2761" i="1"/>
  <c r="BO2761" i="1"/>
  <c r="BN2761" i="1"/>
  <c r="DG2376" i="1"/>
  <c r="DA2376" i="1"/>
  <c r="T2376" i="1"/>
  <c r="S2376" i="1"/>
  <c r="Q2376" i="1"/>
  <c r="P2376" i="1"/>
  <c r="N2376" i="1"/>
  <c r="BO2376" i="1"/>
  <c r="BN2376" i="1"/>
  <c r="DG2798" i="1"/>
  <c r="DA2798" i="1"/>
  <c r="T2798" i="1"/>
  <c r="S2798" i="1"/>
  <c r="Q2798" i="1"/>
  <c r="P2798" i="1"/>
  <c r="N2798" i="1"/>
  <c r="BO2798" i="1"/>
  <c r="BN2798" i="1"/>
  <c r="DG2760" i="1"/>
  <c r="DA2760" i="1"/>
  <c r="T2760" i="1"/>
  <c r="S2760" i="1"/>
  <c r="Q2760" i="1"/>
  <c r="P2760" i="1"/>
  <c r="N2760" i="1"/>
  <c r="BO2760" i="1"/>
  <c r="BN2760" i="1"/>
  <c r="DG2374" i="1"/>
  <c r="DA2374" i="1"/>
  <c r="T2374" i="1"/>
  <c r="S2374" i="1"/>
  <c r="Q2374" i="1"/>
  <c r="P2374" i="1"/>
  <c r="N2374" i="1"/>
  <c r="BO2374" i="1"/>
  <c r="BN2374" i="1"/>
  <c r="DG2980" i="1"/>
  <c r="DA2980" i="1"/>
  <c r="T2980" i="1"/>
  <c r="S2980" i="1"/>
  <c r="Q2980" i="1"/>
  <c r="P2980" i="1"/>
  <c r="N2980" i="1"/>
  <c r="BO2980" i="1"/>
  <c r="BN2980" i="1"/>
  <c r="DG2373" i="1"/>
  <c r="DA2373" i="1"/>
  <c r="T2373" i="1"/>
  <c r="S2373" i="1"/>
  <c r="Q2373" i="1"/>
  <c r="P2373" i="1"/>
  <c r="N2373" i="1"/>
  <c r="BO2373" i="1"/>
  <c r="BN2373" i="1"/>
  <c r="DG2759" i="1"/>
  <c r="DA2759" i="1"/>
  <c r="T2759" i="1"/>
  <c r="S2759" i="1"/>
  <c r="Q2759" i="1"/>
  <c r="P2759" i="1"/>
  <c r="N2759" i="1"/>
  <c r="BO2759" i="1"/>
  <c r="BN2759" i="1"/>
  <c r="DG2372" i="1"/>
  <c r="DA2372" i="1"/>
  <c r="T2372" i="1"/>
  <c r="S2372" i="1"/>
  <c r="Q2372" i="1"/>
  <c r="P2372" i="1"/>
  <c r="N2372" i="1"/>
  <c r="BO2372" i="1"/>
  <c r="BN2372" i="1"/>
  <c r="DG2792" i="1"/>
  <c r="DA2792" i="1"/>
  <c r="T2792" i="1"/>
  <c r="S2792" i="1"/>
  <c r="Q2792" i="1"/>
  <c r="P2792" i="1"/>
  <c r="N2792" i="1"/>
  <c r="BO2792" i="1"/>
  <c r="BN2792" i="1"/>
  <c r="DG2371" i="1"/>
  <c r="DA2371" i="1"/>
  <c r="T2371" i="1"/>
  <c r="S2371" i="1"/>
  <c r="Q2371" i="1"/>
  <c r="P2371" i="1"/>
  <c r="N2371" i="1"/>
  <c r="BO2371" i="1"/>
  <c r="BN2371" i="1"/>
  <c r="DG2758" i="1"/>
  <c r="DA2758" i="1"/>
  <c r="T2758" i="1"/>
  <c r="S2758" i="1"/>
  <c r="Q2758" i="1"/>
  <c r="P2758" i="1"/>
  <c r="N2758" i="1"/>
  <c r="BO2758" i="1"/>
  <c r="BN2758" i="1"/>
  <c r="DG2370" i="1"/>
  <c r="DA2370" i="1"/>
  <c r="T2370" i="1"/>
  <c r="S2370" i="1"/>
  <c r="Q2370" i="1"/>
  <c r="P2370" i="1"/>
  <c r="N2370" i="1"/>
  <c r="BO2370" i="1"/>
  <c r="BN2370" i="1"/>
  <c r="DG2883" i="1"/>
  <c r="DA2883" i="1"/>
  <c r="T2883" i="1"/>
  <c r="S2883" i="1"/>
  <c r="Q2883" i="1"/>
  <c r="P2883" i="1"/>
  <c r="N2883" i="1"/>
  <c r="BO2883" i="1"/>
  <c r="BN2883" i="1"/>
  <c r="DG2981" i="1"/>
  <c r="DA2981" i="1"/>
  <c r="T2981" i="1"/>
  <c r="S2981" i="1"/>
  <c r="Q2981" i="1"/>
  <c r="P2981" i="1"/>
  <c r="N2981" i="1"/>
  <c r="BO2981" i="1"/>
  <c r="BN2981" i="1"/>
  <c r="DG2369" i="1"/>
  <c r="DA2369" i="1"/>
  <c r="T2369" i="1"/>
  <c r="S2369" i="1"/>
  <c r="Q2369" i="1"/>
  <c r="P2369" i="1"/>
  <c r="N2369" i="1"/>
  <c r="BO2369" i="1"/>
  <c r="BN2369" i="1"/>
  <c r="DG2757" i="1"/>
  <c r="DA2757" i="1"/>
  <c r="T2757" i="1"/>
  <c r="S2757" i="1"/>
  <c r="Q2757" i="1"/>
  <c r="P2757" i="1"/>
  <c r="N2757" i="1"/>
  <c r="BO2757" i="1"/>
  <c r="BN2757" i="1"/>
  <c r="DG2367" i="1"/>
  <c r="DA2367" i="1"/>
  <c r="T2367" i="1"/>
  <c r="S2367" i="1"/>
  <c r="Q2367" i="1"/>
  <c r="P2367" i="1"/>
  <c r="N2367" i="1"/>
  <c r="BO2367" i="1"/>
  <c r="BN2367" i="1"/>
  <c r="DG2756" i="1"/>
  <c r="DA2756" i="1"/>
  <c r="T2756" i="1"/>
  <c r="S2756" i="1"/>
  <c r="Q2756" i="1"/>
  <c r="P2756" i="1"/>
  <c r="N2756" i="1"/>
  <c r="BO2756" i="1"/>
  <c r="BN2756" i="1"/>
  <c r="DG2366" i="1"/>
  <c r="DA2366" i="1"/>
  <c r="T2366" i="1"/>
  <c r="S2366" i="1"/>
  <c r="Q2366" i="1"/>
  <c r="P2366" i="1"/>
  <c r="N2366" i="1"/>
  <c r="BO2366" i="1"/>
  <c r="BN2366" i="1"/>
  <c r="DG2982" i="1"/>
  <c r="DA2982" i="1"/>
  <c r="T2982" i="1"/>
  <c r="S2982" i="1"/>
  <c r="Q2982" i="1"/>
  <c r="P2982" i="1"/>
  <c r="N2982" i="1"/>
  <c r="BO2982" i="1"/>
  <c r="BN2982" i="1"/>
  <c r="DG2365" i="1"/>
  <c r="DA2365" i="1"/>
  <c r="T2365" i="1"/>
  <c r="S2365" i="1"/>
  <c r="Q2365" i="1"/>
  <c r="P2365" i="1"/>
  <c r="N2365" i="1"/>
  <c r="BO2365" i="1"/>
  <c r="BN2365" i="1"/>
  <c r="DG2755" i="1"/>
  <c r="DA2755" i="1"/>
  <c r="T2755" i="1"/>
  <c r="S2755" i="1"/>
  <c r="Q2755" i="1"/>
  <c r="P2755" i="1"/>
  <c r="N2755" i="1"/>
  <c r="BO2755" i="1"/>
  <c r="BN2755" i="1"/>
  <c r="DG2364" i="1"/>
  <c r="DA2364" i="1"/>
  <c r="T2364" i="1"/>
  <c r="S2364" i="1"/>
  <c r="Q2364" i="1"/>
  <c r="P2364" i="1"/>
  <c r="N2364" i="1"/>
  <c r="BO2364" i="1"/>
  <c r="BN2364" i="1"/>
  <c r="DG3025" i="1"/>
  <c r="DA3025" i="1"/>
  <c r="T3025" i="1"/>
  <c r="S3025" i="1"/>
  <c r="Q3025" i="1"/>
  <c r="P3025" i="1"/>
  <c r="N3025" i="1"/>
  <c r="BO3025" i="1"/>
  <c r="BN3025" i="1"/>
  <c r="DG2363" i="1"/>
  <c r="DA2363" i="1"/>
  <c r="T2363" i="1"/>
  <c r="S2363" i="1"/>
  <c r="Q2363" i="1"/>
  <c r="P2363" i="1"/>
  <c r="N2363" i="1"/>
  <c r="BO2363" i="1"/>
  <c r="BN2363" i="1"/>
  <c r="DG3151" i="1"/>
  <c r="DA3151" i="1"/>
  <c r="T3151" i="1"/>
  <c r="S3151" i="1"/>
  <c r="Q3151" i="1"/>
  <c r="P3151" i="1"/>
  <c r="N3151" i="1"/>
  <c r="BO3151" i="1"/>
  <c r="BN3151" i="1"/>
  <c r="DG2884" i="1"/>
  <c r="DA2884" i="1"/>
  <c r="T2884" i="1"/>
  <c r="S2884" i="1"/>
  <c r="Q2884" i="1"/>
  <c r="P2884" i="1"/>
  <c r="N2884" i="1"/>
  <c r="BO2884" i="1"/>
  <c r="BN2884" i="1"/>
  <c r="DG2362" i="1"/>
  <c r="DA2362" i="1"/>
  <c r="T2362" i="1"/>
  <c r="S2362" i="1"/>
  <c r="Q2362" i="1"/>
  <c r="P2362" i="1"/>
  <c r="N2362" i="1"/>
  <c r="BO2362" i="1"/>
  <c r="BN2362" i="1"/>
  <c r="DG2983" i="1"/>
  <c r="DA2983" i="1"/>
  <c r="T2983" i="1"/>
  <c r="S2983" i="1"/>
  <c r="Q2983" i="1"/>
  <c r="P2983" i="1"/>
  <c r="N2983" i="1"/>
  <c r="BO2983" i="1"/>
  <c r="BN2983" i="1"/>
  <c r="DG2754" i="1"/>
  <c r="DA2754" i="1"/>
  <c r="T2754" i="1"/>
  <c r="S2754" i="1"/>
  <c r="Q2754" i="1"/>
  <c r="P2754" i="1"/>
  <c r="N2754" i="1"/>
  <c r="BO2754" i="1"/>
  <c r="BN2754" i="1"/>
  <c r="DG2835" i="1"/>
  <c r="DA2835" i="1"/>
  <c r="T2835" i="1"/>
  <c r="S2835" i="1"/>
  <c r="Q2835" i="1"/>
  <c r="P2835" i="1"/>
  <c r="N2835" i="1"/>
  <c r="BO2835" i="1"/>
  <c r="BN2835" i="1"/>
  <c r="DG2753" i="1"/>
  <c r="DA2753" i="1"/>
  <c r="T2753" i="1"/>
  <c r="S2753" i="1"/>
  <c r="Q2753" i="1"/>
  <c r="P2753" i="1"/>
  <c r="N2753" i="1"/>
  <c r="BO2753" i="1"/>
  <c r="BN2753" i="1"/>
  <c r="DG2360" i="1"/>
  <c r="DA2360" i="1"/>
  <c r="T2360" i="1"/>
  <c r="S2360" i="1"/>
  <c r="Q2360" i="1"/>
  <c r="P2360" i="1"/>
  <c r="N2360" i="1"/>
  <c r="BO2360" i="1"/>
  <c r="BN2360" i="1"/>
  <c r="DG2359" i="1"/>
  <c r="DA2359" i="1"/>
  <c r="T2359" i="1"/>
  <c r="S2359" i="1"/>
  <c r="Q2359" i="1"/>
  <c r="P2359" i="1"/>
  <c r="N2359" i="1"/>
  <c r="BO2359" i="1"/>
  <c r="BN2359" i="1"/>
  <c r="DG3148" i="1"/>
  <c r="DA3148" i="1"/>
  <c r="T3148" i="1"/>
  <c r="S3148" i="1"/>
  <c r="Q3148" i="1"/>
  <c r="P3148" i="1"/>
  <c r="N3148" i="1"/>
  <c r="BO3148" i="1"/>
  <c r="BN3148" i="1"/>
  <c r="DG2752" i="1"/>
  <c r="DA2752" i="1"/>
  <c r="T2752" i="1"/>
  <c r="S2752" i="1"/>
  <c r="Q2752" i="1"/>
  <c r="P2752" i="1"/>
  <c r="N2752" i="1"/>
  <c r="BO2752" i="1"/>
  <c r="BN2752" i="1"/>
  <c r="DG2358" i="1"/>
  <c r="DA2358" i="1"/>
  <c r="T2358" i="1"/>
  <c r="S2358" i="1"/>
  <c r="Q2358" i="1"/>
  <c r="P2358" i="1"/>
  <c r="N2358" i="1"/>
  <c r="BO2358" i="1"/>
  <c r="BN2358" i="1"/>
  <c r="DG2984" i="1"/>
  <c r="DA2984" i="1"/>
  <c r="T2984" i="1"/>
  <c r="S2984" i="1"/>
  <c r="Q2984" i="1"/>
  <c r="P2984" i="1"/>
  <c r="N2984" i="1"/>
  <c r="BO2984" i="1"/>
  <c r="BN2984" i="1"/>
  <c r="DG2357" i="1"/>
  <c r="DA2357" i="1"/>
  <c r="T2357" i="1"/>
  <c r="S2357" i="1"/>
  <c r="Q2357" i="1"/>
  <c r="P2357" i="1"/>
  <c r="N2357" i="1"/>
  <c r="BO2357" i="1"/>
  <c r="BN2357" i="1"/>
  <c r="DG2918" i="1"/>
  <c r="DA2918" i="1"/>
  <c r="T2918" i="1"/>
  <c r="S2918" i="1"/>
  <c r="Q2918" i="1"/>
  <c r="P2918" i="1"/>
  <c r="N2918" i="1"/>
  <c r="BO2918" i="1"/>
  <c r="BN2918" i="1"/>
  <c r="DG2751" i="1"/>
  <c r="DA2751" i="1"/>
  <c r="T2751" i="1"/>
  <c r="S2751" i="1"/>
  <c r="Q2751" i="1"/>
  <c r="P2751" i="1"/>
  <c r="N2751" i="1"/>
  <c r="BO2751" i="1"/>
  <c r="BN2751" i="1"/>
  <c r="DG2356" i="1"/>
  <c r="DA2356" i="1"/>
  <c r="T2356" i="1"/>
  <c r="S2356" i="1"/>
  <c r="Q2356" i="1"/>
  <c r="P2356" i="1"/>
  <c r="N2356" i="1"/>
  <c r="BO2356" i="1"/>
  <c r="BN2356" i="1"/>
  <c r="DG2355" i="1"/>
  <c r="DA2355" i="1"/>
  <c r="T2355" i="1"/>
  <c r="S2355" i="1"/>
  <c r="Q2355" i="1"/>
  <c r="P2355" i="1"/>
  <c r="N2355" i="1"/>
  <c r="BO2355" i="1"/>
  <c r="BN2355" i="1"/>
  <c r="DG2750" i="1"/>
  <c r="DA2750" i="1"/>
  <c r="T2750" i="1"/>
  <c r="S2750" i="1"/>
  <c r="Q2750" i="1"/>
  <c r="P2750" i="1"/>
  <c r="N2750" i="1"/>
  <c r="BO2750" i="1"/>
  <c r="BN2750" i="1"/>
  <c r="DG2354" i="1"/>
  <c r="DA2354" i="1"/>
  <c r="T2354" i="1"/>
  <c r="S2354" i="1"/>
  <c r="Q2354" i="1"/>
  <c r="P2354" i="1"/>
  <c r="N2354" i="1"/>
  <c r="BO2354" i="1"/>
  <c r="BN2354" i="1"/>
  <c r="DG2885" i="1"/>
  <c r="DA2885" i="1"/>
  <c r="T2885" i="1"/>
  <c r="S2885" i="1"/>
  <c r="Q2885" i="1"/>
  <c r="P2885" i="1"/>
  <c r="N2885" i="1"/>
  <c r="BO2885" i="1"/>
  <c r="BN2885" i="1"/>
  <c r="DG2985" i="1"/>
  <c r="DA2985" i="1"/>
  <c r="T2985" i="1"/>
  <c r="S2985" i="1"/>
  <c r="Q2985" i="1"/>
  <c r="P2985" i="1"/>
  <c r="N2985" i="1"/>
  <c r="BO2985" i="1"/>
  <c r="BN2985" i="1"/>
  <c r="DG2353" i="1"/>
  <c r="DA2353" i="1"/>
  <c r="T2353" i="1"/>
  <c r="S2353" i="1"/>
  <c r="Q2353" i="1"/>
  <c r="P2353" i="1"/>
  <c r="N2353" i="1"/>
  <c r="BO2353" i="1"/>
  <c r="BN2353" i="1"/>
  <c r="DG1954" i="1"/>
  <c r="DA1954" i="1"/>
  <c r="T1954" i="1"/>
  <c r="S1954" i="1"/>
  <c r="Q1954" i="1"/>
  <c r="P1954" i="1"/>
  <c r="N1954" i="1"/>
  <c r="BO1954" i="1"/>
  <c r="BN1954" i="1"/>
  <c r="DG2749" i="1"/>
  <c r="DA2749" i="1"/>
  <c r="T2749" i="1"/>
  <c r="S2749" i="1"/>
  <c r="Q2749" i="1"/>
  <c r="P2749" i="1"/>
  <c r="N2749" i="1"/>
  <c r="BO2749" i="1"/>
  <c r="BN2749" i="1"/>
  <c r="DG2352" i="1"/>
  <c r="DA2352" i="1"/>
  <c r="T2352" i="1"/>
  <c r="S2352" i="1"/>
  <c r="Q2352" i="1"/>
  <c r="P2352" i="1"/>
  <c r="N2352" i="1"/>
  <c r="BO2352" i="1"/>
  <c r="BN2352" i="1"/>
  <c r="DG1986" i="1"/>
  <c r="DA1986" i="1"/>
  <c r="T1986" i="1"/>
  <c r="S1986" i="1"/>
  <c r="Q1986" i="1"/>
  <c r="P1986" i="1"/>
  <c r="N1986" i="1"/>
  <c r="BO1986" i="1"/>
  <c r="BN1986" i="1"/>
  <c r="DG2351" i="1"/>
  <c r="DA2351" i="1"/>
  <c r="T2351" i="1"/>
  <c r="S2351" i="1"/>
  <c r="Q2351" i="1"/>
  <c r="P2351" i="1"/>
  <c r="N2351" i="1"/>
  <c r="BO2351" i="1"/>
  <c r="BN2351" i="1"/>
  <c r="DG2748" i="1"/>
  <c r="DA2748" i="1"/>
  <c r="T2748" i="1"/>
  <c r="S2748" i="1"/>
  <c r="Q2748" i="1"/>
  <c r="P2748" i="1"/>
  <c r="N2748" i="1"/>
  <c r="BO2748" i="1"/>
  <c r="BN2748" i="1"/>
  <c r="DG2350" i="1"/>
  <c r="DA2350" i="1"/>
  <c r="T2350" i="1"/>
  <c r="S2350" i="1"/>
  <c r="Q2350" i="1"/>
  <c r="P2350" i="1"/>
  <c r="N2350" i="1"/>
  <c r="BO2350" i="1"/>
  <c r="BN2350" i="1"/>
  <c r="DG2986" i="1"/>
  <c r="DA2986" i="1"/>
  <c r="T2986" i="1"/>
  <c r="S2986" i="1"/>
  <c r="Q2986" i="1"/>
  <c r="P2986" i="1"/>
  <c r="N2986" i="1"/>
  <c r="BO2986" i="1"/>
  <c r="BN2986" i="1"/>
  <c r="DG2349" i="1"/>
  <c r="DA2349" i="1"/>
  <c r="T2349" i="1"/>
  <c r="S2349" i="1"/>
  <c r="Q2349" i="1"/>
  <c r="P2349" i="1"/>
  <c r="N2349" i="1"/>
  <c r="BO2349" i="1"/>
  <c r="BN2349" i="1"/>
  <c r="DG2747" i="1"/>
  <c r="DA2747" i="1"/>
  <c r="T2747" i="1"/>
  <c r="S2747" i="1"/>
  <c r="Q2747" i="1"/>
  <c r="P2747" i="1"/>
  <c r="N2747" i="1"/>
  <c r="BO2747" i="1"/>
  <c r="BN2747" i="1"/>
  <c r="DG2348" i="1"/>
  <c r="DA2348" i="1"/>
  <c r="T2348" i="1"/>
  <c r="S2348" i="1"/>
  <c r="Q2348" i="1"/>
  <c r="P2348" i="1"/>
  <c r="N2348" i="1"/>
  <c r="BO2348" i="1"/>
  <c r="BN2348" i="1"/>
  <c r="DG2347" i="1"/>
  <c r="DA2347" i="1"/>
  <c r="T2347" i="1"/>
  <c r="S2347" i="1"/>
  <c r="Q2347" i="1"/>
  <c r="P2347" i="1"/>
  <c r="N2347" i="1"/>
  <c r="BO2347" i="1"/>
  <c r="BN2347" i="1"/>
  <c r="DG2836" i="1"/>
  <c r="DA2836" i="1"/>
  <c r="T2836" i="1"/>
  <c r="S2836" i="1"/>
  <c r="Q2836" i="1"/>
  <c r="P2836" i="1"/>
  <c r="N2836" i="1"/>
  <c r="BO2836" i="1"/>
  <c r="BN2836" i="1"/>
  <c r="DG2746" i="1"/>
  <c r="DA2746" i="1"/>
  <c r="T2746" i="1"/>
  <c r="S2746" i="1"/>
  <c r="Q2746" i="1"/>
  <c r="P2746" i="1"/>
  <c r="N2746" i="1"/>
  <c r="BO2746" i="1"/>
  <c r="BN2746" i="1"/>
  <c r="DG2886" i="1"/>
  <c r="DA2886" i="1"/>
  <c r="T2886" i="1"/>
  <c r="S2886" i="1"/>
  <c r="Q2886" i="1"/>
  <c r="P2886" i="1"/>
  <c r="N2886" i="1"/>
  <c r="BO2886" i="1"/>
  <c r="BN2886" i="1"/>
  <c r="DG2987" i="1"/>
  <c r="DA2987" i="1"/>
  <c r="T2987" i="1"/>
  <c r="S2987" i="1"/>
  <c r="Q2987" i="1"/>
  <c r="P2987" i="1"/>
  <c r="N2987" i="1"/>
  <c r="BO2987" i="1"/>
  <c r="BN2987" i="1"/>
  <c r="DG2811" i="1"/>
  <c r="DA2811" i="1"/>
  <c r="T2811" i="1"/>
  <c r="S2811" i="1"/>
  <c r="Q2811" i="1"/>
  <c r="P2811" i="1"/>
  <c r="N2811" i="1"/>
  <c r="BO2811" i="1"/>
  <c r="BN2811" i="1"/>
  <c r="DG2345" i="1"/>
  <c r="DA2345" i="1"/>
  <c r="T2345" i="1"/>
  <c r="S2345" i="1"/>
  <c r="Q2345" i="1"/>
  <c r="P2345" i="1"/>
  <c r="N2345" i="1"/>
  <c r="BO2345" i="1"/>
  <c r="BN2345" i="1"/>
  <c r="DG2745" i="1"/>
  <c r="DA2745" i="1"/>
  <c r="T2745" i="1"/>
  <c r="S2745" i="1"/>
  <c r="Q2745" i="1"/>
  <c r="P2745" i="1"/>
  <c r="N2745" i="1"/>
  <c r="BO2745" i="1"/>
  <c r="BN2745" i="1"/>
  <c r="DG2344" i="1"/>
  <c r="DA2344" i="1"/>
  <c r="T2344" i="1"/>
  <c r="S2344" i="1"/>
  <c r="Q2344" i="1"/>
  <c r="P2344" i="1"/>
  <c r="N2344" i="1"/>
  <c r="BO2344" i="1"/>
  <c r="BN2344" i="1"/>
  <c r="DG2343" i="1"/>
  <c r="DA2343" i="1"/>
  <c r="T2343" i="1"/>
  <c r="S2343" i="1"/>
  <c r="Q2343" i="1"/>
  <c r="P2343" i="1"/>
  <c r="N2343" i="1"/>
  <c r="BO2343" i="1"/>
  <c r="BN2343" i="1"/>
  <c r="DG2342" i="1"/>
  <c r="DA2342" i="1"/>
  <c r="T2342" i="1"/>
  <c r="S2342" i="1"/>
  <c r="Q2342" i="1"/>
  <c r="P2342" i="1"/>
  <c r="N2342" i="1"/>
  <c r="BO2342" i="1"/>
  <c r="BN2342" i="1"/>
  <c r="DG2988" i="1"/>
  <c r="DA2988" i="1"/>
  <c r="T2988" i="1"/>
  <c r="S2988" i="1"/>
  <c r="Q2988" i="1"/>
  <c r="P2988" i="1"/>
  <c r="N2988" i="1"/>
  <c r="BO2988" i="1"/>
  <c r="BN2988" i="1"/>
  <c r="DG2341" i="1"/>
  <c r="DA2341" i="1"/>
  <c r="T2341" i="1"/>
  <c r="S2341" i="1"/>
  <c r="Q2341" i="1"/>
  <c r="P2341" i="1"/>
  <c r="N2341" i="1"/>
  <c r="BO2341" i="1"/>
  <c r="BN2341" i="1"/>
  <c r="DG2743" i="1"/>
  <c r="DA2743" i="1"/>
  <c r="T2743" i="1"/>
  <c r="S2743" i="1"/>
  <c r="Q2743" i="1"/>
  <c r="P2743" i="1"/>
  <c r="N2743" i="1"/>
  <c r="BO2743" i="1"/>
  <c r="BN2743" i="1"/>
  <c r="DG2340" i="1"/>
  <c r="DA2340" i="1"/>
  <c r="T2340" i="1"/>
  <c r="S2340" i="1"/>
  <c r="Q2340" i="1"/>
  <c r="P2340" i="1"/>
  <c r="N2340" i="1"/>
  <c r="BO2340" i="1"/>
  <c r="BN2340" i="1"/>
  <c r="DG2339" i="1"/>
  <c r="DA2339" i="1"/>
  <c r="T2339" i="1"/>
  <c r="S2339" i="1"/>
  <c r="Q2339" i="1"/>
  <c r="P2339" i="1"/>
  <c r="N2339" i="1"/>
  <c r="BO2339" i="1"/>
  <c r="BN2339" i="1"/>
  <c r="DG2742" i="1"/>
  <c r="DA2742" i="1"/>
  <c r="T2742" i="1"/>
  <c r="S2742" i="1"/>
  <c r="Q2742" i="1"/>
  <c r="P2742" i="1"/>
  <c r="N2742" i="1"/>
  <c r="BO2742" i="1"/>
  <c r="BN2742" i="1"/>
  <c r="DG2887" i="1"/>
  <c r="DA2887" i="1"/>
  <c r="T2887" i="1"/>
  <c r="S2887" i="1"/>
  <c r="Q2887" i="1"/>
  <c r="P2887" i="1"/>
  <c r="N2887" i="1"/>
  <c r="BO2887" i="1"/>
  <c r="BN2887" i="1"/>
  <c r="DG2989" i="1"/>
  <c r="DA2989" i="1"/>
  <c r="T2989" i="1"/>
  <c r="S2989" i="1"/>
  <c r="Q2989" i="1"/>
  <c r="P2989" i="1"/>
  <c r="N2989" i="1"/>
  <c r="BO2989" i="1"/>
  <c r="BN2989" i="1"/>
  <c r="DG2337" i="1"/>
  <c r="DA2337" i="1"/>
  <c r="T2337" i="1"/>
  <c r="S2337" i="1"/>
  <c r="Q2337" i="1"/>
  <c r="P2337" i="1"/>
  <c r="N2337" i="1"/>
  <c r="BO2337" i="1"/>
  <c r="BN2337" i="1"/>
  <c r="DG2741" i="1"/>
  <c r="DA2741" i="1"/>
  <c r="T2741" i="1"/>
  <c r="S2741" i="1"/>
  <c r="Q2741" i="1"/>
  <c r="P2741" i="1"/>
  <c r="N2741" i="1"/>
  <c r="BO2741" i="1"/>
  <c r="BN2741" i="1"/>
  <c r="DG2336" i="1"/>
  <c r="DA2336" i="1"/>
  <c r="T2336" i="1"/>
  <c r="S2336" i="1"/>
  <c r="Q2336" i="1"/>
  <c r="P2336" i="1"/>
  <c r="N2336" i="1"/>
  <c r="BO2336" i="1"/>
  <c r="BN2336" i="1"/>
  <c r="DG2335" i="1"/>
  <c r="DA2335" i="1"/>
  <c r="T2335" i="1"/>
  <c r="S2335" i="1"/>
  <c r="Q2335" i="1"/>
  <c r="P2335" i="1"/>
  <c r="N2335" i="1"/>
  <c r="BO2335" i="1"/>
  <c r="BN2335" i="1"/>
  <c r="DG2740" i="1"/>
  <c r="DA2740" i="1"/>
  <c r="T2740" i="1"/>
  <c r="S2740" i="1"/>
  <c r="Q2740" i="1"/>
  <c r="P2740" i="1"/>
  <c r="N2740" i="1"/>
  <c r="BO2740" i="1"/>
  <c r="BN2740" i="1"/>
  <c r="DG2334" i="1"/>
  <c r="DA2334" i="1"/>
  <c r="T2334" i="1"/>
  <c r="S2334" i="1"/>
  <c r="Q2334" i="1"/>
  <c r="P2334" i="1"/>
  <c r="N2334" i="1"/>
  <c r="BO2334" i="1"/>
  <c r="BN2334" i="1"/>
  <c r="DG2990" i="1"/>
  <c r="DA2990" i="1"/>
  <c r="T2990" i="1"/>
  <c r="S2990" i="1"/>
  <c r="Q2990" i="1"/>
  <c r="P2990" i="1"/>
  <c r="N2990" i="1"/>
  <c r="BO2990" i="1"/>
  <c r="BN2990" i="1"/>
  <c r="DG2333" i="1"/>
  <c r="DA2333" i="1"/>
  <c r="T2333" i="1"/>
  <c r="S2333" i="1"/>
  <c r="Q2333" i="1"/>
  <c r="P2333" i="1"/>
  <c r="N2333" i="1"/>
  <c r="BO2333" i="1"/>
  <c r="BN2333" i="1"/>
  <c r="DG2739" i="1"/>
  <c r="DA2739" i="1"/>
  <c r="T2739" i="1"/>
  <c r="S2739" i="1"/>
  <c r="Q2739" i="1"/>
  <c r="P2739" i="1"/>
  <c r="N2739" i="1"/>
  <c r="BO2739" i="1"/>
  <c r="BN2739" i="1"/>
  <c r="DG2332" i="1"/>
  <c r="DA2332" i="1"/>
  <c r="T2332" i="1"/>
  <c r="S2332" i="1"/>
  <c r="Q2332" i="1"/>
  <c r="P2332" i="1"/>
  <c r="N2332" i="1"/>
  <c r="BO2332" i="1"/>
  <c r="BN2332" i="1"/>
  <c r="DG2331" i="1"/>
  <c r="DA2331" i="1"/>
  <c r="T2331" i="1"/>
  <c r="S2331" i="1"/>
  <c r="Q2331" i="1"/>
  <c r="P2331" i="1"/>
  <c r="N2331" i="1"/>
  <c r="BO2331" i="1"/>
  <c r="BN2331" i="1"/>
  <c r="DG2837" i="1"/>
  <c r="DA2837" i="1"/>
  <c r="T2837" i="1"/>
  <c r="S2837" i="1"/>
  <c r="Q2837" i="1"/>
  <c r="P2837" i="1"/>
  <c r="N2837" i="1"/>
  <c r="BO2837" i="1"/>
  <c r="BN2837" i="1"/>
  <c r="DG2738" i="1"/>
  <c r="DA2738" i="1"/>
  <c r="T2738" i="1"/>
  <c r="S2738" i="1"/>
  <c r="Q2738" i="1"/>
  <c r="P2738" i="1"/>
  <c r="N2738" i="1"/>
  <c r="BO2738" i="1"/>
  <c r="BN2738" i="1"/>
  <c r="DG2888" i="1"/>
  <c r="DA2888" i="1"/>
  <c r="T2888" i="1"/>
  <c r="S2888" i="1"/>
  <c r="Q2888" i="1"/>
  <c r="P2888" i="1"/>
  <c r="N2888" i="1"/>
  <c r="BO2888" i="1"/>
  <c r="BN2888" i="1"/>
  <c r="DG2991" i="1"/>
  <c r="DA2991" i="1"/>
  <c r="T2991" i="1"/>
  <c r="S2991" i="1"/>
  <c r="Q2991" i="1"/>
  <c r="P2991" i="1"/>
  <c r="N2991" i="1"/>
  <c r="BO2991" i="1"/>
  <c r="BN2991" i="1"/>
  <c r="DG2329" i="1"/>
  <c r="DA2329" i="1"/>
  <c r="T2329" i="1"/>
  <c r="S2329" i="1"/>
  <c r="Q2329" i="1"/>
  <c r="P2329" i="1"/>
  <c r="N2329" i="1"/>
  <c r="BO2329" i="1"/>
  <c r="BN2329" i="1"/>
  <c r="DG2737" i="1"/>
  <c r="DA2737" i="1"/>
  <c r="T2737" i="1"/>
  <c r="S2737" i="1"/>
  <c r="Q2737" i="1"/>
  <c r="P2737" i="1"/>
  <c r="N2737" i="1"/>
  <c r="BO2737" i="1"/>
  <c r="BN2737" i="1"/>
  <c r="DG2328" i="1"/>
  <c r="DA2328" i="1"/>
  <c r="T2328" i="1"/>
  <c r="S2328" i="1"/>
  <c r="Q2328" i="1"/>
  <c r="P2328" i="1"/>
  <c r="N2328" i="1"/>
  <c r="BO2328" i="1"/>
  <c r="BN2328" i="1"/>
  <c r="DG2327" i="1"/>
  <c r="DA2327" i="1"/>
  <c r="T2327" i="1"/>
  <c r="S2327" i="1"/>
  <c r="Q2327" i="1"/>
  <c r="P2327" i="1"/>
  <c r="N2327" i="1"/>
  <c r="BO2327" i="1"/>
  <c r="BN2327" i="1"/>
  <c r="DG2736" i="1"/>
  <c r="DA2736" i="1"/>
  <c r="T2736" i="1"/>
  <c r="S2736" i="1"/>
  <c r="Q2736" i="1"/>
  <c r="P2736" i="1"/>
  <c r="N2736" i="1"/>
  <c r="BO2736" i="1"/>
  <c r="BN2736" i="1"/>
  <c r="DG2326" i="1"/>
  <c r="DA2326" i="1"/>
  <c r="T2326" i="1"/>
  <c r="S2326" i="1"/>
  <c r="Q2326" i="1"/>
  <c r="P2326" i="1"/>
  <c r="N2326" i="1"/>
  <c r="BO2326" i="1"/>
  <c r="BN2326" i="1"/>
  <c r="DG2992" i="1"/>
  <c r="DA2992" i="1"/>
  <c r="T2992" i="1"/>
  <c r="S2992" i="1"/>
  <c r="Q2992" i="1"/>
  <c r="P2992" i="1"/>
  <c r="N2992" i="1"/>
  <c r="BO2992" i="1"/>
  <c r="BN2992" i="1"/>
  <c r="DG2325" i="1"/>
  <c r="DA2325" i="1"/>
  <c r="T2325" i="1"/>
  <c r="S2325" i="1"/>
  <c r="Q2325" i="1"/>
  <c r="P2325" i="1"/>
  <c r="N2325" i="1"/>
  <c r="BO2325" i="1"/>
  <c r="BN2325" i="1"/>
  <c r="DG2735" i="1"/>
  <c r="DA2735" i="1"/>
  <c r="T2735" i="1"/>
  <c r="S2735" i="1"/>
  <c r="Q2735" i="1"/>
  <c r="P2735" i="1"/>
  <c r="N2735" i="1"/>
  <c r="BO2735" i="1"/>
  <c r="BN2735" i="1"/>
  <c r="DG2324" i="1"/>
  <c r="DA2324" i="1"/>
  <c r="T2324" i="1"/>
  <c r="S2324" i="1"/>
  <c r="Q2324" i="1"/>
  <c r="P2324" i="1"/>
  <c r="N2324" i="1"/>
  <c r="BO2324" i="1"/>
  <c r="BN2324" i="1"/>
  <c r="DG2323" i="1"/>
  <c r="DA2323" i="1"/>
  <c r="T2323" i="1"/>
  <c r="S2323" i="1"/>
  <c r="Q2323" i="1"/>
  <c r="P2323" i="1"/>
  <c r="N2323" i="1"/>
  <c r="BO2323" i="1"/>
  <c r="BN2323" i="1"/>
  <c r="DG2734" i="1"/>
  <c r="DA2734" i="1"/>
  <c r="T2734" i="1"/>
  <c r="S2734" i="1"/>
  <c r="Q2734" i="1"/>
  <c r="P2734" i="1"/>
  <c r="N2734" i="1"/>
  <c r="BO2734" i="1"/>
  <c r="BN2734" i="1"/>
  <c r="DG2322" i="1"/>
  <c r="DA2322" i="1"/>
  <c r="T2322" i="1"/>
  <c r="S2322" i="1"/>
  <c r="Q2322" i="1"/>
  <c r="P2322" i="1"/>
  <c r="N2322" i="1"/>
  <c r="BO2322" i="1"/>
  <c r="BN2322" i="1"/>
  <c r="DG2442" i="1"/>
  <c r="DA2442" i="1"/>
  <c r="T2442" i="1"/>
  <c r="S2442" i="1"/>
  <c r="Q2442" i="1"/>
  <c r="P2442" i="1"/>
  <c r="N2442" i="1"/>
  <c r="BO2442" i="1"/>
  <c r="BN2442" i="1"/>
  <c r="DG2889" i="1"/>
  <c r="DA2889" i="1"/>
  <c r="T2889" i="1"/>
  <c r="S2889" i="1"/>
  <c r="Q2889" i="1"/>
  <c r="P2889" i="1"/>
  <c r="N2889" i="1"/>
  <c r="BO2889" i="1"/>
  <c r="BN2889" i="1"/>
  <c r="DG2993" i="1"/>
  <c r="DA2993" i="1"/>
  <c r="T2993" i="1"/>
  <c r="S2993" i="1"/>
  <c r="Q2993" i="1"/>
  <c r="P2993" i="1"/>
  <c r="N2993" i="1"/>
  <c r="BO2993" i="1"/>
  <c r="BN2993" i="1"/>
  <c r="DG2321" i="1"/>
  <c r="DA2321" i="1"/>
  <c r="T2321" i="1"/>
  <c r="S2321" i="1"/>
  <c r="Q2321" i="1"/>
  <c r="P2321" i="1"/>
  <c r="N2321" i="1"/>
  <c r="BO2321" i="1"/>
  <c r="BN2321" i="1"/>
  <c r="DG2733" i="1"/>
  <c r="DA2733" i="1"/>
  <c r="T2733" i="1"/>
  <c r="S2733" i="1"/>
  <c r="Q2733" i="1"/>
  <c r="P2733" i="1"/>
  <c r="N2733" i="1"/>
  <c r="BO2733" i="1"/>
  <c r="BN2733" i="1"/>
  <c r="DG2320" i="1"/>
  <c r="DA2320" i="1"/>
  <c r="T2320" i="1"/>
  <c r="S2320" i="1"/>
  <c r="Q2320" i="1"/>
  <c r="P2320" i="1"/>
  <c r="N2320" i="1"/>
  <c r="BO2320" i="1"/>
  <c r="BN2320" i="1"/>
  <c r="DG2319" i="1"/>
  <c r="DA2319" i="1"/>
  <c r="T2319" i="1"/>
  <c r="S2319" i="1"/>
  <c r="Q2319" i="1"/>
  <c r="P2319" i="1"/>
  <c r="N2319" i="1"/>
  <c r="BO2319" i="1"/>
  <c r="BN2319" i="1"/>
  <c r="DG2732" i="1"/>
  <c r="DA2732" i="1"/>
  <c r="T2732" i="1"/>
  <c r="S2732" i="1"/>
  <c r="Q2732" i="1"/>
  <c r="P2732" i="1"/>
  <c r="N2732" i="1"/>
  <c r="BO2732" i="1"/>
  <c r="BN2732" i="1"/>
  <c r="DG2318" i="1"/>
  <c r="DA2318" i="1"/>
  <c r="T2318" i="1"/>
  <c r="S2318" i="1"/>
  <c r="Q2318" i="1"/>
  <c r="P2318" i="1"/>
  <c r="N2318" i="1"/>
  <c r="BO2318" i="1"/>
  <c r="BN2318" i="1"/>
  <c r="DG2994" i="1"/>
  <c r="DA2994" i="1"/>
  <c r="T2994" i="1"/>
  <c r="S2994" i="1"/>
  <c r="Q2994" i="1"/>
  <c r="P2994" i="1"/>
  <c r="N2994" i="1"/>
  <c r="BO2994" i="1"/>
  <c r="BN2994" i="1"/>
  <c r="DG2317" i="1"/>
  <c r="DA2317" i="1"/>
  <c r="T2317" i="1"/>
  <c r="S2317" i="1"/>
  <c r="Q2317" i="1"/>
  <c r="P2317" i="1"/>
  <c r="N2317" i="1"/>
  <c r="BO2317" i="1"/>
  <c r="BN2317" i="1"/>
  <c r="DG2189" i="1"/>
  <c r="DA2189" i="1"/>
  <c r="T2189" i="1"/>
  <c r="S2189" i="1"/>
  <c r="Q2189" i="1"/>
  <c r="P2189" i="1"/>
  <c r="N2189" i="1"/>
  <c r="BO2189" i="1"/>
  <c r="BN2189" i="1"/>
  <c r="DG2731" i="1"/>
  <c r="DA2731" i="1"/>
  <c r="T2731" i="1"/>
  <c r="S2731" i="1"/>
  <c r="Q2731" i="1"/>
  <c r="P2731" i="1"/>
  <c r="N2731" i="1"/>
  <c r="BO2731" i="1"/>
  <c r="BN2731" i="1"/>
  <c r="DG2316" i="1"/>
  <c r="DA2316" i="1"/>
  <c r="T2316" i="1"/>
  <c r="S2316" i="1"/>
  <c r="Q2316" i="1"/>
  <c r="P2316" i="1"/>
  <c r="N2316" i="1"/>
  <c r="BO2316" i="1"/>
  <c r="BN2316" i="1"/>
  <c r="DG2315" i="1"/>
  <c r="DA2315" i="1"/>
  <c r="T2315" i="1"/>
  <c r="S2315" i="1"/>
  <c r="Q2315" i="1"/>
  <c r="P2315" i="1"/>
  <c r="N2315" i="1"/>
  <c r="BO2315" i="1"/>
  <c r="BN2315" i="1"/>
  <c r="DG2838" i="1"/>
  <c r="DA2838" i="1"/>
  <c r="T2838" i="1"/>
  <c r="S2838" i="1"/>
  <c r="Q2838" i="1"/>
  <c r="P2838" i="1"/>
  <c r="N2838" i="1"/>
  <c r="BO2838" i="1"/>
  <c r="BN2838" i="1"/>
  <c r="DG2314" i="1"/>
  <c r="DA2314" i="1"/>
  <c r="T2314" i="1"/>
  <c r="S2314" i="1"/>
  <c r="Q2314" i="1"/>
  <c r="P2314" i="1"/>
  <c r="N2314" i="1"/>
  <c r="BO2314" i="1"/>
  <c r="BN2314" i="1"/>
  <c r="DG2890" i="1"/>
  <c r="DA2890" i="1"/>
  <c r="T2890" i="1"/>
  <c r="S2890" i="1"/>
  <c r="Q2890" i="1"/>
  <c r="P2890" i="1"/>
  <c r="N2890" i="1"/>
  <c r="BO2890" i="1"/>
  <c r="BN2890" i="1"/>
  <c r="DG2995" i="1"/>
  <c r="DA2995" i="1"/>
  <c r="T2995" i="1"/>
  <c r="S2995" i="1"/>
  <c r="Q2995" i="1"/>
  <c r="P2995" i="1"/>
  <c r="N2995" i="1"/>
  <c r="BO2995" i="1"/>
  <c r="BN2995" i="1"/>
  <c r="DG2812" i="1"/>
  <c r="DA2812" i="1"/>
  <c r="T2812" i="1"/>
  <c r="S2812" i="1"/>
  <c r="Q2812" i="1"/>
  <c r="P2812" i="1"/>
  <c r="N2812" i="1"/>
  <c r="BO2812" i="1"/>
  <c r="BN2812" i="1"/>
  <c r="DG2313" i="1"/>
  <c r="DA2313" i="1"/>
  <c r="T2313" i="1"/>
  <c r="S2313" i="1"/>
  <c r="Q2313" i="1"/>
  <c r="P2313" i="1"/>
  <c r="N2313" i="1"/>
  <c r="BO2313" i="1"/>
  <c r="BN2313" i="1"/>
  <c r="DG2799" i="1"/>
  <c r="DA2799" i="1"/>
  <c r="T2799" i="1"/>
  <c r="S2799" i="1"/>
  <c r="Q2799" i="1"/>
  <c r="P2799" i="1"/>
  <c r="N2799" i="1"/>
  <c r="BO2799" i="1"/>
  <c r="BN2799" i="1"/>
  <c r="DG2729" i="1"/>
  <c r="DA2729" i="1"/>
  <c r="T2729" i="1"/>
  <c r="S2729" i="1"/>
  <c r="Q2729" i="1"/>
  <c r="P2729" i="1"/>
  <c r="N2729" i="1"/>
  <c r="BO2729" i="1"/>
  <c r="BN2729" i="1"/>
  <c r="DG2312" i="1"/>
  <c r="DA2312" i="1"/>
  <c r="T2312" i="1"/>
  <c r="S2312" i="1"/>
  <c r="Q2312" i="1"/>
  <c r="P2312" i="1"/>
  <c r="N2312" i="1"/>
  <c r="BO2312" i="1"/>
  <c r="BN2312" i="1"/>
  <c r="DG2311" i="1"/>
  <c r="DA2311" i="1"/>
  <c r="T2311" i="1"/>
  <c r="S2311" i="1"/>
  <c r="Q2311" i="1"/>
  <c r="P2311" i="1"/>
  <c r="N2311" i="1"/>
  <c r="BO2311" i="1"/>
  <c r="BN2311" i="1"/>
  <c r="DG2728" i="1"/>
  <c r="DA2728" i="1"/>
  <c r="T2728" i="1"/>
  <c r="S2728" i="1"/>
  <c r="Q2728" i="1"/>
  <c r="P2728" i="1"/>
  <c r="N2728" i="1"/>
  <c r="BO2728" i="1"/>
  <c r="BN2728" i="1"/>
  <c r="DG2310" i="1"/>
  <c r="DA2310" i="1"/>
  <c r="T2310" i="1"/>
  <c r="S2310" i="1"/>
  <c r="Q2310" i="1"/>
  <c r="P2310" i="1"/>
  <c r="N2310" i="1"/>
  <c r="BO2310" i="1"/>
  <c r="BN2310" i="1"/>
  <c r="DG2996" i="1"/>
  <c r="DA2996" i="1"/>
  <c r="T2996" i="1"/>
  <c r="S2996" i="1"/>
  <c r="Q2996" i="1"/>
  <c r="P2996" i="1"/>
  <c r="N2996" i="1"/>
  <c r="BO2996" i="1"/>
  <c r="BN2996" i="1"/>
  <c r="DG2309" i="1"/>
  <c r="DA2309" i="1"/>
  <c r="T2309" i="1"/>
  <c r="S2309" i="1"/>
  <c r="Q2309" i="1"/>
  <c r="P2309" i="1"/>
  <c r="N2309" i="1"/>
  <c r="BO2309" i="1"/>
  <c r="BN2309" i="1"/>
  <c r="DG2727" i="1"/>
  <c r="DA2727" i="1"/>
  <c r="T2727" i="1"/>
  <c r="S2727" i="1"/>
  <c r="Q2727" i="1"/>
  <c r="P2727" i="1"/>
  <c r="N2727" i="1"/>
  <c r="BO2727" i="1"/>
  <c r="BN2727" i="1"/>
  <c r="DG2308" i="1"/>
  <c r="DA2308" i="1"/>
  <c r="T2308" i="1"/>
  <c r="S2308" i="1"/>
  <c r="Q2308" i="1"/>
  <c r="P2308" i="1"/>
  <c r="N2308" i="1"/>
  <c r="BO2308" i="1"/>
  <c r="BN2308" i="1"/>
  <c r="DG2698" i="1"/>
  <c r="DA2698" i="1"/>
  <c r="T2698" i="1"/>
  <c r="S2698" i="1"/>
  <c r="Q2698" i="1"/>
  <c r="P2698" i="1"/>
  <c r="N2698" i="1"/>
  <c r="BO2698" i="1"/>
  <c r="BN2698" i="1"/>
  <c r="DG2726" i="1"/>
  <c r="DA2726" i="1"/>
  <c r="T2726" i="1"/>
  <c r="S2726" i="1"/>
  <c r="Q2726" i="1"/>
  <c r="P2726" i="1"/>
  <c r="N2726" i="1"/>
  <c r="BO2726" i="1"/>
  <c r="BN2726" i="1"/>
  <c r="DG2306" i="1"/>
  <c r="DA2306" i="1"/>
  <c r="T2306" i="1"/>
  <c r="S2306" i="1"/>
  <c r="Q2306" i="1"/>
  <c r="P2306" i="1"/>
  <c r="N2306" i="1"/>
  <c r="BO2306" i="1"/>
  <c r="BN2306" i="1"/>
  <c r="DG2891" i="1"/>
  <c r="DA2891" i="1"/>
  <c r="T2891" i="1"/>
  <c r="S2891" i="1"/>
  <c r="Q2891" i="1"/>
  <c r="P2891" i="1"/>
  <c r="N2891" i="1"/>
  <c r="BO2891" i="1"/>
  <c r="BN2891" i="1"/>
  <c r="DG2997" i="1"/>
  <c r="DA2997" i="1"/>
  <c r="T2997" i="1"/>
  <c r="S2997" i="1"/>
  <c r="Q2997" i="1"/>
  <c r="P2997" i="1"/>
  <c r="N2997" i="1"/>
  <c r="BO2997" i="1"/>
  <c r="BN2997" i="1"/>
  <c r="DG2305" i="1"/>
  <c r="DA2305" i="1"/>
  <c r="T2305" i="1"/>
  <c r="S2305" i="1"/>
  <c r="Q2305" i="1"/>
  <c r="P2305" i="1"/>
  <c r="N2305" i="1"/>
  <c r="BO2305" i="1"/>
  <c r="BN2305" i="1"/>
  <c r="DG2725" i="1"/>
  <c r="DA2725" i="1"/>
  <c r="T2725" i="1"/>
  <c r="S2725" i="1"/>
  <c r="Q2725" i="1"/>
  <c r="P2725" i="1"/>
  <c r="N2725" i="1"/>
  <c r="BO2725" i="1"/>
  <c r="BN2725" i="1"/>
  <c r="DG2304" i="1"/>
  <c r="DA2304" i="1"/>
  <c r="T2304" i="1"/>
  <c r="S2304" i="1"/>
  <c r="Q2304" i="1"/>
  <c r="P2304" i="1"/>
  <c r="N2304" i="1"/>
  <c r="BO2304" i="1"/>
  <c r="BN2304" i="1"/>
  <c r="DG2303" i="1"/>
  <c r="DA2303" i="1"/>
  <c r="T2303" i="1"/>
  <c r="S2303" i="1"/>
  <c r="Q2303" i="1"/>
  <c r="P2303" i="1"/>
  <c r="N2303" i="1"/>
  <c r="BO2303" i="1"/>
  <c r="BN2303" i="1"/>
  <c r="DG2724" i="1"/>
  <c r="DA2724" i="1"/>
  <c r="T2724" i="1"/>
  <c r="S2724" i="1"/>
  <c r="Q2724" i="1"/>
  <c r="P2724" i="1"/>
  <c r="N2724" i="1"/>
  <c r="BO2724" i="1"/>
  <c r="BN2724" i="1"/>
  <c r="DG2302" i="1"/>
  <c r="DA2302" i="1"/>
  <c r="T2302" i="1"/>
  <c r="S2302" i="1"/>
  <c r="Q2302" i="1"/>
  <c r="P2302" i="1"/>
  <c r="N2302" i="1"/>
  <c r="BO2302" i="1"/>
  <c r="BN2302" i="1"/>
  <c r="DG2998" i="1"/>
  <c r="DA2998" i="1"/>
  <c r="T2998" i="1"/>
  <c r="S2998" i="1"/>
  <c r="Q2998" i="1"/>
  <c r="P2998" i="1"/>
  <c r="N2998" i="1"/>
  <c r="BO2998" i="1"/>
  <c r="BN2998" i="1"/>
  <c r="DG2301" i="1"/>
  <c r="DA2301" i="1"/>
  <c r="T2301" i="1"/>
  <c r="S2301" i="1"/>
  <c r="Q2301" i="1"/>
  <c r="P2301" i="1"/>
  <c r="N2301" i="1"/>
  <c r="BO2301" i="1"/>
  <c r="BN2301" i="1"/>
  <c r="DG2842" i="1"/>
  <c r="DA2842" i="1"/>
  <c r="T2842" i="1"/>
  <c r="S2842" i="1"/>
  <c r="Q2842" i="1"/>
  <c r="P2842" i="1"/>
  <c r="N2842" i="1"/>
  <c r="BO2842" i="1"/>
  <c r="BN2842" i="1"/>
  <c r="DG2723" i="1"/>
  <c r="DA2723" i="1"/>
  <c r="T2723" i="1"/>
  <c r="S2723" i="1"/>
  <c r="Q2723" i="1"/>
  <c r="P2723" i="1"/>
  <c r="N2723" i="1"/>
  <c r="BO2723" i="1"/>
  <c r="BN2723" i="1"/>
  <c r="DG2299" i="1"/>
  <c r="DA2299" i="1"/>
  <c r="T2299" i="1"/>
  <c r="S2299" i="1"/>
  <c r="Q2299" i="1"/>
  <c r="P2299" i="1"/>
  <c r="N2299" i="1"/>
  <c r="BO2299" i="1"/>
  <c r="BN2299" i="1"/>
  <c r="DG2839" i="1"/>
  <c r="DA2839" i="1"/>
  <c r="T2839" i="1"/>
  <c r="S2839" i="1"/>
  <c r="Q2839" i="1"/>
  <c r="P2839" i="1"/>
  <c r="N2839" i="1"/>
  <c r="BO2839" i="1"/>
  <c r="BN2839" i="1"/>
  <c r="DG2722" i="1"/>
  <c r="DA2722" i="1"/>
  <c r="T2722" i="1"/>
  <c r="S2722" i="1"/>
  <c r="Q2722" i="1"/>
  <c r="P2722" i="1"/>
  <c r="N2722" i="1"/>
  <c r="BO2722" i="1"/>
  <c r="BN2722" i="1"/>
  <c r="DG2298" i="1"/>
  <c r="DA2298" i="1"/>
  <c r="T2298" i="1"/>
  <c r="S2298" i="1"/>
  <c r="Q2298" i="1"/>
  <c r="P2298" i="1"/>
  <c r="N2298" i="1"/>
  <c r="BO2298" i="1"/>
  <c r="BN2298" i="1"/>
  <c r="DG2892" i="1"/>
  <c r="DA2892" i="1"/>
  <c r="T2892" i="1"/>
  <c r="S2892" i="1"/>
  <c r="Q2892" i="1"/>
  <c r="P2892" i="1"/>
  <c r="N2892" i="1"/>
  <c r="BO2892" i="1"/>
  <c r="BN2892" i="1"/>
  <c r="DG2999" i="1"/>
  <c r="DA2999" i="1"/>
  <c r="T2999" i="1"/>
  <c r="S2999" i="1"/>
  <c r="Q2999" i="1"/>
  <c r="P2999" i="1"/>
  <c r="N2999" i="1"/>
  <c r="BO2999" i="1"/>
  <c r="BN2999" i="1"/>
  <c r="DG2297" i="1"/>
  <c r="DA2297" i="1"/>
  <c r="T2297" i="1"/>
  <c r="S2297" i="1"/>
  <c r="Q2297" i="1"/>
  <c r="P2297" i="1"/>
  <c r="N2297" i="1"/>
  <c r="BO2297" i="1"/>
  <c r="BN2297" i="1"/>
  <c r="DG3011" i="1"/>
  <c r="DA3011" i="1"/>
  <c r="T3011" i="1"/>
  <c r="S3011" i="1"/>
  <c r="Q3011" i="1"/>
  <c r="P3011" i="1"/>
  <c r="N3011" i="1"/>
  <c r="BO3011" i="1"/>
  <c r="BN3011" i="1"/>
  <c r="DG2721" i="1"/>
  <c r="DA2721" i="1"/>
  <c r="T2721" i="1"/>
  <c r="S2721" i="1"/>
  <c r="Q2721" i="1"/>
  <c r="P2721" i="1"/>
  <c r="N2721" i="1"/>
  <c r="BO2721" i="1"/>
  <c r="BN2721" i="1"/>
  <c r="DG2296" i="1"/>
  <c r="DA2296" i="1"/>
  <c r="T2296" i="1"/>
  <c r="S2296" i="1"/>
  <c r="Q2296" i="1"/>
  <c r="P2296" i="1"/>
  <c r="N2296" i="1"/>
  <c r="BO2296" i="1"/>
  <c r="BN2296" i="1"/>
  <c r="DG2295" i="1"/>
  <c r="DA2295" i="1"/>
  <c r="T2295" i="1"/>
  <c r="S2295" i="1"/>
  <c r="Q2295" i="1"/>
  <c r="P2295" i="1"/>
  <c r="N2295" i="1"/>
  <c r="BO2295" i="1"/>
  <c r="BN2295" i="1"/>
  <c r="DG2720" i="1"/>
  <c r="DA2720" i="1"/>
  <c r="T2720" i="1"/>
  <c r="S2720" i="1"/>
  <c r="Q2720" i="1"/>
  <c r="P2720" i="1"/>
  <c r="N2720" i="1"/>
  <c r="BO2720" i="1"/>
  <c r="BN2720" i="1"/>
  <c r="DG2294" i="1"/>
  <c r="DA2294" i="1"/>
  <c r="T2294" i="1"/>
  <c r="S2294" i="1"/>
  <c r="Q2294" i="1"/>
  <c r="P2294" i="1"/>
  <c r="N2294" i="1"/>
  <c r="BO2294" i="1"/>
  <c r="BN2294" i="1"/>
  <c r="DG3000" i="1"/>
  <c r="DA3000" i="1"/>
  <c r="T3000" i="1"/>
  <c r="S3000" i="1"/>
  <c r="Q3000" i="1"/>
  <c r="P3000" i="1"/>
  <c r="N3000" i="1"/>
  <c r="BO3000" i="1"/>
  <c r="BN3000" i="1"/>
  <c r="DG2293" i="1"/>
  <c r="DA2293" i="1"/>
  <c r="T2293" i="1"/>
  <c r="S2293" i="1"/>
  <c r="Q2293" i="1"/>
  <c r="P2293" i="1"/>
  <c r="N2293" i="1"/>
  <c r="BO2293" i="1"/>
  <c r="BN2293" i="1"/>
  <c r="DG2719" i="1"/>
  <c r="DA2719" i="1"/>
  <c r="T2719" i="1"/>
  <c r="S2719" i="1"/>
  <c r="Q2719" i="1"/>
  <c r="P2719" i="1"/>
  <c r="N2719" i="1"/>
  <c r="BO2719" i="1"/>
  <c r="BN2719" i="1"/>
  <c r="DG2292" i="1"/>
  <c r="DA2292" i="1"/>
  <c r="T2292" i="1"/>
  <c r="S2292" i="1"/>
  <c r="Q2292" i="1"/>
  <c r="P2292" i="1"/>
  <c r="N2292" i="1"/>
  <c r="BO2292" i="1"/>
  <c r="BN2292" i="1"/>
  <c r="DG2291" i="1"/>
  <c r="DA2291" i="1"/>
  <c r="T2291" i="1"/>
  <c r="S2291" i="1"/>
  <c r="Q2291" i="1"/>
  <c r="P2291" i="1"/>
  <c r="N2291" i="1"/>
  <c r="BO2291" i="1"/>
  <c r="BN2291" i="1"/>
  <c r="DG2718" i="1"/>
  <c r="DA2718" i="1"/>
  <c r="T2718" i="1"/>
  <c r="S2718" i="1"/>
  <c r="Q2718" i="1"/>
  <c r="P2718" i="1"/>
  <c r="N2718" i="1"/>
  <c r="BO2718" i="1"/>
  <c r="BN2718" i="1"/>
  <c r="DG2290" i="1"/>
  <c r="DA2290" i="1"/>
  <c r="T2290" i="1"/>
  <c r="S2290" i="1"/>
  <c r="Q2290" i="1"/>
  <c r="P2290" i="1"/>
  <c r="N2290" i="1"/>
  <c r="BO2290" i="1"/>
  <c r="BN2290" i="1"/>
  <c r="DG2893" i="1"/>
  <c r="DA2893" i="1"/>
  <c r="T2893" i="1"/>
  <c r="S2893" i="1"/>
  <c r="Q2893" i="1"/>
  <c r="P2893" i="1"/>
  <c r="N2893" i="1"/>
  <c r="BO2893" i="1"/>
  <c r="BN2893" i="1"/>
  <c r="DG3001" i="1"/>
  <c r="DA3001" i="1"/>
  <c r="T3001" i="1"/>
  <c r="S3001" i="1"/>
  <c r="Q3001" i="1"/>
  <c r="P3001" i="1"/>
  <c r="N3001" i="1"/>
  <c r="BO3001" i="1"/>
  <c r="BN3001" i="1"/>
  <c r="DG2289" i="1"/>
  <c r="DA2289" i="1"/>
  <c r="T2289" i="1"/>
  <c r="S2289" i="1"/>
  <c r="Q2289" i="1"/>
  <c r="P2289" i="1"/>
  <c r="N2289" i="1"/>
  <c r="BO2289" i="1"/>
  <c r="BN2289" i="1"/>
  <c r="DG2717" i="1"/>
  <c r="DA2717" i="1"/>
  <c r="T2717" i="1"/>
  <c r="S2717" i="1"/>
  <c r="Q2717" i="1"/>
  <c r="P2717" i="1"/>
  <c r="N2717" i="1"/>
  <c r="BO2717" i="1"/>
  <c r="BN2717" i="1"/>
  <c r="DG2288" i="1"/>
  <c r="DA2288" i="1"/>
  <c r="T2288" i="1"/>
  <c r="S2288" i="1"/>
  <c r="Q2288" i="1"/>
  <c r="P2288" i="1"/>
  <c r="N2288" i="1"/>
  <c r="BO2288" i="1"/>
  <c r="BN2288" i="1"/>
  <c r="DG2287" i="1"/>
  <c r="DA2287" i="1"/>
  <c r="T2287" i="1"/>
  <c r="S2287" i="1"/>
  <c r="Q2287" i="1"/>
  <c r="P2287" i="1"/>
  <c r="N2287" i="1"/>
  <c r="BO2287" i="1"/>
  <c r="BN2287" i="1"/>
  <c r="DG2716" i="1"/>
  <c r="DA2716" i="1"/>
  <c r="T2716" i="1"/>
  <c r="S2716" i="1"/>
  <c r="Q2716" i="1"/>
  <c r="P2716" i="1"/>
  <c r="N2716" i="1"/>
  <c r="BO2716" i="1"/>
  <c r="BN2716" i="1"/>
  <c r="DG2286" i="1"/>
  <c r="DA2286" i="1"/>
  <c r="T2286" i="1"/>
  <c r="S2286" i="1"/>
  <c r="Q2286" i="1"/>
  <c r="P2286" i="1"/>
  <c r="N2286" i="1"/>
  <c r="BO2286" i="1"/>
  <c r="BN2286" i="1"/>
  <c r="DG2285" i="1"/>
  <c r="DA2285" i="1"/>
  <c r="T2285" i="1"/>
  <c r="S2285" i="1"/>
  <c r="Q2285" i="1"/>
  <c r="P2285" i="1"/>
  <c r="N2285" i="1"/>
  <c r="BO2285" i="1"/>
  <c r="BN2285" i="1"/>
  <c r="DG2715" i="1"/>
  <c r="DA2715" i="1"/>
  <c r="T2715" i="1"/>
  <c r="S2715" i="1"/>
  <c r="Q2715" i="1"/>
  <c r="P2715" i="1"/>
  <c r="N2715" i="1"/>
  <c r="BO2715" i="1"/>
  <c r="BN2715" i="1"/>
  <c r="DG2284" i="1"/>
  <c r="DA2284" i="1"/>
  <c r="T2284" i="1"/>
  <c r="S2284" i="1"/>
  <c r="Q2284" i="1"/>
  <c r="P2284" i="1"/>
  <c r="N2284" i="1"/>
  <c r="BO2284" i="1"/>
  <c r="BN2284" i="1"/>
  <c r="DG2283" i="1"/>
  <c r="DA2283" i="1"/>
  <c r="T2283" i="1"/>
  <c r="S2283" i="1"/>
  <c r="Q2283" i="1"/>
  <c r="P2283" i="1"/>
  <c r="N2283" i="1"/>
  <c r="BO2283" i="1"/>
  <c r="BN2283" i="1"/>
  <c r="DG2840" i="1"/>
  <c r="DA2840" i="1"/>
  <c r="T2840" i="1"/>
  <c r="S2840" i="1"/>
  <c r="Q2840" i="1"/>
  <c r="P2840" i="1"/>
  <c r="N2840" i="1"/>
  <c r="BO2840" i="1"/>
  <c r="BN2840" i="1"/>
  <c r="DG2714" i="1"/>
  <c r="DA2714" i="1"/>
  <c r="T2714" i="1"/>
  <c r="S2714" i="1"/>
  <c r="Q2714" i="1"/>
  <c r="P2714" i="1"/>
  <c r="N2714" i="1"/>
  <c r="BO2714" i="1"/>
  <c r="BN2714" i="1"/>
  <c r="DG3198" i="1"/>
  <c r="DA3198" i="1"/>
  <c r="T3198" i="1"/>
  <c r="S3198" i="1"/>
  <c r="Q3198" i="1"/>
  <c r="P3198" i="1"/>
  <c r="N3198" i="1"/>
  <c r="BO3198" i="1"/>
  <c r="BN3198" i="1"/>
  <c r="DG3199" i="1"/>
  <c r="DA3199" i="1"/>
  <c r="T3199" i="1"/>
  <c r="S3199" i="1"/>
  <c r="Q3199" i="1"/>
  <c r="P3199" i="1"/>
  <c r="N3199" i="1"/>
  <c r="BO3199" i="1"/>
  <c r="BN3199" i="1"/>
  <c r="DG3196" i="1"/>
  <c r="DA3196" i="1"/>
  <c r="T3196" i="1"/>
  <c r="S3196" i="1"/>
  <c r="Q3196" i="1"/>
  <c r="P3196" i="1"/>
  <c r="N3196" i="1"/>
  <c r="BO3196" i="1"/>
  <c r="BN3196" i="1"/>
  <c r="DG3197" i="1"/>
  <c r="DA3197" i="1"/>
  <c r="T3197" i="1"/>
  <c r="S3197" i="1"/>
  <c r="Q3197" i="1"/>
  <c r="P3197" i="1"/>
  <c r="N3197" i="1"/>
  <c r="BO3197" i="1"/>
  <c r="BN3197" i="1"/>
  <c r="DG1121" i="1"/>
  <c r="DA1121" i="1"/>
  <c r="T1121" i="1"/>
  <c r="S1121" i="1"/>
  <c r="Q1121" i="1"/>
  <c r="P1121" i="1"/>
  <c r="N1121" i="1"/>
  <c r="BO1121" i="1"/>
  <c r="BN1121" i="1"/>
  <c r="DG1122" i="1"/>
  <c r="DA1122" i="1"/>
  <c r="T1122" i="1"/>
  <c r="S1122" i="1"/>
  <c r="Q1122" i="1"/>
  <c r="P1122" i="1"/>
  <c r="N1122" i="1"/>
  <c r="BO1122" i="1"/>
  <c r="BN1122" i="1"/>
  <c r="DG1123" i="1"/>
  <c r="DA1123" i="1"/>
  <c r="T1123" i="1"/>
  <c r="S1123" i="1"/>
  <c r="Q1123" i="1"/>
  <c r="P1123" i="1"/>
  <c r="N1123" i="1"/>
  <c r="BO1123" i="1"/>
  <c r="BN1123" i="1"/>
  <c r="DG1124" i="1"/>
  <c r="DA1124" i="1"/>
  <c r="T1124" i="1"/>
  <c r="S1124" i="1"/>
  <c r="Q1124" i="1"/>
  <c r="P1124" i="1"/>
  <c r="N1124" i="1"/>
  <c r="BO1124" i="1"/>
  <c r="BN1124" i="1"/>
  <c r="DG1125" i="1"/>
  <c r="DA1125" i="1"/>
  <c r="T1125" i="1"/>
  <c r="S1125" i="1"/>
  <c r="Q1125" i="1"/>
  <c r="P1125" i="1"/>
  <c r="N1125" i="1"/>
  <c r="BO1125" i="1"/>
  <c r="BN1125" i="1"/>
  <c r="DG1126" i="1"/>
  <c r="DA1126" i="1"/>
  <c r="T1126" i="1"/>
  <c r="S1126" i="1"/>
  <c r="Q1126" i="1"/>
  <c r="P1126" i="1"/>
  <c r="N1126" i="1"/>
  <c r="BO1126" i="1"/>
  <c r="BN1126" i="1"/>
  <c r="DG1127" i="1"/>
  <c r="DA1127" i="1"/>
  <c r="T1127" i="1"/>
  <c r="S1127" i="1"/>
  <c r="Q1127" i="1"/>
  <c r="P1127" i="1"/>
  <c r="N1127" i="1"/>
  <c r="BO1127" i="1"/>
  <c r="BN1127" i="1"/>
  <c r="DG1128" i="1"/>
  <c r="DA1128" i="1"/>
  <c r="T1128" i="1"/>
  <c r="S1128" i="1"/>
  <c r="Q1128" i="1"/>
  <c r="P1128" i="1"/>
  <c r="N1128" i="1"/>
  <c r="BO1128" i="1"/>
  <c r="BN1128" i="1"/>
  <c r="DG1129" i="1"/>
  <c r="DA1129" i="1"/>
  <c r="T1129" i="1"/>
  <c r="S1129" i="1"/>
  <c r="Q1129" i="1"/>
  <c r="P1129" i="1"/>
  <c r="N1129" i="1"/>
  <c r="BO1129" i="1"/>
  <c r="BN1129" i="1"/>
  <c r="DG1130" i="1"/>
  <c r="DA1130" i="1"/>
  <c r="T1130" i="1"/>
  <c r="S1130" i="1"/>
  <c r="Q1130" i="1"/>
  <c r="P1130" i="1"/>
  <c r="N1130" i="1"/>
  <c r="BO1130" i="1"/>
  <c r="BN1130" i="1"/>
  <c r="DG1131" i="1"/>
  <c r="DA1131" i="1"/>
  <c r="T1131" i="1"/>
  <c r="S1131" i="1"/>
  <c r="Q1131" i="1"/>
  <c r="P1131" i="1"/>
  <c r="N1131" i="1"/>
  <c r="BO1131" i="1"/>
  <c r="BN1131" i="1"/>
  <c r="DG1132" i="1"/>
  <c r="DA1132" i="1"/>
  <c r="T1132" i="1"/>
  <c r="S1132" i="1"/>
  <c r="Q1132" i="1"/>
  <c r="P1132" i="1"/>
  <c r="N1132" i="1"/>
  <c r="BO1132" i="1"/>
  <c r="BN1132" i="1"/>
  <c r="DG1133" i="1"/>
  <c r="DA1133" i="1"/>
  <c r="T1133" i="1"/>
  <c r="S1133" i="1"/>
  <c r="Q1133" i="1"/>
  <c r="P1133" i="1"/>
  <c r="N1133" i="1"/>
  <c r="BO1133" i="1"/>
  <c r="BN1133" i="1"/>
  <c r="DG1134" i="1"/>
  <c r="DA1134" i="1"/>
  <c r="T1134" i="1"/>
  <c r="S1134" i="1"/>
  <c r="Q1134" i="1"/>
  <c r="P1134" i="1"/>
  <c r="N1134" i="1"/>
  <c r="BO1134" i="1"/>
  <c r="BN1134" i="1"/>
  <c r="DG1135" i="1"/>
  <c r="DA1135" i="1"/>
  <c r="T1135" i="1"/>
  <c r="S1135" i="1"/>
  <c r="Q1135" i="1"/>
  <c r="P1135" i="1"/>
  <c r="N1135" i="1"/>
  <c r="BO1135" i="1"/>
  <c r="BN1135" i="1"/>
  <c r="DG1136" i="1"/>
  <c r="DA1136" i="1"/>
  <c r="T1136" i="1"/>
  <c r="S1136" i="1"/>
  <c r="Q1136" i="1"/>
  <c r="P1136" i="1"/>
  <c r="N1136" i="1"/>
  <c r="BO1136" i="1"/>
  <c r="BN1136" i="1"/>
  <c r="DG1137" i="1"/>
  <c r="DA1137" i="1"/>
  <c r="T1137" i="1"/>
  <c r="S1137" i="1"/>
  <c r="Q1137" i="1"/>
  <c r="P1137" i="1"/>
  <c r="N1137" i="1"/>
  <c r="BO1137" i="1"/>
  <c r="BN1137" i="1"/>
  <c r="DG1138" i="1"/>
  <c r="DA1138" i="1"/>
  <c r="T1138" i="1"/>
  <c r="S1138" i="1"/>
  <c r="Q1138" i="1"/>
  <c r="P1138" i="1"/>
  <c r="N1138" i="1"/>
  <c r="BO1138" i="1"/>
  <c r="BN1138" i="1"/>
  <c r="DG1139" i="1"/>
  <c r="DA1139" i="1"/>
  <c r="T1139" i="1"/>
  <c r="S1139" i="1"/>
  <c r="Q1139" i="1"/>
  <c r="P1139" i="1"/>
  <c r="N1139" i="1"/>
  <c r="BO1139" i="1"/>
  <c r="BN1139" i="1"/>
  <c r="DG1140" i="1"/>
  <c r="DA1140" i="1"/>
  <c r="T1140" i="1"/>
  <c r="S1140" i="1"/>
  <c r="Q1140" i="1"/>
  <c r="P1140" i="1"/>
  <c r="N1140" i="1"/>
  <c r="BO1140" i="1"/>
  <c r="BN1140" i="1"/>
  <c r="DG1141" i="1"/>
  <c r="DA1141" i="1"/>
  <c r="T1141" i="1"/>
  <c r="S1141" i="1"/>
  <c r="Q1141" i="1"/>
  <c r="P1141" i="1"/>
  <c r="N1141" i="1"/>
  <c r="BO1141" i="1"/>
  <c r="BN1141" i="1"/>
  <c r="DG1142" i="1"/>
  <c r="DA1142" i="1"/>
  <c r="T1142" i="1"/>
  <c r="S1142" i="1"/>
  <c r="Q1142" i="1"/>
  <c r="P1142" i="1"/>
  <c r="N1142" i="1"/>
  <c r="BO1142" i="1"/>
  <c r="BN1142" i="1"/>
  <c r="DG1143" i="1"/>
  <c r="DA1143" i="1"/>
  <c r="T1143" i="1"/>
  <c r="S1143" i="1"/>
  <c r="Q1143" i="1"/>
  <c r="P1143" i="1"/>
  <c r="N1143" i="1"/>
  <c r="BO1143" i="1"/>
  <c r="BN1143" i="1"/>
  <c r="DG1144" i="1"/>
  <c r="DA1144" i="1"/>
  <c r="T1144" i="1"/>
  <c r="S1144" i="1"/>
  <c r="Q1144" i="1"/>
  <c r="P1144" i="1"/>
  <c r="N1144" i="1"/>
  <c r="BO1144" i="1"/>
  <c r="BN1144" i="1"/>
  <c r="DG1145" i="1"/>
  <c r="DA1145" i="1"/>
  <c r="T1145" i="1"/>
  <c r="S1145" i="1"/>
  <c r="Q1145" i="1"/>
  <c r="P1145" i="1"/>
  <c r="N1145" i="1"/>
  <c r="BO1145" i="1"/>
  <c r="BN1145" i="1"/>
  <c r="DG1146" i="1"/>
  <c r="DA1146" i="1"/>
  <c r="T1146" i="1"/>
  <c r="S1146" i="1"/>
  <c r="Q1146" i="1"/>
  <c r="P1146" i="1"/>
  <c r="N1146" i="1"/>
  <c r="BO1146" i="1"/>
  <c r="BN1146" i="1"/>
  <c r="DG1147" i="1"/>
  <c r="DA1147" i="1"/>
  <c r="T1147" i="1"/>
  <c r="S1147" i="1"/>
  <c r="Q1147" i="1"/>
  <c r="P1147" i="1"/>
  <c r="N1147" i="1"/>
  <c r="BO1147" i="1"/>
  <c r="BN1147" i="1"/>
  <c r="DG1148" i="1"/>
  <c r="DA1148" i="1"/>
  <c r="T1148" i="1"/>
  <c r="S1148" i="1"/>
  <c r="Q1148" i="1"/>
  <c r="P1148" i="1"/>
  <c r="N1148" i="1"/>
  <c r="BO1148" i="1"/>
  <c r="BN1148" i="1"/>
  <c r="DG1149" i="1"/>
  <c r="DA1149" i="1"/>
  <c r="T1149" i="1"/>
  <c r="S1149" i="1"/>
  <c r="Q1149" i="1"/>
  <c r="P1149" i="1"/>
  <c r="N1149" i="1"/>
  <c r="BO1149" i="1"/>
  <c r="BN1149" i="1"/>
  <c r="DG1150" i="1"/>
  <c r="DA1150" i="1"/>
  <c r="T1150" i="1"/>
  <c r="S1150" i="1"/>
  <c r="Q1150" i="1"/>
  <c r="P1150" i="1"/>
  <c r="N1150" i="1"/>
  <c r="BO1150" i="1"/>
  <c r="BN1150" i="1"/>
  <c r="DG1151" i="1"/>
  <c r="DA1151" i="1"/>
  <c r="T1151" i="1"/>
  <c r="S1151" i="1"/>
  <c r="Q1151" i="1"/>
  <c r="P1151" i="1"/>
  <c r="N1151" i="1"/>
  <c r="BO1151" i="1"/>
  <c r="BN1151" i="1"/>
  <c r="DG1152" i="1"/>
  <c r="DA1152" i="1"/>
  <c r="T1152" i="1"/>
  <c r="S1152" i="1"/>
  <c r="Q1152" i="1"/>
  <c r="P1152" i="1"/>
  <c r="N1152" i="1"/>
  <c r="BO1152" i="1"/>
  <c r="BN1152" i="1"/>
  <c r="DG1153" i="1"/>
  <c r="DA1153" i="1"/>
  <c r="T1153" i="1"/>
  <c r="S1153" i="1"/>
  <c r="Q1153" i="1"/>
  <c r="P1153" i="1"/>
  <c r="N1153" i="1"/>
  <c r="BO1153" i="1"/>
  <c r="BN1153" i="1"/>
  <c r="DG1154" i="1"/>
  <c r="DA1154" i="1"/>
  <c r="T1154" i="1"/>
  <c r="S1154" i="1"/>
  <c r="Q1154" i="1"/>
  <c r="P1154" i="1"/>
  <c r="N1154" i="1"/>
  <c r="BO1154" i="1"/>
  <c r="BN1154" i="1"/>
  <c r="DG1155" i="1"/>
  <c r="DA1155" i="1"/>
  <c r="T1155" i="1"/>
  <c r="S1155" i="1"/>
  <c r="Q1155" i="1"/>
  <c r="P1155" i="1"/>
  <c r="N1155" i="1"/>
  <c r="BO1155" i="1"/>
  <c r="BN1155" i="1"/>
  <c r="DG1156" i="1"/>
  <c r="DA1156" i="1"/>
  <c r="T1156" i="1"/>
  <c r="S1156" i="1"/>
  <c r="Q1156" i="1"/>
  <c r="P1156" i="1"/>
  <c r="N1156" i="1"/>
  <c r="BO1156" i="1"/>
  <c r="BN1156" i="1"/>
  <c r="DG1157" i="1"/>
  <c r="DA1157" i="1"/>
  <c r="T1157" i="1"/>
  <c r="S1157" i="1"/>
  <c r="Q1157" i="1"/>
  <c r="P1157" i="1"/>
  <c r="N1157" i="1"/>
  <c r="BO1157" i="1"/>
  <c r="BN1157" i="1"/>
  <c r="DG1158" i="1"/>
  <c r="DA1158" i="1"/>
  <c r="T1158" i="1"/>
  <c r="S1158" i="1"/>
  <c r="Q1158" i="1"/>
  <c r="P1158" i="1"/>
  <c r="N1158" i="1"/>
  <c r="BO1158" i="1"/>
  <c r="BN1158" i="1"/>
  <c r="DG1159" i="1"/>
  <c r="DA1159" i="1"/>
  <c r="T1159" i="1"/>
  <c r="S1159" i="1"/>
  <c r="Q1159" i="1"/>
  <c r="P1159" i="1"/>
  <c r="N1159" i="1"/>
  <c r="BO1159" i="1"/>
  <c r="BN1159" i="1"/>
  <c r="DG1160" i="1"/>
  <c r="DA1160" i="1"/>
  <c r="T1160" i="1"/>
  <c r="S1160" i="1"/>
  <c r="Q1160" i="1"/>
  <c r="P1160" i="1"/>
  <c r="N1160" i="1"/>
  <c r="BO1160" i="1"/>
  <c r="BN1160" i="1"/>
  <c r="DG1161" i="1"/>
  <c r="DA1161" i="1"/>
  <c r="T1161" i="1"/>
  <c r="S1161" i="1"/>
  <c r="Q1161" i="1"/>
  <c r="P1161" i="1"/>
  <c r="N1161" i="1"/>
  <c r="BO1161" i="1"/>
  <c r="BN1161" i="1"/>
  <c r="DG1162" i="1"/>
  <c r="DA1162" i="1"/>
  <c r="T1162" i="1"/>
  <c r="S1162" i="1"/>
  <c r="Q1162" i="1"/>
  <c r="P1162" i="1"/>
  <c r="N1162" i="1"/>
  <c r="BO1162" i="1"/>
  <c r="BN1162" i="1"/>
  <c r="DG1163" i="1"/>
  <c r="DA1163" i="1"/>
  <c r="T1163" i="1"/>
  <c r="S1163" i="1"/>
  <c r="Q1163" i="1"/>
  <c r="P1163" i="1"/>
  <c r="N1163" i="1"/>
  <c r="BO1163" i="1"/>
  <c r="BN1163" i="1"/>
  <c r="DG1164" i="1"/>
  <c r="DA1164" i="1"/>
  <c r="T1164" i="1"/>
  <c r="S1164" i="1"/>
  <c r="Q1164" i="1"/>
  <c r="P1164" i="1"/>
  <c r="N1164" i="1"/>
  <c r="BO1164" i="1"/>
  <c r="BN1164" i="1"/>
  <c r="DG1165" i="1"/>
  <c r="DA1165" i="1"/>
  <c r="T1165" i="1"/>
  <c r="S1165" i="1"/>
  <c r="Q1165" i="1"/>
  <c r="P1165" i="1"/>
  <c r="N1165" i="1"/>
  <c r="BO1165" i="1"/>
  <c r="BN1165" i="1"/>
  <c r="DG1166" i="1"/>
  <c r="DA1166" i="1"/>
  <c r="T1166" i="1"/>
  <c r="S1166" i="1"/>
  <c r="Q1166" i="1"/>
  <c r="P1166" i="1"/>
  <c r="N1166" i="1"/>
  <c r="BO1166" i="1"/>
  <c r="BN1166" i="1"/>
  <c r="DG1167" i="1"/>
  <c r="DA1167" i="1"/>
  <c r="T1167" i="1"/>
  <c r="S1167" i="1"/>
  <c r="Q1167" i="1"/>
  <c r="P1167" i="1"/>
  <c r="N1167" i="1"/>
  <c r="BO1167" i="1"/>
  <c r="BN1167" i="1"/>
  <c r="DG1169" i="1"/>
  <c r="DA1169" i="1"/>
  <c r="T1169" i="1"/>
  <c r="S1169" i="1"/>
  <c r="Q1169" i="1"/>
  <c r="P1169" i="1"/>
  <c r="N1169" i="1"/>
  <c r="BO1169" i="1"/>
  <c r="BN1169" i="1"/>
  <c r="DG1170" i="1"/>
  <c r="DA1170" i="1"/>
  <c r="T1170" i="1"/>
  <c r="S1170" i="1"/>
  <c r="Q1170" i="1"/>
  <c r="P1170" i="1"/>
  <c r="N1170" i="1"/>
  <c r="BO1170" i="1"/>
  <c r="BN1170" i="1"/>
  <c r="DG1171" i="1"/>
  <c r="DA1171" i="1"/>
  <c r="T1171" i="1"/>
  <c r="S1171" i="1"/>
  <c r="Q1171" i="1"/>
  <c r="P1171" i="1"/>
  <c r="N1171" i="1"/>
  <c r="BO1171" i="1"/>
  <c r="BN1171" i="1"/>
  <c r="DG1172" i="1"/>
  <c r="DA1172" i="1"/>
  <c r="T1172" i="1"/>
  <c r="S1172" i="1"/>
  <c r="Q1172" i="1"/>
  <c r="P1172" i="1"/>
  <c r="N1172" i="1"/>
  <c r="BO1172" i="1"/>
  <c r="BN1172" i="1"/>
  <c r="DG1173" i="1"/>
  <c r="DA1173" i="1"/>
  <c r="T1173" i="1"/>
  <c r="S1173" i="1"/>
  <c r="Q1173" i="1"/>
  <c r="P1173" i="1"/>
  <c r="N1173" i="1"/>
  <c r="BO1173" i="1"/>
  <c r="BN1173" i="1"/>
  <c r="DG1174" i="1"/>
  <c r="DA1174" i="1"/>
  <c r="T1174" i="1"/>
  <c r="S1174" i="1"/>
  <c r="Q1174" i="1"/>
  <c r="P1174" i="1"/>
  <c r="N1174" i="1"/>
  <c r="BO1174" i="1"/>
  <c r="BN1174" i="1"/>
  <c r="DG1175" i="1"/>
  <c r="DA1175" i="1"/>
  <c r="T1175" i="1"/>
  <c r="S1175" i="1"/>
  <c r="Q1175" i="1"/>
  <c r="P1175" i="1"/>
  <c r="N1175" i="1"/>
  <c r="BO1175" i="1"/>
  <c r="BN1175" i="1"/>
  <c r="DG1176" i="1"/>
  <c r="DA1176" i="1"/>
  <c r="T1176" i="1"/>
  <c r="S1176" i="1"/>
  <c r="Q1176" i="1"/>
  <c r="P1176" i="1"/>
  <c r="N1176" i="1"/>
  <c r="BO1176" i="1"/>
  <c r="BN1176" i="1"/>
  <c r="DG1177" i="1"/>
  <c r="DA1177" i="1"/>
  <c r="T1177" i="1"/>
  <c r="S1177" i="1"/>
  <c r="Q1177" i="1"/>
  <c r="P1177" i="1"/>
  <c r="N1177" i="1"/>
  <c r="BO1177" i="1"/>
  <c r="BN1177" i="1"/>
  <c r="DG1179" i="1"/>
  <c r="DA1179" i="1"/>
  <c r="T1179" i="1"/>
  <c r="S1179" i="1"/>
  <c r="Q1179" i="1"/>
  <c r="P1179" i="1"/>
  <c r="N1179" i="1"/>
  <c r="BO1179" i="1"/>
  <c r="BN1179" i="1"/>
  <c r="DG1180" i="1"/>
  <c r="DA1180" i="1"/>
  <c r="T1180" i="1"/>
  <c r="S1180" i="1"/>
  <c r="Q1180" i="1"/>
  <c r="P1180" i="1"/>
  <c r="N1180" i="1"/>
  <c r="BO1180" i="1"/>
  <c r="BN1180" i="1"/>
  <c r="DG1181" i="1"/>
  <c r="DA1181" i="1"/>
  <c r="T1181" i="1"/>
  <c r="S1181" i="1"/>
  <c r="Q1181" i="1"/>
  <c r="P1181" i="1"/>
  <c r="N1181" i="1"/>
  <c r="BO1181" i="1"/>
  <c r="BN1181" i="1"/>
  <c r="DG1182" i="1"/>
  <c r="DA1182" i="1"/>
  <c r="T1182" i="1"/>
  <c r="S1182" i="1"/>
  <c r="Q1182" i="1"/>
  <c r="P1182" i="1"/>
  <c r="N1182" i="1"/>
  <c r="BO1182" i="1"/>
  <c r="BN1182" i="1"/>
  <c r="DG1183" i="1"/>
  <c r="DA1183" i="1"/>
  <c r="T1183" i="1"/>
  <c r="S1183" i="1"/>
  <c r="Q1183" i="1"/>
  <c r="P1183" i="1"/>
  <c r="N1183" i="1"/>
  <c r="BO1183" i="1"/>
  <c r="BN1183" i="1"/>
  <c r="DG1184" i="1"/>
  <c r="DA1184" i="1"/>
  <c r="T1184" i="1"/>
  <c r="S1184" i="1"/>
  <c r="Q1184" i="1"/>
  <c r="P1184" i="1"/>
  <c r="N1184" i="1"/>
  <c r="BO1184" i="1"/>
  <c r="BN1184" i="1"/>
  <c r="DG1185" i="1"/>
  <c r="DA1185" i="1"/>
  <c r="T1185" i="1"/>
  <c r="S1185" i="1"/>
  <c r="Q1185" i="1"/>
  <c r="P1185" i="1"/>
  <c r="N1185" i="1"/>
  <c r="BO1185" i="1"/>
  <c r="BN1185" i="1"/>
  <c r="DG1186" i="1"/>
  <c r="DA1186" i="1"/>
  <c r="T1186" i="1"/>
  <c r="S1186" i="1"/>
  <c r="Q1186" i="1"/>
  <c r="P1186" i="1"/>
  <c r="N1186" i="1"/>
  <c r="BO1186" i="1"/>
  <c r="BN1186" i="1"/>
  <c r="DG1187" i="1"/>
  <c r="DA1187" i="1"/>
  <c r="T1187" i="1"/>
  <c r="S1187" i="1"/>
  <c r="Q1187" i="1"/>
  <c r="P1187" i="1"/>
  <c r="N1187" i="1"/>
  <c r="BO1187" i="1"/>
  <c r="BN1187" i="1"/>
  <c r="DG1188" i="1"/>
  <c r="DA1188" i="1"/>
  <c r="T1188" i="1"/>
  <c r="S1188" i="1"/>
  <c r="Q1188" i="1"/>
  <c r="P1188" i="1"/>
  <c r="N1188" i="1"/>
  <c r="BO1188" i="1"/>
  <c r="BN1188" i="1"/>
  <c r="DG1189" i="1"/>
  <c r="DA1189" i="1"/>
  <c r="T1189" i="1"/>
  <c r="S1189" i="1"/>
  <c r="Q1189" i="1"/>
  <c r="P1189" i="1"/>
  <c r="N1189" i="1"/>
  <c r="BO1189" i="1"/>
  <c r="BN1189" i="1"/>
  <c r="DG1190" i="1"/>
  <c r="DA1190" i="1"/>
  <c r="T1190" i="1"/>
  <c r="S1190" i="1"/>
  <c r="Q1190" i="1"/>
  <c r="P1190" i="1"/>
  <c r="N1190" i="1"/>
  <c r="BO1190" i="1"/>
  <c r="BN1190" i="1"/>
  <c r="DG1191" i="1"/>
  <c r="DA1191" i="1"/>
  <c r="T1191" i="1"/>
  <c r="S1191" i="1"/>
  <c r="Q1191" i="1"/>
  <c r="P1191" i="1"/>
  <c r="N1191" i="1"/>
  <c r="BO1191" i="1"/>
  <c r="BN1191" i="1"/>
  <c r="DG1192" i="1"/>
  <c r="DA1192" i="1"/>
  <c r="T1192" i="1"/>
  <c r="S1192" i="1"/>
  <c r="Q1192" i="1"/>
  <c r="P1192" i="1"/>
  <c r="N1192" i="1"/>
  <c r="BO1192" i="1"/>
  <c r="BN1192" i="1"/>
  <c r="DG1193" i="1"/>
  <c r="DA1193" i="1"/>
  <c r="T1193" i="1"/>
  <c r="S1193" i="1"/>
  <c r="Q1193" i="1"/>
  <c r="P1193" i="1"/>
  <c r="N1193" i="1"/>
  <c r="BO1193" i="1"/>
  <c r="BN1193" i="1"/>
  <c r="DG1194" i="1"/>
  <c r="DA1194" i="1"/>
  <c r="T1194" i="1"/>
  <c r="S1194" i="1"/>
  <c r="Q1194" i="1"/>
  <c r="P1194" i="1"/>
  <c r="N1194" i="1"/>
  <c r="BO1194" i="1"/>
  <c r="BN1194" i="1"/>
  <c r="DG1195" i="1"/>
  <c r="DA1195" i="1"/>
  <c r="T1195" i="1"/>
  <c r="S1195" i="1"/>
  <c r="Q1195" i="1"/>
  <c r="P1195" i="1"/>
  <c r="N1195" i="1"/>
  <c r="BO1195" i="1"/>
  <c r="BN1195" i="1"/>
  <c r="DG1196" i="1"/>
  <c r="DA1196" i="1"/>
  <c r="T1196" i="1"/>
  <c r="S1196" i="1"/>
  <c r="Q1196" i="1"/>
  <c r="P1196" i="1"/>
  <c r="N1196" i="1"/>
  <c r="BO1196" i="1"/>
  <c r="BN1196" i="1"/>
  <c r="DG1197" i="1"/>
  <c r="DA1197" i="1"/>
  <c r="T1197" i="1"/>
  <c r="S1197" i="1"/>
  <c r="Q1197" i="1"/>
  <c r="P1197" i="1"/>
  <c r="N1197" i="1"/>
  <c r="BO1197" i="1"/>
  <c r="BN1197" i="1"/>
  <c r="DG1199" i="1"/>
  <c r="DA1199" i="1"/>
  <c r="T1199" i="1"/>
  <c r="S1199" i="1"/>
  <c r="Q1199" i="1"/>
  <c r="P1199" i="1"/>
  <c r="N1199" i="1"/>
  <c r="BO1199" i="1"/>
  <c r="BN1199" i="1"/>
  <c r="DG1200" i="1"/>
  <c r="DA1200" i="1"/>
  <c r="T1200" i="1"/>
  <c r="S1200" i="1"/>
  <c r="Q1200" i="1"/>
  <c r="P1200" i="1"/>
  <c r="N1200" i="1"/>
  <c r="BO1200" i="1"/>
  <c r="BN1200" i="1"/>
  <c r="DG1201" i="1"/>
  <c r="DA1201" i="1"/>
  <c r="T1201" i="1"/>
  <c r="S1201" i="1"/>
  <c r="Q1201" i="1"/>
  <c r="P1201" i="1"/>
  <c r="N1201" i="1"/>
  <c r="BO1201" i="1"/>
  <c r="BN1201" i="1"/>
  <c r="DG1203" i="1"/>
  <c r="DA1203" i="1"/>
  <c r="T1203" i="1"/>
  <c r="S1203" i="1"/>
  <c r="Q1203" i="1"/>
  <c r="P1203" i="1"/>
  <c r="N1203" i="1"/>
  <c r="BO1203" i="1"/>
  <c r="BN1203" i="1"/>
  <c r="DG1204" i="1"/>
  <c r="DA1204" i="1"/>
  <c r="T1204" i="1"/>
  <c r="S1204" i="1"/>
  <c r="Q1204" i="1"/>
  <c r="P1204" i="1"/>
  <c r="N1204" i="1"/>
  <c r="BO1204" i="1"/>
  <c r="BN1204" i="1"/>
  <c r="DG1205" i="1"/>
  <c r="DA1205" i="1"/>
  <c r="T1205" i="1"/>
  <c r="S1205" i="1"/>
  <c r="Q1205" i="1"/>
  <c r="P1205" i="1"/>
  <c r="N1205" i="1"/>
  <c r="BO1205" i="1"/>
  <c r="BN1205" i="1"/>
  <c r="DG1306" i="1"/>
  <c r="DA1306" i="1"/>
  <c r="T1306" i="1"/>
  <c r="S1306" i="1"/>
  <c r="Q1306" i="1"/>
  <c r="P1306" i="1"/>
  <c r="N1306" i="1"/>
  <c r="BO1306" i="1"/>
  <c r="BN1306" i="1"/>
  <c r="DG1207" i="1"/>
  <c r="DA1207" i="1"/>
  <c r="T1207" i="1"/>
  <c r="S1207" i="1"/>
  <c r="Q1207" i="1"/>
  <c r="P1207" i="1"/>
  <c r="N1207" i="1"/>
  <c r="BO1207" i="1"/>
  <c r="BN1207" i="1"/>
  <c r="DG1208" i="1"/>
  <c r="DA1208" i="1"/>
  <c r="T1208" i="1"/>
  <c r="S1208" i="1"/>
  <c r="Q1208" i="1"/>
  <c r="P1208" i="1"/>
  <c r="N1208" i="1"/>
  <c r="BO1208" i="1"/>
  <c r="BN1208" i="1"/>
  <c r="DG1209" i="1"/>
  <c r="DA1209" i="1"/>
  <c r="T1209" i="1"/>
  <c r="S1209" i="1"/>
  <c r="Q1209" i="1"/>
  <c r="P1209" i="1"/>
  <c r="N1209" i="1"/>
  <c r="BO1209" i="1"/>
  <c r="BN1209" i="1"/>
  <c r="DG1265" i="1"/>
  <c r="DA1265" i="1"/>
  <c r="T1265" i="1"/>
  <c r="S1265" i="1"/>
  <c r="Q1265" i="1"/>
  <c r="P1265" i="1"/>
  <c r="N1265" i="1"/>
  <c r="BO1265" i="1"/>
  <c r="BN1265" i="1"/>
  <c r="DG1211" i="1"/>
  <c r="DA1211" i="1"/>
  <c r="T1211" i="1"/>
  <c r="S1211" i="1"/>
  <c r="Q1211" i="1"/>
  <c r="P1211" i="1"/>
  <c r="N1211" i="1"/>
  <c r="BO1211" i="1"/>
  <c r="BN1211" i="1"/>
  <c r="DG1212" i="1"/>
  <c r="DA1212" i="1"/>
  <c r="T1212" i="1"/>
  <c r="S1212" i="1"/>
  <c r="Q1212" i="1"/>
  <c r="P1212" i="1"/>
  <c r="N1212" i="1"/>
  <c r="BO1212" i="1"/>
  <c r="BN1212" i="1"/>
  <c r="DG1213" i="1"/>
  <c r="DA1213" i="1"/>
  <c r="T1213" i="1"/>
  <c r="S1213" i="1"/>
  <c r="Q1213" i="1"/>
  <c r="P1213" i="1"/>
  <c r="N1213" i="1"/>
  <c r="BO1213" i="1"/>
  <c r="BN1213" i="1"/>
  <c r="DG1276" i="1"/>
  <c r="DA1276" i="1"/>
  <c r="T1276" i="1"/>
  <c r="S1276" i="1"/>
  <c r="Q1276" i="1"/>
  <c r="P1276" i="1"/>
  <c r="N1276" i="1"/>
  <c r="BO1276" i="1"/>
  <c r="BN1276" i="1"/>
  <c r="DG1266" i="1"/>
  <c r="DA1266" i="1"/>
  <c r="T1266" i="1"/>
  <c r="S1266" i="1"/>
  <c r="Q1266" i="1"/>
  <c r="P1266" i="1"/>
  <c r="N1266" i="1"/>
  <c r="BO1266" i="1"/>
  <c r="BN1266" i="1"/>
  <c r="DG1286" i="1"/>
  <c r="DA1286" i="1"/>
  <c r="T1286" i="1"/>
  <c r="S1286" i="1"/>
  <c r="Q1286" i="1"/>
  <c r="P1286" i="1"/>
  <c r="N1286" i="1"/>
  <c r="BO1286" i="1"/>
  <c r="BN1286" i="1"/>
  <c r="DG1287" i="1"/>
  <c r="DA1287" i="1"/>
  <c r="T1287" i="1"/>
  <c r="S1287" i="1"/>
  <c r="Q1287" i="1"/>
  <c r="P1287" i="1"/>
  <c r="N1287" i="1"/>
  <c r="BO1287" i="1"/>
  <c r="BN1287" i="1"/>
  <c r="DG1228" i="1"/>
  <c r="DA1228" i="1"/>
  <c r="T1228" i="1"/>
  <c r="S1228" i="1"/>
  <c r="Q1228" i="1"/>
  <c r="P1228" i="1"/>
  <c r="N1228" i="1"/>
  <c r="BO1228" i="1"/>
  <c r="BN1228" i="1"/>
  <c r="DG1288" i="1"/>
  <c r="DA1288" i="1"/>
  <c r="T1288" i="1"/>
  <c r="S1288" i="1"/>
  <c r="Q1288" i="1"/>
  <c r="P1288" i="1"/>
  <c r="N1288" i="1"/>
  <c r="BO1288" i="1"/>
  <c r="BN1288" i="1"/>
  <c r="DG1230" i="1"/>
  <c r="DA1230" i="1"/>
  <c r="T1230" i="1"/>
  <c r="S1230" i="1"/>
  <c r="Q1230" i="1"/>
  <c r="P1230" i="1"/>
  <c r="N1230" i="1"/>
  <c r="BO1230" i="1"/>
  <c r="BN1230" i="1"/>
  <c r="DG1233" i="1"/>
  <c r="DA1233" i="1"/>
  <c r="T1233" i="1"/>
  <c r="S1233" i="1"/>
  <c r="Q1233" i="1"/>
  <c r="P1233" i="1"/>
  <c r="N1233" i="1"/>
  <c r="BO1233" i="1"/>
  <c r="BN1233" i="1"/>
  <c r="DG1289" i="1"/>
  <c r="DA1289" i="1"/>
  <c r="T1289" i="1"/>
  <c r="S1289" i="1"/>
  <c r="Q1289" i="1"/>
  <c r="P1289" i="1"/>
  <c r="N1289" i="1"/>
  <c r="BO1289" i="1"/>
  <c r="BN1289" i="1"/>
  <c r="DG1290" i="1"/>
  <c r="DA1290" i="1"/>
  <c r="T1290" i="1"/>
  <c r="S1290" i="1"/>
  <c r="Q1290" i="1"/>
  <c r="P1290" i="1"/>
  <c r="N1290" i="1"/>
  <c r="BO1290" i="1"/>
  <c r="BN1290" i="1"/>
  <c r="DG1298" i="1"/>
  <c r="DA1298" i="1"/>
  <c r="T1298" i="1"/>
  <c r="S1298" i="1"/>
  <c r="Q1298" i="1"/>
  <c r="P1298" i="1"/>
  <c r="N1298" i="1"/>
  <c r="BO1298" i="1"/>
  <c r="BN1298" i="1"/>
  <c r="DG1297" i="1"/>
  <c r="DA1297" i="1"/>
  <c r="T1297" i="1"/>
  <c r="S1297" i="1"/>
  <c r="Q1297" i="1"/>
  <c r="P1297" i="1"/>
  <c r="N1297" i="1"/>
  <c r="BO1297" i="1"/>
  <c r="BN1297" i="1"/>
  <c r="DG1299" i="1"/>
  <c r="DA1299" i="1"/>
  <c r="T1299" i="1"/>
  <c r="S1299" i="1"/>
  <c r="Q1299" i="1"/>
  <c r="P1299" i="1"/>
  <c r="N1299" i="1"/>
  <c r="BO1299" i="1"/>
  <c r="BN1299" i="1"/>
  <c r="DG1300" i="1"/>
  <c r="DA1300" i="1"/>
  <c r="T1300" i="1"/>
  <c r="S1300" i="1"/>
  <c r="Q1300" i="1"/>
  <c r="P1300" i="1"/>
  <c r="N1300" i="1"/>
  <c r="BO1300" i="1"/>
  <c r="BN1300" i="1"/>
  <c r="DG1301" i="1"/>
  <c r="DA1301" i="1"/>
  <c r="T1301" i="1"/>
  <c r="S1301" i="1"/>
  <c r="Q1301" i="1"/>
  <c r="P1301" i="1"/>
  <c r="N1301" i="1"/>
  <c r="BO1301" i="1"/>
  <c r="BN1301" i="1"/>
  <c r="DG1220" i="1"/>
  <c r="DA1220" i="1"/>
  <c r="T1220" i="1"/>
  <c r="S1220" i="1"/>
  <c r="Q1220" i="1"/>
  <c r="P1220" i="1"/>
  <c r="N1220" i="1"/>
  <c r="BO1220" i="1"/>
  <c r="BN1220" i="1"/>
  <c r="DG1303" i="1"/>
  <c r="DA1303" i="1"/>
  <c r="T1303" i="1"/>
  <c r="S1303" i="1"/>
  <c r="Q1303" i="1"/>
  <c r="P1303" i="1"/>
  <c r="N1303" i="1"/>
  <c r="BO1303" i="1"/>
  <c r="BN1303" i="1"/>
  <c r="DG1304" i="1"/>
  <c r="DA1304" i="1"/>
  <c r="T1304" i="1"/>
  <c r="S1304" i="1"/>
  <c r="Q1304" i="1"/>
  <c r="P1304" i="1"/>
  <c r="N1304" i="1"/>
  <c r="BO1304" i="1"/>
  <c r="BN1304" i="1"/>
  <c r="DG1305" i="1"/>
  <c r="DA1305" i="1"/>
  <c r="T1305" i="1"/>
  <c r="S1305" i="1"/>
  <c r="Q1305" i="1"/>
  <c r="P1305" i="1"/>
  <c r="N1305" i="1"/>
  <c r="BO1305" i="1"/>
  <c r="BN1305" i="1"/>
  <c r="DG1221" i="1"/>
  <c r="DA1221" i="1"/>
  <c r="T1221" i="1"/>
  <c r="S1221" i="1"/>
  <c r="Q1221" i="1"/>
  <c r="P1221" i="1"/>
  <c r="N1221" i="1"/>
  <c r="BO1221" i="1"/>
  <c r="BN1221" i="1"/>
  <c r="DG1250" i="1"/>
  <c r="DA1250" i="1"/>
  <c r="T1250" i="1"/>
  <c r="S1250" i="1"/>
  <c r="Q1250" i="1"/>
  <c r="P1250" i="1"/>
  <c r="N1250" i="1"/>
  <c r="BO1250" i="1"/>
  <c r="BN1250" i="1"/>
  <c r="DG1321" i="1"/>
  <c r="DA1321" i="1"/>
  <c r="T1321" i="1"/>
  <c r="S1321" i="1"/>
  <c r="Q1321" i="1"/>
  <c r="P1321" i="1"/>
  <c r="N1321" i="1"/>
  <c r="BO1321" i="1"/>
  <c r="BN1321" i="1"/>
  <c r="DG1312" i="1"/>
  <c r="DA1312" i="1"/>
  <c r="T1312" i="1"/>
  <c r="S1312" i="1"/>
  <c r="Q1312" i="1"/>
  <c r="P1312" i="1"/>
  <c r="N1312" i="1"/>
  <c r="BO1312" i="1"/>
  <c r="BN1312" i="1"/>
  <c r="DG1313" i="1"/>
  <c r="DA1313" i="1"/>
  <c r="T1313" i="1"/>
  <c r="S1313" i="1"/>
  <c r="Q1313" i="1"/>
  <c r="P1313" i="1"/>
  <c r="N1313" i="1"/>
  <c r="BO1313" i="1"/>
  <c r="BN1313" i="1"/>
  <c r="DG1308" i="1"/>
  <c r="DA1308" i="1"/>
  <c r="T1308" i="1"/>
  <c r="S1308" i="1"/>
  <c r="Q1308" i="1"/>
  <c r="P1308" i="1"/>
  <c r="N1308" i="1"/>
  <c r="BO1308" i="1"/>
  <c r="BN1308" i="1"/>
  <c r="DG1224" i="1"/>
  <c r="DA1224" i="1"/>
  <c r="T1224" i="1"/>
  <c r="S1224" i="1"/>
  <c r="Q1224" i="1"/>
  <c r="P1224" i="1"/>
  <c r="N1224" i="1"/>
  <c r="BO1224" i="1"/>
  <c r="BN1224" i="1"/>
  <c r="DG1314" i="1"/>
  <c r="DA1314" i="1"/>
  <c r="T1314" i="1"/>
  <c r="S1314" i="1"/>
  <c r="Q1314" i="1"/>
  <c r="P1314" i="1"/>
  <c r="N1314" i="1"/>
  <c r="BO1314" i="1"/>
  <c r="BN1314" i="1"/>
  <c r="DG1315" i="1"/>
  <c r="DA1315" i="1"/>
  <c r="T1315" i="1"/>
  <c r="S1315" i="1"/>
  <c r="Q1315" i="1"/>
  <c r="P1315" i="1"/>
  <c r="N1315" i="1"/>
  <c r="BO1315" i="1"/>
  <c r="BN1315" i="1"/>
  <c r="DG1316" i="1"/>
  <c r="DA1316" i="1"/>
  <c r="T1316" i="1"/>
  <c r="S1316" i="1"/>
  <c r="Q1316" i="1"/>
  <c r="P1316" i="1"/>
  <c r="N1316" i="1"/>
  <c r="BO1316" i="1"/>
  <c r="BN1316" i="1"/>
  <c r="DG1324" i="1"/>
  <c r="DA1324" i="1"/>
  <c r="T1324" i="1"/>
  <c r="S1324" i="1"/>
  <c r="Q1324" i="1"/>
  <c r="P1324" i="1"/>
  <c r="N1324" i="1"/>
  <c r="BO1324" i="1"/>
  <c r="BN1324" i="1"/>
  <c r="DG1217" i="1"/>
  <c r="DA1217" i="1"/>
  <c r="T1217" i="1"/>
  <c r="S1217" i="1"/>
  <c r="Q1217" i="1"/>
  <c r="P1217" i="1"/>
  <c r="N1217" i="1"/>
  <c r="BO1217" i="1"/>
  <c r="BN1217" i="1"/>
  <c r="DG1326" i="1"/>
  <c r="DA1326" i="1"/>
  <c r="T1326" i="1"/>
  <c r="S1326" i="1"/>
  <c r="Q1326" i="1"/>
  <c r="P1326" i="1"/>
  <c r="N1326" i="1"/>
  <c r="BO1326" i="1"/>
  <c r="BN1326" i="1"/>
  <c r="DG1327" i="1"/>
  <c r="DA1327" i="1"/>
  <c r="T1327" i="1"/>
  <c r="S1327" i="1"/>
  <c r="Q1327" i="1"/>
  <c r="P1327" i="1"/>
  <c r="N1327" i="1"/>
  <c r="BO1327" i="1"/>
  <c r="BN1327" i="1"/>
  <c r="DG1328" i="1"/>
  <c r="DA1328" i="1"/>
  <c r="T1328" i="1"/>
  <c r="S1328" i="1"/>
  <c r="Q1328" i="1"/>
  <c r="P1328" i="1"/>
  <c r="N1328" i="1"/>
  <c r="BO1328" i="1"/>
  <c r="BN1328" i="1"/>
  <c r="DG1329" i="1"/>
  <c r="DA1329" i="1"/>
  <c r="T1329" i="1"/>
  <c r="S1329" i="1"/>
  <c r="Q1329" i="1"/>
  <c r="P1329" i="1"/>
  <c r="N1329" i="1"/>
  <c r="BO1329" i="1"/>
  <c r="BN1329" i="1"/>
  <c r="DG1332" i="1"/>
  <c r="DA1332" i="1"/>
  <c r="T1332" i="1"/>
  <c r="S1332" i="1"/>
  <c r="Q1332" i="1"/>
  <c r="P1332" i="1"/>
  <c r="N1332" i="1"/>
  <c r="BO1332" i="1"/>
  <c r="BN1332" i="1"/>
  <c r="DG1331" i="1"/>
  <c r="DA1331" i="1"/>
  <c r="T1331" i="1"/>
  <c r="S1331" i="1"/>
  <c r="Q1331" i="1"/>
  <c r="P1331" i="1"/>
  <c r="N1331" i="1"/>
  <c r="BO1331" i="1"/>
  <c r="BN1331" i="1"/>
  <c r="DG1333" i="1"/>
  <c r="DA1333" i="1"/>
  <c r="T1333" i="1"/>
  <c r="S1333" i="1"/>
  <c r="Q1333" i="1"/>
  <c r="P1333" i="1"/>
  <c r="N1333" i="1"/>
  <c r="BO1333" i="1"/>
  <c r="BN1333" i="1"/>
  <c r="DG1337" i="1"/>
  <c r="DA1337" i="1"/>
  <c r="T1337" i="1"/>
  <c r="S1337" i="1"/>
  <c r="Q1337" i="1"/>
  <c r="P1337" i="1"/>
  <c r="N1337" i="1"/>
  <c r="BO1337" i="1"/>
  <c r="BN1337" i="1"/>
  <c r="DG1336" i="1"/>
  <c r="DA1336" i="1"/>
  <c r="T1336" i="1"/>
  <c r="S1336" i="1"/>
  <c r="Q1336" i="1"/>
  <c r="P1336" i="1"/>
  <c r="N1336" i="1"/>
  <c r="BO1336" i="1"/>
  <c r="BN1336" i="1"/>
  <c r="DG1281" i="1"/>
  <c r="DA1281" i="1"/>
  <c r="T1281" i="1"/>
  <c r="S1281" i="1"/>
  <c r="Q1281" i="1"/>
  <c r="P1281" i="1"/>
  <c r="N1281" i="1"/>
  <c r="BO1281" i="1"/>
  <c r="BN1281" i="1"/>
  <c r="DG1282" i="1"/>
  <c r="DA1282" i="1"/>
  <c r="T1282" i="1"/>
  <c r="S1282" i="1"/>
  <c r="Q1282" i="1"/>
  <c r="P1282" i="1"/>
  <c r="N1282" i="1"/>
  <c r="BO1282" i="1"/>
  <c r="BN1282" i="1"/>
  <c r="DG1283" i="1"/>
  <c r="DA1283" i="1"/>
  <c r="T1283" i="1"/>
  <c r="S1283" i="1"/>
  <c r="Q1283" i="1"/>
  <c r="P1283" i="1"/>
  <c r="N1283" i="1"/>
  <c r="BO1283" i="1"/>
  <c r="BN1283" i="1"/>
  <c r="DG1285" i="1"/>
  <c r="DA1285" i="1"/>
  <c r="T1285" i="1"/>
  <c r="S1285" i="1"/>
  <c r="Q1285" i="1"/>
  <c r="P1285" i="1"/>
  <c r="N1285" i="1"/>
  <c r="BO1285" i="1"/>
  <c r="BN1285" i="1"/>
  <c r="DG1227" i="1"/>
  <c r="DA1227" i="1"/>
  <c r="T1227" i="1"/>
  <c r="S1227" i="1"/>
  <c r="Q1227" i="1"/>
  <c r="P1227" i="1"/>
  <c r="N1227" i="1"/>
  <c r="BO1227" i="1"/>
  <c r="BN1227" i="1"/>
  <c r="DG1225" i="1"/>
  <c r="DA1225" i="1"/>
  <c r="T1225" i="1"/>
  <c r="S1225" i="1"/>
  <c r="Q1225" i="1"/>
  <c r="P1225" i="1"/>
  <c r="N1225" i="1"/>
  <c r="BO1225" i="1"/>
  <c r="BN1225" i="1"/>
  <c r="DG1292" i="1"/>
  <c r="DA1292" i="1"/>
  <c r="T1292" i="1"/>
  <c r="S1292" i="1"/>
  <c r="Q1292" i="1"/>
  <c r="P1292" i="1"/>
  <c r="N1292" i="1"/>
  <c r="BO1292" i="1"/>
  <c r="BN1292" i="1"/>
  <c r="DG1293" i="1"/>
  <c r="DA1293" i="1"/>
  <c r="T1293" i="1"/>
  <c r="S1293" i="1"/>
  <c r="Q1293" i="1"/>
  <c r="P1293" i="1"/>
  <c r="N1293" i="1"/>
  <c r="BO1293" i="1"/>
  <c r="BN1293" i="1"/>
  <c r="DG1295" i="1"/>
  <c r="DA1295" i="1"/>
  <c r="T1295" i="1"/>
  <c r="S1295" i="1"/>
  <c r="Q1295" i="1"/>
  <c r="P1295" i="1"/>
  <c r="N1295" i="1"/>
  <c r="BO1295" i="1"/>
  <c r="BN1295" i="1"/>
  <c r="DG1296" i="1"/>
  <c r="DA1296" i="1"/>
  <c r="T1296" i="1"/>
  <c r="S1296" i="1"/>
  <c r="Q1296" i="1"/>
  <c r="P1296" i="1"/>
  <c r="N1296" i="1"/>
  <c r="BO1296" i="1"/>
  <c r="BN1296" i="1"/>
  <c r="DG1226" i="1"/>
  <c r="DA1226" i="1"/>
  <c r="T1226" i="1"/>
  <c r="S1226" i="1"/>
  <c r="Q1226" i="1"/>
  <c r="P1226" i="1"/>
  <c r="N1226" i="1"/>
  <c r="BO1226" i="1"/>
  <c r="BN1226" i="1"/>
  <c r="DG818" i="1"/>
  <c r="DA818" i="1"/>
  <c r="T818" i="1"/>
  <c r="S818" i="1"/>
  <c r="Q818" i="1"/>
  <c r="P818" i="1"/>
  <c r="N818" i="1"/>
  <c r="BO818" i="1"/>
  <c r="BN818" i="1"/>
  <c r="DG1223" i="1"/>
  <c r="DA1223" i="1"/>
  <c r="T1223" i="1"/>
  <c r="S1223" i="1"/>
  <c r="Q1223" i="1"/>
  <c r="P1223" i="1"/>
  <c r="N1223" i="1"/>
  <c r="BO1223" i="1"/>
  <c r="BN1223" i="1"/>
  <c r="DG1302" i="1"/>
  <c r="DA1302" i="1"/>
  <c r="T1302" i="1"/>
  <c r="S1302" i="1"/>
  <c r="Q1302" i="1"/>
  <c r="P1302" i="1"/>
  <c r="N1302" i="1"/>
  <c r="BO1302" i="1"/>
  <c r="BN1302" i="1"/>
  <c r="DG1231" i="1"/>
  <c r="DA1231" i="1"/>
  <c r="T1231" i="1"/>
  <c r="S1231" i="1"/>
  <c r="Q1231" i="1"/>
  <c r="P1231" i="1"/>
  <c r="N1231" i="1"/>
  <c r="BO1231" i="1"/>
  <c r="BN1231" i="1"/>
  <c r="DG1232" i="1"/>
  <c r="DA1232" i="1"/>
  <c r="T1232" i="1"/>
  <c r="S1232" i="1"/>
  <c r="Q1232" i="1"/>
  <c r="P1232" i="1"/>
  <c r="N1232" i="1"/>
  <c r="BO1232" i="1"/>
  <c r="BN1232" i="1"/>
  <c r="DG1307" i="1"/>
  <c r="DA1307" i="1"/>
  <c r="T1307" i="1"/>
  <c r="S1307" i="1"/>
  <c r="Q1307" i="1"/>
  <c r="P1307" i="1"/>
  <c r="N1307" i="1"/>
  <c r="BO1307" i="1"/>
  <c r="BN1307" i="1"/>
  <c r="DG1219" i="1"/>
  <c r="DA1219" i="1"/>
  <c r="T1219" i="1"/>
  <c r="S1219" i="1"/>
  <c r="Q1219" i="1"/>
  <c r="P1219" i="1"/>
  <c r="N1219" i="1"/>
  <c r="BO1219" i="1"/>
  <c r="BN1219" i="1"/>
  <c r="DG1309" i="1"/>
  <c r="DA1309" i="1"/>
  <c r="T1309" i="1"/>
  <c r="S1309" i="1"/>
  <c r="Q1309" i="1"/>
  <c r="P1309" i="1"/>
  <c r="N1309" i="1"/>
  <c r="BO1309" i="1"/>
  <c r="BN1309" i="1"/>
  <c r="DG1310" i="1"/>
  <c r="DA1310" i="1"/>
  <c r="T1310" i="1"/>
  <c r="S1310" i="1"/>
  <c r="Q1310" i="1"/>
  <c r="P1310" i="1"/>
  <c r="N1310" i="1"/>
  <c r="BO1310" i="1"/>
  <c r="BN1310" i="1"/>
  <c r="DG1214" i="1"/>
  <c r="DA1214" i="1"/>
  <c r="T1214" i="1"/>
  <c r="S1214" i="1"/>
  <c r="Q1214" i="1"/>
  <c r="P1214" i="1"/>
  <c r="N1214" i="1"/>
  <c r="BO1214" i="1"/>
  <c r="BN1214" i="1"/>
  <c r="DG1317" i="1"/>
  <c r="DA1317" i="1"/>
  <c r="T1317" i="1"/>
  <c r="S1317" i="1"/>
  <c r="Q1317" i="1"/>
  <c r="P1317" i="1"/>
  <c r="N1317" i="1"/>
  <c r="BO1317" i="1"/>
  <c r="BN1317" i="1"/>
  <c r="DG1318" i="1"/>
  <c r="DA1318" i="1"/>
  <c r="T1318" i="1"/>
  <c r="S1318" i="1"/>
  <c r="Q1318" i="1"/>
  <c r="P1318" i="1"/>
  <c r="N1318" i="1"/>
  <c r="BO1318" i="1"/>
  <c r="BN1318" i="1"/>
  <c r="DG1215" i="1"/>
  <c r="DA1215" i="1"/>
  <c r="T1215" i="1"/>
  <c r="S1215" i="1"/>
  <c r="Q1215" i="1"/>
  <c r="P1215" i="1"/>
  <c r="N1215" i="1"/>
  <c r="BO1215" i="1"/>
  <c r="BN1215" i="1"/>
  <c r="DG1319" i="1"/>
  <c r="DA1319" i="1"/>
  <c r="T1319" i="1"/>
  <c r="S1319" i="1"/>
  <c r="Q1319" i="1"/>
  <c r="P1319" i="1"/>
  <c r="N1319" i="1"/>
  <c r="BO1319" i="1"/>
  <c r="BN1319" i="1"/>
  <c r="DG1320" i="1"/>
  <c r="DA1320" i="1"/>
  <c r="T1320" i="1"/>
  <c r="S1320" i="1"/>
  <c r="Q1320" i="1"/>
  <c r="P1320" i="1"/>
  <c r="N1320" i="1"/>
  <c r="BO1320" i="1"/>
  <c r="BN1320" i="1"/>
  <c r="DG1322" i="1"/>
  <c r="DA1322" i="1"/>
  <c r="T1322" i="1"/>
  <c r="S1322" i="1"/>
  <c r="Q1322" i="1"/>
  <c r="P1322" i="1"/>
  <c r="N1322" i="1"/>
  <c r="BO1322" i="1"/>
  <c r="BN1322" i="1"/>
  <c r="DG1339" i="1"/>
  <c r="DA1339" i="1"/>
  <c r="T1339" i="1"/>
  <c r="S1339" i="1"/>
  <c r="Q1339" i="1"/>
  <c r="P1339" i="1"/>
  <c r="N1339" i="1"/>
  <c r="BO1339" i="1"/>
  <c r="BN1339" i="1"/>
  <c r="DG1325" i="1"/>
  <c r="DA1325" i="1"/>
  <c r="T1325" i="1"/>
  <c r="S1325" i="1"/>
  <c r="Q1325" i="1"/>
  <c r="P1325" i="1"/>
  <c r="N1325" i="1"/>
  <c r="BO1325" i="1"/>
  <c r="BN1325" i="1"/>
  <c r="DG1243" i="1"/>
  <c r="DA1243" i="1"/>
  <c r="T1243" i="1"/>
  <c r="S1243" i="1"/>
  <c r="Q1243" i="1"/>
  <c r="P1243" i="1"/>
  <c r="N1243" i="1"/>
  <c r="BO1243" i="1"/>
  <c r="BN1243" i="1"/>
  <c r="DG1338" i="1"/>
  <c r="DA1338" i="1"/>
  <c r="T1338" i="1"/>
  <c r="S1338" i="1"/>
  <c r="Q1338" i="1"/>
  <c r="P1338" i="1"/>
  <c r="N1338" i="1"/>
  <c r="BO1338" i="1"/>
  <c r="BN1338" i="1"/>
  <c r="DG1218" i="1"/>
  <c r="DA1218" i="1"/>
  <c r="T1218" i="1"/>
  <c r="S1218" i="1"/>
  <c r="Q1218" i="1"/>
  <c r="P1218" i="1"/>
  <c r="N1218" i="1"/>
  <c r="BO1218" i="1"/>
  <c r="BN1218" i="1"/>
  <c r="DG1867" i="1"/>
  <c r="DA1867" i="1"/>
  <c r="T1867" i="1"/>
  <c r="S1867" i="1"/>
  <c r="Q1867" i="1"/>
  <c r="P1867" i="1"/>
  <c r="N1867" i="1"/>
  <c r="BO1867" i="1"/>
  <c r="BN1867" i="1"/>
  <c r="DG1863" i="1"/>
  <c r="DA1863" i="1"/>
  <c r="T1863" i="1"/>
  <c r="S1863" i="1"/>
  <c r="Q1863" i="1"/>
  <c r="P1863" i="1"/>
  <c r="N1863" i="1"/>
  <c r="BO1863" i="1"/>
  <c r="BN1863" i="1"/>
  <c r="DG1847" i="1"/>
  <c r="DA1847" i="1"/>
  <c r="T1847" i="1"/>
  <c r="S1847" i="1"/>
  <c r="Q1847" i="1"/>
  <c r="P1847" i="1"/>
  <c r="N1847" i="1"/>
  <c r="BO1847" i="1"/>
  <c r="BN1847" i="1"/>
  <c r="DG1843" i="1"/>
  <c r="DA1843" i="1"/>
  <c r="T1843" i="1"/>
  <c r="S1843" i="1"/>
  <c r="Q1843" i="1"/>
  <c r="P1843" i="1"/>
  <c r="N1843" i="1"/>
  <c r="BO1843" i="1"/>
  <c r="BN1843" i="1"/>
  <c r="DG1841" i="1"/>
  <c r="DA1841" i="1"/>
  <c r="T1841" i="1"/>
  <c r="S1841" i="1"/>
  <c r="Q1841" i="1"/>
  <c r="P1841" i="1"/>
  <c r="N1841" i="1"/>
  <c r="BO1841" i="1"/>
  <c r="BN1841" i="1"/>
  <c r="DG817" i="1"/>
  <c r="DA817" i="1"/>
  <c r="T817" i="1"/>
  <c r="S817" i="1"/>
  <c r="Q817" i="1"/>
  <c r="P817" i="1"/>
  <c r="N817" i="1"/>
  <c r="BO817" i="1"/>
  <c r="BN817" i="1"/>
  <c r="DG1374" i="1"/>
  <c r="DA1374" i="1"/>
  <c r="T1374" i="1"/>
  <c r="S1374" i="1"/>
  <c r="Q1374" i="1"/>
  <c r="P1374" i="1"/>
  <c r="N1374" i="1"/>
  <c r="BO1374" i="1"/>
  <c r="BN1374" i="1"/>
  <c r="DG1379" i="1"/>
  <c r="DA1379" i="1"/>
  <c r="T1379" i="1"/>
  <c r="S1379" i="1"/>
  <c r="Q1379" i="1"/>
  <c r="P1379" i="1"/>
  <c r="N1379" i="1"/>
  <c r="BO1379" i="1"/>
  <c r="BN1379" i="1"/>
  <c r="DG1245" i="1"/>
  <c r="DA1245" i="1"/>
  <c r="T1245" i="1"/>
  <c r="S1245" i="1"/>
  <c r="Q1245" i="1"/>
  <c r="P1245" i="1"/>
  <c r="N1245" i="1"/>
  <c r="BO1245" i="1"/>
  <c r="BN1245" i="1"/>
  <c r="DG1380" i="1"/>
  <c r="DA1380" i="1"/>
  <c r="T1380" i="1"/>
  <c r="S1380" i="1"/>
  <c r="Q1380" i="1"/>
  <c r="P1380" i="1"/>
  <c r="N1380" i="1"/>
  <c r="BO1380" i="1"/>
  <c r="BN1380" i="1"/>
  <c r="DG1249" i="1"/>
  <c r="DA1249" i="1"/>
  <c r="T1249" i="1"/>
  <c r="S1249" i="1"/>
  <c r="Q1249" i="1"/>
  <c r="P1249" i="1"/>
  <c r="N1249" i="1"/>
  <c r="BO1249" i="1"/>
  <c r="BN1249" i="1"/>
  <c r="DG1381" i="1"/>
  <c r="DA1381" i="1"/>
  <c r="T1381" i="1"/>
  <c r="S1381" i="1"/>
  <c r="Q1381" i="1"/>
  <c r="P1381" i="1"/>
  <c r="N1381" i="1"/>
  <c r="BO1381" i="1"/>
  <c r="BN1381" i="1"/>
  <c r="DG1382" i="1"/>
  <c r="DA1382" i="1"/>
  <c r="T1382" i="1"/>
  <c r="S1382" i="1"/>
  <c r="Q1382" i="1"/>
  <c r="P1382" i="1"/>
  <c r="N1382" i="1"/>
  <c r="BO1382" i="1"/>
  <c r="BN1382" i="1"/>
  <c r="DG1383" i="1"/>
  <c r="DA1383" i="1"/>
  <c r="T1383" i="1"/>
  <c r="S1383" i="1"/>
  <c r="Q1383" i="1"/>
  <c r="P1383" i="1"/>
  <c r="N1383" i="1"/>
  <c r="BO1383" i="1"/>
  <c r="BN1383" i="1"/>
  <c r="DG1384" i="1"/>
  <c r="DA1384" i="1"/>
  <c r="T1384" i="1"/>
  <c r="S1384" i="1"/>
  <c r="Q1384" i="1"/>
  <c r="P1384" i="1"/>
  <c r="N1384" i="1"/>
  <c r="BO1384" i="1"/>
  <c r="BN1384" i="1"/>
  <c r="DG1385" i="1"/>
  <c r="DA1385" i="1"/>
  <c r="T1385" i="1"/>
  <c r="S1385" i="1"/>
  <c r="Q1385" i="1"/>
  <c r="P1385" i="1"/>
  <c r="N1385" i="1"/>
  <c r="BO1385" i="1"/>
  <c r="BN1385" i="1"/>
  <c r="DG1386" i="1"/>
  <c r="DA1386" i="1"/>
  <c r="T1386" i="1"/>
  <c r="S1386" i="1"/>
  <c r="Q1386" i="1"/>
  <c r="P1386" i="1"/>
  <c r="N1386" i="1"/>
  <c r="BO1386" i="1"/>
  <c r="BN1386" i="1"/>
  <c r="DG1387" i="1"/>
  <c r="DA1387" i="1"/>
  <c r="T1387" i="1"/>
  <c r="S1387" i="1"/>
  <c r="Q1387" i="1"/>
  <c r="P1387" i="1"/>
  <c r="N1387" i="1"/>
  <c r="BO1387" i="1"/>
  <c r="BN1387" i="1"/>
  <c r="DG1388" i="1"/>
  <c r="DA1388" i="1"/>
  <c r="T1388" i="1"/>
  <c r="S1388" i="1"/>
  <c r="Q1388" i="1"/>
  <c r="P1388" i="1"/>
  <c r="N1388" i="1"/>
  <c r="BO1388" i="1"/>
  <c r="BN1388" i="1"/>
  <c r="DG1246" i="1"/>
  <c r="DA1246" i="1"/>
  <c r="T1246" i="1"/>
  <c r="S1246" i="1"/>
  <c r="Q1246" i="1"/>
  <c r="P1246" i="1"/>
  <c r="N1246" i="1"/>
  <c r="BO1246" i="1"/>
  <c r="BN1246" i="1"/>
  <c r="DG1389" i="1"/>
  <c r="DA1389" i="1"/>
  <c r="T1389" i="1"/>
  <c r="S1389" i="1"/>
  <c r="Q1389" i="1"/>
  <c r="P1389" i="1"/>
  <c r="N1389" i="1"/>
  <c r="BO1389" i="1"/>
  <c r="BN1389" i="1"/>
  <c r="DG1390" i="1"/>
  <c r="DA1390" i="1"/>
  <c r="T1390" i="1"/>
  <c r="S1390" i="1"/>
  <c r="Q1390" i="1"/>
  <c r="P1390" i="1"/>
  <c r="N1390" i="1"/>
  <c r="BO1390" i="1"/>
  <c r="BN1390" i="1"/>
  <c r="DG1391" i="1"/>
  <c r="DA1391" i="1"/>
  <c r="T1391" i="1"/>
  <c r="S1391" i="1"/>
  <c r="Q1391" i="1"/>
  <c r="P1391" i="1"/>
  <c r="N1391" i="1"/>
  <c r="BO1391" i="1"/>
  <c r="BN1391" i="1"/>
  <c r="DG857" i="1"/>
  <c r="DA857" i="1"/>
  <c r="T857" i="1"/>
  <c r="S857" i="1"/>
  <c r="Q857" i="1"/>
  <c r="P857" i="1"/>
  <c r="N857" i="1"/>
  <c r="BO857" i="1"/>
  <c r="BN857" i="1"/>
  <c r="DG1392" i="1"/>
  <c r="DA1392" i="1"/>
  <c r="T1392" i="1"/>
  <c r="S1392" i="1"/>
  <c r="Q1392" i="1"/>
  <c r="P1392" i="1"/>
  <c r="N1392" i="1"/>
  <c r="BO1392" i="1"/>
  <c r="BN1392" i="1"/>
  <c r="DG1393" i="1"/>
  <c r="DA1393" i="1"/>
  <c r="T1393" i="1"/>
  <c r="S1393" i="1"/>
  <c r="Q1393" i="1"/>
  <c r="P1393" i="1"/>
  <c r="N1393" i="1"/>
  <c r="BO1393" i="1"/>
  <c r="BN1393" i="1"/>
  <c r="DG1394" i="1"/>
  <c r="DA1394" i="1"/>
  <c r="T1394" i="1"/>
  <c r="S1394" i="1"/>
  <c r="Q1394" i="1"/>
  <c r="P1394" i="1"/>
  <c r="N1394" i="1"/>
  <c r="BO1394" i="1"/>
  <c r="BN1394" i="1"/>
  <c r="DG1840" i="1"/>
  <c r="DA1840" i="1"/>
  <c r="T1840" i="1"/>
  <c r="S1840" i="1"/>
  <c r="Q1840" i="1"/>
  <c r="P1840" i="1"/>
  <c r="N1840" i="1"/>
  <c r="BO1840" i="1"/>
  <c r="BN1840" i="1"/>
  <c r="DG1395" i="1"/>
  <c r="DA1395" i="1"/>
  <c r="T1395" i="1"/>
  <c r="S1395" i="1"/>
  <c r="Q1395" i="1"/>
  <c r="P1395" i="1"/>
  <c r="N1395" i="1"/>
  <c r="BO1395" i="1"/>
  <c r="BN1395" i="1"/>
  <c r="DG1396" i="1"/>
  <c r="DA1396" i="1"/>
  <c r="T1396" i="1"/>
  <c r="S1396" i="1"/>
  <c r="Q1396" i="1"/>
  <c r="P1396" i="1"/>
  <c r="N1396" i="1"/>
  <c r="BO1396" i="1"/>
  <c r="BN1396" i="1"/>
  <c r="DG1397" i="1"/>
  <c r="DA1397" i="1"/>
  <c r="T1397" i="1"/>
  <c r="S1397" i="1"/>
  <c r="Q1397" i="1"/>
  <c r="P1397" i="1"/>
  <c r="N1397" i="1"/>
  <c r="BO1397" i="1"/>
  <c r="BN1397" i="1"/>
  <c r="DG1398" i="1"/>
  <c r="DA1398" i="1"/>
  <c r="T1398" i="1"/>
  <c r="S1398" i="1"/>
  <c r="Q1398" i="1"/>
  <c r="P1398" i="1"/>
  <c r="N1398" i="1"/>
  <c r="BO1398" i="1"/>
  <c r="BN1398" i="1"/>
  <c r="DG1399" i="1"/>
  <c r="DA1399" i="1"/>
  <c r="T1399" i="1"/>
  <c r="S1399" i="1"/>
  <c r="Q1399" i="1"/>
  <c r="P1399" i="1"/>
  <c r="N1399" i="1"/>
  <c r="BO1399" i="1"/>
  <c r="BN1399" i="1"/>
  <c r="DG889" i="1"/>
  <c r="DA889" i="1"/>
  <c r="T889" i="1"/>
  <c r="S889" i="1"/>
  <c r="Q889" i="1"/>
  <c r="P889" i="1"/>
  <c r="N889" i="1"/>
  <c r="BO889" i="1"/>
  <c r="BN889" i="1"/>
  <c r="DG1400" i="1"/>
  <c r="DA1400" i="1"/>
  <c r="T1400" i="1"/>
  <c r="S1400" i="1"/>
  <c r="Q1400" i="1"/>
  <c r="P1400" i="1"/>
  <c r="N1400" i="1"/>
  <c r="BO1400" i="1"/>
  <c r="BN1400" i="1"/>
  <c r="DG1401" i="1"/>
  <c r="DA1401" i="1"/>
  <c r="T1401" i="1"/>
  <c r="S1401" i="1"/>
  <c r="Q1401" i="1"/>
  <c r="P1401" i="1"/>
  <c r="N1401" i="1"/>
  <c r="BO1401" i="1"/>
  <c r="BN1401" i="1"/>
  <c r="DG1402" i="1"/>
  <c r="DA1402" i="1"/>
  <c r="T1402" i="1"/>
  <c r="S1402" i="1"/>
  <c r="Q1402" i="1"/>
  <c r="P1402" i="1"/>
  <c r="N1402" i="1"/>
  <c r="BO1402" i="1"/>
  <c r="BN1402" i="1"/>
  <c r="DG1403" i="1"/>
  <c r="DA1403" i="1"/>
  <c r="T1403" i="1"/>
  <c r="S1403" i="1"/>
  <c r="Q1403" i="1"/>
  <c r="P1403" i="1"/>
  <c r="N1403" i="1"/>
  <c r="BO1403" i="1"/>
  <c r="BN1403" i="1"/>
  <c r="DG1404" i="1"/>
  <c r="DA1404" i="1"/>
  <c r="T1404" i="1"/>
  <c r="S1404" i="1"/>
  <c r="Q1404" i="1"/>
  <c r="P1404" i="1"/>
  <c r="N1404" i="1"/>
  <c r="BO1404" i="1"/>
  <c r="BN1404" i="1"/>
  <c r="DG1405" i="1"/>
  <c r="DA1405" i="1"/>
  <c r="T1405" i="1"/>
  <c r="S1405" i="1"/>
  <c r="Q1405" i="1"/>
  <c r="P1405" i="1"/>
  <c r="N1405" i="1"/>
  <c r="BO1405" i="1"/>
  <c r="BN1405" i="1"/>
  <c r="DG1406" i="1"/>
  <c r="DA1406" i="1"/>
  <c r="T1406" i="1"/>
  <c r="S1406" i="1"/>
  <c r="Q1406" i="1"/>
  <c r="P1406" i="1"/>
  <c r="N1406" i="1"/>
  <c r="BO1406" i="1"/>
  <c r="BN1406" i="1"/>
  <c r="DG1407" i="1"/>
  <c r="DA1407" i="1"/>
  <c r="T1407" i="1"/>
  <c r="S1407" i="1"/>
  <c r="Q1407" i="1"/>
  <c r="P1407" i="1"/>
  <c r="N1407" i="1"/>
  <c r="BO1407" i="1"/>
  <c r="BN1407" i="1"/>
  <c r="DG1408" i="1"/>
  <c r="DA1408" i="1"/>
  <c r="T1408" i="1"/>
  <c r="S1408" i="1"/>
  <c r="Q1408" i="1"/>
  <c r="P1408" i="1"/>
  <c r="N1408" i="1"/>
  <c r="BO1408" i="1"/>
  <c r="BN1408" i="1"/>
  <c r="DG1409" i="1"/>
  <c r="DA1409" i="1"/>
  <c r="T1409" i="1"/>
  <c r="S1409" i="1"/>
  <c r="Q1409" i="1"/>
  <c r="P1409" i="1"/>
  <c r="N1409" i="1"/>
  <c r="BO1409" i="1"/>
  <c r="BN1409" i="1"/>
  <c r="DG1410" i="1"/>
  <c r="DA1410" i="1"/>
  <c r="T1410" i="1"/>
  <c r="S1410" i="1"/>
  <c r="Q1410" i="1"/>
  <c r="P1410" i="1"/>
  <c r="N1410" i="1"/>
  <c r="BO1410" i="1"/>
  <c r="BN1410" i="1"/>
  <c r="DG1411" i="1"/>
  <c r="DA1411" i="1"/>
  <c r="T1411" i="1"/>
  <c r="S1411" i="1"/>
  <c r="Q1411" i="1"/>
  <c r="P1411" i="1"/>
  <c r="N1411" i="1"/>
  <c r="BO1411" i="1"/>
  <c r="BN1411" i="1"/>
  <c r="DG1412" i="1"/>
  <c r="DA1412" i="1"/>
  <c r="T1412" i="1"/>
  <c r="S1412" i="1"/>
  <c r="Q1412" i="1"/>
  <c r="P1412" i="1"/>
  <c r="N1412" i="1"/>
  <c r="BO1412" i="1"/>
  <c r="BN1412" i="1"/>
  <c r="DG1413" i="1"/>
  <c r="DA1413" i="1"/>
  <c r="T1413" i="1"/>
  <c r="S1413" i="1"/>
  <c r="Q1413" i="1"/>
  <c r="P1413" i="1"/>
  <c r="N1413" i="1"/>
  <c r="BO1413" i="1"/>
  <c r="BN1413" i="1"/>
  <c r="DG814" i="1"/>
  <c r="DA814" i="1"/>
  <c r="T814" i="1"/>
  <c r="S814" i="1"/>
  <c r="Q814" i="1"/>
  <c r="P814" i="1"/>
  <c r="N814" i="1"/>
  <c r="BO814" i="1"/>
  <c r="BN814" i="1"/>
  <c r="DG1414" i="1"/>
  <c r="DA1414" i="1"/>
  <c r="T1414" i="1"/>
  <c r="S1414" i="1"/>
  <c r="Q1414" i="1"/>
  <c r="P1414" i="1"/>
  <c r="N1414" i="1"/>
  <c r="BO1414" i="1"/>
  <c r="BN1414" i="1"/>
  <c r="DG1376" i="1"/>
  <c r="DA1376" i="1"/>
  <c r="T1376" i="1"/>
  <c r="S1376" i="1"/>
  <c r="Q1376" i="1"/>
  <c r="P1376" i="1"/>
  <c r="N1376" i="1"/>
  <c r="BO1376" i="1"/>
  <c r="BN1376" i="1"/>
  <c r="DG1415" i="1"/>
  <c r="DA1415" i="1"/>
  <c r="T1415" i="1"/>
  <c r="S1415" i="1"/>
  <c r="Q1415" i="1"/>
  <c r="P1415" i="1"/>
  <c r="N1415" i="1"/>
  <c r="BO1415" i="1"/>
  <c r="BN1415" i="1"/>
  <c r="DG1251" i="1"/>
  <c r="DA1251" i="1"/>
  <c r="T1251" i="1"/>
  <c r="S1251" i="1"/>
  <c r="Q1251" i="1"/>
  <c r="P1251" i="1"/>
  <c r="N1251" i="1"/>
  <c r="BO1251" i="1"/>
  <c r="BN1251" i="1"/>
  <c r="DG1416" i="1"/>
  <c r="DA1416" i="1"/>
  <c r="T1416" i="1"/>
  <c r="S1416" i="1"/>
  <c r="Q1416" i="1"/>
  <c r="P1416" i="1"/>
  <c r="N1416" i="1"/>
  <c r="BO1416" i="1"/>
  <c r="BN1416" i="1"/>
  <c r="DG1874" i="1"/>
  <c r="DA1874" i="1"/>
  <c r="T1874" i="1"/>
  <c r="S1874" i="1"/>
  <c r="Q1874" i="1"/>
  <c r="P1874" i="1"/>
  <c r="N1874" i="1"/>
  <c r="BO1874" i="1"/>
  <c r="BN1874" i="1"/>
  <c r="DG1417" i="1"/>
  <c r="DA1417" i="1"/>
  <c r="T1417" i="1"/>
  <c r="S1417" i="1"/>
  <c r="Q1417" i="1"/>
  <c r="P1417" i="1"/>
  <c r="N1417" i="1"/>
  <c r="BO1417" i="1"/>
  <c r="BN1417" i="1"/>
  <c r="DG1418" i="1"/>
  <c r="DA1418" i="1"/>
  <c r="T1418" i="1"/>
  <c r="S1418" i="1"/>
  <c r="Q1418" i="1"/>
  <c r="P1418" i="1"/>
  <c r="N1418" i="1"/>
  <c r="BO1418" i="1"/>
  <c r="BN1418" i="1"/>
  <c r="DG1419" i="1"/>
  <c r="DA1419" i="1"/>
  <c r="T1419" i="1"/>
  <c r="S1419" i="1"/>
  <c r="Q1419" i="1"/>
  <c r="P1419" i="1"/>
  <c r="N1419" i="1"/>
  <c r="BO1419" i="1"/>
  <c r="BN1419" i="1"/>
  <c r="DG1420" i="1"/>
  <c r="DA1420" i="1"/>
  <c r="T1420" i="1"/>
  <c r="S1420" i="1"/>
  <c r="Q1420" i="1"/>
  <c r="P1420" i="1"/>
  <c r="N1420" i="1"/>
  <c r="BO1420" i="1"/>
  <c r="BN1420" i="1"/>
  <c r="DG1421" i="1"/>
  <c r="DA1421" i="1"/>
  <c r="T1421" i="1"/>
  <c r="S1421" i="1"/>
  <c r="Q1421" i="1"/>
  <c r="P1421" i="1"/>
  <c r="N1421" i="1"/>
  <c r="BO1421" i="1"/>
  <c r="BN1421" i="1"/>
  <c r="DG803" i="1"/>
  <c r="DA803" i="1"/>
  <c r="T803" i="1"/>
  <c r="S803" i="1"/>
  <c r="Q803" i="1"/>
  <c r="P803" i="1"/>
  <c r="N803" i="1"/>
  <c r="BO803" i="1"/>
  <c r="BN803" i="1"/>
  <c r="DG1873" i="1"/>
  <c r="DA1873" i="1"/>
  <c r="T1873" i="1"/>
  <c r="S1873" i="1"/>
  <c r="Q1873" i="1"/>
  <c r="P1873" i="1"/>
  <c r="N1873" i="1"/>
  <c r="BO1873" i="1"/>
  <c r="BN1873" i="1"/>
  <c r="DG1422" i="1"/>
  <c r="DA1422" i="1"/>
  <c r="T1422" i="1"/>
  <c r="S1422" i="1"/>
  <c r="Q1422" i="1"/>
  <c r="P1422" i="1"/>
  <c r="N1422" i="1"/>
  <c r="BO1422" i="1"/>
  <c r="BN1422" i="1"/>
  <c r="DG1423" i="1"/>
  <c r="DA1423" i="1"/>
  <c r="T1423" i="1"/>
  <c r="S1423" i="1"/>
  <c r="Q1423" i="1"/>
  <c r="P1423" i="1"/>
  <c r="N1423" i="1"/>
  <c r="BO1423" i="1"/>
  <c r="BN1423" i="1"/>
  <c r="DG985" i="1"/>
  <c r="DA985" i="1"/>
  <c r="T985" i="1"/>
  <c r="S985" i="1"/>
  <c r="Q985" i="1"/>
  <c r="P985" i="1"/>
  <c r="N985" i="1"/>
  <c r="BO985" i="1"/>
  <c r="BN985" i="1"/>
  <c r="DG1424" i="1"/>
  <c r="DA1424" i="1"/>
  <c r="T1424" i="1"/>
  <c r="S1424" i="1"/>
  <c r="Q1424" i="1"/>
  <c r="P1424" i="1"/>
  <c r="N1424" i="1"/>
  <c r="BO1424" i="1"/>
  <c r="BN1424" i="1"/>
  <c r="DG1425" i="1"/>
  <c r="DA1425" i="1"/>
  <c r="T1425" i="1"/>
  <c r="S1425" i="1"/>
  <c r="Q1425" i="1"/>
  <c r="P1425" i="1"/>
  <c r="N1425" i="1"/>
  <c r="BO1425" i="1"/>
  <c r="BN1425" i="1"/>
  <c r="DG1426" i="1"/>
  <c r="DA1426" i="1"/>
  <c r="T1426" i="1"/>
  <c r="S1426" i="1"/>
  <c r="Q1426" i="1"/>
  <c r="P1426" i="1"/>
  <c r="N1426" i="1"/>
  <c r="BO1426" i="1"/>
  <c r="BN1426" i="1"/>
  <c r="DG1872" i="1"/>
  <c r="DA1872" i="1"/>
  <c r="T1872" i="1"/>
  <c r="S1872" i="1"/>
  <c r="Q1872" i="1"/>
  <c r="P1872" i="1"/>
  <c r="N1872" i="1"/>
  <c r="BO1872" i="1"/>
  <c r="BN1872" i="1"/>
  <c r="DG1427" i="1"/>
  <c r="DA1427" i="1"/>
  <c r="T1427" i="1"/>
  <c r="S1427" i="1"/>
  <c r="Q1427" i="1"/>
  <c r="P1427" i="1"/>
  <c r="N1427" i="1"/>
  <c r="BO1427" i="1"/>
  <c r="BN1427" i="1"/>
  <c r="DG809" i="1"/>
  <c r="DA809" i="1"/>
  <c r="T809" i="1"/>
  <c r="S809" i="1"/>
  <c r="Q809" i="1"/>
  <c r="P809" i="1"/>
  <c r="N809" i="1"/>
  <c r="BO809" i="1"/>
  <c r="BN809" i="1"/>
  <c r="DG1428" i="1"/>
  <c r="DA1428" i="1"/>
  <c r="T1428" i="1"/>
  <c r="S1428" i="1"/>
  <c r="Q1428" i="1"/>
  <c r="P1428" i="1"/>
  <c r="N1428" i="1"/>
  <c r="BO1428" i="1"/>
  <c r="BN1428" i="1"/>
  <c r="DG808" i="1"/>
  <c r="DA808" i="1"/>
  <c r="T808" i="1"/>
  <c r="S808" i="1"/>
  <c r="Q808" i="1"/>
  <c r="P808" i="1"/>
  <c r="N808" i="1"/>
  <c r="BO808" i="1"/>
  <c r="BN808" i="1"/>
  <c r="DG1429" i="1"/>
  <c r="DA1429" i="1"/>
  <c r="T1429" i="1"/>
  <c r="S1429" i="1"/>
  <c r="Q1429" i="1"/>
  <c r="P1429" i="1"/>
  <c r="N1429" i="1"/>
  <c r="BO1429" i="1"/>
  <c r="BN1429" i="1"/>
  <c r="DG806" i="1"/>
  <c r="DA806" i="1"/>
  <c r="T806" i="1"/>
  <c r="S806" i="1"/>
  <c r="Q806" i="1"/>
  <c r="P806" i="1"/>
  <c r="N806" i="1"/>
  <c r="BO806" i="1"/>
  <c r="BN806" i="1"/>
  <c r="DG1430" i="1"/>
  <c r="DA1430" i="1"/>
  <c r="T1430" i="1"/>
  <c r="S1430" i="1"/>
  <c r="Q1430" i="1"/>
  <c r="P1430" i="1"/>
  <c r="N1430" i="1"/>
  <c r="BO1430" i="1"/>
  <c r="BN1430" i="1"/>
  <c r="DG1871" i="1"/>
  <c r="DA1871" i="1"/>
  <c r="T1871" i="1"/>
  <c r="S1871" i="1"/>
  <c r="Q1871" i="1"/>
  <c r="P1871" i="1"/>
  <c r="N1871" i="1"/>
  <c r="BO1871" i="1"/>
  <c r="BN1871" i="1"/>
  <c r="DG1431" i="1"/>
  <c r="DA1431" i="1"/>
  <c r="T1431" i="1"/>
  <c r="S1431" i="1"/>
  <c r="Q1431" i="1"/>
  <c r="P1431" i="1"/>
  <c r="N1431" i="1"/>
  <c r="BO1431" i="1"/>
  <c r="BN1431" i="1"/>
  <c r="DG1432" i="1"/>
  <c r="DA1432" i="1"/>
  <c r="T1432" i="1"/>
  <c r="S1432" i="1"/>
  <c r="Q1432" i="1"/>
  <c r="P1432" i="1"/>
  <c r="N1432" i="1"/>
  <c r="BO1432" i="1"/>
  <c r="BN1432" i="1"/>
  <c r="DG1433" i="1"/>
  <c r="DA1433" i="1"/>
  <c r="T1433" i="1"/>
  <c r="S1433" i="1"/>
  <c r="Q1433" i="1"/>
  <c r="P1433" i="1"/>
  <c r="N1433" i="1"/>
  <c r="BO1433" i="1"/>
  <c r="BN1433" i="1"/>
  <c r="DG1434" i="1"/>
  <c r="DA1434" i="1"/>
  <c r="T1434" i="1"/>
  <c r="S1434" i="1"/>
  <c r="Q1434" i="1"/>
  <c r="P1434" i="1"/>
  <c r="N1434" i="1"/>
  <c r="BO1434" i="1"/>
  <c r="BN1434" i="1"/>
  <c r="DG1435" i="1"/>
  <c r="DA1435" i="1"/>
  <c r="T1435" i="1"/>
  <c r="S1435" i="1"/>
  <c r="Q1435" i="1"/>
  <c r="P1435" i="1"/>
  <c r="N1435" i="1"/>
  <c r="BO1435" i="1"/>
  <c r="BN1435" i="1"/>
  <c r="DG1436" i="1"/>
  <c r="DA1436" i="1"/>
  <c r="T1436" i="1"/>
  <c r="S1436" i="1"/>
  <c r="Q1436" i="1"/>
  <c r="P1436" i="1"/>
  <c r="N1436" i="1"/>
  <c r="BO1436" i="1"/>
  <c r="BN1436" i="1"/>
  <c r="DG1437" i="1"/>
  <c r="DA1437" i="1"/>
  <c r="T1437" i="1"/>
  <c r="S1437" i="1"/>
  <c r="Q1437" i="1"/>
  <c r="P1437" i="1"/>
  <c r="N1437" i="1"/>
  <c r="BO1437" i="1"/>
  <c r="BN1437" i="1"/>
  <c r="DG1870" i="1"/>
  <c r="DA1870" i="1"/>
  <c r="T1870" i="1"/>
  <c r="S1870" i="1"/>
  <c r="Q1870" i="1"/>
  <c r="P1870" i="1"/>
  <c r="N1870" i="1"/>
  <c r="BO1870" i="1"/>
  <c r="BN1870" i="1"/>
  <c r="DG1438" i="1"/>
  <c r="DA1438" i="1"/>
  <c r="T1438" i="1"/>
  <c r="S1438" i="1"/>
  <c r="Q1438" i="1"/>
  <c r="P1438" i="1"/>
  <c r="N1438" i="1"/>
  <c r="BO1438" i="1"/>
  <c r="BN1438" i="1"/>
  <c r="DG1439" i="1"/>
  <c r="DA1439" i="1"/>
  <c r="T1439" i="1"/>
  <c r="S1439" i="1"/>
  <c r="Q1439" i="1"/>
  <c r="P1439" i="1"/>
  <c r="N1439" i="1"/>
  <c r="BO1439" i="1"/>
  <c r="BN1439" i="1"/>
  <c r="DG1440" i="1"/>
  <c r="DA1440" i="1"/>
  <c r="T1440" i="1"/>
  <c r="S1440" i="1"/>
  <c r="Q1440" i="1"/>
  <c r="P1440" i="1"/>
  <c r="N1440" i="1"/>
  <c r="BO1440" i="1"/>
  <c r="BN1440" i="1"/>
  <c r="DG1441" i="1"/>
  <c r="DA1441" i="1"/>
  <c r="T1441" i="1"/>
  <c r="S1441" i="1"/>
  <c r="Q1441" i="1"/>
  <c r="P1441" i="1"/>
  <c r="N1441" i="1"/>
  <c r="BO1441" i="1"/>
  <c r="BN1441" i="1"/>
  <c r="DG1442" i="1"/>
  <c r="DA1442" i="1"/>
  <c r="T1442" i="1"/>
  <c r="S1442" i="1"/>
  <c r="Q1442" i="1"/>
  <c r="P1442" i="1"/>
  <c r="N1442" i="1"/>
  <c r="BO1442" i="1"/>
  <c r="BN1442" i="1"/>
  <c r="DG1443" i="1"/>
  <c r="DA1443" i="1"/>
  <c r="T1443" i="1"/>
  <c r="S1443" i="1"/>
  <c r="Q1443" i="1"/>
  <c r="P1443" i="1"/>
  <c r="N1443" i="1"/>
  <c r="BO1443" i="1"/>
  <c r="BN1443" i="1"/>
  <c r="DG1065" i="1"/>
  <c r="DA1065" i="1"/>
  <c r="T1065" i="1"/>
  <c r="S1065" i="1"/>
  <c r="Q1065" i="1"/>
  <c r="P1065" i="1"/>
  <c r="N1065" i="1"/>
  <c r="BO1065" i="1"/>
  <c r="BN1065" i="1"/>
  <c r="DG1444" i="1"/>
  <c r="DA1444" i="1"/>
  <c r="T1444" i="1"/>
  <c r="S1444" i="1"/>
  <c r="Q1444" i="1"/>
  <c r="P1444" i="1"/>
  <c r="N1444" i="1"/>
  <c r="BO1444" i="1"/>
  <c r="BN1444" i="1"/>
  <c r="DG1445" i="1"/>
  <c r="DA1445" i="1"/>
  <c r="T1445" i="1"/>
  <c r="S1445" i="1"/>
  <c r="Q1445" i="1"/>
  <c r="P1445" i="1"/>
  <c r="N1445" i="1"/>
  <c r="BO1445" i="1"/>
  <c r="BN1445" i="1"/>
  <c r="DG1869" i="1"/>
  <c r="DA1869" i="1"/>
  <c r="T1869" i="1"/>
  <c r="S1869" i="1"/>
  <c r="Q1869" i="1"/>
  <c r="P1869" i="1"/>
  <c r="N1869" i="1"/>
  <c r="BO1869" i="1"/>
  <c r="BN1869" i="1"/>
  <c r="DG1252" i="1"/>
  <c r="DA1252" i="1"/>
  <c r="T1252" i="1"/>
  <c r="S1252" i="1"/>
  <c r="Q1252" i="1"/>
  <c r="P1252" i="1"/>
  <c r="N1252" i="1"/>
  <c r="BO1252" i="1"/>
  <c r="BN1252" i="1"/>
  <c r="DG1446" i="1"/>
  <c r="DA1446" i="1"/>
  <c r="T1446" i="1"/>
  <c r="S1446" i="1"/>
  <c r="Q1446" i="1"/>
  <c r="P1446" i="1"/>
  <c r="N1446" i="1"/>
  <c r="BO1446" i="1"/>
  <c r="BN1446" i="1"/>
  <c r="DG1447" i="1"/>
  <c r="DA1447" i="1"/>
  <c r="T1447" i="1"/>
  <c r="S1447" i="1"/>
  <c r="Q1447" i="1"/>
  <c r="P1447" i="1"/>
  <c r="N1447" i="1"/>
  <c r="BO1447" i="1"/>
  <c r="BN1447" i="1"/>
  <c r="DG1448" i="1"/>
  <c r="DA1448" i="1"/>
  <c r="T1448" i="1"/>
  <c r="S1448" i="1"/>
  <c r="Q1448" i="1"/>
  <c r="P1448" i="1"/>
  <c r="N1448" i="1"/>
  <c r="BO1448" i="1"/>
  <c r="BN1448" i="1"/>
  <c r="DG1449" i="1"/>
  <c r="DA1449" i="1"/>
  <c r="T1449" i="1"/>
  <c r="S1449" i="1"/>
  <c r="Q1449" i="1"/>
  <c r="P1449" i="1"/>
  <c r="N1449" i="1"/>
  <c r="BO1449" i="1"/>
  <c r="BN1449" i="1"/>
  <c r="DG1450" i="1"/>
  <c r="DA1450" i="1"/>
  <c r="T1450" i="1"/>
  <c r="S1450" i="1"/>
  <c r="Q1450" i="1"/>
  <c r="P1450" i="1"/>
  <c r="N1450" i="1"/>
  <c r="BO1450" i="1"/>
  <c r="BN1450" i="1"/>
  <c r="DG1868" i="1"/>
  <c r="DA1868" i="1"/>
  <c r="T1868" i="1"/>
  <c r="S1868" i="1"/>
  <c r="Q1868" i="1"/>
  <c r="P1868" i="1"/>
  <c r="N1868" i="1"/>
  <c r="BO1868" i="1"/>
  <c r="BN1868" i="1"/>
  <c r="DG1451" i="1"/>
  <c r="DA1451" i="1"/>
  <c r="T1451" i="1"/>
  <c r="S1451" i="1"/>
  <c r="Q1451" i="1"/>
  <c r="P1451" i="1"/>
  <c r="N1451" i="1"/>
  <c r="BO1451" i="1"/>
  <c r="BN1451" i="1"/>
  <c r="DG1452" i="1"/>
  <c r="DA1452" i="1"/>
  <c r="T1452" i="1"/>
  <c r="S1452" i="1"/>
  <c r="Q1452" i="1"/>
  <c r="P1452" i="1"/>
  <c r="N1452" i="1"/>
  <c r="BO1452" i="1"/>
  <c r="BN1452" i="1"/>
  <c r="DG1453" i="1"/>
  <c r="DA1453" i="1"/>
  <c r="T1453" i="1"/>
  <c r="S1453" i="1"/>
  <c r="Q1453" i="1"/>
  <c r="P1453" i="1"/>
  <c r="N1453" i="1"/>
  <c r="BO1453" i="1"/>
  <c r="BN1453" i="1"/>
  <c r="DG1454" i="1"/>
  <c r="DA1454" i="1"/>
  <c r="T1454" i="1"/>
  <c r="S1454" i="1"/>
  <c r="Q1454" i="1"/>
  <c r="P1454" i="1"/>
  <c r="N1454" i="1"/>
  <c r="BO1454" i="1"/>
  <c r="BN1454" i="1"/>
  <c r="DG1455" i="1"/>
  <c r="DA1455" i="1"/>
  <c r="T1455" i="1"/>
  <c r="S1455" i="1"/>
  <c r="Q1455" i="1"/>
  <c r="P1455" i="1"/>
  <c r="N1455" i="1"/>
  <c r="BO1455" i="1"/>
  <c r="BN1455" i="1"/>
  <c r="DG1456" i="1"/>
  <c r="DA1456" i="1"/>
  <c r="T1456" i="1"/>
  <c r="S1456" i="1"/>
  <c r="Q1456" i="1"/>
  <c r="P1456" i="1"/>
  <c r="N1456" i="1"/>
  <c r="BO1456" i="1"/>
  <c r="BN1456" i="1"/>
  <c r="DG1457" i="1"/>
  <c r="DA1457" i="1"/>
  <c r="T1457" i="1"/>
  <c r="S1457" i="1"/>
  <c r="Q1457" i="1"/>
  <c r="P1457" i="1"/>
  <c r="N1457" i="1"/>
  <c r="BO1457" i="1"/>
  <c r="BN1457" i="1"/>
  <c r="DG1253" i="1"/>
  <c r="DA1253" i="1"/>
  <c r="T1253" i="1"/>
  <c r="S1253" i="1"/>
  <c r="Q1253" i="1"/>
  <c r="P1253" i="1"/>
  <c r="N1253" i="1"/>
  <c r="BO1253" i="1"/>
  <c r="BN1253" i="1"/>
  <c r="DG1458" i="1"/>
  <c r="DA1458" i="1"/>
  <c r="T1458" i="1"/>
  <c r="S1458" i="1"/>
  <c r="Q1458" i="1"/>
  <c r="P1458" i="1"/>
  <c r="N1458" i="1"/>
  <c r="BO1458" i="1"/>
  <c r="BN1458" i="1"/>
  <c r="DG1459" i="1"/>
  <c r="DA1459" i="1"/>
  <c r="T1459" i="1"/>
  <c r="S1459" i="1"/>
  <c r="Q1459" i="1"/>
  <c r="P1459" i="1"/>
  <c r="N1459" i="1"/>
  <c r="BO1459" i="1"/>
  <c r="BN1459" i="1"/>
  <c r="DG1460" i="1"/>
  <c r="DA1460" i="1"/>
  <c r="T1460" i="1"/>
  <c r="S1460" i="1"/>
  <c r="Q1460" i="1"/>
  <c r="P1460" i="1"/>
  <c r="N1460" i="1"/>
  <c r="BO1460" i="1"/>
  <c r="BN1460" i="1"/>
  <c r="DG1461" i="1"/>
  <c r="DA1461" i="1"/>
  <c r="T1461" i="1"/>
  <c r="S1461" i="1"/>
  <c r="Q1461" i="1"/>
  <c r="P1461" i="1"/>
  <c r="N1461" i="1"/>
  <c r="BO1461" i="1"/>
  <c r="BN1461" i="1"/>
  <c r="DG1462" i="1"/>
  <c r="DA1462" i="1"/>
  <c r="T1462" i="1"/>
  <c r="S1462" i="1"/>
  <c r="Q1462" i="1"/>
  <c r="P1462" i="1"/>
  <c r="N1462" i="1"/>
  <c r="BO1462" i="1"/>
  <c r="BN1462" i="1"/>
  <c r="DG1463" i="1"/>
  <c r="DA1463" i="1"/>
  <c r="T1463" i="1"/>
  <c r="S1463" i="1"/>
  <c r="Q1463" i="1"/>
  <c r="P1463" i="1"/>
  <c r="N1463" i="1"/>
  <c r="BO1463" i="1"/>
  <c r="BN1463" i="1"/>
  <c r="DG1866" i="1"/>
  <c r="DA1866" i="1"/>
  <c r="T1866" i="1"/>
  <c r="S1866" i="1"/>
  <c r="Q1866" i="1"/>
  <c r="P1866" i="1"/>
  <c r="N1866" i="1"/>
  <c r="BO1866" i="1"/>
  <c r="BN1866" i="1"/>
  <c r="DG1464" i="1"/>
  <c r="DA1464" i="1"/>
  <c r="T1464" i="1"/>
  <c r="S1464" i="1"/>
  <c r="Q1464" i="1"/>
  <c r="P1464" i="1"/>
  <c r="N1464" i="1"/>
  <c r="BO1464" i="1"/>
  <c r="BN1464" i="1"/>
  <c r="DG1465" i="1"/>
  <c r="DA1465" i="1"/>
  <c r="T1465" i="1"/>
  <c r="S1465" i="1"/>
  <c r="Q1465" i="1"/>
  <c r="P1465" i="1"/>
  <c r="N1465" i="1"/>
  <c r="BO1465" i="1"/>
  <c r="BN1465" i="1"/>
  <c r="DG1466" i="1"/>
  <c r="DA1466" i="1"/>
  <c r="T1466" i="1"/>
  <c r="S1466" i="1"/>
  <c r="Q1466" i="1"/>
  <c r="P1466" i="1"/>
  <c r="N1466" i="1"/>
  <c r="BO1466" i="1"/>
  <c r="BN1466" i="1"/>
  <c r="DG1467" i="1"/>
  <c r="DA1467" i="1"/>
  <c r="T1467" i="1"/>
  <c r="S1467" i="1"/>
  <c r="Q1467" i="1"/>
  <c r="P1467" i="1"/>
  <c r="N1467" i="1"/>
  <c r="BO1467" i="1"/>
  <c r="BN1467" i="1"/>
  <c r="DG1468" i="1"/>
  <c r="DA1468" i="1"/>
  <c r="T1468" i="1"/>
  <c r="S1468" i="1"/>
  <c r="Q1468" i="1"/>
  <c r="P1468" i="1"/>
  <c r="N1468" i="1"/>
  <c r="BO1468" i="1"/>
  <c r="BN1468" i="1"/>
  <c r="DG1255" i="1"/>
  <c r="DA1255" i="1"/>
  <c r="T1255" i="1"/>
  <c r="S1255" i="1"/>
  <c r="Q1255" i="1"/>
  <c r="P1255" i="1"/>
  <c r="N1255" i="1"/>
  <c r="BO1255" i="1"/>
  <c r="BN1255" i="1"/>
  <c r="DG1469" i="1"/>
  <c r="DA1469" i="1"/>
  <c r="T1469" i="1"/>
  <c r="S1469" i="1"/>
  <c r="Q1469" i="1"/>
  <c r="P1469" i="1"/>
  <c r="N1469" i="1"/>
  <c r="BO1469" i="1"/>
  <c r="BN1469" i="1"/>
  <c r="DG1865" i="1"/>
  <c r="DA1865" i="1"/>
  <c r="T1865" i="1"/>
  <c r="S1865" i="1"/>
  <c r="Q1865" i="1"/>
  <c r="P1865" i="1"/>
  <c r="N1865" i="1"/>
  <c r="BO1865" i="1"/>
  <c r="BN1865" i="1"/>
  <c r="DG757" i="1"/>
  <c r="DA757" i="1"/>
  <c r="T757" i="1"/>
  <c r="S757" i="1"/>
  <c r="Q757" i="1"/>
  <c r="P757" i="1"/>
  <c r="N757" i="1"/>
  <c r="BO757" i="1"/>
  <c r="BN757" i="1"/>
  <c r="DG1470" i="1"/>
  <c r="DA1470" i="1"/>
  <c r="T1470" i="1"/>
  <c r="S1470" i="1"/>
  <c r="Q1470" i="1"/>
  <c r="P1470" i="1"/>
  <c r="N1470" i="1"/>
  <c r="BO1470" i="1"/>
  <c r="BN1470" i="1"/>
  <c r="DG1471" i="1"/>
  <c r="DA1471" i="1"/>
  <c r="T1471" i="1"/>
  <c r="S1471" i="1"/>
  <c r="Q1471" i="1"/>
  <c r="P1471" i="1"/>
  <c r="N1471" i="1"/>
  <c r="BO1471" i="1"/>
  <c r="BN1471" i="1"/>
  <c r="DG1178" i="1"/>
  <c r="DA1178" i="1"/>
  <c r="T1178" i="1"/>
  <c r="S1178" i="1"/>
  <c r="Q1178" i="1"/>
  <c r="P1178" i="1"/>
  <c r="N1178" i="1"/>
  <c r="BO1178" i="1"/>
  <c r="BN1178" i="1"/>
  <c r="DG1472" i="1"/>
  <c r="DA1472" i="1"/>
  <c r="T1472" i="1"/>
  <c r="S1472" i="1"/>
  <c r="Q1472" i="1"/>
  <c r="P1472" i="1"/>
  <c r="N1472" i="1"/>
  <c r="BO1472" i="1"/>
  <c r="BN1472" i="1"/>
  <c r="DG1473" i="1"/>
  <c r="DA1473" i="1"/>
  <c r="T1473" i="1"/>
  <c r="S1473" i="1"/>
  <c r="Q1473" i="1"/>
  <c r="P1473" i="1"/>
  <c r="N1473" i="1"/>
  <c r="BO1473" i="1"/>
  <c r="BN1473" i="1"/>
  <c r="DG1474" i="1"/>
  <c r="DA1474" i="1"/>
  <c r="T1474" i="1"/>
  <c r="S1474" i="1"/>
  <c r="Q1474" i="1"/>
  <c r="P1474" i="1"/>
  <c r="N1474" i="1"/>
  <c r="BO1474" i="1"/>
  <c r="BN1474" i="1"/>
  <c r="DG1475" i="1"/>
  <c r="DA1475" i="1"/>
  <c r="T1475" i="1"/>
  <c r="S1475" i="1"/>
  <c r="Q1475" i="1"/>
  <c r="P1475" i="1"/>
  <c r="N1475" i="1"/>
  <c r="BO1475" i="1"/>
  <c r="BN1475" i="1"/>
  <c r="DG802" i="1"/>
  <c r="DA802" i="1"/>
  <c r="T802" i="1"/>
  <c r="S802" i="1"/>
  <c r="Q802" i="1"/>
  <c r="P802" i="1"/>
  <c r="N802" i="1"/>
  <c r="BO802" i="1"/>
  <c r="BN802" i="1"/>
  <c r="DG801" i="1"/>
  <c r="DA801" i="1"/>
  <c r="T801" i="1"/>
  <c r="S801" i="1"/>
  <c r="Q801" i="1"/>
  <c r="P801" i="1"/>
  <c r="N801" i="1"/>
  <c r="BO801" i="1"/>
  <c r="BN801" i="1"/>
  <c r="DG1476" i="1"/>
  <c r="DA1476" i="1"/>
  <c r="T1476" i="1"/>
  <c r="S1476" i="1"/>
  <c r="Q1476" i="1"/>
  <c r="P1476" i="1"/>
  <c r="N1476" i="1"/>
  <c r="BO1476" i="1"/>
  <c r="BN1476" i="1"/>
  <c r="DG1477" i="1"/>
  <c r="DA1477" i="1"/>
  <c r="T1477" i="1"/>
  <c r="S1477" i="1"/>
  <c r="Q1477" i="1"/>
  <c r="P1477" i="1"/>
  <c r="N1477" i="1"/>
  <c r="BO1477" i="1"/>
  <c r="BN1477" i="1"/>
  <c r="DG800" i="1"/>
  <c r="DA800" i="1"/>
  <c r="T800" i="1"/>
  <c r="S800" i="1"/>
  <c r="Q800" i="1"/>
  <c r="P800" i="1"/>
  <c r="N800" i="1"/>
  <c r="BO800" i="1"/>
  <c r="BN800" i="1"/>
  <c r="DG1478" i="1"/>
  <c r="DA1478" i="1"/>
  <c r="T1478" i="1"/>
  <c r="S1478" i="1"/>
  <c r="Q1478" i="1"/>
  <c r="P1478" i="1"/>
  <c r="N1478" i="1"/>
  <c r="BO1478" i="1"/>
  <c r="BN1478" i="1"/>
  <c r="DG1479" i="1"/>
  <c r="DA1479" i="1"/>
  <c r="T1479" i="1"/>
  <c r="S1479" i="1"/>
  <c r="Q1479" i="1"/>
  <c r="P1479" i="1"/>
  <c r="N1479" i="1"/>
  <c r="BO1479" i="1"/>
  <c r="BN1479" i="1"/>
  <c r="DG1480" i="1"/>
  <c r="DA1480" i="1"/>
  <c r="T1480" i="1"/>
  <c r="S1480" i="1"/>
  <c r="Q1480" i="1"/>
  <c r="P1480" i="1"/>
  <c r="N1480" i="1"/>
  <c r="BO1480" i="1"/>
  <c r="BN1480" i="1"/>
  <c r="DG1481" i="1"/>
  <c r="DA1481" i="1"/>
  <c r="T1481" i="1"/>
  <c r="S1481" i="1"/>
  <c r="Q1481" i="1"/>
  <c r="P1481" i="1"/>
  <c r="N1481" i="1"/>
  <c r="BO1481" i="1"/>
  <c r="BN1481" i="1"/>
  <c r="DG1482" i="1"/>
  <c r="DA1482" i="1"/>
  <c r="T1482" i="1"/>
  <c r="S1482" i="1"/>
  <c r="Q1482" i="1"/>
  <c r="P1482" i="1"/>
  <c r="N1482" i="1"/>
  <c r="BO1482" i="1"/>
  <c r="BN1482" i="1"/>
  <c r="DG1483" i="1"/>
  <c r="DA1483" i="1"/>
  <c r="T1483" i="1"/>
  <c r="S1483" i="1"/>
  <c r="Q1483" i="1"/>
  <c r="P1483" i="1"/>
  <c r="N1483" i="1"/>
  <c r="BO1483" i="1"/>
  <c r="BN1483" i="1"/>
  <c r="DG1484" i="1"/>
  <c r="DA1484" i="1"/>
  <c r="T1484" i="1"/>
  <c r="S1484" i="1"/>
  <c r="Q1484" i="1"/>
  <c r="P1484" i="1"/>
  <c r="N1484" i="1"/>
  <c r="BO1484" i="1"/>
  <c r="BN1484" i="1"/>
  <c r="DG1485" i="1"/>
  <c r="DA1485" i="1"/>
  <c r="T1485" i="1"/>
  <c r="S1485" i="1"/>
  <c r="Q1485" i="1"/>
  <c r="P1485" i="1"/>
  <c r="N1485" i="1"/>
  <c r="BO1485" i="1"/>
  <c r="BN1485" i="1"/>
  <c r="DG1486" i="1"/>
  <c r="DA1486" i="1"/>
  <c r="T1486" i="1"/>
  <c r="S1486" i="1"/>
  <c r="Q1486" i="1"/>
  <c r="P1486" i="1"/>
  <c r="N1486" i="1"/>
  <c r="BO1486" i="1"/>
  <c r="BN1486" i="1"/>
  <c r="DG1487" i="1"/>
  <c r="DA1487" i="1"/>
  <c r="T1487" i="1"/>
  <c r="S1487" i="1"/>
  <c r="Q1487" i="1"/>
  <c r="P1487" i="1"/>
  <c r="N1487" i="1"/>
  <c r="BO1487" i="1"/>
  <c r="BN1487" i="1"/>
  <c r="DG1488" i="1"/>
  <c r="DA1488" i="1"/>
  <c r="T1488" i="1"/>
  <c r="S1488" i="1"/>
  <c r="Q1488" i="1"/>
  <c r="P1488" i="1"/>
  <c r="N1488" i="1"/>
  <c r="BO1488" i="1"/>
  <c r="BN1488" i="1"/>
  <c r="DG1489" i="1"/>
  <c r="DA1489" i="1"/>
  <c r="T1489" i="1"/>
  <c r="S1489" i="1"/>
  <c r="Q1489" i="1"/>
  <c r="P1489" i="1"/>
  <c r="N1489" i="1"/>
  <c r="BO1489" i="1"/>
  <c r="BN1489" i="1"/>
  <c r="DG1490" i="1"/>
  <c r="DA1490" i="1"/>
  <c r="T1490" i="1"/>
  <c r="S1490" i="1"/>
  <c r="Q1490" i="1"/>
  <c r="P1490" i="1"/>
  <c r="N1490" i="1"/>
  <c r="BO1490" i="1"/>
  <c r="BN1490" i="1"/>
  <c r="DG1491" i="1"/>
  <c r="DA1491" i="1"/>
  <c r="T1491" i="1"/>
  <c r="S1491" i="1"/>
  <c r="Q1491" i="1"/>
  <c r="P1491" i="1"/>
  <c r="N1491" i="1"/>
  <c r="BO1491" i="1"/>
  <c r="BN1491" i="1"/>
  <c r="DG1492" i="1"/>
  <c r="DA1492" i="1"/>
  <c r="T1492" i="1"/>
  <c r="S1492" i="1"/>
  <c r="Q1492" i="1"/>
  <c r="P1492" i="1"/>
  <c r="N1492" i="1"/>
  <c r="BO1492" i="1"/>
  <c r="BN1492" i="1"/>
  <c r="DG1493" i="1"/>
  <c r="DA1493" i="1"/>
  <c r="T1493" i="1"/>
  <c r="S1493" i="1"/>
  <c r="Q1493" i="1"/>
  <c r="P1493" i="1"/>
  <c r="N1493" i="1"/>
  <c r="BO1493" i="1"/>
  <c r="BN1493" i="1"/>
  <c r="DG1494" i="1"/>
  <c r="DA1494" i="1"/>
  <c r="T1494" i="1"/>
  <c r="S1494" i="1"/>
  <c r="Q1494" i="1"/>
  <c r="P1494" i="1"/>
  <c r="N1494" i="1"/>
  <c r="BO1494" i="1"/>
  <c r="BN1494" i="1"/>
  <c r="DG1495" i="1"/>
  <c r="DA1495" i="1"/>
  <c r="T1495" i="1"/>
  <c r="S1495" i="1"/>
  <c r="Q1495" i="1"/>
  <c r="P1495" i="1"/>
  <c r="N1495" i="1"/>
  <c r="BO1495" i="1"/>
  <c r="BN1495" i="1"/>
  <c r="DG1496" i="1"/>
  <c r="DA1496" i="1"/>
  <c r="T1496" i="1"/>
  <c r="S1496" i="1"/>
  <c r="Q1496" i="1"/>
  <c r="P1496" i="1"/>
  <c r="N1496" i="1"/>
  <c r="BO1496" i="1"/>
  <c r="BN1496" i="1"/>
  <c r="DG1497" i="1"/>
  <c r="DA1497" i="1"/>
  <c r="T1497" i="1"/>
  <c r="S1497" i="1"/>
  <c r="Q1497" i="1"/>
  <c r="P1497" i="1"/>
  <c r="N1497" i="1"/>
  <c r="BO1497" i="1"/>
  <c r="BN1497" i="1"/>
  <c r="DG1498" i="1"/>
  <c r="DA1498" i="1"/>
  <c r="T1498" i="1"/>
  <c r="S1498" i="1"/>
  <c r="Q1498" i="1"/>
  <c r="P1498" i="1"/>
  <c r="N1498" i="1"/>
  <c r="BO1498" i="1"/>
  <c r="BN1498" i="1"/>
  <c r="DG1499" i="1"/>
  <c r="DA1499" i="1"/>
  <c r="T1499" i="1"/>
  <c r="S1499" i="1"/>
  <c r="Q1499" i="1"/>
  <c r="P1499" i="1"/>
  <c r="N1499" i="1"/>
  <c r="BO1499" i="1"/>
  <c r="BN1499" i="1"/>
  <c r="DG1500" i="1"/>
  <c r="DA1500" i="1"/>
  <c r="T1500" i="1"/>
  <c r="S1500" i="1"/>
  <c r="Q1500" i="1"/>
  <c r="P1500" i="1"/>
  <c r="N1500" i="1"/>
  <c r="BO1500" i="1"/>
  <c r="BN1500" i="1"/>
  <c r="DG1501" i="1"/>
  <c r="DA1501" i="1"/>
  <c r="T1501" i="1"/>
  <c r="S1501" i="1"/>
  <c r="Q1501" i="1"/>
  <c r="P1501" i="1"/>
  <c r="N1501" i="1"/>
  <c r="BO1501" i="1"/>
  <c r="BN1501" i="1"/>
  <c r="DG1502" i="1"/>
  <c r="DA1502" i="1"/>
  <c r="T1502" i="1"/>
  <c r="S1502" i="1"/>
  <c r="Q1502" i="1"/>
  <c r="P1502" i="1"/>
  <c r="N1502" i="1"/>
  <c r="BO1502" i="1"/>
  <c r="BN1502" i="1"/>
  <c r="DG1503" i="1"/>
  <c r="DA1503" i="1"/>
  <c r="T1503" i="1"/>
  <c r="S1503" i="1"/>
  <c r="Q1503" i="1"/>
  <c r="P1503" i="1"/>
  <c r="N1503" i="1"/>
  <c r="BO1503" i="1"/>
  <c r="BN1503" i="1"/>
  <c r="DG1504" i="1"/>
  <c r="DA1504" i="1"/>
  <c r="T1504" i="1"/>
  <c r="S1504" i="1"/>
  <c r="Q1504" i="1"/>
  <c r="P1504" i="1"/>
  <c r="N1504" i="1"/>
  <c r="BO1504" i="1"/>
  <c r="BN1504" i="1"/>
  <c r="DG1505" i="1"/>
  <c r="DA1505" i="1"/>
  <c r="T1505" i="1"/>
  <c r="S1505" i="1"/>
  <c r="Q1505" i="1"/>
  <c r="P1505" i="1"/>
  <c r="N1505" i="1"/>
  <c r="BO1505" i="1"/>
  <c r="BN1505" i="1"/>
  <c r="DG1506" i="1"/>
  <c r="DA1506" i="1"/>
  <c r="T1506" i="1"/>
  <c r="S1506" i="1"/>
  <c r="Q1506" i="1"/>
  <c r="P1506" i="1"/>
  <c r="N1506" i="1"/>
  <c r="BO1506" i="1"/>
  <c r="BN1506" i="1"/>
  <c r="DG1049" i="1"/>
  <c r="DA1049" i="1"/>
  <c r="T1049" i="1"/>
  <c r="S1049" i="1"/>
  <c r="Q1049" i="1"/>
  <c r="P1049" i="1"/>
  <c r="N1049" i="1"/>
  <c r="BO1049" i="1"/>
  <c r="BN1049" i="1"/>
  <c r="DG1507" i="1"/>
  <c r="DA1507" i="1"/>
  <c r="T1507" i="1"/>
  <c r="S1507" i="1"/>
  <c r="Q1507" i="1"/>
  <c r="P1507" i="1"/>
  <c r="N1507" i="1"/>
  <c r="BO1507" i="1"/>
  <c r="BN1507" i="1"/>
  <c r="DG1081" i="1"/>
  <c r="DA1081" i="1"/>
  <c r="T1081" i="1"/>
  <c r="S1081" i="1"/>
  <c r="Q1081" i="1"/>
  <c r="P1081" i="1"/>
  <c r="N1081" i="1"/>
  <c r="BO1081" i="1"/>
  <c r="BN1081" i="1"/>
  <c r="DG1508" i="1"/>
  <c r="DA1508" i="1"/>
  <c r="T1508" i="1"/>
  <c r="S1508" i="1"/>
  <c r="Q1508" i="1"/>
  <c r="P1508" i="1"/>
  <c r="N1508" i="1"/>
  <c r="BO1508" i="1"/>
  <c r="BN1508" i="1"/>
  <c r="DG1509" i="1"/>
  <c r="DA1509" i="1"/>
  <c r="T1509" i="1"/>
  <c r="S1509" i="1"/>
  <c r="Q1509" i="1"/>
  <c r="P1509" i="1"/>
  <c r="N1509" i="1"/>
  <c r="BO1509" i="1"/>
  <c r="BN1509" i="1"/>
  <c r="DG1510" i="1"/>
  <c r="DA1510" i="1"/>
  <c r="T1510" i="1"/>
  <c r="S1510" i="1"/>
  <c r="Q1510" i="1"/>
  <c r="P1510" i="1"/>
  <c r="N1510" i="1"/>
  <c r="BO1510" i="1"/>
  <c r="BN1510" i="1"/>
  <c r="DG1511" i="1"/>
  <c r="DA1511" i="1"/>
  <c r="T1511" i="1"/>
  <c r="S1511" i="1"/>
  <c r="Q1511" i="1"/>
  <c r="P1511" i="1"/>
  <c r="N1511" i="1"/>
  <c r="BO1511" i="1"/>
  <c r="BN1511" i="1"/>
  <c r="DG1512" i="1"/>
  <c r="DA1512" i="1"/>
  <c r="T1512" i="1"/>
  <c r="S1512" i="1"/>
  <c r="Q1512" i="1"/>
  <c r="P1512" i="1"/>
  <c r="N1512" i="1"/>
  <c r="BO1512" i="1"/>
  <c r="BN1512" i="1"/>
  <c r="DG1513" i="1"/>
  <c r="DA1513" i="1"/>
  <c r="T1513" i="1"/>
  <c r="S1513" i="1"/>
  <c r="Q1513" i="1"/>
  <c r="P1513" i="1"/>
  <c r="N1513" i="1"/>
  <c r="BO1513" i="1"/>
  <c r="BN1513" i="1"/>
  <c r="DG804" i="1"/>
  <c r="DA804" i="1"/>
  <c r="T804" i="1"/>
  <c r="S804" i="1"/>
  <c r="Q804" i="1"/>
  <c r="P804" i="1"/>
  <c r="N804" i="1"/>
  <c r="BO804" i="1"/>
  <c r="BN804" i="1"/>
  <c r="DG1514" i="1"/>
  <c r="DA1514" i="1"/>
  <c r="T1514" i="1"/>
  <c r="S1514" i="1"/>
  <c r="Q1514" i="1"/>
  <c r="P1514" i="1"/>
  <c r="N1514" i="1"/>
  <c r="BO1514" i="1"/>
  <c r="BN1514" i="1"/>
  <c r="DG805" i="1"/>
  <c r="DA805" i="1"/>
  <c r="T805" i="1"/>
  <c r="S805" i="1"/>
  <c r="Q805" i="1"/>
  <c r="P805" i="1"/>
  <c r="N805" i="1"/>
  <c r="BO805" i="1"/>
  <c r="BN805" i="1"/>
  <c r="DG1515" i="1"/>
  <c r="DA1515" i="1"/>
  <c r="T1515" i="1"/>
  <c r="S1515" i="1"/>
  <c r="Q1515" i="1"/>
  <c r="P1515" i="1"/>
  <c r="N1515" i="1"/>
  <c r="BO1515" i="1"/>
  <c r="BN1515" i="1"/>
  <c r="DG807" i="1"/>
  <c r="DA807" i="1"/>
  <c r="T807" i="1"/>
  <c r="S807" i="1"/>
  <c r="Q807" i="1"/>
  <c r="P807" i="1"/>
  <c r="N807" i="1"/>
  <c r="BO807" i="1"/>
  <c r="BN807" i="1"/>
  <c r="DG1516" i="1"/>
  <c r="DA1516" i="1"/>
  <c r="T1516" i="1"/>
  <c r="S1516" i="1"/>
  <c r="Q1516" i="1"/>
  <c r="P1516" i="1"/>
  <c r="N1516" i="1"/>
  <c r="BO1516" i="1"/>
  <c r="BN1516" i="1"/>
  <c r="DG1517" i="1"/>
  <c r="DA1517" i="1"/>
  <c r="T1517" i="1"/>
  <c r="S1517" i="1"/>
  <c r="Q1517" i="1"/>
  <c r="P1517" i="1"/>
  <c r="N1517" i="1"/>
  <c r="BO1517" i="1"/>
  <c r="BN1517" i="1"/>
  <c r="DG1518" i="1"/>
  <c r="DA1518" i="1"/>
  <c r="T1518" i="1"/>
  <c r="S1518" i="1"/>
  <c r="Q1518" i="1"/>
  <c r="P1518" i="1"/>
  <c r="N1518" i="1"/>
  <c r="BO1518" i="1"/>
  <c r="BN1518" i="1"/>
  <c r="DG1519" i="1"/>
  <c r="DA1519" i="1"/>
  <c r="T1519" i="1"/>
  <c r="S1519" i="1"/>
  <c r="Q1519" i="1"/>
  <c r="P1519" i="1"/>
  <c r="N1519" i="1"/>
  <c r="BO1519" i="1"/>
  <c r="BN1519" i="1"/>
  <c r="DG1520" i="1"/>
  <c r="DA1520" i="1"/>
  <c r="T1520" i="1"/>
  <c r="S1520" i="1"/>
  <c r="Q1520" i="1"/>
  <c r="P1520" i="1"/>
  <c r="N1520" i="1"/>
  <c r="BO1520" i="1"/>
  <c r="BN1520" i="1"/>
  <c r="DG1521" i="1"/>
  <c r="DA1521" i="1"/>
  <c r="T1521" i="1"/>
  <c r="S1521" i="1"/>
  <c r="Q1521" i="1"/>
  <c r="P1521" i="1"/>
  <c r="N1521" i="1"/>
  <c r="BO1521" i="1"/>
  <c r="BN1521" i="1"/>
  <c r="DG1522" i="1"/>
  <c r="DA1522" i="1"/>
  <c r="T1522" i="1"/>
  <c r="S1522" i="1"/>
  <c r="Q1522" i="1"/>
  <c r="P1522" i="1"/>
  <c r="N1522" i="1"/>
  <c r="BO1522" i="1"/>
  <c r="BN1522" i="1"/>
  <c r="DG1523" i="1"/>
  <c r="DA1523" i="1"/>
  <c r="T1523" i="1"/>
  <c r="S1523" i="1"/>
  <c r="Q1523" i="1"/>
  <c r="P1523" i="1"/>
  <c r="N1523" i="1"/>
  <c r="BO1523" i="1"/>
  <c r="BN1523" i="1"/>
  <c r="DG1524" i="1"/>
  <c r="DA1524" i="1"/>
  <c r="T1524" i="1"/>
  <c r="S1524" i="1"/>
  <c r="Q1524" i="1"/>
  <c r="P1524" i="1"/>
  <c r="N1524" i="1"/>
  <c r="BO1524" i="1"/>
  <c r="BN1524" i="1"/>
  <c r="DG1525" i="1"/>
  <c r="DA1525" i="1"/>
  <c r="T1525" i="1"/>
  <c r="S1525" i="1"/>
  <c r="Q1525" i="1"/>
  <c r="P1525" i="1"/>
  <c r="N1525" i="1"/>
  <c r="BO1525" i="1"/>
  <c r="BN1525" i="1"/>
  <c r="DG1526" i="1"/>
  <c r="DA1526" i="1"/>
  <c r="T1526" i="1"/>
  <c r="S1526" i="1"/>
  <c r="Q1526" i="1"/>
  <c r="P1526" i="1"/>
  <c r="N1526" i="1"/>
  <c r="BO1526" i="1"/>
  <c r="BN1526" i="1"/>
  <c r="DG1527" i="1"/>
  <c r="DA1527" i="1"/>
  <c r="T1527" i="1"/>
  <c r="S1527" i="1"/>
  <c r="Q1527" i="1"/>
  <c r="P1527" i="1"/>
  <c r="N1527" i="1"/>
  <c r="BO1527" i="1"/>
  <c r="BN1527" i="1"/>
  <c r="DG1528" i="1"/>
  <c r="DA1528" i="1"/>
  <c r="T1528" i="1"/>
  <c r="S1528" i="1"/>
  <c r="Q1528" i="1"/>
  <c r="P1528" i="1"/>
  <c r="N1528" i="1"/>
  <c r="BO1528" i="1"/>
  <c r="BN1528" i="1"/>
  <c r="DG1529" i="1"/>
  <c r="DA1529" i="1"/>
  <c r="T1529" i="1"/>
  <c r="S1529" i="1"/>
  <c r="Q1529" i="1"/>
  <c r="P1529" i="1"/>
  <c r="N1529" i="1"/>
  <c r="BO1529" i="1"/>
  <c r="BN1529" i="1"/>
  <c r="DG1530" i="1"/>
  <c r="DA1530" i="1"/>
  <c r="T1530" i="1"/>
  <c r="S1530" i="1"/>
  <c r="Q1530" i="1"/>
  <c r="P1530" i="1"/>
  <c r="N1530" i="1"/>
  <c r="BO1530" i="1"/>
  <c r="BN1530" i="1"/>
  <c r="DG813" i="1"/>
  <c r="DA813" i="1"/>
  <c r="T813" i="1"/>
  <c r="S813" i="1"/>
  <c r="Q813" i="1"/>
  <c r="P813" i="1"/>
  <c r="N813" i="1"/>
  <c r="BO813" i="1"/>
  <c r="BN813" i="1"/>
  <c r="DG1531" i="1"/>
  <c r="DA1531" i="1"/>
  <c r="T1531" i="1"/>
  <c r="S1531" i="1"/>
  <c r="Q1531" i="1"/>
  <c r="P1531" i="1"/>
  <c r="N1531" i="1"/>
  <c r="BO1531" i="1"/>
  <c r="BN1531" i="1"/>
  <c r="DG812" i="1"/>
  <c r="DA812" i="1"/>
  <c r="T812" i="1"/>
  <c r="S812" i="1"/>
  <c r="Q812" i="1"/>
  <c r="P812" i="1"/>
  <c r="N812" i="1"/>
  <c r="BO812" i="1"/>
  <c r="BN812" i="1"/>
  <c r="DG1532" i="1"/>
  <c r="DA1532" i="1"/>
  <c r="T1532" i="1"/>
  <c r="S1532" i="1"/>
  <c r="Q1532" i="1"/>
  <c r="P1532" i="1"/>
  <c r="N1532" i="1"/>
  <c r="BO1532" i="1"/>
  <c r="BN1532" i="1"/>
  <c r="DG1533" i="1"/>
  <c r="DA1533" i="1"/>
  <c r="T1533" i="1"/>
  <c r="S1533" i="1"/>
  <c r="Q1533" i="1"/>
  <c r="P1533" i="1"/>
  <c r="N1533" i="1"/>
  <c r="BO1533" i="1"/>
  <c r="BN1533" i="1"/>
  <c r="DG815" i="1"/>
  <c r="DA815" i="1"/>
  <c r="T815" i="1"/>
  <c r="S815" i="1"/>
  <c r="Q815" i="1"/>
  <c r="P815" i="1"/>
  <c r="N815" i="1"/>
  <c r="BO815" i="1"/>
  <c r="BN815" i="1"/>
  <c r="DG1534" i="1"/>
  <c r="DA1534" i="1"/>
  <c r="T1534" i="1"/>
  <c r="S1534" i="1"/>
  <c r="Q1534" i="1"/>
  <c r="P1534" i="1"/>
  <c r="N1534" i="1"/>
  <c r="BO1534" i="1"/>
  <c r="BN1534" i="1"/>
  <c r="DG811" i="1"/>
  <c r="DA811" i="1"/>
  <c r="T811" i="1"/>
  <c r="S811" i="1"/>
  <c r="Q811" i="1"/>
  <c r="P811" i="1"/>
  <c r="N811" i="1"/>
  <c r="BO811" i="1"/>
  <c r="BN811" i="1"/>
  <c r="DG1535" i="1"/>
  <c r="DA1535" i="1"/>
  <c r="T1535" i="1"/>
  <c r="S1535" i="1"/>
  <c r="Q1535" i="1"/>
  <c r="P1535" i="1"/>
  <c r="N1535" i="1"/>
  <c r="BO1535" i="1"/>
  <c r="BN1535" i="1"/>
  <c r="DG1536" i="1"/>
  <c r="DA1536" i="1"/>
  <c r="T1536" i="1"/>
  <c r="S1536" i="1"/>
  <c r="Q1536" i="1"/>
  <c r="P1536" i="1"/>
  <c r="N1536" i="1"/>
  <c r="BO1536" i="1"/>
  <c r="BN1536" i="1"/>
  <c r="DG1537" i="1"/>
  <c r="DA1537" i="1"/>
  <c r="T1537" i="1"/>
  <c r="S1537" i="1"/>
  <c r="Q1537" i="1"/>
  <c r="P1537" i="1"/>
  <c r="N1537" i="1"/>
  <c r="BO1537" i="1"/>
  <c r="BN1537" i="1"/>
  <c r="DG1538" i="1"/>
  <c r="DA1538" i="1"/>
  <c r="T1538" i="1"/>
  <c r="S1538" i="1"/>
  <c r="Q1538" i="1"/>
  <c r="P1538" i="1"/>
  <c r="N1538" i="1"/>
  <c r="BO1538" i="1"/>
  <c r="BN1538" i="1"/>
  <c r="DG1539" i="1"/>
  <c r="DA1539" i="1"/>
  <c r="T1539" i="1"/>
  <c r="S1539" i="1"/>
  <c r="Q1539" i="1"/>
  <c r="P1539" i="1"/>
  <c r="N1539" i="1"/>
  <c r="BO1539" i="1"/>
  <c r="BN1539" i="1"/>
  <c r="DG1540" i="1"/>
  <c r="DA1540" i="1"/>
  <c r="T1540" i="1"/>
  <c r="S1540" i="1"/>
  <c r="Q1540" i="1"/>
  <c r="P1540" i="1"/>
  <c r="N1540" i="1"/>
  <c r="BO1540" i="1"/>
  <c r="BN1540" i="1"/>
  <c r="DG1541" i="1"/>
  <c r="DA1541" i="1"/>
  <c r="T1541" i="1"/>
  <c r="S1541" i="1"/>
  <c r="Q1541" i="1"/>
  <c r="P1541" i="1"/>
  <c r="N1541" i="1"/>
  <c r="BO1541" i="1"/>
  <c r="BN1541" i="1"/>
  <c r="DG1542" i="1"/>
  <c r="DA1542" i="1"/>
  <c r="T1542" i="1"/>
  <c r="S1542" i="1"/>
  <c r="Q1542" i="1"/>
  <c r="P1542" i="1"/>
  <c r="N1542" i="1"/>
  <c r="BO1542" i="1"/>
  <c r="BN1542" i="1"/>
  <c r="DG1543" i="1"/>
  <c r="DA1543" i="1"/>
  <c r="T1543" i="1"/>
  <c r="S1543" i="1"/>
  <c r="Q1543" i="1"/>
  <c r="P1543" i="1"/>
  <c r="N1543" i="1"/>
  <c r="BO1543" i="1"/>
  <c r="BN1543" i="1"/>
  <c r="DG1544" i="1"/>
  <c r="DA1544" i="1"/>
  <c r="T1544" i="1"/>
  <c r="S1544" i="1"/>
  <c r="Q1544" i="1"/>
  <c r="P1544" i="1"/>
  <c r="N1544" i="1"/>
  <c r="BO1544" i="1"/>
  <c r="BN1544" i="1"/>
  <c r="DG1545" i="1"/>
  <c r="DA1545" i="1"/>
  <c r="T1545" i="1"/>
  <c r="S1545" i="1"/>
  <c r="Q1545" i="1"/>
  <c r="P1545" i="1"/>
  <c r="N1545" i="1"/>
  <c r="BO1545" i="1"/>
  <c r="BN1545" i="1"/>
  <c r="DG1546" i="1"/>
  <c r="DA1546" i="1"/>
  <c r="T1546" i="1"/>
  <c r="S1546" i="1"/>
  <c r="Q1546" i="1"/>
  <c r="P1546" i="1"/>
  <c r="N1546" i="1"/>
  <c r="BO1546" i="1"/>
  <c r="BN1546" i="1"/>
  <c r="DG1547" i="1"/>
  <c r="DA1547" i="1"/>
  <c r="T1547" i="1"/>
  <c r="S1547" i="1"/>
  <c r="Q1547" i="1"/>
  <c r="P1547" i="1"/>
  <c r="N1547" i="1"/>
  <c r="BO1547" i="1"/>
  <c r="BN1547" i="1"/>
  <c r="DG1548" i="1"/>
  <c r="DA1548" i="1"/>
  <c r="T1548" i="1"/>
  <c r="S1548" i="1"/>
  <c r="Q1548" i="1"/>
  <c r="P1548" i="1"/>
  <c r="N1548" i="1"/>
  <c r="BO1548" i="1"/>
  <c r="BN1548" i="1"/>
  <c r="DG1549" i="1"/>
  <c r="DA1549" i="1"/>
  <c r="T1549" i="1"/>
  <c r="S1549" i="1"/>
  <c r="Q1549" i="1"/>
  <c r="P1549" i="1"/>
  <c r="N1549" i="1"/>
  <c r="BO1549" i="1"/>
  <c r="BN1549" i="1"/>
  <c r="DG1550" i="1"/>
  <c r="DA1550" i="1"/>
  <c r="T1550" i="1"/>
  <c r="S1550" i="1"/>
  <c r="Q1550" i="1"/>
  <c r="P1550" i="1"/>
  <c r="N1550" i="1"/>
  <c r="BO1550" i="1"/>
  <c r="BN1550" i="1"/>
  <c r="DG1551" i="1"/>
  <c r="DA1551" i="1"/>
  <c r="T1551" i="1"/>
  <c r="S1551" i="1"/>
  <c r="Q1551" i="1"/>
  <c r="P1551" i="1"/>
  <c r="N1551" i="1"/>
  <c r="BO1551" i="1"/>
  <c r="BN1551" i="1"/>
  <c r="DG1552" i="1"/>
  <c r="DA1552" i="1"/>
  <c r="T1552" i="1"/>
  <c r="S1552" i="1"/>
  <c r="Q1552" i="1"/>
  <c r="P1552" i="1"/>
  <c r="N1552" i="1"/>
  <c r="BO1552" i="1"/>
  <c r="BN1552" i="1"/>
  <c r="DG1553" i="1"/>
  <c r="DA1553" i="1"/>
  <c r="T1553" i="1"/>
  <c r="S1553" i="1"/>
  <c r="Q1553" i="1"/>
  <c r="P1553" i="1"/>
  <c r="N1553" i="1"/>
  <c r="BO1553" i="1"/>
  <c r="BN1553" i="1"/>
  <c r="DG1554" i="1"/>
  <c r="DA1554" i="1"/>
  <c r="T1554" i="1"/>
  <c r="S1554" i="1"/>
  <c r="Q1554" i="1"/>
  <c r="P1554" i="1"/>
  <c r="N1554" i="1"/>
  <c r="BO1554" i="1"/>
  <c r="BN1554" i="1"/>
  <c r="DG1555" i="1"/>
  <c r="DA1555" i="1"/>
  <c r="T1555" i="1"/>
  <c r="S1555" i="1"/>
  <c r="Q1555" i="1"/>
  <c r="P1555" i="1"/>
  <c r="N1555" i="1"/>
  <c r="BO1555" i="1"/>
  <c r="BN1555" i="1"/>
  <c r="DG1556" i="1"/>
  <c r="DA1556" i="1"/>
  <c r="T1556" i="1"/>
  <c r="S1556" i="1"/>
  <c r="Q1556" i="1"/>
  <c r="P1556" i="1"/>
  <c r="N1556" i="1"/>
  <c r="BO1556" i="1"/>
  <c r="BN1556" i="1"/>
  <c r="DG1557" i="1"/>
  <c r="DA1557" i="1"/>
  <c r="T1557" i="1"/>
  <c r="S1557" i="1"/>
  <c r="Q1557" i="1"/>
  <c r="P1557" i="1"/>
  <c r="N1557" i="1"/>
  <c r="BO1557" i="1"/>
  <c r="BN1557" i="1"/>
  <c r="DG1558" i="1"/>
  <c r="DA1558" i="1"/>
  <c r="T1558" i="1"/>
  <c r="S1558" i="1"/>
  <c r="Q1558" i="1"/>
  <c r="P1558" i="1"/>
  <c r="N1558" i="1"/>
  <c r="BO1558" i="1"/>
  <c r="BN1558" i="1"/>
  <c r="DG1559" i="1"/>
  <c r="DA1559" i="1"/>
  <c r="T1559" i="1"/>
  <c r="S1559" i="1"/>
  <c r="Q1559" i="1"/>
  <c r="P1559" i="1"/>
  <c r="N1559" i="1"/>
  <c r="BO1559" i="1"/>
  <c r="BN1559" i="1"/>
  <c r="DG1560" i="1"/>
  <c r="DA1560" i="1"/>
  <c r="T1560" i="1"/>
  <c r="S1560" i="1"/>
  <c r="Q1560" i="1"/>
  <c r="P1560" i="1"/>
  <c r="N1560" i="1"/>
  <c r="BO1560" i="1"/>
  <c r="BN1560" i="1"/>
  <c r="DG1561" i="1"/>
  <c r="DA1561" i="1"/>
  <c r="T1561" i="1"/>
  <c r="S1561" i="1"/>
  <c r="Q1561" i="1"/>
  <c r="P1561" i="1"/>
  <c r="N1561" i="1"/>
  <c r="BO1561" i="1"/>
  <c r="BN1561" i="1"/>
  <c r="DG1562" i="1"/>
  <c r="DA1562" i="1"/>
  <c r="T1562" i="1"/>
  <c r="S1562" i="1"/>
  <c r="Q1562" i="1"/>
  <c r="P1562" i="1"/>
  <c r="N1562" i="1"/>
  <c r="BO1562" i="1"/>
  <c r="BN1562" i="1"/>
  <c r="DG1564" i="1"/>
  <c r="DA1564" i="1"/>
  <c r="T1564" i="1"/>
  <c r="S1564" i="1"/>
  <c r="Q1564" i="1"/>
  <c r="P1564" i="1"/>
  <c r="N1564" i="1"/>
  <c r="BO1564" i="1"/>
  <c r="BN1564" i="1"/>
  <c r="DG1565" i="1"/>
  <c r="DA1565" i="1"/>
  <c r="T1565" i="1"/>
  <c r="S1565" i="1"/>
  <c r="Q1565" i="1"/>
  <c r="P1565" i="1"/>
  <c r="N1565" i="1"/>
  <c r="BO1565" i="1"/>
  <c r="BN1565" i="1"/>
  <c r="DG1566" i="1"/>
  <c r="DA1566" i="1"/>
  <c r="T1566" i="1"/>
  <c r="S1566" i="1"/>
  <c r="Q1566" i="1"/>
  <c r="P1566" i="1"/>
  <c r="N1566" i="1"/>
  <c r="BO1566" i="1"/>
  <c r="BN1566" i="1"/>
  <c r="DG1839" i="1"/>
  <c r="DA1839" i="1"/>
  <c r="T1839" i="1"/>
  <c r="S1839" i="1"/>
  <c r="Q1839" i="1"/>
  <c r="P1839" i="1"/>
  <c r="N1839" i="1"/>
  <c r="BO1839" i="1"/>
  <c r="BN1839" i="1"/>
  <c r="DG1567" i="1"/>
  <c r="DA1567" i="1"/>
  <c r="T1567" i="1"/>
  <c r="S1567" i="1"/>
  <c r="Q1567" i="1"/>
  <c r="P1567" i="1"/>
  <c r="N1567" i="1"/>
  <c r="BO1567" i="1"/>
  <c r="BN1567" i="1"/>
  <c r="DG1563" i="1"/>
  <c r="DA1563" i="1"/>
  <c r="T1563" i="1"/>
  <c r="S1563" i="1"/>
  <c r="Q1563" i="1"/>
  <c r="P1563" i="1"/>
  <c r="N1563" i="1"/>
  <c r="BO1563" i="1"/>
  <c r="BN1563" i="1"/>
  <c r="DG810" i="1"/>
  <c r="DA810" i="1"/>
  <c r="T810" i="1"/>
  <c r="S810" i="1"/>
  <c r="Q810" i="1"/>
  <c r="P810" i="1"/>
  <c r="N810" i="1"/>
  <c r="BO810" i="1"/>
  <c r="BN810" i="1"/>
  <c r="DG1568" i="1"/>
  <c r="DA1568" i="1"/>
  <c r="T1568" i="1"/>
  <c r="S1568" i="1"/>
  <c r="Q1568" i="1"/>
  <c r="P1568" i="1"/>
  <c r="N1568" i="1"/>
  <c r="BO1568" i="1"/>
  <c r="BN1568" i="1"/>
  <c r="DG1569" i="1"/>
  <c r="DA1569" i="1"/>
  <c r="T1569" i="1"/>
  <c r="S1569" i="1"/>
  <c r="Q1569" i="1"/>
  <c r="P1569" i="1"/>
  <c r="N1569" i="1"/>
  <c r="BO1569" i="1"/>
  <c r="BN1569" i="1"/>
  <c r="DG1570" i="1"/>
  <c r="DA1570" i="1"/>
  <c r="T1570" i="1"/>
  <c r="S1570" i="1"/>
  <c r="Q1570" i="1"/>
  <c r="P1570" i="1"/>
  <c r="N1570" i="1"/>
  <c r="BO1570" i="1"/>
  <c r="BN1570" i="1"/>
  <c r="DG1571" i="1"/>
  <c r="DA1571" i="1"/>
  <c r="T1571" i="1"/>
  <c r="S1571" i="1"/>
  <c r="Q1571" i="1"/>
  <c r="P1571" i="1"/>
  <c r="N1571" i="1"/>
  <c r="BO1571" i="1"/>
  <c r="BN1571" i="1"/>
  <c r="DG1572" i="1"/>
  <c r="DA1572" i="1"/>
  <c r="T1572" i="1"/>
  <c r="S1572" i="1"/>
  <c r="Q1572" i="1"/>
  <c r="P1572" i="1"/>
  <c r="N1572" i="1"/>
  <c r="BO1572" i="1"/>
  <c r="BN1572" i="1"/>
  <c r="DG1573" i="1"/>
  <c r="DA1573" i="1"/>
  <c r="T1573" i="1"/>
  <c r="S1573" i="1"/>
  <c r="Q1573" i="1"/>
  <c r="P1573" i="1"/>
  <c r="N1573" i="1"/>
  <c r="BO1573" i="1"/>
  <c r="BN1573" i="1"/>
  <c r="DG1574" i="1"/>
  <c r="DA1574" i="1"/>
  <c r="T1574" i="1"/>
  <c r="S1574" i="1"/>
  <c r="Q1574" i="1"/>
  <c r="P1574" i="1"/>
  <c r="N1574" i="1"/>
  <c r="BO1574" i="1"/>
  <c r="BN1574" i="1"/>
  <c r="DG1575" i="1"/>
  <c r="DA1575" i="1"/>
  <c r="T1575" i="1"/>
  <c r="S1575" i="1"/>
  <c r="Q1575" i="1"/>
  <c r="P1575" i="1"/>
  <c r="N1575" i="1"/>
  <c r="BO1575" i="1"/>
  <c r="BN1575" i="1"/>
  <c r="DG1576" i="1"/>
  <c r="DA1576" i="1"/>
  <c r="T1576" i="1"/>
  <c r="S1576" i="1"/>
  <c r="Q1576" i="1"/>
  <c r="P1576" i="1"/>
  <c r="N1576" i="1"/>
  <c r="BO1576" i="1"/>
  <c r="BN1576" i="1"/>
  <c r="DG1577" i="1"/>
  <c r="DA1577" i="1"/>
  <c r="T1577" i="1"/>
  <c r="S1577" i="1"/>
  <c r="Q1577" i="1"/>
  <c r="P1577" i="1"/>
  <c r="N1577" i="1"/>
  <c r="BO1577" i="1"/>
  <c r="BN1577" i="1"/>
  <c r="DG1578" i="1"/>
  <c r="DA1578" i="1"/>
  <c r="T1578" i="1"/>
  <c r="S1578" i="1"/>
  <c r="Q1578" i="1"/>
  <c r="P1578" i="1"/>
  <c r="N1578" i="1"/>
  <c r="BO1578" i="1"/>
  <c r="BN1578" i="1"/>
  <c r="DG1579" i="1"/>
  <c r="DA1579" i="1"/>
  <c r="T1579" i="1"/>
  <c r="S1579" i="1"/>
  <c r="Q1579" i="1"/>
  <c r="P1579" i="1"/>
  <c r="N1579" i="1"/>
  <c r="BO1579" i="1"/>
  <c r="BN1579" i="1"/>
  <c r="DG1580" i="1"/>
  <c r="DA1580" i="1"/>
  <c r="T1580" i="1"/>
  <c r="S1580" i="1"/>
  <c r="Q1580" i="1"/>
  <c r="P1580" i="1"/>
  <c r="N1580" i="1"/>
  <c r="BO1580" i="1"/>
  <c r="BN1580" i="1"/>
  <c r="DG1581" i="1"/>
  <c r="DA1581" i="1"/>
  <c r="T1581" i="1"/>
  <c r="S1581" i="1"/>
  <c r="Q1581" i="1"/>
  <c r="P1581" i="1"/>
  <c r="N1581" i="1"/>
  <c r="BO1581" i="1"/>
  <c r="BN1581" i="1"/>
  <c r="DG1582" i="1"/>
  <c r="DA1582" i="1"/>
  <c r="T1582" i="1"/>
  <c r="S1582" i="1"/>
  <c r="Q1582" i="1"/>
  <c r="P1582" i="1"/>
  <c r="N1582" i="1"/>
  <c r="BO1582" i="1"/>
  <c r="BN1582" i="1"/>
  <c r="DG1583" i="1"/>
  <c r="DA1583" i="1"/>
  <c r="T1583" i="1"/>
  <c r="S1583" i="1"/>
  <c r="Q1583" i="1"/>
  <c r="P1583" i="1"/>
  <c r="N1583" i="1"/>
  <c r="BO1583" i="1"/>
  <c r="BN1583" i="1"/>
  <c r="DG1584" i="1"/>
  <c r="DA1584" i="1"/>
  <c r="T1584" i="1"/>
  <c r="S1584" i="1"/>
  <c r="Q1584" i="1"/>
  <c r="P1584" i="1"/>
  <c r="N1584" i="1"/>
  <c r="BO1584" i="1"/>
  <c r="BN1584" i="1"/>
  <c r="DG1585" i="1"/>
  <c r="DA1585" i="1"/>
  <c r="T1585" i="1"/>
  <c r="S1585" i="1"/>
  <c r="Q1585" i="1"/>
  <c r="P1585" i="1"/>
  <c r="N1585" i="1"/>
  <c r="BO1585" i="1"/>
  <c r="BN1585" i="1"/>
  <c r="DG1586" i="1"/>
  <c r="DA1586" i="1"/>
  <c r="T1586" i="1"/>
  <c r="S1586" i="1"/>
  <c r="Q1586" i="1"/>
  <c r="P1586" i="1"/>
  <c r="N1586" i="1"/>
  <c r="BO1586" i="1"/>
  <c r="BN1586" i="1"/>
  <c r="DG1587" i="1"/>
  <c r="DA1587" i="1"/>
  <c r="T1587" i="1"/>
  <c r="S1587" i="1"/>
  <c r="Q1587" i="1"/>
  <c r="P1587" i="1"/>
  <c r="N1587" i="1"/>
  <c r="BO1587" i="1"/>
  <c r="BN1587" i="1"/>
  <c r="DG1216" i="1"/>
  <c r="DA1216" i="1"/>
  <c r="T1216" i="1"/>
  <c r="S1216" i="1"/>
  <c r="Q1216" i="1"/>
  <c r="P1216" i="1"/>
  <c r="N1216" i="1"/>
  <c r="BO1216" i="1"/>
  <c r="BN1216" i="1"/>
  <c r="DG1588" i="1"/>
  <c r="DA1588" i="1"/>
  <c r="T1588" i="1"/>
  <c r="S1588" i="1"/>
  <c r="Q1588" i="1"/>
  <c r="P1588" i="1"/>
  <c r="N1588" i="1"/>
  <c r="BO1588" i="1"/>
  <c r="BN1588" i="1"/>
  <c r="DG1589" i="1"/>
  <c r="DA1589" i="1"/>
  <c r="T1589" i="1"/>
  <c r="S1589" i="1"/>
  <c r="Q1589" i="1"/>
  <c r="P1589" i="1"/>
  <c r="N1589" i="1"/>
  <c r="BO1589" i="1"/>
  <c r="BN1589" i="1"/>
  <c r="DG1590" i="1"/>
  <c r="DA1590" i="1"/>
  <c r="T1590" i="1"/>
  <c r="S1590" i="1"/>
  <c r="Q1590" i="1"/>
  <c r="P1590" i="1"/>
  <c r="N1590" i="1"/>
  <c r="BO1590" i="1"/>
  <c r="BN1590" i="1"/>
  <c r="DG1591" i="1"/>
  <c r="DA1591" i="1"/>
  <c r="T1591" i="1"/>
  <c r="S1591" i="1"/>
  <c r="Q1591" i="1"/>
  <c r="P1591" i="1"/>
  <c r="N1591" i="1"/>
  <c r="BO1591" i="1"/>
  <c r="BN1591" i="1"/>
  <c r="DG1592" i="1"/>
  <c r="DA1592" i="1"/>
  <c r="T1592" i="1"/>
  <c r="S1592" i="1"/>
  <c r="Q1592" i="1"/>
  <c r="P1592" i="1"/>
  <c r="N1592" i="1"/>
  <c r="BO1592" i="1"/>
  <c r="BN1592" i="1"/>
  <c r="DG1593" i="1"/>
  <c r="DA1593" i="1"/>
  <c r="T1593" i="1"/>
  <c r="S1593" i="1"/>
  <c r="Q1593" i="1"/>
  <c r="P1593" i="1"/>
  <c r="N1593" i="1"/>
  <c r="BO1593" i="1"/>
  <c r="BN1593" i="1"/>
  <c r="DG1594" i="1"/>
  <c r="DA1594" i="1"/>
  <c r="T1594" i="1"/>
  <c r="S1594" i="1"/>
  <c r="Q1594" i="1"/>
  <c r="P1594" i="1"/>
  <c r="N1594" i="1"/>
  <c r="BO1594" i="1"/>
  <c r="BN1594" i="1"/>
  <c r="DG1595" i="1"/>
  <c r="DA1595" i="1"/>
  <c r="T1595" i="1"/>
  <c r="S1595" i="1"/>
  <c r="Q1595" i="1"/>
  <c r="P1595" i="1"/>
  <c r="N1595" i="1"/>
  <c r="BO1595" i="1"/>
  <c r="BN1595" i="1"/>
  <c r="DG1596" i="1"/>
  <c r="DA1596" i="1"/>
  <c r="T1596" i="1"/>
  <c r="S1596" i="1"/>
  <c r="Q1596" i="1"/>
  <c r="P1596" i="1"/>
  <c r="N1596" i="1"/>
  <c r="BO1596" i="1"/>
  <c r="BN1596" i="1"/>
  <c r="DG1597" i="1"/>
  <c r="DA1597" i="1"/>
  <c r="T1597" i="1"/>
  <c r="S1597" i="1"/>
  <c r="Q1597" i="1"/>
  <c r="P1597" i="1"/>
  <c r="N1597" i="1"/>
  <c r="BO1597" i="1"/>
  <c r="BN1597" i="1"/>
  <c r="DG1598" i="1"/>
  <c r="DA1598" i="1"/>
  <c r="T1598" i="1"/>
  <c r="S1598" i="1"/>
  <c r="Q1598" i="1"/>
  <c r="P1598" i="1"/>
  <c r="N1598" i="1"/>
  <c r="BO1598" i="1"/>
  <c r="BN1598" i="1"/>
  <c r="DG1599" i="1"/>
  <c r="DA1599" i="1"/>
  <c r="T1599" i="1"/>
  <c r="S1599" i="1"/>
  <c r="Q1599" i="1"/>
  <c r="P1599" i="1"/>
  <c r="N1599" i="1"/>
  <c r="BO1599" i="1"/>
  <c r="BN1599" i="1"/>
  <c r="DG1691" i="1"/>
  <c r="DA1691" i="1"/>
  <c r="T1691" i="1"/>
  <c r="S1691" i="1"/>
  <c r="Q1691" i="1"/>
  <c r="P1691" i="1"/>
  <c r="N1691" i="1"/>
  <c r="BO1691" i="1"/>
  <c r="BN1691" i="1"/>
  <c r="DG1600" i="1"/>
  <c r="DA1600" i="1"/>
  <c r="T1600" i="1"/>
  <c r="S1600" i="1"/>
  <c r="Q1600" i="1"/>
  <c r="P1600" i="1"/>
  <c r="N1600" i="1"/>
  <c r="BO1600" i="1"/>
  <c r="BN1600" i="1"/>
  <c r="DG1601" i="1"/>
  <c r="DA1601" i="1"/>
  <c r="T1601" i="1"/>
  <c r="S1601" i="1"/>
  <c r="Q1601" i="1"/>
  <c r="P1601" i="1"/>
  <c r="N1601" i="1"/>
  <c r="BO1601" i="1"/>
  <c r="BN1601" i="1"/>
  <c r="DG1602" i="1"/>
  <c r="DA1602" i="1"/>
  <c r="T1602" i="1"/>
  <c r="S1602" i="1"/>
  <c r="Q1602" i="1"/>
  <c r="P1602" i="1"/>
  <c r="N1602" i="1"/>
  <c r="BO1602" i="1"/>
  <c r="BN1602" i="1"/>
  <c r="DG1603" i="1"/>
  <c r="DA1603" i="1"/>
  <c r="T1603" i="1"/>
  <c r="S1603" i="1"/>
  <c r="Q1603" i="1"/>
  <c r="P1603" i="1"/>
  <c r="N1603" i="1"/>
  <c r="BO1603" i="1"/>
  <c r="BN1603" i="1"/>
  <c r="DG1604" i="1"/>
  <c r="DA1604" i="1"/>
  <c r="T1604" i="1"/>
  <c r="S1604" i="1"/>
  <c r="Q1604" i="1"/>
  <c r="P1604" i="1"/>
  <c r="N1604" i="1"/>
  <c r="BO1604" i="1"/>
  <c r="BN1604" i="1"/>
  <c r="DG1605" i="1"/>
  <c r="DA1605" i="1"/>
  <c r="T1605" i="1"/>
  <c r="S1605" i="1"/>
  <c r="Q1605" i="1"/>
  <c r="P1605" i="1"/>
  <c r="N1605" i="1"/>
  <c r="BO1605" i="1"/>
  <c r="BN1605" i="1"/>
  <c r="DG1606" i="1"/>
  <c r="DA1606" i="1"/>
  <c r="T1606" i="1"/>
  <c r="S1606" i="1"/>
  <c r="Q1606" i="1"/>
  <c r="P1606" i="1"/>
  <c r="N1606" i="1"/>
  <c r="BO1606" i="1"/>
  <c r="BN1606" i="1"/>
  <c r="DG1607" i="1"/>
  <c r="DA1607" i="1"/>
  <c r="T1607" i="1"/>
  <c r="S1607" i="1"/>
  <c r="Q1607" i="1"/>
  <c r="P1607" i="1"/>
  <c r="N1607" i="1"/>
  <c r="BO1607" i="1"/>
  <c r="BN1607" i="1"/>
  <c r="DG1608" i="1"/>
  <c r="DA1608" i="1"/>
  <c r="T1608" i="1"/>
  <c r="S1608" i="1"/>
  <c r="Q1608" i="1"/>
  <c r="P1608" i="1"/>
  <c r="N1608" i="1"/>
  <c r="BO1608" i="1"/>
  <c r="BN1608" i="1"/>
  <c r="DG1609" i="1"/>
  <c r="DA1609" i="1"/>
  <c r="T1609" i="1"/>
  <c r="S1609" i="1"/>
  <c r="Q1609" i="1"/>
  <c r="P1609" i="1"/>
  <c r="N1609" i="1"/>
  <c r="BO1609" i="1"/>
  <c r="BN1609" i="1"/>
  <c r="DG1610" i="1"/>
  <c r="DA1610" i="1"/>
  <c r="T1610" i="1"/>
  <c r="S1610" i="1"/>
  <c r="Q1610" i="1"/>
  <c r="P1610" i="1"/>
  <c r="N1610" i="1"/>
  <c r="BO1610" i="1"/>
  <c r="BN1610" i="1"/>
  <c r="DG1611" i="1"/>
  <c r="DA1611" i="1"/>
  <c r="T1611" i="1"/>
  <c r="S1611" i="1"/>
  <c r="Q1611" i="1"/>
  <c r="P1611" i="1"/>
  <c r="N1611" i="1"/>
  <c r="BO1611" i="1"/>
  <c r="BN1611" i="1"/>
  <c r="DG1612" i="1"/>
  <c r="DA1612" i="1"/>
  <c r="T1612" i="1"/>
  <c r="S1612" i="1"/>
  <c r="Q1612" i="1"/>
  <c r="P1612" i="1"/>
  <c r="N1612" i="1"/>
  <c r="BO1612" i="1"/>
  <c r="BN1612" i="1"/>
  <c r="DG1613" i="1"/>
  <c r="DA1613" i="1"/>
  <c r="T1613" i="1"/>
  <c r="S1613" i="1"/>
  <c r="Q1613" i="1"/>
  <c r="P1613" i="1"/>
  <c r="N1613" i="1"/>
  <c r="BO1613" i="1"/>
  <c r="BN1613" i="1"/>
  <c r="DG1614" i="1"/>
  <c r="DA1614" i="1"/>
  <c r="T1614" i="1"/>
  <c r="S1614" i="1"/>
  <c r="Q1614" i="1"/>
  <c r="P1614" i="1"/>
  <c r="N1614" i="1"/>
  <c r="BO1614" i="1"/>
  <c r="BN1614" i="1"/>
  <c r="DG1615" i="1"/>
  <c r="DA1615" i="1"/>
  <c r="T1615" i="1"/>
  <c r="S1615" i="1"/>
  <c r="Q1615" i="1"/>
  <c r="P1615" i="1"/>
  <c r="N1615" i="1"/>
  <c r="BO1615" i="1"/>
  <c r="BN1615" i="1"/>
  <c r="DG1616" i="1"/>
  <c r="DA1616" i="1"/>
  <c r="T1616" i="1"/>
  <c r="S1616" i="1"/>
  <c r="Q1616" i="1"/>
  <c r="P1616" i="1"/>
  <c r="N1616" i="1"/>
  <c r="BO1616" i="1"/>
  <c r="BN1616" i="1"/>
  <c r="DG1375" i="1"/>
  <c r="DA1375" i="1"/>
  <c r="T1375" i="1"/>
  <c r="S1375" i="1"/>
  <c r="Q1375" i="1"/>
  <c r="P1375" i="1"/>
  <c r="N1375" i="1"/>
  <c r="BO1375" i="1"/>
  <c r="BN1375" i="1"/>
  <c r="DG1617" i="1"/>
  <c r="DA1617" i="1"/>
  <c r="T1617" i="1"/>
  <c r="S1617" i="1"/>
  <c r="Q1617" i="1"/>
  <c r="P1617" i="1"/>
  <c r="N1617" i="1"/>
  <c r="BO1617" i="1"/>
  <c r="BN1617" i="1"/>
  <c r="DG1618" i="1"/>
  <c r="DA1618" i="1"/>
  <c r="T1618" i="1"/>
  <c r="S1618" i="1"/>
  <c r="Q1618" i="1"/>
  <c r="P1618" i="1"/>
  <c r="N1618" i="1"/>
  <c r="BO1618" i="1"/>
  <c r="BN1618" i="1"/>
  <c r="DG1619" i="1"/>
  <c r="DA1619" i="1"/>
  <c r="T1619" i="1"/>
  <c r="S1619" i="1"/>
  <c r="Q1619" i="1"/>
  <c r="P1619" i="1"/>
  <c r="N1619" i="1"/>
  <c r="BO1619" i="1"/>
  <c r="BN1619" i="1"/>
  <c r="DG1620" i="1"/>
  <c r="DA1620" i="1"/>
  <c r="T1620" i="1"/>
  <c r="S1620" i="1"/>
  <c r="Q1620" i="1"/>
  <c r="P1620" i="1"/>
  <c r="N1620" i="1"/>
  <c r="BO1620" i="1"/>
  <c r="BN1620" i="1"/>
  <c r="DG1621" i="1"/>
  <c r="DA1621" i="1"/>
  <c r="T1621" i="1"/>
  <c r="S1621" i="1"/>
  <c r="Q1621" i="1"/>
  <c r="P1621" i="1"/>
  <c r="N1621" i="1"/>
  <c r="BO1621" i="1"/>
  <c r="BN1621" i="1"/>
  <c r="DG1622" i="1"/>
  <c r="DA1622" i="1"/>
  <c r="T1622" i="1"/>
  <c r="S1622" i="1"/>
  <c r="Q1622" i="1"/>
  <c r="P1622" i="1"/>
  <c r="N1622" i="1"/>
  <c r="BO1622" i="1"/>
  <c r="BN1622" i="1"/>
  <c r="DG1623" i="1"/>
  <c r="DA1623" i="1"/>
  <c r="T1623" i="1"/>
  <c r="S1623" i="1"/>
  <c r="Q1623" i="1"/>
  <c r="P1623" i="1"/>
  <c r="N1623" i="1"/>
  <c r="BO1623" i="1"/>
  <c r="BN1623" i="1"/>
  <c r="DG1624" i="1"/>
  <c r="DA1624" i="1"/>
  <c r="T1624" i="1"/>
  <c r="S1624" i="1"/>
  <c r="Q1624" i="1"/>
  <c r="P1624" i="1"/>
  <c r="N1624" i="1"/>
  <c r="BO1624" i="1"/>
  <c r="BN1624" i="1"/>
  <c r="DG1625" i="1"/>
  <c r="DA1625" i="1"/>
  <c r="T1625" i="1"/>
  <c r="S1625" i="1"/>
  <c r="Q1625" i="1"/>
  <c r="P1625" i="1"/>
  <c r="N1625" i="1"/>
  <c r="BO1625" i="1"/>
  <c r="BN1625" i="1"/>
  <c r="DG1626" i="1"/>
  <c r="DA1626" i="1"/>
  <c r="T1626" i="1"/>
  <c r="S1626" i="1"/>
  <c r="Q1626" i="1"/>
  <c r="P1626" i="1"/>
  <c r="N1626" i="1"/>
  <c r="BO1626" i="1"/>
  <c r="BN1626" i="1"/>
  <c r="DG1627" i="1"/>
  <c r="DA1627" i="1"/>
  <c r="T1627" i="1"/>
  <c r="S1627" i="1"/>
  <c r="Q1627" i="1"/>
  <c r="P1627" i="1"/>
  <c r="N1627" i="1"/>
  <c r="BO1627" i="1"/>
  <c r="BN1627" i="1"/>
  <c r="DG1628" i="1"/>
  <c r="DA1628" i="1"/>
  <c r="T1628" i="1"/>
  <c r="S1628" i="1"/>
  <c r="Q1628" i="1"/>
  <c r="P1628" i="1"/>
  <c r="N1628" i="1"/>
  <c r="BO1628" i="1"/>
  <c r="BN1628" i="1"/>
  <c r="DG1629" i="1"/>
  <c r="DA1629" i="1"/>
  <c r="T1629" i="1"/>
  <c r="S1629" i="1"/>
  <c r="Q1629" i="1"/>
  <c r="P1629" i="1"/>
  <c r="N1629" i="1"/>
  <c r="BO1629" i="1"/>
  <c r="BN1629" i="1"/>
  <c r="DG1630" i="1"/>
  <c r="DA1630" i="1"/>
  <c r="T1630" i="1"/>
  <c r="S1630" i="1"/>
  <c r="Q1630" i="1"/>
  <c r="P1630" i="1"/>
  <c r="N1630" i="1"/>
  <c r="BO1630" i="1"/>
  <c r="BN1630" i="1"/>
  <c r="DG1631" i="1"/>
  <c r="DA1631" i="1"/>
  <c r="T1631" i="1"/>
  <c r="S1631" i="1"/>
  <c r="Q1631" i="1"/>
  <c r="P1631" i="1"/>
  <c r="N1631" i="1"/>
  <c r="BO1631" i="1"/>
  <c r="BN1631" i="1"/>
  <c r="DG1632" i="1"/>
  <c r="DA1632" i="1"/>
  <c r="T1632" i="1"/>
  <c r="S1632" i="1"/>
  <c r="Q1632" i="1"/>
  <c r="P1632" i="1"/>
  <c r="N1632" i="1"/>
  <c r="BO1632" i="1"/>
  <c r="BN1632" i="1"/>
  <c r="DG1633" i="1"/>
  <c r="DA1633" i="1"/>
  <c r="T1633" i="1"/>
  <c r="S1633" i="1"/>
  <c r="Q1633" i="1"/>
  <c r="P1633" i="1"/>
  <c r="N1633" i="1"/>
  <c r="BO1633" i="1"/>
  <c r="BN1633" i="1"/>
  <c r="DG1634" i="1"/>
  <c r="DA1634" i="1"/>
  <c r="T1634" i="1"/>
  <c r="S1634" i="1"/>
  <c r="Q1634" i="1"/>
  <c r="P1634" i="1"/>
  <c r="N1634" i="1"/>
  <c r="BO1634" i="1"/>
  <c r="BN1634" i="1"/>
  <c r="DG1635" i="1"/>
  <c r="DA1635" i="1"/>
  <c r="T1635" i="1"/>
  <c r="S1635" i="1"/>
  <c r="Q1635" i="1"/>
  <c r="P1635" i="1"/>
  <c r="N1635" i="1"/>
  <c r="BO1635" i="1"/>
  <c r="BN1635" i="1"/>
  <c r="DG1636" i="1"/>
  <c r="DA1636" i="1"/>
  <c r="T1636" i="1"/>
  <c r="S1636" i="1"/>
  <c r="Q1636" i="1"/>
  <c r="P1636" i="1"/>
  <c r="N1636" i="1"/>
  <c r="BO1636" i="1"/>
  <c r="BN1636" i="1"/>
  <c r="DG1637" i="1"/>
  <c r="DA1637" i="1"/>
  <c r="T1637" i="1"/>
  <c r="S1637" i="1"/>
  <c r="Q1637" i="1"/>
  <c r="P1637" i="1"/>
  <c r="N1637" i="1"/>
  <c r="BO1637" i="1"/>
  <c r="BN1637" i="1"/>
  <c r="DG1274" i="1"/>
  <c r="DA1274" i="1"/>
  <c r="T1274" i="1"/>
  <c r="S1274" i="1"/>
  <c r="Q1274" i="1"/>
  <c r="P1274" i="1"/>
  <c r="N1274" i="1"/>
  <c r="BO1274" i="1"/>
  <c r="BN1274" i="1"/>
  <c r="DG1638" i="1"/>
  <c r="DA1638" i="1"/>
  <c r="T1638" i="1"/>
  <c r="S1638" i="1"/>
  <c r="Q1638" i="1"/>
  <c r="P1638" i="1"/>
  <c r="N1638" i="1"/>
  <c r="BO1638" i="1"/>
  <c r="BN1638" i="1"/>
  <c r="DG1639" i="1"/>
  <c r="DA1639" i="1"/>
  <c r="T1639" i="1"/>
  <c r="S1639" i="1"/>
  <c r="Q1639" i="1"/>
  <c r="P1639" i="1"/>
  <c r="N1639" i="1"/>
  <c r="BO1639" i="1"/>
  <c r="BN1639" i="1"/>
  <c r="DG1640" i="1"/>
  <c r="DA1640" i="1"/>
  <c r="T1640" i="1"/>
  <c r="S1640" i="1"/>
  <c r="Q1640" i="1"/>
  <c r="P1640" i="1"/>
  <c r="N1640" i="1"/>
  <c r="BO1640" i="1"/>
  <c r="BN1640" i="1"/>
  <c r="DG1641" i="1"/>
  <c r="DA1641" i="1"/>
  <c r="T1641" i="1"/>
  <c r="S1641" i="1"/>
  <c r="Q1641" i="1"/>
  <c r="P1641" i="1"/>
  <c r="N1641" i="1"/>
  <c r="BO1641" i="1"/>
  <c r="BN1641" i="1"/>
  <c r="DG1642" i="1"/>
  <c r="DA1642" i="1"/>
  <c r="T1642" i="1"/>
  <c r="S1642" i="1"/>
  <c r="Q1642" i="1"/>
  <c r="P1642" i="1"/>
  <c r="N1642" i="1"/>
  <c r="BO1642" i="1"/>
  <c r="BN1642" i="1"/>
  <c r="DG1643" i="1"/>
  <c r="DA1643" i="1"/>
  <c r="T1643" i="1"/>
  <c r="S1643" i="1"/>
  <c r="Q1643" i="1"/>
  <c r="P1643" i="1"/>
  <c r="N1643" i="1"/>
  <c r="BO1643" i="1"/>
  <c r="BN1643" i="1"/>
  <c r="DG1241" i="1"/>
  <c r="DA1241" i="1"/>
  <c r="T1241" i="1"/>
  <c r="S1241" i="1"/>
  <c r="Q1241" i="1"/>
  <c r="P1241" i="1"/>
  <c r="N1241" i="1"/>
  <c r="BO1241" i="1"/>
  <c r="BN1241" i="1"/>
  <c r="DG1644" i="1"/>
  <c r="DA1644" i="1"/>
  <c r="T1644" i="1"/>
  <c r="S1644" i="1"/>
  <c r="Q1644" i="1"/>
  <c r="P1644" i="1"/>
  <c r="N1644" i="1"/>
  <c r="BO1644" i="1"/>
  <c r="BN1644" i="1"/>
  <c r="DG1645" i="1"/>
  <c r="DA1645" i="1"/>
  <c r="T1645" i="1"/>
  <c r="S1645" i="1"/>
  <c r="Q1645" i="1"/>
  <c r="P1645" i="1"/>
  <c r="N1645" i="1"/>
  <c r="BO1645" i="1"/>
  <c r="BN1645" i="1"/>
  <c r="DG1646" i="1"/>
  <c r="DA1646" i="1"/>
  <c r="T1646" i="1"/>
  <c r="S1646" i="1"/>
  <c r="Q1646" i="1"/>
  <c r="P1646" i="1"/>
  <c r="N1646" i="1"/>
  <c r="BO1646" i="1"/>
  <c r="BN1646" i="1"/>
  <c r="DG1647" i="1"/>
  <c r="DA1647" i="1"/>
  <c r="T1647" i="1"/>
  <c r="S1647" i="1"/>
  <c r="Q1647" i="1"/>
  <c r="P1647" i="1"/>
  <c r="N1647" i="1"/>
  <c r="BO1647" i="1"/>
  <c r="BN1647" i="1"/>
  <c r="DG1648" i="1"/>
  <c r="DA1648" i="1"/>
  <c r="T1648" i="1"/>
  <c r="S1648" i="1"/>
  <c r="Q1648" i="1"/>
  <c r="P1648" i="1"/>
  <c r="N1648" i="1"/>
  <c r="BO1648" i="1"/>
  <c r="BN1648" i="1"/>
  <c r="DG1649" i="1"/>
  <c r="DA1649" i="1"/>
  <c r="T1649" i="1"/>
  <c r="S1649" i="1"/>
  <c r="Q1649" i="1"/>
  <c r="P1649" i="1"/>
  <c r="N1649" i="1"/>
  <c r="BO1649" i="1"/>
  <c r="BN1649" i="1"/>
  <c r="DG1650" i="1"/>
  <c r="DA1650" i="1"/>
  <c r="T1650" i="1"/>
  <c r="S1650" i="1"/>
  <c r="Q1650" i="1"/>
  <c r="P1650" i="1"/>
  <c r="N1650" i="1"/>
  <c r="BO1650" i="1"/>
  <c r="BN1650" i="1"/>
  <c r="DG1651" i="1"/>
  <c r="DA1651" i="1"/>
  <c r="T1651" i="1"/>
  <c r="S1651" i="1"/>
  <c r="Q1651" i="1"/>
  <c r="P1651" i="1"/>
  <c r="N1651" i="1"/>
  <c r="BO1651" i="1"/>
  <c r="BN1651" i="1"/>
  <c r="DG1652" i="1"/>
  <c r="DA1652" i="1"/>
  <c r="T1652" i="1"/>
  <c r="S1652" i="1"/>
  <c r="Q1652" i="1"/>
  <c r="P1652" i="1"/>
  <c r="N1652" i="1"/>
  <c r="BO1652" i="1"/>
  <c r="BN1652" i="1"/>
  <c r="DG1653" i="1"/>
  <c r="DA1653" i="1"/>
  <c r="T1653" i="1"/>
  <c r="S1653" i="1"/>
  <c r="Q1653" i="1"/>
  <c r="P1653" i="1"/>
  <c r="N1653" i="1"/>
  <c r="BO1653" i="1"/>
  <c r="BN1653" i="1"/>
  <c r="DG1654" i="1"/>
  <c r="DA1654" i="1"/>
  <c r="T1654" i="1"/>
  <c r="S1654" i="1"/>
  <c r="Q1654" i="1"/>
  <c r="P1654" i="1"/>
  <c r="N1654" i="1"/>
  <c r="BO1654" i="1"/>
  <c r="BN1654" i="1"/>
  <c r="DG1655" i="1"/>
  <c r="DA1655" i="1"/>
  <c r="T1655" i="1"/>
  <c r="S1655" i="1"/>
  <c r="Q1655" i="1"/>
  <c r="P1655" i="1"/>
  <c r="N1655" i="1"/>
  <c r="BO1655" i="1"/>
  <c r="BN1655" i="1"/>
  <c r="DG1656" i="1"/>
  <c r="DA1656" i="1"/>
  <c r="T1656" i="1"/>
  <c r="S1656" i="1"/>
  <c r="Q1656" i="1"/>
  <c r="P1656" i="1"/>
  <c r="N1656" i="1"/>
  <c r="BO1656" i="1"/>
  <c r="BN1656" i="1"/>
  <c r="DG1657" i="1"/>
  <c r="DA1657" i="1"/>
  <c r="T1657" i="1"/>
  <c r="S1657" i="1"/>
  <c r="Q1657" i="1"/>
  <c r="P1657" i="1"/>
  <c r="N1657" i="1"/>
  <c r="BO1657" i="1"/>
  <c r="BN1657" i="1"/>
  <c r="DG1658" i="1"/>
  <c r="DA1658" i="1"/>
  <c r="T1658" i="1"/>
  <c r="S1658" i="1"/>
  <c r="Q1658" i="1"/>
  <c r="P1658" i="1"/>
  <c r="N1658" i="1"/>
  <c r="BO1658" i="1"/>
  <c r="BN1658" i="1"/>
  <c r="DG1659" i="1"/>
  <c r="DA1659" i="1"/>
  <c r="T1659" i="1"/>
  <c r="S1659" i="1"/>
  <c r="Q1659" i="1"/>
  <c r="P1659" i="1"/>
  <c r="N1659" i="1"/>
  <c r="BO1659" i="1"/>
  <c r="BN1659" i="1"/>
  <c r="DG1660" i="1"/>
  <c r="DA1660" i="1"/>
  <c r="T1660" i="1"/>
  <c r="S1660" i="1"/>
  <c r="Q1660" i="1"/>
  <c r="P1660" i="1"/>
  <c r="N1660" i="1"/>
  <c r="BO1660" i="1"/>
  <c r="BN1660" i="1"/>
  <c r="DG1661" i="1"/>
  <c r="DA1661" i="1"/>
  <c r="T1661" i="1"/>
  <c r="S1661" i="1"/>
  <c r="Q1661" i="1"/>
  <c r="P1661" i="1"/>
  <c r="N1661" i="1"/>
  <c r="BO1661" i="1"/>
  <c r="BN1661" i="1"/>
  <c r="DG1662" i="1"/>
  <c r="DA1662" i="1"/>
  <c r="T1662" i="1"/>
  <c r="S1662" i="1"/>
  <c r="Q1662" i="1"/>
  <c r="P1662" i="1"/>
  <c r="N1662" i="1"/>
  <c r="BO1662" i="1"/>
  <c r="BN1662" i="1"/>
  <c r="DG1663" i="1"/>
  <c r="DA1663" i="1"/>
  <c r="T1663" i="1"/>
  <c r="S1663" i="1"/>
  <c r="Q1663" i="1"/>
  <c r="P1663" i="1"/>
  <c r="N1663" i="1"/>
  <c r="BO1663" i="1"/>
  <c r="BN1663" i="1"/>
  <c r="DG1664" i="1"/>
  <c r="DA1664" i="1"/>
  <c r="T1664" i="1"/>
  <c r="S1664" i="1"/>
  <c r="Q1664" i="1"/>
  <c r="P1664" i="1"/>
  <c r="N1664" i="1"/>
  <c r="BO1664" i="1"/>
  <c r="BN1664" i="1"/>
  <c r="DG1665" i="1"/>
  <c r="DA1665" i="1"/>
  <c r="T1665" i="1"/>
  <c r="S1665" i="1"/>
  <c r="Q1665" i="1"/>
  <c r="P1665" i="1"/>
  <c r="N1665" i="1"/>
  <c r="BO1665" i="1"/>
  <c r="BN1665" i="1"/>
  <c r="DG1666" i="1"/>
  <c r="DA1666" i="1"/>
  <c r="T1666" i="1"/>
  <c r="S1666" i="1"/>
  <c r="Q1666" i="1"/>
  <c r="P1666" i="1"/>
  <c r="N1666" i="1"/>
  <c r="BO1666" i="1"/>
  <c r="BN1666" i="1"/>
  <c r="DG1667" i="1"/>
  <c r="DA1667" i="1"/>
  <c r="T1667" i="1"/>
  <c r="S1667" i="1"/>
  <c r="Q1667" i="1"/>
  <c r="P1667" i="1"/>
  <c r="N1667" i="1"/>
  <c r="BO1667" i="1"/>
  <c r="BN1667" i="1"/>
  <c r="DG1668" i="1"/>
  <c r="DA1668" i="1"/>
  <c r="T1668" i="1"/>
  <c r="S1668" i="1"/>
  <c r="Q1668" i="1"/>
  <c r="P1668" i="1"/>
  <c r="N1668" i="1"/>
  <c r="BO1668" i="1"/>
  <c r="BN1668" i="1"/>
  <c r="DG1838" i="1"/>
  <c r="DA1838" i="1"/>
  <c r="T1838" i="1"/>
  <c r="S1838" i="1"/>
  <c r="Q1838" i="1"/>
  <c r="P1838" i="1"/>
  <c r="N1838" i="1"/>
  <c r="BO1838" i="1"/>
  <c r="BN1838" i="1"/>
  <c r="DG1669" i="1"/>
  <c r="DA1669" i="1"/>
  <c r="T1669" i="1"/>
  <c r="S1669" i="1"/>
  <c r="Q1669" i="1"/>
  <c r="P1669" i="1"/>
  <c r="N1669" i="1"/>
  <c r="BO1669" i="1"/>
  <c r="BN1669" i="1"/>
  <c r="DG1670" i="1"/>
  <c r="DA1670" i="1"/>
  <c r="T1670" i="1"/>
  <c r="S1670" i="1"/>
  <c r="Q1670" i="1"/>
  <c r="P1670" i="1"/>
  <c r="N1670" i="1"/>
  <c r="BO1670" i="1"/>
  <c r="BN1670" i="1"/>
  <c r="DG1671" i="1"/>
  <c r="DA1671" i="1"/>
  <c r="T1671" i="1"/>
  <c r="S1671" i="1"/>
  <c r="Q1671" i="1"/>
  <c r="P1671" i="1"/>
  <c r="N1671" i="1"/>
  <c r="BO1671" i="1"/>
  <c r="BN1671" i="1"/>
  <c r="DG1672" i="1"/>
  <c r="DA1672" i="1"/>
  <c r="T1672" i="1"/>
  <c r="S1672" i="1"/>
  <c r="Q1672" i="1"/>
  <c r="P1672" i="1"/>
  <c r="N1672" i="1"/>
  <c r="BO1672" i="1"/>
  <c r="BN1672" i="1"/>
  <c r="DG1673" i="1"/>
  <c r="DA1673" i="1"/>
  <c r="T1673" i="1"/>
  <c r="S1673" i="1"/>
  <c r="Q1673" i="1"/>
  <c r="P1673" i="1"/>
  <c r="N1673" i="1"/>
  <c r="BO1673" i="1"/>
  <c r="BN1673" i="1"/>
  <c r="DG1275" i="1"/>
  <c r="DA1275" i="1"/>
  <c r="T1275" i="1"/>
  <c r="S1275" i="1"/>
  <c r="Q1275" i="1"/>
  <c r="P1275" i="1"/>
  <c r="N1275" i="1"/>
  <c r="BO1275" i="1"/>
  <c r="BN1275" i="1"/>
  <c r="DG1674" i="1"/>
  <c r="DA1674" i="1"/>
  <c r="T1674" i="1"/>
  <c r="S1674" i="1"/>
  <c r="Q1674" i="1"/>
  <c r="P1674" i="1"/>
  <c r="N1674" i="1"/>
  <c r="BO1674" i="1"/>
  <c r="BN1674" i="1"/>
  <c r="DG1675" i="1"/>
  <c r="DA1675" i="1"/>
  <c r="T1675" i="1"/>
  <c r="S1675" i="1"/>
  <c r="Q1675" i="1"/>
  <c r="P1675" i="1"/>
  <c r="N1675" i="1"/>
  <c r="BO1675" i="1"/>
  <c r="BN1675" i="1"/>
  <c r="DG1676" i="1"/>
  <c r="DA1676" i="1"/>
  <c r="T1676" i="1"/>
  <c r="S1676" i="1"/>
  <c r="Q1676" i="1"/>
  <c r="P1676" i="1"/>
  <c r="N1676" i="1"/>
  <c r="BO1676" i="1"/>
  <c r="BN1676" i="1"/>
  <c r="DG1677" i="1"/>
  <c r="DA1677" i="1"/>
  <c r="T1677" i="1"/>
  <c r="S1677" i="1"/>
  <c r="Q1677" i="1"/>
  <c r="P1677" i="1"/>
  <c r="N1677" i="1"/>
  <c r="BO1677" i="1"/>
  <c r="BN1677" i="1"/>
  <c r="DG1678" i="1"/>
  <c r="DA1678" i="1"/>
  <c r="T1678" i="1"/>
  <c r="S1678" i="1"/>
  <c r="Q1678" i="1"/>
  <c r="P1678" i="1"/>
  <c r="N1678" i="1"/>
  <c r="BO1678" i="1"/>
  <c r="BN1678" i="1"/>
  <c r="DG1679" i="1"/>
  <c r="DA1679" i="1"/>
  <c r="T1679" i="1"/>
  <c r="S1679" i="1"/>
  <c r="Q1679" i="1"/>
  <c r="P1679" i="1"/>
  <c r="N1679" i="1"/>
  <c r="BO1679" i="1"/>
  <c r="BN1679" i="1"/>
  <c r="DG1680" i="1"/>
  <c r="DA1680" i="1"/>
  <c r="T1680" i="1"/>
  <c r="S1680" i="1"/>
  <c r="Q1680" i="1"/>
  <c r="P1680" i="1"/>
  <c r="N1680" i="1"/>
  <c r="BO1680" i="1"/>
  <c r="BN1680" i="1"/>
  <c r="DG1681" i="1"/>
  <c r="DA1681" i="1"/>
  <c r="T1681" i="1"/>
  <c r="S1681" i="1"/>
  <c r="Q1681" i="1"/>
  <c r="P1681" i="1"/>
  <c r="N1681" i="1"/>
  <c r="BO1681" i="1"/>
  <c r="BN1681" i="1"/>
  <c r="DG1682" i="1"/>
  <c r="DA1682" i="1"/>
  <c r="T1682" i="1"/>
  <c r="S1682" i="1"/>
  <c r="Q1682" i="1"/>
  <c r="P1682" i="1"/>
  <c r="N1682" i="1"/>
  <c r="BO1682" i="1"/>
  <c r="BN1682" i="1"/>
  <c r="DG854" i="1"/>
  <c r="DA854" i="1"/>
  <c r="T854" i="1"/>
  <c r="S854" i="1"/>
  <c r="Q854" i="1"/>
  <c r="P854" i="1"/>
  <c r="N854" i="1"/>
  <c r="BO854" i="1"/>
  <c r="BN854" i="1"/>
  <c r="DG1683" i="1"/>
  <c r="DA1683" i="1"/>
  <c r="T1683" i="1"/>
  <c r="S1683" i="1"/>
  <c r="Q1683" i="1"/>
  <c r="P1683" i="1"/>
  <c r="N1683" i="1"/>
  <c r="BO1683" i="1"/>
  <c r="BN1683" i="1"/>
  <c r="DG1684" i="1"/>
  <c r="DA1684" i="1"/>
  <c r="T1684" i="1"/>
  <c r="S1684" i="1"/>
  <c r="Q1684" i="1"/>
  <c r="P1684" i="1"/>
  <c r="N1684" i="1"/>
  <c r="BO1684" i="1"/>
  <c r="BN1684" i="1"/>
  <c r="DG1685" i="1"/>
  <c r="DA1685" i="1"/>
  <c r="T1685" i="1"/>
  <c r="S1685" i="1"/>
  <c r="Q1685" i="1"/>
  <c r="P1685" i="1"/>
  <c r="N1685" i="1"/>
  <c r="BO1685" i="1"/>
  <c r="BN1685" i="1"/>
  <c r="DG1686" i="1"/>
  <c r="DA1686" i="1"/>
  <c r="T1686" i="1"/>
  <c r="S1686" i="1"/>
  <c r="Q1686" i="1"/>
  <c r="P1686" i="1"/>
  <c r="N1686" i="1"/>
  <c r="BO1686" i="1"/>
  <c r="BN1686" i="1"/>
  <c r="DG1687" i="1"/>
  <c r="DA1687" i="1"/>
  <c r="T1687" i="1"/>
  <c r="S1687" i="1"/>
  <c r="Q1687" i="1"/>
  <c r="P1687" i="1"/>
  <c r="N1687" i="1"/>
  <c r="BO1687" i="1"/>
  <c r="BN1687" i="1"/>
  <c r="DG1688" i="1"/>
  <c r="DA1688" i="1"/>
  <c r="T1688" i="1"/>
  <c r="S1688" i="1"/>
  <c r="Q1688" i="1"/>
  <c r="P1688" i="1"/>
  <c r="N1688" i="1"/>
  <c r="BO1688" i="1"/>
  <c r="BN1688" i="1"/>
  <c r="DG1689" i="1"/>
  <c r="DA1689" i="1"/>
  <c r="T1689" i="1"/>
  <c r="S1689" i="1"/>
  <c r="Q1689" i="1"/>
  <c r="P1689" i="1"/>
  <c r="N1689" i="1"/>
  <c r="BO1689" i="1"/>
  <c r="BN1689" i="1"/>
  <c r="DG1690" i="1"/>
  <c r="DA1690" i="1"/>
  <c r="T1690" i="1"/>
  <c r="S1690" i="1"/>
  <c r="Q1690" i="1"/>
  <c r="P1690" i="1"/>
  <c r="N1690" i="1"/>
  <c r="BO1690" i="1"/>
  <c r="BN1690" i="1"/>
  <c r="DG1229" i="1"/>
  <c r="DA1229" i="1"/>
  <c r="T1229" i="1"/>
  <c r="S1229" i="1"/>
  <c r="Q1229" i="1"/>
  <c r="P1229" i="1"/>
  <c r="N1229" i="1"/>
  <c r="BO1229" i="1"/>
  <c r="BN1229" i="1"/>
  <c r="DG1284" i="1"/>
  <c r="DA1284" i="1"/>
  <c r="T1284" i="1"/>
  <c r="S1284" i="1"/>
  <c r="Q1284" i="1"/>
  <c r="P1284" i="1"/>
  <c r="N1284" i="1"/>
  <c r="BO1284" i="1"/>
  <c r="BN1284" i="1"/>
  <c r="DG1692" i="1"/>
  <c r="DA1692" i="1"/>
  <c r="T1692" i="1"/>
  <c r="S1692" i="1"/>
  <c r="Q1692" i="1"/>
  <c r="P1692" i="1"/>
  <c r="N1692" i="1"/>
  <c r="BO1692" i="1"/>
  <c r="BN1692" i="1"/>
  <c r="DG1693" i="1"/>
  <c r="DA1693" i="1"/>
  <c r="T1693" i="1"/>
  <c r="S1693" i="1"/>
  <c r="Q1693" i="1"/>
  <c r="P1693" i="1"/>
  <c r="N1693" i="1"/>
  <c r="BO1693" i="1"/>
  <c r="BN1693" i="1"/>
  <c r="DG1694" i="1"/>
  <c r="DA1694" i="1"/>
  <c r="T1694" i="1"/>
  <c r="S1694" i="1"/>
  <c r="Q1694" i="1"/>
  <c r="P1694" i="1"/>
  <c r="N1694" i="1"/>
  <c r="BO1694" i="1"/>
  <c r="BN1694" i="1"/>
  <c r="DG1695" i="1"/>
  <c r="DA1695" i="1"/>
  <c r="T1695" i="1"/>
  <c r="S1695" i="1"/>
  <c r="Q1695" i="1"/>
  <c r="P1695" i="1"/>
  <c r="N1695" i="1"/>
  <c r="BO1695" i="1"/>
  <c r="BN1695" i="1"/>
  <c r="DG875" i="1"/>
  <c r="DA875" i="1"/>
  <c r="T875" i="1"/>
  <c r="S875" i="1"/>
  <c r="Q875" i="1"/>
  <c r="P875" i="1"/>
  <c r="N875" i="1"/>
  <c r="BO875" i="1"/>
  <c r="BN875" i="1"/>
  <c r="DG1696" i="1"/>
  <c r="DA1696" i="1"/>
  <c r="T1696" i="1"/>
  <c r="S1696" i="1"/>
  <c r="Q1696" i="1"/>
  <c r="P1696" i="1"/>
  <c r="N1696" i="1"/>
  <c r="BO1696" i="1"/>
  <c r="BN1696" i="1"/>
  <c r="DG821" i="1"/>
  <c r="DA821" i="1"/>
  <c r="T821" i="1"/>
  <c r="S821" i="1"/>
  <c r="Q821" i="1"/>
  <c r="P821" i="1"/>
  <c r="N821" i="1"/>
  <c r="BO821" i="1"/>
  <c r="BN821" i="1"/>
  <c r="DG1697" i="1"/>
  <c r="DA1697" i="1"/>
  <c r="T1697" i="1"/>
  <c r="S1697" i="1"/>
  <c r="Q1697" i="1"/>
  <c r="P1697" i="1"/>
  <c r="N1697" i="1"/>
  <c r="BO1697" i="1"/>
  <c r="BN1697" i="1"/>
  <c r="DG1291" i="1"/>
  <c r="DA1291" i="1"/>
  <c r="T1291" i="1"/>
  <c r="S1291" i="1"/>
  <c r="Q1291" i="1"/>
  <c r="P1291" i="1"/>
  <c r="N1291" i="1"/>
  <c r="BO1291" i="1"/>
  <c r="BN1291" i="1"/>
  <c r="DG1698" i="1"/>
  <c r="DA1698" i="1"/>
  <c r="T1698" i="1"/>
  <c r="S1698" i="1"/>
  <c r="Q1698" i="1"/>
  <c r="P1698" i="1"/>
  <c r="N1698" i="1"/>
  <c r="BO1698" i="1"/>
  <c r="BN1698" i="1"/>
  <c r="DG1699" i="1"/>
  <c r="DA1699" i="1"/>
  <c r="T1699" i="1"/>
  <c r="S1699" i="1"/>
  <c r="Q1699" i="1"/>
  <c r="P1699" i="1"/>
  <c r="N1699" i="1"/>
  <c r="BO1699" i="1"/>
  <c r="BN1699" i="1"/>
  <c r="DG1257" i="1"/>
  <c r="DA1257" i="1"/>
  <c r="T1257" i="1"/>
  <c r="S1257" i="1"/>
  <c r="Q1257" i="1"/>
  <c r="P1257" i="1"/>
  <c r="N1257" i="1"/>
  <c r="BO1257" i="1"/>
  <c r="BN1257" i="1"/>
  <c r="DG1700" i="1"/>
  <c r="DA1700" i="1"/>
  <c r="T1700" i="1"/>
  <c r="S1700" i="1"/>
  <c r="Q1700" i="1"/>
  <c r="P1700" i="1"/>
  <c r="N1700" i="1"/>
  <c r="BO1700" i="1"/>
  <c r="BN1700" i="1"/>
  <c r="DG1222" i="1"/>
  <c r="DA1222" i="1"/>
  <c r="T1222" i="1"/>
  <c r="S1222" i="1"/>
  <c r="Q1222" i="1"/>
  <c r="P1222" i="1"/>
  <c r="N1222" i="1"/>
  <c r="BO1222" i="1"/>
  <c r="BN1222" i="1"/>
  <c r="DG1311" i="1"/>
  <c r="DA1311" i="1"/>
  <c r="T1311" i="1"/>
  <c r="S1311" i="1"/>
  <c r="Q1311" i="1"/>
  <c r="P1311" i="1"/>
  <c r="N1311" i="1"/>
  <c r="BO1311" i="1"/>
  <c r="BN1311" i="1"/>
  <c r="DG1701" i="1"/>
  <c r="DA1701" i="1"/>
  <c r="T1701" i="1"/>
  <c r="S1701" i="1"/>
  <c r="Q1701" i="1"/>
  <c r="P1701" i="1"/>
  <c r="N1701" i="1"/>
  <c r="BO1701" i="1"/>
  <c r="BN1701" i="1"/>
  <c r="DG1702" i="1"/>
  <c r="DA1702" i="1"/>
  <c r="T1702" i="1"/>
  <c r="S1702" i="1"/>
  <c r="Q1702" i="1"/>
  <c r="P1702" i="1"/>
  <c r="N1702" i="1"/>
  <c r="BO1702" i="1"/>
  <c r="BN1702" i="1"/>
  <c r="DG1703" i="1"/>
  <c r="DA1703" i="1"/>
  <c r="T1703" i="1"/>
  <c r="S1703" i="1"/>
  <c r="Q1703" i="1"/>
  <c r="P1703" i="1"/>
  <c r="N1703" i="1"/>
  <c r="BO1703" i="1"/>
  <c r="BN1703" i="1"/>
  <c r="DG1704" i="1"/>
  <c r="DA1704" i="1"/>
  <c r="T1704" i="1"/>
  <c r="S1704" i="1"/>
  <c r="Q1704" i="1"/>
  <c r="P1704" i="1"/>
  <c r="N1704" i="1"/>
  <c r="BO1704" i="1"/>
  <c r="BN1704" i="1"/>
  <c r="DG1705" i="1"/>
  <c r="DA1705" i="1"/>
  <c r="T1705" i="1"/>
  <c r="S1705" i="1"/>
  <c r="Q1705" i="1"/>
  <c r="P1705" i="1"/>
  <c r="N1705" i="1"/>
  <c r="BO1705" i="1"/>
  <c r="BN1705" i="1"/>
  <c r="DG1706" i="1"/>
  <c r="DA1706" i="1"/>
  <c r="T1706" i="1"/>
  <c r="S1706" i="1"/>
  <c r="Q1706" i="1"/>
  <c r="P1706" i="1"/>
  <c r="N1706" i="1"/>
  <c r="BO1706" i="1"/>
  <c r="BN1706" i="1"/>
  <c r="DG1707" i="1"/>
  <c r="DA1707" i="1"/>
  <c r="T1707" i="1"/>
  <c r="S1707" i="1"/>
  <c r="Q1707" i="1"/>
  <c r="P1707" i="1"/>
  <c r="N1707" i="1"/>
  <c r="BO1707" i="1"/>
  <c r="BN1707" i="1"/>
  <c r="DG1708" i="1"/>
  <c r="DA1708" i="1"/>
  <c r="T1708" i="1"/>
  <c r="S1708" i="1"/>
  <c r="Q1708" i="1"/>
  <c r="P1708" i="1"/>
  <c r="N1708" i="1"/>
  <c r="BO1708" i="1"/>
  <c r="BN1708" i="1"/>
  <c r="DG1709" i="1"/>
  <c r="DA1709" i="1"/>
  <c r="T1709" i="1"/>
  <c r="S1709" i="1"/>
  <c r="Q1709" i="1"/>
  <c r="P1709" i="1"/>
  <c r="N1709" i="1"/>
  <c r="BO1709" i="1"/>
  <c r="BN1709" i="1"/>
  <c r="DG1710" i="1"/>
  <c r="DA1710" i="1"/>
  <c r="T1710" i="1"/>
  <c r="S1710" i="1"/>
  <c r="Q1710" i="1"/>
  <c r="P1710" i="1"/>
  <c r="N1710" i="1"/>
  <c r="BO1710" i="1"/>
  <c r="BN1710" i="1"/>
  <c r="DG1711" i="1"/>
  <c r="DA1711" i="1"/>
  <c r="T1711" i="1"/>
  <c r="S1711" i="1"/>
  <c r="Q1711" i="1"/>
  <c r="P1711" i="1"/>
  <c r="N1711" i="1"/>
  <c r="BO1711" i="1"/>
  <c r="BN1711" i="1"/>
  <c r="DG1712" i="1"/>
  <c r="DA1712" i="1"/>
  <c r="T1712" i="1"/>
  <c r="S1712" i="1"/>
  <c r="Q1712" i="1"/>
  <c r="P1712" i="1"/>
  <c r="N1712" i="1"/>
  <c r="BO1712" i="1"/>
  <c r="BN1712" i="1"/>
  <c r="DG1713" i="1"/>
  <c r="DA1713" i="1"/>
  <c r="T1713" i="1"/>
  <c r="S1713" i="1"/>
  <c r="Q1713" i="1"/>
  <c r="P1713" i="1"/>
  <c r="N1713" i="1"/>
  <c r="BO1713" i="1"/>
  <c r="BN1713" i="1"/>
  <c r="DG1714" i="1"/>
  <c r="DA1714" i="1"/>
  <c r="T1714" i="1"/>
  <c r="S1714" i="1"/>
  <c r="Q1714" i="1"/>
  <c r="P1714" i="1"/>
  <c r="N1714" i="1"/>
  <c r="BO1714" i="1"/>
  <c r="BN1714" i="1"/>
  <c r="DG1715" i="1"/>
  <c r="DA1715" i="1"/>
  <c r="T1715" i="1"/>
  <c r="S1715" i="1"/>
  <c r="Q1715" i="1"/>
  <c r="P1715" i="1"/>
  <c r="N1715" i="1"/>
  <c r="BO1715" i="1"/>
  <c r="BN1715" i="1"/>
  <c r="DG1716" i="1"/>
  <c r="DA1716" i="1"/>
  <c r="T1716" i="1"/>
  <c r="S1716" i="1"/>
  <c r="Q1716" i="1"/>
  <c r="P1716" i="1"/>
  <c r="N1716" i="1"/>
  <c r="BO1716" i="1"/>
  <c r="BN1716" i="1"/>
  <c r="DG1717" i="1"/>
  <c r="DA1717" i="1"/>
  <c r="T1717" i="1"/>
  <c r="S1717" i="1"/>
  <c r="Q1717" i="1"/>
  <c r="P1717" i="1"/>
  <c r="N1717" i="1"/>
  <c r="BO1717" i="1"/>
  <c r="BN1717" i="1"/>
  <c r="DG1718" i="1"/>
  <c r="DA1718" i="1"/>
  <c r="T1718" i="1"/>
  <c r="S1718" i="1"/>
  <c r="Q1718" i="1"/>
  <c r="P1718" i="1"/>
  <c r="N1718" i="1"/>
  <c r="BO1718" i="1"/>
  <c r="BN1718" i="1"/>
  <c r="DG1719" i="1"/>
  <c r="DA1719" i="1"/>
  <c r="T1719" i="1"/>
  <c r="S1719" i="1"/>
  <c r="Q1719" i="1"/>
  <c r="P1719" i="1"/>
  <c r="N1719" i="1"/>
  <c r="BO1719" i="1"/>
  <c r="BN1719" i="1"/>
  <c r="DG1720" i="1"/>
  <c r="DA1720" i="1"/>
  <c r="T1720" i="1"/>
  <c r="S1720" i="1"/>
  <c r="Q1720" i="1"/>
  <c r="P1720" i="1"/>
  <c r="N1720" i="1"/>
  <c r="BO1720" i="1"/>
  <c r="BN1720" i="1"/>
  <c r="DG1721" i="1"/>
  <c r="DA1721" i="1"/>
  <c r="T1721" i="1"/>
  <c r="S1721" i="1"/>
  <c r="Q1721" i="1"/>
  <c r="P1721" i="1"/>
  <c r="N1721" i="1"/>
  <c r="BO1721" i="1"/>
  <c r="BN1721" i="1"/>
  <c r="DG1722" i="1"/>
  <c r="DA1722" i="1"/>
  <c r="T1722" i="1"/>
  <c r="S1722" i="1"/>
  <c r="Q1722" i="1"/>
  <c r="P1722" i="1"/>
  <c r="N1722" i="1"/>
  <c r="BO1722" i="1"/>
  <c r="BN1722" i="1"/>
  <c r="DG1723" i="1"/>
  <c r="DA1723" i="1"/>
  <c r="T1723" i="1"/>
  <c r="S1723" i="1"/>
  <c r="Q1723" i="1"/>
  <c r="P1723" i="1"/>
  <c r="N1723" i="1"/>
  <c r="BO1723" i="1"/>
  <c r="BN1723" i="1"/>
  <c r="DG1294" i="1"/>
  <c r="DA1294" i="1"/>
  <c r="T1294" i="1"/>
  <c r="S1294" i="1"/>
  <c r="Q1294" i="1"/>
  <c r="P1294" i="1"/>
  <c r="N1294" i="1"/>
  <c r="BO1294" i="1"/>
  <c r="BN1294" i="1"/>
  <c r="DG1724" i="1"/>
  <c r="DA1724" i="1"/>
  <c r="T1724" i="1"/>
  <c r="S1724" i="1"/>
  <c r="Q1724" i="1"/>
  <c r="P1724" i="1"/>
  <c r="N1724" i="1"/>
  <c r="BO1724" i="1"/>
  <c r="BN1724" i="1"/>
  <c r="DG1725" i="1"/>
  <c r="DA1725" i="1"/>
  <c r="T1725" i="1"/>
  <c r="S1725" i="1"/>
  <c r="Q1725" i="1"/>
  <c r="P1725" i="1"/>
  <c r="N1725" i="1"/>
  <c r="BO1725" i="1"/>
  <c r="BN1725" i="1"/>
  <c r="DG1726" i="1"/>
  <c r="DA1726" i="1"/>
  <c r="T1726" i="1"/>
  <c r="S1726" i="1"/>
  <c r="Q1726" i="1"/>
  <c r="P1726" i="1"/>
  <c r="N1726" i="1"/>
  <c r="BO1726" i="1"/>
  <c r="BN1726" i="1"/>
  <c r="DG763" i="1"/>
  <c r="DA763" i="1"/>
  <c r="T763" i="1"/>
  <c r="S763" i="1"/>
  <c r="Q763" i="1"/>
  <c r="P763" i="1"/>
  <c r="N763" i="1"/>
  <c r="BO763" i="1"/>
  <c r="BN763" i="1"/>
  <c r="DG1727" i="1"/>
  <c r="DA1727" i="1"/>
  <c r="T1727" i="1"/>
  <c r="S1727" i="1"/>
  <c r="Q1727" i="1"/>
  <c r="P1727" i="1"/>
  <c r="N1727" i="1"/>
  <c r="BO1727" i="1"/>
  <c r="BN1727" i="1"/>
  <c r="DG1728" i="1"/>
  <c r="DA1728" i="1"/>
  <c r="T1728" i="1"/>
  <c r="S1728" i="1"/>
  <c r="Q1728" i="1"/>
  <c r="P1728" i="1"/>
  <c r="N1728" i="1"/>
  <c r="BO1728" i="1"/>
  <c r="BN1728" i="1"/>
  <c r="DG1837" i="1"/>
  <c r="DA1837" i="1"/>
  <c r="T1837" i="1"/>
  <c r="S1837" i="1"/>
  <c r="Q1837" i="1"/>
  <c r="P1837" i="1"/>
  <c r="N1837" i="1"/>
  <c r="BO1837" i="1"/>
  <c r="BN1837" i="1"/>
  <c r="DG1729" i="1"/>
  <c r="DA1729" i="1"/>
  <c r="T1729" i="1"/>
  <c r="S1729" i="1"/>
  <c r="Q1729" i="1"/>
  <c r="P1729" i="1"/>
  <c r="N1729" i="1"/>
  <c r="BO1729" i="1"/>
  <c r="BN1729" i="1"/>
  <c r="DG1730" i="1"/>
  <c r="DA1730" i="1"/>
  <c r="T1730" i="1"/>
  <c r="S1730" i="1"/>
  <c r="Q1730" i="1"/>
  <c r="P1730" i="1"/>
  <c r="N1730" i="1"/>
  <c r="BO1730" i="1"/>
  <c r="BN1730" i="1"/>
  <c r="DG1731" i="1"/>
  <c r="DA1731" i="1"/>
  <c r="T1731" i="1"/>
  <c r="S1731" i="1"/>
  <c r="Q1731" i="1"/>
  <c r="P1731" i="1"/>
  <c r="N1731" i="1"/>
  <c r="BO1731" i="1"/>
  <c r="BN1731" i="1"/>
  <c r="DG1732" i="1"/>
  <c r="DA1732" i="1"/>
  <c r="T1732" i="1"/>
  <c r="S1732" i="1"/>
  <c r="Q1732" i="1"/>
  <c r="P1732" i="1"/>
  <c r="N1732" i="1"/>
  <c r="BO1732" i="1"/>
  <c r="BN1732" i="1"/>
  <c r="DG1733" i="1"/>
  <c r="DA1733" i="1"/>
  <c r="T1733" i="1"/>
  <c r="S1733" i="1"/>
  <c r="Q1733" i="1"/>
  <c r="P1733" i="1"/>
  <c r="N1733" i="1"/>
  <c r="BO1733" i="1"/>
  <c r="BN1733" i="1"/>
  <c r="DG1734" i="1"/>
  <c r="DA1734" i="1"/>
  <c r="T1734" i="1"/>
  <c r="S1734" i="1"/>
  <c r="Q1734" i="1"/>
  <c r="P1734" i="1"/>
  <c r="N1734" i="1"/>
  <c r="BO1734" i="1"/>
  <c r="BN1734" i="1"/>
  <c r="DG1735" i="1"/>
  <c r="DA1735" i="1"/>
  <c r="T1735" i="1"/>
  <c r="S1735" i="1"/>
  <c r="Q1735" i="1"/>
  <c r="P1735" i="1"/>
  <c r="N1735" i="1"/>
  <c r="BO1735" i="1"/>
  <c r="BN1735" i="1"/>
  <c r="DG1736" i="1"/>
  <c r="DA1736" i="1"/>
  <c r="T1736" i="1"/>
  <c r="S1736" i="1"/>
  <c r="Q1736" i="1"/>
  <c r="P1736" i="1"/>
  <c r="N1736" i="1"/>
  <c r="BO1736" i="1"/>
  <c r="BN1736" i="1"/>
  <c r="DG1737" i="1"/>
  <c r="DA1737" i="1"/>
  <c r="T1737" i="1"/>
  <c r="S1737" i="1"/>
  <c r="Q1737" i="1"/>
  <c r="P1737" i="1"/>
  <c r="N1737" i="1"/>
  <c r="BO1737" i="1"/>
  <c r="BN1737" i="1"/>
  <c r="DG1738" i="1"/>
  <c r="DA1738" i="1"/>
  <c r="T1738" i="1"/>
  <c r="S1738" i="1"/>
  <c r="Q1738" i="1"/>
  <c r="P1738" i="1"/>
  <c r="N1738" i="1"/>
  <c r="BO1738" i="1"/>
  <c r="BN1738" i="1"/>
  <c r="DG1739" i="1"/>
  <c r="DA1739" i="1"/>
  <c r="T1739" i="1"/>
  <c r="S1739" i="1"/>
  <c r="Q1739" i="1"/>
  <c r="P1739" i="1"/>
  <c r="N1739" i="1"/>
  <c r="BO1739" i="1"/>
  <c r="BN1739" i="1"/>
  <c r="DG1740" i="1"/>
  <c r="DA1740" i="1"/>
  <c r="T1740" i="1"/>
  <c r="S1740" i="1"/>
  <c r="Q1740" i="1"/>
  <c r="P1740" i="1"/>
  <c r="N1740" i="1"/>
  <c r="BO1740" i="1"/>
  <c r="BN1740" i="1"/>
  <c r="DG1741" i="1"/>
  <c r="DA1741" i="1"/>
  <c r="T1741" i="1"/>
  <c r="S1741" i="1"/>
  <c r="Q1741" i="1"/>
  <c r="P1741" i="1"/>
  <c r="N1741" i="1"/>
  <c r="BO1741" i="1"/>
  <c r="BN1741" i="1"/>
  <c r="DG1742" i="1"/>
  <c r="DA1742" i="1"/>
  <c r="T1742" i="1"/>
  <c r="S1742" i="1"/>
  <c r="Q1742" i="1"/>
  <c r="P1742" i="1"/>
  <c r="N1742" i="1"/>
  <c r="BO1742" i="1"/>
  <c r="BN1742" i="1"/>
  <c r="DG1743" i="1"/>
  <c r="DA1743" i="1"/>
  <c r="T1743" i="1"/>
  <c r="S1743" i="1"/>
  <c r="Q1743" i="1"/>
  <c r="P1743" i="1"/>
  <c r="N1743" i="1"/>
  <c r="BO1743" i="1"/>
  <c r="BN1743" i="1"/>
  <c r="DG1744" i="1"/>
  <c r="DA1744" i="1"/>
  <c r="T1744" i="1"/>
  <c r="S1744" i="1"/>
  <c r="Q1744" i="1"/>
  <c r="P1744" i="1"/>
  <c r="N1744" i="1"/>
  <c r="BO1744" i="1"/>
  <c r="BN1744" i="1"/>
  <c r="DG1745" i="1"/>
  <c r="DA1745" i="1"/>
  <c r="T1745" i="1"/>
  <c r="S1745" i="1"/>
  <c r="Q1745" i="1"/>
  <c r="P1745" i="1"/>
  <c r="N1745" i="1"/>
  <c r="BO1745" i="1"/>
  <c r="BN1745" i="1"/>
  <c r="DG1746" i="1"/>
  <c r="DA1746" i="1"/>
  <c r="T1746" i="1"/>
  <c r="S1746" i="1"/>
  <c r="Q1746" i="1"/>
  <c r="P1746" i="1"/>
  <c r="N1746" i="1"/>
  <c r="BO1746" i="1"/>
  <c r="BN1746" i="1"/>
  <c r="DG1747" i="1"/>
  <c r="DA1747" i="1"/>
  <c r="T1747" i="1"/>
  <c r="S1747" i="1"/>
  <c r="Q1747" i="1"/>
  <c r="P1747" i="1"/>
  <c r="N1747" i="1"/>
  <c r="BO1747" i="1"/>
  <c r="BN1747" i="1"/>
  <c r="DG1748" i="1"/>
  <c r="DA1748" i="1"/>
  <c r="T1748" i="1"/>
  <c r="S1748" i="1"/>
  <c r="Q1748" i="1"/>
  <c r="P1748" i="1"/>
  <c r="N1748" i="1"/>
  <c r="BO1748" i="1"/>
  <c r="BN1748" i="1"/>
  <c r="DG1749" i="1"/>
  <c r="DA1749" i="1"/>
  <c r="T1749" i="1"/>
  <c r="S1749" i="1"/>
  <c r="Q1749" i="1"/>
  <c r="P1749" i="1"/>
  <c r="N1749" i="1"/>
  <c r="BO1749" i="1"/>
  <c r="BN1749" i="1"/>
  <c r="DG1750" i="1"/>
  <c r="DA1750" i="1"/>
  <c r="T1750" i="1"/>
  <c r="S1750" i="1"/>
  <c r="Q1750" i="1"/>
  <c r="P1750" i="1"/>
  <c r="N1750" i="1"/>
  <c r="BO1750" i="1"/>
  <c r="BN1750" i="1"/>
  <c r="DG1751" i="1"/>
  <c r="DA1751" i="1"/>
  <c r="T1751" i="1"/>
  <c r="S1751" i="1"/>
  <c r="Q1751" i="1"/>
  <c r="P1751" i="1"/>
  <c r="N1751" i="1"/>
  <c r="BO1751" i="1"/>
  <c r="BN1751" i="1"/>
  <c r="DG1752" i="1"/>
  <c r="DA1752" i="1"/>
  <c r="T1752" i="1"/>
  <c r="S1752" i="1"/>
  <c r="Q1752" i="1"/>
  <c r="P1752" i="1"/>
  <c r="N1752" i="1"/>
  <c r="BO1752" i="1"/>
  <c r="BN1752" i="1"/>
  <c r="DG782" i="1"/>
  <c r="DA782" i="1"/>
  <c r="T782" i="1"/>
  <c r="S782" i="1"/>
  <c r="Q782" i="1"/>
  <c r="P782" i="1"/>
  <c r="N782" i="1"/>
  <c r="BO782" i="1"/>
  <c r="BN782" i="1"/>
  <c r="DG1753" i="1"/>
  <c r="DA1753" i="1"/>
  <c r="T1753" i="1"/>
  <c r="S1753" i="1"/>
  <c r="Q1753" i="1"/>
  <c r="P1753" i="1"/>
  <c r="N1753" i="1"/>
  <c r="BO1753" i="1"/>
  <c r="BN1753" i="1"/>
  <c r="DG1754" i="1"/>
  <c r="DA1754" i="1"/>
  <c r="T1754" i="1"/>
  <c r="S1754" i="1"/>
  <c r="Q1754" i="1"/>
  <c r="P1754" i="1"/>
  <c r="N1754" i="1"/>
  <c r="BO1754" i="1"/>
  <c r="BN1754" i="1"/>
  <c r="DG1755" i="1"/>
  <c r="DA1755" i="1"/>
  <c r="T1755" i="1"/>
  <c r="S1755" i="1"/>
  <c r="Q1755" i="1"/>
  <c r="P1755" i="1"/>
  <c r="N1755" i="1"/>
  <c r="BO1755" i="1"/>
  <c r="BN1755" i="1"/>
  <c r="DG1756" i="1"/>
  <c r="DA1756" i="1"/>
  <c r="T1756" i="1"/>
  <c r="S1756" i="1"/>
  <c r="Q1756" i="1"/>
  <c r="P1756" i="1"/>
  <c r="N1756" i="1"/>
  <c r="BO1756" i="1"/>
  <c r="BN1756" i="1"/>
  <c r="DG839" i="1"/>
  <c r="DA839" i="1"/>
  <c r="T839" i="1"/>
  <c r="S839" i="1"/>
  <c r="Q839" i="1"/>
  <c r="P839" i="1"/>
  <c r="N839" i="1"/>
  <c r="BO839" i="1"/>
  <c r="BN839" i="1"/>
  <c r="DG1757" i="1"/>
  <c r="DA1757" i="1"/>
  <c r="T1757" i="1"/>
  <c r="S1757" i="1"/>
  <c r="Q1757" i="1"/>
  <c r="P1757" i="1"/>
  <c r="N1757" i="1"/>
  <c r="BO1757" i="1"/>
  <c r="BN1757" i="1"/>
  <c r="DG1758" i="1"/>
  <c r="DA1758" i="1"/>
  <c r="T1758" i="1"/>
  <c r="S1758" i="1"/>
  <c r="Q1758" i="1"/>
  <c r="P1758" i="1"/>
  <c r="N1758" i="1"/>
  <c r="BO1758" i="1"/>
  <c r="BN1758" i="1"/>
  <c r="DG1759" i="1"/>
  <c r="DA1759" i="1"/>
  <c r="T1759" i="1"/>
  <c r="S1759" i="1"/>
  <c r="Q1759" i="1"/>
  <c r="P1759" i="1"/>
  <c r="N1759" i="1"/>
  <c r="BO1759" i="1"/>
  <c r="BN1759" i="1"/>
  <c r="DG1760" i="1"/>
  <c r="DA1760" i="1"/>
  <c r="T1760" i="1"/>
  <c r="S1760" i="1"/>
  <c r="Q1760" i="1"/>
  <c r="P1760" i="1"/>
  <c r="N1760" i="1"/>
  <c r="BO1760" i="1"/>
  <c r="BN1760" i="1"/>
  <c r="DG1761" i="1"/>
  <c r="DA1761" i="1"/>
  <c r="T1761" i="1"/>
  <c r="S1761" i="1"/>
  <c r="Q1761" i="1"/>
  <c r="P1761" i="1"/>
  <c r="N1761" i="1"/>
  <c r="BO1761" i="1"/>
  <c r="BN1761" i="1"/>
  <c r="DG1762" i="1"/>
  <c r="DA1762" i="1"/>
  <c r="T1762" i="1"/>
  <c r="S1762" i="1"/>
  <c r="Q1762" i="1"/>
  <c r="P1762" i="1"/>
  <c r="N1762" i="1"/>
  <c r="BO1762" i="1"/>
  <c r="BN1762" i="1"/>
  <c r="DG1763" i="1"/>
  <c r="DA1763" i="1"/>
  <c r="T1763" i="1"/>
  <c r="S1763" i="1"/>
  <c r="Q1763" i="1"/>
  <c r="P1763" i="1"/>
  <c r="N1763" i="1"/>
  <c r="BO1763" i="1"/>
  <c r="BN1763" i="1"/>
  <c r="DG1764" i="1"/>
  <c r="DA1764" i="1"/>
  <c r="T1764" i="1"/>
  <c r="S1764" i="1"/>
  <c r="Q1764" i="1"/>
  <c r="P1764" i="1"/>
  <c r="N1764" i="1"/>
  <c r="BO1764" i="1"/>
  <c r="BN1764" i="1"/>
  <c r="DG870" i="1"/>
  <c r="DA870" i="1"/>
  <c r="T870" i="1"/>
  <c r="S870" i="1"/>
  <c r="Q870" i="1"/>
  <c r="P870" i="1"/>
  <c r="N870" i="1"/>
  <c r="BO870" i="1"/>
  <c r="BN870" i="1"/>
  <c r="DG1765" i="1"/>
  <c r="DA1765" i="1"/>
  <c r="T1765" i="1"/>
  <c r="S1765" i="1"/>
  <c r="Q1765" i="1"/>
  <c r="P1765" i="1"/>
  <c r="N1765" i="1"/>
  <c r="BO1765" i="1"/>
  <c r="BN1765" i="1"/>
  <c r="DG1766" i="1"/>
  <c r="DA1766" i="1"/>
  <c r="T1766" i="1"/>
  <c r="S1766" i="1"/>
  <c r="Q1766" i="1"/>
  <c r="P1766" i="1"/>
  <c r="N1766" i="1"/>
  <c r="BO1766" i="1"/>
  <c r="BN1766" i="1"/>
  <c r="DG1767" i="1"/>
  <c r="DA1767" i="1"/>
  <c r="T1767" i="1"/>
  <c r="S1767" i="1"/>
  <c r="Q1767" i="1"/>
  <c r="P1767" i="1"/>
  <c r="N1767" i="1"/>
  <c r="BO1767" i="1"/>
  <c r="BN1767" i="1"/>
  <c r="DG1768" i="1"/>
  <c r="DA1768" i="1"/>
  <c r="T1768" i="1"/>
  <c r="S1768" i="1"/>
  <c r="Q1768" i="1"/>
  <c r="P1768" i="1"/>
  <c r="N1768" i="1"/>
  <c r="BO1768" i="1"/>
  <c r="BN1768" i="1"/>
  <c r="DG1769" i="1"/>
  <c r="DA1769" i="1"/>
  <c r="T1769" i="1"/>
  <c r="S1769" i="1"/>
  <c r="Q1769" i="1"/>
  <c r="P1769" i="1"/>
  <c r="N1769" i="1"/>
  <c r="BO1769" i="1"/>
  <c r="BN1769" i="1"/>
  <c r="DG1770" i="1"/>
  <c r="DA1770" i="1"/>
  <c r="T1770" i="1"/>
  <c r="S1770" i="1"/>
  <c r="Q1770" i="1"/>
  <c r="P1770" i="1"/>
  <c r="N1770" i="1"/>
  <c r="BO1770" i="1"/>
  <c r="BN1770" i="1"/>
  <c r="DG872" i="1"/>
  <c r="DA872" i="1"/>
  <c r="T872" i="1"/>
  <c r="S872" i="1"/>
  <c r="Q872" i="1"/>
  <c r="P872" i="1"/>
  <c r="N872" i="1"/>
  <c r="BO872" i="1"/>
  <c r="BN872" i="1"/>
  <c r="DG1771" i="1"/>
  <c r="DA1771" i="1"/>
  <c r="T1771" i="1"/>
  <c r="S1771" i="1"/>
  <c r="Q1771" i="1"/>
  <c r="P1771" i="1"/>
  <c r="N1771" i="1"/>
  <c r="BO1771" i="1"/>
  <c r="BN1771" i="1"/>
  <c r="DG1772" i="1"/>
  <c r="DA1772" i="1"/>
  <c r="T1772" i="1"/>
  <c r="S1772" i="1"/>
  <c r="Q1772" i="1"/>
  <c r="P1772" i="1"/>
  <c r="N1772" i="1"/>
  <c r="BO1772" i="1"/>
  <c r="BN1772" i="1"/>
  <c r="DG1773" i="1"/>
  <c r="DA1773" i="1"/>
  <c r="T1773" i="1"/>
  <c r="S1773" i="1"/>
  <c r="Q1773" i="1"/>
  <c r="P1773" i="1"/>
  <c r="N1773" i="1"/>
  <c r="BO1773" i="1"/>
  <c r="BN1773" i="1"/>
  <c r="DG1774" i="1"/>
  <c r="DA1774" i="1"/>
  <c r="T1774" i="1"/>
  <c r="S1774" i="1"/>
  <c r="Q1774" i="1"/>
  <c r="P1774" i="1"/>
  <c r="N1774" i="1"/>
  <c r="BO1774" i="1"/>
  <c r="BN1774" i="1"/>
  <c r="DG1775" i="1"/>
  <c r="DA1775" i="1"/>
  <c r="T1775" i="1"/>
  <c r="S1775" i="1"/>
  <c r="Q1775" i="1"/>
  <c r="P1775" i="1"/>
  <c r="N1775" i="1"/>
  <c r="BO1775" i="1"/>
  <c r="BN1775" i="1"/>
  <c r="DG1345" i="1"/>
  <c r="DA1345" i="1"/>
  <c r="T1345" i="1"/>
  <c r="S1345" i="1"/>
  <c r="Q1345" i="1"/>
  <c r="P1345" i="1"/>
  <c r="N1345" i="1"/>
  <c r="BO1345" i="1"/>
  <c r="BN1345" i="1"/>
  <c r="DG1776" i="1"/>
  <c r="DA1776" i="1"/>
  <c r="T1776" i="1"/>
  <c r="S1776" i="1"/>
  <c r="Q1776" i="1"/>
  <c r="P1776" i="1"/>
  <c r="N1776" i="1"/>
  <c r="BO1776" i="1"/>
  <c r="BN1776" i="1"/>
  <c r="DG1777" i="1"/>
  <c r="DA1777" i="1"/>
  <c r="T1777" i="1"/>
  <c r="S1777" i="1"/>
  <c r="Q1777" i="1"/>
  <c r="P1777" i="1"/>
  <c r="N1777" i="1"/>
  <c r="BO1777" i="1"/>
  <c r="BN1777" i="1"/>
  <c r="DG1778" i="1"/>
  <c r="DA1778" i="1"/>
  <c r="T1778" i="1"/>
  <c r="S1778" i="1"/>
  <c r="Q1778" i="1"/>
  <c r="P1778" i="1"/>
  <c r="N1778" i="1"/>
  <c r="BO1778" i="1"/>
  <c r="BN1778" i="1"/>
  <c r="DG1779" i="1"/>
  <c r="DA1779" i="1"/>
  <c r="T1779" i="1"/>
  <c r="S1779" i="1"/>
  <c r="Q1779" i="1"/>
  <c r="P1779" i="1"/>
  <c r="N1779" i="1"/>
  <c r="BO1779" i="1"/>
  <c r="BN1779" i="1"/>
  <c r="DG1780" i="1"/>
  <c r="DA1780" i="1"/>
  <c r="T1780" i="1"/>
  <c r="S1780" i="1"/>
  <c r="Q1780" i="1"/>
  <c r="P1780" i="1"/>
  <c r="N1780" i="1"/>
  <c r="BO1780" i="1"/>
  <c r="BN1780" i="1"/>
  <c r="DG1781" i="1"/>
  <c r="DA1781" i="1"/>
  <c r="T1781" i="1"/>
  <c r="S1781" i="1"/>
  <c r="Q1781" i="1"/>
  <c r="P1781" i="1"/>
  <c r="N1781" i="1"/>
  <c r="BO1781" i="1"/>
  <c r="BN1781" i="1"/>
  <c r="DG1782" i="1"/>
  <c r="DA1782" i="1"/>
  <c r="T1782" i="1"/>
  <c r="S1782" i="1"/>
  <c r="Q1782" i="1"/>
  <c r="P1782" i="1"/>
  <c r="N1782" i="1"/>
  <c r="BO1782" i="1"/>
  <c r="BN1782" i="1"/>
  <c r="DG1262" i="1"/>
  <c r="DA1262" i="1"/>
  <c r="T1262" i="1"/>
  <c r="S1262" i="1"/>
  <c r="Q1262" i="1"/>
  <c r="P1262" i="1"/>
  <c r="N1262" i="1"/>
  <c r="BO1262" i="1"/>
  <c r="BN1262" i="1"/>
  <c r="DG1783" i="1"/>
  <c r="DA1783" i="1"/>
  <c r="T1783" i="1"/>
  <c r="S1783" i="1"/>
  <c r="Q1783" i="1"/>
  <c r="P1783" i="1"/>
  <c r="N1783" i="1"/>
  <c r="BO1783" i="1"/>
  <c r="BN1783" i="1"/>
  <c r="DG820" i="1"/>
  <c r="DA820" i="1"/>
  <c r="T820" i="1"/>
  <c r="S820" i="1"/>
  <c r="Q820" i="1"/>
  <c r="P820" i="1"/>
  <c r="N820" i="1"/>
  <c r="BO820" i="1"/>
  <c r="BN820" i="1"/>
  <c r="DG1235" i="1"/>
  <c r="DA1235" i="1"/>
  <c r="T1235" i="1"/>
  <c r="S1235" i="1"/>
  <c r="Q1235" i="1"/>
  <c r="P1235" i="1"/>
  <c r="N1235" i="1"/>
  <c r="BO1235" i="1"/>
  <c r="BN1235" i="1"/>
  <c r="DG1234" i="1"/>
  <c r="DA1234" i="1"/>
  <c r="T1234" i="1"/>
  <c r="S1234" i="1"/>
  <c r="Q1234" i="1"/>
  <c r="P1234" i="1"/>
  <c r="N1234" i="1"/>
  <c r="BO1234" i="1"/>
  <c r="BN1234" i="1"/>
  <c r="DG1273" i="1"/>
  <c r="DA1273" i="1"/>
  <c r="T1273" i="1"/>
  <c r="S1273" i="1"/>
  <c r="Q1273" i="1"/>
  <c r="P1273" i="1"/>
  <c r="N1273" i="1"/>
  <c r="BO1273" i="1"/>
  <c r="BN1273" i="1"/>
  <c r="DG1344" i="1"/>
  <c r="DA1344" i="1"/>
  <c r="T1344" i="1"/>
  <c r="S1344" i="1"/>
  <c r="Q1344" i="1"/>
  <c r="P1344" i="1"/>
  <c r="N1344" i="1"/>
  <c r="BO1344" i="1"/>
  <c r="BN1344" i="1"/>
  <c r="DG1346" i="1"/>
  <c r="DA1346" i="1"/>
  <c r="T1346" i="1"/>
  <c r="S1346" i="1"/>
  <c r="Q1346" i="1"/>
  <c r="P1346" i="1"/>
  <c r="N1346" i="1"/>
  <c r="BO1346" i="1"/>
  <c r="BN1346" i="1"/>
  <c r="DG869" i="1"/>
  <c r="DA869" i="1"/>
  <c r="T869" i="1"/>
  <c r="S869" i="1"/>
  <c r="Q869" i="1"/>
  <c r="P869" i="1"/>
  <c r="N869" i="1"/>
  <c r="BO869" i="1"/>
  <c r="BN869" i="1"/>
  <c r="DG1330" i="1"/>
  <c r="DA1330" i="1"/>
  <c r="T1330" i="1"/>
  <c r="S1330" i="1"/>
  <c r="Q1330" i="1"/>
  <c r="P1330" i="1"/>
  <c r="N1330" i="1"/>
  <c r="BO1330" i="1"/>
  <c r="BN1330" i="1"/>
  <c r="DG1373" i="1"/>
  <c r="DA1373" i="1"/>
  <c r="T1373" i="1"/>
  <c r="S1373" i="1"/>
  <c r="Q1373" i="1"/>
  <c r="P1373" i="1"/>
  <c r="N1373" i="1"/>
  <c r="BO1373" i="1"/>
  <c r="BN1373" i="1"/>
  <c r="DG873" i="1"/>
  <c r="DA873" i="1"/>
  <c r="T873" i="1"/>
  <c r="S873" i="1"/>
  <c r="Q873" i="1"/>
  <c r="P873" i="1"/>
  <c r="N873" i="1"/>
  <c r="BO873" i="1"/>
  <c r="BN873" i="1"/>
  <c r="DG1371" i="1"/>
  <c r="DA1371" i="1"/>
  <c r="T1371" i="1"/>
  <c r="S1371" i="1"/>
  <c r="Q1371" i="1"/>
  <c r="P1371" i="1"/>
  <c r="N1371" i="1"/>
  <c r="BO1371" i="1"/>
  <c r="BN1371" i="1"/>
  <c r="DG1259" i="1"/>
  <c r="DA1259" i="1"/>
  <c r="T1259" i="1"/>
  <c r="S1259" i="1"/>
  <c r="Q1259" i="1"/>
  <c r="P1259" i="1"/>
  <c r="N1259" i="1"/>
  <c r="BO1259" i="1"/>
  <c r="BN1259" i="1"/>
  <c r="DG1364" i="1"/>
  <c r="DA1364" i="1"/>
  <c r="T1364" i="1"/>
  <c r="S1364" i="1"/>
  <c r="Q1364" i="1"/>
  <c r="P1364" i="1"/>
  <c r="N1364" i="1"/>
  <c r="BO1364" i="1"/>
  <c r="BN1364" i="1"/>
  <c r="DG750" i="1"/>
  <c r="DA750" i="1"/>
  <c r="T750" i="1"/>
  <c r="S750" i="1"/>
  <c r="Q750" i="1"/>
  <c r="P750" i="1"/>
  <c r="N750" i="1"/>
  <c r="BO750" i="1"/>
  <c r="BN750" i="1"/>
  <c r="DG1334" i="1"/>
  <c r="DA1334" i="1"/>
  <c r="T1334" i="1"/>
  <c r="S1334" i="1"/>
  <c r="Q1334" i="1"/>
  <c r="P1334" i="1"/>
  <c r="N1334" i="1"/>
  <c r="BO1334" i="1"/>
  <c r="BN1334" i="1"/>
  <c r="DG866" i="1"/>
  <c r="DA866" i="1"/>
  <c r="T866" i="1"/>
  <c r="S866" i="1"/>
  <c r="Q866" i="1"/>
  <c r="P866" i="1"/>
  <c r="N866" i="1"/>
  <c r="BO866" i="1"/>
  <c r="BN866" i="1"/>
  <c r="DG1343" i="1"/>
  <c r="DA1343" i="1"/>
  <c r="T1343" i="1"/>
  <c r="S1343" i="1"/>
  <c r="Q1343" i="1"/>
  <c r="P1343" i="1"/>
  <c r="N1343" i="1"/>
  <c r="BO1343" i="1"/>
  <c r="BN1343" i="1"/>
  <c r="DG1258" i="1"/>
  <c r="DA1258" i="1"/>
  <c r="T1258" i="1"/>
  <c r="S1258" i="1"/>
  <c r="Q1258" i="1"/>
  <c r="P1258" i="1"/>
  <c r="N1258" i="1"/>
  <c r="BO1258" i="1"/>
  <c r="BN1258" i="1"/>
  <c r="DG1372" i="1"/>
  <c r="DA1372" i="1"/>
  <c r="T1372" i="1"/>
  <c r="S1372" i="1"/>
  <c r="Q1372" i="1"/>
  <c r="P1372" i="1"/>
  <c r="N1372" i="1"/>
  <c r="BO1372" i="1"/>
  <c r="BN1372" i="1"/>
  <c r="DG1260" i="1"/>
  <c r="DA1260" i="1"/>
  <c r="T1260" i="1"/>
  <c r="S1260" i="1"/>
  <c r="Q1260" i="1"/>
  <c r="P1260" i="1"/>
  <c r="N1260" i="1"/>
  <c r="BO1260" i="1"/>
  <c r="BN1260" i="1"/>
  <c r="DG1360" i="1"/>
  <c r="DA1360" i="1"/>
  <c r="T1360" i="1"/>
  <c r="S1360" i="1"/>
  <c r="Q1360" i="1"/>
  <c r="P1360" i="1"/>
  <c r="N1360" i="1"/>
  <c r="BO1360" i="1"/>
  <c r="BN1360" i="1"/>
  <c r="DG1348" i="1"/>
  <c r="DA1348" i="1"/>
  <c r="T1348" i="1"/>
  <c r="S1348" i="1"/>
  <c r="Q1348" i="1"/>
  <c r="P1348" i="1"/>
  <c r="N1348" i="1"/>
  <c r="BO1348" i="1"/>
  <c r="BN1348" i="1"/>
  <c r="DG1359" i="1"/>
  <c r="DA1359" i="1"/>
  <c r="T1359" i="1"/>
  <c r="S1359" i="1"/>
  <c r="Q1359" i="1"/>
  <c r="P1359" i="1"/>
  <c r="N1359" i="1"/>
  <c r="BO1359" i="1"/>
  <c r="BN1359" i="1"/>
  <c r="DG1261" i="1"/>
  <c r="DA1261" i="1"/>
  <c r="T1261" i="1"/>
  <c r="S1261" i="1"/>
  <c r="Q1261" i="1"/>
  <c r="P1261" i="1"/>
  <c r="N1261" i="1"/>
  <c r="BO1261" i="1"/>
  <c r="BN1261" i="1"/>
  <c r="DG766" i="1"/>
  <c r="DA766" i="1"/>
  <c r="T766" i="1"/>
  <c r="S766" i="1"/>
  <c r="Q766" i="1"/>
  <c r="P766" i="1"/>
  <c r="N766" i="1"/>
  <c r="BO766" i="1"/>
  <c r="BN766" i="1"/>
  <c r="DG1206" i="1"/>
  <c r="DA1206" i="1"/>
  <c r="T1206" i="1"/>
  <c r="S1206" i="1"/>
  <c r="Q1206" i="1"/>
  <c r="P1206" i="1"/>
  <c r="N1206" i="1"/>
  <c r="BO1206" i="1"/>
  <c r="BN1206" i="1"/>
  <c r="DG799" i="1"/>
  <c r="DA799" i="1"/>
  <c r="T799" i="1"/>
  <c r="S799" i="1"/>
  <c r="Q799" i="1"/>
  <c r="P799" i="1"/>
  <c r="N799" i="1"/>
  <c r="BO799" i="1"/>
  <c r="BN799" i="1"/>
  <c r="DG874" i="1"/>
  <c r="DA874" i="1"/>
  <c r="T874" i="1"/>
  <c r="S874" i="1"/>
  <c r="Q874" i="1"/>
  <c r="P874" i="1"/>
  <c r="N874" i="1"/>
  <c r="BO874" i="1"/>
  <c r="BN874" i="1"/>
  <c r="DG1263" i="1"/>
  <c r="DA1263" i="1"/>
  <c r="T1263" i="1"/>
  <c r="S1263" i="1"/>
  <c r="Q1263" i="1"/>
  <c r="P1263" i="1"/>
  <c r="N1263" i="1"/>
  <c r="BO1263" i="1"/>
  <c r="BN1263" i="1"/>
  <c r="DG1356" i="1"/>
  <c r="DA1356" i="1"/>
  <c r="T1356" i="1"/>
  <c r="S1356" i="1"/>
  <c r="Q1356" i="1"/>
  <c r="P1356" i="1"/>
  <c r="N1356" i="1"/>
  <c r="BO1356" i="1"/>
  <c r="BN1356" i="1"/>
  <c r="DG819" i="1"/>
  <c r="DA819" i="1"/>
  <c r="T819" i="1"/>
  <c r="S819" i="1"/>
  <c r="Q819" i="1"/>
  <c r="P819" i="1"/>
  <c r="N819" i="1"/>
  <c r="BO819" i="1"/>
  <c r="BN819" i="1"/>
  <c r="DG1202" i="1"/>
  <c r="DA1202" i="1"/>
  <c r="T1202" i="1"/>
  <c r="S1202" i="1"/>
  <c r="Q1202" i="1"/>
  <c r="P1202" i="1"/>
  <c r="N1202" i="1"/>
  <c r="BO1202" i="1"/>
  <c r="BN1202" i="1"/>
  <c r="DG798" i="1"/>
  <c r="DA798" i="1"/>
  <c r="T798" i="1"/>
  <c r="S798" i="1"/>
  <c r="Q798" i="1"/>
  <c r="P798" i="1"/>
  <c r="N798" i="1"/>
  <c r="BO798" i="1"/>
  <c r="BN798" i="1"/>
  <c r="DG1340" i="1"/>
  <c r="DA1340" i="1"/>
  <c r="T1340" i="1"/>
  <c r="S1340" i="1"/>
  <c r="Q1340" i="1"/>
  <c r="P1340" i="1"/>
  <c r="N1340" i="1"/>
  <c r="BO1340" i="1"/>
  <c r="BN1340" i="1"/>
  <c r="DG1347" i="1"/>
  <c r="DA1347" i="1"/>
  <c r="T1347" i="1"/>
  <c r="S1347" i="1"/>
  <c r="Q1347" i="1"/>
  <c r="P1347" i="1"/>
  <c r="N1347" i="1"/>
  <c r="BO1347" i="1"/>
  <c r="BN1347" i="1"/>
  <c r="DG1354" i="1"/>
  <c r="DA1354" i="1"/>
  <c r="T1354" i="1"/>
  <c r="S1354" i="1"/>
  <c r="Q1354" i="1"/>
  <c r="P1354" i="1"/>
  <c r="N1354" i="1"/>
  <c r="BO1354" i="1"/>
  <c r="BN1354" i="1"/>
  <c r="DG1357" i="1"/>
  <c r="DA1357" i="1"/>
  <c r="T1357" i="1"/>
  <c r="S1357" i="1"/>
  <c r="Q1357" i="1"/>
  <c r="P1357" i="1"/>
  <c r="N1357" i="1"/>
  <c r="BO1357" i="1"/>
  <c r="BN1357" i="1"/>
  <c r="DG1210" i="1"/>
  <c r="DA1210" i="1"/>
  <c r="T1210" i="1"/>
  <c r="S1210" i="1"/>
  <c r="Q1210" i="1"/>
  <c r="P1210" i="1"/>
  <c r="N1210" i="1"/>
  <c r="BO1210" i="1"/>
  <c r="BN1210" i="1"/>
  <c r="DG797" i="1"/>
  <c r="DA797" i="1"/>
  <c r="T797" i="1"/>
  <c r="S797" i="1"/>
  <c r="Q797" i="1"/>
  <c r="P797" i="1"/>
  <c r="N797" i="1"/>
  <c r="BO797" i="1"/>
  <c r="BN797" i="1"/>
  <c r="DG1239" i="1"/>
  <c r="DA1239" i="1"/>
  <c r="T1239" i="1"/>
  <c r="S1239" i="1"/>
  <c r="Q1239" i="1"/>
  <c r="P1239" i="1"/>
  <c r="N1239" i="1"/>
  <c r="BO1239" i="1"/>
  <c r="BN1239" i="1"/>
  <c r="DG1341" i="1"/>
  <c r="DA1341" i="1"/>
  <c r="T1341" i="1"/>
  <c r="S1341" i="1"/>
  <c r="Q1341" i="1"/>
  <c r="P1341" i="1"/>
  <c r="N1341" i="1"/>
  <c r="BO1341" i="1"/>
  <c r="BN1341" i="1"/>
  <c r="DG1264" i="1"/>
  <c r="DA1264" i="1"/>
  <c r="T1264" i="1"/>
  <c r="S1264" i="1"/>
  <c r="Q1264" i="1"/>
  <c r="P1264" i="1"/>
  <c r="N1264" i="1"/>
  <c r="BO1264" i="1"/>
  <c r="BN1264" i="1"/>
  <c r="DG1242" i="1"/>
  <c r="DA1242" i="1"/>
  <c r="T1242" i="1"/>
  <c r="S1242" i="1"/>
  <c r="Q1242" i="1"/>
  <c r="P1242" i="1"/>
  <c r="N1242" i="1"/>
  <c r="BO1242" i="1"/>
  <c r="BN1242" i="1"/>
  <c r="DG1370" i="1"/>
  <c r="DA1370" i="1"/>
  <c r="T1370" i="1"/>
  <c r="S1370" i="1"/>
  <c r="Q1370" i="1"/>
  <c r="P1370" i="1"/>
  <c r="N1370" i="1"/>
  <c r="BO1370" i="1"/>
  <c r="BN1370" i="1"/>
  <c r="DG1271" i="1"/>
  <c r="DA1271" i="1"/>
  <c r="T1271" i="1"/>
  <c r="S1271" i="1"/>
  <c r="Q1271" i="1"/>
  <c r="P1271" i="1"/>
  <c r="N1271" i="1"/>
  <c r="BO1271" i="1"/>
  <c r="BN1271" i="1"/>
  <c r="DG895" i="1"/>
  <c r="DA895" i="1"/>
  <c r="T895" i="1"/>
  <c r="S895" i="1"/>
  <c r="Q895" i="1"/>
  <c r="P895" i="1"/>
  <c r="N895" i="1"/>
  <c r="BO895" i="1"/>
  <c r="BN895" i="1"/>
  <c r="DG1240" i="1"/>
  <c r="DA1240" i="1"/>
  <c r="T1240" i="1"/>
  <c r="S1240" i="1"/>
  <c r="Q1240" i="1"/>
  <c r="P1240" i="1"/>
  <c r="N1240" i="1"/>
  <c r="BO1240" i="1"/>
  <c r="BN1240" i="1"/>
  <c r="DG1355" i="1"/>
  <c r="DA1355" i="1"/>
  <c r="T1355" i="1"/>
  <c r="S1355" i="1"/>
  <c r="Q1355" i="1"/>
  <c r="P1355" i="1"/>
  <c r="N1355" i="1"/>
  <c r="BO1355" i="1"/>
  <c r="BN1355" i="1"/>
  <c r="DG1363" i="1"/>
  <c r="DA1363" i="1"/>
  <c r="T1363" i="1"/>
  <c r="S1363" i="1"/>
  <c r="Q1363" i="1"/>
  <c r="P1363" i="1"/>
  <c r="N1363" i="1"/>
  <c r="BO1363" i="1"/>
  <c r="BN1363" i="1"/>
  <c r="DG1272" i="1"/>
  <c r="DA1272" i="1"/>
  <c r="T1272" i="1"/>
  <c r="S1272" i="1"/>
  <c r="Q1272" i="1"/>
  <c r="P1272" i="1"/>
  <c r="N1272" i="1"/>
  <c r="BO1272" i="1"/>
  <c r="BN1272" i="1"/>
  <c r="DG1362" i="1"/>
  <c r="DA1362" i="1"/>
  <c r="T1362" i="1"/>
  <c r="S1362" i="1"/>
  <c r="Q1362" i="1"/>
  <c r="P1362" i="1"/>
  <c r="N1362" i="1"/>
  <c r="BO1362" i="1"/>
  <c r="BN1362" i="1"/>
  <c r="DG1268" i="1"/>
  <c r="DA1268" i="1"/>
  <c r="T1268" i="1"/>
  <c r="S1268" i="1"/>
  <c r="Q1268" i="1"/>
  <c r="P1268" i="1"/>
  <c r="N1268" i="1"/>
  <c r="BO1268" i="1"/>
  <c r="BN1268" i="1"/>
  <c r="DG1366" i="1"/>
  <c r="DA1366" i="1"/>
  <c r="T1366" i="1"/>
  <c r="S1366" i="1"/>
  <c r="Q1366" i="1"/>
  <c r="P1366" i="1"/>
  <c r="N1366" i="1"/>
  <c r="BO1366" i="1"/>
  <c r="BN1366" i="1"/>
  <c r="DG1270" i="1"/>
  <c r="DA1270" i="1"/>
  <c r="T1270" i="1"/>
  <c r="S1270" i="1"/>
  <c r="Q1270" i="1"/>
  <c r="P1270" i="1"/>
  <c r="N1270" i="1"/>
  <c r="BO1270" i="1"/>
  <c r="BN1270" i="1"/>
  <c r="DG1335" i="1"/>
  <c r="DA1335" i="1"/>
  <c r="T1335" i="1"/>
  <c r="S1335" i="1"/>
  <c r="Q1335" i="1"/>
  <c r="P1335" i="1"/>
  <c r="N1335" i="1"/>
  <c r="BO1335" i="1"/>
  <c r="BN1335" i="1"/>
  <c r="DG1342" i="1"/>
  <c r="DA1342" i="1"/>
  <c r="T1342" i="1"/>
  <c r="S1342" i="1"/>
  <c r="Q1342" i="1"/>
  <c r="P1342" i="1"/>
  <c r="N1342" i="1"/>
  <c r="BO1342" i="1"/>
  <c r="BN1342" i="1"/>
  <c r="DG1365" i="1"/>
  <c r="DA1365" i="1"/>
  <c r="T1365" i="1"/>
  <c r="S1365" i="1"/>
  <c r="Q1365" i="1"/>
  <c r="P1365" i="1"/>
  <c r="N1365" i="1"/>
  <c r="BO1365" i="1"/>
  <c r="BN1365" i="1"/>
  <c r="DG1358" i="1"/>
  <c r="DA1358" i="1"/>
  <c r="T1358" i="1"/>
  <c r="S1358" i="1"/>
  <c r="Q1358" i="1"/>
  <c r="P1358" i="1"/>
  <c r="N1358" i="1"/>
  <c r="BO1358" i="1"/>
  <c r="BN1358" i="1"/>
  <c r="DG1323" i="1"/>
  <c r="DA1323" i="1"/>
  <c r="T1323" i="1"/>
  <c r="S1323" i="1"/>
  <c r="Q1323" i="1"/>
  <c r="P1323" i="1"/>
  <c r="N1323" i="1"/>
  <c r="BO1323" i="1"/>
  <c r="BN1323" i="1"/>
  <c r="DG1267" i="1"/>
  <c r="DA1267" i="1"/>
  <c r="T1267" i="1"/>
  <c r="S1267" i="1"/>
  <c r="Q1267" i="1"/>
  <c r="P1267" i="1"/>
  <c r="N1267" i="1"/>
  <c r="BO1267" i="1"/>
  <c r="BN1267" i="1"/>
  <c r="DG1368" i="1"/>
  <c r="DA1368" i="1"/>
  <c r="T1368" i="1"/>
  <c r="S1368" i="1"/>
  <c r="Q1368" i="1"/>
  <c r="P1368" i="1"/>
  <c r="N1368" i="1"/>
  <c r="BO1368" i="1"/>
  <c r="BN1368" i="1"/>
  <c r="DG1361" i="1"/>
  <c r="DA1361" i="1"/>
  <c r="T1361" i="1"/>
  <c r="S1361" i="1"/>
  <c r="Q1361" i="1"/>
  <c r="P1361" i="1"/>
  <c r="N1361" i="1"/>
  <c r="BO1361" i="1"/>
  <c r="BN1361" i="1"/>
  <c r="DG1369" i="1"/>
  <c r="DA1369" i="1"/>
  <c r="T1369" i="1"/>
  <c r="S1369" i="1"/>
  <c r="Q1369" i="1"/>
  <c r="P1369" i="1"/>
  <c r="N1369" i="1"/>
  <c r="BO1369" i="1"/>
  <c r="BN1369" i="1"/>
  <c r="DG1367" i="1"/>
  <c r="DA1367" i="1"/>
  <c r="T1367" i="1"/>
  <c r="S1367" i="1"/>
  <c r="Q1367" i="1"/>
  <c r="P1367" i="1"/>
  <c r="N1367" i="1"/>
  <c r="BO1367" i="1"/>
  <c r="BN1367" i="1"/>
  <c r="DG1236" i="1"/>
  <c r="DA1236" i="1"/>
  <c r="T1236" i="1"/>
  <c r="S1236" i="1"/>
  <c r="Q1236" i="1"/>
  <c r="P1236" i="1"/>
  <c r="N1236" i="1"/>
  <c r="BO1236" i="1"/>
  <c r="BN1236" i="1"/>
  <c r="DG1836" i="1"/>
  <c r="DA1836" i="1"/>
  <c r="T1836" i="1"/>
  <c r="S1836" i="1"/>
  <c r="Q1836" i="1"/>
  <c r="P1836" i="1"/>
  <c r="N1836" i="1"/>
  <c r="BO1836" i="1"/>
  <c r="BN1836" i="1"/>
  <c r="DG796" i="1"/>
  <c r="DA796" i="1"/>
  <c r="T796" i="1"/>
  <c r="S796" i="1"/>
  <c r="Q796" i="1"/>
  <c r="P796" i="1"/>
  <c r="N796" i="1"/>
  <c r="BO796" i="1"/>
  <c r="BN796" i="1"/>
  <c r="DG1280" i="1"/>
  <c r="DA1280" i="1"/>
  <c r="T1280" i="1"/>
  <c r="S1280" i="1"/>
  <c r="Q1280" i="1"/>
  <c r="P1280" i="1"/>
  <c r="N1280" i="1"/>
  <c r="BO1280" i="1"/>
  <c r="BN1280" i="1"/>
  <c r="DG1254" i="1"/>
  <c r="DA1254" i="1"/>
  <c r="T1254" i="1"/>
  <c r="S1254" i="1"/>
  <c r="Q1254" i="1"/>
  <c r="P1254" i="1"/>
  <c r="N1254" i="1"/>
  <c r="BO1254" i="1"/>
  <c r="BN1254" i="1"/>
  <c r="DG1237" i="1"/>
  <c r="DA1237" i="1"/>
  <c r="T1237" i="1"/>
  <c r="S1237" i="1"/>
  <c r="Q1237" i="1"/>
  <c r="P1237" i="1"/>
  <c r="N1237" i="1"/>
  <c r="BO1237" i="1"/>
  <c r="BN1237" i="1"/>
  <c r="DG1278" i="1"/>
  <c r="DA1278" i="1"/>
  <c r="T1278" i="1"/>
  <c r="S1278" i="1"/>
  <c r="Q1278" i="1"/>
  <c r="P1278" i="1"/>
  <c r="N1278" i="1"/>
  <c r="BO1278" i="1"/>
  <c r="BN1278" i="1"/>
  <c r="DG944" i="1"/>
  <c r="DA944" i="1"/>
  <c r="T944" i="1"/>
  <c r="S944" i="1"/>
  <c r="Q944" i="1"/>
  <c r="P944" i="1"/>
  <c r="N944" i="1"/>
  <c r="BO944" i="1"/>
  <c r="BN944" i="1"/>
  <c r="DG1256" i="1"/>
  <c r="DA1256" i="1"/>
  <c r="T1256" i="1"/>
  <c r="S1256" i="1"/>
  <c r="Q1256" i="1"/>
  <c r="P1256" i="1"/>
  <c r="N1256" i="1"/>
  <c r="BO1256" i="1"/>
  <c r="BN1256" i="1"/>
  <c r="DG1279" i="1"/>
  <c r="DA1279" i="1"/>
  <c r="T1279" i="1"/>
  <c r="S1279" i="1"/>
  <c r="Q1279" i="1"/>
  <c r="P1279" i="1"/>
  <c r="N1279" i="1"/>
  <c r="BO1279" i="1"/>
  <c r="BN1279" i="1"/>
  <c r="DG1835" i="1"/>
  <c r="DA1835" i="1"/>
  <c r="T1835" i="1"/>
  <c r="S1835" i="1"/>
  <c r="Q1835" i="1"/>
  <c r="P1835" i="1"/>
  <c r="N1835" i="1"/>
  <c r="BO1835" i="1"/>
  <c r="BN1835" i="1"/>
  <c r="DG1269" i="1"/>
  <c r="DA1269" i="1"/>
  <c r="T1269" i="1"/>
  <c r="S1269" i="1"/>
  <c r="Q1269" i="1"/>
  <c r="P1269" i="1"/>
  <c r="N1269" i="1"/>
  <c r="BO1269" i="1"/>
  <c r="BN1269" i="1"/>
  <c r="DG1277" i="1"/>
  <c r="DA1277" i="1"/>
  <c r="T1277" i="1"/>
  <c r="S1277" i="1"/>
  <c r="Q1277" i="1"/>
  <c r="P1277" i="1"/>
  <c r="N1277" i="1"/>
  <c r="BO1277" i="1"/>
  <c r="BN1277" i="1"/>
  <c r="DG976" i="1"/>
  <c r="DA976" i="1"/>
  <c r="T976" i="1"/>
  <c r="S976" i="1"/>
  <c r="Q976" i="1"/>
  <c r="P976" i="1"/>
  <c r="N976" i="1"/>
  <c r="BO976" i="1"/>
  <c r="BN976" i="1"/>
  <c r="DG975" i="1"/>
  <c r="DA975" i="1"/>
  <c r="T975" i="1"/>
  <c r="S975" i="1"/>
  <c r="Q975" i="1"/>
  <c r="P975" i="1"/>
  <c r="N975" i="1"/>
  <c r="BO975" i="1"/>
  <c r="BN975" i="1"/>
  <c r="DG1377" i="1"/>
  <c r="DA1377" i="1"/>
  <c r="T1377" i="1"/>
  <c r="S1377" i="1"/>
  <c r="Q1377" i="1"/>
  <c r="P1377" i="1"/>
  <c r="N1377" i="1"/>
  <c r="BO1377" i="1"/>
  <c r="BN1377" i="1"/>
  <c r="DG1378" i="1"/>
  <c r="DA1378" i="1"/>
  <c r="T1378" i="1"/>
  <c r="S1378" i="1"/>
  <c r="Q1378" i="1"/>
  <c r="P1378" i="1"/>
  <c r="N1378" i="1"/>
  <c r="BO1378" i="1"/>
  <c r="BN1378" i="1"/>
  <c r="DG1352" i="1"/>
  <c r="DA1352" i="1"/>
  <c r="T1352" i="1"/>
  <c r="S1352" i="1"/>
  <c r="Q1352" i="1"/>
  <c r="P1352" i="1"/>
  <c r="N1352" i="1"/>
  <c r="BO1352" i="1"/>
  <c r="BN1352" i="1"/>
  <c r="DG893" i="1"/>
  <c r="DA893" i="1"/>
  <c r="T893" i="1"/>
  <c r="S893" i="1"/>
  <c r="Q893" i="1"/>
  <c r="P893" i="1"/>
  <c r="N893" i="1"/>
  <c r="BO893" i="1"/>
  <c r="BN893" i="1"/>
  <c r="DG759" i="1"/>
  <c r="DA759" i="1"/>
  <c r="T759" i="1"/>
  <c r="S759" i="1"/>
  <c r="Q759" i="1"/>
  <c r="P759" i="1"/>
  <c r="N759" i="1"/>
  <c r="BO759" i="1"/>
  <c r="BN759" i="1"/>
  <c r="DG744" i="1"/>
  <c r="DA744" i="1"/>
  <c r="T744" i="1"/>
  <c r="S744" i="1"/>
  <c r="Q744" i="1"/>
  <c r="P744" i="1"/>
  <c r="N744" i="1"/>
  <c r="BO744" i="1"/>
  <c r="BN744" i="1"/>
  <c r="DG745" i="1"/>
  <c r="DA745" i="1"/>
  <c r="T745" i="1"/>
  <c r="S745" i="1"/>
  <c r="Q745" i="1"/>
  <c r="P745" i="1"/>
  <c r="N745" i="1"/>
  <c r="BO745" i="1"/>
  <c r="BN745" i="1"/>
  <c r="DG746" i="1"/>
  <c r="DA746" i="1"/>
  <c r="T746" i="1"/>
  <c r="S746" i="1"/>
  <c r="Q746" i="1"/>
  <c r="P746" i="1"/>
  <c r="N746" i="1"/>
  <c r="BO746" i="1"/>
  <c r="BN746" i="1"/>
  <c r="DG747" i="1"/>
  <c r="DA747" i="1"/>
  <c r="T747" i="1"/>
  <c r="S747" i="1"/>
  <c r="Q747" i="1"/>
  <c r="P747" i="1"/>
  <c r="N747" i="1"/>
  <c r="BO747" i="1"/>
  <c r="BN747" i="1"/>
  <c r="DG748" i="1"/>
  <c r="DA748" i="1"/>
  <c r="T748" i="1"/>
  <c r="S748" i="1"/>
  <c r="Q748" i="1"/>
  <c r="P748" i="1"/>
  <c r="N748" i="1"/>
  <c r="BO748" i="1"/>
  <c r="BN748" i="1"/>
  <c r="DG749" i="1"/>
  <c r="DA749" i="1"/>
  <c r="T749" i="1"/>
  <c r="S749" i="1"/>
  <c r="Q749" i="1"/>
  <c r="P749" i="1"/>
  <c r="N749" i="1"/>
  <c r="BO749" i="1"/>
  <c r="BN749" i="1"/>
  <c r="DG751" i="1"/>
  <c r="DA751" i="1"/>
  <c r="T751" i="1"/>
  <c r="S751" i="1"/>
  <c r="Q751" i="1"/>
  <c r="P751" i="1"/>
  <c r="N751" i="1"/>
  <c r="BO751" i="1"/>
  <c r="BN751" i="1"/>
  <c r="DG822" i="1"/>
  <c r="DA822" i="1"/>
  <c r="T822" i="1"/>
  <c r="S822" i="1"/>
  <c r="Q822" i="1"/>
  <c r="P822" i="1"/>
  <c r="N822" i="1"/>
  <c r="BO822" i="1"/>
  <c r="BN822" i="1"/>
  <c r="DG752" i="1"/>
  <c r="DA752" i="1"/>
  <c r="T752" i="1"/>
  <c r="S752" i="1"/>
  <c r="Q752" i="1"/>
  <c r="P752" i="1"/>
  <c r="N752" i="1"/>
  <c r="BO752" i="1"/>
  <c r="BN752" i="1"/>
  <c r="DG753" i="1"/>
  <c r="DA753" i="1"/>
  <c r="T753" i="1"/>
  <c r="S753" i="1"/>
  <c r="Q753" i="1"/>
  <c r="P753" i="1"/>
  <c r="N753" i="1"/>
  <c r="BO753" i="1"/>
  <c r="BN753" i="1"/>
  <c r="DG754" i="1"/>
  <c r="DA754" i="1"/>
  <c r="T754" i="1"/>
  <c r="S754" i="1"/>
  <c r="Q754" i="1"/>
  <c r="P754" i="1"/>
  <c r="N754" i="1"/>
  <c r="BO754" i="1"/>
  <c r="BN754" i="1"/>
  <c r="DG755" i="1"/>
  <c r="DA755" i="1"/>
  <c r="T755" i="1"/>
  <c r="S755" i="1"/>
  <c r="Q755" i="1"/>
  <c r="P755" i="1"/>
  <c r="N755" i="1"/>
  <c r="BO755" i="1"/>
  <c r="BN755" i="1"/>
  <c r="DG1350" i="1"/>
  <c r="DA1350" i="1"/>
  <c r="T1350" i="1"/>
  <c r="S1350" i="1"/>
  <c r="Q1350" i="1"/>
  <c r="P1350" i="1"/>
  <c r="N1350" i="1"/>
  <c r="BO1350" i="1"/>
  <c r="BN1350" i="1"/>
  <c r="DG756" i="1"/>
  <c r="DA756" i="1"/>
  <c r="T756" i="1"/>
  <c r="S756" i="1"/>
  <c r="Q756" i="1"/>
  <c r="P756" i="1"/>
  <c r="N756" i="1"/>
  <c r="BO756" i="1"/>
  <c r="BN756" i="1"/>
  <c r="DG758" i="1"/>
  <c r="DA758" i="1"/>
  <c r="T758" i="1"/>
  <c r="S758" i="1"/>
  <c r="Q758" i="1"/>
  <c r="P758" i="1"/>
  <c r="N758" i="1"/>
  <c r="BO758" i="1"/>
  <c r="BN758" i="1"/>
  <c r="DG760" i="1"/>
  <c r="DA760" i="1"/>
  <c r="T760" i="1"/>
  <c r="S760" i="1"/>
  <c r="Q760" i="1"/>
  <c r="P760" i="1"/>
  <c r="N760" i="1"/>
  <c r="BO760" i="1"/>
  <c r="BN760" i="1"/>
  <c r="DG761" i="1"/>
  <c r="DA761" i="1"/>
  <c r="T761" i="1"/>
  <c r="S761" i="1"/>
  <c r="Q761" i="1"/>
  <c r="P761" i="1"/>
  <c r="N761" i="1"/>
  <c r="BO761" i="1"/>
  <c r="BN761" i="1"/>
  <c r="DG762" i="1"/>
  <c r="DA762" i="1"/>
  <c r="T762" i="1"/>
  <c r="S762" i="1"/>
  <c r="Q762" i="1"/>
  <c r="P762" i="1"/>
  <c r="N762" i="1"/>
  <c r="BO762" i="1"/>
  <c r="BN762" i="1"/>
  <c r="DG764" i="1"/>
  <c r="DA764" i="1"/>
  <c r="T764" i="1"/>
  <c r="S764" i="1"/>
  <c r="Q764" i="1"/>
  <c r="P764" i="1"/>
  <c r="N764" i="1"/>
  <c r="BO764" i="1"/>
  <c r="BN764" i="1"/>
  <c r="DG765" i="1"/>
  <c r="DA765" i="1"/>
  <c r="T765" i="1"/>
  <c r="S765" i="1"/>
  <c r="Q765" i="1"/>
  <c r="P765" i="1"/>
  <c r="N765" i="1"/>
  <c r="BO765" i="1"/>
  <c r="BN765" i="1"/>
  <c r="DG767" i="1"/>
  <c r="DA767" i="1"/>
  <c r="T767" i="1"/>
  <c r="S767" i="1"/>
  <c r="Q767" i="1"/>
  <c r="P767" i="1"/>
  <c r="N767" i="1"/>
  <c r="BO767" i="1"/>
  <c r="BN767" i="1"/>
  <c r="DG768" i="1"/>
  <c r="DA768" i="1"/>
  <c r="T768" i="1"/>
  <c r="S768" i="1"/>
  <c r="Q768" i="1"/>
  <c r="P768" i="1"/>
  <c r="N768" i="1"/>
  <c r="BO768" i="1"/>
  <c r="BN768" i="1"/>
  <c r="DG769" i="1"/>
  <c r="DA769" i="1"/>
  <c r="T769" i="1"/>
  <c r="S769" i="1"/>
  <c r="Q769" i="1"/>
  <c r="P769" i="1"/>
  <c r="N769" i="1"/>
  <c r="BO769" i="1"/>
  <c r="BN769" i="1"/>
  <c r="DG770" i="1"/>
  <c r="DA770" i="1"/>
  <c r="T770" i="1"/>
  <c r="S770" i="1"/>
  <c r="Q770" i="1"/>
  <c r="P770" i="1"/>
  <c r="N770" i="1"/>
  <c r="BO770" i="1"/>
  <c r="BN770" i="1"/>
  <c r="DG1351" i="1"/>
  <c r="DA1351" i="1"/>
  <c r="T1351" i="1"/>
  <c r="S1351" i="1"/>
  <c r="Q1351" i="1"/>
  <c r="P1351" i="1"/>
  <c r="N1351" i="1"/>
  <c r="BO1351" i="1"/>
  <c r="BN1351" i="1"/>
  <c r="DG771" i="1"/>
  <c r="DA771" i="1"/>
  <c r="T771" i="1"/>
  <c r="S771" i="1"/>
  <c r="Q771" i="1"/>
  <c r="P771" i="1"/>
  <c r="N771" i="1"/>
  <c r="BO771" i="1"/>
  <c r="BN771" i="1"/>
  <c r="DG772" i="1"/>
  <c r="DA772" i="1"/>
  <c r="T772" i="1"/>
  <c r="S772" i="1"/>
  <c r="Q772" i="1"/>
  <c r="P772" i="1"/>
  <c r="N772" i="1"/>
  <c r="BO772" i="1"/>
  <c r="BN772" i="1"/>
  <c r="DG1247" i="1"/>
  <c r="DA1247" i="1"/>
  <c r="T1247" i="1"/>
  <c r="S1247" i="1"/>
  <c r="Q1247" i="1"/>
  <c r="P1247" i="1"/>
  <c r="N1247" i="1"/>
  <c r="BO1247" i="1"/>
  <c r="BN1247" i="1"/>
  <c r="DG773" i="1"/>
  <c r="DA773" i="1"/>
  <c r="T773" i="1"/>
  <c r="S773" i="1"/>
  <c r="Q773" i="1"/>
  <c r="P773" i="1"/>
  <c r="N773" i="1"/>
  <c r="BO773" i="1"/>
  <c r="BN773" i="1"/>
  <c r="DG774" i="1"/>
  <c r="DA774" i="1"/>
  <c r="T774" i="1"/>
  <c r="S774" i="1"/>
  <c r="Q774" i="1"/>
  <c r="P774" i="1"/>
  <c r="N774" i="1"/>
  <c r="BO774" i="1"/>
  <c r="BN774" i="1"/>
  <c r="DG775" i="1"/>
  <c r="DA775" i="1"/>
  <c r="T775" i="1"/>
  <c r="S775" i="1"/>
  <c r="Q775" i="1"/>
  <c r="P775" i="1"/>
  <c r="N775" i="1"/>
  <c r="BO775" i="1"/>
  <c r="BN775" i="1"/>
  <c r="DG776" i="1"/>
  <c r="DA776" i="1"/>
  <c r="T776" i="1"/>
  <c r="S776" i="1"/>
  <c r="Q776" i="1"/>
  <c r="P776" i="1"/>
  <c r="N776" i="1"/>
  <c r="BO776" i="1"/>
  <c r="BN776" i="1"/>
  <c r="DG777" i="1"/>
  <c r="DA777" i="1"/>
  <c r="T777" i="1"/>
  <c r="S777" i="1"/>
  <c r="Q777" i="1"/>
  <c r="P777" i="1"/>
  <c r="N777" i="1"/>
  <c r="BO777" i="1"/>
  <c r="BN777" i="1"/>
  <c r="DG778" i="1"/>
  <c r="DA778" i="1"/>
  <c r="T778" i="1"/>
  <c r="S778" i="1"/>
  <c r="Q778" i="1"/>
  <c r="P778" i="1"/>
  <c r="N778" i="1"/>
  <c r="BO778" i="1"/>
  <c r="BN778" i="1"/>
  <c r="DG779" i="1"/>
  <c r="DA779" i="1"/>
  <c r="T779" i="1"/>
  <c r="S779" i="1"/>
  <c r="Q779" i="1"/>
  <c r="P779" i="1"/>
  <c r="N779" i="1"/>
  <c r="BO779" i="1"/>
  <c r="BN779" i="1"/>
  <c r="DG780" i="1"/>
  <c r="DA780" i="1"/>
  <c r="T780" i="1"/>
  <c r="S780" i="1"/>
  <c r="Q780" i="1"/>
  <c r="P780" i="1"/>
  <c r="N780" i="1"/>
  <c r="BO780" i="1"/>
  <c r="BN780" i="1"/>
  <c r="DG781" i="1"/>
  <c r="DA781" i="1"/>
  <c r="T781" i="1"/>
  <c r="S781" i="1"/>
  <c r="Q781" i="1"/>
  <c r="P781" i="1"/>
  <c r="N781" i="1"/>
  <c r="BO781" i="1"/>
  <c r="BN781" i="1"/>
  <c r="DG783" i="1"/>
  <c r="DA783" i="1"/>
  <c r="T783" i="1"/>
  <c r="S783" i="1"/>
  <c r="Q783" i="1"/>
  <c r="P783" i="1"/>
  <c r="N783" i="1"/>
  <c r="BO783" i="1"/>
  <c r="BN783" i="1"/>
  <c r="DG784" i="1"/>
  <c r="DA784" i="1"/>
  <c r="T784" i="1"/>
  <c r="S784" i="1"/>
  <c r="Q784" i="1"/>
  <c r="P784" i="1"/>
  <c r="N784" i="1"/>
  <c r="BO784" i="1"/>
  <c r="BN784" i="1"/>
  <c r="DG785" i="1"/>
  <c r="DA785" i="1"/>
  <c r="T785" i="1"/>
  <c r="S785" i="1"/>
  <c r="Q785" i="1"/>
  <c r="P785" i="1"/>
  <c r="N785" i="1"/>
  <c r="BO785" i="1"/>
  <c r="BN785" i="1"/>
  <c r="DG786" i="1"/>
  <c r="DA786" i="1"/>
  <c r="T786" i="1"/>
  <c r="S786" i="1"/>
  <c r="Q786" i="1"/>
  <c r="P786" i="1"/>
  <c r="N786" i="1"/>
  <c r="BO786" i="1"/>
  <c r="BN786" i="1"/>
  <c r="DG787" i="1"/>
  <c r="DA787" i="1"/>
  <c r="T787" i="1"/>
  <c r="S787" i="1"/>
  <c r="Q787" i="1"/>
  <c r="P787" i="1"/>
  <c r="N787" i="1"/>
  <c r="BO787" i="1"/>
  <c r="BN787" i="1"/>
  <c r="DG788" i="1"/>
  <c r="DA788" i="1"/>
  <c r="T788" i="1"/>
  <c r="S788" i="1"/>
  <c r="Q788" i="1"/>
  <c r="P788" i="1"/>
  <c r="N788" i="1"/>
  <c r="BO788" i="1"/>
  <c r="BN788" i="1"/>
  <c r="DG789" i="1"/>
  <c r="DA789" i="1"/>
  <c r="T789" i="1"/>
  <c r="S789" i="1"/>
  <c r="Q789" i="1"/>
  <c r="P789" i="1"/>
  <c r="N789" i="1"/>
  <c r="BO789" i="1"/>
  <c r="BN789" i="1"/>
  <c r="DG790" i="1"/>
  <c r="DA790" i="1"/>
  <c r="T790" i="1"/>
  <c r="S790" i="1"/>
  <c r="Q790" i="1"/>
  <c r="P790" i="1"/>
  <c r="N790" i="1"/>
  <c r="BO790" i="1"/>
  <c r="BN790" i="1"/>
  <c r="DG816" i="1"/>
  <c r="DA816" i="1"/>
  <c r="T816" i="1"/>
  <c r="S816" i="1"/>
  <c r="Q816" i="1"/>
  <c r="P816" i="1"/>
  <c r="N816" i="1"/>
  <c r="BO816" i="1"/>
  <c r="BN816" i="1"/>
  <c r="DG791" i="1"/>
  <c r="DA791" i="1"/>
  <c r="T791" i="1"/>
  <c r="S791" i="1"/>
  <c r="Q791" i="1"/>
  <c r="P791" i="1"/>
  <c r="N791" i="1"/>
  <c r="BO791" i="1"/>
  <c r="BN791" i="1"/>
  <c r="DG792" i="1"/>
  <c r="DA792" i="1"/>
  <c r="T792" i="1"/>
  <c r="S792" i="1"/>
  <c r="Q792" i="1"/>
  <c r="P792" i="1"/>
  <c r="N792" i="1"/>
  <c r="BO792" i="1"/>
  <c r="BN792" i="1"/>
  <c r="DG793" i="1"/>
  <c r="DA793" i="1"/>
  <c r="T793" i="1"/>
  <c r="S793" i="1"/>
  <c r="Q793" i="1"/>
  <c r="P793" i="1"/>
  <c r="N793" i="1"/>
  <c r="BO793" i="1"/>
  <c r="BN793" i="1"/>
  <c r="DG794" i="1"/>
  <c r="DA794" i="1"/>
  <c r="T794" i="1"/>
  <c r="S794" i="1"/>
  <c r="Q794" i="1"/>
  <c r="P794" i="1"/>
  <c r="N794" i="1"/>
  <c r="BO794" i="1"/>
  <c r="BN794" i="1"/>
  <c r="DG795" i="1"/>
  <c r="DA795" i="1"/>
  <c r="T795" i="1"/>
  <c r="S795" i="1"/>
  <c r="Q795" i="1"/>
  <c r="P795" i="1"/>
  <c r="N795" i="1"/>
  <c r="BO795" i="1"/>
  <c r="BN795" i="1"/>
  <c r="DG823" i="1"/>
  <c r="DA823" i="1"/>
  <c r="T823" i="1"/>
  <c r="S823" i="1"/>
  <c r="Q823" i="1"/>
  <c r="P823" i="1"/>
  <c r="N823" i="1"/>
  <c r="BO823" i="1"/>
  <c r="BN823" i="1"/>
  <c r="DG824" i="1"/>
  <c r="DA824" i="1"/>
  <c r="T824" i="1"/>
  <c r="S824" i="1"/>
  <c r="Q824" i="1"/>
  <c r="P824" i="1"/>
  <c r="N824" i="1"/>
  <c r="BO824" i="1"/>
  <c r="BN824" i="1"/>
  <c r="DG825" i="1"/>
  <c r="DA825" i="1"/>
  <c r="T825" i="1"/>
  <c r="S825" i="1"/>
  <c r="Q825" i="1"/>
  <c r="P825" i="1"/>
  <c r="N825" i="1"/>
  <c r="BO825" i="1"/>
  <c r="BN825" i="1"/>
  <c r="DG826" i="1"/>
  <c r="DA826" i="1"/>
  <c r="T826" i="1"/>
  <c r="S826" i="1"/>
  <c r="Q826" i="1"/>
  <c r="P826" i="1"/>
  <c r="N826" i="1"/>
  <c r="BO826" i="1"/>
  <c r="BN826" i="1"/>
  <c r="DG827" i="1"/>
  <c r="DA827" i="1"/>
  <c r="T827" i="1"/>
  <c r="S827" i="1"/>
  <c r="Q827" i="1"/>
  <c r="P827" i="1"/>
  <c r="N827" i="1"/>
  <c r="BO827" i="1"/>
  <c r="BN827" i="1"/>
  <c r="DG828" i="1"/>
  <c r="DA828" i="1"/>
  <c r="T828" i="1"/>
  <c r="S828" i="1"/>
  <c r="Q828" i="1"/>
  <c r="P828" i="1"/>
  <c r="N828" i="1"/>
  <c r="BO828" i="1"/>
  <c r="BN828" i="1"/>
  <c r="DG829" i="1"/>
  <c r="DA829" i="1"/>
  <c r="T829" i="1"/>
  <c r="S829" i="1"/>
  <c r="Q829" i="1"/>
  <c r="P829" i="1"/>
  <c r="N829" i="1"/>
  <c r="BO829" i="1"/>
  <c r="BN829" i="1"/>
  <c r="DG830" i="1"/>
  <c r="DA830" i="1"/>
  <c r="T830" i="1"/>
  <c r="S830" i="1"/>
  <c r="Q830" i="1"/>
  <c r="P830" i="1"/>
  <c r="N830" i="1"/>
  <c r="BO830" i="1"/>
  <c r="BN830" i="1"/>
  <c r="DG831" i="1"/>
  <c r="DA831" i="1"/>
  <c r="T831" i="1"/>
  <c r="S831" i="1"/>
  <c r="Q831" i="1"/>
  <c r="P831" i="1"/>
  <c r="N831" i="1"/>
  <c r="BO831" i="1"/>
  <c r="BN831" i="1"/>
  <c r="DG832" i="1"/>
  <c r="DA832" i="1"/>
  <c r="T832" i="1"/>
  <c r="S832" i="1"/>
  <c r="Q832" i="1"/>
  <c r="P832" i="1"/>
  <c r="N832" i="1"/>
  <c r="BO832" i="1"/>
  <c r="BN832" i="1"/>
  <c r="DG833" i="1"/>
  <c r="DA833" i="1"/>
  <c r="T833" i="1"/>
  <c r="S833" i="1"/>
  <c r="Q833" i="1"/>
  <c r="P833" i="1"/>
  <c r="N833" i="1"/>
  <c r="BO833" i="1"/>
  <c r="BN833" i="1"/>
  <c r="DG834" i="1"/>
  <c r="DA834" i="1"/>
  <c r="T834" i="1"/>
  <c r="S834" i="1"/>
  <c r="Q834" i="1"/>
  <c r="P834" i="1"/>
  <c r="N834" i="1"/>
  <c r="BO834" i="1"/>
  <c r="BN834" i="1"/>
  <c r="DG835" i="1"/>
  <c r="DA835" i="1"/>
  <c r="T835" i="1"/>
  <c r="S835" i="1"/>
  <c r="Q835" i="1"/>
  <c r="P835" i="1"/>
  <c r="N835" i="1"/>
  <c r="BO835" i="1"/>
  <c r="BN835" i="1"/>
  <c r="DG836" i="1"/>
  <c r="DA836" i="1"/>
  <c r="T836" i="1"/>
  <c r="S836" i="1"/>
  <c r="Q836" i="1"/>
  <c r="P836" i="1"/>
  <c r="N836" i="1"/>
  <c r="BO836" i="1"/>
  <c r="BN836" i="1"/>
  <c r="DG837" i="1"/>
  <c r="DA837" i="1"/>
  <c r="T837" i="1"/>
  <c r="S837" i="1"/>
  <c r="Q837" i="1"/>
  <c r="P837" i="1"/>
  <c r="N837" i="1"/>
  <c r="BO837" i="1"/>
  <c r="BN837" i="1"/>
  <c r="DG838" i="1"/>
  <c r="DA838" i="1"/>
  <c r="T838" i="1"/>
  <c r="S838" i="1"/>
  <c r="Q838" i="1"/>
  <c r="P838" i="1"/>
  <c r="N838" i="1"/>
  <c r="BO838" i="1"/>
  <c r="BN838" i="1"/>
  <c r="DG1238" i="1"/>
  <c r="DA1238" i="1"/>
  <c r="T1238" i="1"/>
  <c r="S1238" i="1"/>
  <c r="Q1238" i="1"/>
  <c r="P1238" i="1"/>
  <c r="N1238" i="1"/>
  <c r="BO1238" i="1"/>
  <c r="BN1238" i="1"/>
  <c r="DG840" i="1"/>
  <c r="DA840" i="1"/>
  <c r="T840" i="1"/>
  <c r="S840" i="1"/>
  <c r="Q840" i="1"/>
  <c r="P840" i="1"/>
  <c r="N840" i="1"/>
  <c r="BO840" i="1"/>
  <c r="BN840" i="1"/>
  <c r="DG841" i="1"/>
  <c r="DA841" i="1"/>
  <c r="T841" i="1"/>
  <c r="S841" i="1"/>
  <c r="Q841" i="1"/>
  <c r="P841" i="1"/>
  <c r="N841" i="1"/>
  <c r="BO841" i="1"/>
  <c r="BN841" i="1"/>
  <c r="DG842" i="1"/>
  <c r="DA842" i="1"/>
  <c r="T842" i="1"/>
  <c r="S842" i="1"/>
  <c r="Q842" i="1"/>
  <c r="P842" i="1"/>
  <c r="N842" i="1"/>
  <c r="BO842" i="1"/>
  <c r="BN842" i="1"/>
  <c r="DG843" i="1"/>
  <c r="DA843" i="1"/>
  <c r="T843" i="1"/>
  <c r="S843" i="1"/>
  <c r="Q843" i="1"/>
  <c r="P843" i="1"/>
  <c r="N843" i="1"/>
  <c r="BO843" i="1"/>
  <c r="BN843" i="1"/>
  <c r="DG844" i="1"/>
  <c r="DA844" i="1"/>
  <c r="T844" i="1"/>
  <c r="S844" i="1"/>
  <c r="Q844" i="1"/>
  <c r="P844" i="1"/>
  <c r="N844" i="1"/>
  <c r="BO844" i="1"/>
  <c r="BN844" i="1"/>
  <c r="DG845" i="1"/>
  <c r="DA845" i="1"/>
  <c r="T845" i="1"/>
  <c r="S845" i="1"/>
  <c r="Q845" i="1"/>
  <c r="P845" i="1"/>
  <c r="N845" i="1"/>
  <c r="BO845" i="1"/>
  <c r="BN845" i="1"/>
  <c r="DG846" i="1"/>
  <c r="DA846" i="1"/>
  <c r="T846" i="1"/>
  <c r="S846" i="1"/>
  <c r="Q846" i="1"/>
  <c r="P846" i="1"/>
  <c r="N846" i="1"/>
  <c r="BO846" i="1"/>
  <c r="BN846" i="1"/>
  <c r="DG847" i="1"/>
  <c r="DA847" i="1"/>
  <c r="T847" i="1"/>
  <c r="S847" i="1"/>
  <c r="Q847" i="1"/>
  <c r="P847" i="1"/>
  <c r="N847" i="1"/>
  <c r="BO847" i="1"/>
  <c r="BN847" i="1"/>
  <c r="DG848" i="1"/>
  <c r="DA848" i="1"/>
  <c r="T848" i="1"/>
  <c r="S848" i="1"/>
  <c r="Q848" i="1"/>
  <c r="P848" i="1"/>
  <c r="N848" i="1"/>
  <c r="BO848" i="1"/>
  <c r="BN848" i="1"/>
  <c r="DG849" i="1"/>
  <c r="DA849" i="1"/>
  <c r="T849" i="1"/>
  <c r="S849" i="1"/>
  <c r="Q849" i="1"/>
  <c r="P849" i="1"/>
  <c r="N849" i="1"/>
  <c r="BO849" i="1"/>
  <c r="BN849" i="1"/>
  <c r="DG850" i="1"/>
  <c r="DA850" i="1"/>
  <c r="T850" i="1"/>
  <c r="S850" i="1"/>
  <c r="Q850" i="1"/>
  <c r="P850" i="1"/>
  <c r="N850" i="1"/>
  <c r="BO850" i="1"/>
  <c r="BN850" i="1"/>
  <c r="DG851" i="1"/>
  <c r="DA851" i="1"/>
  <c r="T851" i="1"/>
  <c r="S851" i="1"/>
  <c r="Q851" i="1"/>
  <c r="P851" i="1"/>
  <c r="N851" i="1"/>
  <c r="BO851" i="1"/>
  <c r="BN851" i="1"/>
  <c r="DG852" i="1"/>
  <c r="DA852" i="1"/>
  <c r="T852" i="1"/>
  <c r="S852" i="1"/>
  <c r="Q852" i="1"/>
  <c r="P852" i="1"/>
  <c r="N852" i="1"/>
  <c r="BO852" i="1"/>
  <c r="BN852" i="1"/>
  <c r="DG855" i="1"/>
  <c r="DA855" i="1"/>
  <c r="T855" i="1"/>
  <c r="S855" i="1"/>
  <c r="Q855" i="1"/>
  <c r="P855" i="1"/>
  <c r="N855" i="1"/>
  <c r="BO855" i="1"/>
  <c r="BN855" i="1"/>
  <c r="DG856" i="1"/>
  <c r="DA856" i="1"/>
  <c r="T856" i="1"/>
  <c r="S856" i="1"/>
  <c r="Q856" i="1"/>
  <c r="P856" i="1"/>
  <c r="N856" i="1"/>
  <c r="BO856" i="1"/>
  <c r="BN856" i="1"/>
  <c r="DG858" i="1"/>
  <c r="DA858" i="1"/>
  <c r="T858" i="1"/>
  <c r="S858" i="1"/>
  <c r="Q858" i="1"/>
  <c r="P858" i="1"/>
  <c r="N858" i="1"/>
  <c r="BO858" i="1"/>
  <c r="BN858" i="1"/>
  <c r="DG859" i="1"/>
  <c r="DA859" i="1"/>
  <c r="T859" i="1"/>
  <c r="S859" i="1"/>
  <c r="Q859" i="1"/>
  <c r="P859" i="1"/>
  <c r="N859" i="1"/>
  <c r="BO859" i="1"/>
  <c r="BN859" i="1"/>
  <c r="DG861" i="1"/>
  <c r="DA861" i="1"/>
  <c r="T861" i="1"/>
  <c r="S861" i="1"/>
  <c r="Q861" i="1"/>
  <c r="P861" i="1"/>
  <c r="N861" i="1"/>
  <c r="BO861" i="1"/>
  <c r="BN861" i="1"/>
  <c r="DG880" i="1"/>
  <c r="DA880" i="1"/>
  <c r="T880" i="1"/>
  <c r="S880" i="1"/>
  <c r="Q880" i="1"/>
  <c r="P880" i="1"/>
  <c r="N880" i="1"/>
  <c r="BO880" i="1"/>
  <c r="BN880" i="1"/>
  <c r="DG862" i="1"/>
  <c r="DA862" i="1"/>
  <c r="T862" i="1"/>
  <c r="S862" i="1"/>
  <c r="Q862" i="1"/>
  <c r="P862" i="1"/>
  <c r="N862" i="1"/>
  <c r="BO862" i="1"/>
  <c r="BN862" i="1"/>
  <c r="DG863" i="1"/>
  <c r="DA863" i="1"/>
  <c r="T863" i="1"/>
  <c r="S863" i="1"/>
  <c r="Q863" i="1"/>
  <c r="P863" i="1"/>
  <c r="N863" i="1"/>
  <c r="BO863" i="1"/>
  <c r="BN863" i="1"/>
  <c r="DG864" i="1"/>
  <c r="DA864" i="1"/>
  <c r="T864" i="1"/>
  <c r="S864" i="1"/>
  <c r="Q864" i="1"/>
  <c r="P864" i="1"/>
  <c r="N864" i="1"/>
  <c r="BO864" i="1"/>
  <c r="BN864" i="1"/>
  <c r="DG865" i="1"/>
  <c r="DA865" i="1"/>
  <c r="T865" i="1"/>
  <c r="S865" i="1"/>
  <c r="Q865" i="1"/>
  <c r="P865" i="1"/>
  <c r="N865" i="1"/>
  <c r="BO865" i="1"/>
  <c r="BN865" i="1"/>
  <c r="DG867" i="1"/>
  <c r="DA867" i="1"/>
  <c r="T867" i="1"/>
  <c r="S867" i="1"/>
  <c r="Q867" i="1"/>
  <c r="P867" i="1"/>
  <c r="N867" i="1"/>
  <c r="BO867" i="1"/>
  <c r="BN867" i="1"/>
  <c r="DG868" i="1"/>
  <c r="DA868" i="1"/>
  <c r="T868" i="1"/>
  <c r="S868" i="1"/>
  <c r="Q868" i="1"/>
  <c r="P868" i="1"/>
  <c r="N868" i="1"/>
  <c r="BO868" i="1"/>
  <c r="BN868" i="1"/>
  <c r="DG876" i="1"/>
  <c r="DA876" i="1"/>
  <c r="T876" i="1"/>
  <c r="S876" i="1"/>
  <c r="Q876" i="1"/>
  <c r="P876" i="1"/>
  <c r="N876" i="1"/>
  <c r="BO876" i="1"/>
  <c r="BN876" i="1"/>
  <c r="DG878" i="1"/>
  <c r="DA878" i="1"/>
  <c r="T878" i="1"/>
  <c r="S878" i="1"/>
  <c r="Q878" i="1"/>
  <c r="P878" i="1"/>
  <c r="N878" i="1"/>
  <c r="BO878" i="1"/>
  <c r="BN878" i="1"/>
  <c r="DG879" i="1"/>
  <c r="DA879" i="1"/>
  <c r="T879" i="1"/>
  <c r="S879" i="1"/>
  <c r="Q879" i="1"/>
  <c r="P879" i="1"/>
  <c r="N879" i="1"/>
  <c r="BO879" i="1"/>
  <c r="BN879" i="1"/>
  <c r="DG1349" i="1"/>
  <c r="DA1349" i="1"/>
  <c r="T1349" i="1"/>
  <c r="S1349" i="1"/>
  <c r="Q1349" i="1"/>
  <c r="P1349" i="1"/>
  <c r="N1349" i="1"/>
  <c r="BO1349" i="1"/>
  <c r="BN1349" i="1"/>
  <c r="DG881" i="1"/>
  <c r="DA881" i="1"/>
  <c r="T881" i="1"/>
  <c r="S881" i="1"/>
  <c r="Q881" i="1"/>
  <c r="P881" i="1"/>
  <c r="N881" i="1"/>
  <c r="BO881" i="1"/>
  <c r="BN881" i="1"/>
  <c r="DG882" i="1"/>
  <c r="DA882" i="1"/>
  <c r="T882" i="1"/>
  <c r="S882" i="1"/>
  <c r="Q882" i="1"/>
  <c r="P882" i="1"/>
  <c r="N882" i="1"/>
  <c r="BO882" i="1"/>
  <c r="BN882" i="1"/>
  <c r="DG883" i="1"/>
  <c r="DA883" i="1"/>
  <c r="T883" i="1"/>
  <c r="S883" i="1"/>
  <c r="Q883" i="1"/>
  <c r="P883" i="1"/>
  <c r="N883" i="1"/>
  <c r="BO883" i="1"/>
  <c r="BN883" i="1"/>
  <c r="DG884" i="1"/>
  <c r="DA884" i="1"/>
  <c r="T884" i="1"/>
  <c r="S884" i="1"/>
  <c r="Q884" i="1"/>
  <c r="P884" i="1"/>
  <c r="N884" i="1"/>
  <c r="BO884" i="1"/>
  <c r="BN884" i="1"/>
  <c r="DG885" i="1"/>
  <c r="DA885" i="1"/>
  <c r="T885" i="1"/>
  <c r="S885" i="1"/>
  <c r="Q885" i="1"/>
  <c r="P885" i="1"/>
  <c r="N885" i="1"/>
  <c r="BO885" i="1"/>
  <c r="BN885" i="1"/>
  <c r="DG886" i="1"/>
  <c r="DA886" i="1"/>
  <c r="T886" i="1"/>
  <c r="S886" i="1"/>
  <c r="Q886" i="1"/>
  <c r="P886" i="1"/>
  <c r="N886" i="1"/>
  <c r="BO886" i="1"/>
  <c r="BN886" i="1"/>
  <c r="DG887" i="1"/>
  <c r="DA887" i="1"/>
  <c r="T887" i="1"/>
  <c r="S887" i="1"/>
  <c r="Q887" i="1"/>
  <c r="P887" i="1"/>
  <c r="N887" i="1"/>
  <c r="BO887" i="1"/>
  <c r="BN887" i="1"/>
  <c r="DG888" i="1"/>
  <c r="DA888" i="1"/>
  <c r="T888" i="1"/>
  <c r="S888" i="1"/>
  <c r="Q888" i="1"/>
  <c r="P888" i="1"/>
  <c r="N888" i="1"/>
  <c r="BO888" i="1"/>
  <c r="BN888" i="1"/>
  <c r="DG890" i="1"/>
  <c r="DA890" i="1"/>
  <c r="T890" i="1"/>
  <c r="S890" i="1"/>
  <c r="Q890" i="1"/>
  <c r="P890" i="1"/>
  <c r="N890" i="1"/>
  <c r="BO890" i="1"/>
  <c r="BN890" i="1"/>
  <c r="DG891" i="1"/>
  <c r="DA891" i="1"/>
  <c r="T891" i="1"/>
  <c r="S891" i="1"/>
  <c r="Q891" i="1"/>
  <c r="P891" i="1"/>
  <c r="N891" i="1"/>
  <c r="BO891" i="1"/>
  <c r="BN891" i="1"/>
  <c r="DG892" i="1"/>
  <c r="DA892" i="1"/>
  <c r="T892" i="1"/>
  <c r="S892" i="1"/>
  <c r="Q892" i="1"/>
  <c r="P892" i="1"/>
  <c r="N892" i="1"/>
  <c r="BO892" i="1"/>
  <c r="BN892" i="1"/>
  <c r="DG877" i="1"/>
  <c r="DA877" i="1"/>
  <c r="T877" i="1"/>
  <c r="S877" i="1"/>
  <c r="Q877" i="1"/>
  <c r="P877" i="1"/>
  <c r="N877" i="1"/>
  <c r="BO877" i="1"/>
  <c r="BN877" i="1"/>
  <c r="DG894" i="1"/>
  <c r="DA894" i="1"/>
  <c r="T894" i="1"/>
  <c r="S894" i="1"/>
  <c r="Q894" i="1"/>
  <c r="P894" i="1"/>
  <c r="N894" i="1"/>
  <c r="BO894" i="1"/>
  <c r="BN894" i="1"/>
  <c r="DG1353" i="1"/>
  <c r="DA1353" i="1"/>
  <c r="T1353" i="1"/>
  <c r="S1353" i="1"/>
  <c r="Q1353" i="1"/>
  <c r="P1353" i="1"/>
  <c r="N1353" i="1"/>
  <c r="BO1353" i="1"/>
  <c r="BN1353" i="1"/>
  <c r="DG896" i="1"/>
  <c r="DA896" i="1"/>
  <c r="T896" i="1"/>
  <c r="S896" i="1"/>
  <c r="Q896" i="1"/>
  <c r="P896" i="1"/>
  <c r="N896" i="1"/>
  <c r="BO896" i="1"/>
  <c r="BN896" i="1"/>
  <c r="DG897" i="1"/>
  <c r="DA897" i="1"/>
  <c r="T897" i="1"/>
  <c r="S897" i="1"/>
  <c r="Q897" i="1"/>
  <c r="P897" i="1"/>
  <c r="N897" i="1"/>
  <c r="BO897" i="1"/>
  <c r="BN897" i="1"/>
  <c r="DG898" i="1"/>
  <c r="DA898" i="1"/>
  <c r="T898" i="1"/>
  <c r="S898" i="1"/>
  <c r="Q898" i="1"/>
  <c r="P898" i="1"/>
  <c r="N898" i="1"/>
  <c r="BO898" i="1"/>
  <c r="BN898" i="1"/>
  <c r="DG899" i="1"/>
  <c r="DA899" i="1"/>
  <c r="T899" i="1"/>
  <c r="S899" i="1"/>
  <c r="Q899" i="1"/>
  <c r="P899" i="1"/>
  <c r="N899" i="1"/>
  <c r="BO899" i="1"/>
  <c r="BN899" i="1"/>
  <c r="DG900" i="1"/>
  <c r="DA900" i="1"/>
  <c r="T900" i="1"/>
  <c r="S900" i="1"/>
  <c r="Q900" i="1"/>
  <c r="P900" i="1"/>
  <c r="N900" i="1"/>
  <c r="BO900" i="1"/>
  <c r="BN900" i="1"/>
  <c r="DG901" i="1"/>
  <c r="DA901" i="1"/>
  <c r="T901" i="1"/>
  <c r="S901" i="1"/>
  <c r="Q901" i="1"/>
  <c r="P901" i="1"/>
  <c r="N901" i="1"/>
  <c r="BO901" i="1"/>
  <c r="BN901" i="1"/>
  <c r="DG902" i="1"/>
  <c r="DA902" i="1"/>
  <c r="T902" i="1"/>
  <c r="S902" i="1"/>
  <c r="Q902" i="1"/>
  <c r="P902" i="1"/>
  <c r="N902" i="1"/>
  <c r="BO902" i="1"/>
  <c r="BN902" i="1"/>
  <c r="DG903" i="1"/>
  <c r="DA903" i="1"/>
  <c r="T903" i="1"/>
  <c r="S903" i="1"/>
  <c r="Q903" i="1"/>
  <c r="P903" i="1"/>
  <c r="N903" i="1"/>
  <c r="BO903" i="1"/>
  <c r="BN903" i="1"/>
  <c r="DG904" i="1"/>
  <c r="DA904" i="1"/>
  <c r="T904" i="1"/>
  <c r="S904" i="1"/>
  <c r="Q904" i="1"/>
  <c r="P904" i="1"/>
  <c r="N904" i="1"/>
  <c r="BO904" i="1"/>
  <c r="BN904" i="1"/>
  <c r="DG905" i="1"/>
  <c r="DA905" i="1"/>
  <c r="T905" i="1"/>
  <c r="S905" i="1"/>
  <c r="Q905" i="1"/>
  <c r="P905" i="1"/>
  <c r="N905" i="1"/>
  <c r="BO905" i="1"/>
  <c r="BN905" i="1"/>
  <c r="DG906" i="1"/>
  <c r="DA906" i="1"/>
  <c r="T906" i="1"/>
  <c r="S906" i="1"/>
  <c r="Q906" i="1"/>
  <c r="P906" i="1"/>
  <c r="N906" i="1"/>
  <c r="BO906" i="1"/>
  <c r="BN906" i="1"/>
  <c r="DG907" i="1"/>
  <c r="DA907" i="1"/>
  <c r="T907" i="1"/>
  <c r="S907" i="1"/>
  <c r="Q907" i="1"/>
  <c r="P907" i="1"/>
  <c r="N907" i="1"/>
  <c r="BO907" i="1"/>
  <c r="BN907" i="1"/>
  <c r="DG908" i="1"/>
  <c r="DA908" i="1"/>
  <c r="T908" i="1"/>
  <c r="S908" i="1"/>
  <c r="Q908" i="1"/>
  <c r="P908" i="1"/>
  <c r="N908" i="1"/>
  <c r="BO908" i="1"/>
  <c r="BN908" i="1"/>
  <c r="DG909" i="1"/>
  <c r="DA909" i="1"/>
  <c r="T909" i="1"/>
  <c r="S909" i="1"/>
  <c r="Q909" i="1"/>
  <c r="P909" i="1"/>
  <c r="N909" i="1"/>
  <c r="BO909" i="1"/>
  <c r="BN909" i="1"/>
  <c r="DG910" i="1"/>
  <c r="DA910" i="1"/>
  <c r="T910" i="1"/>
  <c r="S910" i="1"/>
  <c r="Q910" i="1"/>
  <c r="P910" i="1"/>
  <c r="N910" i="1"/>
  <c r="BO910" i="1"/>
  <c r="BN910" i="1"/>
  <c r="DG911" i="1"/>
  <c r="DA911" i="1"/>
  <c r="T911" i="1"/>
  <c r="S911" i="1"/>
  <c r="Q911" i="1"/>
  <c r="P911" i="1"/>
  <c r="N911" i="1"/>
  <c r="BO911" i="1"/>
  <c r="BN911" i="1"/>
  <c r="DG912" i="1"/>
  <c r="DA912" i="1"/>
  <c r="T912" i="1"/>
  <c r="S912" i="1"/>
  <c r="Q912" i="1"/>
  <c r="P912" i="1"/>
  <c r="N912" i="1"/>
  <c r="BO912" i="1"/>
  <c r="BN912" i="1"/>
  <c r="DG913" i="1"/>
  <c r="DA913" i="1"/>
  <c r="T913" i="1"/>
  <c r="S913" i="1"/>
  <c r="Q913" i="1"/>
  <c r="P913" i="1"/>
  <c r="N913" i="1"/>
  <c r="BO913" i="1"/>
  <c r="BN913" i="1"/>
  <c r="DG914" i="1"/>
  <c r="DA914" i="1"/>
  <c r="T914" i="1"/>
  <c r="S914" i="1"/>
  <c r="Q914" i="1"/>
  <c r="P914" i="1"/>
  <c r="N914" i="1"/>
  <c r="BO914" i="1"/>
  <c r="BN914" i="1"/>
  <c r="DG915" i="1"/>
  <c r="DA915" i="1"/>
  <c r="T915" i="1"/>
  <c r="S915" i="1"/>
  <c r="Q915" i="1"/>
  <c r="P915" i="1"/>
  <c r="N915" i="1"/>
  <c r="BO915" i="1"/>
  <c r="BN915" i="1"/>
  <c r="DG916" i="1"/>
  <c r="DA916" i="1"/>
  <c r="T916" i="1"/>
  <c r="S916" i="1"/>
  <c r="Q916" i="1"/>
  <c r="P916" i="1"/>
  <c r="N916" i="1"/>
  <c r="BO916" i="1"/>
  <c r="BN916" i="1"/>
  <c r="DG917" i="1"/>
  <c r="DA917" i="1"/>
  <c r="T917" i="1"/>
  <c r="S917" i="1"/>
  <c r="Q917" i="1"/>
  <c r="P917" i="1"/>
  <c r="N917" i="1"/>
  <c r="BO917" i="1"/>
  <c r="BN917" i="1"/>
  <c r="DG918" i="1"/>
  <c r="DA918" i="1"/>
  <c r="T918" i="1"/>
  <c r="S918" i="1"/>
  <c r="Q918" i="1"/>
  <c r="P918" i="1"/>
  <c r="N918" i="1"/>
  <c r="BO918" i="1"/>
  <c r="BN918" i="1"/>
  <c r="DG919" i="1"/>
  <c r="DA919" i="1"/>
  <c r="T919" i="1"/>
  <c r="S919" i="1"/>
  <c r="Q919" i="1"/>
  <c r="P919" i="1"/>
  <c r="N919" i="1"/>
  <c r="BO919" i="1"/>
  <c r="BN919" i="1"/>
  <c r="DG920" i="1"/>
  <c r="DA920" i="1"/>
  <c r="T920" i="1"/>
  <c r="S920" i="1"/>
  <c r="Q920" i="1"/>
  <c r="P920" i="1"/>
  <c r="N920" i="1"/>
  <c r="BO920" i="1"/>
  <c r="BN920" i="1"/>
  <c r="DG921" i="1"/>
  <c r="DA921" i="1"/>
  <c r="T921" i="1"/>
  <c r="S921" i="1"/>
  <c r="Q921" i="1"/>
  <c r="P921" i="1"/>
  <c r="N921" i="1"/>
  <c r="BO921" i="1"/>
  <c r="BN921" i="1"/>
  <c r="DG922" i="1"/>
  <c r="DA922" i="1"/>
  <c r="T922" i="1"/>
  <c r="S922" i="1"/>
  <c r="Q922" i="1"/>
  <c r="P922" i="1"/>
  <c r="N922" i="1"/>
  <c r="BO922" i="1"/>
  <c r="BN922" i="1"/>
  <c r="DG923" i="1"/>
  <c r="DA923" i="1"/>
  <c r="T923" i="1"/>
  <c r="S923" i="1"/>
  <c r="Q923" i="1"/>
  <c r="P923" i="1"/>
  <c r="N923" i="1"/>
  <c r="BO923" i="1"/>
  <c r="BN923" i="1"/>
  <c r="DG924" i="1"/>
  <c r="DA924" i="1"/>
  <c r="T924" i="1"/>
  <c r="S924" i="1"/>
  <c r="Q924" i="1"/>
  <c r="P924" i="1"/>
  <c r="N924" i="1"/>
  <c r="BO924" i="1"/>
  <c r="BN924" i="1"/>
  <c r="DG925" i="1"/>
  <c r="DA925" i="1"/>
  <c r="T925" i="1"/>
  <c r="S925" i="1"/>
  <c r="Q925" i="1"/>
  <c r="P925" i="1"/>
  <c r="N925" i="1"/>
  <c r="BO925" i="1"/>
  <c r="BN925" i="1"/>
  <c r="DG926" i="1"/>
  <c r="DA926" i="1"/>
  <c r="T926" i="1"/>
  <c r="S926" i="1"/>
  <c r="Q926" i="1"/>
  <c r="P926" i="1"/>
  <c r="N926" i="1"/>
  <c r="BO926" i="1"/>
  <c r="BN926" i="1"/>
  <c r="DG927" i="1"/>
  <c r="DA927" i="1"/>
  <c r="T927" i="1"/>
  <c r="S927" i="1"/>
  <c r="Q927" i="1"/>
  <c r="P927" i="1"/>
  <c r="N927" i="1"/>
  <c r="BO927" i="1"/>
  <c r="BN927" i="1"/>
  <c r="DG871" i="1"/>
  <c r="DA871" i="1"/>
  <c r="T871" i="1"/>
  <c r="S871" i="1"/>
  <c r="Q871" i="1"/>
  <c r="P871" i="1"/>
  <c r="N871" i="1"/>
  <c r="BO871" i="1"/>
  <c r="BN871" i="1"/>
  <c r="DG928" i="1"/>
  <c r="DA928" i="1"/>
  <c r="T928" i="1"/>
  <c r="S928" i="1"/>
  <c r="Q928" i="1"/>
  <c r="P928" i="1"/>
  <c r="N928" i="1"/>
  <c r="BO928" i="1"/>
  <c r="BN928" i="1"/>
  <c r="DG929" i="1"/>
  <c r="DA929" i="1"/>
  <c r="T929" i="1"/>
  <c r="S929" i="1"/>
  <c r="Q929" i="1"/>
  <c r="P929" i="1"/>
  <c r="N929" i="1"/>
  <c r="BO929" i="1"/>
  <c r="BN929" i="1"/>
  <c r="DG930" i="1"/>
  <c r="DA930" i="1"/>
  <c r="T930" i="1"/>
  <c r="S930" i="1"/>
  <c r="Q930" i="1"/>
  <c r="P930" i="1"/>
  <c r="N930" i="1"/>
  <c r="BO930" i="1"/>
  <c r="BN930" i="1"/>
  <c r="DG931" i="1"/>
  <c r="DA931" i="1"/>
  <c r="T931" i="1"/>
  <c r="S931" i="1"/>
  <c r="Q931" i="1"/>
  <c r="P931" i="1"/>
  <c r="N931" i="1"/>
  <c r="BO931" i="1"/>
  <c r="BN931" i="1"/>
  <c r="DG932" i="1"/>
  <c r="DA932" i="1"/>
  <c r="T932" i="1"/>
  <c r="S932" i="1"/>
  <c r="Q932" i="1"/>
  <c r="P932" i="1"/>
  <c r="N932" i="1"/>
  <c r="BO932" i="1"/>
  <c r="BN932" i="1"/>
  <c r="DG933" i="1"/>
  <c r="DA933" i="1"/>
  <c r="T933" i="1"/>
  <c r="S933" i="1"/>
  <c r="Q933" i="1"/>
  <c r="P933" i="1"/>
  <c r="N933" i="1"/>
  <c r="BO933" i="1"/>
  <c r="BN933" i="1"/>
  <c r="DG934" i="1"/>
  <c r="DA934" i="1"/>
  <c r="T934" i="1"/>
  <c r="S934" i="1"/>
  <c r="Q934" i="1"/>
  <c r="P934" i="1"/>
  <c r="N934" i="1"/>
  <c r="BO934" i="1"/>
  <c r="BN934" i="1"/>
  <c r="DG935" i="1"/>
  <c r="DA935" i="1"/>
  <c r="T935" i="1"/>
  <c r="S935" i="1"/>
  <c r="Q935" i="1"/>
  <c r="P935" i="1"/>
  <c r="N935" i="1"/>
  <c r="BO935" i="1"/>
  <c r="BN935" i="1"/>
  <c r="DG1092" i="1"/>
  <c r="DA1092" i="1"/>
  <c r="T1092" i="1"/>
  <c r="S1092" i="1"/>
  <c r="Q1092" i="1"/>
  <c r="P1092" i="1"/>
  <c r="N1092" i="1"/>
  <c r="BO1092" i="1"/>
  <c r="BN1092" i="1"/>
  <c r="DG1093" i="1"/>
  <c r="DA1093" i="1"/>
  <c r="T1093" i="1"/>
  <c r="S1093" i="1"/>
  <c r="Q1093" i="1"/>
  <c r="P1093" i="1"/>
  <c r="N1093" i="1"/>
  <c r="BO1093" i="1"/>
  <c r="BN1093" i="1"/>
  <c r="DG936" i="1"/>
  <c r="DA936" i="1"/>
  <c r="T936" i="1"/>
  <c r="S936" i="1"/>
  <c r="Q936" i="1"/>
  <c r="P936" i="1"/>
  <c r="N936" i="1"/>
  <c r="BO936" i="1"/>
  <c r="BN936" i="1"/>
  <c r="DG937" i="1"/>
  <c r="DA937" i="1"/>
  <c r="T937" i="1"/>
  <c r="S937" i="1"/>
  <c r="Q937" i="1"/>
  <c r="P937" i="1"/>
  <c r="N937" i="1"/>
  <c r="BO937" i="1"/>
  <c r="BN937" i="1"/>
  <c r="DG938" i="1"/>
  <c r="DA938" i="1"/>
  <c r="T938" i="1"/>
  <c r="S938" i="1"/>
  <c r="Q938" i="1"/>
  <c r="P938" i="1"/>
  <c r="N938" i="1"/>
  <c r="BO938" i="1"/>
  <c r="BN938" i="1"/>
  <c r="DG939" i="1"/>
  <c r="DA939" i="1"/>
  <c r="T939" i="1"/>
  <c r="S939" i="1"/>
  <c r="Q939" i="1"/>
  <c r="P939" i="1"/>
  <c r="N939" i="1"/>
  <c r="BO939" i="1"/>
  <c r="BN939" i="1"/>
  <c r="DG1090" i="1"/>
  <c r="DA1090" i="1"/>
  <c r="T1090" i="1"/>
  <c r="S1090" i="1"/>
  <c r="Q1090" i="1"/>
  <c r="P1090" i="1"/>
  <c r="N1090" i="1"/>
  <c r="BO1090" i="1"/>
  <c r="BN1090" i="1"/>
  <c r="DG1091" i="1"/>
  <c r="DA1091" i="1"/>
  <c r="T1091" i="1"/>
  <c r="S1091" i="1"/>
  <c r="Q1091" i="1"/>
  <c r="P1091" i="1"/>
  <c r="N1091" i="1"/>
  <c r="BO1091" i="1"/>
  <c r="BN1091" i="1"/>
  <c r="DG940" i="1"/>
  <c r="DA940" i="1"/>
  <c r="T940" i="1"/>
  <c r="S940" i="1"/>
  <c r="Q940" i="1"/>
  <c r="P940" i="1"/>
  <c r="N940" i="1"/>
  <c r="BO940" i="1"/>
  <c r="BN940" i="1"/>
  <c r="DG941" i="1"/>
  <c r="DA941" i="1"/>
  <c r="T941" i="1"/>
  <c r="S941" i="1"/>
  <c r="Q941" i="1"/>
  <c r="P941" i="1"/>
  <c r="N941" i="1"/>
  <c r="BO941" i="1"/>
  <c r="BN941" i="1"/>
  <c r="DG1089" i="1"/>
  <c r="DA1089" i="1"/>
  <c r="T1089" i="1"/>
  <c r="S1089" i="1"/>
  <c r="Q1089" i="1"/>
  <c r="P1089" i="1"/>
  <c r="N1089" i="1"/>
  <c r="BO1089" i="1"/>
  <c r="BN1089" i="1"/>
  <c r="DG942" i="1"/>
  <c r="DA942" i="1"/>
  <c r="T942" i="1"/>
  <c r="S942" i="1"/>
  <c r="Q942" i="1"/>
  <c r="P942" i="1"/>
  <c r="N942" i="1"/>
  <c r="BO942" i="1"/>
  <c r="BN942" i="1"/>
  <c r="DG943" i="1"/>
  <c r="DA943" i="1"/>
  <c r="T943" i="1"/>
  <c r="S943" i="1"/>
  <c r="Q943" i="1"/>
  <c r="P943" i="1"/>
  <c r="N943" i="1"/>
  <c r="BO943" i="1"/>
  <c r="BN943" i="1"/>
  <c r="DG743" i="1"/>
  <c r="DA743" i="1"/>
  <c r="T743" i="1"/>
  <c r="S743" i="1"/>
  <c r="Q743" i="1"/>
  <c r="P743" i="1"/>
  <c r="N743" i="1"/>
  <c r="BO743" i="1"/>
  <c r="BN743" i="1"/>
  <c r="DG945" i="1"/>
  <c r="DA945" i="1"/>
  <c r="T945" i="1"/>
  <c r="S945" i="1"/>
  <c r="Q945" i="1"/>
  <c r="P945" i="1"/>
  <c r="N945" i="1"/>
  <c r="BO945" i="1"/>
  <c r="BN945" i="1"/>
  <c r="DG946" i="1"/>
  <c r="DA946" i="1"/>
  <c r="T946" i="1"/>
  <c r="S946" i="1"/>
  <c r="Q946" i="1"/>
  <c r="P946" i="1"/>
  <c r="N946" i="1"/>
  <c r="BO946" i="1"/>
  <c r="BN946" i="1"/>
  <c r="DG947" i="1"/>
  <c r="DA947" i="1"/>
  <c r="T947" i="1"/>
  <c r="S947" i="1"/>
  <c r="Q947" i="1"/>
  <c r="P947" i="1"/>
  <c r="N947" i="1"/>
  <c r="BO947" i="1"/>
  <c r="BN947" i="1"/>
  <c r="DG1086" i="1"/>
  <c r="DA1086" i="1"/>
  <c r="T1086" i="1"/>
  <c r="S1086" i="1"/>
  <c r="Q1086" i="1"/>
  <c r="P1086" i="1"/>
  <c r="N1086" i="1"/>
  <c r="BO1086" i="1"/>
  <c r="BN1086" i="1"/>
  <c r="DG948" i="1"/>
  <c r="DA948" i="1"/>
  <c r="T948" i="1"/>
  <c r="S948" i="1"/>
  <c r="Q948" i="1"/>
  <c r="P948" i="1"/>
  <c r="N948" i="1"/>
  <c r="BO948" i="1"/>
  <c r="BN948" i="1"/>
  <c r="DG949" i="1"/>
  <c r="DA949" i="1"/>
  <c r="T949" i="1"/>
  <c r="S949" i="1"/>
  <c r="Q949" i="1"/>
  <c r="P949" i="1"/>
  <c r="N949" i="1"/>
  <c r="BO949" i="1"/>
  <c r="BN949" i="1"/>
  <c r="DG950" i="1"/>
  <c r="DA950" i="1"/>
  <c r="T950" i="1"/>
  <c r="S950" i="1"/>
  <c r="Q950" i="1"/>
  <c r="P950" i="1"/>
  <c r="N950" i="1"/>
  <c r="BO950" i="1"/>
  <c r="BN950" i="1"/>
  <c r="DG951" i="1"/>
  <c r="DA951" i="1"/>
  <c r="T951" i="1"/>
  <c r="S951" i="1"/>
  <c r="Q951" i="1"/>
  <c r="P951" i="1"/>
  <c r="N951" i="1"/>
  <c r="BO951" i="1"/>
  <c r="BN951" i="1"/>
  <c r="DG1083" i="1"/>
  <c r="DA1083" i="1"/>
  <c r="T1083" i="1"/>
  <c r="S1083" i="1"/>
  <c r="Q1083" i="1"/>
  <c r="P1083" i="1"/>
  <c r="N1083" i="1"/>
  <c r="BO1083" i="1"/>
  <c r="BN1083" i="1"/>
  <c r="DG1084" i="1"/>
  <c r="DA1084" i="1"/>
  <c r="T1084" i="1"/>
  <c r="S1084" i="1"/>
  <c r="Q1084" i="1"/>
  <c r="P1084" i="1"/>
  <c r="N1084" i="1"/>
  <c r="BO1084" i="1"/>
  <c r="BN1084" i="1"/>
  <c r="DG952" i="1"/>
  <c r="DA952" i="1"/>
  <c r="T952" i="1"/>
  <c r="S952" i="1"/>
  <c r="Q952" i="1"/>
  <c r="P952" i="1"/>
  <c r="N952" i="1"/>
  <c r="BO952" i="1"/>
  <c r="BN952" i="1"/>
  <c r="DG953" i="1"/>
  <c r="DA953" i="1"/>
  <c r="T953" i="1"/>
  <c r="S953" i="1"/>
  <c r="Q953" i="1"/>
  <c r="P953" i="1"/>
  <c r="N953" i="1"/>
  <c r="BO953" i="1"/>
  <c r="BN953" i="1"/>
  <c r="DG954" i="1"/>
  <c r="DA954" i="1"/>
  <c r="T954" i="1"/>
  <c r="S954" i="1"/>
  <c r="Q954" i="1"/>
  <c r="P954" i="1"/>
  <c r="N954" i="1"/>
  <c r="BO954" i="1"/>
  <c r="BN954" i="1"/>
  <c r="DG955" i="1"/>
  <c r="DA955" i="1"/>
  <c r="T955" i="1"/>
  <c r="S955" i="1"/>
  <c r="Q955" i="1"/>
  <c r="P955" i="1"/>
  <c r="N955" i="1"/>
  <c r="BO955" i="1"/>
  <c r="BN955" i="1"/>
  <c r="DG1080" i="1"/>
  <c r="DA1080" i="1"/>
  <c r="T1080" i="1"/>
  <c r="S1080" i="1"/>
  <c r="Q1080" i="1"/>
  <c r="P1080" i="1"/>
  <c r="N1080" i="1"/>
  <c r="BO1080" i="1"/>
  <c r="BN1080" i="1"/>
  <c r="DG956" i="1"/>
  <c r="DA956" i="1"/>
  <c r="T956" i="1"/>
  <c r="S956" i="1"/>
  <c r="Q956" i="1"/>
  <c r="P956" i="1"/>
  <c r="N956" i="1"/>
  <c r="BO956" i="1"/>
  <c r="BN956" i="1"/>
  <c r="DG957" i="1"/>
  <c r="DA957" i="1"/>
  <c r="T957" i="1"/>
  <c r="S957" i="1"/>
  <c r="Q957" i="1"/>
  <c r="P957" i="1"/>
  <c r="N957" i="1"/>
  <c r="BO957" i="1"/>
  <c r="BN957" i="1"/>
  <c r="DG1079" i="1"/>
  <c r="DA1079" i="1"/>
  <c r="T1079" i="1"/>
  <c r="S1079" i="1"/>
  <c r="Q1079" i="1"/>
  <c r="P1079" i="1"/>
  <c r="N1079" i="1"/>
  <c r="BO1079" i="1"/>
  <c r="BN1079" i="1"/>
  <c r="DG958" i="1"/>
  <c r="DA958" i="1"/>
  <c r="T958" i="1"/>
  <c r="S958" i="1"/>
  <c r="Q958" i="1"/>
  <c r="P958" i="1"/>
  <c r="N958" i="1"/>
  <c r="BO958" i="1"/>
  <c r="BN958" i="1"/>
  <c r="DG959" i="1"/>
  <c r="DA959" i="1"/>
  <c r="T959" i="1"/>
  <c r="S959" i="1"/>
  <c r="Q959" i="1"/>
  <c r="P959" i="1"/>
  <c r="N959" i="1"/>
  <c r="BO959" i="1"/>
  <c r="BN959" i="1"/>
  <c r="DG1244" i="1"/>
  <c r="DA1244" i="1"/>
  <c r="T1244" i="1"/>
  <c r="S1244" i="1"/>
  <c r="Q1244" i="1"/>
  <c r="P1244" i="1"/>
  <c r="N1244" i="1"/>
  <c r="BO1244" i="1"/>
  <c r="BN1244" i="1"/>
  <c r="DG960" i="1"/>
  <c r="DA960" i="1"/>
  <c r="T960" i="1"/>
  <c r="S960" i="1"/>
  <c r="Q960" i="1"/>
  <c r="P960" i="1"/>
  <c r="N960" i="1"/>
  <c r="BO960" i="1"/>
  <c r="BN960" i="1"/>
  <c r="DG961" i="1"/>
  <c r="DA961" i="1"/>
  <c r="T961" i="1"/>
  <c r="S961" i="1"/>
  <c r="Q961" i="1"/>
  <c r="P961" i="1"/>
  <c r="N961" i="1"/>
  <c r="BO961" i="1"/>
  <c r="BN961" i="1"/>
  <c r="DG962" i="1"/>
  <c r="DA962" i="1"/>
  <c r="T962" i="1"/>
  <c r="S962" i="1"/>
  <c r="Q962" i="1"/>
  <c r="P962" i="1"/>
  <c r="N962" i="1"/>
  <c r="BO962" i="1"/>
  <c r="BN962" i="1"/>
  <c r="DG963" i="1"/>
  <c r="DA963" i="1"/>
  <c r="T963" i="1"/>
  <c r="S963" i="1"/>
  <c r="Q963" i="1"/>
  <c r="P963" i="1"/>
  <c r="N963" i="1"/>
  <c r="BO963" i="1"/>
  <c r="BN963" i="1"/>
  <c r="DG1076" i="1"/>
  <c r="DA1076" i="1"/>
  <c r="T1076" i="1"/>
  <c r="S1076" i="1"/>
  <c r="Q1076" i="1"/>
  <c r="P1076" i="1"/>
  <c r="N1076" i="1"/>
  <c r="BO1076" i="1"/>
  <c r="BN1076" i="1"/>
  <c r="DG1077" i="1"/>
  <c r="DA1077" i="1"/>
  <c r="T1077" i="1"/>
  <c r="S1077" i="1"/>
  <c r="Q1077" i="1"/>
  <c r="P1077" i="1"/>
  <c r="N1077" i="1"/>
  <c r="BO1077" i="1"/>
  <c r="BN1077" i="1"/>
  <c r="DG964" i="1"/>
  <c r="DA964" i="1"/>
  <c r="T964" i="1"/>
  <c r="S964" i="1"/>
  <c r="Q964" i="1"/>
  <c r="P964" i="1"/>
  <c r="N964" i="1"/>
  <c r="BO964" i="1"/>
  <c r="BN964" i="1"/>
  <c r="DG965" i="1"/>
  <c r="DA965" i="1"/>
  <c r="T965" i="1"/>
  <c r="S965" i="1"/>
  <c r="Q965" i="1"/>
  <c r="P965" i="1"/>
  <c r="N965" i="1"/>
  <c r="BO965" i="1"/>
  <c r="BN965" i="1"/>
  <c r="DG1075" i="1"/>
  <c r="DA1075" i="1"/>
  <c r="T1075" i="1"/>
  <c r="S1075" i="1"/>
  <c r="Q1075" i="1"/>
  <c r="P1075" i="1"/>
  <c r="N1075" i="1"/>
  <c r="BO1075" i="1"/>
  <c r="BN1075" i="1"/>
  <c r="DG966" i="1"/>
  <c r="DA966" i="1"/>
  <c r="T966" i="1"/>
  <c r="S966" i="1"/>
  <c r="Q966" i="1"/>
  <c r="P966" i="1"/>
  <c r="N966" i="1"/>
  <c r="BO966" i="1"/>
  <c r="BN966" i="1"/>
  <c r="DG967" i="1"/>
  <c r="DA967" i="1"/>
  <c r="T967" i="1"/>
  <c r="S967" i="1"/>
  <c r="Q967" i="1"/>
  <c r="P967" i="1"/>
  <c r="N967" i="1"/>
  <c r="BO967" i="1"/>
  <c r="BN967" i="1"/>
  <c r="DG968" i="1"/>
  <c r="DA968" i="1"/>
  <c r="T968" i="1"/>
  <c r="S968" i="1"/>
  <c r="Q968" i="1"/>
  <c r="P968" i="1"/>
  <c r="N968" i="1"/>
  <c r="BO968" i="1"/>
  <c r="BN968" i="1"/>
  <c r="DG969" i="1"/>
  <c r="DA969" i="1"/>
  <c r="T969" i="1"/>
  <c r="S969" i="1"/>
  <c r="Q969" i="1"/>
  <c r="P969" i="1"/>
  <c r="N969" i="1"/>
  <c r="BO969" i="1"/>
  <c r="BN969" i="1"/>
  <c r="DG1805" i="1"/>
  <c r="DA1805" i="1"/>
  <c r="T1805" i="1"/>
  <c r="S1805" i="1"/>
  <c r="Q1805" i="1"/>
  <c r="P1805" i="1"/>
  <c r="N1805" i="1"/>
  <c r="BO1805" i="1"/>
  <c r="BN1805" i="1"/>
  <c r="DG970" i="1"/>
  <c r="DA970" i="1"/>
  <c r="T970" i="1"/>
  <c r="S970" i="1"/>
  <c r="Q970" i="1"/>
  <c r="P970" i="1"/>
  <c r="N970" i="1"/>
  <c r="BO970" i="1"/>
  <c r="BN970" i="1"/>
  <c r="DG1911" i="1"/>
  <c r="DA1911" i="1"/>
  <c r="T1911" i="1"/>
  <c r="S1911" i="1"/>
  <c r="Q1911" i="1"/>
  <c r="P1911" i="1"/>
  <c r="N1911" i="1"/>
  <c r="BO1911" i="1"/>
  <c r="BN1911" i="1"/>
  <c r="DG971" i="1"/>
  <c r="DA971" i="1"/>
  <c r="T971" i="1"/>
  <c r="S971" i="1"/>
  <c r="Q971" i="1"/>
  <c r="P971" i="1"/>
  <c r="N971" i="1"/>
  <c r="BO971" i="1"/>
  <c r="BN971" i="1"/>
  <c r="DG1799" i="1"/>
  <c r="DA1799" i="1"/>
  <c r="T1799" i="1"/>
  <c r="S1799" i="1"/>
  <c r="Q1799" i="1"/>
  <c r="P1799" i="1"/>
  <c r="N1799" i="1"/>
  <c r="BO1799" i="1"/>
  <c r="BN1799" i="1"/>
  <c r="DG972" i="1"/>
  <c r="DA972" i="1"/>
  <c r="T972" i="1"/>
  <c r="S972" i="1"/>
  <c r="Q972" i="1"/>
  <c r="P972" i="1"/>
  <c r="N972" i="1"/>
  <c r="BO972" i="1"/>
  <c r="BN972" i="1"/>
  <c r="DG1914" i="1"/>
  <c r="DA1914" i="1"/>
  <c r="T1914" i="1"/>
  <c r="S1914" i="1"/>
  <c r="Q1914" i="1"/>
  <c r="P1914" i="1"/>
  <c r="N1914" i="1"/>
  <c r="BO1914" i="1"/>
  <c r="BN1914" i="1"/>
  <c r="DG973" i="1"/>
  <c r="DA973" i="1"/>
  <c r="T973" i="1"/>
  <c r="S973" i="1"/>
  <c r="Q973" i="1"/>
  <c r="P973" i="1"/>
  <c r="N973" i="1"/>
  <c r="BO973" i="1"/>
  <c r="BN973" i="1"/>
  <c r="DG1812" i="1"/>
  <c r="DA1812" i="1"/>
  <c r="T1812" i="1"/>
  <c r="S1812" i="1"/>
  <c r="Q1812" i="1"/>
  <c r="P1812" i="1"/>
  <c r="N1812" i="1"/>
  <c r="BO1812" i="1"/>
  <c r="BN1812" i="1"/>
  <c r="DG974" i="1"/>
  <c r="DA974" i="1"/>
  <c r="T974" i="1"/>
  <c r="S974" i="1"/>
  <c r="Q974" i="1"/>
  <c r="P974" i="1"/>
  <c r="N974" i="1"/>
  <c r="BO974" i="1"/>
  <c r="BN974" i="1"/>
  <c r="DG1910" i="1"/>
  <c r="DA1910" i="1"/>
  <c r="T1910" i="1"/>
  <c r="S1910" i="1"/>
  <c r="Q1910" i="1"/>
  <c r="P1910" i="1"/>
  <c r="N1910" i="1"/>
  <c r="BO1910" i="1"/>
  <c r="BN1910" i="1"/>
  <c r="DG1071" i="1"/>
  <c r="DA1071" i="1"/>
  <c r="T1071" i="1"/>
  <c r="S1071" i="1"/>
  <c r="Q1071" i="1"/>
  <c r="P1071" i="1"/>
  <c r="N1071" i="1"/>
  <c r="BO1071" i="1"/>
  <c r="BN1071" i="1"/>
  <c r="DG1072" i="1"/>
  <c r="DA1072" i="1"/>
  <c r="T1072" i="1"/>
  <c r="S1072" i="1"/>
  <c r="Q1072" i="1"/>
  <c r="P1072" i="1"/>
  <c r="N1072" i="1"/>
  <c r="BO1072" i="1"/>
  <c r="BN1072" i="1"/>
  <c r="DG1819" i="1"/>
  <c r="DA1819" i="1"/>
  <c r="T1819" i="1"/>
  <c r="S1819" i="1"/>
  <c r="Q1819" i="1"/>
  <c r="P1819" i="1"/>
  <c r="N1819" i="1"/>
  <c r="BO1819" i="1"/>
  <c r="BN1819" i="1"/>
  <c r="DG1074" i="1"/>
  <c r="DA1074" i="1"/>
  <c r="T1074" i="1"/>
  <c r="S1074" i="1"/>
  <c r="Q1074" i="1"/>
  <c r="P1074" i="1"/>
  <c r="N1074" i="1"/>
  <c r="BO1074" i="1"/>
  <c r="BN1074" i="1"/>
  <c r="DG1822" i="1"/>
  <c r="DA1822" i="1"/>
  <c r="T1822" i="1"/>
  <c r="S1822" i="1"/>
  <c r="Q1822" i="1"/>
  <c r="P1822" i="1"/>
  <c r="N1822" i="1"/>
  <c r="BO1822" i="1"/>
  <c r="BN1822" i="1"/>
  <c r="DG1078" i="1"/>
  <c r="DA1078" i="1"/>
  <c r="T1078" i="1"/>
  <c r="S1078" i="1"/>
  <c r="Q1078" i="1"/>
  <c r="P1078" i="1"/>
  <c r="N1078" i="1"/>
  <c r="BO1078" i="1"/>
  <c r="BN1078" i="1"/>
  <c r="DG1788" i="1"/>
  <c r="DA1788" i="1"/>
  <c r="T1788" i="1"/>
  <c r="S1788" i="1"/>
  <c r="Q1788" i="1"/>
  <c r="P1788" i="1"/>
  <c r="N1788" i="1"/>
  <c r="BO1788" i="1"/>
  <c r="BN1788" i="1"/>
  <c r="DG1068" i="1"/>
  <c r="DA1068" i="1"/>
  <c r="T1068" i="1"/>
  <c r="S1068" i="1"/>
  <c r="Q1068" i="1"/>
  <c r="P1068" i="1"/>
  <c r="N1068" i="1"/>
  <c r="BO1068" i="1"/>
  <c r="BN1068" i="1"/>
  <c r="DG1794" i="1"/>
  <c r="DA1794" i="1"/>
  <c r="T1794" i="1"/>
  <c r="S1794" i="1"/>
  <c r="Q1794" i="1"/>
  <c r="P1794" i="1"/>
  <c r="N1794" i="1"/>
  <c r="BO1794" i="1"/>
  <c r="BN1794" i="1"/>
  <c r="DG977" i="1"/>
  <c r="DA977" i="1"/>
  <c r="T977" i="1"/>
  <c r="S977" i="1"/>
  <c r="Q977" i="1"/>
  <c r="P977" i="1"/>
  <c r="N977" i="1"/>
  <c r="BO977" i="1"/>
  <c r="BN977" i="1"/>
  <c r="DG1806" i="1"/>
  <c r="DA1806" i="1"/>
  <c r="T1806" i="1"/>
  <c r="S1806" i="1"/>
  <c r="Q1806" i="1"/>
  <c r="P1806" i="1"/>
  <c r="N1806" i="1"/>
  <c r="BO1806" i="1"/>
  <c r="BN1806" i="1"/>
  <c r="DG978" i="1"/>
  <c r="DA978" i="1"/>
  <c r="T978" i="1"/>
  <c r="S978" i="1"/>
  <c r="Q978" i="1"/>
  <c r="P978" i="1"/>
  <c r="N978" i="1"/>
  <c r="BO978" i="1"/>
  <c r="BN978" i="1"/>
  <c r="DG1824" i="1"/>
  <c r="DA1824" i="1"/>
  <c r="T1824" i="1"/>
  <c r="S1824" i="1"/>
  <c r="Q1824" i="1"/>
  <c r="P1824" i="1"/>
  <c r="N1824" i="1"/>
  <c r="BO1824" i="1"/>
  <c r="BN1824" i="1"/>
  <c r="DG979" i="1"/>
  <c r="DA979" i="1"/>
  <c r="T979" i="1"/>
  <c r="S979" i="1"/>
  <c r="Q979" i="1"/>
  <c r="P979" i="1"/>
  <c r="N979" i="1"/>
  <c r="BO979" i="1"/>
  <c r="BN979" i="1"/>
  <c r="DG1069" i="1"/>
  <c r="DA1069" i="1"/>
  <c r="T1069" i="1"/>
  <c r="S1069" i="1"/>
  <c r="Q1069" i="1"/>
  <c r="P1069" i="1"/>
  <c r="N1069" i="1"/>
  <c r="BO1069" i="1"/>
  <c r="BN1069" i="1"/>
  <c r="DG980" i="1"/>
  <c r="DA980" i="1"/>
  <c r="T980" i="1"/>
  <c r="S980" i="1"/>
  <c r="Q980" i="1"/>
  <c r="P980" i="1"/>
  <c r="N980" i="1"/>
  <c r="BO980" i="1"/>
  <c r="BN980" i="1"/>
  <c r="DG1813" i="1"/>
  <c r="DA1813" i="1"/>
  <c r="T1813" i="1"/>
  <c r="S1813" i="1"/>
  <c r="Q1813" i="1"/>
  <c r="P1813" i="1"/>
  <c r="N1813" i="1"/>
  <c r="BO1813" i="1"/>
  <c r="BN1813" i="1"/>
  <c r="DG981" i="1"/>
  <c r="DA981" i="1"/>
  <c r="T981" i="1"/>
  <c r="S981" i="1"/>
  <c r="Q981" i="1"/>
  <c r="P981" i="1"/>
  <c r="N981" i="1"/>
  <c r="BO981" i="1"/>
  <c r="BN981" i="1"/>
  <c r="DG1803" i="1"/>
  <c r="DA1803" i="1"/>
  <c r="T1803" i="1"/>
  <c r="S1803" i="1"/>
  <c r="Q1803" i="1"/>
  <c r="P1803" i="1"/>
  <c r="N1803" i="1"/>
  <c r="BO1803" i="1"/>
  <c r="BN1803" i="1"/>
  <c r="DG1066" i="1"/>
  <c r="DA1066" i="1"/>
  <c r="T1066" i="1"/>
  <c r="S1066" i="1"/>
  <c r="Q1066" i="1"/>
  <c r="P1066" i="1"/>
  <c r="N1066" i="1"/>
  <c r="BO1066" i="1"/>
  <c r="BN1066" i="1"/>
  <c r="DG1833" i="1"/>
  <c r="DA1833" i="1"/>
  <c r="T1833" i="1"/>
  <c r="S1833" i="1"/>
  <c r="Q1833" i="1"/>
  <c r="P1833" i="1"/>
  <c r="N1833" i="1"/>
  <c r="BO1833" i="1"/>
  <c r="BN1833" i="1"/>
  <c r="DG982" i="1"/>
  <c r="DA982" i="1"/>
  <c r="T982" i="1"/>
  <c r="S982" i="1"/>
  <c r="Q982" i="1"/>
  <c r="P982" i="1"/>
  <c r="N982" i="1"/>
  <c r="BO982" i="1"/>
  <c r="BN982" i="1"/>
  <c r="DG1879" i="1"/>
  <c r="DA1879" i="1"/>
  <c r="T1879" i="1"/>
  <c r="S1879" i="1"/>
  <c r="Q1879" i="1"/>
  <c r="P1879" i="1"/>
  <c r="N1879" i="1"/>
  <c r="BO1879" i="1"/>
  <c r="BN1879" i="1"/>
  <c r="DG983" i="1"/>
  <c r="DA983" i="1"/>
  <c r="T983" i="1"/>
  <c r="S983" i="1"/>
  <c r="Q983" i="1"/>
  <c r="P983" i="1"/>
  <c r="N983" i="1"/>
  <c r="BO983" i="1"/>
  <c r="BN983" i="1"/>
  <c r="DG1795" i="1"/>
  <c r="DA1795" i="1"/>
  <c r="T1795" i="1"/>
  <c r="S1795" i="1"/>
  <c r="Q1795" i="1"/>
  <c r="P1795" i="1"/>
  <c r="N1795" i="1"/>
  <c r="BO1795" i="1"/>
  <c r="BN1795" i="1"/>
  <c r="DG1067" i="1"/>
  <c r="DA1067" i="1"/>
  <c r="T1067" i="1"/>
  <c r="S1067" i="1"/>
  <c r="Q1067" i="1"/>
  <c r="P1067" i="1"/>
  <c r="N1067" i="1"/>
  <c r="BO1067" i="1"/>
  <c r="BN1067" i="1"/>
  <c r="DG1816" i="1"/>
  <c r="DA1816" i="1"/>
  <c r="T1816" i="1"/>
  <c r="S1816" i="1"/>
  <c r="Q1816" i="1"/>
  <c r="P1816" i="1"/>
  <c r="N1816" i="1"/>
  <c r="BO1816" i="1"/>
  <c r="BN1816" i="1"/>
  <c r="DG984" i="1"/>
  <c r="DA984" i="1"/>
  <c r="T984" i="1"/>
  <c r="S984" i="1"/>
  <c r="Q984" i="1"/>
  <c r="P984" i="1"/>
  <c r="N984" i="1"/>
  <c r="BO984" i="1"/>
  <c r="BN984" i="1"/>
  <c r="DG1858" i="1"/>
  <c r="DA1858" i="1"/>
  <c r="T1858" i="1"/>
  <c r="S1858" i="1"/>
  <c r="Q1858" i="1"/>
  <c r="P1858" i="1"/>
  <c r="N1858" i="1"/>
  <c r="BO1858" i="1"/>
  <c r="BN1858" i="1"/>
  <c r="DG1064" i="1"/>
  <c r="DA1064" i="1"/>
  <c r="T1064" i="1"/>
  <c r="S1064" i="1"/>
  <c r="Q1064" i="1"/>
  <c r="P1064" i="1"/>
  <c r="N1064" i="1"/>
  <c r="BO1064" i="1"/>
  <c r="BN1064" i="1"/>
  <c r="DG1895" i="1"/>
  <c r="DA1895" i="1"/>
  <c r="T1895" i="1"/>
  <c r="S1895" i="1"/>
  <c r="Q1895" i="1"/>
  <c r="P1895" i="1"/>
  <c r="N1895" i="1"/>
  <c r="BO1895" i="1"/>
  <c r="BN1895" i="1"/>
  <c r="DG986" i="1"/>
  <c r="DA986" i="1"/>
  <c r="T986" i="1"/>
  <c r="S986" i="1"/>
  <c r="Q986" i="1"/>
  <c r="P986" i="1"/>
  <c r="N986" i="1"/>
  <c r="BO986" i="1"/>
  <c r="BN986" i="1"/>
  <c r="DG1853" i="1"/>
  <c r="DA1853" i="1"/>
  <c r="T1853" i="1"/>
  <c r="S1853" i="1"/>
  <c r="Q1853" i="1"/>
  <c r="P1853" i="1"/>
  <c r="N1853" i="1"/>
  <c r="BO1853" i="1"/>
  <c r="BN1853" i="1"/>
  <c r="DG987" i="1"/>
  <c r="DA987" i="1"/>
  <c r="T987" i="1"/>
  <c r="S987" i="1"/>
  <c r="Q987" i="1"/>
  <c r="P987" i="1"/>
  <c r="N987" i="1"/>
  <c r="BO987" i="1"/>
  <c r="BN987" i="1"/>
  <c r="DG1880" i="1"/>
  <c r="DA1880" i="1"/>
  <c r="T1880" i="1"/>
  <c r="S1880" i="1"/>
  <c r="Q1880" i="1"/>
  <c r="P1880" i="1"/>
  <c r="N1880" i="1"/>
  <c r="BO1880" i="1"/>
  <c r="BN1880" i="1"/>
  <c r="DG988" i="1"/>
  <c r="DA988" i="1"/>
  <c r="T988" i="1"/>
  <c r="S988" i="1"/>
  <c r="Q988" i="1"/>
  <c r="P988" i="1"/>
  <c r="N988" i="1"/>
  <c r="BO988" i="1"/>
  <c r="BN988" i="1"/>
  <c r="DG1784" i="1"/>
  <c r="DA1784" i="1"/>
  <c r="T1784" i="1"/>
  <c r="S1784" i="1"/>
  <c r="Q1784" i="1"/>
  <c r="P1784" i="1"/>
  <c r="N1784" i="1"/>
  <c r="BO1784" i="1"/>
  <c r="BN1784" i="1"/>
  <c r="DG989" i="1"/>
  <c r="DA989" i="1"/>
  <c r="T989" i="1"/>
  <c r="S989" i="1"/>
  <c r="Q989" i="1"/>
  <c r="P989" i="1"/>
  <c r="N989" i="1"/>
  <c r="BO989" i="1"/>
  <c r="BN989" i="1"/>
  <c r="DG1831" i="1"/>
  <c r="DA1831" i="1"/>
  <c r="T1831" i="1"/>
  <c r="S1831" i="1"/>
  <c r="Q1831" i="1"/>
  <c r="P1831" i="1"/>
  <c r="N1831" i="1"/>
  <c r="BO1831" i="1"/>
  <c r="BN1831" i="1"/>
  <c r="DG990" i="1"/>
  <c r="DA990" i="1"/>
  <c r="T990" i="1"/>
  <c r="S990" i="1"/>
  <c r="Q990" i="1"/>
  <c r="P990" i="1"/>
  <c r="N990" i="1"/>
  <c r="BO990" i="1"/>
  <c r="BN990" i="1"/>
  <c r="DG1798" i="1"/>
  <c r="DA1798" i="1"/>
  <c r="T1798" i="1"/>
  <c r="S1798" i="1"/>
  <c r="Q1798" i="1"/>
  <c r="P1798" i="1"/>
  <c r="N1798" i="1"/>
  <c r="BO1798" i="1"/>
  <c r="BN1798" i="1"/>
  <c r="DG991" i="1"/>
  <c r="DA991" i="1"/>
  <c r="T991" i="1"/>
  <c r="S991" i="1"/>
  <c r="Q991" i="1"/>
  <c r="P991" i="1"/>
  <c r="N991" i="1"/>
  <c r="BO991" i="1"/>
  <c r="BN991" i="1"/>
  <c r="DG853" i="1"/>
  <c r="DA853" i="1"/>
  <c r="T853" i="1"/>
  <c r="S853" i="1"/>
  <c r="Q853" i="1"/>
  <c r="P853" i="1"/>
  <c r="N853" i="1"/>
  <c r="BO853" i="1"/>
  <c r="BN853" i="1"/>
  <c r="DG1898" i="1"/>
  <c r="DA1898" i="1"/>
  <c r="T1898" i="1"/>
  <c r="S1898" i="1"/>
  <c r="Q1898" i="1"/>
  <c r="P1898" i="1"/>
  <c r="N1898" i="1"/>
  <c r="BO1898" i="1"/>
  <c r="BN1898" i="1"/>
  <c r="DG1070" i="1"/>
  <c r="DA1070" i="1"/>
  <c r="T1070" i="1"/>
  <c r="S1070" i="1"/>
  <c r="Q1070" i="1"/>
  <c r="P1070" i="1"/>
  <c r="N1070" i="1"/>
  <c r="BO1070" i="1"/>
  <c r="BN1070" i="1"/>
  <c r="DG1882" i="1"/>
  <c r="DA1882" i="1"/>
  <c r="T1882" i="1"/>
  <c r="S1882" i="1"/>
  <c r="Q1882" i="1"/>
  <c r="P1882" i="1"/>
  <c r="N1882" i="1"/>
  <c r="BO1882" i="1"/>
  <c r="BN1882" i="1"/>
  <c r="DG992" i="1"/>
  <c r="DA992" i="1"/>
  <c r="T992" i="1"/>
  <c r="S992" i="1"/>
  <c r="Q992" i="1"/>
  <c r="P992" i="1"/>
  <c r="N992" i="1"/>
  <c r="BO992" i="1"/>
  <c r="BN992" i="1"/>
  <c r="DG1802" i="1"/>
  <c r="DA1802" i="1"/>
  <c r="T1802" i="1"/>
  <c r="S1802" i="1"/>
  <c r="Q1802" i="1"/>
  <c r="P1802" i="1"/>
  <c r="N1802" i="1"/>
  <c r="BO1802" i="1"/>
  <c r="BN1802" i="1"/>
  <c r="DG993" i="1"/>
  <c r="DA993" i="1"/>
  <c r="T993" i="1"/>
  <c r="S993" i="1"/>
  <c r="Q993" i="1"/>
  <c r="P993" i="1"/>
  <c r="N993" i="1"/>
  <c r="BO993" i="1"/>
  <c r="BN993" i="1"/>
  <c r="DG1852" i="1"/>
  <c r="DA1852" i="1"/>
  <c r="T1852" i="1"/>
  <c r="S1852" i="1"/>
  <c r="Q1852" i="1"/>
  <c r="P1852" i="1"/>
  <c r="N1852" i="1"/>
  <c r="BO1852" i="1"/>
  <c r="BN1852" i="1"/>
  <c r="DG994" i="1"/>
  <c r="DA994" i="1"/>
  <c r="T994" i="1"/>
  <c r="S994" i="1"/>
  <c r="Q994" i="1"/>
  <c r="P994" i="1"/>
  <c r="N994" i="1"/>
  <c r="BO994" i="1"/>
  <c r="BN994" i="1"/>
  <c r="DG1845" i="1"/>
  <c r="DA1845" i="1"/>
  <c r="T1845" i="1"/>
  <c r="S1845" i="1"/>
  <c r="Q1845" i="1"/>
  <c r="P1845" i="1"/>
  <c r="N1845" i="1"/>
  <c r="BO1845" i="1"/>
  <c r="BN1845" i="1"/>
  <c r="DG995" i="1"/>
  <c r="DA995" i="1"/>
  <c r="T995" i="1"/>
  <c r="S995" i="1"/>
  <c r="Q995" i="1"/>
  <c r="P995" i="1"/>
  <c r="N995" i="1"/>
  <c r="BO995" i="1"/>
  <c r="BN995" i="1"/>
  <c r="DG996" i="1"/>
  <c r="DA996" i="1"/>
  <c r="T996" i="1"/>
  <c r="S996" i="1"/>
  <c r="Q996" i="1"/>
  <c r="P996" i="1"/>
  <c r="N996" i="1"/>
  <c r="BO996" i="1"/>
  <c r="BN996" i="1"/>
  <c r="DG997" i="1"/>
  <c r="DA997" i="1"/>
  <c r="T997" i="1"/>
  <c r="S997" i="1"/>
  <c r="Q997" i="1"/>
  <c r="P997" i="1"/>
  <c r="N997" i="1"/>
  <c r="BO997" i="1"/>
  <c r="BN997" i="1"/>
  <c r="DG1905" i="1"/>
  <c r="DA1905" i="1"/>
  <c r="T1905" i="1"/>
  <c r="S1905" i="1"/>
  <c r="Q1905" i="1"/>
  <c r="P1905" i="1"/>
  <c r="N1905" i="1"/>
  <c r="BO1905" i="1"/>
  <c r="BN1905" i="1"/>
  <c r="DG998" i="1"/>
  <c r="DA998" i="1"/>
  <c r="T998" i="1"/>
  <c r="S998" i="1"/>
  <c r="Q998" i="1"/>
  <c r="P998" i="1"/>
  <c r="N998" i="1"/>
  <c r="BO998" i="1"/>
  <c r="BN998" i="1"/>
  <c r="DG1886" i="1"/>
  <c r="DA1886" i="1"/>
  <c r="T1886" i="1"/>
  <c r="S1886" i="1"/>
  <c r="Q1886" i="1"/>
  <c r="P1886" i="1"/>
  <c r="N1886" i="1"/>
  <c r="BO1886" i="1"/>
  <c r="BN1886" i="1"/>
  <c r="DG999" i="1"/>
  <c r="DA999" i="1"/>
  <c r="T999" i="1"/>
  <c r="S999" i="1"/>
  <c r="Q999" i="1"/>
  <c r="P999" i="1"/>
  <c r="N999" i="1"/>
  <c r="BO999" i="1"/>
  <c r="BN999" i="1"/>
  <c r="DG1804" i="1"/>
  <c r="DA1804" i="1"/>
  <c r="T1804" i="1"/>
  <c r="S1804" i="1"/>
  <c r="Q1804" i="1"/>
  <c r="P1804" i="1"/>
  <c r="N1804" i="1"/>
  <c r="BO1804" i="1"/>
  <c r="BN1804" i="1"/>
  <c r="DG1000" i="1"/>
  <c r="DA1000" i="1"/>
  <c r="T1000" i="1"/>
  <c r="S1000" i="1"/>
  <c r="Q1000" i="1"/>
  <c r="P1000" i="1"/>
  <c r="N1000" i="1"/>
  <c r="BO1000" i="1"/>
  <c r="BN1000" i="1"/>
  <c r="DG1001" i="1"/>
  <c r="DA1001" i="1"/>
  <c r="T1001" i="1"/>
  <c r="S1001" i="1"/>
  <c r="Q1001" i="1"/>
  <c r="P1001" i="1"/>
  <c r="N1001" i="1"/>
  <c r="BO1001" i="1"/>
  <c r="BN1001" i="1"/>
  <c r="DG1786" i="1"/>
  <c r="DA1786" i="1"/>
  <c r="T1786" i="1"/>
  <c r="S1786" i="1"/>
  <c r="Q1786" i="1"/>
  <c r="P1786" i="1"/>
  <c r="N1786" i="1"/>
  <c r="BO1786" i="1"/>
  <c r="BN1786" i="1"/>
  <c r="DG1002" i="1"/>
  <c r="DA1002" i="1"/>
  <c r="T1002" i="1"/>
  <c r="S1002" i="1"/>
  <c r="Q1002" i="1"/>
  <c r="P1002" i="1"/>
  <c r="N1002" i="1"/>
  <c r="BO1002" i="1"/>
  <c r="BN1002" i="1"/>
  <c r="DG1862" i="1"/>
  <c r="DA1862" i="1"/>
  <c r="T1862" i="1"/>
  <c r="S1862" i="1"/>
  <c r="Q1862" i="1"/>
  <c r="P1862" i="1"/>
  <c r="N1862" i="1"/>
  <c r="BO1862" i="1"/>
  <c r="BN1862" i="1"/>
  <c r="DG1003" i="1"/>
  <c r="DA1003" i="1"/>
  <c r="T1003" i="1"/>
  <c r="S1003" i="1"/>
  <c r="Q1003" i="1"/>
  <c r="P1003" i="1"/>
  <c r="N1003" i="1"/>
  <c r="BO1003" i="1"/>
  <c r="BN1003" i="1"/>
  <c r="DG1857" i="1"/>
  <c r="DA1857" i="1"/>
  <c r="T1857" i="1"/>
  <c r="S1857" i="1"/>
  <c r="Q1857" i="1"/>
  <c r="P1857" i="1"/>
  <c r="N1857" i="1"/>
  <c r="BO1857" i="1"/>
  <c r="BN1857" i="1"/>
  <c r="DG1004" i="1"/>
  <c r="DA1004" i="1"/>
  <c r="T1004" i="1"/>
  <c r="S1004" i="1"/>
  <c r="Q1004" i="1"/>
  <c r="P1004" i="1"/>
  <c r="N1004" i="1"/>
  <c r="BO1004" i="1"/>
  <c r="BN1004" i="1"/>
  <c r="DG1785" i="1"/>
  <c r="DA1785" i="1"/>
  <c r="T1785" i="1"/>
  <c r="S1785" i="1"/>
  <c r="Q1785" i="1"/>
  <c r="P1785" i="1"/>
  <c r="N1785" i="1"/>
  <c r="BO1785" i="1"/>
  <c r="BN1785" i="1"/>
  <c r="DG1005" i="1"/>
  <c r="DA1005" i="1"/>
  <c r="T1005" i="1"/>
  <c r="S1005" i="1"/>
  <c r="Q1005" i="1"/>
  <c r="P1005" i="1"/>
  <c r="N1005" i="1"/>
  <c r="BO1005" i="1"/>
  <c r="BN1005" i="1"/>
  <c r="DG1006" i="1"/>
  <c r="DA1006" i="1"/>
  <c r="T1006" i="1"/>
  <c r="S1006" i="1"/>
  <c r="Q1006" i="1"/>
  <c r="P1006" i="1"/>
  <c r="N1006" i="1"/>
  <c r="BO1006" i="1"/>
  <c r="BN1006" i="1"/>
  <c r="DG1829" i="1"/>
  <c r="DA1829" i="1"/>
  <c r="T1829" i="1"/>
  <c r="S1829" i="1"/>
  <c r="Q1829" i="1"/>
  <c r="P1829" i="1"/>
  <c r="N1829" i="1"/>
  <c r="BO1829" i="1"/>
  <c r="BN1829" i="1"/>
  <c r="DG1007" i="1"/>
  <c r="DA1007" i="1"/>
  <c r="T1007" i="1"/>
  <c r="S1007" i="1"/>
  <c r="Q1007" i="1"/>
  <c r="P1007" i="1"/>
  <c r="N1007" i="1"/>
  <c r="BO1007" i="1"/>
  <c r="BN1007" i="1"/>
  <c r="DG1820" i="1"/>
  <c r="DA1820" i="1"/>
  <c r="T1820" i="1"/>
  <c r="S1820" i="1"/>
  <c r="Q1820" i="1"/>
  <c r="P1820" i="1"/>
  <c r="N1820" i="1"/>
  <c r="BO1820" i="1"/>
  <c r="BN1820" i="1"/>
  <c r="DG1055" i="1"/>
  <c r="DA1055" i="1"/>
  <c r="T1055" i="1"/>
  <c r="S1055" i="1"/>
  <c r="Q1055" i="1"/>
  <c r="P1055" i="1"/>
  <c r="N1055" i="1"/>
  <c r="BO1055" i="1"/>
  <c r="BN1055" i="1"/>
  <c r="DG1896" i="1"/>
  <c r="DA1896" i="1"/>
  <c r="T1896" i="1"/>
  <c r="S1896" i="1"/>
  <c r="Q1896" i="1"/>
  <c r="P1896" i="1"/>
  <c r="N1896" i="1"/>
  <c r="BO1896" i="1"/>
  <c r="BN1896" i="1"/>
  <c r="DG1008" i="1"/>
  <c r="DA1008" i="1"/>
  <c r="T1008" i="1"/>
  <c r="S1008" i="1"/>
  <c r="Q1008" i="1"/>
  <c r="P1008" i="1"/>
  <c r="N1008" i="1"/>
  <c r="BO1008" i="1"/>
  <c r="BN1008" i="1"/>
  <c r="DG1915" i="1"/>
  <c r="DA1915" i="1"/>
  <c r="T1915" i="1"/>
  <c r="S1915" i="1"/>
  <c r="Q1915" i="1"/>
  <c r="P1915" i="1"/>
  <c r="N1915" i="1"/>
  <c r="BO1915" i="1"/>
  <c r="BN1915" i="1"/>
  <c r="DG1010" i="1"/>
  <c r="DA1010" i="1"/>
  <c r="T1010" i="1"/>
  <c r="S1010" i="1"/>
  <c r="Q1010" i="1"/>
  <c r="P1010" i="1"/>
  <c r="N1010" i="1"/>
  <c r="BO1010" i="1"/>
  <c r="BN1010" i="1"/>
  <c r="DG1821" i="1"/>
  <c r="DA1821" i="1"/>
  <c r="T1821" i="1"/>
  <c r="S1821" i="1"/>
  <c r="Q1821" i="1"/>
  <c r="P1821" i="1"/>
  <c r="N1821" i="1"/>
  <c r="BO1821" i="1"/>
  <c r="BN1821" i="1"/>
  <c r="DG1011" i="1"/>
  <c r="DA1011" i="1"/>
  <c r="T1011" i="1"/>
  <c r="S1011" i="1"/>
  <c r="Q1011" i="1"/>
  <c r="P1011" i="1"/>
  <c r="N1011" i="1"/>
  <c r="BO1011" i="1"/>
  <c r="BN1011" i="1"/>
  <c r="DG1012" i="1"/>
  <c r="DA1012" i="1"/>
  <c r="T1012" i="1"/>
  <c r="S1012" i="1"/>
  <c r="Q1012" i="1"/>
  <c r="P1012" i="1"/>
  <c r="N1012" i="1"/>
  <c r="BO1012" i="1"/>
  <c r="BN1012" i="1"/>
  <c r="DA3201" i="1"/>
  <c r="T3201" i="1"/>
  <c r="S3201" i="1"/>
  <c r="P3201" i="1"/>
  <c r="BO3201" i="1"/>
  <c r="BN3201" i="1"/>
  <c r="DG1013" i="1"/>
  <c r="DA1013" i="1"/>
  <c r="T1013" i="1"/>
  <c r="S1013" i="1"/>
  <c r="Q1013" i="1"/>
  <c r="P1013" i="1"/>
  <c r="N1013" i="1"/>
  <c r="BO1013" i="1"/>
  <c r="BN1013" i="1"/>
  <c r="DG1842" i="1"/>
  <c r="DA1842" i="1"/>
  <c r="T1842" i="1"/>
  <c r="S1842" i="1"/>
  <c r="Q1842" i="1"/>
  <c r="P1842" i="1"/>
  <c r="N1842" i="1"/>
  <c r="BO1842" i="1"/>
  <c r="BN1842" i="1"/>
  <c r="DG1014" i="1"/>
  <c r="DA1014" i="1"/>
  <c r="T1014" i="1"/>
  <c r="S1014" i="1"/>
  <c r="Q1014" i="1"/>
  <c r="P1014" i="1"/>
  <c r="N1014" i="1"/>
  <c r="BO1014" i="1"/>
  <c r="BN1014" i="1"/>
  <c r="DG1856" i="1"/>
  <c r="DA1856" i="1"/>
  <c r="T1856" i="1"/>
  <c r="S1856" i="1"/>
  <c r="Q1856" i="1"/>
  <c r="P1856" i="1"/>
  <c r="N1856" i="1"/>
  <c r="BO1856" i="1"/>
  <c r="BN1856" i="1"/>
  <c r="DG1015" i="1"/>
  <c r="DA1015" i="1"/>
  <c r="T1015" i="1"/>
  <c r="S1015" i="1"/>
  <c r="Q1015" i="1"/>
  <c r="P1015" i="1"/>
  <c r="N1015" i="1"/>
  <c r="BO1015" i="1"/>
  <c r="BN1015" i="1"/>
  <c r="DG1887" i="1"/>
  <c r="DA1887" i="1"/>
  <c r="T1887" i="1"/>
  <c r="S1887" i="1"/>
  <c r="Q1887" i="1"/>
  <c r="P1887" i="1"/>
  <c r="N1887" i="1"/>
  <c r="BO1887" i="1"/>
  <c r="BN1887" i="1"/>
  <c r="DG1016" i="1"/>
  <c r="DA1016" i="1"/>
  <c r="T1016" i="1"/>
  <c r="S1016" i="1"/>
  <c r="Q1016" i="1"/>
  <c r="P1016" i="1"/>
  <c r="N1016" i="1"/>
  <c r="BO1016" i="1"/>
  <c r="BN1016" i="1"/>
  <c r="DG1844" i="1"/>
  <c r="DA1844" i="1"/>
  <c r="T1844" i="1"/>
  <c r="S1844" i="1"/>
  <c r="Q1844" i="1"/>
  <c r="P1844" i="1"/>
  <c r="N1844" i="1"/>
  <c r="BO1844" i="1"/>
  <c r="BN1844" i="1"/>
  <c r="DG1017" i="1"/>
  <c r="DA1017" i="1"/>
  <c r="T1017" i="1"/>
  <c r="S1017" i="1"/>
  <c r="Q1017" i="1"/>
  <c r="P1017" i="1"/>
  <c r="N1017" i="1"/>
  <c r="BO1017" i="1"/>
  <c r="BN1017" i="1"/>
  <c r="DG1808" i="1"/>
  <c r="DA1808" i="1"/>
  <c r="T1808" i="1"/>
  <c r="S1808" i="1"/>
  <c r="Q1808" i="1"/>
  <c r="P1808" i="1"/>
  <c r="N1808" i="1"/>
  <c r="BO1808" i="1"/>
  <c r="BN1808" i="1"/>
  <c r="DG1018" i="1"/>
  <c r="DA1018" i="1"/>
  <c r="T1018" i="1"/>
  <c r="S1018" i="1"/>
  <c r="Q1018" i="1"/>
  <c r="P1018" i="1"/>
  <c r="N1018" i="1"/>
  <c r="BO1018" i="1"/>
  <c r="BN1018" i="1"/>
  <c r="DG1019" i="1"/>
  <c r="DA1019" i="1"/>
  <c r="T1019" i="1"/>
  <c r="S1019" i="1"/>
  <c r="Q1019" i="1"/>
  <c r="P1019" i="1"/>
  <c r="N1019" i="1"/>
  <c r="BO1019" i="1"/>
  <c r="BN1019" i="1"/>
  <c r="DG1864" i="1"/>
  <c r="DA1864" i="1"/>
  <c r="T1864" i="1"/>
  <c r="S1864" i="1"/>
  <c r="Q1864" i="1"/>
  <c r="P1864" i="1"/>
  <c r="N1864" i="1"/>
  <c r="BO1864" i="1"/>
  <c r="BN1864" i="1"/>
  <c r="DG1020" i="1"/>
  <c r="DA1020" i="1"/>
  <c r="T1020" i="1"/>
  <c r="S1020" i="1"/>
  <c r="Q1020" i="1"/>
  <c r="P1020" i="1"/>
  <c r="N1020" i="1"/>
  <c r="BO1020" i="1"/>
  <c r="BN1020" i="1"/>
  <c r="DG1894" i="1"/>
  <c r="DA1894" i="1"/>
  <c r="T1894" i="1"/>
  <c r="S1894" i="1"/>
  <c r="Q1894" i="1"/>
  <c r="P1894" i="1"/>
  <c r="N1894" i="1"/>
  <c r="BO1894" i="1"/>
  <c r="BN1894" i="1"/>
  <c r="DG1021" i="1"/>
  <c r="DA1021" i="1"/>
  <c r="T1021" i="1"/>
  <c r="S1021" i="1"/>
  <c r="Q1021" i="1"/>
  <c r="P1021" i="1"/>
  <c r="N1021" i="1"/>
  <c r="BO1021" i="1"/>
  <c r="BN1021" i="1"/>
  <c r="DG1859" i="1"/>
  <c r="DA1859" i="1"/>
  <c r="T1859" i="1"/>
  <c r="S1859" i="1"/>
  <c r="Q1859" i="1"/>
  <c r="P1859" i="1"/>
  <c r="N1859" i="1"/>
  <c r="BO1859" i="1"/>
  <c r="BN1859" i="1"/>
  <c r="DG1022" i="1"/>
  <c r="DA1022" i="1"/>
  <c r="T1022" i="1"/>
  <c r="S1022" i="1"/>
  <c r="Q1022" i="1"/>
  <c r="P1022" i="1"/>
  <c r="N1022" i="1"/>
  <c r="BO1022" i="1"/>
  <c r="BN1022" i="1"/>
  <c r="DG1900" i="1"/>
  <c r="DA1900" i="1"/>
  <c r="T1900" i="1"/>
  <c r="S1900" i="1"/>
  <c r="Q1900" i="1"/>
  <c r="P1900" i="1"/>
  <c r="N1900" i="1"/>
  <c r="BO1900" i="1"/>
  <c r="BN1900" i="1"/>
  <c r="DG1023" i="1"/>
  <c r="DA1023" i="1"/>
  <c r="T1023" i="1"/>
  <c r="S1023" i="1"/>
  <c r="Q1023" i="1"/>
  <c r="P1023" i="1"/>
  <c r="N1023" i="1"/>
  <c r="BO1023" i="1"/>
  <c r="BN1023" i="1"/>
  <c r="DA3202" i="1"/>
  <c r="T3202" i="1"/>
  <c r="S3202" i="1"/>
  <c r="P3202" i="1"/>
  <c r="N3202" i="1"/>
  <c r="CZ3202" i="1"/>
  <c r="BO3202" i="1"/>
  <c r="BN3202" i="1"/>
  <c r="DG1832" i="1"/>
  <c r="DA1832" i="1"/>
  <c r="T1832" i="1"/>
  <c r="S1832" i="1"/>
  <c r="Q1832" i="1"/>
  <c r="P1832" i="1"/>
  <c r="N1832" i="1"/>
  <c r="BO1832" i="1"/>
  <c r="BN1832" i="1"/>
  <c r="DG860" i="1"/>
  <c r="DA860" i="1"/>
  <c r="T860" i="1"/>
  <c r="S860" i="1"/>
  <c r="Q860" i="1"/>
  <c r="P860" i="1"/>
  <c r="N860" i="1"/>
  <c r="BO860" i="1"/>
  <c r="BN860" i="1"/>
  <c r="DG1909" i="1"/>
  <c r="DA1909" i="1"/>
  <c r="T1909" i="1"/>
  <c r="S1909" i="1"/>
  <c r="Q1909" i="1"/>
  <c r="P1909" i="1"/>
  <c r="N1909" i="1"/>
  <c r="BO1909" i="1"/>
  <c r="BN1909" i="1"/>
  <c r="DG1062" i="1"/>
  <c r="DA1062" i="1"/>
  <c r="T1062" i="1"/>
  <c r="S1062" i="1"/>
  <c r="Q1062" i="1"/>
  <c r="P1062" i="1"/>
  <c r="N1062" i="1"/>
  <c r="BO1062" i="1"/>
  <c r="BN1062" i="1"/>
  <c r="DG1797" i="1"/>
  <c r="DA1797" i="1"/>
  <c r="T1797" i="1"/>
  <c r="S1797" i="1"/>
  <c r="Q1797" i="1"/>
  <c r="P1797" i="1"/>
  <c r="N1797" i="1"/>
  <c r="BO1797" i="1"/>
  <c r="BN1797" i="1"/>
  <c r="DG1024" i="1"/>
  <c r="DA1024" i="1"/>
  <c r="T1024" i="1"/>
  <c r="S1024" i="1"/>
  <c r="Q1024" i="1"/>
  <c r="P1024" i="1"/>
  <c r="N1024" i="1"/>
  <c r="BO1024" i="1"/>
  <c r="BN1024" i="1"/>
  <c r="DG1883" i="1"/>
  <c r="DA1883" i="1"/>
  <c r="T1883" i="1"/>
  <c r="S1883" i="1"/>
  <c r="Q1883" i="1"/>
  <c r="P1883" i="1"/>
  <c r="N1883" i="1"/>
  <c r="BO1883" i="1"/>
  <c r="BN1883" i="1"/>
  <c r="DG1025" i="1"/>
  <c r="DA1025" i="1"/>
  <c r="T1025" i="1"/>
  <c r="S1025" i="1"/>
  <c r="Q1025" i="1"/>
  <c r="P1025" i="1"/>
  <c r="N1025" i="1"/>
  <c r="BO1025" i="1"/>
  <c r="BN1025" i="1"/>
  <c r="DG1881" i="1"/>
  <c r="DA1881" i="1"/>
  <c r="T1881" i="1"/>
  <c r="S1881" i="1"/>
  <c r="Q1881" i="1"/>
  <c r="P1881" i="1"/>
  <c r="N1881" i="1"/>
  <c r="BO1881" i="1"/>
  <c r="BN1881" i="1"/>
  <c r="DG1026" i="1"/>
  <c r="DA1026" i="1"/>
  <c r="T1026" i="1"/>
  <c r="S1026" i="1"/>
  <c r="Q1026" i="1"/>
  <c r="P1026" i="1"/>
  <c r="N1026" i="1"/>
  <c r="BO1026" i="1"/>
  <c r="BN1026" i="1"/>
  <c r="DG1854" i="1"/>
  <c r="DA1854" i="1"/>
  <c r="T1854" i="1"/>
  <c r="S1854" i="1"/>
  <c r="Q1854" i="1"/>
  <c r="P1854" i="1"/>
  <c r="N1854" i="1"/>
  <c r="BO1854" i="1"/>
  <c r="BN1854" i="1"/>
  <c r="DG1027" i="1"/>
  <c r="DA1027" i="1"/>
  <c r="T1027" i="1"/>
  <c r="S1027" i="1"/>
  <c r="Q1027" i="1"/>
  <c r="P1027" i="1"/>
  <c r="N1027" i="1"/>
  <c r="BO1027" i="1"/>
  <c r="BN1027" i="1"/>
  <c r="DG1028" i="1"/>
  <c r="DA1028" i="1"/>
  <c r="T1028" i="1"/>
  <c r="S1028" i="1"/>
  <c r="Q1028" i="1"/>
  <c r="P1028" i="1"/>
  <c r="N1028" i="1"/>
  <c r="BO1028" i="1"/>
  <c r="BN1028" i="1"/>
  <c r="DG1814" i="1"/>
  <c r="DA1814" i="1"/>
  <c r="T1814" i="1"/>
  <c r="S1814" i="1"/>
  <c r="Q1814" i="1"/>
  <c r="P1814" i="1"/>
  <c r="N1814" i="1"/>
  <c r="BO1814" i="1"/>
  <c r="BN1814" i="1"/>
  <c r="DG1029" i="1"/>
  <c r="DA1029" i="1"/>
  <c r="T1029" i="1"/>
  <c r="S1029" i="1"/>
  <c r="Q1029" i="1"/>
  <c r="P1029" i="1"/>
  <c r="N1029" i="1"/>
  <c r="BO1029" i="1"/>
  <c r="BN1029" i="1"/>
  <c r="DG1916" i="1"/>
  <c r="DA1916" i="1"/>
  <c r="T1916" i="1"/>
  <c r="S1916" i="1"/>
  <c r="Q1916" i="1"/>
  <c r="P1916" i="1"/>
  <c r="N1916" i="1"/>
  <c r="BO1916" i="1"/>
  <c r="BN1916" i="1"/>
  <c r="DG1030" i="1"/>
  <c r="DA1030" i="1"/>
  <c r="T1030" i="1"/>
  <c r="S1030" i="1"/>
  <c r="Q1030" i="1"/>
  <c r="P1030" i="1"/>
  <c r="N1030" i="1"/>
  <c r="BO1030" i="1"/>
  <c r="BN1030" i="1"/>
  <c r="DG1828" i="1"/>
  <c r="DA1828" i="1"/>
  <c r="T1828" i="1"/>
  <c r="S1828" i="1"/>
  <c r="Q1828" i="1"/>
  <c r="P1828" i="1"/>
  <c r="N1828" i="1"/>
  <c r="BO1828" i="1"/>
  <c r="BN1828" i="1"/>
  <c r="DG1031" i="1"/>
  <c r="DA1031" i="1"/>
  <c r="T1031" i="1"/>
  <c r="S1031" i="1"/>
  <c r="Q1031" i="1"/>
  <c r="P1031" i="1"/>
  <c r="N1031" i="1"/>
  <c r="BO1031" i="1"/>
  <c r="BN1031" i="1"/>
  <c r="DG1878" i="1"/>
  <c r="DA1878" i="1"/>
  <c r="T1878" i="1"/>
  <c r="S1878" i="1"/>
  <c r="Q1878" i="1"/>
  <c r="P1878" i="1"/>
  <c r="N1878" i="1"/>
  <c r="BO1878" i="1"/>
  <c r="BN1878" i="1"/>
  <c r="DG1032" i="1"/>
  <c r="DA1032" i="1"/>
  <c r="T1032" i="1"/>
  <c r="S1032" i="1"/>
  <c r="Q1032" i="1"/>
  <c r="P1032" i="1"/>
  <c r="N1032" i="1"/>
  <c r="BO1032" i="1"/>
  <c r="BN1032" i="1"/>
  <c r="DG1901" i="1"/>
  <c r="DA1901" i="1"/>
  <c r="T1901" i="1"/>
  <c r="S1901" i="1"/>
  <c r="Q1901" i="1"/>
  <c r="P1901" i="1"/>
  <c r="N1901" i="1"/>
  <c r="BO1901" i="1"/>
  <c r="BN1901" i="1"/>
  <c r="DG1033" i="1"/>
  <c r="DA1033" i="1"/>
  <c r="T1033" i="1"/>
  <c r="S1033" i="1"/>
  <c r="Q1033" i="1"/>
  <c r="P1033" i="1"/>
  <c r="N1033" i="1"/>
  <c r="BO1033" i="1"/>
  <c r="BN1033" i="1"/>
  <c r="DG1830" i="1"/>
  <c r="DA1830" i="1"/>
  <c r="T1830" i="1"/>
  <c r="S1830" i="1"/>
  <c r="Q1830" i="1"/>
  <c r="P1830" i="1"/>
  <c r="N1830" i="1"/>
  <c r="BO1830" i="1"/>
  <c r="BN1830" i="1"/>
  <c r="DG1034" i="1"/>
  <c r="DA1034" i="1"/>
  <c r="T1034" i="1"/>
  <c r="S1034" i="1"/>
  <c r="Q1034" i="1"/>
  <c r="P1034" i="1"/>
  <c r="N1034" i="1"/>
  <c r="BO1034" i="1"/>
  <c r="BN1034" i="1"/>
  <c r="DG1913" i="1"/>
  <c r="DA1913" i="1"/>
  <c r="T1913" i="1"/>
  <c r="S1913" i="1"/>
  <c r="Q1913" i="1"/>
  <c r="P1913" i="1"/>
  <c r="N1913" i="1"/>
  <c r="BO1913" i="1"/>
  <c r="BN1913" i="1"/>
  <c r="DG1035" i="1"/>
  <c r="DA1035" i="1"/>
  <c r="T1035" i="1"/>
  <c r="S1035" i="1"/>
  <c r="Q1035" i="1"/>
  <c r="P1035" i="1"/>
  <c r="N1035" i="1"/>
  <c r="BO1035" i="1"/>
  <c r="BN1035" i="1"/>
  <c r="DG1917" i="1"/>
  <c r="DA1917" i="1"/>
  <c r="T1917" i="1"/>
  <c r="S1917" i="1"/>
  <c r="Q1917" i="1"/>
  <c r="P1917" i="1"/>
  <c r="N1917" i="1"/>
  <c r="BO1917" i="1"/>
  <c r="BN1917" i="1"/>
  <c r="DG1036" i="1"/>
  <c r="DA1036" i="1"/>
  <c r="T1036" i="1"/>
  <c r="S1036" i="1"/>
  <c r="Q1036" i="1"/>
  <c r="P1036" i="1"/>
  <c r="N1036" i="1"/>
  <c r="BO1036" i="1"/>
  <c r="BN1036" i="1"/>
  <c r="DG1037" i="1"/>
  <c r="DA1037" i="1"/>
  <c r="T1037" i="1"/>
  <c r="S1037" i="1"/>
  <c r="Q1037" i="1"/>
  <c r="P1037" i="1"/>
  <c r="N1037" i="1"/>
  <c r="BO1037" i="1"/>
  <c r="BN1037" i="1"/>
  <c r="DG1860" i="1"/>
  <c r="DA1860" i="1"/>
  <c r="T1860" i="1"/>
  <c r="S1860" i="1"/>
  <c r="Q1860" i="1"/>
  <c r="P1860" i="1"/>
  <c r="N1860" i="1"/>
  <c r="BO1860" i="1"/>
  <c r="BN1860" i="1"/>
  <c r="DG1038" i="1"/>
  <c r="DA1038" i="1"/>
  <c r="T1038" i="1"/>
  <c r="S1038" i="1"/>
  <c r="Q1038" i="1"/>
  <c r="P1038" i="1"/>
  <c r="N1038" i="1"/>
  <c r="BO1038" i="1"/>
  <c r="BN1038" i="1"/>
  <c r="DG1039" i="1"/>
  <c r="DA1039" i="1"/>
  <c r="T1039" i="1"/>
  <c r="S1039" i="1"/>
  <c r="Q1039" i="1"/>
  <c r="P1039" i="1"/>
  <c r="N1039" i="1"/>
  <c r="BO1039" i="1"/>
  <c r="BN1039" i="1"/>
  <c r="DG1904" i="1"/>
  <c r="DA1904" i="1"/>
  <c r="T1904" i="1"/>
  <c r="S1904" i="1"/>
  <c r="Q1904" i="1"/>
  <c r="P1904" i="1"/>
  <c r="N1904" i="1"/>
  <c r="BO1904" i="1"/>
  <c r="BN1904" i="1"/>
  <c r="DG1888" i="1"/>
  <c r="DA1888" i="1"/>
  <c r="T1888" i="1"/>
  <c r="S1888" i="1"/>
  <c r="Q1888" i="1"/>
  <c r="P1888" i="1"/>
  <c r="N1888" i="1"/>
  <c r="BO1888" i="1"/>
  <c r="BN1888" i="1"/>
  <c r="DG1040" i="1"/>
  <c r="DA1040" i="1"/>
  <c r="T1040" i="1"/>
  <c r="S1040" i="1"/>
  <c r="Q1040" i="1"/>
  <c r="P1040" i="1"/>
  <c r="N1040" i="1"/>
  <c r="BO1040" i="1"/>
  <c r="BN1040" i="1"/>
  <c r="DG1807" i="1"/>
  <c r="DA1807" i="1"/>
  <c r="T1807" i="1"/>
  <c r="S1807" i="1"/>
  <c r="Q1807" i="1"/>
  <c r="P1807" i="1"/>
  <c r="N1807" i="1"/>
  <c r="BO1807" i="1"/>
  <c r="BN1807" i="1"/>
  <c r="DG1041" i="1"/>
  <c r="DA1041" i="1"/>
  <c r="T1041" i="1"/>
  <c r="S1041" i="1"/>
  <c r="Q1041" i="1"/>
  <c r="P1041" i="1"/>
  <c r="N1041" i="1"/>
  <c r="BO1041" i="1"/>
  <c r="BN1041" i="1"/>
  <c r="DG1793" i="1"/>
  <c r="DA1793" i="1"/>
  <c r="T1793" i="1"/>
  <c r="S1793" i="1"/>
  <c r="Q1793" i="1"/>
  <c r="P1793" i="1"/>
  <c r="N1793" i="1"/>
  <c r="BO1793" i="1"/>
  <c r="BN1793" i="1"/>
  <c r="DG1042" i="1"/>
  <c r="DA1042" i="1"/>
  <c r="T1042" i="1"/>
  <c r="S1042" i="1"/>
  <c r="Q1042" i="1"/>
  <c r="P1042" i="1"/>
  <c r="N1042" i="1"/>
  <c r="BO1042" i="1"/>
  <c r="BN1042" i="1"/>
  <c r="DG1893" i="1"/>
  <c r="DA1893" i="1"/>
  <c r="T1893" i="1"/>
  <c r="S1893" i="1"/>
  <c r="Q1893" i="1"/>
  <c r="P1893" i="1"/>
  <c r="N1893" i="1"/>
  <c r="BO1893" i="1"/>
  <c r="BN1893" i="1"/>
  <c r="DG1043" i="1"/>
  <c r="DA1043" i="1"/>
  <c r="T1043" i="1"/>
  <c r="S1043" i="1"/>
  <c r="Q1043" i="1"/>
  <c r="P1043" i="1"/>
  <c r="N1043" i="1"/>
  <c r="BO1043" i="1"/>
  <c r="BN1043" i="1"/>
  <c r="DG1885" i="1"/>
  <c r="DA1885" i="1"/>
  <c r="T1885" i="1"/>
  <c r="S1885" i="1"/>
  <c r="Q1885" i="1"/>
  <c r="P1885" i="1"/>
  <c r="N1885" i="1"/>
  <c r="BO1885" i="1"/>
  <c r="BN1885" i="1"/>
  <c r="DG1044" i="1"/>
  <c r="DA1044" i="1"/>
  <c r="T1044" i="1"/>
  <c r="S1044" i="1"/>
  <c r="Q1044" i="1"/>
  <c r="P1044" i="1"/>
  <c r="N1044" i="1"/>
  <c r="BO1044" i="1"/>
  <c r="BN1044" i="1"/>
  <c r="DG1906" i="1"/>
  <c r="DA1906" i="1"/>
  <c r="T1906" i="1"/>
  <c r="S1906" i="1"/>
  <c r="Q1906" i="1"/>
  <c r="P1906" i="1"/>
  <c r="N1906" i="1"/>
  <c r="BO1906" i="1"/>
  <c r="BN1906" i="1"/>
  <c r="DG1045" i="1"/>
  <c r="DA1045" i="1"/>
  <c r="T1045" i="1"/>
  <c r="S1045" i="1"/>
  <c r="Q1045" i="1"/>
  <c r="P1045" i="1"/>
  <c r="N1045" i="1"/>
  <c r="BO1045" i="1"/>
  <c r="BN1045" i="1"/>
  <c r="DG1848" i="1"/>
  <c r="DA1848" i="1"/>
  <c r="T1848" i="1"/>
  <c r="S1848" i="1"/>
  <c r="Q1848" i="1"/>
  <c r="P1848" i="1"/>
  <c r="N1848" i="1"/>
  <c r="BO1848" i="1"/>
  <c r="BN1848" i="1"/>
  <c r="DG1046" i="1"/>
  <c r="DA1046" i="1"/>
  <c r="T1046" i="1"/>
  <c r="S1046" i="1"/>
  <c r="Q1046" i="1"/>
  <c r="P1046" i="1"/>
  <c r="N1046" i="1"/>
  <c r="BO1046" i="1"/>
  <c r="BN1046" i="1"/>
  <c r="DG1850" i="1"/>
  <c r="DA1850" i="1"/>
  <c r="T1850" i="1"/>
  <c r="S1850" i="1"/>
  <c r="Q1850" i="1"/>
  <c r="P1850" i="1"/>
  <c r="N1850" i="1"/>
  <c r="BO1850" i="1"/>
  <c r="BN1850" i="1"/>
  <c r="DG1047" i="1"/>
  <c r="DA1047" i="1"/>
  <c r="T1047" i="1"/>
  <c r="S1047" i="1"/>
  <c r="Q1047" i="1"/>
  <c r="P1047" i="1"/>
  <c r="N1047" i="1"/>
  <c r="BO1047" i="1"/>
  <c r="BN1047" i="1"/>
  <c r="DG1897" i="1"/>
  <c r="DA1897" i="1"/>
  <c r="T1897" i="1"/>
  <c r="S1897" i="1"/>
  <c r="Q1897" i="1"/>
  <c r="P1897" i="1"/>
  <c r="N1897" i="1"/>
  <c r="BO1897" i="1"/>
  <c r="BN1897" i="1"/>
  <c r="DG1048" i="1"/>
  <c r="DA1048" i="1"/>
  <c r="T1048" i="1"/>
  <c r="S1048" i="1"/>
  <c r="Q1048" i="1"/>
  <c r="P1048" i="1"/>
  <c r="N1048" i="1"/>
  <c r="BO1048" i="1"/>
  <c r="BN1048" i="1"/>
  <c r="DG1815" i="1"/>
  <c r="DA1815" i="1"/>
  <c r="T1815" i="1"/>
  <c r="S1815" i="1"/>
  <c r="Q1815" i="1"/>
  <c r="P1815" i="1"/>
  <c r="N1815" i="1"/>
  <c r="BO1815" i="1"/>
  <c r="BN1815" i="1"/>
  <c r="DG1050" i="1"/>
  <c r="DA1050" i="1"/>
  <c r="T1050" i="1"/>
  <c r="S1050" i="1"/>
  <c r="Q1050" i="1"/>
  <c r="P1050" i="1"/>
  <c r="N1050" i="1"/>
  <c r="BO1050" i="1"/>
  <c r="BN1050" i="1"/>
  <c r="DG1877" i="1"/>
  <c r="DA1877" i="1"/>
  <c r="T1877" i="1"/>
  <c r="S1877" i="1"/>
  <c r="Q1877" i="1"/>
  <c r="P1877" i="1"/>
  <c r="N1877" i="1"/>
  <c r="BO1877" i="1"/>
  <c r="BN1877" i="1"/>
  <c r="DG1051" i="1"/>
  <c r="DA1051" i="1"/>
  <c r="T1051" i="1"/>
  <c r="S1051" i="1"/>
  <c r="Q1051" i="1"/>
  <c r="P1051" i="1"/>
  <c r="N1051" i="1"/>
  <c r="BO1051" i="1"/>
  <c r="BN1051" i="1"/>
  <c r="DG1908" i="1"/>
  <c r="DA1908" i="1"/>
  <c r="T1908" i="1"/>
  <c r="S1908" i="1"/>
  <c r="Q1908" i="1"/>
  <c r="P1908" i="1"/>
  <c r="N1908" i="1"/>
  <c r="BO1908" i="1"/>
  <c r="BN1908" i="1"/>
  <c r="DG1052" i="1"/>
  <c r="DA1052" i="1"/>
  <c r="T1052" i="1"/>
  <c r="S1052" i="1"/>
  <c r="Q1052" i="1"/>
  <c r="P1052" i="1"/>
  <c r="N1052" i="1"/>
  <c r="BO1052" i="1"/>
  <c r="BN1052" i="1"/>
  <c r="DG1834" i="1"/>
  <c r="DA1834" i="1"/>
  <c r="T1834" i="1"/>
  <c r="S1834" i="1"/>
  <c r="Q1834" i="1"/>
  <c r="P1834" i="1"/>
  <c r="N1834" i="1"/>
  <c r="BO1834" i="1"/>
  <c r="BN1834" i="1"/>
  <c r="DG1053" i="1"/>
  <c r="DA1053" i="1"/>
  <c r="T1053" i="1"/>
  <c r="S1053" i="1"/>
  <c r="Q1053" i="1"/>
  <c r="P1053" i="1"/>
  <c r="N1053" i="1"/>
  <c r="BO1053" i="1"/>
  <c r="BN1053" i="1"/>
  <c r="DG1891" i="1"/>
  <c r="DA1891" i="1"/>
  <c r="T1891" i="1"/>
  <c r="S1891" i="1"/>
  <c r="Q1891" i="1"/>
  <c r="P1891" i="1"/>
  <c r="N1891" i="1"/>
  <c r="BO1891" i="1"/>
  <c r="BN1891" i="1"/>
  <c r="DG1054" i="1"/>
  <c r="DA1054" i="1"/>
  <c r="T1054" i="1"/>
  <c r="S1054" i="1"/>
  <c r="Q1054" i="1"/>
  <c r="P1054" i="1"/>
  <c r="N1054" i="1"/>
  <c r="BO1054" i="1"/>
  <c r="BN1054" i="1"/>
  <c r="DG1846" i="1"/>
  <c r="DA1846" i="1"/>
  <c r="T1846" i="1"/>
  <c r="S1846" i="1"/>
  <c r="Q1846" i="1"/>
  <c r="P1846" i="1"/>
  <c r="N1846" i="1"/>
  <c r="BO1846" i="1"/>
  <c r="BN1846" i="1"/>
  <c r="DG1899" i="1"/>
  <c r="DA1899" i="1"/>
  <c r="T1899" i="1"/>
  <c r="S1899" i="1"/>
  <c r="Q1899" i="1"/>
  <c r="P1899" i="1"/>
  <c r="N1899" i="1"/>
  <c r="BO1899" i="1"/>
  <c r="BN1899" i="1"/>
  <c r="DG1056" i="1"/>
  <c r="DA1056" i="1"/>
  <c r="T1056" i="1"/>
  <c r="S1056" i="1"/>
  <c r="Q1056" i="1"/>
  <c r="P1056" i="1"/>
  <c r="N1056" i="1"/>
  <c r="BO1056" i="1"/>
  <c r="BN1056" i="1"/>
  <c r="DG1057" i="1"/>
  <c r="DA1057" i="1"/>
  <c r="T1057" i="1"/>
  <c r="S1057" i="1"/>
  <c r="Q1057" i="1"/>
  <c r="P1057" i="1"/>
  <c r="N1057" i="1"/>
  <c r="BO1057" i="1"/>
  <c r="BN1057" i="1"/>
  <c r="DG1827" i="1"/>
  <c r="DA1827" i="1"/>
  <c r="T1827" i="1"/>
  <c r="S1827" i="1"/>
  <c r="Q1827" i="1"/>
  <c r="P1827" i="1"/>
  <c r="N1827" i="1"/>
  <c r="BO1827" i="1"/>
  <c r="BN1827" i="1"/>
  <c r="DG1058" i="1"/>
  <c r="DA1058" i="1"/>
  <c r="T1058" i="1"/>
  <c r="S1058" i="1"/>
  <c r="Q1058" i="1"/>
  <c r="P1058" i="1"/>
  <c r="N1058" i="1"/>
  <c r="BO1058" i="1"/>
  <c r="BN1058" i="1"/>
  <c r="DG1861" i="1"/>
  <c r="DA1861" i="1"/>
  <c r="T1861" i="1"/>
  <c r="S1861" i="1"/>
  <c r="Q1861" i="1"/>
  <c r="P1861" i="1"/>
  <c r="N1861" i="1"/>
  <c r="BO1861" i="1"/>
  <c r="BN1861" i="1"/>
  <c r="DG1059" i="1"/>
  <c r="DA1059" i="1"/>
  <c r="T1059" i="1"/>
  <c r="S1059" i="1"/>
  <c r="Q1059" i="1"/>
  <c r="P1059" i="1"/>
  <c r="N1059" i="1"/>
  <c r="BO1059" i="1"/>
  <c r="BN1059" i="1"/>
  <c r="DG1792" i="1"/>
  <c r="DA1792" i="1"/>
  <c r="T1792" i="1"/>
  <c r="S1792" i="1"/>
  <c r="Q1792" i="1"/>
  <c r="P1792" i="1"/>
  <c r="N1792" i="1"/>
  <c r="BO1792" i="1"/>
  <c r="BN1792" i="1"/>
  <c r="DG1060" i="1"/>
  <c r="DA1060" i="1"/>
  <c r="T1060" i="1"/>
  <c r="S1060" i="1"/>
  <c r="Q1060" i="1"/>
  <c r="P1060" i="1"/>
  <c r="N1060" i="1"/>
  <c r="BO1060" i="1"/>
  <c r="BN1060" i="1"/>
  <c r="DG1061" i="1"/>
  <c r="DA1061" i="1"/>
  <c r="T1061" i="1"/>
  <c r="S1061" i="1"/>
  <c r="Q1061" i="1"/>
  <c r="P1061" i="1"/>
  <c r="N1061" i="1"/>
  <c r="BO1061" i="1"/>
  <c r="BN1061" i="1"/>
  <c r="DG1800" i="1"/>
  <c r="DA1800" i="1"/>
  <c r="T1800" i="1"/>
  <c r="S1800" i="1"/>
  <c r="Q1800" i="1"/>
  <c r="P1800" i="1"/>
  <c r="N1800" i="1"/>
  <c r="BO1800" i="1"/>
  <c r="BN1800" i="1"/>
  <c r="DG1063" i="1"/>
  <c r="DA1063" i="1"/>
  <c r="T1063" i="1"/>
  <c r="S1063" i="1"/>
  <c r="Q1063" i="1"/>
  <c r="P1063" i="1"/>
  <c r="N1063" i="1"/>
  <c r="BO1063" i="1"/>
  <c r="BN1063" i="1"/>
  <c r="DG1912" i="1"/>
  <c r="DA1912" i="1"/>
  <c r="T1912" i="1"/>
  <c r="S1912" i="1"/>
  <c r="Q1912" i="1"/>
  <c r="P1912" i="1"/>
  <c r="N1912" i="1"/>
  <c r="BO1912" i="1"/>
  <c r="BN1912" i="1"/>
  <c r="DG1168" i="1"/>
  <c r="DA1168" i="1"/>
  <c r="T1168" i="1"/>
  <c r="S1168" i="1"/>
  <c r="Q1168" i="1"/>
  <c r="P1168" i="1"/>
  <c r="N1168" i="1"/>
  <c r="BO1168" i="1"/>
  <c r="BN1168" i="1"/>
  <c r="DG1198" i="1"/>
  <c r="DA1198" i="1"/>
  <c r="T1198" i="1"/>
  <c r="S1198" i="1"/>
  <c r="Q1198" i="1"/>
  <c r="P1198" i="1"/>
  <c r="N1198" i="1"/>
  <c r="BO1198" i="1"/>
  <c r="BN1198" i="1"/>
  <c r="DG1248" i="1"/>
  <c r="DA1248" i="1"/>
  <c r="T1248" i="1"/>
  <c r="S1248" i="1"/>
  <c r="Q1248" i="1"/>
  <c r="P1248" i="1"/>
  <c r="N1248" i="1"/>
  <c r="BO1248" i="1"/>
  <c r="BN1248" i="1"/>
  <c r="DG1796" i="1"/>
  <c r="DA1796" i="1"/>
  <c r="T1796" i="1"/>
  <c r="S1796" i="1"/>
  <c r="Q1796" i="1"/>
  <c r="P1796" i="1"/>
  <c r="N1796" i="1"/>
  <c r="BO1796" i="1"/>
  <c r="BN1796" i="1"/>
  <c r="DG1073" i="1"/>
  <c r="DA1073" i="1"/>
  <c r="T1073" i="1"/>
  <c r="S1073" i="1"/>
  <c r="Q1073" i="1"/>
  <c r="P1073" i="1"/>
  <c r="N1073" i="1"/>
  <c r="BO1073" i="1"/>
  <c r="BN1073" i="1"/>
  <c r="DG1787" i="1"/>
  <c r="DA1787" i="1"/>
  <c r="T1787" i="1"/>
  <c r="S1787" i="1"/>
  <c r="Q1787" i="1"/>
  <c r="P1787" i="1"/>
  <c r="N1787" i="1"/>
  <c r="BO1787" i="1"/>
  <c r="BN1787" i="1"/>
  <c r="DG1082" i="1"/>
  <c r="DA1082" i="1"/>
  <c r="T1082" i="1"/>
  <c r="S1082" i="1"/>
  <c r="Q1082" i="1"/>
  <c r="P1082" i="1"/>
  <c r="N1082" i="1"/>
  <c r="BO1082" i="1"/>
  <c r="BN1082" i="1"/>
  <c r="DG1789" i="1"/>
  <c r="DA1789" i="1"/>
  <c r="T1789" i="1"/>
  <c r="S1789" i="1"/>
  <c r="Q1789" i="1"/>
  <c r="P1789" i="1"/>
  <c r="N1789" i="1"/>
  <c r="BO1789" i="1"/>
  <c r="BN1789" i="1"/>
  <c r="DG1085" i="1"/>
  <c r="DA1085" i="1"/>
  <c r="T1085" i="1"/>
  <c r="S1085" i="1"/>
  <c r="Q1085" i="1"/>
  <c r="P1085" i="1"/>
  <c r="N1085" i="1"/>
  <c r="BO1085" i="1"/>
  <c r="BN1085" i="1"/>
  <c r="DG1791" i="1"/>
  <c r="DA1791" i="1"/>
  <c r="T1791" i="1"/>
  <c r="S1791" i="1"/>
  <c r="Q1791" i="1"/>
  <c r="P1791" i="1"/>
  <c r="N1791" i="1"/>
  <c r="BO1791" i="1"/>
  <c r="BN1791" i="1"/>
  <c r="DG1087" i="1"/>
  <c r="DA1087" i="1"/>
  <c r="T1087" i="1"/>
  <c r="S1087" i="1"/>
  <c r="Q1087" i="1"/>
  <c r="P1087" i="1"/>
  <c r="N1087" i="1"/>
  <c r="BO1087" i="1"/>
  <c r="BN1087" i="1"/>
  <c r="DG1826" i="1"/>
  <c r="DA1826" i="1"/>
  <c r="T1826" i="1"/>
  <c r="S1826" i="1"/>
  <c r="Q1826" i="1"/>
  <c r="P1826" i="1"/>
  <c r="N1826" i="1"/>
  <c r="BO1826" i="1"/>
  <c r="BN1826" i="1"/>
  <c r="DG1088" i="1"/>
  <c r="DA1088" i="1"/>
  <c r="T1088" i="1"/>
  <c r="S1088" i="1"/>
  <c r="Q1088" i="1"/>
  <c r="P1088" i="1"/>
  <c r="N1088" i="1"/>
  <c r="BO1088" i="1"/>
  <c r="BN1088" i="1"/>
  <c r="DG1876" i="1"/>
  <c r="DA1876" i="1"/>
  <c r="T1876" i="1"/>
  <c r="S1876" i="1"/>
  <c r="Q1876" i="1"/>
  <c r="P1876" i="1"/>
  <c r="N1876" i="1"/>
  <c r="BO1876" i="1"/>
  <c r="BN1876" i="1"/>
  <c r="DG1094" i="1"/>
  <c r="DA1094" i="1"/>
  <c r="T1094" i="1"/>
  <c r="S1094" i="1"/>
  <c r="Q1094" i="1"/>
  <c r="P1094" i="1"/>
  <c r="N1094" i="1"/>
  <c r="BO1094" i="1"/>
  <c r="BN1094" i="1"/>
  <c r="DG1823" i="1"/>
  <c r="DA1823" i="1"/>
  <c r="T1823" i="1"/>
  <c r="S1823" i="1"/>
  <c r="Q1823" i="1"/>
  <c r="P1823" i="1"/>
  <c r="N1823" i="1"/>
  <c r="BO1823" i="1"/>
  <c r="BN1823" i="1"/>
  <c r="DG1095" i="1"/>
  <c r="DA1095" i="1"/>
  <c r="T1095" i="1"/>
  <c r="S1095" i="1"/>
  <c r="Q1095" i="1"/>
  <c r="P1095" i="1"/>
  <c r="N1095" i="1"/>
  <c r="BO1095" i="1"/>
  <c r="BN1095" i="1"/>
  <c r="DG1096" i="1"/>
  <c r="DA1096" i="1"/>
  <c r="T1096" i="1"/>
  <c r="S1096" i="1"/>
  <c r="Q1096" i="1"/>
  <c r="P1096" i="1"/>
  <c r="N1096" i="1"/>
  <c r="BO1096" i="1"/>
  <c r="BN1096" i="1"/>
  <c r="DG1884" i="1"/>
  <c r="DA1884" i="1"/>
  <c r="T1884" i="1"/>
  <c r="S1884" i="1"/>
  <c r="Q1884" i="1"/>
  <c r="P1884" i="1"/>
  <c r="N1884" i="1"/>
  <c r="BO1884" i="1"/>
  <c r="BN1884" i="1"/>
  <c r="DG1009" i="1"/>
  <c r="DA1009" i="1"/>
  <c r="T1009" i="1"/>
  <c r="S1009" i="1"/>
  <c r="Q1009" i="1"/>
  <c r="P1009" i="1"/>
  <c r="N1009" i="1"/>
  <c r="BO1009" i="1"/>
  <c r="BN1009" i="1"/>
  <c r="DG2282" i="1"/>
  <c r="DA2282" i="1"/>
  <c r="T2282" i="1"/>
  <c r="S2282" i="1"/>
  <c r="Q2282" i="1"/>
  <c r="P2282" i="1"/>
  <c r="N2282" i="1"/>
  <c r="BO2282" i="1"/>
  <c r="BN2282" i="1"/>
  <c r="DG2894" i="1"/>
  <c r="DA2894" i="1"/>
  <c r="T2894" i="1"/>
  <c r="S2894" i="1"/>
  <c r="Q2894" i="1"/>
  <c r="P2894" i="1"/>
  <c r="N2894" i="1"/>
  <c r="BO2894" i="1"/>
  <c r="BN2894" i="1"/>
  <c r="DG3003" i="1"/>
  <c r="DA3003" i="1"/>
  <c r="T3003" i="1"/>
  <c r="S3003" i="1"/>
  <c r="Q3003" i="1"/>
  <c r="P3003" i="1"/>
  <c r="N3003" i="1"/>
  <c r="BO3003" i="1"/>
  <c r="BN3003" i="1"/>
  <c r="DG2813" i="1"/>
  <c r="DA2813" i="1"/>
  <c r="T2813" i="1"/>
  <c r="S2813" i="1"/>
  <c r="Q2813" i="1"/>
  <c r="P2813" i="1"/>
  <c r="N2813" i="1"/>
  <c r="BO2813" i="1"/>
  <c r="BN2813" i="1"/>
  <c r="DG2713" i="1"/>
  <c r="DA2713" i="1"/>
  <c r="T2713" i="1"/>
  <c r="S2713" i="1"/>
  <c r="Q2713" i="1"/>
  <c r="P2713" i="1"/>
  <c r="N2713" i="1"/>
  <c r="BO2713" i="1"/>
  <c r="BN2713" i="1"/>
  <c r="DG2280" i="1"/>
  <c r="DA2280" i="1"/>
  <c r="T2280" i="1"/>
  <c r="S2280" i="1"/>
  <c r="Q2280" i="1"/>
  <c r="P2280" i="1"/>
  <c r="N2280" i="1"/>
  <c r="BO2280" i="1"/>
  <c r="BN2280" i="1"/>
  <c r="DG2279" i="1"/>
  <c r="DA2279" i="1"/>
  <c r="T2279" i="1"/>
  <c r="S2279" i="1"/>
  <c r="Q2279" i="1"/>
  <c r="P2279" i="1"/>
  <c r="N2279" i="1"/>
  <c r="BO2279" i="1"/>
  <c r="BN2279" i="1"/>
  <c r="DG2250" i="1"/>
  <c r="DA2250" i="1"/>
  <c r="T2250" i="1"/>
  <c r="S2250" i="1"/>
  <c r="Q2250" i="1"/>
  <c r="P2250" i="1"/>
  <c r="N2250" i="1"/>
  <c r="BO2250" i="1"/>
  <c r="BN2250" i="1"/>
  <c r="DG2712" i="1"/>
  <c r="DA2712" i="1"/>
  <c r="T2712" i="1"/>
  <c r="S2712" i="1"/>
  <c r="Q2712" i="1"/>
  <c r="P2712" i="1"/>
  <c r="N2712" i="1"/>
  <c r="BO2712" i="1"/>
  <c r="BN2712" i="1"/>
  <c r="DG2278" i="1"/>
  <c r="DA2278" i="1"/>
  <c r="T2278" i="1"/>
  <c r="S2278" i="1"/>
  <c r="Q2278" i="1"/>
  <c r="P2278" i="1"/>
  <c r="N2278" i="1"/>
  <c r="BO2278" i="1"/>
  <c r="BN2278" i="1"/>
  <c r="DG3004" i="1"/>
  <c r="DA3004" i="1"/>
  <c r="T3004" i="1"/>
  <c r="S3004" i="1"/>
  <c r="Q3004" i="1"/>
  <c r="P3004" i="1"/>
  <c r="N3004" i="1"/>
  <c r="BO3004" i="1"/>
  <c r="BN3004" i="1"/>
  <c r="DG2711" i="1"/>
  <c r="DA2711" i="1"/>
  <c r="T2711" i="1"/>
  <c r="S2711" i="1"/>
  <c r="Q2711" i="1"/>
  <c r="P2711" i="1"/>
  <c r="N2711" i="1"/>
  <c r="BO2711" i="1"/>
  <c r="BN2711" i="1"/>
  <c r="DG2276" i="1"/>
  <c r="DA2276" i="1"/>
  <c r="T2276" i="1"/>
  <c r="S2276" i="1"/>
  <c r="Q2276" i="1"/>
  <c r="P2276" i="1"/>
  <c r="N2276" i="1"/>
  <c r="BO2276" i="1"/>
  <c r="BN2276" i="1"/>
  <c r="DG2275" i="1"/>
  <c r="DA2275" i="1"/>
  <c r="T2275" i="1"/>
  <c r="S2275" i="1"/>
  <c r="Q2275" i="1"/>
  <c r="P2275" i="1"/>
  <c r="N2275" i="1"/>
  <c r="BO2275" i="1"/>
  <c r="BN2275" i="1"/>
  <c r="DG2898" i="1"/>
  <c r="DA2898" i="1"/>
  <c r="T2898" i="1"/>
  <c r="S2898" i="1"/>
  <c r="Q2898" i="1"/>
  <c r="P2898" i="1"/>
  <c r="N2898" i="1"/>
  <c r="BO2898" i="1"/>
  <c r="BN2898" i="1"/>
  <c r="DG2710" i="1"/>
  <c r="DA2710" i="1"/>
  <c r="T2710" i="1"/>
  <c r="S2710" i="1"/>
  <c r="Q2710" i="1"/>
  <c r="P2710" i="1"/>
  <c r="N2710" i="1"/>
  <c r="BO2710" i="1"/>
  <c r="BN2710" i="1"/>
  <c r="DG2274" i="1"/>
  <c r="DA2274" i="1"/>
  <c r="T2274" i="1"/>
  <c r="S2274" i="1"/>
  <c r="Q2274" i="1"/>
  <c r="P2274" i="1"/>
  <c r="N2274" i="1"/>
  <c r="BO2274" i="1"/>
  <c r="BN2274" i="1"/>
  <c r="DG2895" i="1"/>
  <c r="DA2895" i="1"/>
  <c r="T2895" i="1"/>
  <c r="S2895" i="1"/>
  <c r="Q2895" i="1"/>
  <c r="P2895" i="1"/>
  <c r="N2895" i="1"/>
  <c r="BO2895" i="1"/>
  <c r="BN2895" i="1"/>
  <c r="DG3005" i="1"/>
  <c r="DA3005" i="1"/>
  <c r="T3005" i="1"/>
  <c r="S3005" i="1"/>
  <c r="Q3005" i="1"/>
  <c r="P3005" i="1"/>
  <c r="N3005" i="1"/>
  <c r="BO3005" i="1"/>
  <c r="BN3005" i="1"/>
  <c r="DG2273" i="1"/>
  <c r="DA2273" i="1"/>
  <c r="T2273" i="1"/>
  <c r="S2273" i="1"/>
  <c r="Q2273" i="1"/>
  <c r="P2273" i="1"/>
  <c r="N2273" i="1"/>
  <c r="BO2273" i="1"/>
  <c r="BN2273" i="1"/>
  <c r="DG2709" i="1"/>
  <c r="DA2709" i="1"/>
  <c r="T2709" i="1"/>
  <c r="S2709" i="1"/>
  <c r="Q2709" i="1"/>
  <c r="P2709" i="1"/>
  <c r="N2709" i="1"/>
  <c r="BO2709" i="1"/>
  <c r="BN2709" i="1"/>
  <c r="DG2272" i="1"/>
  <c r="DA2272" i="1"/>
  <c r="T2272" i="1"/>
  <c r="S2272" i="1"/>
  <c r="Q2272" i="1"/>
  <c r="P2272" i="1"/>
  <c r="N2272" i="1"/>
  <c r="BO2272" i="1"/>
  <c r="BN2272" i="1"/>
  <c r="DG2271" i="1"/>
  <c r="DA2271" i="1"/>
  <c r="T2271" i="1"/>
  <c r="S2271" i="1"/>
  <c r="Q2271" i="1"/>
  <c r="P2271" i="1"/>
  <c r="N2271" i="1"/>
  <c r="BO2271" i="1"/>
  <c r="BN2271" i="1"/>
  <c r="DG2708" i="1"/>
  <c r="DA2708" i="1"/>
  <c r="T2708" i="1"/>
  <c r="S2708" i="1"/>
  <c r="Q2708" i="1"/>
  <c r="P2708" i="1"/>
  <c r="N2708" i="1"/>
  <c r="BO2708" i="1"/>
  <c r="BN2708" i="1"/>
  <c r="DG2270" i="1"/>
  <c r="DA2270" i="1"/>
  <c r="T2270" i="1"/>
  <c r="S2270" i="1"/>
  <c r="Q2270" i="1"/>
  <c r="P2270" i="1"/>
  <c r="N2270" i="1"/>
  <c r="BO2270" i="1"/>
  <c r="BN2270" i="1"/>
  <c r="DG3006" i="1"/>
  <c r="DA3006" i="1"/>
  <c r="T3006" i="1"/>
  <c r="S3006" i="1"/>
  <c r="Q3006" i="1"/>
  <c r="P3006" i="1"/>
  <c r="N3006" i="1"/>
  <c r="BO3006" i="1"/>
  <c r="BN3006" i="1"/>
  <c r="DG2707" i="1"/>
  <c r="DA2707" i="1"/>
  <c r="T2707" i="1"/>
  <c r="S2707" i="1"/>
  <c r="Q2707" i="1"/>
  <c r="P2707" i="1"/>
  <c r="N2707" i="1"/>
  <c r="BO2707" i="1"/>
  <c r="BN2707" i="1"/>
  <c r="DG2268" i="1"/>
  <c r="DA2268" i="1"/>
  <c r="T2268" i="1"/>
  <c r="S2268" i="1"/>
  <c r="Q2268" i="1"/>
  <c r="P2268" i="1"/>
  <c r="N2268" i="1"/>
  <c r="BO2268" i="1"/>
  <c r="BN2268" i="1"/>
  <c r="DG2267" i="1"/>
  <c r="DA2267" i="1"/>
  <c r="T2267" i="1"/>
  <c r="S2267" i="1"/>
  <c r="Q2267" i="1"/>
  <c r="P2267" i="1"/>
  <c r="N2267" i="1"/>
  <c r="BO2267" i="1"/>
  <c r="BN2267" i="1"/>
  <c r="DG2841" i="1"/>
  <c r="DA2841" i="1"/>
  <c r="T2841" i="1"/>
  <c r="S2841" i="1"/>
  <c r="Q2841" i="1"/>
  <c r="P2841" i="1"/>
  <c r="N2841" i="1"/>
  <c r="BO2841" i="1"/>
  <c r="BN2841" i="1"/>
  <c r="DG2706" i="1"/>
  <c r="DA2706" i="1"/>
  <c r="T2706" i="1"/>
  <c r="S2706" i="1"/>
  <c r="Q2706" i="1"/>
  <c r="P2706" i="1"/>
  <c r="N2706" i="1"/>
  <c r="BO2706" i="1"/>
  <c r="BN2706" i="1"/>
  <c r="DG2266" i="1"/>
  <c r="DA2266" i="1"/>
  <c r="T2266" i="1"/>
  <c r="S2266" i="1"/>
  <c r="Q2266" i="1"/>
  <c r="P2266" i="1"/>
  <c r="N2266" i="1"/>
  <c r="BO2266" i="1"/>
  <c r="BN2266" i="1"/>
  <c r="DG2896" i="1"/>
  <c r="DA2896" i="1"/>
  <c r="T2896" i="1"/>
  <c r="S2896" i="1"/>
  <c r="Q2896" i="1"/>
  <c r="P2896" i="1"/>
  <c r="N2896" i="1"/>
  <c r="BO2896" i="1"/>
  <c r="BN2896" i="1"/>
  <c r="DG2265" i="1"/>
  <c r="DA2265" i="1"/>
  <c r="T2265" i="1"/>
  <c r="S2265" i="1"/>
  <c r="Q2265" i="1"/>
  <c r="P2265" i="1"/>
  <c r="N2265" i="1"/>
  <c r="BO2265" i="1"/>
  <c r="BN2265" i="1"/>
  <c r="DG2705" i="1"/>
  <c r="DA2705" i="1"/>
  <c r="T2705" i="1"/>
  <c r="S2705" i="1"/>
  <c r="Q2705" i="1"/>
  <c r="P2705" i="1"/>
  <c r="N2705" i="1"/>
  <c r="BO2705" i="1"/>
  <c r="BN2705" i="1"/>
  <c r="DG2264" i="1"/>
  <c r="DA2264" i="1"/>
  <c r="T2264" i="1"/>
  <c r="S2264" i="1"/>
  <c r="Q2264" i="1"/>
  <c r="P2264" i="1"/>
  <c r="N2264" i="1"/>
  <c r="BO2264" i="1"/>
  <c r="BN2264" i="1"/>
  <c r="DG2263" i="1"/>
  <c r="DA2263" i="1"/>
  <c r="T2263" i="1"/>
  <c r="S2263" i="1"/>
  <c r="Q2263" i="1"/>
  <c r="P2263" i="1"/>
  <c r="N2263" i="1"/>
  <c r="BO2263" i="1"/>
  <c r="BN2263" i="1"/>
  <c r="DG2704" i="1"/>
  <c r="DA2704" i="1"/>
  <c r="T2704" i="1"/>
  <c r="S2704" i="1"/>
  <c r="Q2704" i="1"/>
  <c r="P2704" i="1"/>
  <c r="N2704" i="1"/>
  <c r="BO2704" i="1"/>
  <c r="BN2704" i="1"/>
  <c r="DG2262" i="1"/>
  <c r="DA2262" i="1"/>
  <c r="T2262" i="1"/>
  <c r="S2262" i="1"/>
  <c r="Q2262" i="1"/>
  <c r="P2262" i="1"/>
  <c r="N2262" i="1"/>
  <c r="BO2262" i="1"/>
  <c r="BN2262" i="1"/>
  <c r="DG3008" i="1"/>
  <c r="DA3008" i="1"/>
  <c r="T3008" i="1"/>
  <c r="S3008" i="1"/>
  <c r="Q3008" i="1"/>
  <c r="P3008" i="1"/>
  <c r="N3008" i="1"/>
  <c r="BO3008" i="1"/>
  <c r="BN3008" i="1"/>
  <c r="DG2703" i="1"/>
  <c r="DA2703" i="1"/>
  <c r="T2703" i="1"/>
  <c r="S2703" i="1"/>
  <c r="Q2703" i="1"/>
  <c r="P2703" i="1"/>
  <c r="N2703" i="1"/>
  <c r="BO2703" i="1"/>
  <c r="BN2703" i="1"/>
  <c r="DG2260" i="1"/>
  <c r="DA2260" i="1"/>
  <c r="T2260" i="1"/>
  <c r="S2260" i="1"/>
  <c r="Q2260" i="1"/>
  <c r="P2260" i="1"/>
  <c r="N2260" i="1"/>
  <c r="BO2260" i="1"/>
  <c r="BN2260" i="1"/>
  <c r="DG2259" i="1"/>
  <c r="DA2259" i="1"/>
  <c r="T2259" i="1"/>
  <c r="S2259" i="1"/>
  <c r="Q2259" i="1"/>
  <c r="P2259" i="1"/>
  <c r="N2259" i="1"/>
  <c r="BO2259" i="1"/>
  <c r="BN2259" i="1"/>
  <c r="DG2897" i="1"/>
  <c r="DA2897" i="1"/>
  <c r="T2897" i="1"/>
  <c r="S2897" i="1"/>
  <c r="Q2897" i="1"/>
  <c r="P2897" i="1"/>
  <c r="N2897" i="1"/>
  <c r="BO2897" i="1"/>
  <c r="BN2897" i="1"/>
  <c r="DG2258" i="1"/>
  <c r="DA2258" i="1"/>
  <c r="T2258" i="1"/>
  <c r="S2258" i="1"/>
  <c r="Q2258" i="1"/>
  <c r="P2258" i="1"/>
  <c r="N2258" i="1"/>
  <c r="BO2258" i="1"/>
  <c r="BN2258" i="1"/>
  <c r="DG3009" i="1"/>
  <c r="DA3009" i="1"/>
  <c r="T3009" i="1"/>
  <c r="S3009" i="1"/>
  <c r="Q3009" i="1"/>
  <c r="P3009" i="1"/>
  <c r="N3009" i="1"/>
  <c r="BO3009" i="1"/>
  <c r="BN3009" i="1"/>
  <c r="DG2702" i="1"/>
  <c r="DA2702" i="1"/>
  <c r="T2702" i="1"/>
  <c r="S2702" i="1"/>
  <c r="Q2702" i="1"/>
  <c r="P2702" i="1"/>
  <c r="N2702" i="1"/>
  <c r="BO2702" i="1"/>
  <c r="BN2702" i="1"/>
  <c r="DG2257" i="1"/>
  <c r="DA2257" i="1"/>
  <c r="T2257" i="1"/>
  <c r="S2257" i="1"/>
  <c r="Q2257" i="1"/>
  <c r="P2257" i="1"/>
  <c r="N2257" i="1"/>
  <c r="BO2257" i="1"/>
  <c r="BN2257" i="1"/>
  <c r="DG2256" i="1"/>
  <c r="DA2256" i="1"/>
  <c r="T2256" i="1"/>
  <c r="S2256" i="1"/>
  <c r="Q2256" i="1"/>
  <c r="P2256" i="1"/>
  <c r="N2256" i="1"/>
  <c r="BO2256" i="1"/>
  <c r="BN2256" i="1"/>
  <c r="DG2701" i="1"/>
  <c r="DA2701" i="1"/>
  <c r="T2701" i="1"/>
  <c r="S2701" i="1"/>
  <c r="Q2701" i="1"/>
  <c r="P2701" i="1"/>
  <c r="N2701" i="1"/>
  <c r="BO2701" i="1"/>
  <c r="BN2701" i="1"/>
  <c r="DG2255" i="1"/>
  <c r="DA2255" i="1"/>
  <c r="T2255" i="1"/>
  <c r="S2255" i="1"/>
  <c r="Q2255" i="1"/>
  <c r="P2255" i="1"/>
  <c r="N2255" i="1"/>
  <c r="BO2255" i="1"/>
  <c r="BN2255" i="1"/>
  <c r="DG2700" i="1"/>
  <c r="DA2700" i="1"/>
  <c r="T2700" i="1"/>
  <c r="S2700" i="1"/>
  <c r="Q2700" i="1"/>
  <c r="P2700" i="1"/>
  <c r="N2700" i="1"/>
  <c r="BO2700" i="1"/>
  <c r="BN2700" i="1"/>
  <c r="DG2254" i="1"/>
  <c r="DA2254" i="1"/>
  <c r="T2254" i="1"/>
  <c r="S2254" i="1"/>
  <c r="Q2254" i="1"/>
  <c r="P2254" i="1"/>
  <c r="N2254" i="1"/>
  <c r="BO2254" i="1"/>
  <c r="BN2254" i="1"/>
  <c r="DG3010" i="1"/>
  <c r="DA3010" i="1"/>
  <c r="T3010" i="1"/>
  <c r="S3010" i="1"/>
  <c r="Q3010" i="1"/>
  <c r="P3010" i="1"/>
  <c r="N3010" i="1"/>
  <c r="BO3010" i="1"/>
  <c r="BN3010" i="1"/>
  <c r="DG2253" i="1"/>
  <c r="DA2253" i="1"/>
  <c r="T2253" i="1"/>
  <c r="S2253" i="1"/>
  <c r="Q2253" i="1"/>
  <c r="P2253" i="1"/>
  <c r="N2253" i="1"/>
  <c r="BO2253" i="1"/>
  <c r="BN2253" i="1"/>
  <c r="DG2252" i="1"/>
  <c r="DA2252" i="1"/>
  <c r="T2252" i="1"/>
  <c r="S2252" i="1"/>
  <c r="Q2252" i="1"/>
  <c r="P2252" i="1"/>
  <c r="N2252" i="1"/>
  <c r="BO2252" i="1"/>
  <c r="BN2252" i="1"/>
  <c r="DG2251" i="1"/>
  <c r="DA2251" i="1"/>
  <c r="T2251" i="1"/>
  <c r="S2251" i="1"/>
  <c r="Q2251" i="1"/>
  <c r="P2251" i="1"/>
  <c r="N2251" i="1"/>
  <c r="BO2251" i="1"/>
  <c r="BN2251" i="1"/>
  <c r="DG2184" i="1"/>
  <c r="DA2184" i="1"/>
  <c r="T2184" i="1"/>
  <c r="S2184" i="1"/>
  <c r="Q2184" i="1"/>
  <c r="P2184" i="1"/>
  <c r="N2184" i="1"/>
  <c r="BO2184" i="1"/>
  <c r="BN2184" i="1"/>
  <c r="DG3147" i="1"/>
  <c r="DA3147" i="1"/>
  <c r="T3147" i="1"/>
  <c r="S3147" i="1"/>
  <c r="Q3147" i="1"/>
  <c r="P3147" i="1"/>
  <c r="N3147" i="1"/>
  <c r="BO3147" i="1"/>
  <c r="BN3147" i="1"/>
  <c r="DG2697" i="1"/>
  <c r="DA2697" i="1"/>
  <c r="T2697" i="1"/>
  <c r="S2697" i="1"/>
  <c r="Q2697" i="1"/>
  <c r="P2697" i="1"/>
  <c r="N2697" i="1"/>
  <c r="BO2697" i="1"/>
  <c r="BN2697" i="1"/>
  <c r="DG2696" i="1"/>
  <c r="DA2696" i="1"/>
  <c r="T2696" i="1"/>
  <c r="S2696" i="1"/>
  <c r="Q2696" i="1"/>
  <c r="P2696" i="1"/>
  <c r="N2696" i="1"/>
  <c r="BO2696" i="1"/>
  <c r="BN2696" i="1"/>
  <c r="DG2494" i="1"/>
  <c r="DA2494" i="1"/>
  <c r="T2494" i="1"/>
  <c r="S2494" i="1"/>
  <c r="Q2494" i="1"/>
  <c r="P2494" i="1"/>
  <c r="N2494" i="1"/>
  <c r="BO2494" i="1"/>
  <c r="BN2494" i="1"/>
  <c r="DG3012" i="1"/>
  <c r="DA3012" i="1"/>
  <c r="T3012" i="1"/>
  <c r="S3012" i="1"/>
  <c r="Q3012" i="1"/>
  <c r="P3012" i="1"/>
  <c r="N3012" i="1"/>
  <c r="BO3012" i="1"/>
  <c r="BN3012" i="1"/>
  <c r="DG2437" i="1"/>
  <c r="DA2437" i="1"/>
  <c r="T2437" i="1"/>
  <c r="S2437" i="1"/>
  <c r="Q2437" i="1"/>
  <c r="P2437" i="1"/>
  <c r="N2437" i="1"/>
  <c r="BO2437" i="1"/>
  <c r="BN2437" i="1"/>
  <c r="DG2493" i="1"/>
  <c r="DA2493" i="1"/>
  <c r="T2493" i="1"/>
  <c r="S2493" i="1"/>
  <c r="Q2493" i="1"/>
  <c r="P2493" i="1"/>
  <c r="N2493" i="1"/>
  <c r="BO2493" i="1"/>
  <c r="BN2493" i="1"/>
  <c r="DG2492" i="1"/>
  <c r="DA2492" i="1"/>
  <c r="T2492" i="1"/>
  <c r="S2492" i="1"/>
  <c r="Q2492" i="1"/>
  <c r="P2492" i="1"/>
  <c r="N2492" i="1"/>
  <c r="BO2492" i="1"/>
  <c r="BN2492" i="1"/>
  <c r="DG2491" i="1"/>
  <c r="DA2491" i="1"/>
  <c r="T2491" i="1"/>
  <c r="S2491" i="1"/>
  <c r="Q2491" i="1"/>
  <c r="P2491" i="1"/>
  <c r="N2491" i="1"/>
  <c r="BO2491" i="1"/>
  <c r="BN2491" i="1"/>
  <c r="DG2695" i="1"/>
  <c r="DA2695" i="1"/>
  <c r="T2695" i="1"/>
  <c r="S2695" i="1"/>
  <c r="Q2695" i="1"/>
  <c r="P2695" i="1"/>
  <c r="N2695" i="1"/>
  <c r="BO2695" i="1"/>
  <c r="BN2695" i="1"/>
  <c r="DG2899" i="1"/>
  <c r="DA2899" i="1"/>
  <c r="T2899" i="1"/>
  <c r="S2899" i="1"/>
  <c r="Q2899" i="1"/>
  <c r="P2899" i="1"/>
  <c r="N2899" i="1"/>
  <c r="BO2899" i="1"/>
  <c r="BN2899" i="1"/>
  <c r="DG2694" i="1"/>
  <c r="DA2694" i="1"/>
  <c r="T2694" i="1"/>
  <c r="S2694" i="1"/>
  <c r="Q2694" i="1"/>
  <c r="P2694" i="1"/>
  <c r="N2694" i="1"/>
  <c r="BO2694" i="1"/>
  <c r="BN2694" i="1"/>
  <c r="DG2693" i="1"/>
  <c r="DA2693" i="1"/>
  <c r="T2693" i="1"/>
  <c r="S2693" i="1"/>
  <c r="Q2693" i="1"/>
  <c r="P2693" i="1"/>
  <c r="N2693" i="1"/>
  <c r="BO2693" i="1"/>
  <c r="BN2693" i="1"/>
  <c r="DG2239" i="1"/>
  <c r="DA2239" i="1"/>
  <c r="T2239" i="1"/>
  <c r="S2239" i="1"/>
  <c r="Q2239" i="1"/>
  <c r="P2239" i="1"/>
  <c r="N2239" i="1"/>
  <c r="BO2239" i="1"/>
  <c r="BN2239" i="1"/>
  <c r="DG2692" i="1"/>
  <c r="DA2692" i="1"/>
  <c r="T2692" i="1"/>
  <c r="S2692" i="1"/>
  <c r="Q2692" i="1"/>
  <c r="P2692" i="1"/>
  <c r="N2692" i="1"/>
  <c r="BO2692" i="1"/>
  <c r="BN2692" i="1"/>
  <c r="DG2691" i="1"/>
  <c r="DA2691" i="1"/>
  <c r="T2691" i="1"/>
  <c r="S2691" i="1"/>
  <c r="Q2691" i="1"/>
  <c r="P2691" i="1"/>
  <c r="N2691" i="1"/>
  <c r="BO2691" i="1"/>
  <c r="BN2691" i="1"/>
  <c r="DG2843" i="1"/>
  <c r="DA2843" i="1"/>
  <c r="T2843" i="1"/>
  <c r="S2843" i="1"/>
  <c r="Q2843" i="1"/>
  <c r="P2843" i="1"/>
  <c r="N2843" i="1"/>
  <c r="BO2843" i="1"/>
  <c r="BN2843" i="1"/>
  <c r="DG2690" i="1"/>
  <c r="DA2690" i="1"/>
  <c r="T2690" i="1"/>
  <c r="S2690" i="1"/>
  <c r="Q2690" i="1"/>
  <c r="P2690" i="1"/>
  <c r="N2690" i="1"/>
  <c r="BO2690" i="1"/>
  <c r="BN2690" i="1"/>
  <c r="DG2900" i="1"/>
  <c r="DA2900" i="1"/>
  <c r="T2900" i="1"/>
  <c r="S2900" i="1"/>
  <c r="Q2900" i="1"/>
  <c r="P2900" i="1"/>
  <c r="N2900" i="1"/>
  <c r="BO2900" i="1"/>
  <c r="BN2900" i="1"/>
  <c r="DG2814" i="1"/>
  <c r="DA2814" i="1"/>
  <c r="T2814" i="1"/>
  <c r="S2814" i="1"/>
  <c r="Q2814" i="1"/>
  <c r="P2814" i="1"/>
  <c r="N2814" i="1"/>
  <c r="BO2814" i="1"/>
  <c r="BN2814" i="1"/>
  <c r="DG2443" i="1"/>
  <c r="DA2443" i="1"/>
  <c r="T2443" i="1"/>
  <c r="S2443" i="1"/>
  <c r="Q2443" i="1"/>
  <c r="P2443" i="1"/>
  <c r="N2443" i="1"/>
  <c r="BO2443" i="1"/>
  <c r="BN2443" i="1"/>
  <c r="DG2444" i="1"/>
  <c r="DA2444" i="1"/>
  <c r="T2444" i="1"/>
  <c r="S2444" i="1"/>
  <c r="Q2444" i="1"/>
  <c r="P2444" i="1"/>
  <c r="N2444" i="1"/>
  <c r="BO2444" i="1"/>
  <c r="BN2444" i="1"/>
  <c r="DG2689" i="1"/>
  <c r="DA2689" i="1"/>
  <c r="T2689" i="1"/>
  <c r="S2689" i="1"/>
  <c r="Q2689" i="1"/>
  <c r="P2689" i="1"/>
  <c r="N2689" i="1"/>
  <c r="BO2689" i="1"/>
  <c r="BN2689" i="1"/>
  <c r="DG2688" i="1"/>
  <c r="DA2688" i="1"/>
  <c r="T2688" i="1"/>
  <c r="S2688" i="1"/>
  <c r="Q2688" i="1"/>
  <c r="P2688" i="1"/>
  <c r="N2688" i="1"/>
  <c r="BO2688" i="1"/>
  <c r="BN2688" i="1"/>
  <c r="DG2445" i="1"/>
  <c r="DA2445" i="1"/>
  <c r="T2445" i="1"/>
  <c r="S2445" i="1"/>
  <c r="Q2445" i="1"/>
  <c r="P2445" i="1"/>
  <c r="N2445" i="1"/>
  <c r="BO2445" i="1"/>
  <c r="BN2445" i="1"/>
  <c r="DG2687" i="1"/>
  <c r="DA2687" i="1"/>
  <c r="T2687" i="1"/>
  <c r="S2687" i="1"/>
  <c r="Q2687" i="1"/>
  <c r="P2687" i="1"/>
  <c r="N2687" i="1"/>
  <c r="BO2687" i="1"/>
  <c r="BN2687" i="1"/>
  <c r="DG2227" i="1"/>
  <c r="DA2227" i="1"/>
  <c r="T2227" i="1"/>
  <c r="S2227" i="1"/>
  <c r="Q2227" i="1"/>
  <c r="P2227" i="1"/>
  <c r="N2227" i="1"/>
  <c r="BO2227" i="1"/>
  <c r="BN2227" i="1"/>
  <c r="DG2686" i="1"/>
  <c r="DA2686" i="1"/>
  <c r="T2686" i="1"/>
  <c r="S2686" i="1"/>
  <c r="Q2686" i="1"/>
  <c r="P2686" i="1"/>
  <c r="N2686" i="1"/>
  <c r="BO2686" i="1"/>
  <c r="BN2686" i="1"/>
  <c r="DG2226" i="1"/>
  <c r="DA2226" i="1"/>
  <c r="T2226" i="1"/>
  <c r="S2226" i="1"/>
  <c r="Q2226" i="1"/>
  <c r="P2226" i="1"/>
  <c r="N2226" i="1"/>
  <c r="BO2226" i="1"/>
  <c r="BN2226" i="1"/>
  <c r="DG2901" i="1"/>
  <c r="DA2901" i="1"/>
  <c r="T2901" i="1"/>
  <c r="S2901" i="1"/>
  <c r="Q2901" i="1"/>
  <c r="P2901" i="1"/>
  <c r="N2901" i="1"/>
  <c r="BO2901" i="1"/>
  <c r="BN2901" i="1"/>
  <c r="DG2447" i="1"/>
  <c r="DA2447" i="1"/>
  <c r="T2447" i="1"/>
  <c r="S2447" i="1"/>
  <c r="Q2447" i="1"/>
  <c r="P2447" i="1"/>
  <c r="N2447" i="1"/>
  <c r="BO2447" i="1"/>
  <c r="BN2447" i="1"/>
  <c r="DG2225" i="1"/>
  <c r="DA2225" i="1"/>
  <c r="T2225" i="1"/>
  <c r="S2225" i="1"/>
  <c r="Q2225" i="1"/>
  <c r="P2225" i="1"/>
  <c r="N2225" i="1"/>
  <c r="BO2225" i="1"/>
  <c r="BN2225" i="1"/>
  <c r="DG2685" i="1"/>
  <c r="DA2685" i="1"/>
  <c r="T2685" i="1"/>
  <c r="S2685" i="1"/>
  <c r="Q2685" i="1"/>
  <c r="P2685" i="1"/>
  <c r="N2685" i="1"/>
  <c r="BO2685" i="1"/>
  <c r="BN2685" i="1"/>
  <c r="DG2224" i="1"/>
  <c r="DA2224" i="1"/>
  <c r="T2224" i="1"/>
  <c r="S2224" i="1"/>
  <c r="Q2224" i="1"/>
  <c r="P2224" i="1"/>
  <c r="N2224" i="1"/>
  <c r="BO2224" i="1"/>
  <c r="BN2224" i="1"/>
  <c r="DG2448" i="1"/>
  <c r="DA2448" i="1"/>
  <c r="T2448" i="1"/>
  <c r="S2448" i="1"/>
  <c r="Q2448" i="1"/>
  <c r="P2448" i="1"/>
  <c r="N2448" i="1"/>
  <c r="BO2448" i="1"/>
  <c r="BN2448" i="1"/>
  <c r="DG2658" i="1"/>
  <c r="DA2658" i="1"/>
  <c r="T2658" i="1"/>
  <c r="S2658" i="1"/>
  <c r="Q2658" i="1"/>
  <c r="P2658" i="1"/>
  <c r="N2658" i="1"/>
  <c r="BO2658" i="1"/>
  <c r="BN2658" i="1"/>
  <c r="DG3018" i="1"/>
  <c r="DA3018" i="1"/>
  <c r="T3018" i="1"/>
  <c r="S3018" i="1"/>
  <c r="Q3018" i="1"/>
  <c r="P3018" i="1"/>
  <c r="N3018" i="1"/>
  <c r="BO3018" i="1"/>
  <c r="BN3018" i="1"/>
  <c r="DG2449" i="1"/>
  <c r="DA2449" i="1"/>
  <c r="T2449" i="1"/>
  <c r="S2449" i="1"/>
  <c r="Q2449" i="1"/>
  <c r="P2449" i="1"/>
  <c r="N2449" i="1"/>
  <c r="BO2449" i="1"/>
  <c r="BN2449" i="1"/>
  <c r="DG2450" i="1"/>
  <c r="DA2450" i="1"/>
  <c r="T2450" i="1"/>
  <c r="S2450" i="1"/>
  <c r="Q2450" i="1"/>
  <c r="P2450" i="1"/>
  <c r="N2450" i="1"/>
  <c r="BO2450" i="1"/>
  <c r="BN2450" i="1"/>
  <c r="DG2222" i="1"/>
  <c r="DA2222" i="1"/>
  <c r="T2222" i="1"/>
  <c r="S2222" i="1"/>
  <c r="Q2222" i="1"/>
  <c r="P2222" i="1"/>
  <c r="N2222" i="1"/>
  <c r="BO2222" i="1"/>
  <c r="BN2222" i="1"/>
  <c r="DG2684" i="1"/>
  <c r="DA2684" i="1"/>
  <c r="T2684" i="1"/>
  <c r="S2684" i="1"/>
  <c r="Q2684" i="1"/>
  <c r="P2684" i="1"/>
  <c r="N2684" i="1"/>
  <c r="BO2684" i="1"/>
  <c r="BN2684" i="1"/>
  <c r="DG2221" i="1"/>
  <c r="DA2221" i="1"/>
  <c r="T2221" i="1"/>
  <c r="S2221" i="1"/>
  <c r="Q2221" i="1"/>
  <c r="P2221" i="1"/>
  <c r="N2221" i="1"/>
  <c r="BO2221" i="1"/>
  <c r="BN2221" i="1"/>
  <c r="DG2220" i="1"/>
  <c r="DA2220" i="1"/>
  <c r="T2220" i="1"/>
  <c r="S2220" i="1"/>
  <c r="Q2220" i="1"/>
  <c r="P2220" i="1"/>
  <c r="N2220" i="1"/>
  <c r="BO2220" i="1"/>
  <c r="BN2220" i="1"/>
  <c r="DG2169" i="1"/>
  <c r="DA2169" i="1"/>
  <c r="T2169" i="1"/>
  <c r="S2169" i="1"/>
  <c r="Q2169" i="1"/>
  <c r="P2169" i="1"/>
  <c r="N2169" i="1"/>
  <c r="BO2169" i="1"/>
  <c r="BN2169" i="1"/>
  <c r="DG2683" i="1"/>
  <c r="DA2683" i="1"/>
  <c r="T2683" i="1"/>
  <c r="S2683" i="1"/>
  <c r="Q2683" i="1"/>
  <c r="P2683" i="1"/>
  <c r="N2683" i="1"/>
  <c r="BO2683" i="1"/>
  <c r="BN2683" i="1"/>
  <c r="DG2183" i="1"/>
  <c r="DA2183" i="1"/>
  <c r="T2183" i="1"/>
  <c r="S2183" i="1"/>
  <c r="Q2183" i="1"/>
  <c r="P2183" i="1"/>
  <c r="N2183" i="1"/>
  <c r="BO2183" i="1"/>
  <c r="BN2183" i="1"/>
  <c r="DG2844" i="1"/>
  <c r="DA2844" i="1"/>
  <c r="T2844" i="1"/>
  <c r="S2844" i="1"/>
  <c r="Q2844" i="1"/>
  <c r="P2844" i="1"/>
  <c r="N2844" i="1"/>
  <c r="BO2844" i="1"/>
  <c r="BN2844" i="1"/>
  <c r="DG2682" i="1"/>
  <c r="DA2682" i="1"/>
  <c r="T2682" i="1"/>
  <c r="S2682" i="1"/>
  <c r="Q2682" i="1"/>
  <c r="P2682" i="1"/>
  <c r="N2682" i="1"/>
  <c r="BO2682" i="1"/>
  <c r="BN2682" i="1"/>
  <c r="DG2218" i="1"/>
  <c r="DA2218" i="1"/>
  <c r="T2218" i="1"/>
  <c r="S2218" i="1"/>
  <c r="Q2218" i="1"/>
  <c r="P2218" i="1"/>
  <c r="N2218" i="1"/>
  <c r="BO2218" i="1"/>
  <c r="BN2218" i="1"/>
  <c r="DG3019" i="1"/>
  <c r="DA3019" i="1"/>
  <c r="T3019" i="1"/>
  <c r="S3019" i="1"/>
  <c r="Q3019" i="1"/>
  <c r="P3019" i="1"/>
  <c r="N3019" i="1"/>
  <c r="BO3019" i="1"/>
  <c r="BN3019" i="1"/>
  <c r="DG2451" i="1"/>
  <c r="DA2451" i="1"/>
  <c r="T2451" i="1"/>
  <c r="S2451" i="1"/>
  <c r="Q2451" i="1"/>
  <c r="P2451" i="1"/>
  <c r="N2451" i="1"/>
  <c r="BO2451" i="1"/>
  <c r="BN2451" i="1"/>
  <c r="DG2800" i="1"/>
  <c r="DA2800" i="1"/>
  <c r="T2800" i="1"/>
  <c r="S2800" i="1"/>
  <c r="Q2800" i="1"/>
  <c r="P2800" i="1"/>
  <c r="N2800" i="1"/>
  <c r="BO2800" i="1"/>
  <c r="BN2800" i="1"/>
  <c r="DG2452" i="1"/>
  <c r="DA2452" i="1"/>
  <c r="T2452" i="1"/>
  <c r="S2452" i="1"/>
  <c r="Q2452" i="1"/>
  <c r="P2452" i="1"/>
  <c r="N2452" i="1"/>
  <c r="BO2452" i="1"/>
  <c r="BN2452" i="1"/>
  <c r="DG2217" i="1"/>
  <c r="DA2217" i="1"/>
  <c r="T2217" i="1"/>
  <c r="S2217" i="1"/>
  <c r="Q2217" i="1"/>
  <c r="P2217" i="1"/>
  <c r="N2217" i="1"/>
  <c r="BO2217" i="1"/>
  <c r="BN2217" i="1"/>
  <c r="DG2815" i="1"/>
  <c r="DA2815" i="1"/>
  <c r="T2815" i="1"/>
  <c r="S2815" i="1"/>
  <c r="Q2815" i="1"/>
  <c r="P2815" i="1"/>
  <c r="N2815" i="1"/>
  <c r="BO2815" i="1"/>
  <c r="BN2815" i="1"/>
  <c r="DG2453" i="1"/>
  <c r="DA2453" i="1"/>
  <c r="T2453" i="1"/>
  <c r="S2453" i="1"/>
  <c r="Q2453" i="1"/>
  <c r="P2453" i="1"/>
  <c r="N2453" i="1"/>
  <c r="BO2453" i="1"/>
  <c r="BN2453" i="1"/>
  <c r="DG2681" i="1"/>
  <c r="DA2681" i="1"/>
  <c r="T2681" i="1"/>
  <c r="S2681" i="1"/>
  <c r="Q2681" i="1"/>
  <c r="P2681" i="1"/>
  <c r="N2681" i="1"/>
  <c r="BO2681" i="1"/>
  <c r="BN2681" i="1"/>
  <c r="DG2216" i="1"/>
  <c r="DA2216" i="1"/>
  <c r="T2216" i="1"/>
  <c r="S2216" i="1"/>
  <c r="Q2216" i="1"/>
  <c r="P2216" i="1"/>
  <c r="N2216" i="1"/>
  <c r="BO2216" i="1"/>
  <c r="BN2216" i="1"/>
  <c r="DG2215" i="1"/>
  <c r="DA2215" i="1"/>
  <c r="T2215" i="1"/>
  <c r="S2215" i="1"/>
  <c r="Q2215" i="1"/>
  <c r="P2215" i="1"/>
  <c r="N2215" i="1"/>
  <c r="BO2215" i="1"/>
  <c r="BN2215" i="1"/>
  <c r="DG2680" i="1"/>
  <c r="DA2680" i="1"/>
  <c r="T2680" i="1"/>
  <c r="S2680" i="1"/>
  <c r="Q2680" i="1"/>
  <c r="P2680" i="1"/>
  <c r="N2680" i="1"/>
  <c r="BO2680" i="1"/>
  <c r="BN2680" i="1"/>
  <c r="DG2214" i="1"/>
  <c r="DA2214" i="1"/>
  <c r="T2214" i="1"/>
  <c r="S2214" i="1"/>
  <c r="Q2214" i="1"/>
  <c r="P2214" i="1"/>
  <c r="N2214" i="1"/>
  <c r="BO2214" i="1"/>
  <c r="BN2214" i="1"/>
  <c r="DG1962" i="1"/>
  <c r="DA1962" i="1"/>
  <c r="T1962" i="1"/>
  <c r="S1962" i="1"/>
  <c r="Q1962" i="1"/>
  <c r="P1962" i="1"/>
  <c r="N1962" i="1"/>
  <c r="BO1962" i="1"/>
  <c r="BN1962" i="1"/>
  <c r="DG2213" i="1"/>
  <c r="DA2213" i="1"/>
  <c r="T2213" i="1"/>
  <c r="S2213" i="1"/>
  <c r="Q2213" i="1"/>
  <c r="P2213" i="1"/>
  <c r="N2213" i="1"/>
  <c r="BO2213" i="1"/>
  <c r="BN2213" i="1"/>
  <c r="DG1970" i="1"/>
  <c r="DA1970" i="1"/>
  <c r="T1970" i="1"/>
  <c r="S1970" i="1"/>
  <c r="Q1970" i="1"/>
  <c r="P1970" i="1"/>
  <c r="N1970" i="1"/>
  <c r="BO1970" i="1"/>
  <c r="BN1970" i="1"/>
  <c r="DG1978" i="1"/>
  <c r="DA1978" i="1"/>
  <c r="T1978" i="1"/>
  <c r="S1978" i="1"/>
  <c r="Q1978" i="1"/>
  <c r="P1978" i="1"/>
  <c r="N1978" i="1"/>
  <c r="BO1978" i="1"/>
  <c r="BN1978" i="1"/>
  <c r="DG3020" i="1"/>
  <c r="DA3020" i="1"/>
  <c r="T3020" i="1"/>
  <c r="S3020" i="1"/>
  <c r="Q3020" i="1"/>
  <c r="P3020" i="1"/>
  <c r="N3020" i="1"/>
  <c r="BO3020" i="1"/>
  <c r="BN3020" i="1"/>
  <c r="DG2211" i="1"/>
  <c r="DA2211" i="1"/>
  <c r="T2211" i="1"/>
  <c r="S2211" i="1"/>
  <c r="Q2211" i="1"/>
  <c r="P2211" i="1"/>
  <c r="N2211" i="1"/>
  <c r="BO2211" i="1"/>
  <c r="BN2211" i="1"/>
  <c r="DG2903" i="1"/>
  <c r="DA2903" i="1"/>
  <c r="T2903" i="1"/>
  <c r="S2903" i="1"/>
  <c r="Q2903" i="1"/>
  <c r="P2903" i="1"/>
  <c r="N2903" i="1"/>
  <c r="BO2903" i="1"/>
  <c r="BN2903" i="1"/>
  <c r="DG3021" i="1"/>
  <c r="DA3021" i="1"/>
  <c r="T3021" i="1"/>
  <c r="S3021" i="1"/>
  <c r="Q3021" i="1"/>
  <c r="P3021" i="1"/>
  <c r="N3021" i="1"/>
  <c r="BO3021" i="1"/>
  <c r="BN3021" i="1"/>
  <c r="DG2210" i="1"/>
  <c r="DA2210" i="1"/>
  <c r="T2210" i="1"/>
  <c r="S2210" i="1"/>
  <c r="Q2210" i="1"/>
  <c r="P2210" i="1"/>
  <c r="N2210" i="1"/>
  <c r="BO2210" i="1"/>
  <c r="BN2210" i="1"/>
  <c r="DG2678" i="1"/>
  <c r="DA2678" i="1"/>
  <c r="T2678" i="1"/>
  <c r="S2678" i="1"/>
  <c r="Q2678" i="1"/>
  <c r="P2678" i="1"/>
  <c r="N2678" i="1"/>
  <c r="BO2678" i="1"/>
  <c r="BN2678" i="1"/>
  <c r="DG2209" i="1"/>
  <c r="DA2209" i="1"/>
  <c r="T2209" i="1"/>
  <c r="S2209" i="1"/>
  <c r="Q2209" i="1"/>
  <c r="P2209" i="1"/>
  <c r="N2209" i="1"/>
  <c r="BO2209" i="1"/>
  <c r="BN2209" i="1"/>
  <c r="DG2003" i="1"/>
  <c r="DA2003" i="1"/>
  <c r="T2003" i="1"/>
  <c r="S2003" i="1"/>
  <c r="Q2003" i="1"/>
  <c r="P2003" i="1"/>
  <c r="N2003" i="1"/>
  <c r="BO2003" i="1"/>
  <c r="BN2003" i="1"/>
  <c r="DG2677" i="1"/>
  <c r="DA2677" i="1"/>
  <c r="T2677" i="1"/>
  <c r="S2677" i="1"/>
  <c r="Q2677" i="1"/>
  <c r="P2677" i="1"/>
  <c r="N2677" i="1"/>
  <c r="BO2677" i="1"/>
  <c r="BN2677" i="1"/>
  <c r="DG2207" i="1"/>
  <c r="DA2207" i="1"/>
  <c r="T2207" i="1"/>
  <c r="S2207" i="1"/>
  <c r="Q2207" i="1"/>
  <c r="P2207" i="1"/>
  <c r="N2207" i="1"/>
  <c r="BO2207" i="1"/>
  <c r="BN2207" i="1"/>
  <c r="DG3022" i="1"/>
  <c r="DA3022" i="1"/>
  <c r="T3022" i="1"/>
  <c r="S3022" i="1"/>
  <c r="Q3022" i="1"/>
  <c r="P3022" i="1"/>
  <c r="N3022" i="1"/>
  <c r="BO3022" i="1"/>
  <c r="BN3022" i="1"/>
  <c r="DG2206" i="1"/>
  <c r="DA2206" i="1"/>
  <c r="T2206" i="1"/>
  <c r="S2206" i="1"/>
  <c r="Q2206" i="1"/>
  <c r="P2206" i="1"/>
  <c r="N2206" i="1"/>
  <c r="BO2206" i="1"/>
  <c r="BN2206" i="1"/>
  <c r="DG2676" i="1"/>
  <c r="DA2676" i="1"/>
  <c r="T2676" i="1"/>
  <c r="S2676" i="1"/>
  <c r="Q2676" i="1"/>
  <c r="P2676" i="1"/>
  <c r="N2676" i="1"/>
  <c r="BO2676" i="1"/>
  <c r="BN2676" i="1"/>
  <c r="DG2205" i="1"/>
  <c r="DA2205" i="1"/>
  <c r="T2205" i="1"/>
  <c r="S2205" i="1"/>
  <c r="Q2205" i="1"/>
  <c r="P2205" i="1"/>
  <c r="N2205" i="1"/>
  <c r="BO2205" i="1"/>
  <c r="BN2205" i="1"/>
  <c r="DG2675" i="1"/>
  <c r="DA2675" i="1"/>
  <c r="T2675" i="1"/>
  <c r="S2675" i="1"/>
  <c r="Q2675" i="1"/>
  <c r="P2675" i="1"/>
  <c r="N2675" i="1"/>
  <c r="BO2675" i="1"/>
  <c r="BN2675" i="1"/>
  <c r="DG2204" i="1"/>
  <c r="DA2204" i="1"/>
  <c r="T2204" i="1"/>
  <c r="S2204" i="1"/>
  <c r="Q2204" i="1"/>
  <c r="P2204" i="1"/>
  <c r="N2204" i="1"/>
  <c r="BO2204" i="1"/>
  <c r="BN2204" i="1"/>
  <c r="DG2203" i="1"/>
  <c r="DA2203" i="1"/>
  <c r="T2203" i="1"/>
  <c r="S2203" i="1"/>
  <c r="Q2203" i="1"/>
  <c r="P2203" i="1"/>
  <c r="N2203" i="1"/>
  <c r="BO2203" i="1"/>
  <c r="BN2203" i="1"/>
  <c r="DG2230" i="1"/>
  <c r="DA2230" i="1"/>
  <c r="T2230" i="1"/>
  <c r="S2230" i="1"/>
  <c r="Q2230" i="1"/>
  <c r="P2230" i="1"/>
  <c r="N2230" i="1"/>
  <c r="BO2230" i="1"/>
  <c r="BN2230" i="1"/>
  <c r="DG2845" i="1"/>
  <c r="DA2845" i="1"/>
  <c r="T2845" i="1"/>
  <c r="S2845" i="1"/>
  <c r="Q2845" i="1"/>
  <c r="P2845" i="1"/>
  <c r="N2845" i="1"/>
  <c r="BO2845" i="1"/>
  <c r="BN2845" i="1"/>
  <c r="DG2202" i="1"/>
  <c r="DA2202" i="1"/>
  <c r="T2202" i="1"/>
  <c r="S2202" i="1"/>
  <c r="Q2202" i="1"/>
  <c r="P2202" i="1"/>
  <c r="N2202" i="1"/>
  <c r="BO2202" i="1"/>
  <c r="BN2202" i="1"/>
  <c r="DG2904" i="1"/>
  <c r="DA2904" i="1"/>
  <c r="T2904" i="1"/>
  <c r="S2904" i="1"/>
  <c r="Q2904" i="1"/>
  <c r="P2904" i="1"/>
  <c r="N2904" i="1"/>
  <c r="BO2904" i="1"/>
  <c r="BN2904" i="1"/>
  <c r="DG3023" i="1"/>
  <c r="DA3023" i="1"/>
  <c r="T3023" i="1"/>
  <c r="S3023" i="1"/>
  <c r="Q3023" i="1"/>
  <c r="P3023" i="1"/>
  <c r="N3023" i="1"/>
  <c r="BO3023" i="1"/>
  <c r="BN3023" i="1"/>
  <c r="DG2673" i="1"/>
  <c r="DA2673" i="1"/>
  <c r="T2673" i="1"/>
  <c r="S2673" i="1"/>
  <c r="Q2673" i="1"/>
  <c r="P2673" i="1"/>
  <c r="N2673" i="1"/>
  <c r="BO2673" i="1"/>
  <c r="BN2673" i="1"/>
  <c r="DG2229" i="1"/>
  <c r="DA2229" i="1"/>
  <c r="T2229" i="1"/>
  <c r="S2229" i="1"/>
  <c r="Q2229" i="1"/>
  <c r="P2229" i="1"/>
  <c r="N2229" i="1"/>
  <c r="BO2229" i="1"/>
  <c r="BN2229" i="1"/>
  <c r="DG2228" i="1"/>
  <c r="DA2228" i="1"/>
  <c r="T2228" i="1"/>
  <c r="S2228" i="1"/>
  <c r="Q2228" i="1"/>
  <c r="P2228" i="1"/>
  <c r="N2228" i="1"/>
  <c r="BO2228" i="1"/>
  <c r="BN2228" i="1"/>
  <c r="DG2199" i="1"/>
  <c r="DA2199" i="1"/>
  <c r="T2199" i="1"/>
  <c r="S2199" i="1"/>
  <c r="Q2199" i="1"/>
  <c r="P2199" i="1"/>
  <c r="N2199" i="1"/>
  <c r="BO2199" i="1"/>
  <c r="BN2199" i="1"/>
  <c r="DG2672" i="1"/>
  <c r="DA2672" i="1"/>
  <c r="T2672" i="1"/>
  <c r="S2672" i="1"/>
  <c r="Q2672" i="1"/>
  <c r="P2672" i="1"/>
  <c r="N2672" i="1"/>
  <c r="BO2672" i="1"/>
  <c r="BN2672" i="1"/>
  <c r="DG3017" i="1"/>
  <c r="DA3017" i="1"/>
  <c r="T3017" i="1"/>
  <c r="S3017" i="1"/>
  <c r="Q3017" i="1"/>
  <c r="P3017" i="1"/>
  <c r="N3017" i="1"/>
  <c r="BO3017" i="1"/>
  <c r="BN3017" i="1"/>
  <c r="DG2671" i="1"/>
  <c r="DA2671" i="1"/>
  <c r="T2671" i="1"/>
  <c r="S2671" i="1"/>
  <c r="Q2671" i="1"/>
  <c r="P2671" i="1"/>
  <c r="N2671" i="1"/>
  <c r="BO2671" i="1"/>
  <c r="BN2671" i="1"/>
  <c r="DG2223" i="1"/>
  <c r="DA2223" i="1"/>
  <c r="T2223" i="1"/>
  <c r="S2223" i="1"/>
  <c r="Q2223" i="1"/>
  <c r="P2223" i="1"/>
  <c r="N2223" i="1"/>
  <c r="BO2223" i="1"/>
  <c r="BN2223" i="1"/>
  <c r="DG2670" i="1"/>
  <c r="DA2670" i="1"/>
  <c r="T2670" i="1"/>
  <c r="S2670" i="1"/>
  <c r="Q2670" i="1"/>
  <c r="P2670" i="1"/>
  <c r="N2670" i="1"/>
  <c r="BO2670" i="1"/>
  <c r="BN2670" i="1"/>
  <c r="DG2905" i="1"/>
  <c r="DA2905" i="1"/>
  <c r="T2905" i="1"/>
  <c r="S2905" i="1"/>
  <c r="Q2905" i="1"/>
  <c r="P2905" i="1"/>
  <c r="N2905" i="1"/>
  <c r="BO2905" i="1"/>
  <c r="BN2905" i="1"/>
  <c r="DG2669" i="1"/>
  <c r="DA2669" i="1"/>
  <c r="T2669" i="1"/>
  <c r="S2669" i="1"/>
  <c r="Q2669" i="1"/>
  <c r="P2669" i="1"/>
  <c r="N2669" i="1"/>
  <c r="BO2669" i="1"/>
  <c r="BN2669" i="1"/>
  <c r="DG2668" i="1"/>
  <c r="DA2668" i="1"/>
  <c r="T2668" i="1"/>
  <c r="S2668" i="1"/>
  <c r="Q2668" i="1"/>
  <c r="P2668" i="1"/>
  <c r="N2668" i="1"/>
  <c r="BO2668" i="1"/>
  <c r="BN2668" i="1"/>
  <c r="DG2219" i="1"/>
  <c r="DA2219" i="1"/>
  <c r="T2219" i="1"/>
  <c r="S2219" i="1"/>
  <c r="Q2219" i="1"/>
  <c r="P2219" i="1"/>
  <c r="N2219" i="1"/>
  <c r="BO2219" i="1"/>
  <c r="BN2219" i="1"/>
  <c r="DG2667" i="1"/>
  <c r="DA2667" i="1"/>
  <c r="T2667" i="1"/>
  <c r="S2667" i="1"/>
  <c r="Q2667" i="1"/>
  <c r="P2667" i="1"/>
  <c r="N2667" i="1"/>
  <c r="BO2667" i="1"/>
  <c r="BN2667" i="1"/>
  <c r="DG2187" i="1"/>
  <c r="DA2187" i="1"/>
  <c r="T2187" i="1"/>
  <c r="S2187" i="1"/>
  <c r="Q2187" i="1"/>
  <c r="P2187" i="1"/>
  <c r="N2187" i="1"/>
  <c r="BO2187" i="1"/>
  <c r="BN2187" i="1"/>
  <c r="DG3152" i="1"/>
  <c r="DA3152" i="1"/>
  <c r="T3152" i="1"/>
  <c r="S3152" i="1"/>
  <c r="Q3152" i="1"/>
  <c r="P3152" i="1"/>
  <c r="N3152" i="1"/>
  <c r="BO3152" i="1"/>
  <c r="BN3152" i="1"/>
  <c r="DG2789" i="1"/>
  <c r="DA2789" i="1"/>
  <c r="T2789" i="1"/>
  <c r="S2789" i="1"/>
  <c r="Q2789" i="1"/>
  <c r="P2789" i="1"/>
  <c r="N2789" i="1"/>
  <c r="BO2789" i="1"/>
  <c r="BN2789" i="1"/>
  <c r="DG2666" i="1"/>
  <c r="DA2666" i="1"/>
  <c r="T2666" i="1"/>
  <c r="S2666" i="1"/>
  <c r="Q2666" i="1"/>
  <c r="P2666" i="1"/>
  <c r="N2666" i="1"/>
  <c r="BO2666" i="1"/>
  <c r="BN2666" i="1"/>
  <c r="DG2186" i="1"/>
  <c r="DA2186" i="1"/>
  <c r="T2186" i="1"/>
  <c r="S2186" i="1"/>
  <c r="Q2186" i="1"/>
  <c r="P2186" i="1"/>
  <c r="N2186" i="1"/>
  <c r="BO2186" i="1"/>
  <c r="BN2186" i="1"/>
  <c r="DG2801" i="1"/>
  <c r="DA2801" i="1"/>
  <c r="T2801" i="1"/>
  <c r="S2801" i="1"/>
  <c r="Q2801" i="1"/>
  <c r="P2801" i="1"/>
  <c r="N2801" i="1"/>
  <c r="BO2801" i="1"/>
  <c r="BN2801" i="1"/>
  <c r="DG3027" i="1"/>
  <c r="DA3027" i="1"/>
  <c r="T3027" i="1"/>
  <c r="S3027" i="1"/>
  <c r="Q3027" i="1"/>
  <c r="P3027" i="1"/>
  <c r="N3027" i="1"/>
  <c r="BO3027" i="1"/>
  <c r="BN3027" i="1"/>
  <c r="DG2846" i="1"/>
  <c r="DA2846" i="1"/>
  <c r="T2846" i="1"/>
  <c r="S2846" i="1"/>
  <c r="Q2846" i="1"/>
  <c r="P2846" i="1"/>
  <c r="N2846" i="1"/>
  <c r="BO2846" i="1"/>
  <c r="BN2846" i="1"/>
  <c r="DG2902" i="1"/>
  <c r="DA2902" i="1"/>
  <c r="T2902" i="1"/>
  <c r="S2902" i="1"/>
  <c r="Q2902" i="1"/>
  <c r="P2902" i="1"/>
  <c r="N2902" i="1"/>
  <c r="BO2902" i="1"/>
  <c r="BN2902" i="1"/>
  <c r="DG2665" i="1"/>
  <c r="DA2665" i="1"/>
  <c r="T2665" i="1"/>
  <c r="S2665" i="1"/>
  <c r="Q2665" i="1"/>
  <c r="P2665" i="1"/>
  <c r="N2665" i="1"/>
  <c r="BO2665" i="1"/>
  <c r="BN2665" i="1"/>
  <c r="DG2664" i="1"/>
  <c r="DA2664" i="1"/>
  <c r="T2664" i="1"/>
  <c r="S2664" i="1"/>
  <c r="Q2664" i="1"/>
  <c r="P2664" i="1"/>
  <c r="N2664" i="1"/>
  <c r="BO2664" i="1"/>
  <c r="BN2664" i="1"/>
  <c r="DG2180" i="1"/>
  <c r="DA2180" i="1"/>
  <c r="T2180" i="1"/>
  <c r="S2180" i="1"/>
  <c r="Q2180" i="1"/>
  <c r="P2180" i="1"/>
  <c r="N2180" i="1"/>
  <c r="BO2180" i="1"/>
  <c r="BN2180" i="1"/>
  <c r="DG3029" i="1"/>
  <c r="DA3029" i="1"/>
  <c r="T3029" i="1"/>
  <c r="S3029" i="1"/>
  <c r="Q3029" i="1"/>
  <c r="P3029" i="1"/>
  <c r="N3029" i="1"/>
  <c r="BO3029" i="1"/>
  <c r="BN3029" i="1"/>
  <c r="DG2662" i="1"/>
  <c r="DA2662" i="1"/>
  <c r="T2662" i="1"/>
  <c r="S2662" i="1"/>
  <c r="Q2662" i="1"/>
  <c r="P2662" i="1"/>
  <c r="N2662" i="1"/>
  <c r="BO2662" i="1"/>
  <c r="BN2662" i="1"/>
  <c r="DG2177" i="1"/>
  <c r="DA2177" i="1"/>
  <c r="T2177" i="1"/>
  <c r="S2177" i="1"/>
  <c r="Q2177" i="1"/>
  <c r="P2177" i="1"/>
  <c r="N2177" i="1"/>
  <c r="BO2177" i="1"/>
  <c r="BN2177" i="1"/>
  <c r="DG2907" i="1"/>
  <c r="DA2907" i="1"/>
  <c r="T2907" i="1"/>
  <c r="S2907" i="1"/>
  <c r="Q2907" i="1"/>
  <c r="P2907" i="1"/>
  <c r="N2907" i="1"/>
  <c r="BO2907" i="1"/>
  <c r="BN2907" i="1"/>
  <c r="DG2176" i="1"/>
  <c r="DA2176" i="1"/>
  <c r="T2176" i="1"/>
  <c r="S2176" i="1"/>
  <c r="Q2176" i="1"/>
  <c r="P2176" i="1"/>
  <c r="N2176" i="1"/>
  <c r="BO2176" i="1"/>
  <c r="BN2176" i="1"/>
  <c r="DG2175" i="1"/>
  <c r="DA2175" i="1"/>
  <c r="T2175" i="1"/>
  <c r="S2175" i="1"/>
  <c r="Q2175" i="1"/>
  <c r="P2175" i="1"/>
  <c r="N2175" i="1"/>
  <c r="BO2175" i="1"/>
  <c r="BN2175" i="1"/>
  <c r="DG3030" i="1"/>
  <c r="DA3030" i="1"/>
  <c r="T3030" i="1"/>
  <c r="S3030" i="1"/>
  <c r="Q3030" i="1"/>
  <c r="P3030" i="1"/>
  <c r="N3030" i="1"/>
  <c r="BO3030" i="1"/>
  <c r="BN3030" i="1"/>
  <c r="DG2174" i="1"/>
  <c r="DA2174" i="1"/>
  <c r="T2174" i="1"/>
  <c r="S2174" i="1"/>
  <c r="Q2174" i="1"/>
  <c r="P2174" i="1"/>
  <c r="N2174" i="1"/>
  <c r="BO2174" i="1"/>
  <c r="BN2174" i="1"/>
  <c r="DG2660" i="1"/>
  <c r="DA2660" i="1"/>
  <c r="T2660" i="1"/>
  <c r="S2660" i="1"/>
  <c r="Q2660" i="1"/>
  <c r="P2660" i="1"/>
  <c r="N2660" i="1"/>
  <c r="BO2660" i="1"/>
  <c r="BN2660" i="1"/>
  <c r="DG2173" i="1"/>
  <c r="DA2173" i="1"/>
  <c r="T2173" i="1"/>
  <c r="S2173" i="1"/>
  <c r="Q2173" i="1"/>
  <c r="P2173" i="1"/>
  <c r="N2173" i="1"/>
  <c r="BO2173" i="1"/>
  <c r="BN2173" i="1"/>
  <c r="DG1995" i="1"/>
  <c r="DA1995" i="1"/>
  <c r="T1995" i="1"/>
  <c r="S1995" i="1"/>
  <c r="Q1995" i="1"/>
  <c r="P1995" i="1"/>
  <c r="N1995" i="1"/>
  <c r="BO1995" i="1"/>
  <c r="BN1995" i="1"/>
  <c r="DG1987" i="1"/>
  <c r="DA1987" i="1"/>
  <c r="T1987" i="1"/>
  <c r="S1987" i="1"/>
  <c r="Q1987" i="1"/>
  <c r="P1987" i="1"/>
  <c r="N1987" i="1"/>
  <c r="BO1987" i="1"/>
  <c r="BN1987" i="1"/>
  <c r="DG2172" i="1"/>
  <c r="DA2172" i="1"/>
  <c r="T2172" i="1"/>
  <c r="S2172" i="1"/>
  <c r="Q2172" i="1"/>
  <c r="P2172" i="1"/>
  <c r="N2172" i="1"/>
  <c r="BO2172" i="1"/>
  <c r="BN2172" i="1"/>
  <c r="DG2659" i="1"/>
  <c r="DA2659" i="1"/>
  <c r="T2659" i="1"/>
  <c r="S2659" i="1"/>
  <c r="Q2659" i="1"/>
  <c r="P2659" i="1"/>
  <c r="N2659" i="1"/>
  <c r="BO2659" i="1"/>
  <c r="BN2659" i="1"/>
  <c r="DG2171" i="1"/>
  <c r="DA2171" i="1"/>
  <c r="T2171" i="1"/>
  <c r="S2171" i="1"/>
  <c r="Q2171" i="1"/>
  <c r="P2171" i="1"/>
  <c r="N2171" i="1"/>
  <c r="BO2171" i="1"/>
  <c r="BN2171" i="1"/>
  <c r="DG1955" i="1"/>
  <c r="DA1955" i="1"/>
  <c r="T1955" i="1"/>
  <c r="S1955" i="1"/>
  <c r="Q1955" i="1"/>
  <c r="P1955" i="1"/>
  <c r="N1955" i="1"/>
  <c r="BO1955" i="1"/>
  <c r="BN1955" i="1"/>
  <c r="DG2908" i="1"/>
  <c r="DA2908" i="1"/>
  <c r="T2908" i="1"/>
  <c r="S2908" i="1"/>
  <c r="Q2908" i="1"/>
  <c r="P2908" i="1"/>
  <c r="N2908" i="1"/>
  <c r="BO2908" i="1"/>
  <c r="BN2908" i="1"/>
  <c r="DG2170" i="1"/>
  <c r="DA2170" i="1"/>
  <c r="T2170" i="1"/>
  <c r="S2170" i="1"/>
  <c r="Q2170" i="1"/>
  <c r="P2170" i="1"/>
  <c r="N2170" i="1"/>
  <c r="BO2170" i="1"/>
  <c r="BN2170" i="1"/>
  <c r="DG3031" i="1"/>
  <c r="DA3031" i="1"/>
  <c r="T3031" i="1"/>
  <c r="S3031" i="1"/>
  <c r="Q3031" i="1"/>
  <c r="P3031" i="1"/>
  <c r="N3031" i="1"/>
  <c r="BO3031" i="1"/>
  <c r="BN3031" i="1"/>
  <c r="DG2194" i="1"/>
  <c r="DA2194" i="1"/>
  <c r="T2194" i="1"/>
  <c r="S2194" i="1"/>
  <c r="Q2194" i="1"/>
  <c r="P2194" i="1"/>
  <c r="N2194" i="1"/>
  <c r="BO2194" i="1"/>
  <c r="BN2194" i="1"/>
  <c r="DG2168" i="1"/>
  <c r="DA2168" i="1"/>
  <c r="T2168" i="1"/>
  <c r="S2168" i="1"/>
  <c r="Q2168" i="1"/>
  <c r="P2168" i="1"/>
  <c r="N2168" i="1"/>
  <c r="BO2168" i="1"/>
  <c r="BN2168" i="1"/>
  <c r="DG2657" i="1"/>
  <c r="DA2657" i="1"/>
  <c r="T2657" i="1"/>
  <c r="S2657" i="1"/>
  <c r="Q2657" i="1"/>
  <c r="P2657" i="1"/>
  <c r="N2657" i="1"/>
  <c r="BO2657" i="1"/>
  <c r="BN2657" i="1"/>
  <c r="DG2167" i="1"/>
  <c r="DA2167" i="1"/>
  <c r="T2167" i="1"/>
  <c r="S2167" i="1"/>
  <c r="Q2167" i="1"/>
  <c r="P2167" i="1"/>
  <c r="N2167" i="1"/>
  <c r="BO2167" i="1"/>
  <c r="BN2167" i="1"/>
  <c r="DG2166" i="1"/>
  <c r="DA2166" i="1"/>
  <c r="T2166" i="1"/>
  <c r="S2166" i="1"/>
  <c r="Q2166" i="1"/>
  <c r="P2166" i="1"/>
  <c r="N2166" i="1"/>
  <c r="BO2166" i="1"/>
  <c r="BN2166" i="1"/>
  <c r="DG3032" i="1"/>
  <c r="DA3032" i="1"/>
  <c r="T3032" i="1"/>
  <c r="S3032" i="1"/>
  <c r="Q3032" i="1"/>
  <c r="P3032" i="1"/>
  <c r="N3032" i="1"/>
  <c r="BO3032" i="1"/>
  <c r="BN3032" i="1"/>
  <c r="DG2656" i="1"/>
  <c r="DA2656" i="1"/>
  <c r="T2656" i="1"/>
  <c r="S2656" i="1"/>
  <c r="Q2656" i="1"/>
  <c r="P2656" i="1"/>
  <c r="N2656" i="1"/>
  <c r="BO2656" i="1"/>
  <c r="BN2656" i="1"/>
  <c r="DG2164" i="1"/>
  <c r="DA2164" i="1"/>
  <c r="T2164" i="1"/>
  <c r="S2164" i="1"/>
  <c r="Q2164" i="1"/>
  <c r="P2164" i="1"/>
  <c r="N2164" i="1"/>
  <c r="BO2164" i="1"/>
  <c r="BN2164" i="1"/>
  <c r="DG2655" i="1"/>
  <c r="DA2655" i="1"/>
  <c r="T2655" i="1"/>
  <c r="S2655" i="1"/>
  <c r="Q2655" i="1"/>
  <c r="P2655" i="1"/>
  <c r="N2655" i="1"/>
  <c r="BO2655" i="1"/>
  <c r="BN2655" i="1"/>
  <c r="DG2163" i="1"/>
  <c r="DA2163" i="1"/>
  <c r="T2163" i="1"/>
  <c r="S2163" i="1"/>
  <c r="Q2163" i="1"/>
  <c r="P2163" i="1"/>
  <c r="N2163" i="1"/>
  <c r="BO2163" i="1"/>
  <c r="BN2163" i="1"/>
  <c r="DG2909" i="1"/>
  <c r="DA2909" i="1"/>
  <c r="T2909" i="1"/>
  <c r="S2909" i="1"/>
  <c r="Q2909" i="1"/>
  <c r="P2909" i="1"/>
  <c r="N2909" i="1"/>
  <c r="BO2909" i="1"/>
  <c r="BN2909" i="1"/>
  <c r="DG3033" i="1"/>
  <c r="DA3033" i="1"/>
  <c r="T3033" i="1"/>
  <c r="S3033" i="1"/>
  <c r="Q3033" i="1"/>
  <c r="P3033" i="1"/>
  <c r="N3033" i="1"/>
  <c r="BO3033" i="1"/>
  <c r="BN3033" i="1"/>
  <c r="DG2162" i="1"/>
  <c r="DA2162" i="1"/>
  <c r="T2162" i="1"/>
  <c r="S2162" i="1"/>
  <c r="Q2162" i="1"/>
  <c r="P2162" i="1"/>
  <c r="N2162" i="1"/>
  <c r="BO2162" i="1"/>
  <c r="BN2162" i="1"/>
  <c r="DG2654" i="1"/>
  <c r="DA2654" i="1"/>
  <c r="T2654" i="1"/>
  <c r="S2654" i="1"/>
  <c r="Q2654" i="1"/>
  <c r="P2654" i="1"/>
  <c r="N2654" i="1"/>
  <c r="BO2654" i="1"/>
  <c r="BN2654" i="1"/>
  <c r="DG2161" i="1"/>
  <c r="DA2161" i="1"/>
  <c r="T2161" i="1"/>
  <c r="S2161" i="1"/>
  <c r="Q2161" i="1"/>
  <c r="P2161" i="1"/>
  <c r="N2161" i="1"/>
  <c r="BO2161" i="1"/>
  <c r="BN2161" i="1"/>
  <c r="DG2160" i="1"/>
  <c r="DA2160" i="1"/>
  <c r="T2160" i="1"/>
  <c r="S2160" i="1"/>
  <c r="Q2160" i="1"/>
  <c r="P2160" i="1"/>
  <c r="N2160" i="1"/>
  <c r="BO2160" i="1"/>
  <c r="BN2160" i="1"/>
  <c r="DG2159" i="1"/>
  <c r="DA2159" i="1"/>
  <c r="T2159" i="1"/>
  <c r="S2159" i="1"/>
  <c r="Q2159" i="1"/>
  <c r="P2159" i="1"/>
  <c r="N2159" i="1"/>
  <c r="BO2159" i="1"/>
  <c r="BN2159" i="1"/>
  <c r="DG3034" i="1"/>
  <c r="DA3034" i="1"/>
  <c r="T3034" i="1"/>
  <c r="S3034" i="1"/>
  <c r="Q3034" i="1"/>
  <c r="P3034" i="1"/>
  <c r="N3034" i="1"/>
  <c r="BO3034" i="1"/>
  <c r="BN3034" i="1"/>
  <c r="DG2652" i="1"/>
  <c r="DA2652" i="1"/>
  <c r="T2652" i="1"/>
  <c r="S2652" i="1"/>
  <c r="Q2652" i="1"/>
  <c r="P2652" i="1"/>
  <c r="N2652" i="1"/>
  <c r="BO2652" i="1"/>
  <c r="BN2652" i="1"/>
  <c r="DG2158" i="1"/>
  <c r="DA2158" i="1"/>
  <c r="T2158" i="1"/>
  <c r="S2158" i="1"/>
  <c r="Q2158" i="1"/>
  <c r="P2158" i="1"/>
  <c r="N2158" i="1"/>
  <c r="BO2158" i="1"/>
  <c r="BN2158" i="1"/>
  <c r="DG2157" i="1"/>
  <c r="DA2157" i="1"/>
  <c r="T2157" i="1"/>
  <c r="S2157" i="1"/>
  <c r="Q2157" i="1"/>
  <c r="P2157" i="1"/>
  <c r="N2157" i="1"/>
  <c r="BO2157" i="1"/>
  <c r="BN2157" i="1"/>
  <c r="DG2651" i="1"/>
  <c r="DA2651" i="1"/>
  <c r="T2651" i="1"/>
  <c r="S2651" i="1"/>
  <c r="Q2651" i="1"/>
  <c r="P2651" i="1"/>
  <c r="N2651" i="1"/>
  <c r="BO2651" i="1"/>
  <c r="BN2651" i="1"/>
  <c r="DG2156" i="1"/>
  <c r="DA2156" i="1"/>
  <c r="T2156" i="1"/>
  <c r="S2156" i="1"/>
  <c r="Q2156" i="1"/>
  <c r="P2156" i="1"/>
  <c r="N2156" i="1"/>
  <c r="BO2156" i="1"/>
  <c r="BN2156" i="1"/>
  <c r="DG2155" i="1"/>
  <c r="DA2155" i="1"/>
  <c r="T2155" i="1"/>
  <c r="S2155" i="1"/>
  <c r="Q2155" i="1"/>
  <c r="P2155" i="1"/>
  <c r="N2155" i="1"/>
  <c r="BO2155" i="1"/>
  <c r="BN2155" i="1"/>
  <c r="DG2793" i="1"/>
  <c r="DA2793" i="1"/>
  <c r="T2793" i="1"/>
  <c r="S2793" i="1"/>
  <c r="Q2793" i="1"/>
  <c r="P2793" i="1"/>
  <c r="N2793" i="1"/>
  <c r="BO2793" i="1"/>
  <c r="BN2793" i="1"/>
  <c r="DG2817" i="1"/>
  <c r="DA2817" i="1"/>
  <c r="T2817" i="1"/>
  <c r="S2817" i="1"/>
  <c r="Q2817" i="1"/>
  <c r="P2817" i="1"/>
  <c r="N2817" i="1"/>
  <c r="BO2817" i="1"/>
  <c r="BN2817" i="1"/>
  <c r="DG2910" i="1"/>
  <c r="DA2910" i="1"/>
  <c r="T2910" i="1"/>
  <c r="S2910" i="1"/>
  <c r="Q2910" i="1"/>
  <c r="P2910" i="1"/>
  <c r="N2910" i="1"/>
  <c r="BO2910" i="1"/>
  <c r="BN2910" i="1"/>
  <c r="DG3035" i="1"/>
  <c r="DA3035" i="1"/>
  <c r="T3035" i="1"/>
  <c r="S3035" i="1"/>
  <c r="Q3035" i="1"/>
  <c r="P3035" i="1"/>
  <c r="N3035" i="1"/>
  <c r="BO3035" i="1"/>
  <c r="BN3035" i="1"/>
  <c r="DG2650" i="1"/>
  <c r="DA2650" i="1"/>
  <c r="T2650" i="1"/>
  <c r="S2650" i="1"/>
  <c r="Q2650" i="1"/>
  <c r="P2650" i="1"/>
  <c r="N2650" i="1"/>
  <c r="BO2650" i="1"/>
  <c r="BN2650" i="1"/>
  <c r="DG2154" i="1"/>
  <c r="DA2154" i="1"/>
  <c r="T2154" i="1"/>
  <c r="S2154" i="1"/>
  <c r="Q2154" i="1"/>
  <c r="P2154" i="1"/>
  <c r="N2154" i="1"/>
  <c r="BO2154" i="1"/>
  <c r="BN2154" i="1"/>
  <c r="DG2153" i="1"/>
  <c r="DA2153" i="1"/>
  <c r="T2153" i="1"/>
  <c r="S2153" i="1"/>
  <c r="Q2153" i="1"/>
  <c r="P2153" i="1"/>
  <c r="N2153" i="1"/>
  <c r="BO2153" i="1"/>
  <c r="BN2153" i="1"/>
  <c r="DG2649" i="1"/>
  <c r="DA2649" i="1"/>
  <c r="T2649" i="1"/>
  <c r="S2649" i="1"/>
  <c r="Q2649" i="1"/>
  <c r="P2649" i="1"/>
  <c r="N2649" i="1"/>
  <c r="BO2649" i="1"/>
  <c r="BN2649" i="1"/>
  <c r="DG2847" i="1"/>
  <c r="DA2847" i="1"/>
  <c r="T2847" i="1"/>
  <c r="S2847" i="1"/>
  <c r="Q2847" i="1"/>
  <c r="P2847" i="1"/>
  <c r="N2847" i="1"/>
  <c r="BO2847" i="1"/>
  <c r="BN2847" i="1"/>
  <c r="DG2152" i="1"/>
  <c r="DA2152" i="1"/>
  <c r="T2152" i="1"/>
  <c r="S2152" i="1"/>
  <c r="Q2152" i="1"/>
  <c r="P2152" i="1"/>
  <c r="N2152" i="1"/>
  <c r="BO2152" i="1"/>
  <c r="BN2152" i="1"/>
  <c r="DG2151" i="1"/>
  <c r="DA2151" i="1"/>
  <c r="T2151" i="1"/>
  <c r="S2151" i="1"/>
  <c r="Q2151" i="1"/>
  <c r="P2151" i="1"/>
  <c r="N2151" i="1"/>
  <c r="BO2151" i="1"/>
  <c r="BN2151" i="1"/>
  <c r="DG3036" i="1"/>
  <c r="DA3036" i="1"/>
  <c r="T3036" i="1"/>
  <c r="S3036" i="1"/>
  <c r="Q3036" i="1"/>
  <c r="P3036" i="1"/>
  <c r="N3036" i="1"/>
  <c r="BO3036" i="1"/>
  <c r="BN3036" i="1"/>
  <c r="DG2648" i="1"/>
  <c r="DA2648" i="1"/>
  <c r="T2648" i="1"/>
  <c r="S2648" i="1"/>
  <c r="Q2648" i="1"/>
  <c r="P2648" i="1"/>
  <c r="N2648" i="1"/>
  <c r="BO2648" i="1"/>
  <c r="BN2648" i="1"/>
  <c r="DG2150" i="1"/>
  <c r="DA2150" i="1"/>
  <c r="T2150" i="1"/>
  <c r="S2150" i="1"/>
  <c r="Q2150" i="1"/>
  <c r="P2150" i="1"/>
  <c r="N2150" i="1"/>
  <c r="BO2150" i="1"/>
  <c r="BN2150" i="1"/>
  <c r="DG2149" i="1"/>
  <c r="DA2149" i="1"/>
  <c r="T2149" i="1"/>
  <c r="S2149" i="1"/>
  <c r="Q2149" i="1"/>
  <c r="P2149" i="1"/>
  <c r="N2149" i="1"/>
  <c r="BO2149" i="1"/>
  <c r="BN2149" i="1"/>
  <c r="DG2647" i="1"/>
  <c r="DA2647" i="1"/>
  <c r="T2647" i="1"/>
  <c r="S2647" i="1"/>
  <c r="Q2647" i="1"/>
  <c r="P2647" i="1"/>
  <c r="N2647" i="1"/>
  <c r="BO2647" i="1"/>
  <c r="BN2647" i="1"/>
  <c r="DG2148" i="1"/>
  <c r="DA2148" i="1"/>
  <c r="T2148" i="1"/>
  <c r="S2148" i="1"/>
  <c r="Q2148" i="1"/>
  <c r="P2148" i="1"/>
  <c r="N2148" i="1"/>
  <c r="BO2148" i="1"/>
  <c r="BN2148" i="1"/>
  <c r="DG2147" i="1"/>
  <c r="DA2147" i="1"/>
  <c r="T2147" i="1"/>
  <c r="S2147" i="1"/>
  <c r="Q2147" i="1"/>
  <c r="P2147" i="1"/>
  <c r="N2147" i="1"/>
  <c r="BO2147" i="1"/>
  <c r="BN2147" i="1"/>
  <c r="DG2848" i="1"/>
  <c r="DA2848" i="1"/>
  <c r="T2848" i="1"/>
  <c r="S2848" i="1"/>
  <c r="Q2848" i="1"/>
  <c r="P2848" i="1"/>
  <c r="N2848" i="1"/>
  <c r="BO2848" i="1"/>
  <c r="BN2848" i="1"/>
  <c r="DG3037" i="1"/>
  <c r="DA3037" i="1"/>
  <c r="T3037" i="1"/>
  <c r="S3037" i="1"/>
  <c r="Q3037" i="1"/>
  <c r="P3037" i="1"/>
  <c r="N3037" i="1"/>
  <c r="BO3037" i="1"/>
  <c r="BN3037" i="1"/>
  <c r="DG2646" i="1"/>
  <c r="DA2646" i="1"/>
  <c r="T2646" i="1"/>
  <c r="S2646" i="1"/>
  <c r="Q2646" i="1"/>
  <c r="P2646" i="1"/>
  <c r="N2646" i="1"/>
  <c r="BO2646" i="1"/>
  <c r="BN2646" i="1"/>
  <c r="DG2146" i="1"/>
  <c r="DA2146" i="1"/>
  <c r="T2146" i="1"/>
  <c r="S2146" i="1"/>
  <c r="Q2146" i="1"/>
  <c r="P2146" i="1"/>
  <c r="N2146" i="1"/>
  <c r="BO2146" i="1"/>
  <c r="BN2146" i="1"/>
  <c r="DG2645" i="1"/>
  <c r="DA2645" i="1"/>
  <c r="T2645" i="1"/>
  <c r="S2645" i="1"/>
  <c r="Q2645" i="1"/>
  <c r="P2645" i="1"/>
  <c r="N2645" i="1"/>
  <c r="BO2645" i="1"/>
  <c r="BN2645" i="1"/>
  <c r="DG2144" i="1"/>
  <c r="DA2144" i="1"/>
  <c r="T2144" i="1"/>
  <c r="S2144" i="1"/>
  <c r="Q2144" i="1"/>
  <c r="P2144" i="1"/>
  <c r="N2144" i="1"/>
  <c r="BO2144" i="1"/>
  <c r="BN2144" i="1"/>
  <c r="DG2143" i="1"/>
  <c r="DA2143" i="1"/>
  <c r="T2143" i="1"/>
  <c r="S2143" i="1"/>
  <c r="Q2143" i="1"/>
  <c r="P2143" i="1"/>
  <c r="N2143" i="1"/>
  <c r="BO2143" i="1"/>
  <c r="BN2143" i="1"/>
  <c r="DG3038" i="1"/>
  <c r="DA3038" i="1"/>
  <c r="T3038" i="1"/>
  <c r="S3038" i="1"/>
  <c r="Q3038" i="1"/>
  <c r="P3038" i="1"/>
  <c r="N3038" i="1"/>
  <c r="BO3038" i="1"/>
  <c r="BN3038" i="1"/>
  <c r="DG2644" i="1"/>
  <c r="DA2644" i="1"/>
  <c r="T2644" i="1"/>
  <c r="S2644" i="1"/>
  <c r="Q2644" i="1"/>
  <c r="P2644" i="1"/>
  <c r="N2644" i="1"/>
  <c r="BO2644" i="1"/>
  <c r="BN2644" i="1"/>
  <c r="DG2142" i="1"/>
  <c r="DA2142" i="1"/>
  <c r="T2142" i="1"/>
  <c r="S2142" i="1"/>
  <c r="Q2142" i="1"/>
  <c r="P2142" i="1"/>
  <c r="N2142" i="1"/>
  <c r="BO2142" i="1"/>
  <c r="BN2142" i="1"/>
  <c r="DG2141" i="1"/>
  <c r="DA2141" i="1"/>
  <c r="T2141" i="1"/>
  <c r="S2141" i="1"/>
  <c r="Q2141" i="1"/>
  <c r="P2141" i="1"/>
  <c r="N2141" i="1"/>
  <c r="BO2141" i="1"/>
  <c r="BN2141" i="1"/>
  <c r="DG2140" i="1"/>
  <c r="DA2140" i="1"/>
  <c r="T2140" i="1"/>
  <c r="S2140" i="1"/>
  <c r="Q2140" i="1"/>
  <c r="P2140" i="1"/>
  <c r="N2140" i="1"/>
  <c r="BO2140" i="1"/>
  <c r="BN2140" i="1"/>
  <c r="DG2139" i="1"/>
  <c r="DA2139" i="1"/>
  <c r="T2139" i="1"/>
  <c r="S2139" i="1"/>
  <c r="Q2139" i="1"/>
  <c r="P2139" i="1"/>
  <c r="N2139" i="1"/>
  <c r="BO2139" i="1"/>
  <c r="BN2139" i="1"/>
  <c r="DG2849" i="1"/>
  <c r="DA2849" i="1"/>
  <c r="T2849" i="1"/>
  <c r="S2849" i="1"/>
  <c r="Q2849" i="1"/>
  <c r="P2849" i="1"/>
  <c r="N2849" i="1"/>
  <c r="BO2849" i="1"/>
  <c r="BN2849" i="1"/>
  <c r="DG2912" i="1"/>
  <c r="DA2912" i="1"/>
  <c r="T2912" i="1"/>
  <c r="S2912" i="1"/>
  <c r="Q2912" i="1"/>
  <c r="P2912" i="1"/>
  <c r="N2912" i="1"/>
  <c r="BO2912" i="1"/>
  <c r="BN2912" i="1"/>
  <c r="DG3039" i="1"/>
  <c r="DA3039" i="1"/>
  <c r="T3039" i="1"/>
  <c r="S3039" i="1"/>
  <c r="Q3039" i="1"/>
  <c r="P3039" i="1"/>
  <c r="N3039" i="1"/>
  <c r="BO3039" i="1"/>
  <c r="BN3039" i="1"/>
  <c r="DG2642" i="1"/>
  <c r="DA2642" i="1"/>
  <c r="T2642" i="1"/>
  <c r="S2642" i="1"/>
  <c r="Q2642" i="1"/>
  <c r="P2642" i="1"/>
  <c r="N2642" i="1"/>
  <c r="BO2642" i="1"/>
  <c r="BN2642" i="1"/>
  <c r="DG2138" i="1"/>
  <c r="DA2138" i="1"/>
  <c r="T2138" i="1"/>
  <c r="S2138" i="1"/>
  <c r="Q2138" i="1"/>
  <c r="P2138" i="1"/>
  <c r="N2138" i="1"/>
  <c r="BO2138" i="1"/>
  <c r="BN2138" i="1"/>
  <c r="DG2641" i="1"/>
  <c r="DA2641" i="1"/>
  <c r="T2641" i="1"/>
  <c r="S2641" i="1"/>
  <c r="Q2641" i="1"/>
  <c r="P2641" i="1"/>
  <c r="N2641" i="1"/>
  <c r="BO2641" i="1"/>
  <c r="BN2641" i="1"/>
  <c r="DG2911" i="1"/>
  <c r="DA2911" i="1"/>
  <c r="T2911" i="1"/>
  <c r="S2911" i="1"/>
  <c r="Q2911" i="1"/>
  <c r="P2911" i="1"/>
  <c r="N2911" i="1"/>
  <c r="BO2911" i="1"/>
  <c r="BN2911" i="1"/>
  <c r="DG2136" i="1"/>
  <c r="DA2136" i="1"/>
  <c r="T2136" i="1"/>
  <c r="S2136" i="1"/>
  <c r="Q2136" i="1"/>
  <c r="P2136" i="1"/>
  <c r="N2136" i="1"/>
  <c r="BO2136" i="1"/>
  <c r="BN2136" i="1"/>
  <c r="DG2135" i="1"/>
  <c r="DA2135" i="1"/>
  <c r="T2135" i="1"/>
  <c r="S2135" i="1"/>
  <c r="Q2135" i="1"/>
  <c r="P2135" i="1"/>
  <c r="N2135" i="1"/>
  <c r="BO2135" i="1"/>
  <c r="BN2135" i="1"/>
  <c r="DG2640" i="1"/>
  <c r="DA2640" i="1"/>
  <c r="T2640" i="1"/>
  <c r="S2640" i="1"/>
  <c r="Q2640" i="1"/>
  <c r="P2640" i="1"/>
  <c r="N2640" i="1"/>
  <c r="BO2640" i="1"/>
  <c r="BN2640" i="1"/>
  <c r="DG2134" i="1"/>
  <c r="DA2134" i="1"/>
  <c r="T2134" i="1"/>
  <c r="S2134" i="1"/>
  <c r="Q2134" i="1"/>
  <c r="P2134" i="1"/>
  <c r="N2134" i="1"/>
  <c r="BO2134" i="1"/>
  <c r="BN2134" i="1"/>
  <c r="DG2133" i="1"/>
  <c r="DA2133" i="1"/>
  <c r="T2133" i="1"/>
  <c r="S2133" i="1"/>
  <c r="Q2133" i="1"/>
  <c r="P2133" i="1"/>
  <c r="N2133" i="1"/>
  <c r="BO2133" i="1"/>
  <c r="BN2133" i="1"/>
  <c r="DG2639" i="1"/>
  <c r="DA2639" i="1"/>
  <c r="T2639" i="1"/>
  <c r="S2639" i="1"/>
  <c r="Q2639" i="1"/>
  <c r="P2639" i="1"/>
  <c r="N2639" i="1"/>
  <c r="BO2639" i="1"/>
  <c r="BN2639" i="1"/>
  <c r="DG2132" i="1"/>
  <c r="DA2132" i="1"/>
  <c r="T2132" i="1"/>
  <c r="S2132" i="1"/>
  <c r="Q2132" i="1"/>
  <c r="P2132" i="1"/>
  <c r="N2132" i="1"/>
  <c r="BO2132" i="1"/>
  <c r="BN2132" i="1"/>
  <c r="DG2131" i="1"/>
  <c r="DA2131" i="1"/>
  <c r="T2131" i="1"/>
  <c r="S2131" i="1"/>
  <c r="Q2131" i="1"/>
  <c r="P2131" i="1"/>
  <c r="N2131" i="1"/>
  <c r="BO2131" i="1"/>
  <c r="BN2131" i="1"/>
  <c r="DG2913" i="1"/>
  <c r="DA2913" i="1"/>
  <c r="T2913" i="1"/>
  <c r="S2913" i="1"/>
  <c r="Q2913" i="1"/>
  <c r="P2913" i="1"/>
  <c r="N2913" i="1"/>
  <c r="BO2913" i="1"/>
  <c r="BN2913" i="1"/>
  <c r="DG3041" i="1"/>
  <c r="DA3041" i="1"/>
  <c r="T3041" i="1"/>
  <c r="S3041" i="1"/>
  <c r="Q3041" i="1"/>
  <c r="P3041" i="1"/>
  <c r="N3041" i="1"/>
  <c r="BO3041" i="1"/>
  <c r="BN3041" i="1"/>
  <c r="DG2638" i="1"/>
  <c r="DA2638" i="1"/>
  <c r="T2638" i="1"/>
  <c r="S2638" i="1"/>
  <c r="Q2638" i="1"/>
  <c r="P2638" i="1"/>
  <c r="N2638" i="1"/>
  <c r="BO2638" i="1"/>
  <c r="BN2638" i="1"/>
  <c r="DG2130" i="1"/>
  <c r="DA2130" i="1"/>
  <c r="T2130" i="1"/>
  <c r="S2130" i="1"/>
  <c r="Q2130" i="1"/>
  <c r="P2130" i="1"/>
  <c r="N2130" i="1"/>
  <c r="BO2130" i="1"/>
  <c r="BN2130" i="1"/>
  <c r="DG2129" i="1"/>
  <c r="DA2129" i="1"/>
  <c r="T2129" i="1"/>
  <c r="S2129" i="1"/>
  <c r="Q2129" i="1"/>
  <c r="P2129" i="1"/>
  <c r="N2129" i="1"/>
  <c r="BO2129" i="1"/>
  <c r="BN2129" i="1"/>
  <c r="DG2128" i="1"/>
  <c r="DA2128" i="1"/>
  <c r="T2128" i="1"/>
  <c r="S2128" i="1"/>
  <c r="Q2128" i="1"/>
  <c r="P2128" i="1"/>
  <c r="N2128" i="1"/>
  <c r="BO2128" i="1"/>
  <c r="BN2128" i="1"/>
  <c r="DG2127" i="1"/>
  <c r="DA2127" i="1"/>
  <c r="T2127" i="1"/>
  <c r="S2127" i="1"/>
  <c r="Q2127" i="1"/>
  <c r="P2127" i="1"/>
  <c r="N2127" i="1"/>
  <c r="BO2127" i="1"/>
  <c r="BN2127" i="1"/>
  <c r="DG3042" i="1"/>
  <c r="DA3042" i="1"/>
  <c r="T3042" i="1"/>
  <c r="S3042" i="1"/>
  <c r="Q3042" i="1"/>
  <c r="P3042" i="1"/>
  <c r="N3042" i="1"/>
  <c r="BO3042" i="1"/>
  <c r="BN3042" i="1"/>
  <c r="DG2636" i="1"/>
  <c r="DA2636" i="1"/>
  <c r="T2636" i="1"/>
  <c r="S2636" i="1"/>
  <c r="Q2636" i="1"/>
  <c r="P2636" i="1"/>
  <c r="N2636" i="1"/>
  <c r="BO2636" i="1"/>
  <c r="BN2636" i="1"/>
  <c r="DG2126" i="1"/>
  <c r="DA2126" i="1"/>
  <c r="T2126" i="1"/>
  <c r="S2126" i="1"/>
  <c r="Q2126" i="1"/>
  <c r="P2126" i="1"/>
  <c r="N2126" i="1"/>
  <c r="BO2126" i="1"/>
  <c r="BN2126" i="1"/>
  <c r="DG2125" i="1"/>
  <c r="DA2125" i="1"/>
  <c r="T2125" i="1"/>
  <c r="S2125" i="1"/>
  <c r="Q2125" i="1"/>
  <c r="P2125" i="1"/>
  <c r="N2125" i="1"/>
  <c r="BO2125" i="1"/>
  <c r="BN2125" i="1"/>
  <c r="DG2635" i="1"/>
  <c r="DA2635" i="1"/>
  <c r="T2635" i="1"/>
  <c r="S2635" i="1"/>
  <c r="Q2635" i="1"/>
  <c r="P2635" i="1"/>
  <c r="N2635" i="1"/>
  <c r="BO2635" i="1"/>
  <c r="BN2635" i="1"/>
  <c r="DG2124" i="1"/>
  <c r="DA2124" i="1"/>
  <c r="T2124" i="1"/>
  <c r="S2124" i="1"/>
  <c r="Q2124" i="1"/>
  <c r="P2124" i="1"/>
  <c r="N2124" i="1"/>
  <c r="BO2124" i="1"/>
  <c r="BN2124" i="1"/>
  <c r="DG2123" i="1"/>
  <c r="DA2123" i="1"/>
  <c r="T2123" i="1"/>
  <c r="S2123" i="1"/>
  <c r="Q2123" i="1"/>
  <c r="P2123" i="1"/>
  <c r="N2123" i="1"/>
  <c r="BO2123" i="1"/>
  <c r="BN2123" i="1"/>
  <c r="DG1120" i="1"/>
  <c r="DA1120" i="1"/>
  <c r="T1120" i="1"/>
  <c r="S1120" i="1"/>
  <c r="Q1120" i="1"/>
  <c r="P1120" i="1"/>
  <c r="N1120" i="1"/>
  <c r="BO1120" i="1"/>
  <c r="BN1120" i="1"/>
  <c r="DG1903" i="1"/>
  <c r="DA1903" i="1"/>
  <c r="T1903" i="1"/>
  <c r="S1903" i="1"/>
  <c r="Q1903" i="1"/>
  <c r="P1903" i="1"/>
  <c r="N1903" i="1"/>
  <c r="BO1903" i="1"/>
  <c r="BN1903" i="1"/>
  <c r="DG1119" i="1"/>
  <c r="DA1119" i="1"/>
  <c r="T1119" i="1"/>
  <c r="S1119" i="1"/>
  <c r="Q1119" i="1"/>
  <c r="P1119" i="1"/>
  <c r="N1119" i="1"/>
  <c r="BO1119" i="1"/>
  <c r="BN1119" i="1"/>
  <c r="DG1851" i="1"/>
  <c r="DA1851" i="1"/>
  <c r="T1851" i="1"/>
  <c r="S1851" i="1"/>
  <c r="Q1851" i="1"/>
  <c r="P1851" i="1"/>
  <c r="N1851" i="1"/>
  <c r="BO1851" i="1"/>
  <c r="BN1851" i="1"/>
  <c r="DG1118" i="1"/>
  <c r="DA1118" i="1"/>
  <c r="T1118" i="1"/>
  <c r="S1118" i="1"/>
  <c r="Q1118" i="1"/>
  <c r="P1118" i="1"/>
  <c r="N1118" i="1"/>
  <c r="BO1118" i="1"/>
  <c r="BN1118" i="1"/>
  <c r="DG1117" i="1"/>
  <c r="DA1117" i="1"/>
  <c r="T1117" i="1"/>
  <c r="S1117" i="1"/>
  <c r="Q1117" i="1"/>
  <c r="P1117" i="1"/>
  <c r="N1117" i="1"/>
  <c r="BO1117" i="1"/>
  <c r="BN1117" i="1"/>
  <c r="DG1902" i="1"/>
  <c r="DA1902" i="1"/>
  <c r="T1902" i="1"/>
  <c r="S1902" i="1"/>
  <c r="Q1902" i="1"/>
  <c r="P1902" i="1"/>
  <c r="N1902" i="1"/>
  <c r="BO1902" i="1"/>
  <c r="BN1902" i="1"/>
  <c r="DG1116" i="1"/>
  <c r="DA1116" i="1"/>
  <c r="T1116" i="1"/>
  <c r="S1116" i="1"/>
  <c r="Q1116" i="1"/>
  <c r="P1116" i="1"/>
  <c r="N1116" i="1"/>
  <c r="BO1116" i="1"/>
  <c r="BN1116" i="1"/>
  <c r="DG1115" i="1"/>
  <c r="DA1115" i="1"/>
  <c r="T1115" i="1"/>
  <c r="S1115" i="1"/>
  <c r="Q1115" i="1"/>
  <c r="P1115" i="1"/>
  <c r="N1115" i="1"/>
  <c r="BO1115" i="1"/>
  <c r="BN1115" i="1"/>
  <c r="DG1114" i="1"/>
  <c r="DA1114" i="1"/>
  <c r="T1114" i="1"/>
  <c r="S1114" i="1"/>
  <c r="Q1114" i="1"/>
  <c r="P1114" i="1"/>
  <c r="N1114" i="1"/>
  <c r="BO1114" i="1"/>
  <c r="BN1114" i="1"/>
  <c r="DG1889" i="1"/>
  <c r="DA1889" i="1"/>
  <c r="T1889" i="1"/>
  <c r="S1889" i="1"/>
  <c r="Q1889" i="1"/>
  <c r="P1889" i="1"/>
  <c r="N1889" i="1"/>
  <c r="BO1889" i="1"/>
  <c r="BN1889" i="1"/>
  <c r="DG1113" i="1"/>
  <c r="DA1113" i="1"/>
  <c r="T1113" i="1"/>
  <c r="S1113" i="1"/>
  <c r="Q1113" i="1"/>
  <c r="P1113" i="1"/>
  <c r="N1113" i="1"/>
  <c r="BO1113" i="1"/>
  <c r="BN1113" i="1"/>
  <c r="DG1849" i="1"/>
  <c r="DA1849" i="1"/>
  <c r="T1849" i="1"/>
  <c r="S1849" i="1"/>
  <c r="Q1849" i="1"/>
  <c r="P1849" i="1"/>
  <c r="N1849" i="1"/>
  <c r="BO1849" i="1"/>
  <c r="BN1849" i="1"/>
  <c r="DG1112" i="1"/>
  <c r="DA1112" i="1"/>
  <c r="T1112" i="1"/>
  <c r="S1112" i="1"/>
  <c r="Q1112" i="1"/>
  <c r="P1112" i="1"/>
  <c r="N1112" i="1"/>
  <c r="BO1112" i="1"/>
  <c r="BN1112" i="1"/>
  <c r="DG1111" i="1"/>
  <c r="DA1111" i="1"/>
  <c r="T1111" i="1"/>
  <c r="S1111" i="1"/>
  <c r="Q1111" i="1"/>
  <c r="P1111" i="1"/>
  <c r="N1111" i="1"/>
  <c r="BO1111" i="1"/>
  <c r="BN1111" i="1"/>
  <c r="DG1801" i="1"/>
  <c r="DA1801" i="1"/>
  <c r="T1801" i="1"/>
  <c r="S1801" i="1"/>
  <c r="Q1801" i="1"/>
  <c r="P1801" i="1"/>
  <c r="N1801" i="1"/>
  <c r="BO1801" i="1"/>
  <c r="BN1801" i="1"/>
  <c r="DG1110" i="1"/>
  <c r="DA1110" i="1"/>
  <c r="T1110" i="1"/>
  <c r="S1110" i="1"/>
  <c r="Q1110" i="1"/>
  <c r="P1110" i="1"/>
  <c r="N1110" i="1"/>
  <c r="BO1110" i="1"/>
  <c r="BN1110" i="1"/>
  <c r="DG1811" i="1"/>
  <c r="DA1811" i="1"/>
  <c r="T1811" i="1"/>
  <c r="S1811" i="1"/>
  <c r="Q1811" i="1"/>
  <c r="P1811" i="1"/>
  <c r="N1811" i="1"/>
  <c r="BO1811" i="1"/>
  <c r="BN1811" i="1"/>
  <c r="DG1109" i="1"/>
  <c r="DA1109" i="1"/>
  <c r="T1109" i="1"/>
  <c r="S1109" i="1"/>
  <c r="Q1109" i="1"/>
  <c r="P1109" i="1"/>
  <c r="N1109" i="1"/>
  <c r="BO1109" i="1"/>
  <c r="BN1109" i="1"/>
  <c r="DG1817" i="1"/>
  <c r="DA1817" i="1"/>
  <c r="T1817" i="1"/>
  <c r="S1817" i="1"/>
  <c r="Q1817" i="1"/>
  <c r="P1817" i="1"/>
  <c r="N1817" i="1"/>
  <c r="BO1817" i="1"/>
  <c r="BN1817" i="1"/>
  <c r="DG1108" i="1"/>
  <c r="DA1108" i="1"/>
  <c r="T1108" i="1"/>
  <c r="S1108" i="1"/>
  <c r="Q1108" i="1"/>
  <c r="P1108" i="1"/>
  <c r="N1108" i="1"/>
  <c r="BO1108" i="1"/>
  <c r="BN1108" i="1"/>
  <c r="DG1107" i="1"/>
  <c r="DA1107" i="1"/>
  <c r="T1107" i="1"/>
  <c r="S1107" i="1"/>
  <c r="Q1107" i="1"/>
  <c r="P1107" i="1"/>
  <c r="N1107" i="1"/>
  <c r="BO1107" i="1"/>
  <c r="BN1107" i="1"/>
  <c r="DG1818" i="1"/>
  <c r="DA1818" i="1"/>
  <c r="T1818" i="1"/>
  <c r="S1818" i="1"/>
  <c r="Q1818" i="1"/>
  <c r="P1818" i="1"/>
  <c r="N1818" i="1"/>
  <c r="BO1818" i="1"/>
  <c r="BN1818" i="1"/>
  <c r="DG1106" i="1"/>
  <c r="DA1106" i="1"/>
  <c r="T1106" i="1"/>
  <c r="S1106" i="1"/>
  <c r="Q1106" i="1"/>
  <c r="P1106" i="1"/>
  <c r="N1106" i="1"/>
  <c r="BO1106" i="1"/>
  <c r="BN1106" i="1"/>
  <c r="DG1875" i="1"/>
  <c r="DA1875" i="1"/>
  <c r="T1875" i="1"/>
  <c r="S1875" i="1"/>
  <c r="Q1875" i="1"/>
  <c r="P1875" i="1"/>
  <c r="N1875" i="1"/>
  <c r="BO1875" i="1"/>
  <c r="BN1875" i="1"/>
  <c r="DG1105" i="1"/>
  <c r="DA1105" i="1"/>
  <c r="T1105" i="1"/>
  <c r="S1105" i="1"/>
  <c r="Q1105" i="1"/>
  <c r="P1105" i="1"/>
  <c r="N1105" i="1"/>
  <c r="BO1105" i="1"/>
  <c r="BN1105" i="1"/>
  <c r="DG1855" i="1"/>
  <c r="DA1855" i="1"/>
  <c r="T1855" i="1"/>
  <c r="S1855" i="1"/>
  <c r="Q1855" i="1"/>
  <c r="P1855" i="1"/>
  <c r="N1855" i="1"/>
  <c r="BO1855" i="1"/>
  <c r="BN1855" i="1"/>
  <c r="DG1104" i="1"/>
  <c r="DA1104" i="1"/>
  <c r="T1104" i="1"/>
  <c r="S1104" i="1"/>
  <c r="Q1104" i="1"/>
  <c r="P1104" i="1"/>
  <c r="N1104" i="1"/>
  <c r="BO1104" i="1"/>
  <c r="BN1104" i="1"/>
  <c r="DG1103" i="1"/>
  <c r="DA1103" i="1"/>
  <c r="T1103" i="1"/>
  <c r="S1103" i="1"/>
  <c r="Q1103" i="1"/>
  <c r="P1103" i="1"/>
  <c r="N1103" i="1"/>
  <c r="BO1103" i="1"/>
  <c r="BN1103" i="1"/>
  <c r="DG1890" i="1"/>
  <c r="DA1890" i="1"/>
  <c r="T1890" i="1"/>
  <c r="S1890" i="1"/>
  <c r="Q1890" i="1"/>
  <c r="P1890" i="1"/>
  <c r="N1890" i="1"/>
  <c r="BO1890" i="1"/>
  <c r="BN1890" i="1"/>
  <c r="DG1102" i="1"/>
  <c r="DA1102" i="1"/>
  <c r="T1102" i="1"/>
  <c r="S1102" i="1"/>
  <c r="Q1102" i="1"/>
  <c r="P1102" i="1"/>
  <c r="N1102" i="1"/>
  <c r="BO1102" i="1"/>
  <c r="BN1102" i="1"/>
  <c r="DG1809" i="1"/>
  <c r="DA1809" i="1"/>
  <c r="T1809" i="1"/>
  <c r="S1809" i="1"/>
  <c r="Q1809" i="1"/>
  <c r="P1809" i="1"/>
  <c r="N1809" i="1"/>
  <c r="BO1809" i="1"/>
  <c r="BN1809" i="1"/>
  <c r="DG1101" i="1"/>
  <c r="DA1101" i="1"/>
  <c r="T1101" i="1"/>
  <c r="S1101" i="1"/>
  <c r="Q1101" i="1"/>
  <c r="P1101" i="1"/>
  <c r="N1101" i="1"/>
  <c r="BO1101" i="1"/>
  <c r="BN1101" i="1"/>
  <c r="DG1907" i="1"/>
  <c r="DA1907" i="1"/>
  <c r="T1907" i="1"/>
  <c r="S1907" i="1"/>
  <c r="Q1907" i="1"/>
  <c r="P1907" i="1"/>
  <c r="N1907" i="1"/>
  <c r="BO1907" i="1"/>
  <c r="BN1907" i="1"/>
  <c r="DG1100" i="1"/>
  <c r="DA1100" i="1"/>
  <c r="T1100" i="1"/>
  <c r="S1100" i="1"/>
  <c r="Q1100" i="1"/>
  <c r="P1100" i="1"/>
  <c r="N1100" i="1"/>
  <c r="BO1100" i="1"/>
  <c r="BN1100" i="1"/>
  <c r="DG1099" i="1"/>
  <c r="DA1099" i="1"/>
  <c r="T1099" i="1"/>
  <c r="S1099" i="1"/>
  <c r="Q1099" i="1"/>
  <c r="P1099" i="1"/>
  <c r="N1099" i="1"/>
  <c r="BO1099" i="1"/>
  <c r="BN1099" i="1"/>
  <c r="DG1810" i="1"/>
  <c r="DA1810" i="1"/>
  <c r="T1810" i="1"/>
  <c r="S1810" i="1"/>
  <c r="Q1810" i="1"/>
  <c r="P1810" i="1"/>
  <c r="N1810" i="1"/>
  <c r="BO1810" i="1"/>
  <c r="BN1810" i="1"/>
  <c r="DG1098" i="1"/>
  <c r="DA1098" i="1"/>
  <c r="T1098" i="1"/>
  <c r="S1098" i="1"/>
  <c r="Q1098" i="1"/>
  <c r="P1098" i="1"/>
  <c r="N1098" i="1"/>
  <c r="BO1098" i="1"/>
  <c r="BN1098" i="1"/>
  <c r="DG1892" i="1"/>
  <c r="DA1892" i="1"/>
  <c r="T1892" i="1"/>
  <c r="S1892" i="1"/>
  <c r="Q1892" i="1"/>
  <c r="P1892" i="1"/>
  <c r="N1892" i="1"/>
  <c r="BO1892" i="1"/>
  <c r="BN1892" i="1"/>
  <c r="DG1097" i="1"/>
  <c r="DA1097" i="1"/>
  <c r="T1097" i="1"/>
  <c r="S1097" i="1"/>
  <c r="Q1097" i="1"/>
  <c r="P1097" i="1"/>
  <c r="N1097" i="1"/>
  <c r="BO1097" i="1"/>
  <c r="BN1097" i="1"/>
</calcChain>
</file>

<file path=xl/sharedStrings.xml><?xml version="1.0" encoding="utf-8"?>
<sst xmlns="http://schemas.openxmlformats.org/spreadsheetml/2006/main" count="202581" uniqueCount="5725">
  <si>
    <t>資産ID</t>
  </si>
  <si>
    <t>資産名</t>
  </si>
  <si>
    <t>資産負債番号</t>
  </si>
  <si>
    <t>資産負債枝番</t>
  </si>
  <si>
    <t>資産負債履歴番号</t>
  </si>
  <si>
    <t>他台帳区分</t>
  </si>
  <si>
    <t>他台帳番号</t>
  </si>
  <si>
    <t>他台帳枝番</t>
  </si>
  <si>
    <t>資産名称</t>
  </si>
  <si>
    <t>資産負債区分</t>
  </si>
  <si>
    <t>資産負債内訳区分</t>
  </si>
  <si>
    <t>施設コード</t>
  </si>
  <si>
    <t>目的別資産区分</t>
  </si>
  <si>
    <t>勘定科目区分</t>
  </si>
  <si>
    <t>勘定科目連番</t>
  </si>
  <si>
    <t>勘定科目枝番</t>
  </si>
  <si>
    <t>所属コード</t>
  </si>
  <si>
    <t>執行課</t>
  </si>
  <si>
    <t>取得年月日</t>
  </si>
  <si>
    <t>完成日</t>
  </si>
  <si>
    <t>供用開始年月日</t>
  </si>
  <si>
    <t>供用開始回数</t>
  </si>
  <si>
    <t>売却予定日</t>
  </si>
  <si>
    <t>登録年月日</t>
  </si>
  <si>
    <t>用途</t>
  </si>
  <si>
    <t>廃止フラグ</t>
  </si>
  <si>
    <t>所有割合</t>
  </si>
  <si>
    <t>郵便番号</t>
  </si>
  <si>
    <t>都道府県コード</t>
  </si>
  <si>
    <t>自治体コード</t>
  </si>
  <si>
    <t>大字通称コード</t>
  </si>
  <si>
    <t>字丁目コード</t>
  </si>
  <si>
    <t>都道府県名称</t>
  </si>
  <si>
    <t>市区郡町村名称</t>
  </si>
  <si>
    <t>大字通称名称</t>
  </si>
  <si>
    <t>所在地</t>
  </si>
  <si>
    <t>番地</t>
  </si>
  <si>
    <t>方書</t>
  </si>
  <si>
    <t>設置場所</t>
  </si>
  <si>
    <t>設計書番号</t>
  </si>
  <si>
    <t>管理番号等</t>
  </si>
  <si>
    <t>緯度</t>
  </si>
  <si>
    <t>経度</t>
  </si>
  <si>
    <t>資産計上区分</t>
  </si>
  <si>
    <t>資産登録区分</t>
  </si>
  <si>
    <t>所有関係区分</t>
  </si>
  <si>
    <t>財産区分</t>
  </si>
  <si>
    <t>未利用財産</t>
  </si>
  <si>
    <t>売却可能区分</t>
  </si>
  <si>
    <t>売却可能ランク</t>
  </si>
  <si>
    <t>仕訳帳反映フラグ</t>
  </si>
  <si>
    <t>財産調書分類</t>
  </si>
  <si>
    <t>取込ファイル名</t>
  </si>
  <si>
    <t>異動年度</t>
  </si>
  <si>
    <t>異動年月日</t>
  </si>
  <si>
    <t>異動事由コード</t>
  </si>
  <si>
    <t>異動事由コード（変換元）</t>
  </si>
  <si>
    <t>異動内訳区分</t>
  </si>
  <si>
    <t>数量(異動数量)</t>
  </si>
  <si>
    <t>異動増減額</t>
  </si>
  <si>
    <t>団体コード</t>
  </si>
  <si>
    <t>会計</t>
  </si>
  <si>
    <t>予算科目（款）</t>
  </si>
  <si>
    <t>予算科目（項）</t>
  </si>
  <si>
    <t>予算科目（目）</t>
  </si>
  <si>
    <t>予算科目（事業１）</t>
  </si>
  <si>
    <t>予算科目（事業２）</t>
  </si>
  <si>
    <t>予算科目（事業３）</t>
  </si>
  <si>
    <t>予算科目（事業４）</t>
  </si>
  <si>
    <t>予算科目（事業５）</t>
  </si>
  <si>
    <t>伝票番号</t>
  </si>
  <si>
    <t>伝票枝番</t>
  </si>
  <si>
    <t>相手番号</t>
  </si>
  <si>
    <t>相手枝番</t>
  </si>
  <si>
    <t>相手コード</t>
  </si>
  <si>
    <t>事業分類</t>
  </si>
  <si>
    <t>取得財源内訳</t>
  </si>
  <si>
    <t>建設仮勘定番号</t>
  </si>
  <si>
    <t>建設仮勘定枝番</t>
  </si>
  <si>
    <t>建設仮勘定履歴番号</t>
  </si>
  <si>
    <t>資産評価区分</t>
  </si>
  <si>
    <t>資産評価方法</t>
  </si>
  <si>
    <t>単価ID</t>
  </si>
  <si>
    <t>資産評価概要</t>
  </si>
  <si>
    <t>償却開始年月日</t>
  </si>
  <si>
    <t>償却対象区分</t>
  </si>
  <si>
    <t>償却開始区分</t>
  </si>
  <si>
    <t>備忘価額区分</t>
  </si>
  <si>
    <t>中古区分</t>
  </si>
  <si>
    <t>減価償却計算</t>
  </si>
  <si>
    <t>減価償却率</t>
  </si>
  <si>
    <t>耐用年数大分類</t>
  </si>
  <si>
    <t>耐用年数中分類</t>
  </si>
  <si>
    <t>耐用年数小分類</t>
  </si>
  <si>
    <t>耐用年数</t>
  </si>
  <si>
    <t>稼働年数</t>
  </si>
  <si>
    <t>単価</t>
  </si>
  <si>
    <t>数量</t>
  </si>
  <si>
    <t>単位</t>
  </si>
  <si>
    <t>時価等</t>
  </si>
  <si>
    <t>減価償却累計額</t>
  </si>
  <si>
    <t>減価償却年額</t>
  </si>
  <si>
    <t>異動前簿価</t>
  </si>
  <si>
    <t>簿価</t>
  </si>
  <si>
    <t>開始取得価額等</t>
  </si>
  <si>
    <t>供用開始額</t>
  </si>
  <si>
    <t>現況地目</t>
  </si>
  <si>
    <t>地区</t>
  </si>
  <si>
    <t>路線番号</t>
  </si>
  <si>
    <t>登記地目</t>
  </si>
  <si>
    <t>登記面積</t>
  </si>
  <si>
    <t>登記日</t>
  </si>
  <si>
    <t>評価地目</t>
  </si>
  <si>
    <t>構造</t>
  </si>
  <si>
    <t>屋根</t>
  </si>
  <si>
    <t>地上階数</t>
  </si>
  <si>
    <t>地下階数</t>
  </si>
  <si>
    <t>建面積</t>
  </si>
  <si>
    <t>分類</t>
  </si>
  <si>
    <t>重要区分</t>
  </si>
  <si>
    <t>種目</t>
  </si>
  <si>
    <t>権利</t>
  </si>
  <si>
    <t>樹齢</t>
  </si>
  <si>
    <t>幅員</t>
  </si>
  <si>
    <t>財産番号（旧）</t>
  </si>
  <si>
    <t>明細番号（旧）</t>
  </si>
  <si>
    <t>自由入力３</t>
  </si>
  <si>
    <t>自由入力４</t>
  </si>
  <si>
    <t>自由入力５</t>
  </si>
  <si>
    <t>自由入力６</t>
  </si>
  <si>
    <t>自由入力７</t>
  </si>
  <si>
    <t>自由入力８</t>
  </si>
  <si>
    <t>自由入力９</t>
  </si>
  <si>
    <t>自由入力１０</t>
  </si>
  <si>
    <t>自由入力１１</t>
  </si>
  <si>
    <t>自由入力１２</t>
  </si>
  <si>
    <t>自由入力１３</t>
  </si>
  <si>
    <t>自由入力１４</t>
  </si>
  <si>
    <t>自由入力１５</t>
  </si>
  <si>
    <t>自由入力１６</t>
  </si>
  <si>
    <t>自由入力１７</t>
  </si>
  <si>
    <t>自由入力１８</t>
  </si>
  <si>
    <t>自由入力１９</t>
  </si>
  <si>
    <t>自由入力２０</t>
  </si>
  <si>
    <t>自由入力２１</t>
  </si>
  <si>
    <t>自由入力２２</t>
  </si>
  <si>
    <t>自由入力２３</t>
  </si>
  <si>
    <t>自由入力２４</t>
  </si>
  <si>
    <t>自由入力２５</t>
  </si>
  <si>
    <t>自由入力２６</t>
  </si>
  <si>
    <t>自由入力２７</t>
  </si>
  <si>
    <t>自由入力２８</t>
  </si>
  <si>
    <t>自由入力２９</t>
  </si>
  <si>
    <t>自由入力３０</t>
  </si>
  <si>
    <t>自由入力３１</t>
  </si>
  <si>
    <t>自由入力３２</t>
  </si>
  <si>
    <t>自由入力３３</t>
  </si>
  <si>
    <t>自由入力３４</t>
  </si>
  <si>
    <t>自由入力３５</t>
  </si>
  <si>
    <t>自由入力３６</t>
  </si>
  <si>
    <t>自由入力３７</t>
  </si>
  <si>
    <t>自由入力３８</t>
  </si>
  <si>
    <t>自由入力３９</t>
  </si>
  <si>
    <t>自由入力４０</t>
  </si>
  <si>
    <t>自由入力４１</t>
  </si>
  <si>
    <t>自由入力４２</t>
  </si>
  <si>
    <t>自由入力４３</t>
  </si>
  <si>
    <t>自由入力４４</t>
  </si>
  <si>
    <t>自由入力４５</t>
  </si>
  <si>
    <t>自由入力４６</t>
  </si>
  <si>
    <t>自由入力４７</t>
  </si>
  <si>
    <t>自由入力４８</t>
  </si>
  <si>
    <t>自由入力４９</t>
  </si>
  <si>
    <t>自由入力５０</t>
  </si>
  <si>
    <t>自由入力５１</t>
  </si>
  <si>
    <t>自由入力５２</t>
  </si>
  <si>
    <t>自由入力５３</t>
  </si>
  <si>
    <t>自由入力５４</t>
  </si>
  <si>
    <t>自由入力５５</t>
  </si>
  <si>
    <t>自由入力５６</t>
  </si>
  <si>
    <t>自由入力５７</t>
  </si>
  <si>
    <t>自由入力５８</t>
  </si>
  <si>
    <t>自由入力５９</t>
  </si>
  <si>
    <t>自由入力６０</t>
  </si>
  <si>
    <t>自由入力６１</t>
  </si>
  <si>
    <t>自由入力６２</t>
  </si>
  <si>
    <t>自由入力６３</t>
  </si>
  <si>
    <t>自由入力６４</t>
  </si>
  <si>
    <t>自由入力６５</t>
  </si>
  <si>
    <t>自由入力６６</t>
  </si>
  <si>
    <t>自由入力６７</t>
  </si>
  <si>
    <t>自由入力６８</t>
  </si>
  <si>
    <t>自由入力６９</t>
  </si>
  <si>
    <t>自由入力７０</t>
  </si>
  <si>
    <t>追加項目１</t>
  </si>
  <si>
    <t>追加項目２</t>
  </si>
  <si>
    <t>追加項目３</t>
  </si>
  <si>
    <t>追加項目４</t>
  </si>
  <si>
    <t>追加項目５</t>
  </si>
  <si>
    <t>追加項目６</t>
  </si>
  <si>
    <t>追加項目７</t>
  </si>
  <si>
    <t>追加項目８</t>
  </si>
  <si>
    <t>追加項目９</t>
  </si>
  <si>
    <t>追加項目１０</t>
  </si>
  <si>
    <t>追加項目１１</t>
  </si>
  <si>
    <t>追加項目１２</t>
  </si>
  <si>
    <t>追加項目１３</t>
  </si>
  <si>
    <t>追加項目１４</t>
  </si>
  <si>
    <t>追加項目１５</t>
  </si>
  <si>
    <t>追加項目１６</t>
  </si>
  <si>
    <t>追加項目１７</t>
  </si>
  <si>
    <t>追加項目１８</t>
  </si>
  <si>
    <t>追加項目１９</t>
  </si>
  <si>
    <t>追加項目２０</t>
  </si>
  <si>
    <t>追加項目２１</t>
  </si>
  <si>
    <t>追加項目２２</t>
  </si>
  <si>
    <t>追加項目２３</t>
  </si>
  <si>
    <t>追加項目２４</t>
  </si>
  <si>
    <t>追加項目２５</t>
  </si>
  <si>
    <t>追加項目２６</t>
  </si>
  <si>
    <t>追加項目２７</t>
  </si>
  <si>
    <t>追加項目２８</t>
  </si>
  <si>
    <t>追加項目２９</t>
  </si>
  <si>
    <t>追加項目３０</t>
  </si>
  <si>
    <t>耐震診断状況(建物)</t>
  </si>
  <si>
    <t>耐震化状況(建物)</t>
  </si>
  <si>
    <t>長寿命化履歴</t>
  </si>
  <si>
    <t>複合化状況</t>
  </si>
  <si>
    <t>利用者数(件数)</t>
  </si>
  <si>
    <t>稼働率</t>
  </si>
  <si>
    <t>運営方式</t>
  </si>
  <si>
    <t>運営時間</t>
  </si>
  <si>
    <t>職員人数</t>
  </si>
  <si>
    <t>ランニングコスト</t>
  </si>
  <si>
    <t>第１資産負債属性情報</t>
  </si>
  <si>
    <t>第２資産負債属性情報</t>
  </si>
  <si>
    <t>第３資産負債属性情報</t>
  </si>
  <si>
    <t>第４資産負債属性情報</t>
  </si>
  <si>
    <t>第５資産負債属性情報</t>
  </si>
  <si>
    <t>土地明細一覧</t>
  </si>
  <si>
    <t>01:公有財産土地台帳</t>
  </si>
  <si>
    <t/>
  </si>
  <si>
    <t>0:その他</t>
  </si>
  <si>
    <t>7:総務（総務）</t>
  </si>
  <si>
    <t>1045100000:迫総合支所市民課</t>
  </si>
  <si>
    <t>1900/01/01</t>
  </si>
  <si>
    <t>2016/03/31</t>
  </si>
  <si>
    <t>0:通常</t>
  </si>
  <si>
    <t>100</t>
  </si>
  <si>
    <t>0:計上対象</t>
  </si>
  <si>
    <t>0:自己資産</t>
  </si>
  <si>
    <t>1:行政財産</t>
  </si>
  <si>
    <t>0:売却不可資産</t>
  </si>
  <si>
    <t>2015</t>
  </si>
  <si>
    <t>25:訂正</t>
  </si>
  <si>
    <t>3104:運用開始時</t>
  </si>
  <si>
    <t>001</t>
  </si>
  <si>
    <t>01</t>
  </si>
  <si>
    <t>2:再調達原価</t>
  </si>
  <si>
    <t>0:個別評価</t>
  </si>
  <si>
    <t>1:償却対象でない</t>
  </si>
  <si>
    <t>1:一円残しする</t>
  </si>
  <si>
    <t>1050000:事業用／土地</t>
  </si>
  <si>
    <t xml:space="preserve">0: </t>
  </si>
  <si>
    <t>0</t>
  </si>
  <si>
    <t>01:平方メートル</t>
  </si>
  <si>
    <t>03:宅地</t>
  </si>
  <si>
    <t>1</t>
  </si>
  <si>
    <t>99:その他</t>
  </si>
  <si>
    <t>公衆用道路</t>
  </si>
  <si>
    <t>41:インフラ資産／土地</t>
  </si>
  <si>
    <t>1:道路河川及び水路の敷地</t>
  </si>
  <si>
    <t>002018:公衆用道路</t>
  </si>
  <si>
    <t>1:生活インフラ・国土保全（生活インフラ・国土保全）</t>
  </si>
  <si>
    <t>1040100000:建設総務課</t>
  </si>
  <si>
    <t>中田町上沼字揚地南18</t>
  </si>
  <si>
    <t>9:評価しない</t>
  </si>
  <si>
    <t>11:公衆用道路</t>
  </si>
  <si>
    <t>0750001</t>
  </si>
  <si>
    <t>355</t>
  </si>
  <si>
    <t>R2石打坂・一ツ塚線（土地購入）</t>
  </si>
  <si>
    <t>2021/03/01</t>
  </si>
  <si>
    <t>2018/04/01</t>
  </si>
  <si>
    <t>迫町北方字新八ノ森前113-1</t>
  </si>
  <si>
    <t>2018</t>
  </si>
  <si>
    <t>0102:売買（受）</t>
  </si>
  <si>
    <t>1:取得価額等</t>
  </si>
  <si>
    <t>25:その他</t>
  </si>
  <si>
    <t>1180</t>
  </si>
  <si>
    <t>中田町上沼字揚地南19</t>
  </si>
  <si>
    <t>356</t>
  </si>
  <si>
    <t>H30穴山・南大畑線（土地購入）</t>
  </si>
  <si>
    <t>2019/03/11</t>
  </si>
  <si>
    <t>伝票：81493-001　</t>
  </si>
  <si>
    <t>米山町字桜岡峯前子</t>
  </si>
  <si>
    <t>2017</t>
  </si>
  <si>
    <t>1091</t>
  </si>
  <si>
    <t>中田町上沼字揚地南20</t>
  </si>
  <si>
    <t>357</t>
  </si>
  <si>
    <t>1060100000:中田総合支所市民課</t>
  </si>
  <si>
    <t>中田町上沼字西桜場18</t>
  </si>
  <si>
    <t>中田町上沼字揚地南21</t>
  </si>
  <si>
    <t>358</t>
  </si>
  <si>
    <t>R2下在線（用地測量）</t>
  </si>
  <si>
    <t>2021/02/26</t>
  </si>
  <si>
    <t>津山町柳津字茶臼</t>
  </si>
  <si>
    <t>2401:本勘定振替</t>
  </si>
  <si>
    <t>1199</t>
  </si>
  <si>
    <t>中田町上沼字揚地南22</t>
  </si>
  <si>
    <t>359</t>
  </si>
  <si>
    <t>H30穴山・南大畑線（移転補償）</t>
  </si>
  <si>
    <t>2019/03/08</t>
  </si>
  <si>
    <t>伝票：81496-001、002　</t>
  </si>
  <si>
    <t>1090</t>
  </si>
  <si>
    <t>中田町上沼字新八幡浦40</t>
  </si>
  <si>
    <t>360</t>
  </si>
  <si>
    <t>大泉・小名倉線</t>
  </si>
  <si>
    <t>2021/03/26</t>
  </si>
  <si>
    <t>2019/02/28</t>
  </si>
  <si>
    <t>中田町上沼字大泉天神山106-2</t>
  </si>
  <si>
    <t>1177</t>
  </si>
  <si>
    <t>中田町上沼字新八幡浦41</t>
  </si>
  <si>
    <t>361</t>
  </si>
  <si>
    <t>0301:所管換</t>
  </si>
  <si>
    <t>05:山林</t>
  </si>
  <si>
    <t>19:用悪水路</t>
  </si>
  <si>
    <t>1057</t>
  </si>
  <si>
    <t>4</t>
  </si>
  <si>
    <t>中田町上沼字新八幡浦42</t>
  </si>
  <si>
    <t>362</t>
  </si>
  <si>
    <t>H30東待井下２号線（用地測量）</t>
  </si>
  <si>
    <t>2019/03/28</t>
  </si>
  <si>
    <t>豊里町東待井下</t>
  </si>
  <si>
    <t>1139</t>
  </si>
  <si>
    <t>中田町上沼字新八幡浦43</t>
  </si>
  <si>
    <t>363</t>
  </si>
  <si>
    <t>R1白地５号線（移転補償）</t>
  </si>
  <si>
    <t>2020/03/05</t>
  </si>
  <si>
    <t>2019/03/19</t>
  </si>
  <si>
    <t>中田町内</t>
  </si>
  <si>
    <t>1159</t>
  </si>
  <si>
    <t>中田町上沼字新八幡浦44</t>
  </si>
  <si>
    <t>364</t>
  </si>
  <si>
    <t>H30駅前油島線（土地購入）</t>
  </si>
  <si>
    <t>石越町南郷字西門沖</t>
  </si>
  <si>
    <t>1100</t>
  </si>
  <si>
    <t>中田町上沼字新八幡浦45</t>
  </si>
  <si>
    <t>365</t>
  </si>
  <si>
    <t>02:畑</t>
  </si>
  <si>
    <t>39</t>
  </si>
  <si>
    <t>中田町上沼字新八幡浦46</t>
  </si>
  <si>
    <t>366</t>
  </si>
  <si>
    <t>H30駅前油島線（移転補償）</t>
  </si>
  <si>
    <t>2019/03/26</t>
  </si>
  <si>
    <t>1099</t>
  </si>
  <si>
    <t>中田町上沼字新八幡浦47</t>
  </si>
  <si>
    <t>367</t>
  </si>
  <si>
    <t>H30荒戸沢線（移転補償）</t>
  </si>
  <si>
    <t>2019/02/19</t>
  </si>
  <si>
    <t>米山町字桜岡貝待井</t>
  </si>
  <si>
    <t>1092</t>
  </si>
  <si>
    <t>中田町上沼字新八幡浦48</t>
  </si>
  <si>
    <t>368</t>
  </si>
  <si>
    <t>H29三沼線土地購入</t>
  </si>
  <si>
    <t>2018/03/28</t>
  </si>
  <si>
    <t>迫町北方字石打坂85-1</t>
  </si>
  <si>
    <t>1082</t>
  </si>
  <si>
    <t>中田町上沼字新八幡浦49</t>
  </si>
  <si>
    <t>369</t>
  </si>
  <si>
    <t>1045</t>
  </si>
  <si>
    <t>中田町上沼字新八幡浦50</t>
  </si>
  <si>
    <t>370</t>
  </si>
  <si>
    <t>H28H29峯前子線（土地購入）</t>
  </si>
  <si>
    <t>2019/03/30</t>
  </si>
  <si>
    <t>1133</t>
  </si>
  <si>
    <t>中田町上沼字新北要害浦50</t>
  </si>
  <si>
    <t>371</t>
  </si>
  <si>
    <t>沢田７号線</t>
  </si>
  <si>
    <t>2020/08/21</t>
  </si>
  <si>
    <t>2018/12/19</t>
  </si>
  <si>
    <t>南方町松島屋敷130-4</t>
  </si>
  <si>
    <t>1176</t>
  </si>
  <si>
    <t>中田町上沼字新北要害浦51</t>
  </si>
  <si>
    <t>372</t>
  </si>
  <si>
    <t>1047</t>
  </si>
  <si>
    <t>中田町上沼字新北要害浦52</t>
  </si>
  <si>
    <t>373</t>
  </si>
  <si>
    <t>01:田</t>
  </si>
  <si>
    <t>3</t>
  </si>
  <si>
    <t>中田町上沼字新北要害浦53</t>
  </si>
  <si>
    <t>374</t>
  </si>
  <si>
    <t>R2辺室山中道線（土地購入）</t>
  </si>
  <si>
    <t>登米町寺池辺室山</t>
  </si>
  <si>
    <t>1193</t>
  </si>
  <si>
    <t>中田町上沼字新北要害浦54</t>
  </si>
  <si>
    <t>375</t>
  </si>
  <si>
    <t>1042</t>
  </si>
  <si>
    <t>中田町上沼字新北要害浦55</t>
  </si>
  <si>
    <t>376</t>
  </si>
  <si>
    <t>筒場埣６号線（測量）</t>
  </si>
  <si>
    <t>2019/03/29</t>
  </si>
  <si>
    <t>2019/03/25</t>
  </si>
  <si>
    <t>住宅都市整備課宅地造成事業にて測量　</t>
  </si>
  <si>
    <t>米山町中津山字筒場埣</t>
  </si>
  <si>
    <t>1135</t>
  </si>
  <si>
    <t>中田町上沼字新北要害浦56</t>
  </si>
  <si>
    <t>377</t>
  </si>
  <si>
    <t>R2辺室山中道線（移転補償）</t>
  </si>
  <si>
    <t>2021/02/25</t>
  </si>
  <si>
    <t>1194</t>
  </si>
  <si>
    <t>中田町上沼字新北要害浦57</t>
  </si>
  <si>
    <t>378</t>
  </si>
  <si>
    <t>01_01_09</t>
  </si>
  <si>
    <t>3101:調査判明（増）</t>
  </si>
  <si>
    <t>10:雑種地</t>
  </si>
  <si>
    <t>0:普通財産</t>
  </si>
  <si>
    <t>2</t>
  </si>
  <si>
    <t>2016</t>
  </si>
  <si>
    <t>1040300000:住宅都市整備課</t>
  </si>
  <si>
    <t>2010/03/31</t>
  </si>
  <si>
    <t>40</t>
  </si>
  <si>
    <t>2008/03/31</t>
  </si>
  <si>
    <t>08:公園</t>
  </si>
  <si>
    <t>用悪水路</t>
  </si>
  <si>
    <t>002007:用悪水路</t>
  </si>
  <si>
    <t>東和町米谷字新中渡戸33</t>
  </si>
  <si>
    <t>0750002</t>
  </si>
  <si>
    <t>206</t>
  </si>
  <si>
    <t>東和町米谷字新中渡戸34</t>
  </si>
  <si>
    <t>207</t>
  </si>
  <si>
    <t>中田町石森字脇谷前92</t>
  </si>
  <si>
    <t>718</t>
  </si>
  <si>
    <t>東和町米谷字新中渡戸35</t>
  </si>
  <si>
    <t>208</t>
  </si>
  <si>
    <t>東和町米谷字新中渡戸36</t>
  </si>
  <si>
    <t>209</t>
  </si>
  <si>
    <t>中田町石森字脇谷前93</t>
  </si>
  <si>
    <t>719</t>
  </si>
  <si>
    <t>石越町北郷字新丸谷地73</t>
  </si>
  <si>
    <t>1125</t>
  </si>
  <si>
    <t>東和町米谷字新中渡戸37</t>
  </si>
  <si>
    <t>210</t>
  </si>
  <si>
    <t>東和町錦織字新川端40</t>
  </si>
  <si>
    <t>211</t>
  </si>
  <si>
    <t>99</t>
  </si>
  <si>
    <t>東和町錦織字新川端41</t>
  </si>
  <si>
    <t>212</t>
  </si>
  <si>
    <t>東和町錦織字新川端42</t>
  </si>
  <si>
    <t>213</t>
  </si>
  <si>
    <t>中田町石森字霜田前51</t>
  </si>
  <si>
    <t>721</t>
  </si>
  <si>
    <t>石越町北郷字新大和田67</t>
  </si>
  <si>
    <t>1124</t>
  </si>
  <si>
    <t>石越町北郷字新押込50</t>
  </si>
  <si>
    <t>996</t>
  </si>
  <si>
    <t>東和町錦織字新川端43</t>
  </si>
  <si>
    <t>214</t>
  </si>
  <si>
    <t>東和町錦織字新川端44</t>
  </si>
  <si>
    <t>215</t>
  </si>
  <si>
    <t>中田町石森字霜田前52</t>
  </si>
  <si>
    <t>722</t>
  </si>
  <si>
    <t>東和町錦織字新川端45</t>
  </si>
  <si>
    <t>216</t>
  </si>
  <si>
    <t>東和町錦織字新川端46</t>
  </si>
  <si>
    <t>217</t>
  </si>
  <si>
    <t>中田町石森字霜田前53</t>
  </si>
  <si>
    <t>723</t>
  </si>
  <si>
    <t>東和町錦織字新川端47</t>
  </si>
  <si>
    <t>218</t>
  </si>
  <si>
    <t>東和町錦織字新川端48</t>
  </si>
  <si>
    <t>219</t>
  </si>
  <si>
    <t>石越町北郷字新押込48</t>
  </si>
  <si>
    <t>994</t>
  </si>
  <si>
    <t>中田町石森字霜田前54</t>
  </si>
  <si>
    <t>724</t>
  </si>
  <si>
    <t>東和町錦織字新二良根49</t>
  </si>
  <si>
    <t>221</t>
  </si>
  <si>
    <t>中田町石森字霜田前55</t>
  </si>
  <si>
    <t>725</t>
  </si>
  <si>
    <t>石越町北郷字新大和田65</t>
  </si>
  <si>
    <t>1122</t>
  </si>
  <si>
    <t>石越町北郷字新押込49</t>
  </si>
  <si>
    <t>995</t>
  </si>
  <si>
    <t>中田町上沼字金谷西90</t>
  </si>
  <si>
    <t>932</t>
  </si>
  <si>
    <t>東和町錦織字新二良根45</t>
  </si>
  <si>
    <t>222</t>
  </si>
  <si>
    <t>東和町錦織字新二良根46</t>
  </si>
  <si>
    <t>223</t>
  </si>
  <si>
    <t>1010300000:総務課</t>
  </si>
  <si>
    <t>東和町錦織字新二良根47</t>
  </si>
  <si>
    <t>224</t>
  </si>
  <si>
    <t>東和町錦織字新二良根48</t>
  </si>
  <si>
    <t>225</t>
  </si>
  <si>
    <t>中田町石森字霜田前57</t>
  </si>
  <si>
    <t>727</t>
  </si>
  <si>
    <t>石越町北郷字新大和田64</t>
  </si>
  <si>
    <t>1121</t>
  </si>
  <si>
    <t>東和町錦織字新二良根50</t>
  </si>
  <si>
    <t>226</t>
  </si>
  <si>
    <t>東和町錦織字新二良根51</t>
  </si>
  <si>
    <t>227</t>
  </si>
  <si>
    <t>中田町石森字霜田前58</t>
  </si>
  <si>
    <t>728</t>
  </si>
  <si>
    <t>東和町錦織字新二良根53</t>
  </si>
  <si>
    <t>229</t>
  </si>
  <si>
    <t>中田町石森字霜田前59</t>
  </si>
  <si>
    <t>729</t>
  </si>
  <si>
    <t>石越町北郷字新大和田63</t>
  </si>
  <si>
    <t>1120</t>
  </si>
  <si>
    <t>中田町上沼字金谷西89</t>
  </si>
  <si>
    <t>931</t>
  </si>
  <si>
    <t>東和町錦織字新二良根54</t>
  </si>
  <si>
    <t>230</t>
  </si>
  <si>
    <t>東和町米谷字沖ノ田118</t>
  </si>
  <si>
    <t>231</t>
  </si>
  <si>
    <t>中田町石森字霜田前60</t>
  </si>
  <si>
    <t>730</t>
  </si>
  <si>
    <t>東和町米谷字沖ノ田119</t>
  </si>
  <si>
    <t>232</t>
  </si>
  <si>
    <t>東和町米谷字沖ノ田120</t>
  </si>
  <si>
    <t>233</t>
  </si>
  <si>
    <t>中田町石森字霜田前61</t>
  </si>
  <si>
    <t>731</t>
  </si>
  <si>
    <t>石越町北郷字新大和田62</t>
  </si>
  <si>
    <t>1119</t>
  </si>
  <si>
    <t>東和町米谷字沖ノ田121</t>
  </si>
  <si>
    <t>234</t>
  </si>
  <si>
    <t>東和町米谷字沖ノ田122</t>
  </si>
  <si>
    <t>235</t>
  </si>
  <si>
    <t>中田町上沼字金谷西88</t>
  </si>
  <si>
    <t>930</t>
  </si>
  <si>
    <t>中田町石森字霜田前62</t>
  </si>
  <si>
    <t>732</t>
  </si>
  <si>
    <t>東和町米谷字沖ノ田123</t>
  </si>
  <si>
    <t>236</t>
  </si>
  <si>
    <t>東和町米谷字沖ノ田124</t>
  </si>
  <si>
    <t>237</t>
  </si>
  <si>
    <t>中田町石森字霜田前63</t>
  </si>
  <si>
    <t>733</t>
  </si>
  <si>
    <t>石越町北郷字新大和田61</t>
  </si>
  <si>
    <t>1118</t>
  </si>
  <si>
    <t>石越町北郷字新押込47</t>
  </si>
  <si>
    <t>993</t>
  </si>
  <si>
    <t>中田町石森字小倉南106</t>
  </si>
  <si>
    <t>900</t>
  </si>
  <si>
    <t>中田町石森字新小倉99</t>
  </si>
  <si>
    <t>876</t>
  </si>
  <si>
    <t>東和町米谷字沖ノ田125</t>
  </si>
  <si>
    <t>238</t>
  </si>
  <si>
    <t>東和町米谷字沖ノ田126</t>
  </si>
  <si>
    <t>239</t>
  </si>
  <si>
    <t>中田町石森字霜田前64</t>
  </si>
  <si>
    <t>734</t>
  </si>
  <si>
    <t>東和町米谷字沖ノ田127</t>
  </si>
  <si>
    <t>240</t>
  </si>
  <si>
    <t>東和町米谷字沖ノ田128</t>
  </si>
  <si>
    <t>241</t>
  </si>
  <si>
    <t>中田町石森字霜田前65</t>
  </si>
  <si>
    <t>735</t>
  </si>
  <si>
    <t>石越町北郷字新大和田60</t>
  </si>
  <si>
    <t>1117</t>
  </si>
  <si>
    <t>東和町米谷字沖ノ田129</t>
  </si>
  <si>
    <t>242</t>
  </si>
  <si>
    <t>東和町米谷字沖ノ田130</t>
  </si>
  <si>
    <t>243</t>
  </si>
  <si>
    <t>東和町米谷字沖ノ田131</t>
  </si>
  <si>
    <t>244</t>
  </si>
  <si>
    <t>中田町石森字高見前23</t>
  </si>
  <si>
    <t>737</t>
  </si>
  <si>
    <t>東和町米谷字沖ノ田132</t>
  </si>
  <si>
    <t>245</t>
  </si>
  <si>
    <t>石越町北郷字新富崎前76</t>
  </si>
  <si>
    <t>1116</t>
  </si>
  <si>
    <t>石越町北郷字新押込46</t>
  </si>
  <si>
    <t>992</t>
  </si>
  <si>
    <t>東和町米谷字沖ノ田133</t>
  </si>
  <si>
    <t>246</t>
  </si>
  <si>
    <t>中田町石森字高見前24</t>
  </si>
  <si>
    <t>738</t>
  </si>
  <si>
    <t>東和町米谷字沖ノ田134</t>
  </si>
  <si>
    <t>247</t>
  </si>
  <si>
    <t>中田町石森字高見前25</t>
  </si>
  <si>
    <t>739</t>
  </si>
  <si>
    <t>石越町北郷字新富崎前75</t>
  </si>
  <si>
    <t>1115</t>
  </si>
  <si>
    <t>東和町米谷字沖ノ田136</t>
  </si>
  <si>
    <t>249</t>
  </si>
  <si>
    <t>東和町米谷字沖ノ田137</t>
  </si>
  <si>
    <t>250</t>
  </si>
  <si>
    <t>中田町石森字高見前26</t>
  </si>
  <si>
    <t>740</t>
  </si>
  <si>
    <t>東和町米谷字沖ノ田138</t>
  </si>
  <si>
    <t>251</t>
  </si>
  <si>
    <t>東和町米谷字沖ノ田165</t>
  </si>
  <si>
    <t>277</t>
  </si>
  <si>
    <t>3010150000:生涯学習課</t>
  </si>
  <si>
    <t>9</t>
  </si>
  <si>
    <t>石越町北郷字新富崎前74</t>
  </si>
  <si>
    <t>1114</t>
  </si>
  <si>
    <t>東和町米谷字沖ノ田140</t>
  </si>
  <si>
    <t>253</t>
  </si>
  <si>
    <t>石越町北郷字新押込45</t>
  </si>
  <si>
    <t>991</t>
  </si>
  <si>
    <t>迫町新田字新伊豆崎151</t>
  </si>
  <si>
    <t>38</t>
  </si>
  <si>
    <t>東和町米谷字沖ノ田141</t>
  </si>
  <si>
    <t>254</t>
  </si>
  <si>
    <t>中田町石森字高見前28</t>
  </si>
  <si>
    <t>742</t>
  </si>
  <si>
    <t>東和町米谷字沖ノ田142</t>
  </si>
  <si>
    <t>255</t>
  </si>
  <si>
    <t>迫町新田字新舟崎135</t>
  </si>
  <si>
    <t>70</t>
  </si>
  <si>
    <t>迫町新田字新舟崎143</t>
  </si>
  <si>
    <t>78</t>
  </si>
  <si>
    <t>東和町米谷字沖ノ田143</t>
  </si>
  <si>
    <t>256</t>
  </si>
  <si>
    <t>中田町石森字高見前29</t>
  </si>
  <si>
    <t>743</t>
  </si>
  <si>
    <t>東和町米谷字沖ノ田144</t>
  </si>
  <si>
    <t>257</t>
  </si>
  <si>
    <t>石越町北郷字新富崎前73</t>
  </si>
  <si>
    <t>1113</t>
  </si>
  <si>
    <t>東和町米谷字沖ノ田145</t>
  </si>
  <si>
    <t>258</t>
  </si>
  <si>
    <t>東和町米谷字沖ノ田146</t>
  </si>
  <si>
    <t>259</t>
  </si>
  <si>
    <t>8</t>
  </si>
  <si>
    <t>中田町上沼字新東金谷59</t>
  </si>
  <si>
    <t>990</t>
  </si>
  <si>
    <t>東和町米谷字沖ノ田147</t>
  </si>
  <si>
    <t>260</t>
  </si>
  <si>
    <t>中田町石森字北川前68</t>
  </si>
  <si>
    <t>745</t>
  </si>
  <si>
    <t>石越町北郷字新富崎前72</t>
  </si>
  <si>
    <t>1112</t>
  </si>
  <si>
    <t>東和町米谷字沖ノ田150</t>
  </si>
  <si>
    <t>263</t>
  </si>
  <si>
    <t>中田町石森字北川前70</t>
  </si>
  <si>
    <t>747</t>
  </si>
  <si>
    <t>中田町石森字北川前71</t>
  </si>
  <si>
    <t>748</t>
  </si>
  <si>
    <t>中田町上沼字新東金谷54</t>
  </si>
  <si>
    <t>985</t>
  </si>
  <si>
    <t>中田町上沼字金谷西87</t>
  </si>
  <si>
    <t>929</t>
  </si>
  <si>
    <t>石越町北郷字新富崎前70</t>
  </si>
  <si>
    <t>1110</t>
  </si>
  <si>
    <t>中田町石森字新小倉107</t>
  </si>
  <si>
    <t>884</t>
  </si>
  <si>
    <t>東和町米谷字沖ノ田157</t>
  </si>
  <si>
    <t>269</t>
  </si>
  <si>
    <t>中田町石森字北川前72</t>
  </si>
  <si>
    <t>749</t>
  </si>
  <si>
    <t>中田町石森字新小倉95</t>
  </si>
  <si>
    <t>872</t>
  </si>
  <si>
    <t>石越町北郷字新北53</t>
  </si>
  <si>
    <t>1235</t>
  </si>
  <si>
    <t>東和町米谷字沖ノ田158</t>
  </si>
  <si>
    <t>270</t>
  </si>
  <si>
    <t>中田町石森字北川前73</t>
  </si>
  <si>
    <t>750</t>
  </si>
  <si>
    <t>東和町米谷字楼台123</t>
  </si>
  <si>
    <t>302</t>
  </si>
  <si>
    <t>中田町石森字北川前74</t>
  </si>
  <si>
    <t>751</t>
  </si>
  <si>
    <t>中田町石森字北川前75</t>
  </si>
  <si>
    <t>752</t>
  </si>
  <si>
    <t>中田町上沼字新東金谷57</t>
  </si>
  <si>
    <t>988</t>
  </si>
  <si>
    <t>中田町石森字北川前76</t>
  </si>
  <si>
    <t>753</t>
  </si>
  <si>
    <t>登米町大字日根牛新北沢53</t>
  </si>
  <si>
    <t>306</t>
  </si>
  <si>
    <t>中田町石森字北川前77</t>
  </si>
  <si>
    <t>754</t>
  </si>
  <si>
    <t>石越町北郷字新富崎前60</t>
  </si>
  <si>
    <t>中田町石森字北川前78</t>
  </si>
  <si>
    <t>755</t>
  </si>
  <si>
    <t>東和町米谷字楼台97</t>
  </si>
  <si>
    <t>282</t>
  </si>
  <si>
    <t>登米町大字日根牛新中田62</t>
  </si>
  <si>
    <t>311</t>
  </si>
  <si>
    <t>登米町大字日根牛新中田64</t>
  </si>
  <si>
    <t>312</t>
  </si>
  <si>
    <t>中田町石森字北川前79</t>
  </si>
  <si>
    <t>756</t>
  </si>
  <si>
    <t>石越町北郷字新富崎前66</t>
  </si>
  <si>
    <t>1106</t>
  </si>
  <si>
    <t>7</t>
  </si>
  <si>
    <t>中田町上沼字新東金谷56</t>
  </si>
  <si>
    <t>987</t>
  </si>
  <si>
    <t>東和町米谷字楼台100</t>
  </si>
  <si>
    <t>285</t>
  </si>
  <si>
    <t>中田町上沼字金谷西86</t>
  </si>
  <si>
    <t>928</t>
  </si>
  <si>
    <t>登米町大字日根牛新中田66</t>
  </si>
  <si>
    <t>313</t>
  </si>
  <si>
    <t>東和町米谷字楼台104</t>
  </si>
  <si>
    <t>286</t>
  </si>
  <si>
    <t>東和町米谷字楼台105</t>
  </si>
  <si>
    <t>287</t>
  </si>
  <si>
    <t>中田町石森字北川前81</t>
  </si>
  <si>
    <t>758</t>
  </si>
  <si>
    <t>東和町米谷字楼台106</t>
  </si>
  <si>
    <t>288</t>
  </si>
  <si>
    <t>中田町石森字北川前82</t>
  </si>
  <si>
    <t>759</t>
  </si>
  <si>
    <t>東和町米谷字楼台109</t>
  </si>
  <si>
    <t>289</t>
  </si>
  <si>
    <t>石越町北郷字新富崎前65</t>
  </si>
  <si>
    <t>1105</t>
  </si>
  <si>
    <t>東和町米谷字楼台111</t>
  </si>
  <si>
    <t>290</t>
  </si>
  <si>
    <t>中田町石森字北川前83</t>
  </si>
  <si>
    <t>760</t>
  </si>
  <si>
    <t>迫町新田字新舟崎151</t>
  </si>
  <si>
    <t>86</t>
  </si>
  <si>
    <t>6</t>
  </si>
  <si>
    <t>東和町米谷字楼台113</t>
  </si>
  <si>
    <t>292</t>
  </si>
  <si>
    <t>中田町石森字北川前84</t>
  </si>
  <si>
    <t>761</t>
  </si>
  <si>
    <t>東和町米谷字楼台114</t>
  </si>
  <si>
    <t>293</t>
  </si>
  <si>
    <t>石越町北郷字新富崎前64</t>
  </si>
  <si>
    <t>1104</t>
  </si>
  <si>
    <t>中田町上沼字新東金谷55</t>
  </si>
  <si>
    <t>986</t>
  </si>
  <si>
    <t>東和町米谷字楼台115</t>
  </si>
  <si>
    <t>294</t>
  </si>
  <si>
    <t>石越町北郷字新富崎前63</t>
  </si>
  <si>
    <t>1103</t>
  </si>
  <si>
    <t>迫町新田字新舟崎126-3</t>
  </si>
  <si>
    <t>61</t>
  </si>
  <si>
    <t>迫町新田字新伊豆崎139</t>
  </si>
  <si>
    <t>53</t>
  </si>
  <si>
    <t>東和町米谷字楼台117</t>
  </si>
  <si>
    <t>296</t>
  </si>
  <si>
    <t>迫町新田字新伊豆崎131</t>
  </si>
  <si>
    <t>45</t>
  </si>
  <si>
    <t>東和町米谷字楼台118</t>
  </si>
  <si>
    <t>297</t>
  </si>
  <si>
    <t>中田町石森字北川前86</t>
  </si>
  <si>
    <t>763</t>
  </si>
  <si>
    <t>東和町米谷字楼台119</t>
  </si>
  <si>
    <t>298</t>
  </si>
  <si>
    <t>5</t>
  </si>
  <si>
    <t>東和町米谷字楼台120</t>
  </si>
  <si>
    <t>299</t>
  </si>
  <si>
    <t>中田町石森字北川前87</t>
  </si>
  <si>
    <t>764</t>
  </si>
  <si>
    <t>中田町宝江新井田字東大谷地49</t>
  </si>
  <si>
    <t>536</t>
  </si>
  <si>
    <t>中田町石森字小倉南104</t>
  </si>
  <si>
    <t>898</t>
  </si>
  <si>
    <t>東和町米谷字楼台121</t>
  </si>
  <si>
    <t>300</t>
  </si>
  <si>
    <t>中田町宝江新井田字東大谷地48</t>
  </si>
  <si>
    <t>535</t>
  </si>
  <si>
    <t>中田町石森字新小倉106</t>
  </si>
  <si>
    <t>883</t>
  </si>
  <si>
    <t>中田町宝江新井田字西芝尻94</t>
  </si>
  <si>
    <t>534</t>
  </si>
  <si>
    <t>石越町北郷字新富崎前62</t>
  </si>
  <si>
    <t>1102</t>
  </si>
  <si>
    <t>東和町米谷字楼台122</t>
  </si>
  <si>
    <t>301</t>
  </si>
  <si>
    <t>中田町石森字北川前88</t>
  </si>
  <si>
    <t>765</t>
  </si>
  <si>
    <t>中田町石森字中田西115</t>
  </si>
  <si>
    <t>927</t>
  </si>
  <si>
    <t>東和町米谷字沖ノ田153</t>
  </si>
  <si>
    <t>266</t>
  </si>
  <si>
    <t>中田町石森字北川前89</t>
  </si>
  <si>
    <t>766</t>
  </si>
  <si>
    <t>東和町米谷字沖ノ田139</t>
  </si>
  <si>
    <t>252</t>
  </si>
  <si>
    <t>東和町米谷字楼台124</t>
  </si>
  <si>
    <t>303</t>
  </si>
  <si>
    <t>東和町米谷字楼台125</t>
  </si>
  <si>
    <t>304</t>
  </si>
  <si>
    <t>中田町石森字北川前90</t>
  </si>
  <si>
    <t>767</t>
  </si>
  <si>
    <t>登米町大字日根牛新北沢54</t>
  </si>
  <si>
    <t>305</t>
  </si>
  <si>
    <t>中田町宝江新井田字西芝尻93</t>
  </si>
  <si>
    <t>533</t>
  </si>
  <si>
    <t>中田町宝江新井田字西芝尻92</t>
  </si>
  <si>
    <t>532</t>
  </si>
  <si>
    <t>石越町北郷字新富崎前61</t>
  </si>
  <si>
    <t>1101</t>
  </si>
  <si>
    <t>中田町石森字高見前27</t>
  </si>
  <si>
    <t>741</t>
  </si>
  <si>
    <t>中田町宝江新井田字西芝尻91</t>
  </si>
  <si>
    <t>531</t>
  </si>
  <si>
    <t>登米町大字日根牛新北沢50</t>
  </si>
  <si>
    <t>307</t>
  </si>
  <si>
    <t>中田町石森字北川前91</t>
  </si>
  <si>
    <t>768</t>
  </si>
  <si>
    <t>登米町大字日根牛新北沢55</t>
  </si>
  <si>
    <t>308</t>
  </si>
  <si>
    <t>中田町宝江新井田字西芝尻90</t>
  </si>
  <si>
    <t>530</t>
  </si>
  <si>
    <t>中田町上沼字新東金谷53</t>
  </si>
  <si>
    <t>984</t>
  </si>
  <si>
    <t>登米町大字日根牛新北沢57</t>
  </si>
  <si>
    <t>309</t>
  </si>
  <si>
    <t>中田町石森字北川前92</t>
  </si>
  <si>
    <t>769</t>
  </si>
  <si>
    <t>登米町大字日根牛新北沢56</t>
  </si>
  <si>
    <t>310</t>
  </si>
  <si>
    <t>中田町石森字北川前93</t>
  </si>
  <si>
    <t>770</t>
  </si>
  <si>
    <t>中田町宝江新井田字西芝尻88</t>
  </si>
  <si>
    <t>528</t>
  </si>
  <si>
    <t>中田町石森字西長根76</t>
  </si>
  <si>
    <t>771</t>
  </si>
  <si>
    <t>中田町石森字西長根77</t>
  </si>
  <si>
    <t>772</t>
  </si>
  <si>
    <t>中田町宝江新井田字西芝尻87</t>
  </si>
  <si>
    <t>527</t>
  </si>
  <si>
    <t>中田町宝江新井田字西芝尻86</t>
  </si>
  <si>
    <t>526</t>
  </si>
  <si>
    <t>中田町石森字小倉南103</t>
  </si>
  <si>
    <t>897</t>
  </si>
  <si>
    <t>中田町上沼字新東金谷52</t>
  </si>
  <si>
    <t>983</t>
  </si>
  <si>
    <t>中田町石森字西長根78</t>
  </si>
  <si>
    <t>773</t>
  </si>
  <si>
    <t>中田町石森字中田西114</t>
  </si>
  <si>
    <t>926</t>
  </si>
  <si>
    <t>中田町石森字西長根79</t>
  </si>
  <si>
    <t>774</t>
  </si>
  <si>
    <t>中田町石森字西長根80</t>
  </si>
  <si>
    <t>775</t>
  </si>
  <si>
    <t>登米町大字日根牛新五郎峯163</t>
  </si>
  <si>
    <t>322</t>
  </si>
  <si>
    <t>中田町石森字西長根81</t>
  </si>
  <si>
    <t>776</t>
  </si>
  <si>
    <t>中田町石森字西長根82</t>
  </si>
  <si>
    <t>777</t>
  </si>
  <si>
    <t>中田町上沼字新東金谷51</t>
  </si>
  <si>
    <t>982</t>
  </si>
  <si>
    <t>中田町石森字西長根83</t>
  </si>
  <si>
    <t>778</t>
  </si>
  <si>
    <t>中田町石森字新西細谷124</t>
  </si>
  <si>
    <t>574</t>
  </si>
  <si>
    <t>中田町石森字新西細谷125</t>
  </si>
  <si>
    <t>575</t>
  </si>
  <si>
    <t>中田町石森字新西細谷126</t>
  </si>
  <si>
    <t>576</t>
  </si>
  <si>
    <t>中田町宝江新井田字西芝尻80</t>
  </si>
  <si>
    <t>520</t>
  </si>
  <si>
    <t>石越町北郷字新堀内前86</t>
  </si>
  <si>
    <t>1095</t>
  </si>
  <si>
    <t>中田町石森字新西細谷127</t>
  </si>
  <si>
    <t>577</t>
  </si>
  <si>
    <t>中田町石森字西長根84</t>
  </si>
  <si>
    <t>779</t>
  </si>
  <si>
    <t>中田町石森字西長根85</t>
  </si>
  <si>
    <t>780</t>
  </si>
  <si>
    <t>石越町北郷字新南73</t>
  </si>
  <si>
    <t>1230</t>
  </si>
  <si>
    <t>東和町米谷字沖ノ田155</t>
  </si>
  <si>
    <t>267</t>
  </si>
  <si>
    <t>登米町大字日根牛新五郎峯164</t>
  </si>
  <si>
    <t>334</t>
  </si>
  <si>
    <t>登米町大字日根牛新五郎峯142</t>
  </si>
  <si>
    <t>335</t>
  </si>
  <si>
    <t>登米町大字日根牛新五郎峯143</t>
  </si>
  <si>
    <t>336</t>
  </si>
  <si>
    <t>石越町北郷字新堀内前84</t>
  </si>
  <si>
    <t>1093</t>
  </si>
  <si>
    <t>登米町大字日根牛新五郎峯159</t>
  </si>
  <si>
    <t>337</t>
  </si>
  <si>
    <t>中田町石森字西長根88</t>
  </si>
  <si>
    <t>783</t>
  </si>
  <si>
    <t>登米町大字日根牛新五郎峯158</t>
  </si>
  <si>
    <t>338</t>
  </si>
  <si>
    <t>中田町石森字西長根89</t>
  </si>
  <si>
    <t>784</t>
  </si>
  <si>
    <t>登米町大字日根牛新五郎峯151</t>
  </si>
  <si>
    <t>339</t>
  </si>
  <si>
    <t>登米町大字日根牛新五郎峯149</t>
  </si>
  <si>
    <t>340</t>
  </si>
  <si>
    <t>中田町石森字西長根90</t>
  </si>
  <si>
    <t>785</t>
  </si>
  <si>
    <t>石越町北郷字新堀内前83</t>
  </si>
  <si>
    <t>登米町大字日根牛新五郎峯150</t>
  </si>
  <si>
    <t>341</t>
  </si>
  <si>
    <t>中田町上沼字新東金谷49</t>
  </si>
  <si>
    <t>980</t>
  </si>
  <si>
    <t>登米町大字日根牛新五郎峯157</t>
  </si>
  <si>
    <t>342</t>
  </si>
  <si>
    <t>登米町大字日根牛新五郎峯148</t>
  </si>
  <si>
    <t>343</t>
  </si>
  <si>
    <t>中田町石森字西長根91</t>
  </si>
  <si>
    <t>786</t>
  </si>
  <si>
    <t>石越町北郷字新堀内前82</t>
  </si>
  <si>
    <t>登米町大字日根牛新五郎峯167</t>
  </si>
  <si>
    <t>345</t>
  </si>
  <si>
    <t>中田町石森字西長根92</t>
  </si>
  <si>
    <t>787</t>
  </si>
  <si>
    <t>登米町大字日根牛新五郎峯165</t>
  </si>
  <si>
    <t>346</t>
  </si>
  <si>
    <t>登米町大字日根牛新峯畑120</t>
  </si>
  <si>
    <t>347</t>
  </si>
  <si>
    <t>中田町石森字西長根93</t>
  </si>
  <si>
    <t>788</t>
  </si>
  <si>
    <t>登米町大字日根牛新峯畑121</t>
  </si>
  <si>
    <t>348</t>
  </si>
  <si>
    <t>中田町上沼字新東金谷48</t>
  </si>
  <si>
    <t>979</t>
  </si>
  <si>
    <t>登米町大字日根牛新峯畑137</t>
  </si>
  <si>
    <t>349</t>
  </si>
  <si>
    <t>中田町石森字西長根94</t>
  </si>
  <si>
    <t>789</t>
  </si>
  <si>
    <t>中田町石森字中田西112</t>
  </si>
  <si>
    <t>924</t>
  </si>
  <si>
    <t>登米町大字日根牛新峯畑136</t>
  </si>
  <si>
    <t>350</t>
  </si>
  <si>
    <t>登米町大字日根牛新峯畑141</t>
  </si>
  <si>
    <t>351</t>
  </si>
  <si>
    <t>中田町石森字西長根95</t>
  </si>
  <si>
    <t>790</t>
  </si>
  <si>
    <t>石越町北郷字新堀内前80</t>
  </si>
  <si>
    <t>1089</t>
  </si>
  <si>
    <t>登米町大字日根牛新峯畑131</t>
  </si>
  <si>
    <t>353</t>
  </si>
  <si>
    <t>中田町石森字西長根96</t>
  </si>
  <si>
    <t>791</t>
  </si>
  <si>
    <t>登米町大字日根牛新峯畑124</t>
  </si>
  <si>
    <t>354</t>
  </si>
  <si>
    <t>登米町大字日根牛新峯畑130</t>
  </si>
  <si>
    <t>中田町石森字西長根97</t>
  </si>
  <si>
    <t>792</t>
  </si>
  <si>
    <t>登米町大字日根牛新峯畑140</t>
  </si>
  <si>
    <t>石越町北郷字新堀内前79</t>
  </si>
  <si>
    <t>1088</t>
  </si>
  <si>
    <t>中田町上沼字新東金谷47</t>
  </si>
  <si>
    <t>978</t>
  </si>
  <si>
    <t>登米町大字日根牛新峯畑125</t>
  </si>
  <si>
    <t>中田町石森字西長根98</t>
  </si>
  <si>
    <t>793</t>
  </si>
  <si>
    <t>中田町上沼字新東金谷50</t>
  </si>
  <si>
    <t>981</t>
  </si>
  <si>
    <t>登米町大字日根牛新峯畑129</t>
  </si>
  <si>
    <t>登米町大字日根牛新峯畑126</t>
  </si>
  <si>
    <t>中田町石森字西長根99</t>
  </si>
  <si>
    <t>794</t>
  </si>
  <si>
    <t>石越町北郷字新堀内前78</t>
  </si>
  <si>
    <t>1087</t>
  </si>
  <si>
    <t>登米町大字日根牛新峯畑128</t>
  </si>
  <si>
    <t>中田町石森字西長根100</t>
  </si>
  <si>
    <t>795</t>
  </si>
  <si>
    <t>登米町大字日根牛新五郎峯136</t>
  </si>
  <si>
    <t>333</t>
  </si>
  <si>
    <t>登米町大字日根牛新峯畑133</t>
  </si>
  <si>
    <t>登米町大字日根牛新峯畑135</t>
  </si>
  <si>
    <t>中田町石森字西長根101</t>
  </si>
  <si>
    <t>796</t>
  </si>
  <si>
    <t>中田町石森字小倉南102</t>
  </si>
  <si>
    <t>896</t>
  </si>
  <si>
    <t>石越町北郷字新堀内前77</t>
  </si>
  <si>
    <t>1086</t>
  </si>
  <si>
    <t>中田町上沼字新東金谷46</t>
  </si>
  <si>
    <t>977</t>
  </si>
  <si>
    <t>登米町大字日根牛新峯畑139</t>
  </si>
  <si>
    <t>06:原野</t>
  </si>
  <si>
    <t>1049</t>
  </si>
  <si>
    <t>登米町大字日根牛新北沢45</t>
  </si>
  <si>
    <t>R1堀米・下川面線（土地購入）</t>
  </si>
  <si>
    <t>2020/03/11</t>
  </si>
  <si>
    <t>中田町浅水</t>
  </si>
  <si>
    <t>1168</t>
  </si>
  <si>
    <t>中田町上沼字新大柳25</t>
  </si>
  <si>
    <t>1043</t>
  </si>
  <si>
    <t>中田町上沼字新大柳24</t>
  </si>
  <si>
    <t>H30白鳥1号線（土地購入）</t>
  </si>
  <si>
    <t>2019/03/27</t>
  </si>
  <si>
    <t>2017/06/14</t>
  </si>
  <si>
    <t>豊里町白鳥</t>
  </si>
  <si>
    <t>1107</t>
  </si>
  <si>
    <t>中田町上沼字新大柳23</t>
  </si>
  <si>
    <t>352</t>
  </si>
  <si>
    <t>R1白鳥１号線（土地購入）</t>
  </si>
  <si>
    <t>2019/12/16</t>
  </si>
  <si>
    <t>2019/03/20</t>
  </si>
  <si>
    <t>1160</t>
  </si>
  <si>
    <t>中田町上沼字新御蔵39</t>
  </si>
  <si>
    <t>H30新田駅前・山ノ神線（移転補償）</t>
  </si>
  <si>
    <t>2019/02/08</t>
  </si>
  <si>
    <t>2018/03/14</t>
  </si>
  <si>
    <t>迫町新田字狼ノ欠</t>
  </si>
  <si>
    <t>中田町上沼字新御蔵38</t>
  </si>
  <si>
    <t>H29川戸沼線土地購入</t>
  </si>
  <si>
    <t>2017/11/17</t>
  </si>
  <si>
    <t>迫町北方字大洞</t>
  </si>
  <si>
    <t>1072</t>
  </si>
  <si>
    <t>中田町上沼字新御蔵36</t>
  </si>
  <si>
    <t>H29藤渡戸線土地購入</t>
  </si>
  <si>
    <t>米山町西野字藤渡戸</t>
  </si>
  <si>
    <t>1070</t>
  </si>
  <si>
    <t>中田町浅水字曲袋南85</t>
  </si>
  <si>
    <t>H29白鳥1号線土地購入</t>
  </si>
  <si>
    <t>2017/05/17</t>
  </si>
  <si>
    <t>豊里町白鳥89-11</t>
  </si>
  <si>
    <t>1067</t>
  </si>
  <si>
    <t>登米町大字日根牛新五郎峯104</t>
  </si>
  <si>
    <t>331</t>
  </si>
  <si>
    <t>H29新小路・山崎線土地購入</t>
  </si>
  <si>
    <t>2018/03/27</t>
  </si>
  <si>
    <t>東和町米谷字天神峯</t>
  </si>
  <si>
    <t>1077</t>
  </si>
  <si>
    <t>中田町石森字新西細谷117</t>
  </si>
  <si>
    <t>506</t>
  </si>
  <si>
    <t>1059</t>
  </si>
  <si>
    <t>中田町宝江新井田字西芝尻73</t>
  </si>
  <si>
    <t>456</t>
  </si>
  <si>
    <t>1063</t>
  </si>
  <si>
    <t>中田町石森字寺浦34</t>
  </si>
  <si>
    <t>426</t>
  </si>
  <si>
    <t>R2永田・板倉線（土地購入）</t>
  </si>
  <si>
    <t>2021/02/12</t>
  </si>
  <si>
    <t>迫町北方字新永田前</t>
  </si>
  <si>
    <t>1207</t>
  </si>
  <si>
    <t>登米町大字日根牛新峯畑115</t>
  </si>
  <si>
    <t>321</t>
  </si>
  <si>
    <t>H29八丁田待井・亀ヶ下線土地購入</t>
  </si>
  <si>
    <t>登米町寺池八丁田待井</t>
  </si>
  <si>
    <t>1081</t>
  </si>
  <si>
    <t>登米町大字日根牛新峯畑92</t>
  </si>
  <si>
    <t>319</t>
  </si>
  <si>
    <t>1058</t>
  </si>
  <si>
    <t>登米町大字日根牛新峯畑93</t>
  </si>
  <si>
    <t>318</t>
  </si>
  <si>
    <t>H29公民館東線土地購入</t>
  </si>
  <si>
    <t>2017/12/08</t>
  </si>
  <si>
    <t>登米町寺池目子待井</t>
  </si>
  <si>
    <t>1073</t>
  </si>
  <si>
    <t>登米町大字日根牛新峯畑94</t>
  </si>
  <si>
    <t>317</t>
  </si>
  <si>
    <t>H29西門新田線土地購入</t>
  </si>
  <si>
    <t>2019/03/07</t>
  </si>
  <si>
    <t>分筆測量含む　</t>
  </si>
  <si>
    <t>石越町南郷字峯</t>
  </si>
  <si>
    <t>1145</t>
  </si>
  <si>
    <t>登米町大字日根牛新峯畑95</t>
  </si>
  <si>
    <t>316</t>
  </si>
  <si>
    <t>H30新田駅前・山ノ神線（土地購入）</t>
  </si>
  <si>
    <t>2019/02/13</t>
  </si>
  <si>
    <t>2017/09/19</t>
  </si>
  <si>
    <t>1111</t>
  </si>
  <si>
    <t>登米町大字日根牛新峯畑101</t>
  </si>
  <si>
    <t>315</t>
  </si>
  <si>
    <t>1054</t>
  </si>
  <si>
    <t>登米町大字日根牛新峯畑91</t>
  </si>
  <si>
    <t>314</t>
  </si>
  <si>
    <t>R2公民館東線（移転補償）</t>
  </si>
  <si>
    <t>2020/09/25</t>
  </si>
  <si>
    <t>1190</t>
  </si>
  <si>
    <t>Ｈ29筒場埣８号線（土地購入）</t>
  </si>
  <si>
    <t>2017/09/12</t>
  </si>
  <si>
    <t>定住促進宅地造成事業により土地購入　</t>
  </si>
  <si>
    <t>1130</t>
  </si>
  <si>
    <t>登米町大字日根牛新峯畑90</t>
  </si>
  <si>
    <t>R2赤坂線（土地購入）</t>
  </si>
  <si>
    <t>2020/12/01</t>
  </si>
  <si>
    <t>迫町新田字山守屋敷120-2</t>
  </si>
  <si>
    <t>1178</t>
  </si>
  <si>
    <t>登米町大字日根牛新峯畑96</t>
  </si>
  <si>
    <t>H30東待井下2号線（土地購入）</t>
  </si>
  <si>
    <t>2018/09/18</t>
  </si>
  <si>
    <t>2018/03/26</t>
  </si>
  <si>
    <t>登米町大字日根牛新峯畑99</t>
  </si>
  <si>
    <t>R2遠見台渋江線（用地測量）</t>
  </si>
  <si>
    <t>2021/01/19</t>
  </si>
  <si>
    <t>登米町日野渡内の目</t>
  </si>
  <si>
    <t>1202</t>
  </si>
  <si>
    <t>登米町大字日根牛新峯畑98</t>
  </si>
  <si>
    <t>R1白鳥１号線（移転補償）</t>
  </si>
  <si>
    <t>2020/03/23</t>
  </si>
  <si>
    <t>2018/07/10</t>
  </si>
  <si>
    <t>1161</t>
  </si>
  <si>
    <t>登米町大字日根牛新峯畑104</t>
  </si>
  <si>
    <t>H30瀬ヶ崎・萩洗線（移転補償）</t>
  </si>
  <si>
    <t>2019/03/05</t>
  </si>
  <si>
    <t>米山町中津山字小深</t>
  </si>
  <si>
    <t>1096</t>
  </si>
  <si>
    <t>登米町大字日根牛新五郎峯132</t>
  </si>
  <si>
    <t>R2梅ノ木・平柳線（移転補償）</t>
  </si>
  <si>
    <t>2021/03/19</t>
  </si>
  <si>
    <t>迫町佐沼字新駒木袋</t>
  </si>
  <si>
    <t>1186</t>
  </si>
  <si>
    <t>登米町大字日根牛新五郎峯129</t>
  </si>
  <si>
    <t>H28H29峯前子線（移転補償）</t>
  </si>
  <si>
    <t>1134</t>
  </si>
  <si>
    <t>登米町大字日根牛新五郎峯113</t>
  </si>
  <si>
    <t>H28川面・高石線土地購入</t>
  </si>
  <si>
    <t>2018/11/13</t>
  </si>
  <si>
    <t>南方町新中山</t>
  </si>
  <si>
    <t>1132</t>
  </si>
  <si>
    <t>登米町大字日根牛新五郎峯126</t>
  </si>
  <si>
    <t>R2米袋線（移転補償）</t>
  </si>
  <si>
    <t>2020/11/05</t>
  </si>
  <si>
    <t>南方町米袋</t>
  </si>
  <si>
    <t>1197</t>
  </si>
  <si>
    <t>登米町大字日根牛新五郎峯123</t>
  </si>
  <si>
    <t>R1堀米・下川面線（移転補償）</t>
  </si>
  <si>
    <t>2018/04/20</t>
  </si>
  <si>
    <t>1169</t>
  </si>
  <si>
    <t>登米町大字日根牛新五郎峯128</t>
  </si>
  <si>
    <t>R2新中道4号線（土地購入）</t>
  </si>
  <si>
    <t>2020/10/01</t>
  </si>
  <si>
    <t>迫町北方字別当</t>
  </si>
  <si>
    <t>1181</t>
  </si>
  <si>
    <t>登米町大字日根牛新五郎峯93</t>
  </si>
  <si>
    <t>H29駒木・赤沼線土地購入</t>
  </si>
  <si>
    <t>2017/12/11</t>
  </si>
  <si>
    <t>1074</t>
  </si>
  <si>
    <t>登米町大字日根牛新五郎峯102</t>
  </si>
  <si>
    <t>H29石打坂・西舘線（物件移転補償費）</t>
  </si>
  <si>
    <t>2018/03/20</t>
  </si>
  <si>
    <t>関連伝票：0090445001　</t>
  </si>
  <si>
    <t>迫町北方字日向前</t>
  </si>
  <si>
    <t>登米町大字日根牛新五郎峯101</t>
  </si>
  <si>
    <t>2021/03/31</t>
  </si>
  <si>
    <t>中田町石森字前田29</t>
  </si>
  <si>
    <t>1175</t>
  </si>
  <si>
    <t>R2駒木・赤沼線（用地測量）</t>
  </si>
  <si>
    <t>2021/03/10</t>
  </si>
  <si>
    <t>迫町内</t>
  </si>
  <si>
    <t>1195</t>
  </si>
  <si>
    <t>登米町大字日根牛新五郎峯122</t>
  </si>
  <si>
    <t>登米町大字日根牛新五郎峯100</t>
  </si>
  <si>
    <t>H28下道・大柳線土地購入</t>
  </si>
  <si>
    <t>移転補償込み。前払金のため面積はH29購入分に計上。　</t>
  </si>
  <si>
    <t>登米町大字日根牛中山</t>
  </si>
  <si>
    <t>1144</t>
  </si>
  <si>
    <t>登米町大字日根牛新五郎峯125</t>
  </si>
  <si>
    <t>295</t>
  </si>
  <si>
    <t>1048</t>
  </si>
  <si>
    <t>登米町大字日根牛新五郎峯95</t>
  </si>
  <si>
    <t>R2上の山・黄牛線（移転補償）</t>
  </si>
  <si>
    <t>津山町横山字上の山</t>
  </si>
  <si>
    <t>1212</t>
  </si>
  <si>
    <t>登米町大字日根牛新五郎峯94</t>
  </si>
  <si>
    <t>R2北大畑3号線（土地購入）</t>
  </si>
  <si>
    <t>2021/03/16</t>
  </si>
  <si>
    <t>南方町大畑</t>
  </si>
  <si>
    <t>1208</t>
  </si>
  <si>
    <t>登米町大字日根牛新五郎峯85</t>
  </si>
  <si>
    <t>H30中沢線（土地購入）</t>
  </si>
  <si>
    <t>迫町北方字舟橋前</t>
  </si>
  <si>
    <t>登米町大字日根牛新五郎峯97</t>
  </si>
  <si>
    <t>291</t>
  </si>
  <si>
    <t>R2軍場線（移転補償）</t>
  </si>
  <si>
    <t>登米町日野渡軍場</t>
  </si>
  <si>
    <t>1192</t>
  </si>
  <si>
    <t>登米町大字日根牛新五郎峯86</t>
  </si>
  <si>
    <t>R1新北谷地・菱ノ倉線（土地購入）</t>
  </si>
  <si>
    <t>2019/10/18</t>
  </si>
  <si>
    <t>2019/02/25</t>
  </si>
  <si>
    <t>1162</t>
  </si>
  <si>
    <t>1051</t>
  </si>
  <si>
    <t>登米町大字日根牛新五郎峯98</t>
  </si>
  <si>
    <t>H30仲浦2号線（土地購入）</t>
  </si>
  <si>
    <t>豊里町新田町</t>
  </si>
  <si>
    <t>登米町大字日根牛新五郎峯88</t>
  </si>
  <si>
    <t>R2上の山・黄牛線（土地購入）</t>
  </si>
  <si>
    <t>1211</t>
  </si>
  <si>
    <t>登米町大字日根牛新五郎峯91</t>
  </si>
  <si>
    <t>H30石打坂・一ツ塚線（土地購入）</t>
  </si>
  <si>
    <t>迫町北方字石打坂</t>
  </si>
  <si>
    <t>登米町大字日根牛新五郎峯114</t>
  </si>
  <si>
    <t>1046</t>
  </si>
  <si>
    <t>登米町大字日根牛新五郎峯115</t>
  </si>
  <si>
    <t>H28H29峯前子線（用地測量）</t>
  </si>
  <si>
    <t>1138</t>
  </si>
  <si>
    <t>登米町大字日根牛新五郎峯105</t>
  </si>
  <si>
    <t>284</t>
  </si>
  <si>
    <t>R1中沢線（移転補償）</t>
  </si>
  <si>
    <t>2019/11/29</t>
  </si>
  <si>
    <t>1165</t>
  </si>
  <si>
    <t>登米町大字日根牛新五郎峯92</t>
  </si>
  <si>
    <t>283</t>
  </si>
  <si>
    <t>R1野出来千才線（移転補償）</t>
  </si>
  <si>
    <t>2019/11/11</t>
  </si>
  <si>
    <t>石越町内</t>
  </si>
  <si>
    <t>1167</t>
  </si>
  <si>
    <t>登米町大字日根牛新中田57</t>
  </si>
  <si>
    <t>H29沢田3号線土地購入</t>
  </si>
  <si>
    <t>迫町新田字駒林</t>
  </si>
  <si>
    <t>1078</t>
  </si>
  <si>
    <t>登米町大字日根牛新峯畑109</t>
  </si>
  <si>
    <t>320</t>
  </si>
  <si>
    <t>R2遠見台渋江線（土地購入）</t>
  </si>
  <si>
    <t>1203</t>
  </si>
  <si>
    <t>迫町新田字新蓮沼132</t>
  </si>
  <si>
    <t>118</t>
  </si>
  <si>
    <t>H30東表前4号線（土地購入）</t>
  </si>
  <si>
    <t>2018/01/18</t>
  </si>
  <si>
    <t>迫町森字表前</t>
  </si>
  <si>
    <t>03:道路台帳</t>
  </si>
  <si>
    <t>R2公民館東線（土地購入）</t>
  </si>
  <si>
    <t>2020/10/02</t>
  </si>
  <si>
    <t>2020</t>
  </si>
  <si>
    <t>31:調査判明</t>
  </si>
  <si>
    <t>1210000:インフラ／土地</t>
  </si>
  <si>
    <t>1189</t>
  </si>
  <si>
    <t>登米町大字日根牛新中田58</t>
  </si>
  <si>
    <t>281</t>
  </si>
  <si>
    <t>R2軍場線（土地購入）</t>
  </si>
  <si>
    <t>2020/12/10</t>
  </si>
  <si>
    <t>1191</t>
  </si>
  <si>
    <t>登米町大字日根牛新中田59</t>
  </si>
  <si>
    <t>280</t>
  </si>
  <si>
    <t>H28筒場埣２号線（土地購入）</t>
  </si>
  <si>
    <t>測量込み　</t>
  </si>
  <si>
    <t>1143</t>
  </si>
  <si>
    <t>登米町大字日根牛新中田60</t>
  </si>
  <si>
    <t>279</t>
  </si>
  <si>
    <t>R2新中道4号線（移転補償）</t>
  </si>
  <si>
    <t>2020/09/30</t>
  </si>
  <si>
    <t>1182</t>
  </si>
  <si>
    <t>登米町大字日根牛新中田49</t>
  </si>
  <si>
    <t>278</t>
  </si>
  <si>
    <t>R1浅水・登米線整備事業</t>
  </si>
  <si>
    <t>1148</t>
  </si>
  <si>
    <t>登米町大字日根牛新中田48</t>
  </si>
  <si>
    <t>1061</t>
  </si>
  <si>
    <t>登米町大字日根牛新中田47</t>
  </si>
  <si>
    <t>276</t>
  </si>
  <si>
    <t>H30浅水・登米線（土地購入）</t>
  </si>
  <si>
    <t>2019/03/18</t>
  </si>
  <si>
    <t>登米町大字日根牛新中田46</t>
  </si>
  <si>
    <t>275</t>
  </si>
  <si>
    <t>Ｈ29筒場埣６号線（土地購入）</t>
  </si>
  <si>
    <t>1128</t>
  </si>
  <si>
    <t>登米町大字日根牛新中田45</t>
  </si>
  <si>
    <t>274</t>
  </si>
  <si>
    <t>R1西上沢線（土地購入）</t>
  </si>
  <si>
    <t>2019/08/02</t>
  </si>
  <si>
    <t>東和町内</t>
  </si>
  <si>
    <t>1171</t>
  </si>
  <si>
    <t>登米町大字日根牛新中田44</t>
  </si>
  <si>
    <t>273</t>
  </si>
  <si>
    <t>道路用地</t>
  </si>
  <si>
    <t>2019/03/15</t>
  </si>
  <si>
    <t>迫町新田字駒林41-2</t>
  </si>
  <si>
    <t>1140</t>
  </si>
  <si>
    <t>登米町大字日根牛新中田50</t>
  </si>
  <si>
    <t>272</t>
  </si>
  <si>
    <t>H30桜岡善王寺境線（土地購入）</t>
  </si>
  <si>
    <t>2018/03/30</t>
  </si>
  <si>
    <t>1126</t>
  </si>
  <si>
    <t>登米町大字日根牛新北沢49</t>
  </si>
  <si>
    <t>271</t>
  </si>
  <si>
    <t>R2瀬ヶ崎・萩洗線（移転補償）</t>
  </si>
  <si>
    <t>2020/06/02</t>
  </si>
  <si>
    <t>迫町北方字日向前下8</t>
  </si>
  <si>
    <t>1184</t>
  </si>
  <si>
    <t>登米町大字日根牛新北沢47</t>
  </si>
  <si>
    <t>1050</t>
  </si>
  <si>
    <t>登米町大字日根牛新北沢38</t>
  </si>
  <si>
    <t>H30駒木・赤沼線（移転補償）</t>
  </si>
  <si>
    <t>2019/02/12</t>
  </si>
  <si>
    <t>2018/03/23</t>
  </si>
  <si>
    <t>迫町佐沼字南駒木袋</t>
  </si>
  <si>
    <t>登米町大字日根牛新北沢39</t>
  </si>
  <si>
    <t>268</t>
  </si>
  <si>
    <t>R2支所線（土地購入）</t>
  </si>
  <si>
    <t>2021/02/08</t>
  </si>
  <si>
    <t>迫町新田字山守屋敷211</t>
  </si>
  <si>
    <t>1210</t>
  </si>
  <si>
    <t>登米町大字日根牛新北沢40</t>
  </si>
  <si>
    <t>R2梅ノ木・平柳線（土地購入）</t>
  </si>
  <si>
    <t>1185</t>
  </si>
  <si>
    <t>登米町大字日根牛新峯畑102</t>
  </si>
  <si>
    <t>H30大沢長久保線（土地購入）</t>
  </si>
  <si>
    <t>2017/05/05</t>
  </si>
  <si>
    <t>東和町米谷字長円田</t>
  </si>
  <si>
    <t>登米町大字日根牛新北沢41</t>
  </si>
  <si>
    <t>265</t>
  </si>
  <si>
    <t>H30中沢線（移転補償）</t>
  </si>
  <si>
    <t>登米町大字日根牛新北沢42</t>
  </si>
  <si>
    <t>264</t>
  </si>
  <si>
    <t>1053</t>
  </si>
  <si>
    <t>東和町米谷字楼台94</t>
  </si>
  <si>
    <t>H29遠見台渋江線土地購入</t>
  </si>
  <si>
    <t>1065</t>
  </si>
  <si>
    <t>東和町米谷字楼台93</t>
  </si>
  <si>
    <t>262</t>
  </si>
  <si>
    <t>H28浦小路黄牛線（土地購入）</t>
  </si>
  <si>
    <t>測量・移転補償込み　</t>
  </si>
  <si>
    <t>登米町大字日根牛浦小路</t>
  </si>
  <si>
    <t>1141</t>
  </si>
  <si>
    <t>東和町米谷字楼台92</t>
  </si>
  <si>
    <t>261</t>
  </si>
  <si>
    <t>2019/09/02</t>
  </si>
  <si>
    <t>豊里町小口前80-2</t>
  </si>
  <si>
    <t>1146</t>
  </si>
  <si>
    <t>東和町米谷字楼台91</t>
  </si>
  <si>
    <t>H29野出来千才線土地購入</t>
  </si>
  <si>
    <t>石越町南郷字前久保</t>
  </si>
  <si>
    <t>1066</t>
  </si>
  <si>
    <t>東和町米谷字楼台90</t>
  </si>
  <si>
    <t>1056</t>
  </si>
  <si>
    <t>東和町米谷字楼台89</t>
  </si>
  <si>
    <t>H29桜岡善王寺境線土地購入</t>
  </si>
  <si>
    <t>2018/03/29</t>
  </si>
  <si>
    <t>米山町字善王寺相ノ田</t>
  </si>
  <si>
    <t>1085</t>
  </si>
  <si>
    <t>東和町米谷字楼台88</t>
  </si>
  <si>
    <t>R1亀ヶ岡・舘野線（土地購入）</t>
  </si>
  <si>
    <t>2020/02/28</t>
  </si>
  <si>
    <t>1170</t>
  </si>
  <si>
    <t>東和町米谷字楼台87</t>
  </si>
  <si>
    <t>R2米袋線（土地購入）</t>
  </si>
  <si>
    <t>2020/11/27</t>
  </si>
  <si>
    <t>1196</t>
  </si>
  <si>
    <t>東和町米谷字楼台86</t>
  </si>
  <si>
    <t>東和町米谷字楼台85</t>
  </si>
  <si>
    <t>1062</t>
  </si>
  <si>
    <t>東和町米谷字楼台84</t>
  </si>
  <si>
    <t>Ｈ29筒場埣７号線（土地購入）</t>
  </si>
  <si>
    <t>1129</t>
  </si>
  <si>
    <t>東和町米谷字楼台83</t>
  </si>
  <si>
    <t>筒場埣７号線（測量）</t>
  </si>
  <si>
    <t>1136</t>
  </si>
  <si>
    <t>東和町米谷字楼台82</t>
  </si>
  <si>
    <t>H29東待井下2号線土地購入</t>
  </si>
  <si>
    <t>1083</t>
  </si>
  <si>
    <t>東和町米谷字楼台81</t>
  </si>
  <si>
    <t>R1野出来千才線（土地購入）</t>
  </si>
  <si>
    <t>2020/01/14</t>
  </si>
  <si>
    <t>1166</t>
  </si>
  <si>
    <t>登米町大字日根牛新五郎峯96</t>
  </si>
  <si>
    <t>328</t>
  </si>
  <si>
    <t>R2大沢長久保線（用地測量）</t>
  </si>
  <si>
    <t>2021/03/25</t>
  </si>
  <si>
    <t>1187</t>
  </si>
  <si>
    <t>迫町新田字新蓮沼117</t>
  </si>
  <si>
    <t>111</t>
  </si>
  <si>
    <t>米山町字桜岡貝待井151</t>
  </si>
  <si>
    <t>東和町米谷字楼台80</t>
  </si>
  <si>
    <t>H29駒木1号線土地購入</t>
  </si>
  <si>
    <t>迫町佐沼字駒木袋106</t>
  </si>
  <si>
    <t>1079</t>
  </si>
  <si>
    <t>東和町米谷字楼台79</t>
  </si>
  <si>
    <t>248</t>
  </si>
  <si>
    <t>H30東表前4号線（移転補償）</t>
  </si>
  <si>
    <t>2018/03/22</t>
  </si>
  <si>
    <t>東和町米谷字楼台78</t>
  </si>
  <si>
    <t>H29浦小路黄牛線土地購入</t>
  </si>
  <si>
    <t>2017/06/01</t>
  </si>
  <si>
    <t>1064</t>
  </si>
  <si>
    <t>東和町米谷字楼台77</t>
  </si>
  <si>
    <t>R1中沢線（土地購入）</t>
  </si>
  <si>
    <t>2020/03/30</t>
  </si>
  <si>
    <t>1164</t>
  </si>
  <si>
    <t>東和町米谷字楼台76</t>
  </si>
  <si>
    <t>筒場埣８号線（測量）</t>
  </si>
  <si>
    <t>1137</t>
  </si>
  <si>
    <t>東和町米谷字楼台75</t>
  </si>
  <si>
    <t>R2瀬ヶ崎・萩洗線（土地購入）</t>
  </si>
  <si>
    <t>1183</t>
  </si>
  <si>
    <t>登米町大字日根牛新峯畑114</t>
  </si>
  <si>
    <t>H28長橋成沢線（土地購入）</t>
  </si>
  <si>
    <t>移転補償込み　</t>
  </si>
  <si>
    <t>登米町小島長橋</t>
  </si>
  <si>
    <t>1142</t>
  </si>
  <si>
    <t>東和町米谷字楼台73</t>
  </si>
  <si>
    <t>H30瀬ヶ崎・萩洗線（土地購入）</t>
  </si>
  <si>
    <t>1097</t>
  </si>
  <si>
    <t>登米町大字日根牛新五郎峯87</t>
  </si>
  <si>
    <t>325</t>
  </si>
  <si>
    <t>H29天神前2号線土地購入</t>
  </si>
  <si>
    <t>迫町佐沼字天神前</t>
  </si>
  <si>
    <t>1076</t>
  </si>
  <si>
    <t>東和町米谷字楼台72</t>
  </si>
  <si>
    <t>R1新北谷地・菱ノ倉線（移転補償）</t>
  </si>
  <si>
    <t>2020/03/27</t>
  </si>
  <si>
    <t>1163</t>
  </si>
  <si>
    <t>東和町米谷字楼台71</t>
  </si>
  <si>
    <t>H30東待井下2号線（移転補償）</t>
  </si>
  <si>
    <t>2018/06/25</t>
  </si>
  <si>
    <t>登米町大字日根牛新北沢44</t>
  </si>
  <si>
    <t>324</t>
  </si>
  <si>
    <t>H29迫・石越地区（きめ細）土地購入</t>
  </si>
  <si>
    <t>迫町新田字狼ノ欠58-2</t>
  </si>
  <si>
    <t>1084</t>
  </si>
  <si>
    <t>東和町米谷字楼台70</t>
  </si>
  <si>
    <t>H30石打坂・一ツ塚線（移転補償）</t>
  </si>
  <si>
    <t>1094</t>
  </si>
  <si>
    <t>東和町米谷字楼台69</t>
  </si>
  <si>
    <t>1052</t>
  </si>
  <si>
    <t>登米町大字日根牛新五郎峯90</t>
  </si>
  <si>
    <t>327</t>
  </si>
  <si>
    <t>1055</t>
  </si>
  <si>
    <t>東和町米谷字楼台68</t>
  </si>
  <si>
    <t>H30新北谷地・菱ノ倉線（移転補償）</t>
  </si>
  <si>
    <t>2018/01/22</t>
  </si>
  <si>
    <t>迫町新田字倉崎</t>
  </si>
  <si>
    <t>1108</t>
  </si>
  <si>
    <t>東和町米谷字沖ノ田115</t>
  </si>
  <si>
    <t>H29新堀2号線（物件移転補償費）</t>
  </si>
  <si>
    <t>中田町石森字茶畑</t>
  </si>
  <si>
    <t>東和町米谷字沖ノ田114</t>
  </si>
  <si>
    <t>H29梅ノ木・平柳線土地購入</t>
  </si>
  <si>
    <t>迫町佐沼字北散田</t>
  </si>
  <si>
    <t>1075</t>
  </si>
  <si>
    <t>登米町大字日根牛新五郎峯89</t>
  </si>
  <si>
    <t>326</t>
  </si>
  <si>
    <t>H29川面・高石線土地購入</t>
  </si>
  <si>
    <t>1068</t>
  </si>
  <si>
    <t>中田町浅水字曲袋北93</t>
  </si>
  <si>
    <t>H30白鳥1号線（移転補償）</t>
  </si>
  <si>
    <t>登米町大字日根牛新五郎峯127</t>
  </si>
  <si>
    <t>332</t>
  </si>
  <si>
    <t>H30大沢長久保線（移転補償）</t>
  </si>
  <si>
    <t>登米町大字日根牛新五郎峯103</t>
  </si>
  <si>
    <t>330</t>
  </si>
  <si>
    <t>登米町大字日根牛新五郎峯99</t>
  </si>
  <si>
    <t>329</t>
  </si>
  <si>
    <t>R2遠見台渋江線（移転補償）</t>
  </si>
  <si>
    <t>1204</t>
  </si>
  <si>
    <t>東和町米谷字沖ノ田111</t>
  </si>
  <si>
    <t>H30荒戸沢線（土地購入）</t>
  </si>
  <si>
    <t>東和町米谷字沖ノ田110</t>
  </si>
  <si>
    <t>R2北大畑3号線（移転補償）</t>
  </si>
  <si>
    <t>2021/03/15</t>
  </si>
  <si>
    <t>1209</t>
  </si>
  <si>
    <t>東和町米谷字沖ノ田109</t>
  </si>
  <si>
    <t>H29的場2号線土地購入</t>
  </si>
  <si>
    <t>米山町中津山字的場39-4</t>
  </si>
  <si>
    <t>1080</t>
  </si>
  <si>
    <t>東和町米谷字沖ノ田108</t>
  </si>
  <si>
    <t>R2亀ヶ岡・舘野線（用地測量）</t>
  </si>
  <si>
    <t>2021/03/30</t>
  </si>
  <si>
    <t>1206</t>
  </si>
  <si>
    <t>東和町米谷字沖ノ田107</t>
  </si>
  <si>
    <t>228</t>
  </si>
  <si>
    <t>H29下在線（物件移転補償費）</t>
  </si>
  <si>
    <t>東和町米谷字沖ノ田106</t>
  </si>
  <si>
    <t>東和町米谷字沖ノ田105</t>
  </si>
  <si>
    <t>東和町米谷字沖ノ田104</t>
  </si>
  <si>
    <t>東和町米谷字沖ノ田103</t>
  </si>
  <si>
    <t>登米町大字日根牛新峯畑97</t>
  </si>
  <si>
    <t>東和町米谷字沖ノ田102</t>
  </si>
  <si>
    <t>東和町米谷字沖ノ田101</t>
  </si>
  <si>
    <t>中田町浅水字曲袋南81</t>
  </si>
  <si>
    <t>登米町大字日根牛新峯畑103</t>
  </si>
  <si>
    <t>東和町米谷字沖ノ田100</t>
  </si>
  <si>
    <t>東和町米谷字沖ノ田99</t>
  </si>
  <si>
    <t>220</t>
  </si>
  <si>
    <t>東和町米谷字沖ノ田98</t>
  </si>
  <si>
    <t>東和町米谷字沖ノ田97</t>
  </si>
  <si>
    <t>中田町石森字新西細谷112</t>
  </si>
  <si>
    <t>502</t>
  </si>
  <si>
    <t>東和町米谷字沖ノ田96</t>
  </si>
  <si>
    <t>東和町米谷字沖ノ田95</t>
  </si>
  <si>
    <t>中田町浅水字曲袋南86</t>
  </si>
  <si>
    <t>東和町米谷字沖ノ田94</t>
  </si>
  <si>
    <t>東和町米谷字沖ノ田93</t>
  </si>
  <si>
    <t>中田町浅水字曲袋南89</t>
  </si>
  <si>
    <t>東和町米谷字沖ノ田92</t>
  </si>
  <si>
    <t>東和町米谷字沖ノ田91</t>
  </si>
  <si>
    <t>東和町米谷字沖ノ田90</t>
  </si>
  <si>
    <t>東和町米谷字沖ノ田89</t>
  </si>
  <si>
    <t>中田町浅水字曲袋南88</t>
  </si>
  <si>
    <t>中田町浅水字曲袋南84</t>
  </si>
  <si>
    <t>東和町米谷字沖ノ田88</t>
  </si>
  <si>
    <t>東和町米谷字沖ノ田87</t>
  </si>
  <si>
    <t>東和町米谷字沖ノ田86</t>
  </si>
  <si>
    <t>東和町米谷字沖ノ田85</t>
  </si>
  <si>
    <t>中田町上沼字新御蔵37</t>
  </si>
  <si>
    <t>344</t>
  </si>
  <si>
    <t>東和町米谷字沖ノ田84</t>
  </si>
  <si>
    <t>205</t>
  </si>
  <si>
    <t>東和町米谷字沖ノ田83</t>
  </si>
  <si>
    <t>204</t>
  </si>
  <si>
    <t>東和町米谷字沖ノ田82</t>
  </si>
  <si>
    <t>203</t>
  </si>
  <si>
    <t>迫町新田字新茂栗68</t>
  </si>
  <si>
    <t>東和町米谷字沖ノ田80</t>
  </si>
  <si>
    <t>201</t>
  </si>
  <si>
    <t>東和町米谷字沖ノ田79</t>
  </si>
  <si>
    <t>200</t>
  </si>
  <si>
    <t>中田町上沼字新大柳20</t>
  </si>
  <si>
    <t>東和町米谷字沖ノ田78</t>
  </si>
  <si>
    <t>199</t>
  </si>
  <si>
    <t>東和町米谷字沖ノ田77</t>
  </si>
  <si>
    <t>198</t>
  </si>
  <si>
    <t>中田町上沼字新大柳21-2</t>
  </si>
  <si>
    <t>中田町上沼字新大柳21-1</t>
  </si>
  <si>
    <t>東和町米谷字沖ノ田76</t>
  </si>
  <si>
    <t>197</t>
  </si>
  <si>
    <t>東和町米谷字沖ノ田75</t>
  </si>
  <si>
    <t>196</t>
  </si>
  <si>
    <t>東和町米谷字沖ノ田74</t>
  </si>
  <si>
    <t>195</t>
  </si>
  <si>
    <t>東和町米谷字沖ノ田73</t>
  </si>
  <si>
    <t>194</t>
  </si>
  <si>
    <t>中田町上沼字新大柳22</t>
  </si>
  <si>
    <t>中田町上沼字新大柳21-3</t>
  </si>
  <si>
    <t>東和町錦織字新二良根44</t>
  </si>
  <si>
    <t>193</t>
  </si>
  <si>
    <t>東和町錦織字新二良根43</t>
  </si>
  <si>
    <t>192</t>
  </si>
  <si>
    <t>東和町錦織字新二良根42</t>
  </si>
  <si>
    <t>191</t>
  </si>
  <si>
    <t>東和町錦織字新二良根41</t>
  </si>
  <si>
    <t>190</t>
  </si>
  <si>
    <t>東和町錦織字新二良根40</t>
  </si>
  <si>
    <t>189</t>
  </si>
  <si>
    <t>東和町錦織字新二良根38</t>
  </si>
  <si>
    <t>188</t>
  </si>
  <si>
    <t>東和町錦織字新二良根37</t>
  </si>
  <si>
    <t>187</t>
  </si>
  <si>
    <t>東和町錦織字新二良根39</t>
  </si>
  <si>
    <t>186</t>
  </si>
  <si>
    <t>迫町新田字松原東88</t>
  </si>
  <si>
    <t>129</t>
  </si>
  <si>
    <t>東和町錦織字新二良根29</t>
  </si>
  <si>
    <t>185</t>
  </si>
  <si>
    <t>東和町錦織字新川端39</t>
  </si>
  <si>
    <t>184</t>
  </si>
  <si>
    <t>東和町錦織字新川端38</t>
  </si>
  <si>
    <t>183</t>
  </si>
  <si>
    <t>東和町錦織字新川端37</t>
  </si>
  <si>
    <t>182</t>
  </si>
  <si>
    <t>東和町錦織字新川端36</t>
  </si>
  <si>
    <t>181</t>
  </si>
  <si>
    <t>東和町錦織字新川端35</t>
  </si>
  <si>
    <t>180</t>
  </si>
  <si>
    <t>東和町米谷字中渡戸241</t>
  </si>
  <si>
    <t>179</t>
  </si>
  <si>
    <t>東和町米谷字中渡戸240</t>
  </si>
  <si>
    <t>178</t>
  </si>
  <si>
    <t>東和町米谷字中渡戸239</t>
  </si>
  <si>
    <t>177</t>
  </si>
  <si>
    <t>東和町米谷字中渡戸238</t>
  </si>
  <si>
    <t>176</t>
  </si>
  <si>
    <t>東和町米谷字中渡戸237</t>
  </si>
  <si>
    <t>175</t>
  </si>
  <si>
    <t>東和町米谷字中渡戸236</t>
  </si>
  <si>
    <t>174</t>
  </si>
  <si>
    <t>東和町米谷字中渡戸235</t>
  </si>
  <si>
    <t>173</t>
  </si>
  <si>
    <t>東和町米谷字中渡戸234</t>
  </si>
  <si>
    <t>172</t>
  </si>
  <si>
    <t>東和町米谷字新中渡戸26</t>
  </si>
  <si>
    <t>171</t>
  </si>
  <si>
    <t>東和町米谷字新中渡戸25</t>
  </si>
  <si>
    <t>170</t>
  </si>
  <si>
    <t>東和町米谷字新中渡戸24</t>
  </si>
  <si>
    <t>169</t>
  </si>
  <si>
    <t>東和町米谷字新中渡戸23</t>
  </si>
  <si>
    <t>168</t>
  </si>
  <si>
    <t>東和町米谷字新中渡戸22</t>
  </si>
  <si>
    <t>167</t>
  </si>
  <si>
    <t>東和町米谷字新中渡戸21</t>
  </si>
  <si>
    <t>166</t>
  </si>
  <si>
    <t>東和町米谷字新中渡戸20</t>
  </si>
  <si>
    <t>165</t>
  </si>
  <si>
    <t>東和町米谷字新中渡戸19</t>
  </si>
  <si>
    <t>164</t>
  </si>
  <si>
    <t>東和町米谷字新吉田28</t>
  </si>
  <si>
    <t>163</t>
  </si>
  <si>
    <t>東和町米谷字新吉田27</t>
  </si>
  <si>
    <t>162</t>
  </si>
  <si>
    <t>東和町米谷字新吉田26</t>
  </si>
  <si>
    <t>161</t>
  </si>
  <si>
    <t>東和町米谷字新吉田23</t>
  </si>
  <si>
    <t>160</t>
  </si>
  <si>
    <t>東和町米谷字新吉田22</t>
  </si>
  <si>
    <t>159</t>
  </si>
  <si>
    <t>東和町錦織字嵯峨立22</t>
  </si>
  <si>
    <t>158</t>
  </si>
  <si>
    <t>東和町錦織字嵯峨立21</t>
  </si>
  <si>
    <t>157</t>
  </si>
  <si>
    <t>東和町錦織字嵯峨立20</t>
  </si>
  <si>
    <t>156</t>
  </si>
  <si>
    <t>東和町錦織字嵯峨立19</t>
  </si>
  <si>
    <t>155</t>
  </si>
  <si>
    <t>東和町錦織字嵯峨立18</t>
  </si>
  <si>
    <t>154</t>
  </si>
  <si>
    <t>中田町石森字北川前53</t>
  </si>
  <si>
    <t>611</t>
  </si>
  <si>
    <t>東和町錦織字嵯峨立16</t>
  </si>
  <si>
    <t>152</t>
  </si>
  <si>
    <t>東和町米川字新青木76</t>
  </si>
  <si>
    <t>135</t>
  </si>
  <si>
    <t>東和町米川字新寺前25</t>
  </si>
  <si>
    <t>150</t>
  </si>
  <si>
    <t>東和町米川字新寺前24</t>
  </si>
  <si>
    <t>149</t>
  </si>
  <si>
    <t>東和町米川字新寺前23</t>
  </si>
  <si>
    <t>148</t>
  </si>
  <si>
    <t>東和町米川字新寺前21</t>
  </si>
  <si>
    <t>146</t>
  </si>
  <si>
    <t>東和町米川字新青木87</t>
  </si>
  <si>
    <t>145</t>
  </si>
  <si>
    <t>東和町米川字新青木86</t>
  </si>
  <si>
    <t>144</t>
  </si>
  <si>
    <t>東和町米川字新青木85</t>
  </si>
  <si>
    <t>143</t>
  </si>
  <si>
    <t>東和町米川字新青木83</t>
  </si>
  <si>
    <t>142</t>
  </si>
  <si>
    <t>東和町米川字新青木82</t>
  </si>
  <si>
    <t>141</t>
  </si>
  <si>
    <t>東和町米川字新青木81</t>
  </si>
  <si>
    <t>140</t>
  </si>
  <si>
    <t>東和町米川字新青木80</t>
  </si>
  <si>
    <t>139</t>
  </si>
  <si>
    <t>中田町石森字高見前20</t>
  </si>
  <si>
    <t>607</t>
  </si>
  <si>
    <t>東和町米川字新青木78</t>
  </si>
  <si>
    <t>137</t>
  </si>
  <si>
    <t>東和町米川字新青木77</t>
  </si>
  <si>
    <t>136</t>
  </si>
  <si>
    <t>東和町米川字新青木75</t>
  </si>
  <si>
    <t>134</t>
  </si>
  <si>
    <t>迫町新田字松原東80</t>
  </si>
  <si>
    <t>126</t>
  </si>
  <si>
    <t>迫町新田字松原東79</t>
  </si>
  <si>
    <t>125</t>
  </si>
  <si>
    <t>迫町新田字松原東72</t>
  </si>
  <si>
    <t>123</t>
  </si>
  <si>
    <t>迫町新田字松原東70</t>
  </si>
  <si>
    <t>122</t>
  </si>
  <si>
    <t>迫町新田字松原東68</t>
  </si>
  <si>
    <t>121</t>
  </si>
  <si>
    <t>迫町新田字松原東67</t>
  </si>
  <si>
    <t>120</t>
  </si>
  <si>
    <t>東和町米川字新青木79</t>
  </si>
  <si>
    <t>138</t>
  </si>
  <si>
    <t>迫町新田字松原東66</t>
  </si>
  <si>
    <t>119</t>
  </si>
  <si>
    <t>迫町新田字新蓮沼130</t>
  </si>
  <si>
    <t>117</t>
  </si>
  <si>
    <t>迫町新田字新蓮沼128</t>
  </si>
  <si>
    <t>116</t>
  </si>
  <si>
    <t>迫町新田字新蓮沼122</t>
  </si>
  <si>
    <t>114</t>
  </si>
  <si>
    <t>迫町新田字新蓮沼121</t>
  </si>
  <si>
    <t>113</t>
  </si>
  <si>
    <t>迫町新田字新蓮沼116</t>
  </si>
  <si>
    <t>110</t>
  </si>
  <si>
    <t>迫町新田字新蓮沼115</t>
  </si>
  <si>
    <t>109</t>
  </si>
  <si>
    <t>迫町新田字新蓮沼112</t>
  </si>
  <si>
    <t>108</t>
  </si>
  <si>
    <t>迫町新田字新蓮沼108</t>
  </si>
  <si>
    <t>107</t>
  </si>
  <si>
    <t>迫町新田字新蓮沼105</t>
  </si>
  <si>
    <t>106</t>
  </si>
  <si>
    <t>迫町新田字新蓮沼103</t>
  </si>
  <si>
    <t>105</t>
  </si>
  <si>
    <t>迫町新田字新蒲西118</t>
  </si>
  <si>
    <t>104</t>
  </si>
  <si>
    <t>迫町新田字新蒲西115</t>
  </si>
  <si>
    <t>103</t>
  </si>
  <si>
    <t>迫町新田字新蒲西114</t>
  </si>
  <si>
    <t>102</t>
  </si>
  <si>
    <t>迫町新田字新蒲西111</t>
  </si>
  <si>
    <t>101</t>
  </si>
  <si>
    <t>迫町新田字新蒲西110</t>
  </si>
  <si>
    <t>迫町新田字新蒲西109</t>
  </si>
  <si>
    <t>迫町新田字新蒲西108</t>
  </si>
  <si>
    <t>98</t>
  </si>
  <si>
    <t>中田町石森字新西細谷103</t>
  </si>
  <si>
    <t>496</t>
  </si>
  <si>
    <t>迫町新田字新東坂戸74</t>
  </si>
  <si>
    <t>96</t>
  </si>
  <si>
    <t>迫町新田字新東坂戸72</t>
  </si>
  <si>
    <t>95</t>
  </si>
  <si>
    <t>迫町新田字松原東74</t>
  </si>
  <si>
    <t>94</t>
  </si>
  <si>
    <t>迫町新田字新舟崎174</t>
  </si>
  <si>
    <t>93</t>
  </si>
  <si>
    <t>迫町新田字新茂栗93-2</t>
  </si>
  <si>
    <t>92</t>
  </si>
  <si>
    <t>迫町新田字新伊豆崎156</t>
  </si>
  <si>
    <t>91</t>
  </si>
  <si>
    <t>迫町新田字新舟崎121</t>
  </si>
  <si>
    <t>90</t>
  </si>
  <si>
    <t>迫町新田字新舟崎120</t>
  </si>
  <si>
    <t>89</t>
  </si>
  <si>
    <t>迫町新田字新舟崎119</t>
  </si>
  <si>
    <t>88</t>
  </si>
  <si>
    <t>迫町新田字新舟崎118</t>
  </si>
  <si>
    <t>87</t>
  </si>
  <si>
    <t>迫町新田字新舟崎116</t>
  </si>
  <si>
    <t>迫町新田字新舟崎115</t>
  </si>
  <si>
    <t>85</t>
  </si>
  <si>
    <t>迫町新田字新舟崎114</t>
  </si>
  <si>
    <t>84</t>
  </si>
  <si>
    <t>迫町新田字新舟崎113</t>
  </si>
  <si>
    <t>83</t>
  </si>
  <si>
    <t>迫町新田字新舟崎112</t>
  </si>
  <si>
    <t>82</t>
  </si>
  <si>
    <t>迫町新田字新舟崎111</t>
  </si>
  <si>
    <t>81</t>
  </si>
  <si>
    <t>迫町新田字新舟崎83</t>
  </si>
  <si>
    <t>迫町新田字新舟崎82</t>
  </si>
  <si>
    <t>52</t>
  </si>
  <si>
    <t>迫町新田字新舟崎81</t>
  </si>
  <si>
    <t>51</t>
  </si>
  <si>
    <t>迫町新田字新舟崎80</t>
  </si>
  <si>
    <t>50</t>
  </si>
  <si>
    <t>迫町新田字新伊豆崎121</t>
  </si>
  <si>
    <t>49</t>
  </si>
  <si>
    <t>迫町新田字新舟崎104</t>
  </si>
  <si>
    <t>74</t>
  </si>
  <si>
    <t>迫町新田字新伊豆崎120</t>
  </si>
  <si>
    <t>48</t>
  </si>
  <si>
    <t>迫町新田字新伊豆崎119</t>
  </si>
  <si>
    <t>47</t>
  </si>
  <si>
    <t>迫町新田字新伊豆崎118</t>
  </si>
  <si>
    <t>46</t>
  </si>
  <si>
    <t>迫町新田字新伊豆崎117</t>
  </si>
  <si>
    <t>迫町新田字新伊豆崎116</t>
  </si>
  <si>
    <t>44</t>
  </si>
  <si>
    <t>迫町新田字新伊豆崎115</t>
  </si>
  <si>
    <t>43</t>
  </si>
  <si>
    <t>迫町新田字新伊豆崎114</t>
  </si>
  <si>
    <t>42</t>
  </si>
  <si>
    <t>迫町新田字新伊豆崎113</t>
  </si>
  <si>
    <t>41</t>
  </si>
  <si>
    <t>迫町新田字新伊豆崎111</t>
  </si>
  <si>
    <t>迫町新田字新伊豆崎128</t>
  </si>
  <si>
    <t>迫町新田字新伊豆崎127</t>
  </si>
  <si>
    <t>37</t>
  </si>
  <si>
    <t>迫町新田字新伊豆崎126</t>
  </si>
  <si>
    <t>36</t>
  </si>
  <si>
    <t>迫町新田字新伊豆崎125</t>
  </si>
  <si>
    <t>35</t>
  </si>
  <si>
    <t>迫町新田字新伊豆崎124</t>
  </si>
  <si>
    <t>34</t>
  </si>
  <si>
    <t>迫町新田字新伊豆崎123</t>
  </si>
  <si>
    <t>33</t>
  </si>
  <si>
    <t>迫町新田字新伊豆崎122</t>
  </si>
  <si>
    <t>32</t>
  </si>
  <si>
    <t>迫町新田字新茂栗82</t>
  </si>
  <si>
    <t>31</t>
  </si>
  <si>
    <t>中田町石森字新西細谷116</t>
  </si>
  <si>
    <t>505</t>
  </si>
  <si>
    <t>迫町新田字新茂栗81</t>
  </si>
  <si>
    <t>30</t>
  </si>
  <si>
    <t>迫町新田字新茂栗80</t>
  </si>
  <si>
    <t>2018/04/26</t>
  </si>
  <si>
    <t>29</t>
  </si>
  <si>
    <t>中田町石森字北川前51</t>
  </si>
  <si>
    <t>609</t>
  </si>
  <si>
    <t>迫町新田字新茂栗79</t>
  </si>
  <si>
    <t>28</t>
  </si>
  <si>
    <t>2016/04/01</t>
  </si>
  <si>
    <t>迫町新田字新茂栗78</t>
  </si>
  <si>
    <t>27</t>
  </si>
  <si>
    <t>迫町新田字新茂栗77</t>
  </si>
  <si>
    <t>26</t>
  </si>
  <si>
    <t>迫町新田字新茂栗76</t>
  </si>
  <si>
    <t>1975/05/10</t>
  </si>
  <si>
    <t>25</t>
  </si>
  <si>
    <t>迫町新田字新茂栗74</t>
  </si>
  <si>
    <t>23</t>
  </si>
  <si>
    <t>迫町新田字新茂栗73</t>
  </si>
  <si>
    <t>22</t>
  </si>
  <si>
    <t>迫町新田字新茂栗71</t>
  </si>
  <si>
    <t>20</t>
  </si>
  <si>
    <t>迫町新田字新茂栗70</t>
  </si>
  <si>
    <t>19</t>
  </si>
  <si>
    <t>迫町新田字新茂栗69</t>
  </si>
  <si>
    <t>18</t>
  </si>
  <si>
    <t>迫町新田字新茂栗100</t>
  </si>
  <si>
    <t>16</t>
  </si>
  <si>
    <t>迫町新田字新茂栗98</t>
  </si>
  <si>
    <t>14</t>
  </si>
  <si>
    <t>中田町石森字高見前21</t>
  </si>
  <si>
    <t>608</t>
  </si>
  <si>
    <t>迫町新田字新茂栗97</t>
  </si>
  <si>
    <t>13</t>
  </si>
  <si>
    <t>迫町新田字新茂栗96</t>
  </si>
  <si>
    <t>12</t>
  </si>
  <si>
    <t>迫町新田字新茂栗95</t>
  </si>
  <si>
    <t>11</t>
  </si>
  <si>
    <t>迫町新田字新茂栗94</t>
  </si>
  <si>
    <t>2008/06/10</t>
  </si>
  <si>
    <t>10</t>
  </si>
  <si>
    <t>迫町新田字新舟崎110</t>
  </si>
  <si>
    <t>80</t>
  </si>
  <si>
    <t>迫町新田字新茂栗93-1</t>
  </si>
  <si>
    <t>迫町新田字新茂栗91-1</t>
  </si>
  <si>
    <t>迫町新田字新茂栗90</t>
  </si>
  <si>
    <t>迫町新田字新茂栗89</t>
  </si>
  <si>
    <t>迫町新田字新茂栗88</t>
  </si>
  <si>
    <t>迫町新田字新茂栗87</t>
  </si>
  <si>
    <t>迫町新田字新茂栗83</t>
  </si>
  <si>
    <t>迫町新田字新茂栗101</t>
  </si>
  <si>
    <t>17</t>
  </si>
  <si>
    <t>東和町米川字新寺前26</t>
  </si>
  <si>
    <t>151</t>
  </si>
  <si>
    <t>中田町石森字北川前52</t>
  </si>
  <si>
    <t>610</t>
  </si>
  <si>
    <t>中田町石森字西長根66</t>
  </si>
  <si>
    <t>636</t>
  </si>
  <si>
    <t>中田町石森字西長根65</t>
  </si>
  <si>
    <t>635</t>
  </si>
  <si>
    <t>東和町米谷字沖ノ田112</t>
  </si>
  <si>
    <t>東和町米谷字沖ノ田113</t>
  </si>
  <si>
    <t>中田町石森字西田北145</t>
  </si>
  <si>
    <t>中田町石森字西田北135</t>
  </si>
  <si>
    <t>H30舟越線（土地購入）</t>
  </si>
  <si>
    <t>南方町翌沢</t>
  </si>
  <si>
    <t>中田町石森字西田北147</t>
  </si>
  <si>
    <t>537</t>
  </si>
  <si>
    <t>中田町石森字西田南133</t>
  </si>
  <si>
    <t>514</t>
  </si>
  <si>
    <t>東和町米谷字沖ノ田81</t>
  </si>
  <si>
    <t>202</t>
  </si>
  <si>
    <t>中田町石森字西田北146</t>
  </si>
  <si>
    <t>中田町石森字新西細谷102</t>
  </si>
  <si>
    <t>495</t>
  </si>
  <si>
    <t>中田町石森字西田南131</t>
  </si>
  <si>
    <t>512</t>
  </si>
  <si>
    <t>中田町石森字南川前80</t>
  </si>
  <si>
    <t>538</t>
  </si>
  <si>
    <t>迫町新田字新舟崎84</t>
  </si>
  <si>
    <t>54</t>
  </si>
  <si>
    <t>H30的場2号線（移転補償）</t>
  </si>
  <si>
    <t>迫町佐沼字的場</t>
  </si>
  <si>
    <t>中田町石森字新牡丹埣101</t>
  </si>
  <si>
    <t>494</t>
  </si>
  <si>
    <t>中田町石森字西長根55</t>
  </si>
  <si>
    <t>625</t>
  </si>
  <si>
    <t>中田町石森字西長根57</t>
  </si>
  <si>
    <t>627</t>
  </si>
  <si>
    <t>中田町石森字北川前61</t>
  </si>
  <si>
    <t>619</t>
  </si>
  <si>
    <t>中田町石森字西長根56</t>
  </si>
  <si>
    <t>626</t>
  </si>
  <si>
    <t>中田町石森字西田南145</t>
  </si>
  <si>
    <t>525</t>
  </si>
  <si>
    <t>中田町石森字脇谷前57</t>
  </si>
  <si>
    <t>581</t>
  </si>
  <si>
    <t>中田町石森字北川前58</t>
  </si>
  <si>
    <t>616</t>
  </si>
  <si>
    <t>中田町石森字北川前65</t>
  </si>
  <si>
    <t>623</t>
  </si>
  <si>
    <t>中田町石森字霜田前44</t>
  </si>
  <si>
    <t>600</t>
  </si>
  <si>
    <t>中田町石森字脇谷前69</t>
  </si>
  <si>
    <t>593</t>
  </si>
  <si>
    <t>中田町石森字西田北136</t>
  </si>
  <si>
    <t>中田町石森字北川前66</t>
  </si>
  <si>
    <t>624</t>
  </si>
  <si>
    <t>中田町石森字西田南146</t>
  </si>
  <si>
    <t>中田町石森字北川前62</t>
  </si>
  <si>
    <t>620</t>
  </si>
  <si>
    <t>中田町石森字西田北138</t>
  </si>
  <si>
    <t>中田町石森字北川前63</t>
  </si>
  <si>
    <t>621</t>
  </si>
  <si>
    <t>中田町石森字北川前55</t>
  </si>
  <si>
    <t>613</t>
  </si>
  <si>
    <t>中田町石森字新西細谷105</t>
  </si>
  <si>
    <t>498</t>
  </si>
  <si>
    <t>東和町錦織字嵯峨立17</t>
  </si>
  <si>
    <t>153</t>
  </si>
  <si>
    <t>中田町石森字西田北137</t>
  </si>
  <si>
    <t>529</t>
  </si>
  <si>
    <t>中田町石森字西長根58</t>
  </si>
  <si>
    <t>628</t>
  </si>
  <si>
    <t>中田町石森字新西細谷108</t>
  </si>
  <si>
    <t>500</t>
  </si>
  <si>
    <t>中田町石森字西田南142</t>
  </si>
  <si>
    <t>522</t>
  </si>
  <si>
    <t>中田町石森字霜田前43</t>
  </si>
  <si>
    <t>599</t>
  </si>
  <si>
    <t>中田町石森字新西細谷104</t>
  </si>
  <si>
    <t>497</t>
  </si>
  <si>
    <t>迫町新田字新舟崎85</t>
  </si>
  <si>
    <t>55</t>
  </si>
  <si>
    <t>中田町宝江新井田字東大谷地45</t>
  </si>
  <si>
    <t>468</t>
  </si>
  <si>
    <t>中田町石森字北川前57</t>
  </si>
  <si>
    <t>615</t>
  </si>
  <si>
    <t>中田町石森字北川前54</t>
  </si>
  <si>
    <t>612</t>
  </si>
  <si>
    <t>中田町石森字霜田前49</t>
  </si>
  <si>
    <t>605</t>
  </si>
  <si>
    <t>中田町石森字霜田前42</t>
  </si>
  <si>
    <t>598</t>
  </si>
  <si>
    <t>迫町新田字新舟崎86</t>
  </si>
  <si>
    <t>56</t>
  </si>
  <si>
    <t>中田町宝江新井田字西芝尻77</t>
  </si>
  <si>
    <t>460</t>
  </si>
  <si>
    <t>迫町新田字新舟崎107</t>
  </si>
  <si>
    <t>77</t>
  </si>
  <si>
    <t>中田町石森字北川前56</t>
  </si>
  <si>
    <t>614</t>
  </si>
  <si>
    <t>中田町石森字西田南141</t>
  </si>
  <si>
    <t>521</t>
  </si>
  <si>
    <t>東和町米川字新青木73</t>
  </si>
  <si>
    <t>132</t>
  </si>
  <si>
    <t>迫町新田字新舟崎87</t>
  </si>
  <si>
    <t>57</t>
  </si>
  <si>
    <t>中田町宝江新井田字東大谷地41</t>
  </si>
  <si>
    <t>464</t>
  </si>
  <si>
    <t>迫町新田字新茂栗75</t>
  </si>
  <si>
    <t>1975/08/21</t>
  </si>
  <si>
    <t>24</t>
  </si>
  <si>
    <t>中田町石森字西田南139</t>
  </si>
  <si>
    <t>519</t>
  </si>
  <si>
    <t>中田町石森字北川前59</t>
  </si>
  <si>
    <t>617</t>
  </si>
  <si>
    <t>中田町石森字高見前19</t>
  </si>
  <si>
    <t>606</t>
  </si>
  <si>
    <t>中田町石森字北川前60</t>
  </si>
  <si>
    <t>618</t>
  </si>
  <si>
    <t>中田町石森字西田南138</t>
  </si>
  <si>
    <t>518</t>
  </si>
  <si>
    <t>中田町石森字西長根60</t>
  </si>
  <si>
    <t>630</t>
  </si>
  <si>
    <t>中田町石森字西田南135</t>
  </si>
  <si>
    <t>516</t>
  </si>
  <si>
    <t>中田町石森字霜田前45</t>
  </si>
  <si>
    <t>601</t>
  </si>
  <si>
    <t>迫町新田字松原東73</t>
  </si>
  <si>
    <t>124</t>
  </si>
  <si>
    <t>中田町石森字脇谷前68</t>
  </si>
  <si>
    <t>592</t>
  </si>
  <si>
    <t>迫町新田字新茂栗92</t>
  </si>
  <si>
    <t>中田町石森字北川前64</t>
  </si>
  <si>
    <t>622</t>
  </si>
  <si>
    <t>中田町石森字西田南136</t>
  </si>
  <si>
    <t>517</t>
  </si>
  <si>
    <t>中田町石森字西長根59</t>
  </si>
  <si>
    <t>629</t>
  </si>
  <si>
    <t>東和町米川字新青木72</t>
  </si>
  <si>
    <t>131</t>
  </si>
  <si>
    <t>中田町石森字西長根61</t>
  </si>
  <si>
    <t>631</t>
  </si>
  <si>
    <t>中田町石森字脇谷前64</t>
  </si>
  <si>
    <t>588</t>
  </si>
  <si>
    <t>迫町新田字松原東82</t>
  </si>
  <si>
    <t>127</t>
  </si>
  <si>
    <t>中田町石森字霜田前48</t>
  </si>
  <si>
    <t>604</t>
  </si>
  <si>
    <t>中田町石森字霜田前46</t>
  </si>
  <si>
    <t>602</t>
  </si>
  <si>
    <t>中田町石森字西田北139</t>
  </si>
  <si>
    <t>中田町石森字新牡丹埣98</t>
  </si>
  <si>
    <t>492</t>
  </si>
  <si>
    <t>中田町石森字新牡丹埣99</t>
  </si>
  <si>
    <t>493</t>
  </si>
  <si>
    <t>迫町新田字新舟崎108</t>
  </si>
  <si>
    <t>津山町横山字北沢下2</t>
  </si>
  <si>
    <t>1041</t>
  </si>
  <si>
    <t>中田町石森字西田南140</t>
  </si>
  <si>
    <t>津山町横山字北沢上78</t>
  </si>
  <si>
    <t>1040</t>
  </si>
  <si>
    <t>津山町横山字北沢上77</t>
  </si>
  <si>
    <t>1039</t>
  </si>
  <si>
    <t>津山町横山字北沢上76</t>
  </si>
  <si>
    <t>1038</t>
  </si>
  <si>
    <t>津山町横山字北沢上75</t>
  </si>
  <si>
    <t>1037</t>
  </si>
  <si>
    <t>津山町横山字北沢上74</t>
  </si>
  <si>
    <t>1036</t>
  </si>
  <si>
    <t>津山町横山字北沢上73</t>
  </si>
  <si>
    <t>1035</t>
  </si>
  <si>
    <t>津山町横山字北沢上72</t>
  </si>
  <si>
    <t>1034</t>
  </si>
  <si>
    <t>中田町石森字霜田前47</t>
  </si>
  <si>
    <t>603</t>
  </si>
  <si>
    <t>津山町横山字北沢上71</t>
  </si>
  <si>
    <t>1033</t>
  </si>
  <si>
    <t>津山町横山字北沢上70</t>
  </si>
  <si>
    <t>1032</t>
  </si>
  <si>
    <t>津山町横山字南沢下6</t>
  </si>
  <si>
    <t>1031</t>
  </si>
  <si>
    <t>津山町横山字南沢中9</t>
  </si>
  <si>
    <t>1030</t>
  </si>
  <si>
    <t>津山町横山字南沢上77</t>
  </si>
  <si>
    <t>1029</t>
  </si>
  <si>
    <t>東和町米川字新青木71</t>
  </si>
  <si>
    <t>130</t>
  </si>
  <si>
    <t>津山町横山字南沢上76</t>
  </si>
  <si>
    <t>1028</t>
  </si>
  <si>
    <t>津山町横山字南沢上75</t>
  </si>
  <si>
    <t>1027</t>
  </si>
  <si>
    <t>津山町横山字南沢上74</t>
  </si>
  <si>
    <t>1026</t>
  </si>
  <si>
    <t>津山町横山字南沢上73</t>
  </si>
  <si>
    <t>1025</t>
  </si>
  <si>
    <t>津山町横山字南沢上72</t>
  </si>
  <si>
    <t>1024</t>
  </si>
  <si>
    <t>津山町横山字南沢上69</t>
  </si>
  <si>
    <t>1023</t>
  </si>
  <si>
    <t>迫町新田字松原東87</t>
  </si>
  <si>
    <t>128</t>
  </si>
  <si>
    <t>津山町横山字南沢上68</t>
  </si>
  <si>
    <t>1022</t>
  </si>
  <si>
    <t>津山町横山字南沢上67</t>
  </si>
  <si>
    <t>1021</t>
  </si>
  <si>
    <t>津山町横山字南沢上66</t>
  </si>
  <si>
    <t>1020</t>
  </si>
  <si>
    <t>津山町横山字南沢上65</t>
  </si>
  <si>
    <t>1019</t>
  </si>
  <si>
    <t>津山町横山字南沢上62</t>
  </si>
  <si>
    <t>1018</t>
  </si>
  <si>
    <t>津山町横山字南沢上61</t>
  </si>
  <si>
    <t>1017</t>
  </si>
  <si>
    <t>津山町横山字高谷地51</t>
  </si>
  <si>
    <t>1016</t>
  </si>
  <si>
    <t>津山町横山字高谷地49</t>
  </si>
  <si>
    <t>1015</t>
  </si>
  <si>
    <t>迫町新田字新蒲西107</t>
  </si>
  <si>
    <t>97</t>
  </si>
  <si>
    <t>津山町横山字高谷地48</t>
  </si>
  <si>
    <t>1014</t>
  </si>
  <si>
    <t>津山町横山字高谷地47</t>
  </si>
  <si>
    <t>1013</t>
  </si>
  <si>
    <t>津山町横山字高谷地46</t>
  </si>
  <si>
    <t>1012</t>
  </si>
  <si>
    <t>津山町横山字高谷地45</t>
  </si>
  <si>
    <t>1011</t>
  </si>
  <si>
    <t>迫町新田字新伊豆崎112</t>
  </si>
  <si>
    <t>津山町横山字高谷地44</t>
  </si>
  <si>
    <t>1010</t>
  </si>
  <si>
    <t>津山町横山字高谷地43</t>
  </si>
  <si>
    <t>1009</t>
  </si>
  <si>
    <t>津山町柳津字締切沼上41</t>
  </si>
  <si>
    <t>1008</t>
  </si>
  <si>
    <t>石越町南郷字新南埣169-5</t>
  </si>
  <si>
    <t>1007</t>
  </si>
  <si>
    <t>石越町南郷字新南埣169-4</t>
  </si>
  <si>
    <t>1006</t>
  </si>
  <si>
    <t>石越町南郷字新南埣169-3</t>
  </si>
  <si>
    <t>1005</t>
  </si>
  <si>
    <t>石越町南郷字新南埣169-2</t>
  </si>
  <si>
    <t>1004</t>
  </si>
  <si>
    <t>石越町南郷字新南埣169-1</t>
  </si>
  <si>
    <t>1003</t>
  </si>
  <si>
    <t>石越町北郷字新北49</t>
  </si>
  <si>
    <t>1002</t>
  </si>
  <si>
    <t>石越町北郷字新北48</t>
  </si>
  <si>
    <t>1001</t>
  </si>
  <si>
    <t>石越町北郷字新北47</t>
  </si>
  <si>
    <t>1000</t>
  </si>
  <si>
    <t>石越町北郷字新北46</t>
  </si>
  <si>
    <t>999</t>
  </si>
  <si>
    <t>石越町北郷字新北45</t>
  </si>
  <si>
    <t>998</t>
  </si>
  <si>
    <t>石越町北郷字新北44</t>
  </si>
  <si>
    <t>997</t>
  </si>
  <si>
    <t>石越町北郷字新北43</t>
  </si>
  <si>
    <t>石越町北郷字新北42</t>
  </si>
  <si>
    <t>石越町北郷字新北41</t>
  </si>
  <si>
    <t>石越町北郷字新南61</t>
  </si>
  <si>
    <t>石越町北郷字新南60</t>
  </si>
  <si>
    <t>石越町北郷字新南59</t>
  </si>
  <si>
    <t>石越町北郷字新南58</t>
  </si>
  <si>
    <t>石越町北郷字新南57</t>
  </si>
  <si>
    <t>989</t>
  </si>
  <si>
    <t>石越町北郷字新南56</t>
  </si>
  <si>
    <t>石越町北郷字新南55</t>
  </si>
  <si>
    <t>H30的場2号線（土地購入）</t>
  </si>
  <si>
    <t>2019/02/27</t>
  </si>
  <si>
    <t>石越町北郷字新南54</t>
  </si>
  <si>
    <t>石越町北郷字新南53</t>
  </si>
  <si>
    <t>迫町新田字新茂栗72</t>
  </si>
  <si>
    <t>21</t>
  </si>
  <si>
    <t>石越町北郷字新南52</t>
  </si>
  <si>
    <t>石越町北郷字新南51</t>
  </si>
  <si>
    <t>石越町北郷字新南50-2</t>
  </si>
  <si>
    <t>石越町東郷字新今道12</t>
  </si>
  <si>
    <t>552</t>
  </si>
  <si>
    <t>石越町北郷字新南50-1</t>
  </si>
  <si>
    <t>石越町北郷字新西37</t>
  </si>
  <si>
    <t>石越町北郷字新西36</t>
  </si>
  <si>
    <t>石越町北郷字新西35</t>
  </si>
  <si>
    <t>石越町北郷字新西34</t>
  </si>
  <si>
    <t>石越町北郷字新西33</t>
  </si>
  <si>
    <t>976</t>
  </si>
  <si>
    <t>石越町北郷字新西32</t>
  </si>
  <si>
    <t>975</t>
  </si>
  <si>
    <t>石越町北郷字新西31</t>
  </si>
  <si>
    <t>974</t>
  </si>
  <si>
    <t>石越町北郷字新西30</t>
  </si>
  <si>
    <t>973</t>
  </si>
  <si>
    <t>石越町北郷字新西29</t>
  </si>
  <si>
    <t>972</t>
  </si>
  <si>
    <t>石越町北郷字新東43</t>
  </si>
  <si>
    <t>971</t>
  </si>
  <si>
    <t>石越町北郷字新東42</t>
  </si>
  <si>
    <t>970</t>
  </si>
  <si>
    <t>石越町北郷字新東41</t>
  </si>
  <si>
    <t>969</t>
  </si>
  <si>
    <t>石越町北郷字新東40</t>
  </si>
  <si>
    <t>968</t>
  </si>
  <si>
    <t>石越町北郷字新東39</t>
  </si>
  <si>
    <t>967</t>
  </si>
  <si>
    <t>石越町北郷字新東38</t>
  </si>
  <si>
    <t>966</t>
  </si>
  <si>
    <t>石越町北郷字新東37</t>
  </si>
  <si>
    <t>965</t>
  </si>
  <si>
    <t>石越町北郷字新東36</t>
  </si>
  <si>
    <t>964</t>
  </si>
  <si>
    <t>石越町北郷字新東35</t>
  </si>
  <si>
    <t>963</t>
  </si>
  <si>
    <t>石越町北郷字新的場下41</t>
  </si>
  <si>
    <t>962</t>
  </si>
  <si>
    <t>石越町北郷字新的場下40</t>
  </si>
  <si>
    <t>961</t>
  </si>
  <si>
    <t>石越町北郷字新的場下39</t>
  </si>
  <si>
    <t>960</t>
  </si>
  <si>
    <t>石越町北郷字新的場下38-3</t>
  </si>
  <si>
    <t>959</t>
  </si>
  <si>
    <t>中田町石森字二木前44</t>
  </si>
  <si>
    <t>569</t>
  </si>
  <si>
    <t>中田町宝江新井田字南下道50</t>
  </si>
  <si>
    <t>480</t>
  </si>
  <si>
    <t>石越町北郷字新的場下38-1</t>
  </si>
  <si>
    <t>958</t>
  </si>
  <si>
    <t>中田町石森字西田南134</t>
  </si>
  <si>
    <t>515</t>
  </si>
  <si>
    <t>石越町北郷字新的場下38-2</t>
  </si>
  <si>
    <t>957</t>
  </si>
  <si>
    <t>石越町北郷字新的場下37</t>
  </si>
  <si>
    <t>956</t>
  </si>
  <si>
    <t>中田町石森字南川前91</t>
  </si>
  <si>
    <t>549</t>
  </si>
  <si>
    <t>石越町北郷字新的場下36</t>
  </si>
  <si>
    <t>955</t>
  </si>
  <si>
    <t>迫町新田字新舟崎109</t>
  </si>
  <si>
    <t>79</t>
  </si>
  <si>
    <t>石越町北郷字新橋向83</t>
  </si>
  <si>
    <t>954</t>
  </si>
  <si>
    <t>東和町米川字新青木74</t>
  </si>
  <si>
    <t>133</t>
  </si>
  <si>
    <t>石越町北郷字新橋向94</t>
  </si>
  <si>
    <t>953</t>
  </si>
  <si>
    <t>石越町北郷字新橋向99</t>
  </si>
  <si>
    <t>952</t>
  </si>
  <si>
    <t>石越町北郷字新橋向90</t>
  </si>
  <si>
    <t>951</t>
  </si>
  <si>
    <t>石越町北郷字新橋向92</t>
  </si>
  <si>
    <t>950</t>
  </si>
  <si>
    <t>中田町石森字南川前84</t>
  </si>
  <si>
    <t>542</t>
  </si>
  <si>
    <t>中田町石森字新牡丹埣93</t>
  </si>
  <si>
    <t>487</t>
  </si>
  <si>
    <t>石越町北郷字新橋向89</t>
  </si>
  <si>
    <t>948</t>
  </si>
  <si>
    <t>石越町北郷字新橋向88</t>
  </si>
  <si>
    <t>947</t>
  </si>
  <si>
    <t>石越町北郷字新橋向87</t>
  </si>
  <si>
    <t>946</t>
  </si>
  <si>
    <t>石越町北郷字新橋向86</t>
  </si>
  <si>
    <t>945</t>
  </si>
  <si>
    <t>石越町北郷字新橋向85</t>
  </si>
  <si>
    <t>944</t>
  </si>
  <si>
    <t>石越町北郷字新橋向84</t>
  </si>
  <si>
    <t>943</t>
  </si>
  <si>
    <t>石越町北郷字新橋向79</t>
  </si>
  <si>
    <t>942</t>
  </si>
  <si>
    <t>石越町北郷字新橋向78</t>
  </si>
  <si>
    <t>941</t>
  </si>
  <si>
    <t>迫町新田字新蓮沼118</t>
  </si>
  <si>
    <t>112</t>
  </si>
  <si>
    <t>石越町北郷字新橋向77</t>
  </si>
  <si>
    <t>940</t>
  </si>
  <si>
    <t>石越町北郷字新橋向104</t>
  </si>
  <si>
    <t>939</t>
  </si>
  <si>
    <t>石越町北郷字新橋向103</t>
  </si>
  <si>
    <t>938</t>
  </si>
  <si>
    <t>石越町北郷字新橋向101</t>
  </si>
  <si>
    <t>937</t>
  </si>
  <si>
    <t>石越町北郷字新橋向102</t>
  </si>
  <si>
    <t>936</t>
  </si>
  <si>
    <t>石越町北郷字新橋向100</t>
  </si>
  <si>
    <t>935</t>
  </si>
  <si>
    <t>石越町北郷字新橋向98</t>
  </si>
  <si>
    <t>934</t>
  </si>
  <si>
    <t>石越町北郷字新橋向95</t>
  </si>
  <si>
    <t>933</t>
  </si>
  <si>
    <t>石越町北郷字新橋向96</t>
  </si>
  <si>
    <t>中田町石森字西田北143</t>
  </si>
  <si>
    <t>石越町北郷字新橋向97</t>
  </si>
  <si>
    <t>石越町北郷字新傾城渕67</t>
  </si>
  <si>
    <t>石越町北郷字新傾城渕66</t>
  </si>
  <si>
    <t>石越町北郷字新傾城渕65</t>
  </si>
  <si>
    <t>石越町北郷字新傾城渕64</t>
  </si>
  <si>
    <t>H30水沢線（移転補償）</t>
  </si>
  <si>
    <t>津山町横山字久保</t>
  </si>
  <si>
    <t>石越町北郷字新傾城渕63</t>
  </si>
  <si>
    <t>石越町北郷字新傾城渕62</t>
  </si>
  <si>
    <t>925</t>
  </si>
  <si>
    <t>石越町北郷字新傾城渕61</t>
  </si>
  <si>
    <t>石越町北郷字新傾城渕60</t>
  </si>
  <si>
    <t>923</t>
  </si>
  <si>
    <t>石越町北郷字新傾城渕59</t>
  </si>
  <si>
    <t>922</t>
  </si>
  <si>
    <t>石越町北郷字新傾城渕58</t>
  </si>
  <si>
    <t>921</t>
  </si>
  <si>
    <t>石越町北郷字新傾城渕57</t>
  </si>
  <si>
    <t>920</t>
  </si>
  <si>
    <t>石越町北郷字新傾城渕56</t>
  </si>
  <si>
    <t>919</t>
  </si>
  <si>
    <t>石越町北郷字新傾城渕55</t>
  </si>
  <si>
    <t>918</t>
  </si>
  <si>
    <t>石越町北郷字新丸谷地72</t>
  </si>
  <si>
    <t>917</t>
  </si>
  <si>
    <t>石越町北郷字新丸谷地71</t>
  </si>
  <si>
    <t>916</t>
  </si>
  <si>
    <t>2000/10/18</t>
  </si>
  <si>
    <t>石越町北郷字新丸谷地70</t>
  </si>
  <si>
    <t>915</t>
  </si>
  <si>
    <t>石越町北郷字新丸谷地69</t>
  </si>
  <si>
    <t>914</t>
  </si>
  <si>
    <t>石越町北郷字新丸谷地68</t>
  </si>
  <si>
    <t>913</t>
  </si>
  <si>
    <t>石越町北郷字新丸谷地67</t>
  </si>
  <si>
    <t>912</t>
  </si>
  <si>
    <t>石越町北郷字新丸谷地66</t>
  </si>
  <si>
    <t>911</t>
  </si>
  <si>
    <t>石越町北郷字新丸谷地65</t>
  </si>
  <si>
    <t>910</t>
  </si>
  <si>
    <t>石越町北郷字新丸谷地64</t>
  </si>
  <si>
    <t>909</t>
  </si>
  <si>
    <t>石越町北郷字新丸谷地63</t>
  </si>
  <si>
    <t>908</t>
  </si>
  <si>
    <t>石越町北郷字新丸谷地62</t>
  </si>
  <si>
    <t>907</t>
  </si>
  <si>
    <t>石越町北郷字新丸谷地61</t>
  </si>
  <si>
    <t>906</t>
  </si>
  <si>
    <t>石越町北郷字新丸谷地60</t>
  </si>
  <si>
    <t>905</t>
  </si>
  <si>
    <t>石越町北郷字新丸谷地59</t>
  </si>
  <si>
    <t>904</t>
  </si>
  <si>
    <t>石越町北郷字新丸谷地58</t>
  </si>
  <si>
    <t>903</t>
  </si>
  <si>
    <t>石越町北郷字新丸谷地57</t>
  </si>
  <si>
    <t>902</t>
  </si>
  <si>
    <t>中田町石森字新西細谷106</t>
  </si>
  <si>
    <t>499</t>
  </si>
  <si>
    <t>石越町北郷字新丸谷地56</t>
  </si>
  <si>
    <t>901</t>
  </si>
  <si>
    <t>石越町北郷字新大和田59</t>
  </si>
  <si>
    <t>石越町北郷字新大和田58</t>
  </si>
  <si>
    <t>899</t>
  </si>
  <si>
    <t>石越町北郷字新大和田57</t>
  </si>
  <si>
    <t>石越町北郷字新大和田55</t>
  </si>
  <si>
    <t>石越町北郷字新大和田54</t>
  </si>
  <si>
    <t>中田町石森字西田北141</t>
  </si>
  <si>
    <t>石越町北郷字新大和田53</t>
  </si>
  <si>
    <t>895</t>
  </si>
  <si>
    <t>石越町北郷字新大和田51</t>
  </si>
  <si>
    <t>894</t>
  </si>
  <si>
    <t>石越町北郷字新大和田50</t>
  </si>
  <si>
    <t>893</t>
  </si>
  <si>
    <t>石越町北郷字新大和田49</t>
  </si>
  <si>
    <t>892</t>
  </si>
  <si>
    <t>石越町北郷字新大和田48</t>
  </si>
  <si>
    <t>891</t>
  </si>
  <si>
    <t>石越町北郷字新大和田47</t>
  </si>
  <si>
    <t>890</t>
  </si>
  <si>
    <t>石越町北郷字新大和田46</t>
  </si>
  <si>
    <t>889</t>
  </si>
  <si>
    <t>石越町北郷字新大和田45</t>
  </si>
  <si>
    <t>888</t>
  </si>
  <si>
    <t>石越町北郷字新大和田44</t>
  </si>
  <si>
    <t>887</t>
  </si>
  <si>
    <t>石越町北郷字新富崎前55</t>
  </si>
  <si>
    <t>886</t>
  </si>
  <si>
    <t>石越町北郷字新富崎前54</t>
  </si>
  <si>
    <t>885</t>
  </si>
  <si>
    <t>石越町北郷字新富崎前53</t>
  </si>
  <si>
    <t>石越町北郷字新富崎前52</t>
  </si>
  <si>
    <t>石越町北郷字新富崎前51</t>
  </si>
  <si>
    <t>882</t>
  </si>
  <si>
    <t>石越町北郷字新富崎前50</t>
  </si>
  <si>
    <t>881</t>
  </si>
  <si>
    <t>石越町北郷字新富崎前49</t>
  </si>
  <si>
    <t>880</t>
  </si>
  <si>
    <t>石越町北郷字新富崎前48</t>
  </si>
  <si>
    <t>879</t>
  </si>
  <si>
    <t>石越町北郷字新富崎前47</t>
  </si>
  <si>
    <t>878</t>
  </si>
  <si>
    <t>石越町北郷字新富崎前46</t>
  </si>
  <si>
    <t>877</t>
  </si>
  <si>
    <t>石越町北郷字新富崎前45</t>
  </si>
  <si>
    <t>石越町北郷字新堀内前64-1</t>
  </si>
  <si>
    <t>875</t>
  </si>
  <si>
    <t>中田町石森字西長根63</t>
  </si>
  <si>
    <t>633</t>
  </si>
  <si>
    <t>石越町北郷字新堀内前63</t>
  </si>
  <si>
    <t>874</t>
  </si>
  <si>
    <t>石越町北郷字新堀内前62</t>
  </si>
  <si>
    <t>873</t>
  </si>
  <si>
    <t>石越町北郷字新堀内前61</t>
  </si>
  <si>
    <t>石越町北郷字新堀内前60-1</t>
  </si>
  <si>
    <t>871</t>
  </si>
  <si>
    <t>石越町北郷字新堀内前59</t>
  </si>
  <si>
    <t>870</t>
  </si>
  <si>
    <t>石越町北郷字新堀内前58</t>
  </si>
  <si>
    <t>869</t>
  </si>
  <si>
    <t>石越町北郷字新堀内前57</t>
  </si>
  <si>
    <t>868</t>
  </si>
  <si>
    <t>石越町北郷字新堀内前56</t>
  </si>
  <si>
    <t>867</t>
  </si>
  <si>
    <t>石越町北郷字新堀内前55</t>
  </si>
  <si>
    <t>866</t>
  </si>
  <si>
    <t>石越町北郷字新堀内前54</t>
  </si>
  <si>
    <t>865</t>
  </si>
  <si>
    <t>石越町北郷字新堀内前53</t>
  </si>
  <si>
    <t>864</t>
  </si>
  <si>
    <t>石越町北郷字新堀内前52</t>
  </si>
  <si>
    <t>863</t>
  </si>
  <si>
    <t>石越町北郷字新堀内前51</t>
  </si>
  <si>
    <t>862</t>
  </si>
  <si>
    <t>石越町北郷字新堀内前50</t>
  </si>
  <si>
    <t>861</t>
  </si>
  <si>
    <t>石越町北郷字新堀内前49</t>
  </si>
  <si>
    <t>860</t>
  </si>
  <si>
    <t>石越町北郷字新堀内前48</t>
  </si>
  <si>
    <t>859</t>
  </si>
  <si>
    <t>石越町北郷字新堀内前47</t>
  </si>
  <si>
    <t>858</t>
  </si>
  <si>
    <t>石越町北郷字新橋向91</t>
  </si>
  <si>
    <t>949</t>
  </si>
  <si>
    <t>石越町北郷字新堀内前46</t>
  </si>
  <si>
    <t>857</t>
  </si>
  <si>
    <t>石越町北郷字新内の目117</t>
  </si>
  <si>
    <t>856</t>
  </si>
  <si>
    <t>石越町北郷字新内の目116</t>
  </si>
  <si>
    <t>855</t>
  </si>
  <si>
    <t>石越町北郷字新内の目115</t>
  </si>
  <si>
    <t>854</t>
  </si>
  <si>
    <t>石越町北郷字新内の目114</t>
  </si>
  <si>
    <t>853</t>
  </si>
  <si>
    <t>石越町北郷字新内の目109-2</t>
  </si>
  <si>
    <t>852</t>
  </si>
  <si>
    <t>石越町北郷字新内の目107</t>
  </si>
  <si>
    <t>851</t>
  </si>
  <si>
    <t>石越町北郷字新内の目106</t>
  </si>
  <si>
    <t>850</t>
  </si>
  <si>
    <t>石越町北郷字新内の目104</t>
  </si>
  <si>
    <t>849</t>
  </si>
  <si>
    <t>石越町北郷字新内の目103</t>
  </si>
  <si>
    <t>848</t>
  </si>
  <si>
    <t>石越町北郷字新内の目102</t>
  </si>
  <si>
    <t>847</t>
  </si>
  <si>
    <t>石越町北郷字新内の目101</t>
  </si>
  <si>
    <t>846</t>
  </si>
  <si>
    <t>中田町宝江新井田字南下道44</t>
  </si>
  <si>
    <t>474</t>
  </si>
  <si>
    <t>石越町北郷字新内の目100</t>
  </si>
  <si>
    <t>845</t>
  </si>
  <si>
    <t>石越町北郷字新内の目99</t>
  </si>
  <si>
    <t>844</t>
  </si>
  <si>
    <t>石越町北郷字新内の目98</t>
  </si>
  <si>
    <t>843</t>
  </si>
  <si>
    <t>石越町北郷字新内の目97</t>
  </si>
  <si>
    <t>842</t>
  </si>
  <si>
    <t>石越町北郷字新内の目96</t>
  </si>
  <si>
    <t>841</t>
  </si>
  <si>
    <t>石越町北郷字新内の目95</t>
  </si>
  <si>
    <t>840</t>
  </si>
  <si>
    <t>石越町北郷字新内の目94</t>
  </si>
  <si>
    <t>839</t>
  </si>
  <si>
    <t>石越町北郷字新内の目93</t>
  </si>
  <si>
    <t>838</t>
  </si>
  <si>
    <t>石越町北郷字新内の目92</t>
  </si>
  <si>
    <t>837</t>
  </si>
  <si>
    <t>石越町北郷字新内の目91</t>
  </si>
  <si>
    <t>836</t>
  </si>
  <si>
    <t>石越町北郷字新内の目90</t>
  </si>
  <si>
    <t>835</t>
  </si>
  <si>
    <t>石越町北郷字新内の目89</t>
  </si>
  <si>
    <t>834</t>
  </si>
  <si>
    <t>石越町北郷字新長下田66</t>
  </si>
  <si>
    <t>833</t>
  </si>
  <si>
    <t>石越町北郷字新長下田64</t>
  </si>
  <si>
    <t>832</t>
  </si>
  <si>
    <t>石越町北郷字新長下田63</t>
  </si>
  <si>
    <t>831</t>
  </si>
  <si>
    <t>石越町北郷字新長下田62</t>
  </si>
  <si>
    <t>830</t>
  </si>
  <si>
    <t>石越町北郷字新長下田61</t>
  </si>
  <si>
    <t>829</t>
  </si>
  <si>
    <t>石越町北郷字新長下田60</t>
  </si>
  <si>
    <t>828</t>
  </si>
  <si>
    <t>石越町北郷字新長下田59</t>
  </si>
  <si>
    <t>827</t>
  </si>
  <si>
    <t>石越町北郷字新長下田58</t>
  </si>
  <si>
    <t>826</t>
  </si>
  <si>
    <t>迫町新田字新舟崎98</t>
  </si>
  <si>
    <t>68</t>
  </si>
  <si>
    <t>石越町北郷字新長下田53</t>
  </si>
  <si>
    <t>821</t>
  </si>
  <si>
    <t>石越町北郷字新長下田57</t>
  </si>
  <si>
    <t>825</t>
  </si>
  <si>
    <t>H30水沢線（土地購入）</t>
  </si>
  <si>
    <t>1123</t>
  </si>
  <si>
    <t>石越町北郷字新長下田56</t>
  </si>
  <si>
    <t>824</t>
  </si>
  <si>
    <t>石越町北郷字新長下田55</t>
  </si>
  <si>
    <t>823</t>
  </si>
  <si>
    <t>石越町北郷字新長下田54</t>
  </si>
  <si>
    <t>822</t>
  </si>
  <si>
    <t>石越町北郷字新長下田52</t>
  </si>
  <si>
    <t>820</t>
  </si>
  <si>
    <t>石越町北郷字新長下田51</t>
  </si>
  <si>
    <t>819</t>
  </si>
  <si>
    <t>石越町北郷字新長下田50</t>
  </si>
  <si>
    <t>818</t>
  </si>
  <si>
    <t>石越町北郷字新長下田49</t>
  </si>
  <si>
    <t>817</t>
  </si>
  <si>
    <t>石越町北郷字新長下田48</t>
  </si>
  <si>
    <t>816</t>
  </si>
  <si>
    <t>石越町北郷字新長下田47</t>
  </si>
  <si>
    <t>815</t>
  </si>
  <si>
    <t>石越町北郷字新長下田46-3</t>
  </si>
  <si>
    <t>814</t>
  </si>
  <si>
    <t>石越町北郷字新粒庭59</t>
  </si>
  <si>
    <t>813</t>
  </si>
  <si>
    <t>石越町北郷字新粒庭58</t>
  </si>
  <si>
    <t>812</t>
  </si>
  <si>
    <t>石越町北郷字新粒庭56</t>
  </si>
  <si>
    <t>811</t>
  </si>
  <si>
    <t>石越町北郷字新粒庭55</t>
  </si>
  <si>
    <t>810</t>
  </si>
  <si>
    <t>石越町北郷字新粒庭54</t>
  </si>
  <si>
    <t>809</t>
  </si>
  <si>
    <t>石越町北郷字新粒庭53</t>
  </si>
  <si>
    <t>808</t>
  </si>
  <si>
    <t>石越町北郷字新粒庭52</t>
  </si>
  <si>
    <t>807</t>
  </si>
  <si>
    <t>石越町北郷字新粒庭51</t>
  </si>
  <si>
    <t>806</t>
  </si>
  <si>
    <t>石越町北郷字新粒庭50</t>
  </si>
  <si>
    <t>805</t>
  </si>
  <si>
    <t>石越町北郷字新粒庭49</t>
  </si>
  <si>
    <t>804</t>
  </si>
  <si>
    <t>石越町北郷字新粒庭48</t>
  </si>
  <si>
    <t>803</t>
  </si>
  <si>
    <t>石越町北郷字新粒庭47</t>
  </si>
  <si>
    <t>802</t>
  </si>
  <si>
    <t>石越町北郷字新粒庭46</t>
  </si>
  <si>
    <t>801</t>
  </si>
  <si>
    <t>石越町北郷字新粒庭45</t>
  </si>
  <si>
    <t>800</t>
  </si>
  <si>
    <t>石越町北郷字新粒庭44</t>
  </si>
  <si>
    <t>799</t>
  </si>
  <si>
    <t>石越町北郷字新粒庭43</t>
  </si>
  <si>
    <t>798</t>
  </si>
  <si>
    <t>石越町北郷字新押込44</t>
  </si>
  <si>
    <t>797</t>
  </si>
  <si>
    <t>石越町北郷字新押込43</t>
  </si>
  <si>
    <t>石越町北郷字新押込42</t>
  </si>
  <si>
    <t>石越町北郷字新押込41</t>
  </si>
  <si>
    <t>石越町北郷字新押込40</t>
  </si>
  <si>
    <t>迫町新田字新舟崎99</t>
  </si>
  <si>
    <t>69</t>
  </si>
  <si>
    <t>石越町北郷字新押込39</t>
  </si>
  <si>
    <t>迫町新田字新舟崎103</t>
  </si>
  <si>
    <t>73</t>
  </si>
  <si>
    <t>中田町上沼字新東金谷38</t>
  </si>
  <si>
    <t>中田町上沼字新東金谷37</t>
  </si>
  <si>
    <t>迫町新田字新舟崎100</t>
  </si>
  <si>
    <t>中田町上沼字新東金谷36</t>
  </si>
  <si>
    <t>迫町新田字新舟崎101</t>
  </si>
  <si>
    <t>71</t>
  </si>
  <si>
    <t>中田町上沼字新東金谷35</t>
  </si>
  <si>
    <t>中田町上沼字新東金谷34</t>
  </si>
  <si>
    <t>中田町上沼字新東金谷33</t>
  </si>
  <si>
    <t>中田町上沼字新東金谷32</t>
  </si>
  <si>
    <t>中田町上沼字新東金谷31</t>
  </si>
  <si>
    <t>中田町上沼字新東金谷30</t>
  </si>
  <si>
    <t>中田町上沼字新東金谷29</t>
  </si>
  <si>
    <t>782</t>
  </si>
  <si>
    <t>中田町上沼字新東金谷28</t>
  </si>
  <si>
    <t>781</t>
  </si>
  <si>
    <t>中田町上沼字新東金谷27</t>
  </si>
  <si>
    <t>中田町上沼字新東金谷26</t>
  </si>
  <si>
    <t>中田町上沼字新東金谷25</t>
  </si>
  <si>
    <t>中田町上沼字中田南126</t>
  </si>
  <si>
    <t>中田町上沼字中田南125</t>
  </si>
  <si>
    <t>中田町上沼字中田南124</t>
  </si>
  <si>
    <t>中田町上沼字中田南123</t>
  </si>
  <si>
    <t>迫町新田字新舟崎95</t>
  </si>
  <si>
    <t>65</t>
  </si>
  <si>
    <t>中田町上沼字中田南122</t>
  </si>
  <si>
    <t>迫町新田字新舟崎93</t>
  </si>
  <si>
    <t>63</t>
  </si>
  <si>
    <t>中田町上沼字中田南121</t>
  </si>
  <si>
    <t>迫町新田字新舟崎92</t>
  </si>
  <si>
    <t>62</t>
  </si>
  <si>
    <t>中田町上沼字中田南120</t>
  </si>
  <si>
    <t>中田町上沼字中田南119</t>
  </si>
  <si>
    <t>中田町上沼字中田南118</t>
  </si>
  <si>
    <t>中田町上沼字中田南117</t>
  </si>
  <si>
    <t>中田町上沼字中田南116</t>
  </si>
  <si>
    <t>中田町上沼字中田南115</t>
  </si>
  <si>
    <t>中田町浅水字曲袋南83</t>
  </si>
  <si>
    <t>中田町上沼字中田南114</t>
  </si>
  <si>
    <t>登米町大字日根牛新峯畑100</t>
  </si>
  <si>
    <t>中田町上沼字中田南113</t>
  </si>
  <si>
    <t>中田町上沼字中田南112</t>
  </si>
  <si>
    <t>中田町上沼字中田南111</t>
  </si>
  <si>
    <t>762</t>
  </si>
  <si>
    <t>中田町上沼字中田東70</t>
  </si>
  <si>
    <t>中田町上沼字中田東69</t>
  </si>
  <si>
    <t>中田町上沼字中田東68</t>
  </si>
  <si>
    <t>中田町上沼字中田東67</t>
  </si>
  <si>
    <t>中田町上沼字中田東66</t>
  </si>
  <si>
    <t>757</t>
  </si>
  <si>
    <t>中田町上沼字中田東65</t>
  </si>
  <si>
    <t>中田町上沼字中田東64</t>
  </si>
  <si>
    <t>中田町上沼字中田東63</t>
  </si>
  <si>
    <t>中田町上沼字中田東62</t>
  </si>
  <si>
    <t>中田町上沼字金谷西83</t>
  </si>
  <si>
    <t>中田町上沼字金谷西82</t>
  </si>
  <si>
    <t>中田町上沼字金谷西81</t>
  </si>
  <si>
    <t>中田町上沼字金谷西80</t>
  </si>
  <si>
    <t>中田町上沼字金谷西79</t>
  </si>
  <si>
    <t>中田町上沼字金谷西78</t>
  </si>
  <si>
    <t>中田町上沼字金谷西77</t>
  </si>
  <si>
    <t>746</t>
  </si>
  <si>
    <t>中田町上沼字金谷西76</t>
  </si>
  <si>
    <t>中田町上沼字金谷西75</t>
  </si>
  <si>
    <t>744</t>
  </si>
  <si>
    <t>中田町上沼字金谷西74</t>
  </si>
  <si>
    <t>中田町上沼字金谷西73</t>
  </si>
  <si>
    <t>中田町石森字中田西89</t>
  </si>
  <si>
    <t>中田町石森字中田西88</t>
  </si>
  <si>
    <t>中田町石森字中田西87</t>
  </si>
  <si>
    <t>中田町石森字中田西86</t>
  </si>
  <si>
    <t>中田町石森字中田西85</t>
  </si>
  <si>
    <t>中田町石森字中田西84</t>
  </si>
  <si>
    <t>736</t>
  </si>
  <si>
    <t>迫町新田字新舟崎88</t>
  </si>
  <si>
    <t>58</t>
  </si>
  <si>
    <t>中田町石森字中田西83</t>
  </si>
  <si>
    <t>中田町石森字中田西82</t>
  </si>
  <si>
    <t>迫町新田字新舟崎89</t>
  </si>
  <si>
    <t>59</t>
  </si>
  <si>
    <t>迫町新田字新舟崎90</t>
  </si>
  <si>
    <t>60</t>
  </si>
  <si>
    <t>中田町石森字中田西81</t>
  </si>
  <si>
    <t>中田町石森字中田西80</t>
  </si>
  <si>
    <t>中田町石森字中田西79</t>
  </si>
  <si>
    <t>中田町石森字中田西78</t>
  </si>
  <si>
    <t>中田町石森字新駒牽北33</t>
  </si>
  <si>
    <t>436</t>
  </si>
  <si>
    <t>中田町石森字中田西77</t>
  </si>
  <si>
    <t>中田町石森字中田西76</t>
  </si>
  <si>
    <t>迫町新田字新茂栗99</t>
  </si>
  <si>
    <t>15</t>
  </si>
  <si>
    <t>R1穴山・南大畑線（土地購入）</t>
  </si>
  <si>
    <t>2019/12/10</t>
  </si>
  <si>
    <t>米山町内</t>
  </si>
  <si>
    <t>1149</t>
  </si>
  <si>
    <t>中田町石森字中田西75</t>
  </si>
  <si>
    <t>中田町石森字西田南132</t>
  </si>
  <si>
    <t>513</t>
  </si>
  <si>
    <t>中田町石森字中田西74</t>
  </si>
  <si>
    <t>726</t>
  </si>
  <si>
    <t>中田町石森字中田西73</t>
  </si>
  <si>
    <t>中田町石森字中田西72</t>
  </si>
  <si>
    <t>中田町石森字小倉南92</t>
  </si>
  <si>
    <t>中田町石森字小倉南91</t>
  </si>
  <si>
    <t>R1大網４号線（土地購入）</t>
  </si>
  <si>
    <t>2020/02/10</t>
  </si>
  <si>
    <t>1150</t>
  </si>
  <si>
    <t>中田町石森字小倉南90</t>
  </si>
  <si>
    <t>中田町石森字小倉南89</t>
  </si>
  <si>
    <t>720</t>
  </si>
  <si>
    <t>中田町石森字小倉南88</t>
  </si>
  <si>
    <t>中田町石森字小倉南87</t>
  </si>
  <si>
    <t>中田町石森字小倉南86</t>
  </si>
  <si>
    <t>717</t>
  </si>
  <si>
    <t>中田町石森字小倉南85</t>
  </si>
  <si>
    <t>716</t>
  </si>
  <si>
    <t>中田町石森字西田南129</t>
  </si>
  <si>
    <t>511</t>
  </si>
  <si>
    <t>中田町石森字小倉南84</t>
  </si>
  <si>
    <t>715</t>
  </si>
  <si>
    <t>中田町石森字小倉南83</t>
  </si>
  <si>
    <t>714</t>
  </si>
  <si>
    <t>中田町石森字小倉南82</t>
  </si>
  <si>
    <t>713</t>
  </si>
  <si>
    <t>中田町石森字小倉南81</t>
  </si>
  <si>
    <t>712</t>
  </si>
  <si>
    <t>中田町石森字小倉南80</t>
  </si>
  <si>
    <t>711</t>
  </si>
  <si>
    <t>中田町石森字小倉南79</t>
  </si>
  <si>
    <t>710</t>
  </si>
  <si>
    <t>中田町石森字小倉南78</t>
  </si>
  <si>
    <t>709</t>
  </si>
  <si>
    <t>R1駅前油島線（土地購入）</t>
  </si>
  <si>
    <t>2019/06/25</t>
  </si>
  <si>
    <t>石越町北郷</t>
  </si>
  <si>
    <t>1152</t>
  </si>
  <si>
    <t>中田町石森字新小倉84</t>
  </si>
  <si>
    <t>708</t>
  </si>
  <si>
    <t>中田町石森字新小倉83</t>
  </si>
  <si>
    <t>707</t>
  </si>
  <si>
    <t>中田町石森字新小倉82</t>
  </si>
  <si>
    <t>706</t>
  </si>
  <si>
    <t>中田町石森字新小倉81</t>
  </si>
  <si>
    <t>705</t>
  </si>
  <si>
    <t>中田町石森字新小倉80</t>
  </si>
  <si>
    <t>704</t>
  </si>
  <si>
    <t>中田町石森字新西細谷121</t>
  </si>
  <si>
    <t>510</t>
  </si>
  <si>
    <t>R1駅前油島線（移転補償）</t>
  </si>
  <si>
    <t>2019/06/21</t>
  </si>
  <si>
    <t>1153</t>
  </si>
  <si>
    <t>中田町石森字新小倉79</t>
  </si>
  <si>
    <t>703</t>
  </si>
  <si>
    <t>中田町石森字新小倉78</t>
  </si>
  <si>
    <t>702</t>
  </si>
  <si>
    <t>登米町大字日根牛新北沢43</t>
  </si>
  <si>
    <t>323</t>
  </si>
  <si>
    <t>中田町石森字新小倉77</t>
  </si>
  <si>
    <t>701</t>
  </si>
  <si>
    <t>中田町石森字新小倉76</t>
  </si>
  <si>
    <t>700</t>
  </si>
  <si>
    <t>中田町石森字新小倉75</t>
  </si>
  <si>
    <t>699</t>
  </si>
  <si>
    <t>中田町石森字新小倉74</t>
  </si>
  <si>
    <t>698</t>
  </si>
  <si>
    <t>中田町石森字新小倉73</t>
  </si>
  <si>
    <t>697</t>
  </si>
  <si>
    <t>中田町石森字新小倉72</t>
  </si>
  <si>
    <t>696</t>
  </si>
  <si>
    <t>R1鴻ノ木・薬師島線（土地購入）</t>
  </si>
  <si>
    <t>1154</t>
  </si>
  <si>
    <t>中田町石森字新小倉71</t>
  </si>
  <si>
    <t>695</t>
  </si>
  <si>
    <t>中田町石森字新小倉70</t>
  </si>
  <si>
    <t>694</t>
  </si>
  <si>
    <t>中田町石森字新小倉69</t>
  </si>
  <si>
    <t>693</t>
  </si>
  <si>
    <t>中田町石森字新小倉68</t>
  </si>
  <si>
    <t>692</t>
  </si>
  <si>
    <t>中田町石森字新小倉67</t>
  </si>
  <si>
    <t>691</t>
  </si>
  <si>
    <t>中田町石森字新小倉66</t>
  </si>
  <si>
    <t>690</t>
  </si>
  <si>
    <t>中田町石森字新小倉65</t>
  </si>
  <si>
    <t>689</t>
  </si>
  <si>
    <t>R1駒木・赤沼線（土地購入）</t>
  </si>
  <si>
    <t>2019/07/09</t>
  </si>
  <si>
    <t>1155</t>
  </si>
  <si>
    <t>中田町石森字新小倉64</t>
  </si>
  <si>
    <t>688</t>
  </si>
  <si>
    <t>迫町新田字新舟崎94</t>
  </si>
  <si>
    <t>64</t>
  </si>
  <si>
    <t>中田町石森字新小倉63</t>
  </si>
  <si>
    <t>687</t>
  </si>
  <si>
    <t>迫町新田字新舟崎96</t>
  </si>
  <si>
    <t>66</t>
  </si>
  <si>
    <t>中田町石森字新小倉62</t>
  </si>
  <si>
    <t>686</t>
  </si>
  <si>
    <t>迫町新田字新舟崎97</t>
  </si>
  <si>
    <t>67</t>
  </si>
  <si>
    <t>中田町石森字新小倉61</t>
  </si>
  <si>
    <t>685</t>
  </si>
  <si>
    <t>R1米袋線（土地購入）</t>
  </si>
  <si>
    <t>1156</t>
  </si>
  <si>
    <t>中田町石森字新小倉60</t>
  </si>
  <si>
    <t>684</t>
  </si>
  <si>
    <t>中田町石森字小倉北50</t>
  </si>
  <si>
    <t>683</t>
  </si>
  <si>
    <t>中田町石森字小倉北51</t>
  </si>
  <si>
    <t>682</t>
  </si>
  <si>
    <t>東和町米谷字楼台74</t>
  </si>
  <si>
    <t>中田町石森字小倉北49</t>
  </si>
  <si>
    <t>681</t>
  </si>
  <si>
    <t>中田町石森字小倉北48</t>
  </si>
  <si>
    <t>680</t>
  </si>
  <si>
    <t>R1米袋線（移転補償）</t>
  </si>
  <si>
    <t>2020/03/09</t>
  </si>
  <si>
    <t>1157</t>
  </si>
  <si>
    <t>迫町新田字新舟崎91</t>
  </si>
  <si>
    <t>中田町石森字小倉北47</t>
  </si>
  <si>
    <t>679</t>
  </si>
  <si>
    <t>中田町石森字小倉北46</t>
  </si>
  <si>
    <t>678</t>
  </si>
  <si>
    <t>1044</t>
  </si>
  <si>
    <t>中田町石森字小倉北45</t>
  </si>
  <si>
    <t>677</t>
  </si>
  <si>
    <t>中田町石森字小倉北44</t>
  </si>
  <si>
    <t>676</t>
  </si>
  <si>
    <t>中田町石森字小倉北43</t>
  </si>
  <si>
    <t>675</t>
  </si>
  <si>
    <t>R1白地５号線（土地購入）</t>
  </si>
  <si>
    <t>1158</t>
  </si>
  <si>
    <t>中田町石森字小倉北42</t>
  </si>
  <si>
    <t>674</t>
  </si>
  <si>
    <t>中田町石森字新西細谷120</t>
  </si>
  <si>
    <t>509</t>
  </si>
  <si>
    <t>中田町石森字小倉北41</t>
  </si>
  <si>
    <t>673</t>
  </si>
  <si>
    <t>中田町石森字西長根64</t>
  </si>
  <si>
    <t>634</t>
  </si>
  <si>
    <t>中田町石森字小倉北40</t>
  </si>
  <si>
    <t>672</t>
  </si>
  <si>
    <t>迫町新田字新舟崎102</t>
  </si>
  <si>
    <t>72</t>
  </si>
  <si>
    <t>石越町東郷字北今道28</t>
  </si>
  <si>
    <t>671</t>
  </si>
  <si>
    <t>石越町東郷字北今道27</t>
  </si>
  <si>
    <t>670</t>
  </si>
  <si>
    <t>石越町東郷字北今道26</t>
  </si>
  <si>
    <t>669</t>
  </si>
  <si>
    <t>石越町東郷字北今道25</t>
  </si>
  <si>
    <t>668</t>
  </si>
  <si>
    <t>石越町東郷字北今道24</t>
  </si>
  <si>
    <t>667</t>
  </si>
  <si>
    <t>石越町東郷字北今道23</t>
  </si>
  <si>
    <t>666</t>
  </si>
  <si>
    <t>石越町東郷字北今道22</t>
  </si>
  <si>
    <t>665</t>
  </si>
  <si>
    <t>中田町石森字若林前44</t>
  </si>
  <si>
    <t>664</t>
  </si>
  <si>
    <t>中田町石森字若林前43</t>
  </si>
  <si>
    <t>663</t>
  </si>
  <si>
    <t>中田町石森字若林前42</t>
  </si>
  <si>
    <t>662</t>
  </si>
  <si>
    <t>中田町石森字若林前41</t>
  </si>
  <si>
    <t>661</t>
  </si>
  <si>
    <t>中田町石森字若林前40</t>
  </si>
  <si>
    <t>660</t>
  </si>
  <si>
    <t>中田町石森字若林前39</t>
  </si>
  <si>
    <t>659</t>
  </si>
  <si>
    <t>中田町石森字若林前38</t>
  </si>
  <si>
    <t>658</t>
  </si>
  <si>
    <t>東和町米川字新寺前22</t>
  </si>
  <si>
    <t>147</t>
  </si>
  <si>
    <t>中田町石森字藤崎58</t>
  </si>
  <si>
    <t>657</t>
  </si>
  <si>
    <t>中田町石森字藤崎57</t>
  </si>
  <si>
    <t>656</t>
  </si>
  <si>
    <t>中田町石森字藤崎56</t>
  </si>
  <si>
    <t>655</t>
  </si>
  <si>
    <t>中田町石森字藤崎55</t>
  </si>
  <si>
    <t>654</t>
  </si>
  <si>
    <t>中田町石森字藤崎54</t>
  </si>
  <si>
    <t>653</t>
  </si>
  <si>
    <t>H30柳津駅前１号線（土地購入）</t>
  </si>
  <si>
    <t>津山町柳津字新形沼96-6</t>
  </si>
  <si>
    <t>中田町石森字藤崎53</t>
  </si>
  <si>
    <t>652</t>
  </si>
  <si>
    <t>中田町石森字藤崎52</t>
  </si>
  <si>
    <t>651</t>
  </si>
  <si>
    <t>中田町石森字藤崎51</t>
  </si>
  <si>
    <t>650</t>
  </si>
  <si>
    <t>迫町新田字新蓮沼125</t>
  </si>
  <si>
    <t>115</t>
  </si>
  <si>
    <t>中田町石森字藤崎50</t>
  </si>
  <si>
    <t>649</t>
  </si>
  <si>
    <t>中田町石森字藤崎49</t>
  </si>
  <si>
    <t>648</t>
  </si>
  <si>
    <t>中田町石森字藤崎48</t>
  </si>
  <si>
    <t>647</t>
  </si>
  <si>
    <t>中田町石森字新西細谷115</t>
  </si>
  <si>
    <t>504</t>
  </si>
  <si>
    <t>中田町石森字藤崎47</t>
  </si>
  <si>
    <t>646</t>
  </si>
  <si>
    <t>中田町石森字藤崎46</t>
  </si>
  <si>
    <t>645</t>
  </si>
  <si>
    <t>中田町石森字西長根74</t>
  </si>
  <si>
    <t>644</t>
  </si>
  <si>
    <t>中田町石森字西長根73</t>
  </si>
  <si>
    <t>643</t>
  </si>
  <si>
    <t>中田町石森字西長根72</t>
  </si>
  <si>
    <t>642</t>
  </si>
  <si>
    <t>中田町石森字西長根71</t>
  </si>
  <si>
    <t>641</t>
  </si>
  <si>
    <t>中田町石森字西長根70</t>
  </si>
  <si>
    <t>640</t>
  </si>
  <si>
    <t>中田町石森字西長根69</t>
  </si>
  <si>
    <t>639</t>
  </si>
  <si>
    <t>中田町石森字新西細谷118</t>
  </si>
  <si>
    <t>507</t>
  </si>
  <si>
    <t>中田町石森字西長根68</t>
  </si>
  <si>
    <t>638</t>
  </si>
  <si>
    <t>中田町石森字新西細谷114</t>
  </si>
  <si>
    <t>503</t>
  </si>
  <si>
    <t>中田町石森字西長根67</t>
  </si>
  <si>
    <t>637</t>
  </si>
  <si>
    <t>中田町石森字西長根62</t>
  </si>
  <si>
    <t>632</t>
  </si>
  <si>
    <t>迫町新田字新舟崎105</t>
  </si>
  <si>
    <t>75</t>
  </si>
  <si>
    <t>H30桜岡善王寺境線（移転補償）</t>
  </si>
  <si>
    <t>H30梅ノ木・平柳線（土地購入）</t>
  </si>
  <si>
    <t>迫町森字赤沼</t>
  </si>
  <si>
    <t>1127</t>
  </si>
  <si>
    <t>H30糠塚線（土地購入）H29繰災害復旧</t>
  </si>
  <si>
    <t>迫町新田字糠塚</t>
  </si>
  <si>
    <t>1131</t>
  </si>
  <si>
    <t>1172</t>
  </si>
  <si>
    <t>1173</t>
  </si>
  <si>
    <t>R1日野渡・窪田線（土地購入）</t>
  </si>
  <si>
    <t>2019/07/10</t>
  </si>
  <si>
    <t>中田町浅水字窪田216-2</t>
  </si>
  <si>
    <t>1147</t>
  </si>
  <si>
    <t>1174</t>
  </si>
  <si>
    <t>R1梅ノ木・平柳線（移転補償）</t>
  </si>
  <si>
    <t>2020/01/31</t>
  </si>
  <si>
    <t>1151</t>
  </si>
  <si>
    <t>中田町宝江新井田字南下道46</t>
  </si>
  <si>
    <t>476</t>
  </si>
  <si>
    <t>中田町石森字霜田前40</t>
  </si>
  <si>
    <t>596</t>
  </si>
  <si>
    <t>中田町石森字新西細谷110</t>
  </si>
  <si>
    <t>501</t>
  </si>
  <si>
    <t>中田町石森字脇谷前59</t>
  </si>
  <si>
    <t>583</t>
  </si>
  <si>
    <t>中田町石森字霜田前41</t>
  </si>
  <si>
    <t>597</t>
  </si>
  <si>
    <t>中田町石森字脇谷前56</t>
  </si>
  <si>
    <t>580</t>
  </si>
  <si>
    <t>中田町石森字脇谷前54</t>
  </si>
  <si>
    <t>578</t>
  </si>
  <si>
    <t>中田町石森字脇谷前53</t>
  </si>
  <si>
    <t>中田町宝江新井田字南下道43</t>
  </si>
  <si>
    <t>473</t>
  </si>
  <si>
    <t>中田町石森字脇谷前52</t>
  </si>
  <si>
    <t>中田町石森字脇谷前51</t>
  </si>
  <si>
    <t>中田町宝江新井田字南下道42</t>
  </si>
  <si>
    <t>472</t>
  </si>
  <si>
    <t>中田町石森字二木前43</t>
  </si>
  <si>
    <t>568</t>
  </si>
  <si>
    <t>中田町石森字二木前42</t>
  </si>
  <si>
    <t>567</t>
  </si>
  <si>
    <t>中田町宝江新井田字南下道47</t>
  </si>
  <si>
    <t>477</t>
  </si>
  <si>
    <t>中田町石森字二木前40</t>
  </si>
  <si>
    <t>565</t>
  </si>
  <si>
    <t>中田町石森字新牡丹埣96</t>
  </si>
  <si>
    <t>490</t>
  </si>
  <si>
    <t>中田町石森字新牡丹埣95</t>
  </si>
  <si>
    <t>489</t>
  </si>
  <si>
    <t>中田町石森字桑代前56</t>
  </si>
  <si>
    <t>560</t>
  </si>
  <si>
    <t>中田町宝江新井田字南下道51</t>
  </si>
  <si>
    <t>481</t>
  </si>
  <si>
    <t>迫町新田字新舟崎106</t>
  </si>
  <si>
    <t>76</t>
  </si>
  <si>
    <t>中田町石森字新牡丹埣90</t>
  </si>
  <si>
    <t>484</t>
  </si>
  <si>
    <t>石越町東郷字新今道14</t>
  </si>
  <si>
    <t>554</t>
  </si>
  <si>
    <t>石越町東郷字新今道13</t>
  </si>
  <si>
    <t>553</t>
  </si>
  <si>
    <t>石越町東郷字新今道11</t>
  </si>
  <si>
    <t>551</t>
  </si>
  <si>
    <t>中田町石森字南川前92</t>
  </si>
  <si>
    <t>550</t>
  </si>
  <si>
    <t>中田町宝江新井田字南下道53</t>
  </si>
  <si>
    <t>483</t>
  </si>
  <si>
    <t>中田町石森字新牡丹埣91</t>
  </si>
  <si>
    <t>485</t>
  </si>
  <si>
    <t>中田町石森字南川前85</t>
  </si>
  <si>
    <t>543</t>
  </si>
  <si>
    <t>中田町石森字南川前83</t>
  </si>
  <si>
    <t>541</t>
  </si>
  <si>
    <t>中田町石森字南川前82</t>
  </si>
  <si>
    <t>540</t>
  </si>
  <si>
    <t>中田町石森字南川前81</t>
  </si>
  <si>
    <t>539</t>
  </si>
  <si>
    <t>中田町石森字脇谷前70</t>
  </si>
  <si>
    <t>594</t>
  </si>
  <si>
    <t>中田町石森字霜田前39</t>
  </si>
  <si>
    <t>595</t>
  </si>
  <si>
    <t>中田町石森字脇谷前67</t>
  </si>
  <si>
    <t>591</t>
  </si>
  <si>
    <t>中田町石森字脇谷前65</t>
  </si>
  <si>
    <t>589</t>
  </si>
  <si>
    <t>中田町石森字脇谷前66</t>
  </si>
  <si>
    <t>590</t>
  </si>
  <si>
    <t>中田町石森字脇谷前63</t>
  </si>
  <si>
    <t>587</t>
  </si>
  <si>
    <t>中田町石森字脇谷前62</t>
  </si>
  <si>
    <t>586</t>
  </si>
  <si>
    <t>中田町石森字脇谷前61</t>
  </si>
  <si>
    <t>585</t>
  </si>
  <si>
    <t>中田町石森字脇谷前60</t>
  </si>
  <si>
    <t>584</t>
  </si>
  <si>
    <t>中田町宝江新井田字南下道45</t>
  </si>
  <si>
    <t>475</t>
  </si>
  <si>
    <t>中田町石森字脇谷前58</t>
  </si>
  <si>
    <t>582</t>
  </si>
  <si>
    <t>中田町石森字脇谷前50</t>
  </si>
  <si>
    <t>中田町石森字脇谷前49</t>
  </si>
  <si>
    <t>573</t>
  </si>
  <si>
    <t>中田町石森字二木前47</t>
  </si>
  <si>
    <t>572</t>
  </si>
  <si>
    <t>中田町宝江新井田字南下道52</t>
  </si>
  <si>
    <t>482</t>
  </si>
  <si>
    <t>中田町石森字二木前41</t>
  </si>
  <si>
    <t>566</t>
  </si>
  <si>
    <t>中田町石森字二木前46</t>
  </si>
  <si>
    <t>571</t>
  </si>
  <si>
    <t>中田町石森字二木前45</t>
  </si>
  <si>
    <t>570</t>
  </si>
  <si>
    <t>中田町石森字脇谷前55</t>
  </si>
  <si>
    <t>579</t>
  </si>
  <si>
    <t>中田町石森字新西細谷119</t>
  </si>
  <si>
    <t>508</t>
  </si>
  <si>
    <t>中田町宝江新井田字南下道49</t>
  </si>
  <si>
    <t>479</t>
  </si>
  <si>
    <t>中田町石森字桑代前59</t>
  </si>
  <si>
    <t>563</t>
  </si>
  <si>
    <t>中田町石森字桑代前58</t>
  </si>
  <si>
    <t>562</t>
  </si>
  <si>
    <t>中田町石森字桑代前57</t>
  </si>
  <si>
    <t>561</t>
  </si>
  <si>
    <t>中田町宝江新井田字南下道48</t>
  </si>
  <si>
    <t>478</t>
  </si>
  <si>
    <t>中田町石森字桑代前55</t>
  </si>
  <si>
    <t>559</t>
  </si>
  <si>
    <t>中田町石森字桑代前54</t>
  </si>
  <si>
    <t>558</t>
  </si>
  <si>
    <t>中田町石森字桑代前53</t>
  </si>
  <si>
    <t>557</t>
  </si>
  <si>
    <t>石越町東郷字新今道15</t>
  </si>
  <si>
    <t>555</t>
  </si>
  <si>
    <t>中田町石森字桑代前52</t>
  </si>
  <si>
    <t>556</t>
  </si>
  <si>
    <t>中田町石森字南川前90</t>
  </si>
  <si>
    <t>548</t>
  </si>
  <si>
    <t>中田町石森字南川前89</t>
  </si>
  <si>
    <t>547</t>
  </si>
  <si>
    <t>中田町石森字新牡丹埣97</t>
  </si>
  <si>
    <t>491</t>
  </si>
  <si>
    <t>中田町石森字新牡丹埣94</t>
  </si>
  <si>
    <t>488</t>
  </si>
  <si>
    <t>中田町石森字南川前88</t>
  </si>
  <si>
    <t>546</t>
  </si>
  <si>
    <t>中田町石森字新牡丹埣92</t>
  </si>
  <si>
    <t>486</t>
  </si>
  <si>
    <t>中田町石森字南川前87</t>
  </si>
  <si>
    <t>545</t>
  </si>
  <si>
    <t>中田町石森字南川前86</t>
  </si>
  <si>
    <t>544</t>
  </si>
  <si>
    <t>中田町石森字西田南144</t>
  </si>
  <si>
    <t>524</t>
  </si>
  <si>
    <t>中田町石森字西田北144</t>
  </si>
  <si>
    <t>中田町宝江新井田字南下道41</t>
  </si>
  <si>
    <t>471</t>
  </si>
  <si>
    <t>中田町宝江新井田字東大谷地47</t>
  </si>
  <si>
    <t>470</t>
  </si>
  <si>
    <t>中田町宝江新井田字東大谷地46</t>
  </si>
  <si>
    <t>469</t>
  </si>
  <si>
    <t>中田町石森字西田南143</t>
  </si>
  <si>
    <t>523</t>
  </si>
  <si>
    <t>中田町宝江新井田字東大谷地44</t>
  </si>
  <si>
    <t>467</t>
  </si>
  <si>
    <t>中田町宝江新井田字東大谷地43</t>
  </si>
  <si>
    <t>466</t>
  </si>
  <si>
    <t>中田町宝江新井田字東大谷地42</t>
  </si>
  <si>
    <t>465</t>
  </si>
  <si>
    <t>中田町石森字二木前39</t>
  </si>
  <si>
    <t>564</t>
  </si>
  <si>
    <t>中田町宝江新井田字東大谷地40</t>
  </si>
  <si>
    <t>463</t>
  </si>
  <si>
    <t>中田町宝江新井田字東大谷地39</t>
  </si>
  <si>
    <t>462</t>
  </si>
  <si>
    <t>中田町宝江新井田字東大谷地38</t>
  </si>
  <si>
    <t>461</t>
  </si>
  <si>
    <t>中田町宝江新井田字西芝尻76</t>
  </si>
  <si>
    <t>459</t>
  </si>
  <si>
    <t>中田町宝江新井田字西芝尻75</t>
  </si>
  <si>
    <t>458</t>
  </si>
  <si>
    <t>中田町宝江新井田字西芝尻74</t>
  </si>
  <si>
    <t>457</t>
  </si>
  <si>
    <t>中田町宝江新井田字西芝尻72</t>
  </si>
  <si>
    <t>455</t>
  </si>
  <si>
    <t>中田町宝江新井田字西芝尻71</t>
  </si>
  <si>
    <t>454</t>
  </si>
  <si>
    <t>中田町宝江新井田字西芝尻70</t>
  </si>
  <si>
    <t>453</t>
  </si>
  <si>
    <t>中田町宝江新井田字西芝尻69</t>
  </si>
  <si>
    <t>452</t>
  </si>
  <si>
    <t>中田町宝江新井田字西芝尻68</t>
  </si>
  <si>
    <t>451</t>
  </si>
  <si>
    <t>中田町宝江新井田字西芝尻67</t>
  </si>
  <si>
    <t>450</t>
  </si>
  <si>
    <t>中田町宝江新井田字西芝尻66</t>
  </si>
  <si>
    <t>449</t>
  </si>
  <si>
    <t>中田町宝江新井田字西芝尻65</t>
  </si>
  <si>
    <t>448</t>
  </si>
  <si>
    <t>中田町石森字野元北48</t>
  </si>
  <si>
    <t>447</t>
  </si>
  <si>
    <t>中田町石森字野元北47</t>
  </si>
  <si>
    <t>446</t>
  </si>
  <si>
    <t>中田町石森字野元北46</t>
  </si>
  <si>
    <t>445</t>
  </si>
  <si>
    <t>中田町石森字野元北45</t>
  </si>
  <si>
    <t>444</t>
  </si>
  <si>
    <t>中田町石森字野元北44</t>
  </si>
  <si>
    <t>443</t>
  </si>
  <si>
    <t>中田町石森字野元北43</t>
  </si>
  <si>
    <t>442</t>
  </si>
  <si>
    <t>中田町石森字野元北42</t>
  </si>
  <si>
    <t>441</t>
  </si>
  <si>
    <t>中田町石森字新駒牽北37</t>
  </si>
  <si>
    <t>440</t>
  </si>
  <si>
    <t>中田町石森字新駒牽北36</t>
  </si>
  <si>
    <t>439</t>
  </si>
  <si>
    <t>中田町石森字新駒牽北35</t>
  </si>
  <si>
    <t>438</t>
  </si>
  <si>
    <t>中田町石森字新駒牽北34</t>
  </si>
  <si>
    <t>437</t>
  </si>
  <si>
    <t>中田町石森字寺浦43</t>
  </si>
  <si>
    <t>435</t>
  </si>
  <si>
    <t>中田町石森字寺浦42</t>
  </si>
  <si>
    <t>434</t>
  </si>
  <si>
    <t>中田町石森字寺浦41</t>
  </si>
  <si>
    <t>433</t>
  </si>
  <si>
    <t>中田町石森字寺浦40</t>
  </si>
  <si>
    <t>432</t>
  </si>
  <si>
    <t>中田町石森字寺浦39</t>
  </si>
  <si>
    <t>431</t>
  </si>
  <si>
    <t>中田町石森字寺浦38</t>
  </si>
  <si>
    <t>430</t>
  </si>
  <si>
    <t>中田町石森字寺浦37</t>
  </si>
  <si>
    <t>429</t>
  </si>
  <si>
    <t>中田町石森字寺浦36</t>
  </si>
  <si>
    <t>428</t>
  </si>
  <si>
    <t>中田町石森字寺浦35</t>
  </si>
  <si>
    <t>427</t>
  </si>
  <si>
    <t>中田町石森字寺浦33</t>
  </si>
  <si>
    <t>425</t>
  </si>
  <si>
    <t>中田町石森字寺浦32</t>
  </si>
  <si>
    <t>424</t>
  </si>
  <si>
    <t>中田町石森字小塚南45</t>
  </si>
  <si>
    <t>423</t>
  </si>
  <si>
    <t>中田町石森字小塚南44</t>
  </si>
  <si>
    <t>422</t>
  </si>
  <si>
    <t>中田町石森字小塚南43</t>
  </si>
  <si>
    <t>421</t>
  </si>
  <si>
    <t>中田町石森字小塚南42</t>
  </si>
  <si>
    <t>420</t>
  </si>
  <si>
    <t>中田町石森字小塚南41</t>
  </si>
  <si>
    <t>419</t>
  </si>
  <si>
    <t>中田町石森字小塚南40</t>
  </si>
  <si>
    <t>418</t>
  </si>
  <si>
    <t>中田町石森字小塚南39</t>
  </si>
  <si>
    <t>417</t>
  </si>
  <si>
    <t>中田町石森字小塚南38</t>
  </si>
  <si>
    <t>416</t>
  </si>
  <si>
    <t>中田町石森字小塚南37</t>
  </si>
  <si>
    <t>415</t>
  </si>
  <si>
    <t>中田町石森字東蓬田48</t>
  </si>
  <si>
    <t>414</t>
  </si>
  <si>
    <t>中田町石森字東蓬田47</t>
  </si>
  <si>
    <t>413</t>
  </si>
  <si>
    <t>中田町石森字東蓬田46</t>
  </si>
  <si>
    <t>412</t>
  </si>
  <si>
    <t>中田町石森字東蓬田45</t>
  </si>
  <si>
    <t>411</t>
  </si>
  <si>
    <t>中田町石森字東蓬田44</t>
  </si>
  <si>
    <t>410</t>
  </si>
  <si>
    <t>中田町石森字東蓬田43</t>
  </si>
  <si>
    <t>409</t>
  </si>
  <si>
    <t>中田町石森字東蓬田42</t>
  </si>
  <si>
    <t>408</t>
  </si>
  <si>
    <t>中田町上沼字北新田31</t>
  </si>
  <si>
    <t>407</t>
  </si>
  <si>
    <t>中田町上沼字北新田30</t>
  </si>
  <si>
    <t>406</t>
  </si>
  <si>
    <t>中田町上沼字北新田29</t>
  </si>
  <si>
    <t>405</t>
  </si>
  <si>
    <t>中田町上沼字北新田28</t>
  </si>
  <si>
    <t>404</t>
  </si>
  <si>
    <t>中田町上沼字北新田27</t>
  </si>
  <si>
    <t>403</t>
  </si>
  <si>
    <t>中田町上沼字北新田26</t>
  </si>
  <si>
    <t>402</t>
  </si>
  <si>
    <t>中田町上沼字北新田25</t>
  </si>
  <si>
    <t>401</t>
  </si>
  <si>
    <t>中田町上沼字新南要害浦72</t>
  </si>
  <si>
    <t>400</t>
  </si>
  <si>
    <t>中田町上沼字新南要害浦71</t>
  </si>
  <si>
    <t>399</t>
  </si>
  <si>
    <t>中田町上沼字新南要害浦70</t>
  </si>
  <si>
    <t>398</t>
  </si>
  <si>
    <t>中田町上沼字新南要害浦69</t>
  </si>
  <si>
    <t>397</t>
  </si>
  <si>
    <t>中田町上沼字新南要害浦68</t>
  </si>
  <si>
    <t>396</t>
  </si>
  <si>
    <t>中田町上沼字新南要害浦67</t>
  </si>
  <si>
    <t>395</t>
  </si>
  <si>
    <t>中田町上沼字新南要害浦66</t>
  </si>
  <si>
    <t>394</t>
  </si>
  <si>
    <t>中田町上沼字新南要害浦65</t>
  </si>
  <si>
    <t>393</t>
  </si>
  <si>
    <t>中田町上沼字新南要害浦64</t>
  </si>
  <si>
    <t>392</t>
  </si>
  <si>
    <t>中田町上沼字新南要害浦63</t>
  </si>
  <si>
    <t>391</t>
  </si>
  <si>
    <t>中田町上沼字新南要害浦62</t>
  </si>
  <si>
    <t>390</t>
  </si>
  <si>
    <t>中田町上沼字新南要害浦61</t>
  </si>
  <si>
    <t>389</t>
  </si>
  <si>
    <t>中田町上沼字新南要害浦60</t>
  </si>
  <si>
    <t>388</t>
  </si>
  <si>
    <t>中田町上沼字新北要害浦66</t>
  </si>
  <si>
    <t>387</t>
  </si>
  <si>
    <t>中田町上沼字新北要害浦65</t>
  </si>
  <si>
    <t>386</t>
  </si>
  <si>
    <t>中田町上沼字新北要害浦64</t>
  </si>
  <si>
    <t>385</t>
  </si>
  <si>
    <t>中田町上沼字新北要害浦63</t>
  </si>
  <si>
    <t>384</t>
  </si>
  <si>
    <t>中田町上沼字新北要害浦62</t>
  </si>
  <si>
    <t>383</t>
  </si>
  <si>
    <t>中田町上沼字新北要害浦61</t>
  </si>
  <si>
    <t>382</t>
  </si>
  <si>
    <t>中田町上沼字新北要害浦60</t>
  </si>
  <si>
    <t>381</t>
  </si>
  <si>
    <t>中田町上沼字新北要害浦59</t>
  </si>
  <si>
    <t>380</t>
  </si>
  <si>
    <t>中田町上沼字新北要害浦58</t>
  </si>
  <si>
    <t>379</t>
  </si>
  <si>
    <t>道路用地（山林）</t>
  </si>
  <si>
    <t>002027:道路用地</t>
  </si>
  <si>
    <t>2018/12/27</t>
  </si>
  <si>
    <t>産業振興課から所管替え　</t>
  </si>
  <si>
    <t>東和町米谷字福平山1-33</t>
  </si>
  <si>
    <t>0750011</t>
  </si>
  <si>
    <t>1040200000:道路課</t>
  </si>
  <si>
    <t>2017/04/18</t>
  </si>
  <si>
    <t>迫町新田字狼ノ欠20-432</t>
  </si>
  <si>
    <t>1601:分割（増）</t>
  </si>
  <si>
    <t>16:学校用地</t>
  </si>
  <si>
    <t>0750010</t>
  </si>
  <si>
    <t>H29蛭沢いたち沢線土地購入</t>
  </si>
  <si>
    <t>002030:蛭沢いたち沢線</t>
  </si>
  <si>
    <t>1035500000:地域ビジネス支援課</t>
  </si>
  <si>
    <t>登米町日野渡鼬沢</t>
  </si>
  <si>
    <t>2000/11/08</t>
  </si>
  <si>
    <t>0750013</t>
  </si>
  <si>
    <t>蛭沢いたち沢線（H28購入分）</t>
  </si>
  <si>
    <t>2019/03/31</t>
  </si>
  <si>
    <t>1035400000:農林振興課</t>
  </si>
  <si>
    <t>17:墓地</t>
  </si>
  <si>
    <t>12:溜池</t>
  </si>
  <si>
    <t>1988/01/20</t>
  </si>
  <si>
    <t>2018/08/01</t>
  </si>
  <si>
    <t>迫町佐沼字光ケ丘1-1</t>
  </si>
  <si>
    <t>登米町寺池金沢山46</t>
  </si>
  <si>
    <t>2504:変更</t>
  </si>
  <si>
    <t>2017/09/01</t>
  </si>
  <si>
    <t>04:池沼</t>
  </si>
  <si>
    <t>1975/02/17</t>
  </si>
  <si>
    <t>1975/07/02</t>
  </si>
  <si>
    <t>石越町東郷字蕪木60-3</t>
  </si>
  <si>
    <t>石越町南郷字矢作91</t>
  </si>
  <si>
    <t>3102:調査判明（減）</t>
  </si>
  <si>
    <t>石越町北郷字芦倉156</t>
  </si>
  <si>
    <t>豊里町笑沢153-25</t>
  </si>
  <si>
    <t>1030300000:子育て支援課</t>
  </si>
  <si>
    <t>13:保安林</t>
  </si>
  <si>
    <t>1992/05/28</t>
  </si>
  <si>
    <t>登米町大字日根牛上羽沢158-2</t>
  </si>
  <si>
    <t>豊里町笑沢153-22</t>
  </si>
  <si>
    <t>ため池</t>
  </si>
  <si>
    <t>1501:併合（減）</t>
  </si>
  <si>
    <t>迫町北方字天形114-2</t>
  </si>
  <si>
    <t>豊里町沢尻166</t>
  </si>
  <si>
    <t>1998/10/22</t>
  </si>
  <si>
    <t>東和町錦織字山居沢94-1</t>
  </si>
  <si>
    <t>東和町錦織字中畑106-1</t>
  </si>
  <si>
    <t>石越町南郷字西門沖49</t>
  </si>
  <si>
    <t>（他施設と土地併用）　</t>
  </si>
  <si>
    <t>津山町柳津字黄牛山窪36</t>
  </si>
  <si>
    <t>中田町石森字西長根102</t>
  </si>
  <si>
    <t>中田町石森字中田西111</t>
  </si>
  <si>
    <t>登米町大字日根牛新峯畑122</t>
  </si>
  <si>
    <t>登米町大字日根牛新北沢51</t>
  </si>
  <si>
    <t>中田町石森字西長根103</t>
  </si>
  <si>
    <t>登米町大字日根牛新北沢52</t>
  </si>
  <si>
    <t>登米町大字日根牛新五郎峯144</t>
  </si>
  <si>
    <t>中田町石森字西長根104</t>
  </si>
  <si>
    <t>登米町大字日根牛新五郎峯147</t>
  </si>
  <si>
    <t>登米町大字日根牛新五郎峯152</t>
  </si>
  <si>
    <t>中田町石森字藤崎59</t>
  </si>
  <si>
    <t>登米町大字日根牛新五郎峯153</t>
  </si>
  <si>
    <t>石越町北郷字新堀内前75</t>
  </si>
  <si>
    <t>中田町上沼字新東金谷45</t>
  </si>
  <si>
    <t>登米町大字日根牛新五郎峯160</t>
  </si>
  <si>
    <t>中田町石森字藤崎60</t>
  </si>
  <si>
    <t>登米町大字日根牛新五郎峯166</t>
  </si>
  <si>
    <t>登米町大字日根牛新峯畑132</t>
  </si>
  <si>
    <t>中田町石森字藤崎61</t>
  </si>
  <si>
    <t>登米町大字日根牛新峯畑138</t>
  </si>
  <si>
    <t>石越町北郷字新堀内前74</t>
  </si>
  <si>
    <t>中田町浅水字曲袋北104</t>
  </si>
  <si>
    <t>中田町石森字藤崎62</t>
  </si>
  <si>
    <t>中田町浅水字曲袋北106</t>
  </si>
  <si>
    <t>中田町浅水字曲袋北108</t>
  </si>
  <si>
    <t>中田町石森字藤崎63</t>
  </si>
  <si>
    <t>石越町北郷字新堀内前85</t>
  </si>
  <si>
    <t>中田町浅水字曲袋北103</t>
  </si>
  <si>
    <t>石越町北郷字新堀内前73</t>
  </si>
  <si>
    <t>中田町上沼字新東金谷44</t>
  </si>
  <si>
    <t>中田町浅水字曲袋北105</t>
  </si>
  <si>
    <t>中田町石森字藤崎64</t>
  </si>
  <si>
    <t>中田町石森字中田西110</t>
  </si>
  <si>
    <t>中田町浅水字曲袋北107</t>
  </si>
  <si>
    <t>中田町石森字藤崎65</t>
  </si>
  <si>
    <t>中田町石森字中田西113</t>
  </si>
  <si>
    <t>中田町浅水字曲袋南97</t>
  </si>
  <si>
    <t>石越町北郷字新堀内前72</t>
  </si>
  <si>
    <t>中田町浅水字曲袋南93</t>
  </si>
  <si>
    <t>中田町石森字藤崎66</t>
  </si>
  <si>
    <t>中田町浅水字曲袋南96</t>
  </si>
  <si>
    <t>中田町浅水字曲袋南92</t>
  </si>
  <si>
    <t>中田町石森字藤崎67</t>
  </si>
  <si>
    <t>中田町浅水字曲袋南95</t>
  </si>
  <si>
    <t>石越町北郷字新堀内前71</t>
  </si>
  <si>
    <t>中田町上沼字新東金谷43</t>
  </si>
  <si>
    <t>中田町浅水字曲袋南91</t>
  </si>
  <si>
    <t>中田町石森字藤崎68</t>
  </si>
  <si>
    <t>中田町石森字西長根86</t>
  </si>
  <si>
    <t>中田町上沼字新御蔵41</t>
  </si>
  <si>
    <t>中田町石森字藤崎69</t>
  </si>
  <si>
    <t>中田町上沼字新御蔵42</t>
  </si>
  <si>
    <t>石越町北郷字新堀内前70</t>
  </si>
  <si>
    <t>中田町上沼字新大柳26</t>
  </si>
  <si>
    <t>中田町石森字藤崎70</t>
  </si>
  <si>
    <t>中田町上沼字新大柳28</t>
  </si>
  <si>
    <t>中田町上沼字新大柳29</t>
  </si>
  <si>
    <t>中田町石森字藤崎71</t>
  </si>
  <si>
    <t>中田町石森字新小倉105</t>
  </si>
  <si>
    <t>中田町上沼字新大柳30</t>
  </si>
  <si>
    <t>中田町石森字小倉南101</t>
  </si>
  <si>
    <t>石越町北郷字新堀内前69</t>
  </si>
  <si>
    <t>中田町上沼字新東金谷42</t>
  </si>
  <si>
    <t>中田町上沼字新大柳32</t>
  </si>
  <si>
    <t>中田町石森字中田西109</t>
  </si>
  <si>
    <t>中田町上沼字新大柳33</t>
  </si>
  <si>
    <t>中田町上沼字新大柳34</t>
  </si>
  <si>
    <t>中田町石森字藤崎73</t>
  </si>
  <si>
    <t>東和町米谷字沖ノ田160</t>
  </si>
  <si>
    <t>中田町上沼字新大柳36</t>
  </si>
  <si>
    <t>石越町北郷字新堀内前68</t>
  </si>
  <si>
    <t>中田町上沼字新大柳37</t>
  </si>
  <si>
    <t>中田町石森字藤崎74</t>
  </si>
  <si>
    <t>中田町上沼字新大柳38</t>
  </si>
  <si>
    <t>中田町上沼字揚地南23</t>
  </si>
  <si>
    <t>中田町石森字藤崎75</t>
  </si>
  <si>
    <t>中田町上沼字揚地南24</t>
  </si>
  <si>
    <t>石越町北郷字新堀内前67</t>
  </si>
  <si>
    <t>中田町上沼字新東金谷41</t>
  </si>
  <si>
    <t>中田町宝江新井田字西芝尻85</t>
  </si>
  <si>
    <t>中田町上沼字揚地南26</t>
  </si>
  <si>
    <t>中田町石森字藤崎76</t>
  </si>
  <si>
    <t>中田町上沼字揚地南27</t>
  </si>
  <si>
    <t>中田町上沼字揚地南28</t>
  </si>
  <si>
    <t>中田町石森字藤崎77</t>
  </si>
  <si>
    <t>中田町上沼字新八幡浦53</t>
  </si>
  <si>
    <t>石越町北郷字新堀内前66</t>
  </si>
  <si>
    <t>中田町上沼字新八幡浦54</t>
  </si>
  <si>
    <t>中田町石森字藤崎78</t>
  </si>
  <si>
    <t>中田町上沼字新八幡浦55</t>
  </si>
  <si>
    <t>中田町上沼字新八幡浦56</t>
  </si>
  <si>
    <t>中田町石森字藤崎79</t>
  </si>
  <si>
    <t>中田町上沼字新八幡浦57</t>
  </si>
  <si>
    <t>石越町北郷字新堀内前65</t>
  </si>
  <si>
    <t>中田町上沼字新東金谷40</t>
  </si>
  <si>
    <t>中田町石森字藤崎80</t>
  </si>
  <si>
    <t>中田町石森字中田西108</t>
  </si>
  <si>
    <t>中田町上沼字新八幡浦59</t>
  </si>
  <si>
    <t>中田町上沼字新八幡浦60</t>
  </si>
  <si>
    <t>中田町石森字藤崎81</t>
  </si>
  <si>
    <t>中田町上沼字新八幡浦62</t>
  </si>
  <si>
    <t>石越町北郷字新内の目153</t>
  </si>
  <si>
    <t>中田町上沼字新八幡浦63</t>
  </si>
  <si>
    <t>中田町石森字藤崎82</t>
  </si>
  <si>
    <t>中田町上沼字新八幡浦64</t>
  </si>
  <si>
    <t>中田町上沼字新北要害浦67</t>
  </si>
  <si>
    <t>中田町石森字藤崎83</t>
  </si>
  <si>
    <t>中田町上沼字新北要害浦68</t>
  </si>
  <si>
    <t>石越町北郷字新内の目152</t>
  </si>
  <si>
    <t>中田町上沼字新東金谷39</t>
  </si>
  <si>
    <t>中田町石森字藤崎84</t>
  </si>
  <si>
    <t>中田町上沼字新北要害浦70</t>
  </si>
  <si>
    <t>中田町上沼字新北要害浦71</t>
  </si>
  <si>
    <t>中田町石森字藤崎85</t>
  </si>
  <si>
    <t>中田町上沼字新北要害浦72</t>
  </si>
  <si>
    <t>石越町北郷字新内の目151</t>
  </si>
  <si>
    <t>1071</t>
  </si>
  <si>
    <t>中田町上沼字新北要害浦73</t>
  </si>
  <si>
    <t>中田町上沼字新北要害浦74</t>
  </si>
  <si>
    <t>中田町上沼字新北要害浦75</t>
  </si>
  <si>
    <t>中田町石森字若林前46</t>
  </si>
  <si>
    <t>中田町上沼字新北要害浦76</t>
  </si>
  <si>
    <t>中田町石森字小倉南100</t>
  </si>
  <si>
    <t>石越町北郷字新内の目150</t>
  </si>
  <si>
    <t>中田町上沼字中田南139</t>
  </si>
  <si>
    <t>中田町石森字若林前47</t>
  </si>
  <si>
    <t>中田町石森字中田西107</t>
  </si>
  <si>
    <t>中田町上沼字新北要害浦78</t>
  </si>
  <si>
    <t>中田町上沼字新北要害浦79</t>
  </si>
  <si>
    <t>中田町石森字若林前48</t>
  </si>
  <si>
    <t>中田町上沼字新北要害浦80</t>
  </si>
  <si>
    <t>石越町北郷字新内の目149</t>
  </si>
  <si>
    <t>1069</t>
  </si>
  <si>
    <t>中田町上沼字新北要害浦81</t>
  </si>
  <si>
    <t>中田町石森字若林前49</t>
  </si>
  <si>
    <t>中田町上沼字新南要害浦73</t>
  </si>
  <si>
    <t>迫町新田字新舟崎134</t>
  </si>
  <si>
    <t>中田町上沼字新南要害浦74</t>
  </si>
  <si>
    <t>中田町石森字若林前50</t>
  </si>
  <si>
    <t>迫町新田字新伊豆崎150</t>
  </si>
  <si>
    <t>中田町上沼字新南要害浦75</t>
  </si>
  <si>
    <t>石越町北郷字新内の目148</t>
  </si>
  <si>
    <t>中田町上沼字中田南140</t>
  </si>
  <si>
    <t>中田町上沼字新南要害浦76</t>
  </si>
  <si>
    <t>中田町石森字若林前51</t>
  </si>
  <si>
    <t>中田町上沼字新南要害浦77</t>
  </si>
  <si>
    <t>中田町上沼字新南要害浦78</t>
  </si>
  <si>
    <t>中田町石森字若林前52</t>
  </si>
  <si>
    <t>石越町北郷字新押込55</t>
  </si>
  <si>
    <t>中田町上沼字新南要害浦79</t>
  </si>
  <si>
    <t>石越町北郷字新内の目147</t>
  </si>
  <si>
    <t>中田町上沼字新南要害浦80</t>
  </si>
  <si>
    <t>中田町石森字若林前53</t>
  </si>
  <si>
    <t>石越町北郷字新北39</t>
  </si>
  <si>
    <t>14:河川敷</t>
  </si>
  <si>
    <t>1231</t>
  </si>
  <si>
    <t>中田町上沼字新南要害浦81</t>
  </si>
  <si>
    <t>中田町上沼字新南要害浦82</t>
  </si>
  <si>
    <t>中田町石森字若林前54</t>
  </si>
  <si>
    <t>中田町石森字中田西106</t>
  </si>
  <si>
    <t>石越町東郷字北今道29</t>
  </si>
  <si>
    <t>石越町北郷字新内の目146</t>
  </si>
  <si>
    <t>中田町上沼字新南要害浦84</t>
  </si>
  <si>
    <t>中田町上沼字中田南141</t>
  </si>
  <si>
    <t>石越町北郷字新北52</t>
  </si>
  <si>
    <t>1234</t>
  </si>
  <si>
    <t>中田町上沼字新南要害浦85</t>
  </si>
  <si>
    <t>石越町北郷字新富崎前68</t>
  </si>
  <si>
    <t>中田町上沼字新南要害浦86</t>
  </si>
  <si>
    <t>石越町東郷字北今道30</t>
  </si>
  <si>
    <t>中田町上沼字新南要害浦87</t>
  </si>
  <si>
    <t>石越町北郷字新内の目145</t>
  </si>
  <si>
    <t>中田町上沼字新南要害浦88</t>
  </si>
  <si>
    <t>石越町東郷字北今道31</t>
  </si>
  <si>
    <t>中田町上沼字新南要害浦89</t>
  </si>
  <si>
    <t>石越町東郷字北今道32</t>
  </si>
  <si>
    <t>中田町上沼字新南要害浦91</t>
  </si>
  <si>
    <t>石越町北郷字新内の目144</t>
  </si>
  <si>
    <t>中田町上沼字中田南136</t>
  </si>
  <si>
    <t>中田町上沼字新南要害浦92</t>
  </si>
  <si>
    <t>石越町東郷字北今道33</t>
  </si>
  <si>
    <t>中田町上沼字新南要害浦93</t>
  </si>
  <si>
    <t>中田町石森字新小倉98</t>
  </si>
  <si>
    <t>中田町上沼字北新田32</t>
  </si>
  <si>
    <t>石越町東郷字北今道34</t>
  </si>
  <si>
    <t>中田町上沼字北新田33</t>
  </si>
  <si>
    <t>石越町北郷字新内の目143</t>
  </si>
  <si>
    <t>中田町上沼字北新田34</t>
  </si>
  <si>
    <t>石越町東郷字北今道35</t>
  </si>
  <si>
    <t>中田町石森字新小倉104</t>
  </si>
  <si>
    <t>中田町上沼字北新田36</t>
  </si>
  <si>
    <t>石越町東郷字北今道36</t>
  </si>
  <si>
    <t>中田町石森字中田西105</t>
  </si>
  <si>
    <t>中田町上沼字北新田37</t>
  </si>
  <si>
    <t>石越町北郷字新内の目142</t>
  </si>
  <si>
    <t>中田町上沼字北新田38</t>
  </si>
  <si>
    <t>石越町東郷字北今道37</t>
  </si>
  <si>
    <t>中田町上沼字中田南135</t>
  </si>
  <si>
    <t>中田町石森字小倉南99</t>
  </si>
  <si>
    <t>中田町上沼字北新田40</t>
  </si>
  <si>
    <t>中田町上沼字北新田41</t>
  </si>
  <si>
    <t>中田町石森字小倉北54</t>
  </si>
  <si>
    <t>中田町上沼字北新田43</t>
  </si>
  <si>
    <t>石越町北郷字新内の目141</t>
  </si>
  <si>
    <t>中田町石森字東蓬田50</t>
  </si>
  <si>
    <t>中田町石森字東蓬田51</t>
  </si>
  <si>
    <t>中田町石森字小倉北57</t>
  </si>
  <si>
    <t>中田町石森字東蓬田52</t>
  </si>
  <si>
    <t>東和町米谷字楼台96</t>
  </si>
  <si>
    <t>中田町石森字東蓬田53</t>
  </si>
  <si>
    <t>中田町上沼字中田南134</t>
  </si>
  <si>
    <t>中田町石森字小倉北55</t>
  </si>
  <si>
    <t>中田町石森字東蓬田54</t>
  </si>
  <si>
    <t>石越町北郷字新内の目140</t>
  </si>
  <si>
    <t>1060</t>
  </si>
  <si>
    <t>東和町米谷字沖ノ田161</t>
  </si>
  <si>
    <t>石越町北郷字新北55</t>
  </si>
  <si>
    <t>1237</t>
  </si>
  <si>
    <t>中田町石森字東蓬田55</t>
  </si>
  <si>
    <t>中田町石森字東蓬田56</t>
  </si>
  <si>
    <t>中田町石森字小倉北58</t>
  </si>
  <si>
    <t>中田町石森字東蓬田57</t>
  </si>
  <si>
    <t>中田町石森字東蓬田58</t>
  </si>
  <si>
    <t>中田町石森字小倉北67</t>
  </si>
  <si>
    <t>中田町石森字小塚南47</t>
  </si>
  <si>
    <t>中田町石森字小塚南48</t>
  </si>
  <si>
    <t>中田町石森字小倉北66</t>
  </si>
  <si>
    <t>中田町石森字小塚南49</t>
  </si>
  <si>
    <t>登米町大字日根牛新中田69</t>
  </si>
  <si>
    <t>石越町北郷字新内の目138</t>
  </si>
  <si>
    <t>中田町上沼字中田南133</t>
  </si>
  <si>
    <t>中田町石森字小塚南50</t>
  </si>
  <si>
    <t>中田町石森字小倉北63</t>
  </si>
  <si>
    <t>中田町石森字中田西104</t>
  </si>
  <si>
    <t>迫町新田字新茂栗103</t>
  </si>
  <si>
    <t>中田町石森字北川前69</t>
  </si>
  <si>
    <t>迫町新田字新茂栗108</t>
  </si>
  <si>
    <t>迫町新田字新茂栗110</t>
  </si>
  <si>
    <t>中田町石森字小塚南52</t>
  </si>
  <si>
    <t>中田町石森字小倉北62</t>
  </si>
  <si>
    <t>中田町石森字小塚南53</t>
  </si>
  <si>
    <t>迫町新田字新伊豆崎154</t>
  </si>
  <si>
    <t>石越町北郷字新内の目137</t>
  </si>
  <si>
    <t>迫町新田字新伊豆崎132</t>
  </si>
  <si>
    <t>中田町石森字寺浦45</t>
  </si>
  <si>
    <t>中田町石森字小倉北64</t>
  </si>
  <si>
    <t>迫町新田字新伊豆崎137</t>
  </si>
  <si>
    <t>迫町新田字新伊豆崎140</t>
  </si>
  <si>
    <t>迫町新田字新舟崎123</t>
  </si>
  <si>
    <t>中田町石森字寺浦47</t>
  </si>
  <si>
    <t>迫町新田字新舟崎125</t>
  </si>
  <si>
    <t>石越高森公園</t>
  </si>
  <si>
    <t>001792:パークゴルフ場整備用地</t>
  </si>
  <si>
    <t>石越町南郷字高森179-13</t>
  </si>
  <si>
    <t>0440022</t>
  </si>
  <si>
    <t>迫町新田字新舟崎130</t>
  </si>
  <si>
    <t>中田町石森字寺浦49</t>
  </si>
  <si>
    <t>中田町石森字小倉北65</t>
  </si>
  <si>
    <t>迫町新田字新舟崎132</t>
  </si>
  <si>
    <t>中田町上沼字中田南132</t>
  </si>
  <si>
    <t>中田町石森字寺浦50</t>
  </si>
  <si>
    <t>石越町北郷字新内の目136</t>
  </si>
  <si>
    <t>迫町新田字新舟崎144</t>
  </si>
  <si>
    <t>迫町新田字新舟崎147</t>
  </si>
  <si>
    <t>中田町石森字寺浦51</t>
  </si>
  <si>
    <t>中田町石森字小倉北68</t>
  </si>
  <si>
    <t>迫町新田字新舟崎149</t>
  </si>
  <si>
    <t>迫町新田字新舟崎152</t>
  </si>
  <si>
    <t>迫町新田字新舟崎155</t>
  </si>
  <si>
    <t>中田町石森字寺浦52</t>
  </si>
  <si>
    <t>迫町新田字新舟崎157</t>
  </si>
  <si>
    <t>迫町新田字新舟崎160</t>
  </si>
  <si>
    <t>迫町新田字新舟崎163</t>
  </si>
  <si>
    <t>中田町石森字寺浦55</t>
  </si>
  <si>
    <t>中田町石森字小倉北69</t>
  </si>
  <si>
    <t>迫町新田字新舟崎165</t>
  </si>
  <si>
    <t>迫町新田字新舟崎167</t>
  </si>
  <si>
    <t>迫町新田字新舟崎171</t>
  </si>
  <si>
    <t>中田町石森字寺浦56</t>
  </si>
  <si>
    <t>中田町石森字小倉北70</t>
  </si>
  <si>
    <t>迫町新田字新蒲西112</t>
  </si>
  <si>
    <t>中田町石森字寺浦57</t>
  </si>
  <si>
    <t>石越町北郷字新内の目135</t>
  </si>
  <si>
    <t>中田町石森字寺浦58</t>
  </si>
  <si>
    <t>中田町石森字小倉北71</t>
  </si>
  <si>
    <t>中田町石森字新駒牽北38</t>
  </si>
  <si>
    <t>2017/05/03</t>
  </si>
  <si>
    <t>石越町南郷字高森275-1</t>
  </si>
  <si>
    <t>中田町石森字新駒牽北39</t>
  </si>
  <si>
    <t>中田町石森字中田西103</t>
  </si>
  <si>
    <t>中田町石森字小倉南98</t>
  </si>
  <si>
    <t>石越町北郷字新内の目134</t>
  </si>
  <si>
    <t>中田町石森字新駒牽北40</t>
  </si>
  <si>
    <t>中田町石森字小倉北72</t>
  </si>
  <si>
    <t>中田町上沼字中田南131</t>
  </si>
  <si>
    <t>東和町米谷字楼台112</t>
  </si>
  <si>
    <t>中田町石森字新駒牽北41</t>
  </si>
  <si>
    <t>中田町石森字新駒牽北42</t>
  </si>
  <si>
    <t>中田町石森字新小倉85</t>
  </si>
  <si>
    <t>石越町北郷字新北57</t>
  </si>
  <si>
    <t>1239</t>
  </si>
  <si>
    <t>石越町北郷字新北59</t>
  </si>
  <si>
    <t>1241</t>
  </si>
  <si>
    <t>石越町北郷字新北65</t>
  </si>
  <si>
    <t>1247</t>
  </si>
  <si>
    <t>石越町北郷字新北66</t>
  </si>
  <si>
    <t>1248</t>
  </si>
  <si>
    <t>石越町北郷字新北64</t>
  </si>
  <si>
    <t>1246</t>
  </si>
  <si>
    <t>石越町北郷字新北67</t>
  </si>
  <si>
    <t>1249</t>
  </si>
  <si>
    <t>石越町北郷字新内の目133</t>
  </si>
  <si>
    <t>石越町北郷字新北58</t>
  </si>
  <si>
    <t>1240</t>
  </si>
  <si>
    <t>中田町石森字新駒牽北45</t>
  </si>
  <si>
    <t>中田町石森字新小倉86</t>
  </si>
  <si>
    <t>石越町北郷字新北60</t>
  </si>
  <si>
    <t>1242</t>
  </si>
  <si>
    <t>石越町北郷字新北68</t>
  </si>
  <si>
    <t>1250</t>
  </si>
  <si>
    <t>石越町北郷字新北54</t>
  </si>
  <si>
    <t>1236</t>
  </si>
  <si>
    <t>石越町北郷字新北56</t>
  </si>
  <si>
    <t>1238</t>
  </si>
  <si>
    <t>中田町石森字新駒牽北46</t>
  </si>
  <si>
    <t>石越町北郷字新北61</t>
  </si>
  <si>
    <t>1243</t>
  </si>
  <si>
    <t>石越町北郷字新北62</t>
  </si>
  <si>
    <t>1244</t>
  </si>
  <si>
    <t>中田町石森字新駒牽北47</t>
  </si>
  <si>
    <t>中田町石森字新小倉87</t>
  </si>
  <si>
    <t>石越町南郷字高森282</t>
  </si>
  <si>
    <t>石越町北郷字新北71</t>
  </si>
  <si>
    <t>1253</t>
  </si>
  <si>
    <t>石越町南郷字新南埣188</t>
  </si>
  <si>
    <t>1980/08/29</t>
  </si>
  <si>
    <t>1256</t>
  </si>
  <si>
    <t>中田町石森字新駒牽北48</t>
  </si>
  <si>
    <t>石越町北郷字新北72</t>
  </si>
  <si>
    <t>1254</t>
  </si>
  <si>
    <t>石越町南郷字新南埣189</t>
  </si>
  <si>
    <t>1257</t>
  </si>
  <si>
    <t>石越町北郷字新内の目132</t>
  </si>
  <si>
    <t>中田町上沼字中田南130</t>
  </si>
  <si>
    <t>中田町石森字新駒牽北49</t>
  </si>
  <si>
    <t>中田町石森字新小倉88</t>
  </si>
  <si>
    <t>2017/05/01</t>
  </si>
  <si>
    <t>石越町北郷字新北70</t>
  </si>
  <si>
    <t>1252</t>
  </si>
  <si>
    <t>石越町南郷字新南埣190</t>
  </si>
  <si>
    <t>1258</t>
  </si>
  <si>
    <t>津山町柳津字締切沼上37</t>
  </si>
  <si>
    <t>1259</t>
  </si>
  <si>
    <t>津山町横山字高谷地52</t>
  </si>
  <si>
    <t>1260</t>
  </si>
  <si>
    <t>石越町北郷字新南72</t>
  </si>
  <si>
    <t>1229</t>
  </si>
  <si>
    <t>中田町石森字新駒牽北52</t>
  </si>
  <si>
    <t>津山町横山字北沢上90</t>
  </si>
  <si>
    <t>1991/12/10</t>
  </si>
  <si>
    <t>1274</t>
  </si>
  <si>
    <t>中田町石森字新西細谷129</t>
  </si>
  <si>
    <t>中田町石森字新西細谷131</t>
  </si>
  <si>
    <t>中田町石森字新西細谷130</t>
  </si>
  <si>
    <t>中田町石森字新駒牽北53</t>
  </si>
  <si>
    <t>中田町石森字新小倉89</t>
  </si>
  <si>
    <t>津山町横山字北沢上80</t>
  </si>
  <si>
    <t>1995/01/26</t>
  </si>
  <si>
    <t>1273</t>
  </si>
  <si>
    <t>津山町横山字南沢上82</t>
  </si>
  <si>
    <t>1267</t>
  </si>
  <si>
    <t>津山町横山字南沢上83</t>
  </si>
  <si>
    <t>1268</t>
  </si>
  <si>
    <t>中田町石森字新駒牽北54</t>
  </si>
  <si>
    <t>津山町横山字南沢上81</t>
  </si>
  <si>
    <t>1266</t>
  </si>
  <si>
    <t>津山町横山字南沢中10</t>
  </si>
  <si>
    <t>1992/02/06</t>
  </si>
  <si>
    <t>1269</t>
  </si>
  <si>
    <t>石越町北郷字新内の目131</t>
  </si>
  <si>
    <t>津山町横山字高谷地56</t>
  </si>
  <si>
    <t>2014/02/21</t>
  </si>
  <si>
    <t>1264</t>
  </si>
  <si>
    <t>中田町石森字新駒牽北55</t>
  </si>
  <si>
    <t>中田町石森字新小倉90</t>
  </si>
  <si>
    <t>石越町南郷字高森245-1</t>
  </si>
  <si>
    <t>津山町横山字南沢中11</t>
  </si>
  <si>
    <t>1991/12/24</t>
  </si>
  <si>
    <t>1270</t>
  </si>
  <si>
    <t>中田町石森字新西細谷128</t>
  </si>
  <si>
    <t>石越町北郷字新北51</t>
  </si>
  <si>
    <t>1233</t>
  </si>
  <si>
    <t>中田町石森字野元北49</t>
  </si>
  <si>
    <t>津山町横山字高谷地53</t>
  </si>
  <si>
    <t>1261</t>
  </si>
  <si>
    <t>津山町横山字高谷地54</t>
  </si>
  <si>
    <t>1262</t>
  </si>
  <si>
    <t>津山町横山字高谷地55</t>
  </si>
  <si>
    <t>1263</t>
  </si>
  <si>
    <t>中田町石森字野元北50</t>
  </si>
  <si>
    <t>中田町石森字新小倉91</t>
  </si>
  <si>
    <t>中田町石森字中田西102</t>
  </si>
  <si>
    <t>中田町石森字野元北51</t>
  </si>
  <si>
    <t>中田町上沼字中田南129</t>
  </si>
  <si>
    <t>中田町石森字新小倉92</t>
  </si>
  <si>
    <t>中田町石森字野元北52</t>
  </si>
  <si>
    <t>石越町北郷字新内の目130</t>
  </si>
  <si>
    <t>石越町北郷字新富崎前71</t>
  </si>
  <si>
    <t>中田町石森字野元北53</t>
  </si>
  <si>
    <t>石越町北郷字新富崎前69</t>
  </si>
  <si>
    <t>1109</t>
  </si>
  <si>
    <t>中田町石森字野元北54</t>
  </si>
  <si>
    <t>中田町石森字新小倉93</t>
  </si>
  <si>
    <t>中田町石森字野元北55</t>
  </si>
  <si>
    <t>石越町北郷字新内の目129</t>
  </si>
  <si>
    <t>石越町北郷字新南71</t>
  </si>
  <si>
    <t>1228</t>
  </si>
  <si>
    <t>中田町石森字野元北57</t>
  </si>
  <si>
    <t>中田町石森字野元北58</t>
  </si>
  <si>
    <t>石越町北郷字新南70</t>
  </si>
  <si>
    <t>1227</t>
  </si>
  <si>
    <t>中田町石森字野元北59</t>
  </si>
  <si>
    <t>石越町北郷字新内の目128</t>
  </si>
  <si>
    <t>中田町上沼字中田南128</t>
  </si>
  <si>
    <t>石越町南郷字高森178-1</t>
  </si>
  <si>
    <t>石越町北郷字新南69</t>
  </si>
  <si>
    <t>1226</t>
  </si>
  <si>
    <t>中田町石森字小倉南97</t>
  </si>
  <si>
    <t>石越町北郷字新南68</t>
  </si>
  <si>
    <t>1225</t>
  </si>
  <si>
    <t>中田町石森字新小倉103</t>
  </si>
  <si>
    <t>石越町北郷字新内の目127</t>
  </si>
  <si>
    <t>石越町北郷字新南67</t>
  </si>
  <si>
    <t>1224</t>
  </si>
  <si>
    <t>中田町石森字中田西101</t>
  </si>
  <si>
    <t>中田町上沼字中田南127</t>
  </si>
  <si>
    <t>石越町北郷字新南65</t>
  </si>
  <si>
    <t>1222</t>
  </si>
  <si>
    <t>石越町北郷字新内の目126</t>
  </si>
  <si>
    <t>石越町北郷字新南64</t>
  </si>
  <si>
    <t>1221</t>
  </si>
  <si>
    <t>石越町北郷字新内の目125</t>
  </si>
  <si>
    <t>石越町北郷字新富崎前58</t>
  </si>
  <si>
    <t>1098</t>
  </si>
  <si>
    <t>石越町北郷字新南63</t>
  </si>
  <si>
    <t>1220</t>
  </si>
  <si>
    <t>石越町北郷字新内の目124</t>
  </si>
  <si>
    <t>石越町北郷字新西47</t>
  </si>
  <si>
    <t>1218</t>
  </si>
  <si>
    <t>中田町上沼字中田東86</t>
  </si>
  <si>
    <t>石越町北郷字新西46</t>
  </si>
  <si>
    <t>1217</t>
  </si>
  <si>
    <t>東和町米谷字沖ノ田163</t>
  </si>
  <si>
    <t>石越町北郷字新内の目123</t>
  </si>
  <si>
    <t>石越町北郷字新西45</t>
  </si>
  <si>
    <t>1216</t>
  </si>
  <si>
    <t>中田町石森字中田西100</t>
  </si>
  <si>
    <t>石越町北郷字新西44</t>
  </si>
  <si>
    <t>1215</t>
  </si>
  <si>
    <t>石越町北郷字新内の目122</t>
  </si>
  <si>
    <t>石越町北郷字新西43</t>
  </si>
  <si>
    <t>1214</t>
  </si>
  <si>
    <t>中田町上沼字中田東85</t>
  </si>
  <si>
    <t>石越町北郷字新西42</t>
  </si>
  <si>
    <t>1213</t>
  </si>
  <si>
    <t>登米町大字日根牛新五郎峯146</t>
  </si>
  <si>
    <t>東和町米谷字沖ノ田162</t>
  </si>
  <si>
    <t>石越町北郷字新内の目121</t>
  </si>
  <si>
    <t>石越町北郷字新西41</t>
  </si>
  <si>
    <t>石越町南郷字高森283</t>
  </si>
  <si>
    <t>東和町米谷字沖ノ田166</t>
  </si>
  <si>
    <t>石越町北郷字新内の目120</t>
  </si>
  <si>
    <t>石越町北郷字新西39</t>
  </si>
  <si>
    <t>中田町上沼字中田東84</t>
  </si>
  <si>
    <t>石越町北郷字新西38</t>
  </si>
  <si>
    <t>石越町北郷字新内の目119</t>
  </si>
  <si>
    <t>石越町北郷字新東53</t>
  </si>
  <si>
    <t>東和町米谷字沖ノ田149</t>
  </si>
  <si>
    <t>石越町北郷字新東52</t>
  </si>
  <si>
    <t>中田町石森字中田西99</t>
  </si>
  <si>
    <t>津山町横山字南沢中12</t>
  </si>
  <si>
    <t>1992/01/08</t>
  </si>
  <si>
    <t>1271</t>
  </si>
  <si>
    <t>中田町石森字小倉南96</t>
  </si>
  <si>
    <t>東和町米谷字沖ノ田135</t>
  </si>
  <si>
    <t>石越町北郷字新内の目118</t>
  </si>
  <si>
    <t>登米町大字日根牛新中田65</t>
  </si>
  <si>
    <t>中田町上沼字中田東83</t>
  </si>
  <si>
    <t>登米町大字日根牛新五郎峯155</t>
  </si>
  <si>
    <t>登米町大字日根牛新五郎峯156</t>
  </si>
  <si>
    <t>石越町北郷字新東50</t>
  </si>
  <si>
    <t>1205</t>
  </si>
  <si>
    <t>石越町北郷字新長下田86</t>
  </si>
  <si>
    <t>登米町大字日根牛新五郎峯141</t>
  </si>
  <si>
    <t>石越町北郷字新東49</t>
  </si>
  <si>
    <t>東和町米谷字沖ノ田164</t>
  </si>
  <si>
    <t>中田町上沼字中田東82</t>
  </si>
  <si>
    <t>石越町北郷字新東48</t>
  </si>
  <si>
    <t>登米町大字日根牛新中田68</t>
  </si>
  <si>
    <t>登米町大字日根牛新中田63</t>
  </si>
  <si>
    <t>石越町北郷字新東47</t>
  </si>
  <si>
    <t>石越町北郷字新長下田85</t>
  </si>
  <si>
    <t>石越町北郷字新富崎前67</t>
  </si>
  <si>
    <t>石越町南郷字高森281</t>
  </si>
  <si>
    <t>中田町石森字中田西98</t>
  </si>
  <si>
    <t>石越町北郷字新東46</t>
  </si>
  <si>
    <t>1201</t>
  </si>
  <si>
    <t>石越町北郷字新東45</t>
  </si>
  <si>
    <t>1200</t>
  </si>
  <si>
    <t>石越町北郷字新長下田84</t>
  </si>
  <si>
    <t>中田町石森字北川前85</t>
  </si>
  <si>
    <t>東和町米谷字楼台95</t>
  </si>
  <si>
    <t>石越町北郷字新東44</t>
  </si>
  <si>
    <t>中田町上沼字中田東81</t>
  </si>
  <si>
    <t>登米町大字日根牛新五郎峯154</t>
  </si>
  <si>
    <t>石越町北郷字新的場下45</t>
  </si>
  <si>
    <t>1198</t>
  </si>
  <si>
    <t>登米町大字日根牛新五郎峯162</t>
  </si>
  <si>
    <t>石越町北郷字新長下田83</t>
  </si>
  <si>
    <t>石越町北郷字新長下田82</t>
  </si>
  <si>
    <t>登米町大字日根牛新五郎峯137</t>
  </si>
  <si>
    <t>石越町北郷字新的場下44</t>
  </si>
  <si>
    <t>石越町南郷字高森140</t>
  </si>
  <si>
    <t>登米町大字日根牛新五郎峯139</t>
  </si>
  <si>
    <t>石越町北郷字新的場下43</t>
  </si>
  <si>
    <t>中田町石森字新西細谷138</t>
  </si>
  <si>
    <t>石越町北郷字新的場下42</t>
  </si>
  <si>
    <t>石越町北郷字新長下田81</t>
  </si>
  <si>
    <t>登米町大字日根牛新五郎峯138</t>
  </si>
  <si>
    <t>中田町石森字新西細谷137</t>
  </si>
  <si>
    <t>石越町北郷字新橋向111</t>
  </si>
  <si>
    <t>登米町大字日根牛新五郎峯140</t>
  </si>
  <si>
    <t>中田町石森字新西細谷136</t>
  </si>
  <si>
    <t>中田町上沼字中田東80</t>
  </si>
  <si>
    <t>中田町上沼字中田東79</t>
  </si>
  <si>
    <t>石越町北郷字新橋向114</t>
  </si>
  <si>
    <t>中田町石森字小倉南95</t>
  </si>
  <si>
    <t>迫町新田字新茂栗123</t>
  </si>
  <si>
    <t>中田町石森字新西細谷134</t>
  </si>
  <si>
    <t>石越町北郷字新橋向112</t>
  </si>
  <si>
    <t>中田町石森字新小倉102</t>
  </si>
  <si>
    <t>石越町北郷字新橋向137</t>
  </si>
  <si>
    <t>中田町石森字新西細谷133</t>
  </si>
  <si>
    <t>石越町北郷字新長下田79</t>
  </si>
  <si>
    <t>中田町石森字中田西97</t>
  </si>
  <si>
    <t>中田町石森字新小倉97</t>
  </si>
  <si>
    <t>中田町石森字新西細谷132</t>
  </si>
  <si>
    <t>中田町石森字新西細谷140</t>
  </si>
  <si>
    <t>石越町北郷字新橋向125</t>
  </si>
  <si>
    <t>中田町石森字新西細谷141</t>
  </si>
  <si>
    <t>中田町石森字新西細谷143</t>
  </si>
  <si>
    <t>石越町北郷字新橋向126</t>
  </si>
  <si>
    <t>中田町石森字新西細谷144</t>
  </si>
  <si>
    <t>石越町北郷字新長下田78</t>
  </si>
  <si>
    <t>中田町石森字新西細谷146</t>
  </si>
  <si>
    <t>石越町北郷字新橋向123</t>
  </si>
  <si>
    <t>1188</t>
  </si>
  <si>
    <t>中田町石森字新西細谷147</t>
  </si>
  <si>
    <t>中田町石森字新西細谷148</t>
  </si>
  <si>
    <t>石越町北郷字新長下田77</t>
  </si>
  <si>
    <t>石越町南郷字高森148-1</t>
  </si>
  <si>
    <t>中田町上沼字中田東78</t>
  </si>
  <si>
    <t>中田町石森字新西細谷149</t>
  </si>
  <si>
    <t>中田町石森字新西細谷150</t>
  </si>
  <si>
    <t>中田町石森字北川前80</t>
  </si>
  <si>
    <t>中田町石森字新西細谷151</t>
  </si>
  <si>
    <t>中田町石森字新西細谷152</t>
  </si>
  <si>
    <t>石越町南郷字高森100</t>
  </si>
  <si>
    <t>石越町北郷字新長下田76</t>
  </si>
  <si>
    <t>石越町北郷字新押込52</t>
  </si>
  <si>
    <t>中田町石森字新西細谷153</t>
  </si>
  <si>
    <t>中田町石森字新西細谷154</t>
  </si>
  <si>
    <t>石越町北郷字新橋向119</t>
  </si>
  <si>
    <t>中田町石森字新西細谷155</t>
  </si>
  <si>
    <t>石越町北郷字新橋向121</t>
  </si>
  <si>
    <t>中田町宝江新井田字西芝尻82</t>
  </si>
  <si>
    <t>中田町石森字西田南148</t>
  </si>
  <si>
    <t>石越町北郷字新長下田75</t>
  </si>
  <si>
    <t>石越町北郷字新長下田80</t>
  </si>
  <si>
    <t>中田町上沼字中田東77</t>
  </si>
  <si>
    <t>中田町石森字西田南149</t>
  </si>
  <si>
    <t>中田町石森字西田南150</t>
  </si>
  <si>
    <t>石越町北郷字新橋向118</t>
  </si>
  <si>
    <t>中田町石森字中田西96</t>
  </si>
  <si>
    <t>東和町米谷字沖ノ田167</t>
  </si>
  <si>
    <t>中田町石森字西田南151</t>
  </si>
  <si>
    <t>中田町石森字西田南153</t>
  </si>
  <si>
    <t>石越町北郷字新橋向117</t>
  </si>
  <si>
    <t>石越町北郷字新長下田74</t>
  </si>
  <si>
    <t>中田町石森字西田南154</t>
  </si>
  <si>
    <t>中田町石森字西田南155</t>
  </si>
  <si>
    <t>石越町北郷字新橋向116</t>
  </si>
  <si>
    <t>中田町上沼字中田東76</t>
  </si>
  <si>
    <t>中田町石森字西田南156</t>
  </si>
  <si>
    <t>中田町石森字西田南157</t>
  </si>
  <si>
    <t>石越町北郷字新橋向115</t>
  </si>
  <si>
    <t>1179</t>
  </si>
  <si>
    <t>中田町石森字西田南158</t>
  </si>
  <si>
    <t>石越町北郷字新橋向105</t>
  </si>
  <si>
    <t>中田町石森字西田南159</t>
  </si>
  <si>
    <t>石越町南郷字高森280</t>
  </si>
  <si>
    <t>中田町石森字中田西95</t>
  </si>
  <si>
    <t>中田町石森字小倉南94</t>
  </si>
  <si>
    <t>中田町石森字西田南160</t>
  </si>
  <si>
    <t>中田町石森字西田南161</t>
  </si>
  <si>
    <t>石越町北郷字新橋向110</t>
  </si>
  <si>
    <t>石越町北郷字新橋向109</t>
  </si>
  <si>
    <t>石越町北郷字新長下田72</t>
  </si>
  <si>
    <t>中田町石森字西田南162</t>
  </si>
  <si>
    <t>迫町新田字新茂栗102</t>
  </si>
  <si>
    <t>東和町米谷字楼台98</t>
  </si>
  <si>
    <t>中田町石森字西田南163</t>
  </si>
  <si>
    <t>迫町新田字新茂栗112</t>
  </si>
  <si>
    <t>中田町上沼字中田東75</t>
  </si>
  <si>
    <t>迫町新田字新茂栗113</t>
  </si>
  <si>
    <t>中田町石森字西田南164</t>
  </si>
  <si>
    <t>迫町新田字新茂栗115</t>
  </si>
  <si>
    <t>中田町石森字西田南165</t>
  </si>
  <si>
    <t>迫町新田字新茂栗116</t>
  </si>
  <si>
    <t>石越町北郷字新橋向113</t>
  </si>
  <si>
    <t>迫町新田字新茂栗117</t>
  </si>
  <si>
    <t>石越町北郷字新橋向127</t>
  </si>
  <si>
    <t>中田町石森字西田南166</t>
  </si>
  <si>
    <t>迫町新田字新茂栗118</t>
  </si>
  <si>
    <t>石越町北郷字新長下田71</t>
  </si>
  <si>
    <t>迫町新田字新茂栗119</t>
  </si>
  <si>
    <t>中田町石森字西田南167</t>
  </si>
  <si>
    <t>迫町新田字新茂栗120</t>
  </si>
  <si>
    <t>石越町北郷字新橋向108</t>
  </si>
  <si>
    <t>迫町新田字新茂栗121</t>
  </si>
  <si>
    <t>中田町石森字西田南168</t>
  </si>
  <si>
    <t>迫町新田字新茂栗124</t>
  </si>
  <si>
    <t>中田町石森字西田南169</t>
  </si>
  <si>
    <t>迫町新田字新茂栗125</t>
  </si>
  <si>
    <t>石越町北郷字新橋向106</t>
  </si>
  <si>
    <t>迫町新田字新茂栗126</t>
  </si>
  <si>
    <t>中田町石森字西田南170</t>
  </si>
  <si>
    <t>迫町新田字新茂栗127</t>
  </si>
  <si>
    <t>石越町北郷字新長下田70</t>
  </si>
  <si>
    <t>迫町新田字新茂栗128</t>
  </si>
  <si>
    <t>中田町石森字西田北148</t>
  </si>
  <si>
    <t>迫町新田字新茂栗129</t>
  </si>
  <si>
    <t>石越町北郷字新橋向107</t>
  </si>
  <si>
    <t>東和町米谷字沖ノ田151</t>
  </si>
  <si>
    <t>中田町石森字西田北149</t>
  </si>
  <si>
    <t>石越町北郷字新橋向141</t>
  </si>
  <si>
    <t>迫町新田字新茂栗105</t>
  </si>
  <si>
    <t>迫町新田字新茂栗106</t>
  </si>
  <si>
    <t>中田町石森字西田北150</t>
  </si>
  <si>
    <t>迫町新田字新茂栗107</t>
  </si>
  <si>
    <t>石越町北郷字新富崎前57</t>
  </si>
  <si>
    <t>石越町北郷字新南66</t>
  </si>
  <si>
    <t>1223</t>
  </si>
  <si>
    <t>中田町石森字西田北151</t>
  </si>
  <si>
    <t>迫町新田字新茂栗109</t>
  </si>
  <si>
    <t>石越町北郷字新長下田69</t>
  </si>
  <si>
    <t>中田町石森字西田北152</t>
  </si>
  <si>
    <t>迫町新田字新茂栗111</t>
  </si>
  <si>
    <t>石越町北郷字新橋向142</t>
  </si>
  <si>
    <t>中田町上沼字中田東74</t>
  </si>
  <si>
    <t>迫町新田字新伊豆崎142</t>
  </si>
  <si>
    <t>迫町新田字新伊豆崎143</t>
  </si>
  <si>
    <t>石越町北郷字新橋向140</t>
  </si>
  <si>
    <t>迫町新田字新伊豆崎144</t>
  </si>
  <si>
    <t>迫町新田字新伊豆崎145</t>
  </si>
  <si>
    <t>中田町石森字西田北154</t>
  </si>
  <si>
    <t>石越町北郷字新長下田68</t>
  </si>
  <si>
    <t>石越町南郷字新南埣187</t>
  </si>
  <si>
    <t>1255</t>
  </si>
  <si>
    <t>迫町新田字新伊豆崎146</t>
  </si>
  <si>
    <t>迫町新田字新伊豆崎147</t>
  </si>
  <si>
    <t>中田町石森字西田北155</t>
  </si>
  <si>
    <t>迫町新田字新伊豆崎148</t>
  </si>
  <si>
    <t>迫町新田字新伊豆崎149</t>
  </si>
  <si>
    <t>中田町石森字西田北156</t>
  </si>
  <si>
    <t>石越町北郷字新橋向139</t>
  </si>
  <si>
    <t>津山町横山字北沢上79</t>
  </si>
  <si>
    <t>1991/11/15</t>
  </si>
  <si>
    <t>1272</t>
  </si>
  <si>
    <t>石越町北郷字新橋向138</t>
  </si>
  <si>
    <t>中田町上沼字中田東73</t>
  </si>
  <si>
    <t>迫町新田字新伊豆崎152</t>
  </si>
  <si>
    <t>迫町新田字新伊豆崎153</t>
  </si>
  <si>
    <t>中田町石森字西田北158</t>
  </si>
  <si>
    <t>中田町石森字中田西94</t>
  </si>
  <si>
    <t>中田町石森字西田北159</t>
  </si>
  <si>
    <t>迫町新田字新伊豆崎155</t>
  </si>
  <si>
    <t>迫町新田字新伊豆崎129</t>
  </si>
  <si>
    <t>迫町新田字新伊豆崎130</t>
  </si>
  <si>
    <t>中田町石森字西田北160</t>
  </si>
  <si>
    <t>石越町北郷字新粒庭74</t>
  </si>
  <si>
    <t>石越町北郷字新橋向135</t>
  </si>
  <si>
    <t>中田町石森字西田北161</t>
  </si>
  <si>
    <t>迫町新田字新伊豆崎133</t>
  </si>
  <si>
    <t>中田町石森字西田北162</t>
  </si>
  <si>
    <t>登米町大字日根牛新中田70</t>
  </si>
  <si>
    <t>中田町石森字西田北163</t>
  </si>
  <si>
    <t>石越町北郷字新橋向134</t>
  </si>
  <si>
    <t>迫町新田字新伊豆崎136</t>
  </si>
  <si>
    <t>石越町北郷字新粒庭73</t>
  </si>
  <si>
    <t>迫町新田字新伊豆崎138</t>
  </si>
  <si>
    <t>中田町石森字西田北164</t>
  </si>
  <si>
    <t>東和町米谷字沖ノ田159</t>
  </si>
  <si>
    <t>中田町石森字西田北165</t>
  </si>
  <si>
    <t>石越町北郷字新橋向133</t>
  </si>
  <si>
    <t>迫町新田字新伊豆崎141</t>
  </si>
  <si>
    <t>迫町新田字新舟崎122</t>
  </si>
  <si>
    <t>中田町石森字南川前93</t>
  </si>
  <si>
    <t>中田町石森字南川前94</t>
  </si>
  <si>
    <t>迫町新田字新舟崎124</t>
  </si>
  <si>
    <t>石越町北郷字新粒庭72</t>
  </si>
  <si>
    <t>中田町石森字南川前95</t>
  </si>
  <si>
    <t>迫町新田字新舟崎126-1</t>
  </si>
  <si>
    <t>石越町北郷字新橋向132</t>
  </si>
  <si>
    <t>中田町上沼字中田東72</t>
  </si>
  <si>
    <t>石越町北郷字新橋向131</t>
  </si>
  <si>
    <t>中田町石森字南川前96</t>
  </si>
  <si>
    <t>中田町石森字小倉南93</t>
  </si>
  <si>
    <t>迫町新田字新舟崎128</t>
  </si>
  <si>
    <t>迫町新田字新舟崎129</t>
  </si>
  <si>
    <t>中田町石森字南川前97</t>
  </si>
  <si>
    <t>中田町石森字新小倉101</t>
  </si>
  <si>
    <t>迫町新田字新舟崎131</t>
  </si>
  <si>
    <t>中田町石森字南川前98</t>
  </si>
  <si>
    <t>中田町石森字南川前99</t>
  </si>
  <si>
    <t>石越町北郷字新橋向129</t>
  </si>
  <si>
    <t>石越町北郷字新粒庭71</t>
  </si>
  <si>
    <t>石越町北郷字新北50</t>
  </si>
  <si>
    <t>1232</t>
  </si>
  <si>
    <t>中田町石森字南川前101</t>
  </si>
  <si>
    <t>中田町石森字南川前100</t>
  </si>
  <si>
    <t>石越町北郷字新粒庭70</t>
  </si>
  <si>
    <t>迫町新田字新舟崎136</t>
  </si>
  <si>
    <t>迫町新田字新舟崎137</t>
  </si>
  <si>
    <t>中田町上沼字中田東71</t>
  </si>
  <si>
    <t>迫町新田字新舟崎139</t>
  </si>
  <si>
    <t>迫町新田字新舟崎140</t>
  </si>
  <si>
    <t>中田町石森字南川前102</t>
  </si>
  <si>
    <t>迫町新田字新舟崎141</t>
  </si>
  <si>
    <t>中田町石森字南川前103</t>
  </si>
  <si>
    <t>迫町新田字新舟崎142</t>
  </si>
  <si>
    <t>中田町石森字中田西93</t>
  </si>
  <si>
    <t>石越町北郷字新橋向130</t>
  </si>
  <si>
    <t>中田町石森字南川前105</t>
  </si>
  <si>
    <t>中田町上沼字新東金谷58</t>
  </si>
  <si>
    <t>迫町新田字新舟崎145</t>
  </si>
  <si>
    <t>迫町新田字新舟崎146</t>
  </si>
  <si>
    <t>中田町石森字南川前106</t>
  </si>
  <si>
    <t>中田町石森字南川前107</t>
  </si>
  <si>
    <t>石越町北郷字新粒庭69</t>
  </si>
  <si>
    <t>迫町新田字新舟崎148</t>
  </si>
  <si>
    <t>東和町米谷字沖ノ田148</t>
  </si>
  <si>
    <t>中田町石森字南川前108</t>
  </si>
  <si>
    <t>石越町北郷字新傾城渕79</t>
  </si>
  <si>
    <t>迫町新田字新舟崎150</t>
  </si>
  <si>
    <t>東和町米谷字沖ノ田152</t>
  </si>
  <si>
    <t>中田町石森字南川前109</t>
  </si>
  <si>
    <t>登米町大字日根牛新中田67</t>
  </si>
  <si>
    <t>迫町新田字新舟崎153</t>
  </si>
  <si>
    <t>迫町新田字新舟崎154</t>
  </si>
  <si>
    <t>中田町石森字南川前110</t>
  </si>
  <si>
    <t>中田町石森字南川前111</t>
  </si>
  <si>
    <t>迫町新田字新舟崎156</t>
  </si>
  <si>
    <t>石越町北郷字新粒庭68</t>
  </si>
  <si>
    <t>中田町石森字南川前115</t>
  </si>
  <si>
    <t>中田町上沼字金谷西98</t>
  </si>
  <si>
    <t>迫町新田字新舟崎158</t>
  </si>
  <si>
    <t>石越町北郷字新傾城渕77</t>
  </si>
  <si>
    <t>石越町北郷字新傾城渕76</t>
  </si>
  <si>
    <t>中田町石森字南川前116</t>
  </si>
  <si>
    <t>迫町新田字新舟崎161</t>
  </si>
  <si>
    <t>中田町石森字南川前117</t>
  </si>
  <si>
    <t>中田町石森字南川前118</t>
  </si>
  <si>
    <t>迫町新田字新舟崎164</t>
  </si>
  <si>
    <t>石越町北郷字新粒庭67</t>
  </si>
  <si>
    <t>中田町石森字南川前119</t>
  </si>
  <si>
    <t>迫町新田字新舟崎166</t>
  </si>
  <si>
    <t>石越町北郷字新傾城渕75</t>
  </si>
  <si>
    <t>中田町石森字新小倉94</t>
  </si>
  <si>
    <t>中田町石森字南川前120</t>
  </si>
  <si>
    <t>迫町新田字新舟崎168</t>
  </si>
  <si>
    <t>石越町北郷字新傾城渕74</t>
  </si>
  <si>
    <t>迫町新田字新舟崎169</t>
  </si>
  <si>
    <t>迫町新田字新舟崎170</t>
  </si>
  <si>
    <t>中田町石森字南川前121</t>
  </si>
  <si>
    <t>中田町上沼字金谷西97</t>
  </si>
  <si>
    <t>迫町新田字新舟崎172</t>
  </si>
  <si>
    <t>石越町北郷字新傾城渕73</t>
  </si>
  <si>
    <t>迫町新田字新舟崎173</t>
  </si>
  <si>
    <t>迫町新田字新東坂戸71</t>
  </si>
  <si>
    <t>石越町東郷字新今道18</t>
  </si>
  <si>
    <t>石越町北郷字新粒庭66</t>
  </si>
  <si>
    <t>中田町石森字中田西92</t>
  </si>
  <si>
    <t>迫町新田字新東坂戸73</t>
  </si>
  <si>
    <t>迫町新田字新蒲西106</t>
  </si>
  <si>
    <t>石越町東郷字新今道21</t>
  </si>
  <si>
    <t>石越町東郷字新今道22</t>
  </si>
  <si>
    <t>迫町新田字新蒲西113</t>
  </si>
  <si>
    <t>石越町北郷字新傾城渕72</t>
  </si>
  <si>
    <t>石越町北郷字新粒庭65</t>
  </si>
  <si>
    <t>迫町新田字新蒲西116</t>
  </si>
  <si>
    <t>迫町新田字新蒲西117</t>
  </si>
  <si>
    <t>石越町東郷字新今道23</t>
  </si>
  <si>
    <t>迫町新田字新蒲西119</t>
  </si>
  <si>
    <t>迫町新田字新蒲西124</t>
  </si>
  <si>
    <t>石越町東郷字新今道24</t>
  </si>
  <si>
    <t>石越町北郷字新傾城渕71</t>
  </si>
  <si>
    <t>中田町上沼字金谷西96</t>
  </si>
  <si>
    <t>中田町石森字桑代前60</t>
  </si>
  <si>
    <t>迫町新田字新蓮沼104</t>
  </si>
  <si>
    <t>石越町北郷字新傾城渕70</t>
  </si>
  <si>
    <t>迫町新田字新蓮沼106</t>
  </si>
  <si>
    <t>迫町新田字新蓮沼107</t>
  </si>
  <si>
    <t>中田町石森字新牡丹埣125</t>
  </si>
  <si>
    <t>中田町石森字桑代前61</t>
  </si>
  <si>
    <t>石越町北郷字新粒庭64</t>
  </si>
  <si>
    <t>迫町新田字新蓮沼113</t>
  </si>
  <si>
    <t>迫町新田字新蓮沼114</t>
  </si>
  <si>
    <t>中田町石森字桑代前62</t>
  </si>
  <si>
    <t>迫町新田字新蓮沼119</t>
  </si>
  <si>
    <t>迫町新田字新蓮沼120</t>
  </si>
  <si>
    <t>中田町石森字桑代前63</t>
  </si>
  <si>
    <t>石越町北郷字新傾城渕69</t>
  </si>
  <si>
    <t>中田町石森字新小倉109</t>
  </si>
  <si>
    <t>中田町石森字新西細谷122</t>
  </si>
  <si>
    <t>中田町石森字新西細谷123</t>
  </si>
  <si>
    <t>迫町新田字新蓮沼123</t>
  </si>
  <si>
    <t>迫町新田字新蓮沼124</t>
  </si>
  <si>
    <t>中田町石森字桑代前64</t>
  </si>
  <si>
    <t>迫町新田字新蓮沼126</t>
  </si>
  <si>
    <t>迫町新田字新蓮沼129</t>
  </si>
  <si>
    <t>中田町石森字桑代前65</t>
  </si>
  <si>
    <t>石越町北郷字新傾城渕68</t>
  </si>
  <si>
    <t>迫町新田字新蓮沼131</t>
  </si>
  <si>
    <t>迫町新田字松原東69</t>
  </si>
  <si>
    <t>中田町石森字桑代前66</t>
  </si>
  <si>
    <t>中田町石森字桑代前67</t>
  </si>
  <si>
    <t>迫町新田字松原東76</t>
  </si>
  <si>
    <t>石越町北郷字新丸谷地92</t>
  </si>
  <si>
    <t>石越町北郷字新粒庭63</t>
  </si>
  <si>
    <t>中田町上沼字金谷西95</t>
  </si>
  <si>
    <t>中田町石森字新小倉96</t>
  </si>
  <si>
    <t>迫町新田字松原東77</t>
  </si>
  <si>
    <t>中田町石森字桑代前68</t>
  </si>
  <si>
    <t>迫町新田字松原東78</t>
  </si>
  <si>
    <t>石越町北郷字新丸谷地91</t>
  </si>
  <si>
    <t>迫町新田字松原東83</t>
  </si>
  <si>
    <t>中田町石森字桑代前69</t>
  </si>
  <si>
    <t>石越町北郷字新粒庭62</t>
  </si>
  <si>
    <t>迫町新田字松原東84</t>
  </si>
  <si>
    <t>迫町新田字松原東85</t>
  </si>
  <si>
    <t>中田町石森字二木前49</t>
  </si>
  <si>
    <t>迫町新田字松原東86</t>
  </si>
  <si>
    <t>東和町米川字新青木88</t>
  </si>
  <si>
    <t>迫町新田字新舟崎138</t>
  </si>
  <si>
    <t>中田町石森字二木前50</t>
  </si>
  <si>
    <t>石越町北郷字新丸谷地90</t>
  </si>
  <si>
    <t>中田町石森字中田西91</t>
  </si>
  <si>
    <t>東和町米川字新青木89</t>
  </si>
  <si>
    <t>東和町米川字新青木90</t>
  </si>
  <si>
    <t>中田町石森字二木前51</t>
  </si>
  <si>
    <t>東和町米川字新青木92</t>
  </si>
  <si>
    <t>中田町石森字二木前52</t>
  </si>
  <si>
    <t>石越町北郷字新丸谷地89</t>
  </si>
  <si>
    <t>東和町米川字新青木93</t>
  </si>
  <si>
    <t>東和町米川字新青木94</t>
  </si>
  <si>
    <t>中田町石森字二木前53</t>
  </si>
  <si>
    <t>東和町米川字新青木95</t>
  </si>
  <si>
    <t>東和町米川字新青木96</t>
  </si>
  <si>
    <t>中田町石森字二木前54</t>
  </si>
  <si>
    <t>石越町北郷字新丸谷地88</t>
  </si>
  <si>
    <t>石越町北郷字新粒庭61</t>
  </si>
  <si>
    <t>東和町米川字新青木97</t>
  </si>
  <si>
    <t>中田町石森字二木前55</t>
  </si>
  <si>
    <t>東和町米川字新青木98</t>
  </si>
  <si>
    <t>石越町北郷字新丸谷地87</t>
  </si>
  <si>
    <t>東和町米川字新青木100</t>
  </si>
  <si>
    <t>中田町石森字二木前56</t>
  </si>
  <si>
    <t>石越町北郷字新粒庭60</t>
  </si>
  <si>
    <t>東和町米川字新青木101</t>
  </si>
  <si>
    <t>東和町米川字新青木102</t>
  </si>
  <si>
    <t>中田町石森字二木前57</t>
  </si>
  <si>
    <t>東和町米川字新青木103</t>
  </si>
  <si>
    <t>東和町米川字新青木104</t>
  </si>
  <si>
    <t>中田町石森字二木前58</t>
  </si>
  <si>
    <t>石越町北郷字新丸谷地86</t>
  </si>
  <si>
    <t>中田町上沼字金谷西94</t>
  </si>
  <si>
    <t>東和町米川字新青木105</t>
  </si>
  <si>
    <t>東和町米川字新青木106</t>
  </si>
  <si>
    <t>中田町石森字二木前59</t>
  </si>
  <si>
    <t>東和町米川字新青木107</t>
  </si>
  <si>
    <t>東和町米川字新青木108</t>
  </si>
  <si>
    <t>中田町石森字二木前60</t>
  </si>
  <si>
    <t>石越町北郷字新丸谷地85</t>
  </si>
  <si>
    <t>東和町米川字新青木109</t>
  </si>
  <si>
    <t>東和町米川字新青木110</t>
  </si>
  <si>
    <t>中田町石森字二木前61</t>
  </si>
  <si>
    <t>東和町米川字新青木111</t>
  </si>
  <si>
    <t>東和町米川字新青木112</t>
  </si>
  <si>
    <t>中田町石森字二木前62</t>
  </si>
  <si>
    <t>石越町北郷字新丸谷地84</t>
  </si>
  <si>
    <t>石越町北郷字新押込57</t>
  </si>
  <si>
    <t>東和町米川字新青木113</t>
  </si>
  <si>
    <t>東和町米川字新青木114</t>
  </si>
  <si>
    <t>中田町石森字脇谷前71</t>
  </si>
  <si>
    <t>東和町米川字新青木115</t>
  </si>
  <si>
    <t>東和町米川字新青木116</t>
  </si>
  <si>
    <t>石越町北郷字新丸谷地83</t>
  </si>
  <si>
    <t>東和町米川字新青木117</t>
  </si>
  <si>
    <t>中田町石森字脇谷前73</t>
  </si>
  <si>
    <t>東和町米川字新青木118</t>
  </si>
  <si>
    <t>石越町北郷字新押込56</t>
  </si>
  <si>
    <t>東和町米川字新青木119</t>
  </si>
  <si>
    <t>東和町米川字新寺前27</t>
  </si>
  <si>
    <t>中田町石森字脇谷前74</t>
  </si>
  <si>
    <t>石越町北郷字新丸谷地82</t>
  </si>
  <si>
    <t>中田町上沼字金谷西93</t>
  </si>
  <si>
    <t>中田町石森字中田西90</t>
  </si>
  <si>
    <t>東和町米川字新寺前28</t>
  </si>
  <si>
    <t>東和町米川字新寺前29</t>
  </si>
  <si>
    <t>中田町石森字脇谷前75</t>
  </si>
  <si>
    <t>東和町米川字新寺前30</t>
  </si>
  <si>
    <t>中田町石森字脇谷前76</t>
  </si>
  <si>
    <t>石越町北郷字新丸谷地81</t>
  </si>
  <si>
    <t>東和町米谷字沖ノ田156</t>
  </si>
  <si>
    <t>東和町米川字新寺前32</t>
  </si>
  <si>
    <t>石越町北郷字新押込54</t>
  </si>
  <si>
    <t>東和町米川字新寺前33</t>
  </si>
  <si>
    <t>中田町石森字脇谷前77</t>
  </si>
  <si>
    <t>中田町石森字脇谷前78</t>
  </si>
  <si>
    <t>東和町米川字新寺前35</t>
  </si>
  <si>
    <t>石越町北郷字新丸谷地80</t>
  </si>
  <si>
    <t>東和町米川字新寺前36</t>
  </si>
  <si>
    <t>東和町錦織字嵯峨立23</t>
  </si>
  <si>
    <t>中田町石森字脇谷前79</t>
  </si>
  <si>
    <t>中田町上沼字金谷西92</t>
  </si>
  <si>
    <t>東和町錦織字嵯峨立24</t>
  </si>
  <si>
    <t>中田町石森字新牡丹埣107</t>
  </si>
  <si>
    <t>中田町石森字脇谷前80</t>
  </si>
  <si>
    <t>中田町宝江新井田字南下道65</t>
  </si>
  <si>
    <t>東和町錦織字嵯峨立25</t>
  </si>
  <si>
    <t>中田町石森字新牡丹埣105</t>
  </si>
  <si>
    <t>石越町北郷字新丸谷地79</t>
  </si>
  <si>
    <t>中田町石森字新牡丹埣104</t>
  </si>
  <si>
    <t>中田町石森字新小倉100</t>
  </si>
  <si>
    <t>東和町錦織字嵯峨立26</t>
  </si>
  <si>
    <t>中田町石森字脇谷前81</t>
  </si>
  <si>
    <t>用悪水路（南方町細川地内）</t>
  </si>
  <si>
    <t>2018/11/20</t>
  </si>
  <si>
    <t>南方町細川</t>
  </si>
  <si>
    <t>1275</t>
  </si>
  <si>
    <t>東和町錦織字嵯峨立27</t>
  </si>
  <si>
    <t>中田町宝江新井田字東大谷地52</t>
  </si>
  <si>
    <t>石越町北郷字新丸谷地78</t>
  </si>
  <si>
    <t>中田町宝江新井田字南下道63</t>
  </si>
  <si>
    <t>東和町錦織字嵯峨立28</t>
  </si>
  <si>
    <t>中田町宝江新井田字南下道59</t>
  </si>
  <si>
    <t>東和町錦織字嵯峨立29</t>
  </si>
  <si>
    <t>中田町宝江新井田字東大谷地55</t>
  </si>
  <si>
    <t>中田町石森字脇谷前83</t>
  </si>
  <si>
    <t>石越町北郷字新橋向124</t>
  </si>
  <si>
    <t>石越町北郷字新押込53</t>
  </si>
  <si>
    <t>中田町石森字新牡丹埣112</t>
  </si>
  <si>
    <t>東和町錦織字嵯峨立30</t>
  </si>
  <si>
    <t>石越町北郷字新大和田66</t>
  </si>
  <si>
    <t>東和町錦織字嵯峨立31</t>
  </si>
  <si>
    <t>中田町宝江新井田字南下道58</t>
  </si>
  <si>
    <t>中田町石森字脇谷前84</t>
  </si>
  <si>
    <t>東和町錦織字嵯峨立32</t>
  </si>
  <si>
    <t>中田町宝江新井田字南下道60</t>
  </si>
  <si>
    <t>中田町石森字脇谷前85</t>
  </si>
  <si>
    <t>中田町宝江新井田字南下道62</t>
  </si>
  <si>
    <t>東和町米谷字新吉田31</t>
  </si>
  <si>
    <t>中田町宝江新井田字東大谷地51</t>
  </si>
  <si>
    <t>石越町北郷字新丸谷地77</t>
  </si>
  <si>
    <t>豊里町小口前80-5</t>
  </si>
  <si>
    <t>1278</t>
  </si>
  <si>
    <t>中田町上沼字金谷西91</t>
  </si>
  <si>
    <t>中田町宝江新井田字南下道64</t>
  </si>
  <si>
    <t>東和町米谷字新吉田32</t>
  </si>
  <si>
    <t>中田町宝江新井田字西芝尻78</t>
  </si>
  <si>
    <t>東和町米谷字新吉田33</t>
  </si>
  <si>
    <t>中田町宝江新井田字南下道66</t>
  </si>
  <si>
    <t>中田町石森字脇谷前86</t>
  </si>
  <si>
    <t>南方町八の森40-1</t>
  </si>
  <si>
    <t>東和町米谷字新吉田34</t>
  </si>
  <si>
    <t>中田町石森字新牡丹埣118</t>
  </si>
  <si>
    <t>東和町米谷字新吉田35</t>
  </si>
  <si>
    <t>中田町宝江新井田字南下道61</t>
  </si>
  <si>
    <t>中田町石森字脇谷前87</t>
  </si>
  <si>
    <t>中田町石森字新牡丹埣116</t>
  </si>
  <si>
    <t>石越町北郷字新丸谷地76</t>
  </si>
  <si>
    <t>中田町石森字小倉南107</t>
  </si>
  <si>
    <t>石越町北郷字新南62</t>
  </si>
  <si>
    <t>1219</t>
  </si>
  <si>
    <t>東和町米谷字新吉田36</t>
  </si>
  <si>
    <t>中田町石森字新牡丹埣115</t>
  </si>
  <si>
    <t>東和町米谷字新吉田37</t>
  </si>
  <si>
    <t>中田町宝江新井田字南下道56</t>
  </si>
  <si>
    <t>中田町石森字脇谷前88</t>
  </si>
  <si>
    <t>東和町米谷字新中渡戸27</t>
  </si>
  <si>
    <t>東和町米谷字新中渡戸28</t>
  </si>
  <si>
    <t>中田町石森字新牡丹埣123</t>
  </si>
  <si>
    <t>中田町石森字脇谷前89</t>
  </si>
  <si>
    <t>中田町石森字新牡丹埣124</t>
  </si>
  <si>
    <t>石越町北郷字新丸谷地75</t>
  </si>
  <si>
    <t>中田町石森字新牡丹埣106</t>
  </si>
  <si>
    <t>東和町米谷字新中渡戸29</t>
  </si>
  <si>
    <t>豊里町小口前64-2</t>
  </si>
  <si>
    <t>1991/11/26</t>
  </si>
  <si>
    <t>1277</t>
  </si>
  <si>
    <t>東和町米谷字新中渡戸30</t>
  </si>
  <si>
    <t>中田町石森字新牡丹埣103</t>
  </si>
  <si>
    <t>中田町石森字脇谷前90</t>
  </si>
  <si>
    <t>中田町宝江新井田字西芝尻79</t>
  </si>
  <si>
    <t>東和町米谷字新中渡戸31</t>
  </si>
  <si>
    <t>東和町米谷字新中渡戸32</t>
  </si>
  <si>
    <t>中田町石森字脇谷前91</t>
  </si>
  <si>
    <t>中田町宝江新井田字東大谷地53</t>
  </si>
  <si>
    <t>石越町北郷字新丸谷地74</t>
  </si>
  <si>
    <t>中田町石森字新牡丹埣110</t>
  </si>
  <si>
    <t>石越町北郷字新押込51</t>
  </si>
  <si>
    <t>中田町石森字新小倉108</t>
  </si>
  <si>
    <t>石越町北郷字新北69</t>
  </si>
  <si>
    <t>1251</t>
  </si>
  <si>
    <t>豊里こども園</t>
  </si>
  <si>
    <t>001970:豊里こども園</t>
  </si>
  <si>
    <t>0710079</t>
  </si>
  <si>
    <t>豊里町小口前73-1</t>
  </si>
  <si>
    <t>1015150000:観光シティプロモーション課</t>
  </si>
  <si>
    <t>2009/03/09</t>
  </si>
  <si>
    <t>2502:訂正処分（減）</t>
  </si>
  <si>
    <t>2011/07/04</t>
  </si>
  <si>
    <t>圃場整備事業による　</t>
  </si>
  <si>
    <t>錦公園</t>
  </si>
  <si>
    <t>001463:錦公園</t>
  </si>
  <si>
    <t>迫町佐沼字錦138</t>
  </si>
  <si>
    <t>01_01_08</t>
  </si>
  <si>
    <t>0180001</t>
  </si>
  <si>
    <t>中江東公園</t>
  </si>
  <si>
    <t>001464:中江東公園</t>
  </si>
  <si>
    <t>迫町佐沼字中江一丁目4-1</t>
  </si>
  <si>
    <t>0180002</t>
  </si>
  <si>
    <t>中江西公園</t>
  </si>
  <si>
    <t>001465:中江西公園</t>
  </si>
  <si>
    <t>迫町佐沼字中江五丁目3-2</t>
  </si>
  <si>
    <t>1998/12/15</t>
  </si>
  <si>
    <t>0180003</t>
  </si>
  <si>
    <t>中江南公園</t>
  </si>
  <si>
    <t>001466:中江南公園</t>
  </si>
  <si>
    <t>迫町佐沼字中江三丁目3-2</t>
  </si>
  <si>
    <t>0180004</t>
  </si>
  <si>
    <t>南佐沼公園</t>
  </si>
  <si>
    <t>001467:南佐沼公園</t>
  </si>
  <si>
    <t>迫町佐沼字南佐沼二丁目3-5</t>
  </si>
  <si>
    <t>0180005</t>
  </si>
  <si>
    <t>梅ノ木1号公園</t>
  </si>
  <si>
    <t>001468:梅ノ木1号公園</t>
  </si>
  <si>
    <t>迫町佐沼字八幡三丁目3-2</t>
  </si>
  <si>
    <t>0180006</t>
  </si>
  <si>
    <t>梅ノ木2号公園</t>
  </si>
  <si>
    <t>001469:梅ノ木2号公園</t>
  </si>
  <si>
    <t>迫町佐沼字八幡一丁目9-3</t>
  </si>
  <si>
    <t>0180007</t>
  </si>
  <si>
    <t>梅ノ木3号公園</t>
  </si>
  <si>
    <t>001470:梅ノ木3号公園</t>
  </si>
  <si>
    <t>迫町佐沼字梅ノ木三丁目5-12</t>
  </si>
  <si>
    <t>0180008</t>
  </si>
  <si>
    <t>梅ノ木4号公園</t>
  </si>
  <si>
    <t>001471:梅ノ木4号公園</t>
  </si>
  <si>
    <t>迫町佐沼字梅ノ木五丁目3-1</t>
  </si>
  <si>
    <t>1999/08/10</t>
  </si>
  <si>
    <t>0180009</t>
  </si>
  <si>
    <t>萩洗1号公園</t>
  </si>
  <si>
    <t>001472:萩洗1号公園</t>
  </si>
  <si>
    <t>迫町佐沼字萩洗一丁目14-7</t>
  </si>
  <si>
    <t>0180010</t>
  </si>
  <si>
    <t>萩洗2号公園</t>
  </si>
  <si>
    <t>001473:萩洗2号公園</t>
  </si>
  <si>
    <t>迫町佐沼字江合三丁目7-5</t>
  </si>
  <si>
    <t>0180011</t>
  </si>
  <si>
    <t>なかよし公園</t>
  </si>
  <si>
    <t>001474:なかよし公園</t>
  </si>
  <si>
    <t>中田町石森字加賀野二丁目10-5</t>
  </si>
  <si>
    <t>0180012</t>
  </si>
  <si>
    <t>中田町石森字加賀野二丁目87</t>
  </si>
  <si>
    <t>仲の松公園</t>
  </si>
  <si>
    <t>001475:仲の松公園</t>
  </si>
  <si>
    <t>豊里町新田町53-6</t>
  </si>
  <si>
    <t>0180013</t>
  </si>
  <si>
    <t>豊里町新田町53-1</t>
  </si>
  <si>
    <t>豊里町新田町53-4</t>
  </si>
  <si>
    <t>下屋浦公園</t>
  </si>
  <si>
    <t>001476:下屋浦公園</t>
  </si>
  <si>
    <t>下屋浦土地区画整理事業により整備、都市公園として開設　</t>
  </si>
  <si>
    <t>豊里町下屋浦305</t>
  </si>
  <si>
    <t>0180014</t>
  </si>
  <si>
    <t>前田公園</t>
  </si>
  <si>
    <t>001477:前田公園</t>
  </si>
  <si>
    <t>中田町石森字前田46-3</t>
  </si>
  <si>
    <t>0180015</t>
  </si>
  <si>
    <t>南方町八の森11-1</t>
  </si>
  <si>
    <t>迫佐沼公園（光ヶ丘球場）</t>
  </si>
  <si>
    <t>001478:迫佐沼公園（光ヶ丘球場）</t>
  </si>
  <si>
    <t>迫総合支所管理迫中継ポンプへ　</t>
  </si>
  <si>
    <t>0180016</t>
  </si>
  <si>
    <t>大東公園</t>
  </si>
  <si>
    <t>001479:大東公園</t>
  </si>
  <si>
    <t>迫町佐沼字新大東53</t>
  </si>
  <si>
    <t>0180017</t>
  </si>
  <si>
    <t>2019/03/13</t>
  </si>
  <si>
    <t>迫町佐沼字新大東54</t>
  </si>
  <si>
    <t>中江中央公園</t>
  </si>
  <si>
    <t>001480:中江中央公園</t>
  </si>
  <si>
    <t>迫町佐沼字中江二丁目6-3</t>
  </si>
  <si>
    <t>0180018</t>
  </si>
  <si>
    <t>南方町八の森10-1</t>
  </si>
  <si>
    <t>迫梅ノ木公園（梅ノ木グリーンパーク）</t>
  </si>
  <si>
    <t>001481:迫梅ノ木公園（梅ノ木グリーンパーク）</t>
  </si>
  <si>
    <t>迫町佐沼字梅ノ木二丁目4-4</t>
  </si>
  <si>
    <t>0180019</t>
  </si>
  <si>
    <t>迫町佐沼字梅ノ木二丁目4-3</t>
  </si>
  <si>
    <t>3105:換地（取得）</t>
  </si>
  <si>
    <t>迫町佐沼字梅ノ木二丁目4-5</t>
  </si>
  <si>
    <t>迫町佐沼字梅ノ木二丁目4-1</t>
  </si>
  <si>
    <t>南方町八の森30-1</t>
  </si>
  <si>
    <t>萩洗公園</t>
  </si>
  <si>
    <t>001482:萩洗公園</t>
  </si>
  <si>
    <t>迫町佐沼字江合一丁目6-5</t>
  </si>
  <si>
    <t>0180020</t>
  </si>
  <si>
    <t>ぜん荷公園</t>
  </si>
  <si>
    <t>001483:ぜん荷公園</t>
  </si>
  <si>
    <t>東和町米谷字ぜん荷36</t>
  </si>
  <si>
    <t>0180021</t>
  </si>
  <si>
    <t>東和町米谷字ぜん荷22-7</t>
  </si>
  <si>
    <t>東和町米谷字ぜん荷22-6</t>
  </si>
  <si>
    <t>東和町米谷字ぜん荷22-5</t>
  </si>
  <si>
    <t>東和町米谷字ぜん荷53-1</t>
  </si>
  <si>
    <t>東和町米谷字ぜん荷22-3</t>
  </si>
  <si>
    <t>東和町米谷字ぜん荷22-2</t>
  </si>
  <si>
    <t>かがの公園</t>
  </si>
  <si>
    <t>001484:かがの公園</t>
  </si>
  <si>
    <t>中田町石森字加賀野一丁目65</t>
  </si>
  <si>
    <t>0180022</t>
  </si>
  <si>
    <t>鹿ヶ城公園</t>
  </si>
  <si>
    <t>001485:鹿ヶ城公園</t>
  </si>
  <si>
    <t>迫町佐沼字内町-道</t>
  </si>
  <si>
    <t>0180023</t>
  </si>
  <si>
    <t>1:売却可能資産</t>
  </si>
  <si>
    <t>迫町佐沼字内町67-5</t>
  </si>
  <si>
    <t>迫町佐沼字内町63-22</t>
  </si>
  <si>
    <t>H29下道・大柳線土地購入</t>
  </si>
  <si>
    <t>H30新北谷地・菱ノ倉線（土地購入）</t>
  </si>
  <si>
    <t>中田町石森字霜田前50</t>
  </si>
  <si>
    <t>東和町錦織字新二良根30</t>
  </si>
  <si>
    <t>中田町石森字霜田前56</t>
  </si>
  <si>
    <t>東和町錦織字新二良根52</t>
  </si>
  <si>
    <t>中田町石森字高見前22</t>
  </si>
  <si>
    <t>中田町石森字小倉南105</t>
  </si>
  <si>
    <t>2016/10/07</t>
  </si>
  <si>
    <t>中田町石森字北川前67</t>
  </si>
  <si>
    <t>上屋浦児童遊園</t>
  </si>
  <si>
    <t>001680:上屋浦児童遊園</t>
  </si>
  <si>
    <t>警防課へ所管替（乾燥塔4.0㎡、ポンプ置場19.87㎡）　</t>
  </si>
  <si>
    <t>豊里町上屋浦214-4</t>
  </si>
  <si>
    <t>1982/08/20</t>
  </si>
  <si>
    <t>0270005</t>
  </si>
  <si>
    <t>南方東郷児童遊園</t>
  </si>
  <si>
    <t>001679:南方東郷児童遊園</t>
  </si>
  <si>
    <t>1973/01/30</t>
  </si>
  <si>
    <t>南方町堂地220-1</t>
  </si>
  <si>
    <t>1974/07/17</t>
  </si>
  <si>
    <t>0270004</t>
  </si>
  <si>
    <t>石越高森児童遊園</t>
  </si>
  <si>
    <t>001678:石越高森児童遊園</t>
  </si>
  <si>
    <t>石越町南郷字高森275-3</t>
  </si>
  <si>
    <t>1975/05/08</t>
  </si>
  <si>
    <t>0270003</t>
  </si>
  <si>
    <t>1975/12/22</t>
  </si>
  <si>
    <t>石越町南郷字高森293-1</t>
  </si>
  <si>
    <t>1981/06/23</t>
  </si>
  <si>
    <t>石越町南郷字高森300-2</t>
  </si>
  <si>
    <t>1980/11/04</t>
  </si>
  <si>
    <t>石越町南郷字高森301-1</t>
  </si>
  <si>
    <t>1987/09/09</t>
  </si>
  <si>
    <t>登米金沢山児童遊園</t>
  </si>
  <si>
    <t>001677:登米金沢山児童遊園</t>
  </si>
  <si>
    <t>1974/02/18</t>
  </si>
  <si>
    <t>0270002</t>
  </si>
  <si>
    <t>迫谷地児童遊園</t>
  </si>
  <si>
    <t>001676:迫谷地児童遊園</t>
  </si>
  <si>
    <t>迫町北方字新谷地113</t>
  </si>
  <si>
    <t>0270001</t>
  </si>
  <si>
    <t>日根牛地区調整池（宅地造成地内）</t>
  </si>
  <si>
    <t>001675:日根牛地区調整池（宅地造成地内）</t>
  </si>
  <si>
    <t>登米町大字日根牛小池前5-21</t>
  </si>
  <si>
    <t>0260037</t>
  </si>
  <si>
    <t>東和町米谷字楼台99</t>
  </si>
  <si>
    <t>用水溜池</t>
  </si>
  <si>
    <t>001673:ため池（中田　用水）</t>
  </si>
  <si>
    <t>新堤　</t>
  </si>
  <si>
    <t>中田町上沼字大泉伊勢山2-1</t>
  </si>
  <si>
    <t>0260035</t>
  </si>
  <si>
    <t>ウサギ沢　</t>
  </si>
  <si>
    <t>中田町上沼字大泉伊勢山45</t>
  </si>
  <si>
    <t>山居沢　</t>
  </si>
  <si>
    <t>中田町上沼字本宮58</t>
  </si>
  <si>
    <t>1974/11/05</t>
  </si>
  <si>
    <t>001671:用水溜池</t>
  </si>
  <si>
    <t>中田町上沼字内ノ目130-1</t>
  </si>
  <si>
    <t>0260033</t>
  </si>
  <si>
    <t>地蔵沼　</t>
  </si>
  <si>
    <t>中田町上沼字中ノ土手1</t>
  </si>
  <si>
    <t>冠木沼　</t>
  </si>
  <si>
    <t>中田町上沼字冠木45-1</t>
  </si>
  <si>
    <t>アギナシ沢　</t>
  </si>
  <si>
    <t>中田町上沼字大泉伊勢山46</t>
  </si>
  <si>
    <t>0260036</t>
  </si>
  <si>
    <t>迫町新田字新舟崎159</t>
  </si>
  <si>
    <t>遠沢溜池</t>
  </si>
  <si>
    <t>001669:遠沢溜池</t>
  </si>
  <si>
    <t>石越町北郷字遠沢98</t>
  </si>
  <si>
    <t>0260031</t>
  </si>
  <si>
    <t>芦倉北溜池</t>
  </si>
  <si>
    <t>001668:芦倉北溜池</t>
  </si>
  <si>
    <t>0260030</t>
  </si>
  <si>
    <t>寺山溜池</t>
  </si>
  <si>
    <t>001667:寺山溜池</t>
  </si>
  <si>
    <t>石越町北郷字赤谷167</t>
  </si>
  <si>
    <t>0260029</t>
  </si>
  <si>
    <t>東和町米谷字楼台116</t>
  </si>
  <si>
    <t>堂地溜池</t>
  </si>
  <si>
    <t>001665:堂地溜池</t>
  </si>
  <si>
    <t>石越町北郷字中沢106</t>
  </si>
  <si>
    <t>0260027</t>
  </si>
  <si>
    <t>中沢溜池</t>
  </si>
  <si>
    <t>001664:中沢溜池</t>
  </si>
  <si>
    <t>石越町北郷字中沢79-1</t>
  </si>
  <si>
    <t>0260026</t>
  </si>
  <si>
    <t>西風田裏溜池</t>
  </si>
  <si>
    <t>001663:西風田裏溜池</t>
  </si>
  <si>
    <t>石越町北郷字長根100</t>
  </si>
  <si>
    <t>0260025</t>
  </si>
  <si>
    <t>中田町宝江新井田字東大谷地50</t>
  </si>
  <si>
    <t>西風田上溜池</t>
  </si>
  <si>
    <t>001661:西風田上溜池</t>
  </si>
  <si>
    <t>石越町北郷字長根94-2</t>
  </si>
  <si>
    <t>0260023</t>
  </si>
  <si>
    <t>北沢溜池</t>
  </si>
  <si>
    <t>001660:北沢溜池</t>
  </si>
  <si>
    <t>石越町南郷字とど台126</t>
  </si>
  <si>
    <t>0260022</t>
  </si>
  <si>
    <t>苗代沢溜池</t>
  </si>
  <si>
    <t>001659:苗代沢溜池</t>
  </si>
  <si>
    <t>石越町南郷字高森44</t>
  </si>
  <si>
    <t>0260021</t>
  </si>
  <si>
    <t>日向溜池</t>
  </si>
  <si>
    <t>001658:日向溜池</t>
  </si>
  <si>
    <t>石越町南郷字田上47</t>
  </si>
  <si>
    <t>0260020</t>
  </si>
  <si>
    <t>御上溜池</t>
  </si>
  <si>
    <t>001657:御上溜池</t>
  </si>
  <si>
    <t>0260019</t>
  </si>
  <si>
    <t>銃禅寺溜池</t>
  </si>
  <si>
    <t>001656:銃禅寺溜池</t>
  </si>
  <si>
    <t>石越町南郷字芦倉47-1</t>
  </si>
  <si>
    <t>0260018</t>
  </si>
  <si>
    <t>二反田溜池</t>
  </si>
  <si>
    <t>001655:二反田溜池</t>
  </si>
  <si>
    <t>石越町南郷字新田117</t>
  </si>
  <si>
    <t>0260017</t>
  </si>
  <si>
    <t>小付田溜池</t>
  </si>
  <si>
    <t>001654:小付田溜池</t>
  </si>
  <si>
    <t>石越町東郷字苦木136</t>
  </si>
  <si>
    <t>0260016</t>
  </si>
  <si>
    <t>苦木下溜池</t>
  </si>
  <si>
    <t>001653:苦木下溜池</t>
  </si>
  <si>
    <t>石越町東郷字苦木115-1</t>
  </si>
  <si>
    <t>0260015</t>
  </si>
  <si>
    <t>苦木上溜池</t>
  </si>
  <si>
    <t>001652:苦木上溜池</t>
  </si>
  <si>
    <t>石越町東郷字苦木107-1</t>
  </si>
  <si>
    <t>0260014</t>
  </si>
  <si>
    <t>五味倉溜池</t>
  </si>
  <si>
    <t>001651:五味倉溜池</t>
  </si>
  <si>
    <t>石越町東郷字千貫巻149-2</t>
  </si>
  <si>
    <t>0260013</t>
  </si>
  <si>
    <t>登戸上溜池</t>
  </si>
  <si>
    <t>001650:登戸上溜池</t>
  </si>
  <si>
    <t>石越町東郷字登戸22</t>
  </si>
  <si>
    <t>0260012</t>
  </si>
  <si>
    <t>十八引溜池</t>
  </si>
  <si>
    <t>001649:十八引溜池</t>
  </si>
  <si>
    <t>石越町東郷字十八引129-1</t>
  </si>
  <si>
    <t>0260011</t>
  </si>
  <si>
    <t>新墓裏溜池</t>
  </si>
  <si>
    <t>001648:新墓裏溜池</t>
  </si>
  <si>
    <t>石越町東郷字十八引94</t>
  </si>
  <si>
    <t>1968/02/29</t>
  </si>
  <si>
    <t>0260010</t>
  </si>
  <si>
    <t>大根沢カゲ溜池</t>
  </si>
  <si>
    <t>001647:大根沢カゲ溜池</t>
  </si>
  <si>
    <t>石越町東郷字大根沢171-1</t>
  </si>
  <si>
    <t>0260009</t>
  </si>
  <si>
    <t>中田町宝江新井田字西芝尻89</t>
  </si>
  <si>
    <t>不動沢溜池</t>
  </si>
  <si>
    <t>001645:不動沢溜池</t>
  </si>
  <si>
    <t>石越町東郷字大根沢47</t>
  </si>
  <si>
    <t>0260007</t>
  </si>
  <si>
    <t>羽竜溜池</t>
  </si>
  <si>
    <t>001644:羽竜溜池</t>
  </si>
  <si>
    <t>石越町東郷字蕪木231-1</t>
  </si>
  <si>
    <t>0260006</t>
  </si>
  <si>
    <t>海上連溜池</t>
  </si>
  <si>
    <t>001643:海上連溜池</t>
  </si>
  <si>
    <t>0260005</t>
  </si>
  <si>
    <t>古屋敷溜池</t>
  </si>
  <si>
    <t>001642:古屋敷溜池</t>
  </si>
  <si>
    <t>石越町東郷字黒山115</t>
  </si>
  <si>
    <t>0260004</t>
  </si>
  <si>
    <t>石鼻溜池</t>
  </si>
  <si>
    <t>001641:石鼻溜池</t>
  </si>
  <si>
    <t>石越町東郷字黒山81</t>
  </si>
  <si>
    <t>0260003</t>
  </si>
  <si>
    <t>温水溜池</t>
  </si>
  <si>
    <t>001640:温水溜池</t>
  </si>
  <si>
    <t>登米町大字日根牛小池前342</t>
  </si>
  <si>
    <t>0260002</t>
  </si>
  <si>
    <t>001639:ため池</t>
  </si>
  <si>
    <t>迫町新田字大浦前45</t>
  </si>
  <si>
    <t>0260001</t>
  </si>
  <si>
    <t>石越町北郷字新富崎前56</t>
  </si>
  <si>
    <t>迫町新田字田上101</t>
  </si>
  <si>
    <t>南方町銭金壇56-1</t>
  </si>
  <si>
    <t>迫町新田字大田切72</t>
  </si>
  <si>
    <t>迫町新田字大田切57-1</t>
  </si>
  <si>
    <t>南方町中ノ口159</t>
  </si>
  <si>
    <t>南方町中須崎224</t>
  </si>
  <si>
    <t>南方町銭金壇26-1</t>
  </si>
  <si>
    <t>中田町石森字西長根87</t>
  </si>
  <si>
    <t>迫町新田字大久保48</t>
  </si>
  <si>
    <t>豊里町笑沢153-33</t>
  </si>
  <si>
    <t>南方町中須崎46</t>
  </si>
  <si>
    <t>迫町新田字菱ノ倉19</t>
  </si>
  <si>
    <t>迫町新田字狼ノ欠16</t>
  </si>
  <si>
    <t>迫町北方字大洞63-3</t>
  </si>
  <si>
    <t>迫町北方字川戸沼53</t>
  </si>
  <si>
    <t>登米町大字日根牛新五郎峯161</t>
  </si>
  <si>
    <t>迫町北方字天形173-1</t>
  </si>
  <si>
    <t>迫町北方字来田126</t>
  </si>
  <si>
    <t>迫町北方字北観音寺92</t>
  </si>
  <si>
    <t>石越町北郷字新堀内前81</t>
  </si>
  <si>
    <t>迫町北方字三ツ目沢57</t>
  </si>
  <si>
    <t>迫町北方字金ケ森29</t>
  </si>
  <si>
    <t>迫町北方字地粮41-6</t>
  </si>
  <si>
    <t>登米町大字日根牛新峯畑123</t>
  </si>
  <si>
    <t>迫町北方字南観音寺75</t>
  </si>
  <si>
    <t>迫町新田字品ノ浦162</t>
  </si>
  <si>
    <t>迫町新田字大久保228</t>
  </si>
  <si>
    <t>迫町新田字大上21</t>
  </si>
  <si>
    <t>迫町新田字大上27</t>
  </si>
  <si>
    <t>迫町新田字大上28</t>
  </si>
  <si>
    <t>迫町新田字田上21</t>
  </si>
  <si>
    <t>登米町大字日根牛新峯畑127</t>
  </si>
  <si>
    <t>迫町新田字田上22-2</t>
  </si>
  <si>
    <t>迫町新田字田上70</t>
  </si>
  <si>
    <t>迫町新田字山守屋敷72</t>
  </si>
  <si>
    <t>登米町大字日根牛新峯畑134</t>
  </si>
  <si>
    <t>迫町新田字菱ノ倉10-1</t>
  </si>
  <si>
    <t>迫町新田字下品ノ浦55</t>
  </si>
  <si>
    <t>迫町新田字高森41</t>
  </si>
  <si>
    <t>石越町北郷字新堀内前76</t>
  </si>
  <si>
    <t>迫町新田字大沢1</t>
  </si>
  <si>
    <t>南方町中須崎244-1</t>
  </si>
  <si>
    <t>迫町新田字菱ノ倉28</t>
  </si>
  <si>
    <t>迫町新田字大沢2</t>
  </si>
  <si>
    <t>迫町新田字大沢3</t>
  </si>
  <si>
    <t>迫町新田字新板橋1-1</t>
  </si>
  <si>
    <t>迫町新田字彦道53</t>
  </si>
  <si>
    <t>迫町新田字菱ノ倉22</t>
  </si>
  <si>
    <t>迫町新田字十五丸40</t>
  </si>
  <si>
    <t>迫町新田字彦道183-1</t>
  </si>
  <si>
    <t>迫町新田字大樟18</t>
  </si>
  <si>
    <t>南方町三代前198-1</t>
  </si>
  <si>
    <t>南方町三代前206</t>
  </si>
  <si>
    <t>迫町新田字大樟49</t>
  </si>
  <si>
    <t>南方町三代前208</t>
  </si>
  <si>
    <t>中田町浅水字曲袋南94</t>
  </si>
  <si>
    <t>迫町新田字寺志田4</t>
  </si>
  <si>
    <t>迫町新田字寺志田19</t>
  </si>
  <si>
    <t>南方町銭金壇4</t>
  </si>
  <si>
    <t>迫町新田字寺志田20</t>
  </si>
  <si>
    <t>迫町新田字寺志田24</t>
  </si>
  <si>
    <t>迫町新田字寺志田41</t>
  </si>
  <si>
    <t>迫町新田字寺志田58</t>
  </si>
  <si>
    <t>中田町浅水字曲袋南90</t>
  </si>
  <si>
    <t>迫町新田字寺志田114</t>
  </si>
  <si>
    <t>迫町新田字境田3</t>
  </si>
  <si>
    <t>迫町新田字苗代沢1</t>
  </si>
  <si>
    <t>迫町新田字苗代沢46</t>
  </si>
  <si>
    <t>迫町新田字上十五丸74</t>
  </si>
  <si>
    <t>迫町新田字駒林前85</t>
  </si>
  <si>
    <t>迫町新田字対馬50-1</t>
  </si>
  <si>
    <t>中田町石森字藤崎72</t>
  </si>
  <si>
    <t>迫町新田字横沢8</t>
  </si>
  <si>
    <t>迫町新田字横沢13</t>
  </si>
  <si>
    <t>迫町新田字横沢54</t>
  </si>
  <si>
    <t>迫町新田字横沢78</t>
  </si>
  <si>
    <t>迫町新田字駒林2</t>
  </si>
  <si>
    <t>迫町新田字駒林4</t>
  </si>
  <si>
    <t>迫町新田字舘林57</t>
  </si>
  <si>
    <t>迫町新田字舘林67</t>
  </si>
  <si>
    <t>迫町新田字舘林70</t>
  </si>
  <si>
    <t>迫町新田字南深沢4</t>
  </si>
  <si>
    <t>迫町新田字南深沢6-1</t>
  </si>
  <si>
    <t>迫町新田字南深沢29-1</t>
  </si>
  <si>
    <t>迫町新田字南深沢39</t>
  </si>
  <si>
    <t>迫町新田字台所57</t>
  </si>
  <si>
    <t>迫町新田字台所64</t>
  </si>
  <si>
    <t>中田町上沼字新八幡浦58</t>
  </si>
  <si>
    <t>迫町新田字下十五丸65</t>
  </si>
  <si>
    <t>迫町新田字東原51</t>
  </si>
  <si>
    <t>迫町新田字外沢田28</t>
  </si>
  <si>
    <t>迫町新田字外沢田43</t>
  </si>
  <si>
    <t>迫町新田字外沢田59</t>
  </si>
  <si>
    <t>迫町新田字外沢田63</t>
  </si>
  <si>
    <t>迫町新田字外沢田70</t>
  </si>
  <si>
    <t>中田町上沼字新北要害浦69</t>
  </si>
  <si>
    <t>迫町新田字中葉木沢40</t>
  </si>
  <si>
    <t>迫町新田字中葉木沢55</t>
  </si>
  <si>
    <t>迫町新田字下葉木沢8</t>
  </si>
  <si>
    <t>中田町石森字若林前45</t>
  </si>
  <si>
    <t>迫町新田字下葉木沢28</t>
  </si>
  <si>
    <t>迫町新田字上立戸57</t>
  </si>
  <si>
    <t>迫町新田字上立戸63</t>
  </si>
  <si>
    <t>中田町上沼字新北要害浦77</t>
  </si>
  <si>
    <t>迫町新田字番屋6-4</t>
  </si>
  <si>
    <t>迫町新田字北深沢9</t>
  </si>
  <si>
    <t>迫町新田字下板橋90</t>
  </si>
  <si>
    <t>迫町新田字下板橋97</t>
  </si>
  <si>
    <t>迫町新田字日向33</t>
  </si>
  <si>
    <t>迫町新田字日向48</t>
  </si>
  <si>
    <t>迫町新田字日向60-1</t>
  </si>
  <si>
    <t>迫町新田字日向71</t>
  </si>
  <si>
    <t>迫町新田字小友1</t>
  </si>
  <si>
    <t>迫町新田字小友2</t>
  </si>
  <si>
    <t>迫町新田字小友117</t>
  </si>
  <si>
    <t>迫町新田字山崎4</t>
  </si>
  <si>
    <t>迫町新田字山崎145</t>
  </si>
  <si>
    <t>迫町新田字山崎146</t>
  </si>
  <si>
    <t>迫町新田字山崎196</t>
  </si>
  <si>
    <t>中田町上沼字新南要害浦83</t>
  </si>
  <si>
    <t>迫町新田字大久保177</t>
  </si>
  <si>
    <t>迫町新田字大久保189</t>
  </si>
  <si>
    <t>迫町新田字山田42</t>
  </si>
  <si>
    <t>迫町新田字山田83-4</t>
  </si>
  <si>
    <t>迫町新田字狼ノ欠22-1</t>
  </si>
  <si>
    <t>迫町新田字狼ノ欠26</t>
  </si>
  <si>
    <t>迫町新田字山ノ神89</t>
  </si>
  <si>
    <t>中田町上沼字新南要害浦90</t>
  </si>
  <si>
    <t>迫町新田字東坂戸160-1</t>
  </si>
  <si>
    <t>迫町新田字西坂戸109</t>
  </si>
  <si>
    <t>迫町新田字刈又沢17</t>
  </si>
  <si>
    <t>迫町新田字刈又沢69-1</t>
  </si>
  <si>
    <t>迫町新田字刈又沢79</t>
  </si>
  <si>
    <t>迫町新田字刈又沢114</t>
  </si>
  <si>
    <t>迫町新田字刈又沢132</t>
  </si>
  <si>
    <t>中田町上沼字北新田35</t>
  </si>
  <si>
    <t>迫町新田字小待井11</t>
  </si>
  <si>
    <t>迫町新田字小待井19</t>
  </si>
  <si>
    <t>迫町新田字大沢田21</t>
  </si>
  <si>
    <t>迫町新田字塒場12</t>
  </si>
  <si>
    <t>迫町新田字塒場21</t>
  </si>
  <si>
    <t>迫町新田字塒場25</t>
  </si>
  <si>
    <t>迫町新田字塒場36</t>
  </si>
  <si>
    <t>中田町石森字小倉北56</t>
  </si>
  <si>
    <t>迫町新田字上大田切3</t>
  </si>
  <si>
    <t>迫町新田字上大田切11</t>
  </si>
  <si>
    <t>迫町新田字上大田切15</t>
  </si>
  <si>
    <t>迫町新田字上大田切26</t>
  </si>
  <si>
    <t>迫町新田字上大田切28</t>
  </si>
  <si>
    <t>迫町新田字上大田切40</t>
  </si>
  <si>
    <t>迫町新田字上大田切43</t>
  </si>
  <si>
    <t>石越町北郷字新内の目139</t>
  </si>
  <si>
    <t>迫町新田字上大田切48</t>
  </si>
  <si>
    <t>迫町新田字上大田切56</t>
  </si>
  <si>
    <t>迫町新田字錠穴9</t>
  </si>
  <si>
    <t>迫町新田字錠穴21</t>
  </si>
  <si>
    <t>迫町新田字錠穴24</t>
  </si>
  <si>
    <t>迫町新田字錠穴39</t>
  </si>
  <si>
    <t>迫町新田字堤田6-3</t>
  </si>
  <si>
    <t>中田町石森字小塚南51</t>
  </si>
  <si>
    <t>迫町新田字山居1</t>
  </si>
  <si>
    <t>迫町新田字山居70</t>
  </si>
  <si>
    <t>迫町新田字大鹿野57</t>
  </si>
  <si>
    <t>迫町新田字新伊豆崎135</t>
  </si>
  <si>
    <t>迫町佐沼字丸子13-1</t>
  </si>
  <si>
    <t>南方町板ケ沢78</t>
  </si>
  <si>
    <t>南方町大上103-1</t>
  </si>
  <si>
    <t>迫町新田字新舟崎127</t>
  </si>
  <si>
    <t>南方町大森前107</t>
  </si>
  <si>
    <t>南方町上平貝187</t>
  </si>
  <si>
    <t>南方町苔野谷地39</t>
  </si>
  <si>
    <t>南方町三代前62</t>
  </si>
  <si>
    <t>南方町三代前179</t>
  </si>
  <si>
    <t>南方町三代前189</t>
  </si>
  <si>
    <t>南方町柳沢73</t>
  </si>
  <si>
    <t>南方町柳沢75</t>
  </si>
  <si>
    <t>南方町翌沢88</t>
  </si>
  <si>
    <t>南方町翌沢207</t>
  </si>
  <si>
    <t>南方町横代41-1</t>
  </si>
  <si>
    <t>南方町横代46-1</t>
  </si>
  <si>
    <t>南方町若狭前192-1</t>
  </si>
  <si>
    <t>豊里町大沢77-1</t>
  </si>
  <si>
    <t>南方町中ノ口52</t>
  </si>
  <si>
    <t>迫町新田字松原東75</t>
  </si>
  <si>
    <t>迫町新田字大浦前23</t>
  </si>
  <si>
    <t>豊里町上沼田2-2</t>
  </si>
  <si>
    <t>豊里町上沼田11-2</t>
  </si>
  <si>
    <t>迫町新田字菱ノ倉12-1</t>
  </si>
  <si>
    <t>豊里町上沼田376-2</t>
  </si>
  <si>
    <t>迫町新田字大浦前44</t>
  </si>
  <si>
    <t>中田町石森字新駒牽北44</t>
  </si>
  <si>
    <t>迫町新田字田上87</t>
  </si>
  <si>
    <t>豊里町久寿田64-8</t>
  </si>
  <si>
    <t>南方町中ノ口127</t>
  </si>
  <si>
    <t>豊里町久寿田65-3</t>
  </si>
  <si>
    <t>20:井溝</t>
  </si>
  <si>
    <t>南方町中ノ口50</t>
  </si>
  <si>
    <t>迫町新田字西沢11</t>
  </si>
  <si>
    <t>南方町蛇沼32-1</t>
  </si>
  <si>
    <t>石越町北郷字新北63</t>
  </si>
  <si>
    <t>1245</t>
  </si>
  <si>
    <t>迫町新田字十五丸23</t>
  </si>
  <si>
    <t>南方町南沢59</t>
  </si>
  <si>
    <t>0260034</t>
  </si>
  <si>
    <t>南方町中ノ口124</t>
  </si>
  <si>
    <t>南方町中ノ口174</t>
  </si>
  <si>
    <t>南方町中ノ口120</t>
  </si>
  <si>
    <t>迫町新田字西沢38</t>
  </si>
  <si>
    <t>迫町新田字大浦前43</t>
  </si>
  <si>
    <t>迫町新田字西沢40</t>
  </si>
  <si>
    <t>迫町新田字十五丸34</t>
  </si>
  <si>
    <t>南方町実沢42</t>
  </si>
  <si>
    <t>迫町新田字大田切25</t>
  </si>
  <si>
    <t>南方町間内34-1</t>
  </si>
  <si>
    <t>南方町間内19</t>
  </si>
  <si>
    <t>南方町畑岡41-1</t>
  </si>
  <si>
    <t>津山町横山字南沢上78</t>
  </si>
  <si>
    <t>1265</t>
  </si>
  <si>
    <t>南方町沼崎7</t>
  </si>
  <si>
    <t>南方町間内下173</t>
  </si>
  <si>
    <t>南方町中ノ口78-1</t>
  </si>
  <si>
    <t>南方町銭金壇73-1</t>
  </si>
  <si>
    <t>登米町大字日根牛新五郎峯145</t>
  </si>
  <si>
    <t>迫町新田字十五丸33</t>
  </si>
  <si>
    <t>南方町南沢96-2</t>
  </si>
  <si>
    <t>公園（駐車場）</t>
  </si>
  <si>
    <t>001594:公園（駐車場）</t>
  </si>
  <si>
    <t>定住促進住宅地造事業（中津山地区）に付帯する工事により、米山ひだまり公園の駐車場として整備　</t>
  </si>
  <si>
    <t>米山町中津山字筒場埣229-33</t>
  </si>
  <si>
    <t>0230013</t>
  </si>
  <si>
    <t>中田町石森字野元北56</t>
  </si>
  <si>
    <t>寺浦団地公園</t>
  </si>
  <si>
    <t>001592:寺浦団地公園</t>
  </si>
  <si>
    <t>迫町佐沼字寺浦1-5</t>
  </si>
  <si>
    <t>1990/06/14</t>
  </si>
  <si>
    <t>0230011</t>
  </si>
  <si>
    <t>舟橋公園</t>
  </si>
  <si>
    <t>001591:舟橋公園</t>
  </si>
  <si>
    <t>迫町北方字舟橋前38-9</t>
  </si>
  <si>
    <t>0230010</t>
  </si>
  <si>
    <t>迫町北方字舟橋前37-6</t>
  </si>
  <si>
    <t>1975/12/23</t>
  </si>
  <si>
    <t>中田町石森字野元北60</t>
  </si>
  <si>
    <t>迫町北方字舟橋前38-1</t>
  </si>
  <si>
    <t>友愛団地公園</t>
  </si>
  <si>
    <t>001590:友愛団地公園</t>
  </si>
  <si>
    <t>迫町北方字大洞118-97</t>
  </si>
  <si>
    <t>2014/03/28</t>
  </si>
  <si>
    <t>0230009</t>
  </si>
  <si>
    <t>公園（旧小関邸）</t>
  </si>
  <si>
    <t>001589:公園（旧小関邸）</t>
  </si>
  <si>
    <t>2014/03/19</t>
  </si>
  <si>
    <t>町並み環境整備事業による小公園整備のための土地の取得　</t>
  </si>
  <si>
    <t>登米町寺池桜小路72-5</t>
  </si>
  <si>
    <t>0230008</t>
  </si>
  <si>
    <t>小池前公園（日根牛地区宅地造成地内）</t>
  </si>
  <si>
    <t>001588:小池前公園（日根牛地区宅地造成地内）</t>
  </si>
  <si>
    <t>登米町大字日根牛小池前5-22</t>
  </si>
  <si>
    <t>0230007</t>
  </si>
  <si>
    <t>阿羅田公園（日根牛地区宅地造成地内）</t>
  </si>
  <si>
    <t>001587:阿羅田公園（日根牛地区宅地造成地内）</t>
  </si>
  <si>
    <t>登米町大字日根牛阿羅田75-12</t>
  </si>
  <si>
    <t>0230006</t>
  </si>
  <si>
    <t>間伐材流通合理化センター　他</t>
  </si>
  <si>
    <t>001584:間伐材流通合理化センター　他</t>
  </si>
  <si>
    <t>津山町横山字細屋24-2</t>
  </si>
  <si>
    <t>0230003</t>
  </si>
  <si>
    <t>津山町横山字細屋26-109</t>
  </si>
  <si>
    <t>津山町横山字細屋24</t>
  </si>
  <si>
    <t>津山町横山字細屋26-107</t>
  </si>
  <si>
    <t>津山町横山字細屋29-13</t>
  </si>
  <si>
    <t>津山町横山字細屋23-1</t>
  </si>
  <si>
    <t>津山町横山字細屋17-1</t>
  </si>
  <si>
    <t>津山町横山字細屋29-23</t>
  </si>
  <si>
    <t>津山町横山字細屋26-103</t>
  </si>
  <si>
    <t>津山町横山字細屋26-102</t>
  </si>
  <si>
    <t>石越町北郷字新西40</t>
  </si>
  <si>
    <t>森林史跡公園</t>
  </si>
  <si>
    <t>001583:森林史跡公園</t>
  </si>
  <si>
    <t>東和町米川字東綱木210</t>
  </si>
  <si>
    <t>0230002</t>
  </si>
  <si>
    <t>東和町米川字東綱木205</t>
  </si>
  <si>
    <t>東和町米川字東綱木191-1</t>
  </si>
  <si>
    <t>東和町米川字東綱木209-1</t>
  </si>
  <si>
    <t>大萱沢渓流公園</t>
  </si>
  <si>
    <t>001582:大萱沢渓流公園</t>
  </si>
  <si>
    <t>津山町横山字大萱沢148-1</t>
  </si>
  <si>
    <t>0230001</t>
  </si>
  <si>
    <t>登米市豊里運動公園</t>
  </si>
  <si>
    <t>001581:登米市豊里運動公園</t>
  </si>
  <si>
    <t>豊里町上屋浦68</t>
  </si>
  <si>
    <t>0220007</t>
  </si>
  <si>
    <t>豊里町上屋浦113-2</t>
  </si>
  <si>
    <t>石越町北郷字新東51</t>
  </si>
  <si>
    <t>豊里町上屋浦52-2</t>
  </si>
  <si>
    <t>豊里町上屋浦51-2</t>
  </si>
  <si>
    <t>豊里町上屋浦53-2</t>
  </si>
  <si>
    <t>豊里町上屋浦54</t>
  </si>
  <si>
    <t>豊里町上屋浦55</t>
  </si>
  <si>
    <t>豊里町上屋浦56-2</t>
  </si>
  <si>
    <t>豊里町上屋浦57</t>
  </si>
  <si>
    <t>石越町北郷字新富崎前59</t>
  </si>
  <si>
    <t>豊里町上屋浦59-2</t>
  </si>
  <si>
    <t>豊里町上屋浦60-2</t>
  </si>
  <si>
    <t>豊里町上屋浦61-2</t>
  </si>
  <si>
    <t>豊里町上屋浦62-2</t>
  </si>
  <si>
    <t>豊里町上屋浦62-3</t>
  </si>
  <si>
    <t>豊里町上屋浦63-3</t>
  </si>
  <si>
    <t>豊里町上屋浦64-1</t>
  </si>
  <si>
    <t>迫町新田字新茂栗104</t>
  </si>
  <si>
    <t>豊里町上屋浦66</t>
  </si>
  <si>
    <t>豊里町上屋浦67</t>
  </si>
  <si>
    <t>豊里町上屋浦69</t>
  </si>
  <si>
    <t>中田町宝江新井田字西芝尻84</t>
  </si>
  <si>
    <t>豊里町上屋浦71</t>
  </si>
  <si>
    <t>豊里町上屋浦72</t>
  </si>
  <si>
    <t>豊里町上屋浦73</t>
  </si>
  <si>
    <t>中田町石森字新西細谷135</t>
  </si>
  <si>
    <t>豊里町上屋浦75</t>
  </si>
  <si>
    <t>豊里町上屋浦76</t>
  </si>
  <si>
    <t>豊里町上屋浦77</t>
  </si>
  <si>
    <t>豊里町上屋浦78</t>
  </si>
  <si>
    <t>豊里町上屋浦79-5</t>
  </si>
  <si>
    <t>豊里町上屋浦80-5</t>
  </si>
  <si>
    <t>豊里町上屋浦81-9</t>
  </si>
  <si>
    <t>登米町大字日根牛新中田71</t>
  </si>
  <si>
    <t>豊里町上屋浦82-6</t>
  </si>
  <si>
    <t>豊里町上屋浦84-3</t>
  </si>
  <si>
    <t>豊里町上屋浦85</t>
  </si>
  <si>
    <t>中田町宝江新井田字西芝尻83</t>
  </si>
  <si>
    <t>豊里町上屋浦87</t>
  </si>
  <si>
    <t>石越町北郷字新橋向122</t>
  </si>
  <si>
    <t>豊里町上屋浦89</t>
  </si>
  <si>
    <t>石越町北郷字新橋向120</t>
  </si>
  <si>
    <t>豊里町上屋浦91-1</t>
  </si>
  <si>
    <t>豊里町上屋浦91-2</t>
  </si>
  <si>
    <t>豊里町上屋浦92</t>
  </si>
  <si>
    <t>豊里町上屋浦93</t>
  </si>
  <si>
    <t>豊里町上屋浦94</t>
  </si>
  <si>
    <t>豊里町上屋浦95-1</t>
  </si>
  <si>
    <t>豊里町上屋浦96</t>
  </si>
  <si>
    <t>豊里町上屋浦97</t>
  </si>
  <si>
    <t>豊里町上屋浦98-1</t>
  </si>
  <si>
    <t>豊里町上屋浦99-3</t>
  </si>
  <si>
    <t>豊里町上屋浦100-2</t>
  </si>
  <si>
    <t>豊里町上屋浦101-2</t>
  </si>
  <si>
    <t>豊里町上屋浦102-2</t>
  </si>
  <si>
    <t>豊里町上屋浦103-2</t>
  </si>
  <si>
    <t>豊里町上屋浦104</t>
  </si>
  <si>
    <t>石越町北郷字新長下田73</t>
  </si>
  <si>
    <t>豊里町上屋浦106-2</t>
  </si>
  <si>
    <t>豊里町上屋浦107-2</t>
  </si>
  <si>
    <t>豊里町上屋浦108-2</t>
  </si>
  <si>
    <t>豊里町上屋浦109-2</t>
  </si>
  <si>
    <t>豊里町上屋浦110-2</t>
  </si>
  <si>
    <t>豊里町上屋浦111-2</t>
  </si>
  <si>
    <t>豊里町上屋浦112-2</t>
  </si>
  <si>
    <t>迫町新田字新茂栗114</t>
  </si>
  <si>
    <t>登米市石越総合運動公園</t>
  </si>
  <si>
    <t>001580:登米市石越総合運動公園</t>
  </si>
  <si>
    <t>石越町南郷字矢作125-7</t>
  </si>
  <si>
    <t>0220006</t>
  </si>
  <si>
    <t>石越町南郷字矢作122-5</t>
  </si>
  <si>
    <t>石越町南郷字矢作134-14</t>
  </si>
  <si>
    <t>石越町南郷字矢作122-2</t>
  </si>
  <si>
    <t>石越町南郷字矢作135-5</t>
  </si>
  <si>
    <t>石越町南郷字矢作122-1</t>
  </si>
  <si>
    <t>石越町南郷字矢作98-6</t>
  </si>
  <si>
    <t>迫町新田字新茂栗122</t>
  </si>
  <si>
    <t>中田総合運動公園</t>
  </si>
  <si>
    <t>001578:中田総合運動公園</t>
  </si>
  <si>
    <t>中田町宝江黒沼字浦98-1</t>
  </si>
  <si>
    <t>0220004</t>
  </si>
  <si>
    <t>中田町宝江黒沼字浦95-3</t>
  </si>
  <si>
    <t>中田町宝江黒沼字浦99-13</t>
  </si>
  <si>
    <t>中田町宝江黒沼字浦90-1</t>
  </si>
  <si>
    <t>中田町宝江黒沼字浦91-1</t>
  </si>
  <si>
    <t>中田町宝江黒沼字浦92-1</t>
  </si>
  <si>
    <t>中田町宝江黒沼字畑中138-14</t>
  </si>
  <si>
    <t>中田町宝江黒沼字浦93-1</t>
  </si>
  <si>
    <t>中田町宝江黒沼字浦93-2</t>
  </si>
  <si>
    <t>中田町宝江黒沼字浦93-3</t>
  </si>
  <si>
    <t>中田町宝江黒沼字浦94</t>
  </si>
  <si>
    <t>中田町宝江黒沼字浦95</t>
  </si>
  <si>
    <t>中田町宝江黒沼字浦95-1</t>
  </si>
  <si>
    <t>中田町宝江黒沼字浦95-2</t>
  </si>
  <si>
    <t>中田町宝江黒沼字浦96</t>
  </si>
  <si>
    <t>中田町石森字西田北153</t>
  </si>
  <si>
    <t>中田町宝江黒沼字浦97-1</t>
  </si>
  <si>
    <t>中田町石森字西田北157</t>
  </si>
  <si>
    <t>石越町北郷字新橋向136</t>
  </si>
  <si>
    <t>迫町新田字新伊豆崎134</t>
  </si>
  <si>
    <t>迫町新田字新舟崎133</t>
  </si>
  <si>
    <t>石越町北郷字新橋向128</t>
  </si>
  <si>
    <t>石越町北郷字新傾城渕78</t>
  </si>
  <si>
    <t>迫町新田字新舟崎162</t>
  </si>
  <si>
    <t>石越町東郷字新今道17</t>
  </si>
  <si>
    <t>中田町宝江新井田字西芝尻81</t>
  </si>
  <si>
    <t>登米市登米総合運動公園</t>
  </si>
  <si>
    <t>001575:登米市登米総合運動公園</t>
  </si>
  <si>
    <t>登米町小島弁慶山84-2</t>
  </si>
  <si>
    <t>0220001</t>
  </si>
  <si>
    <t>迫町新田字新蒲西125</t>
  </si>
  <si>
    <t>登米町小島弁慶山77</t>
  </si>
  <si>
    <t>登米町小島長橋549-1</t>
  </si>
  <si>
    <t>登米町小島長橋561</t>
  </si>
  <si>
    <t>中田町石森字新牡丹埣127</t>
  </si>
  <si>
    <t>登米町寺池金沢山137</t>
  </si>
  <si>
    <t>登米町小島長橋565</t>
  </si>
  <si>
    <t>登米町小島長橋568</t>
  </si>
  <si>
    <t>登米町小島長橋576</t>
  </si>
  <si>
    <t>登米町小島長橋590</t>
  </si>
  <si>
    <t>登米町小島弁慶山84-1</t>
  </si>
  <si>
    <t>登米町小島弁慶山77-1</t>
  </si>
  <si>
    <t>登米町小島弁慶山79</t>
  </si>
  <si>
    <t>町裏ポケットパーク</t>
  </si>
  <si>
    <t>001573:町裏ポケットパーク</t>
  </si>
  <si>
    <t>東和町米川字町裏28-2</t>
  </si>
  <si>
    <t>0210022</t>
  </si>
  <si>
    <t>南方平貝清水公園</t>
  </si>
  <si>
    <t>001572:南方平貝清水公園</t>
  </si>
  <si>
    <t>南方町下平貝130-2</t>
  </si>
  <si>
    <t>0210021</t>
  </si>
  <si>
    <t>南方町下平貝127-1</t>
  </si>
  <si>
    <t>南方町下平貝133-3</t>
  </si>
  <si>
    <t>南方町下平貝128</t>
  </si>
  <si>
    <t>南方町下平貝129</t>
  </si>
  <si>
    <t>南方町下平貝131-2</t>
  </si>
  <si>
    <t>迫町新田字松原東81</t>
  </si>
  <si>
    <t>南方花菖蒲の郷公園</t>
  </si>
  <si>
    <t>001571:南方花菖蒲の郷公園</t>
  </si>
  <si>
    <t>南方町翌沢36-3</t>
  </si>
  <si>
    <t>0210020</t>
  </si>
  <si>
    <t>南方町翌沢34-1</t>
  </si>
  <si>
    <t>南方町翌沢76</t>
  </si>
  <si>
    <t>南方町翌沢34-2</t>
  </si>
  <si>
    <t>南方町翌沢36-1</t>
  </si>
  <si>
    <t>南方町翌沢37-1</t>
  </si>
  <si>
    <t>南方町翌沢37-5</t>
  </si>
  <si>
    <t>東和町米川字新青木91</t>
  </si>
  <si>
    <t>南方町翌沢66-1</t>
  </si>
  <si>
    <t>南方町翌沢66-2</t>
  </si>
  <si>
    <t>南方町翌沢67</t>
  </si>
  <si>
    <t>南方町翌沢68-1</t>
  </si>
  <si>
    <t>南方町翌沢69</t>
  </si>
  <si>
    <t>南方町翌沢70</t>
  </si>
  <si>
    <t>南方町翌沢72</t>
  </si>
  <si>
    <t>東和町米川字新青木99</t>
  </si>
  <si>
    <t>南方町翌沢75</t>
  </si>
  <si>
    <t>南方町翌沢71-1</t>
  </si>
  <si>
    <t>南方町翌沢74-1</t>
  </si>
  <si>
    <t>南方町翌沢78</t>
  </si>
  <si>
    <t>南方町翌沢77</t>
  </si>
  <si>
    <t>南方町翌沢218-2</t>
  </si>
  <si>
    <t>南方町翌沢217</t>
  </si>
  <si>
    <t>南方町須崎下296-2</t>
  </si>
  <si>
    <t>南方大嶽山交流広場</t>
  </si>
  <si>
    <t>001570:南方大嶽山交流広場</t>
  </si>
  <si>
    <t>南方町南沢33-1</t>
  </si>
  <si>
    <t>0210019</t>
  </si>
  <si>
    <t>南方町南沢60</t>
  </si>
  <si>
    <t>南方町大嶽山15</t>
  </si>
  <si>
    <t>石越海上連親水公園</t>
  </si>
  <si>
    <t>001569:石越海上連親水公園</t>
  </si>
  <si>
    <t>石越町東郷字祢宜屋敷117-2</t>
  </si>
  <si>
    <t>0210018</t>
  </si>
  <si>
    <t>石越町東郷字苦木142-2</t>
  </si>
  <si>
    <t>石越町東郷字苦木138-12</t>
  </si>
  <si>
    <t>石越町東郷字苦木141-2</t>
  </si>
  <si>
    <t>中田町石森字脇谷前72</t>
  </si>
  <si>
    <t>石越町東郷字苦木145-3</t>
  </si>
  <si>
    <t>石越町東郷字祢宜屋敷96-2</t>
  </si>
  <si>
    <t>石越町東郷字祢宜屋敷102-2</t>
  </si>
  <si>
    <t>石越町東郷字祢宜屋敷112-2</t>
  </si>
  <si>
    <t>石越町東郷字祢宜屋敷113-3</t>
  </si>
  <si>
    <t>石越町東郷字祢宜屋敷113-4</t>
  </si>
  <si>
    <t>石越町東郷字祢宜屋敷114-2</t>
  </si>
  <si>
    <t>東和町米川字新寺前31</t>
  </si>
  <si>
    <t>石越町東郷字祢宜屋敷115-3</t>
  </si>
  <si>
    <t>石越町東郷字祢宜屋敷115-4</t>
  </si>
  <si>
    <t>石越町東郷字祢宜屋敷116-3</t>
  </si>
  <si>
    <t>東和町米川字新寺前34</t>
  </si>
  <si>
    <t>石越町東郷字祢宜屋敷118-2</t>
  </si>
  <si>
    <t>石越町東郷字祢宜屋敷119-2</t>
  </si>
  <si>
    <t>石越町東郷字祢宜屋敷119-3</t>
  </si>
  <si>
    <t>豊里町小口前73-5</t>
  </si>
  <si>
    <t>1276</t>
  </si>
  <si>
    <t>石越町東郷字祢宜屋敷123-2</t>
  </si>
  <si>
    <t>石越町東郷字祢宜屋敷125-1</t>
  </si>
  <si>
    <t>石越町東郷字祢宜屋敷143</t>
  </si>
  <si>
    <t>石越町東郷字祢宜屋敷107-2</t>
  </si>
  <si>
    <t>石越町東郷字祢宜屋敷114-3</t>
  </si>
  <si>
    <t>石越町東郷字祢宜屋敷124-1</t>
  </si>
  <si>
    <t>001568:石越高森公園</t>
  </si>
  <si>
    <t>石越町南郷字高森321-3</t>
  </si>
  <si>
    <t>0210023</t>
  </si>
  <si>
    <t>石越町南郷字高森308-1</t>
  </si>
  <si>
    <t>石越町南郷字高森308-3</t>
  </si>
  <si>
    <t>石越町南郷字高森274</t>
  </si>
  <si>
    <t>石越町南郷字高森311</t>
  </si>
  <si>
    <t>石越町南郷字高森314-1</t>
  </si>
  <si>
    <t>石越町南郷字高森314-18</t>
  </si>
  <si>
    <t>中田町宝江新井田字南下道54</t>
  </si>
  <si>
    <t>石越町南郷字高森302-9</t>
  </si>
  <si>
    <t>石越町南郷字高森307-2</t>
  </si>
  <si>
    <t>石越町南郷字高森314-19</t>
  </si>
  <si>
    <t>石越町南郷字高森303-11</t>
  </si>
  <si>
    <t>石越陽だまり公園</t>
  </si>
  <si>
    <t>001567:石越陽だまり公園</t>
  </si>
  <si>
    <t>0210016</t>
  </si>
  <si>
    <t>平筒沼ふれあい公園</t>
  </si>
  <si>
    <t>001566:平筒沼ふれあい公園</t>
  </si>
  <si>
    <t>平筒沼　</t>
  </si>
  <si>
    <t>2001/07/10</t>
  </si>
  <si>
    <t>0210015</t>
  </si>
  <si>
    <t>中田町宝江新井田字南下道57</t>
  </si>
  <si>
    <t>（道路？）　</t>
  </si>
  <si>
    <t>米山町字桜岡貝待井149-2</t>
  </si>
  <si>
    <t>1999/12/01</t>
  </si>
  <si>
    <t>憩いの森（山林）　</t>
  </si>
  <si>
    <t>米山町字桜岡貝待井709</t>
  </si>
  <si>
    <t>中央広場（公園）　</t>
  </si>
  <si>
    <t>米山町字桜岡貝待井575</t>
  </si>
  <si>
    <t>中田町宝江新井田字東大谷地54</t>
  </si>
  <si>
    <t>（youyou館）　</t>
  </si>
  <si>
    <t>米山町字桜岡貝待井581-3</t>
  </si>
  <si>
    <t>平筒沼遊歩道の一部　</t>
  </si>
  <si>
    <t>米山町字桜岡楠田145-1</t>
  </si>
  <si>
    <t>米山町字桜岡貝待井581-1</t>
  </si>
  <si>
    <t>中田町宝江新井田字南下道55</t>
  </si>
  <si>
    <t>米山町字桜岡貝待井571-2</t>
  </si>
  <si>
    <t>くり公園</t>
  </si>
  <si>
    <t>001565:豊里笑沢自然公園（桜公園）（栗園）</t>
  </si>
  <si>
    <t>0210014</t>
  </si>
  <si>
    <t>さくら公園</t>
  </si>
  <si>
    <t>中田地蔵沼親水公園</t>
  </si>
  <si>
    <t>001564:中田地蔵沼親水公園</t>
  </si>
  <si>
    <t>中田町上沼字新小塚前1</t>
  </si>
  <si>
    <t>0210013</t>
  </si>
  <si>
    <t>中田冠木沼親水公園</t>
  </si>
  <si>
    <t>001563:中田冠木沼親水公園</t>
  </si>
  <si>
    <t>中田町上沼字弥勒寺住吉184-3</t>
  </si>
  <si>
    <t>0210012</t>
  </si>
  <si>
    <t>中田町上沼字弥勒寺住吉185-3</t>
  </si>
  <si>
    <t>中田町上沼字冠木101</t>
  </si>
  <si>
    <t>1992/06/05</t>
  </si>
  <si>
    <t>中田町石森字新牡丹埣119</t>
  </si>
  <si>
    <t>中田町上沼字冠木42-2</t>
  </si>
  <si>
    <t>中田町上沼字冠木44-8</t>
  </si>
  <si>
    <t>中田町上沼字冠木45-4</t>
  </si>
  <si>
    <t>中田町宝江新井田字南下道67</t>
  </si>
  <si>
    <t>中田町上沼字冠木45-8</t>
  </si>
  <si>
    <t>中田町上沼字弥勒寺住吉167-10</t>
  </si>
  <si>
    <t>中田町上沼字弥勒寺住吉179-2</t>
  </si>
  <si>
    <t>中田町上沼字弥勒寺住吉181-2</t>
  </si>
  <si>
    <t>中田町上沼字弥勒寺住吉182-2</t>
  </si>
  <si>
    <t>中田大手口つり公園</t>
  </si>
  <si>
    <t>001562:中田大手口つり公園</t>
  </si>
  <si>
    <t>中田町上沼字新内ノ目5-1</t>
  </si>
  <si>
    <t>1982/07/19</t>
  </si>
  <si>
    <t>0210011</t>
  </si>
  <si>
    <t>中田町上沼字新内ノ目8</t>
  </si>
  <si>
    <t>中田町上沼字新内ノ目9</t>
  </si>
  <si>
    <t>中田町上沼字新内ノ目10</t>
  </si>
  <si>
    <t>1972/08/29</t>
  </si>
  <si>
    <t>中田ふれあい中央公園</t>
  </si>
  <si>
    <t>001561:中田ふれあい中央公園</t>
  </si>
  <si>
    <t>0210010</t>
  </si>
  <si>
    <t>中田長谷山公園</t>
  </si>
  <si>
    <t>001560:中田長谷山公園</t>
  </si>
  <si>
    <t>中田町浅水字長谷山316-3</t>
  </si>
  <si>
    <t>0210009</t>
  </si>
  <si>
    <t>中田町浅水字長谷山309-1</t>
  </si>
  <si>
    <t>中田弥勒公園</t>
  </si>
  <si>
    <t>001559:中田弥勒公園</t>
  </si>
  <si>
    <t>中田町上沼字弥勒寺大下120</t>
  </si>
  <si>
    <t>0210008</t>
  </si>
  <si>
    <t>東和若草山公園</t>
  </si>
  <si>
    <t>001557:東和若草山公園</t>
  </si>
  <si>
    <t>東和町米川字東綱木28-2</t>
  </si>
  <si>
    <t>0210006</t>
  </si>
  <si>
    <t>東和町米川字東綱木32-1</t>
  </si>
  <si>
    <t>東和町米川字東綱木28</t>
  </si>
  <si>
    <t>東和町米川字東綱木33-1</t>
  </si>
  <si>
    <t>東和町米川字東綱木29-1</t>
  </si>
  <si>
    <t>東和大関川河川公園</t>
  </si>
  <si>
    <t>001556:東和大関川河川公園</t>
  </si>
  <si>
    <t>管理棟　</t>
  </si>
  <si>
    <t>東和町米谷字相川1-6</t>
  </si>
  <si>
    <t>0210005</t>
  </si>
  <si>
    <t>登米駒つなぎの広場</t>
  </si>
  <si>
    <t>001555:登米駒つなぎの広場</t>
  </si>
  <si>
    <t>登米町寺池桜小路1-8</t>
  </si>
  <si>
    <t>0210004</t>
  </si>
  <si>
    <t>登米町寺池桜小路150</t>
  </si>
  <si>
    <t>登米寺池城址公園</t>
  </si>
  <si>
    <t>001554:登米寺池城址公園</t>
  </si>
  <si>
    <t>登米町寺池桜小路103-2</t>
  </si>
  <si>
    <t>0210003</t>
  </si>
  <si>
    <t>登米町寺池桜小路103-11</t>
  </si>
  <si>
    <t>1987/08/03</t>
  </si>
  <si>
    <t>登米町寺池桜小路103-1</t>
  </si>
  <si>
    <t>迫兵粮山公園</t>
  </si>
  <si>
    <t>001553:迫兵粮山公園</t>
  </si>
  <si>
    <t>迫町北方字兵粮23-1</t>
  </si>
  <si>
    <t>0210002</t>
  </si>
  <si>
    <t>長沼フートピア公園</t>
  </si>
  <si>
    <t>001552:長沼フートピア公園</t>
  </si>
  <si>
    <t>迫町北方字天形114-4</t>
  </si>
  <si>
    <t>0210001</t>
  </si>
  <si>
    <t>迫町北方字天形161-39</t>
  </si>
  <si>
    <t>迫町北方字天形161-84</t>
  </si>
  <si>
    <t>迫町北方字天形161-86</t>
  </si>
  <si>
    <t>迫町北方字天形273-9</t>
  </si>
  <si>
    <t>迫町北方字天形274-1</t>
  </si>
  <si>
    <t>迫町北方字天形274-4</t>
  </si>
  <si>
    <t>迫町北方字天形161-16</t>
  </si>
  <si>
    <t>迫町北方字天形161-37</t>
  </si>
  <si>
    <t>迫町北方字天形161-38</t>
  </si>
  <si>
    <t>迫町北方字天形161-89</t>
  </si>
  <si>
    <t>迫町北方字天形161-90</t>
  </si>
  <si>
    <t>1987/07/23</t>
  </si>
  <si>
    <t>迫町北方字天形273-1</t>
  </si>
  <si>
    <t>迫町北方字天形161-35</t>
  </si>
  <si>
    <t>グリーンキャンプなかだ</t>
  </si>
  <si>
    <t>001551:グリーンキャンプなかだ</t>
  </si>
  <si>
    <t>中田町上沼字本宮8-1</t>
  </si>
  <si>
    <t>0200003</t>
  </si>
  <si>
    <t>東和森林公園</t>
  </si>
  <si>
    <t>001550:東和森林公園</t>
  </si>
  <si>
    <t>東和町米川字北上沢102-13</t>
  </si>
  <si>
    <t>0200002</t>
  </si>
  <si>
    <t>東和町米川字北上沢102-8</t>
  </si>
  <si>
    <t>東和町米川字北上沢220-2</t>
  </si>
  <si>
    <t>登米森林公園</t>
  </si>
  <si>
    <t>001549:登米森林公園</t>
  </si>
  <si>
    <t>0200001</t>
  </si>
  <si>
    <t>米山西野農村公園</t>
  </si>
  <si>
    <t>001541:米山西野農村公園</t>
  </si>
  <si>
    <t>米山町西野字新遠田70</t>
  </si>
  <si>
    <t>0190047</t>
  </si>
  <si>
    <t>米山町西野字新遠田69</t>
  </si>
  <si>
    <t>米山町西野字新遠田71</t>
  </si>
  <si>
    <t>1989/12/04</t>
  </si>
  <si>
    <t>津山久保農村公園</t>
  </si>
  <si>
    <t>001538:津山久保農村公園</t>
  </si>
  <si>
    <t>津山町横山字久保82-5</t>
  </si>
  <si>
    <t>0190044</t>
  </si>
  <si>
    <t>津山南沢農村公園</t>
  </si>
  <si>
    <t>001537:津山南沢農村公園</t>
  </si>
  <si>
    <t>津山町横山字寺倉15-4</t>
  </si>
  <si>
    <t>0190043</t>
  </si>
  <si>
    <t>津山町横山字寺倉14-2</t>
  </si>
  <si>
    <t>津山町横山字寺倉14-5</t>
  </si>
  <si>
    <t>津山町横山字寺倉21</t>
  </si>
  <si>
    <t>津山町横山字寺倉15-2</t>
  </si>
  <si>
    <t>津山町横山字寺倉22-3</t>
  </si>
  <si>
    <t>津山町横山字寺倉14-3</t>
  </si>
  <si>
    <t>津山町横山字寺倉22-2</t>
  </si>
  <si>
    <t>津山入沢農村公園</t>
  </si>
  <si>
    <t>001535:津山入沢農村公園</t>
  </si>
  <si>
    <t>0190041</t>
  </si>
  <si>
    <t>津山元町農村公園</t>
  </si>
  <si>
    <t>001534:津山元町農村公園</t>
  </si>
  <si>
    <t>津山町柳津字平形161-1</t>
  </si>
  <si>
    <t>0190040</t>
  </si>
  <si>
    <t>南方北本郷遊園</t>
  </si>
  <si>
    <t>001533:南方北本郷遊園</t>
  </si>
  <si>
    <t>南方町照井225-1</t>
  </si>
  <si>
    <t>0190039</t>
  </si>
  <si>
    <t>南方柳沢農村公園</t>
  </si>
  <si>
    <t>001532:南方柳沢農村公園</t>
  </si>
  <si>
    <t>南方町大平10-5</t>
  </si>
  <si>
    <t>0190038</t>
  </si>
  <si>
    <t>南方砥落農村公園</t>
  </si>
  <si>
    <t>001531:南方砥落農村公園</t>
  </si>
  <si>
    <t>南方町米袋前55-2</t>
  </si>
  <si>
    <t>0190037</t>
  </si>
  <si>
    <t>南方町米袋前55-1</t>
  </si>
  <si>
    <t>南方町米袋前54-2</t>
  </si>
  <si>
    <t>南方原農村公園</t>
  </si>
  <si>
    <t>001529:南方原農村公園</t>
  </si>
  <si>
    <t>南方町新大村前5</t>
  </si>
  <si>
    <t>1979/02/26</t>
  </si>
  <si>
    <t>0190035</t>
  </si>
  <si>
    <t>南方沢田農村公園</t>
  </si>
  <si>
    <t>001527:南方沢田農村公園</t>
  </si>
  <si>
    <t>南方町松島屋敷85</t>
  </si>
  <si>
    <t>0190033</t>
  </si>
  <si>
    <t>南方苔下農村公園</t>
  </si>
  <si>
    <t>001526:南方苔下農村公園</t>
  </si>
  <si>
    <t>1978/12/05</t>
  </si>
  <si>
    <t>南方町後高石162-3</t>
  </si>
  <si>
    <t>0190032</t>
  </si>
  <si>
    <t>南方中央公園</t>
  </si>
  <si>
    <t>001525:南方中央公園</t>
  </si>
  <si>
    <t>0190031</t>
  </si>
  <si>
    <t>南方町八の森24-11</t>
  </si>
  <si>
    <t>石越第3農村公園</t>
  </si>
  <si>
    <t>001524:石越第3農村公園</t>
  </si>
  <si>
    <t>石越町南郷字松ケ崎前6-1</t>
  </si>
  <si>
    <t>0190030</t>
  </si>
  <si>
    <t>石越舘前住宅団地公園</t>
  </si>
  <si>
    <t>001523:石越舘前住宅団地公園</t>
  </si>
  <si>
    <t>石越町南郷字舘前190-5</t>
  </si>
  <si>
    <t>2018/12/03</t>
  </si>
  <si>
    <t>0190029</t>
  </si>
  <si>
    <t>米山中埣公園</t>
  </si>
  <si>
    <t>001522:米山中埣公園</t>
  </si>
  <si>
    <t>米山町西野字平埣前72</t>
  </si>
  <si>
    <t>0190028</t>
  </si>
  <si>
    <t>米山桜岡第二公園</t>
  </si>
  <si>
    <t>001519:米山桜岡第２公園</t>
  </si>
  <si>
    <t>米山町字桜岡新東新田25-6</t>
  </si>
  <si>
    <t>0190025</t>
  </si>
  <si>
    <t>米山桜岡公園</t>
  </si>
  <si>
    <t>001518:米山桜岡公園</t>
  </si>
  <si>
    <t>米山町字桜岡上待井300-3</t>
  </si>
  <si>
    <t>0190024</t>
  </si>
  <si>
    <t>米山中津山公園</t>
  </si>
  <si>
    <t>001517:米山中津山公園</t>
  </si>
  <si>
    <t>公衆トイレ、ゲートボール場あり　</t>
  </si>
  <si>
    <t>米山町中津山字平潟642-2</t>
  </si>
  <si>
    <t>0190023</t>
  </si>
  <si>
    <t>豊里山根農村公園</t>
  </si>
  <si>
    <t>001515:豊里山根農村公園</t>
  </si>
  <si>
    <t>0190021</t>
  </si>
  <si>
    <t>豊里十五貫農村公園</t>
  </si>
  <si>
    <t>001514:豊里十五貫農村公園</t>
  </si>
  <si>
    <t>豊里町内畑132</t>
  </si>
  <si>
    <t>0190020</t>
  </si>
  <si>
    <t>中田曲袋農村公園</t>
  </si>
  <si>
    <t>001513:中田曲袋農村公園</t>
  </si>
  <si>
    <t>中田町浅水字曲袋南4</t>
  </si>
  <si>
    <t>0190019</t>
  </si>
  <si>
    <t>中田町浅水字曲袋南5</t>
  </si>
  <si>
    <t>中田浅水農村公園</t>
  </si>
  <si>
    <t>001512:中田浅水農村公園</t>
  </si>
  <si>
    <t>中田町浅水字荒神堂143-1</t>
  </si>
  <si>
    <t>1999/09/21</t>
  </si>
  <si>
    <t>0190018</t>
  </si>
  <si>
    <t>中田町浅水字荒神堂148-1</t>
  </si>
  <si>
    <t>中田町浅水字荒神堂149-1</t>
  </si>
  <si>
    <t>中田西田公園</t>
  </si>
  <si>
    <t>001510:中田西田公園</t>
  </si>
  <si>
    <t>中田町石森字西田北29</t>
  </si>
  <si>
    <t>1973/02/15</t>
  </si>
  <si>
    <t>0190016</t>
  </si>
  <si>
    <t>中田石森長根公園</t>
  </si>
  <si>
    <t>001509:中田石森長根公園</t>
  </si>
  <si>
    <t>中田町石森字西小倉1-1</t>
  </si>
  <si>
    <t>1994/06/28</t>
  </si>
  <si>
    <t>0190015</t>
  </si>
  <si>
    <t>中田町石森字長根66-1</t>
  </si>
  <si>
    <t>中田浅部公園</t>
  </si>
  <si>
    <t>001508:中田浅部公園</t>
  </si>
  <si>
    <t>中田町浅水字浅部玉山180-4</t>
  </si>
  <si>
    <t>0190014</t>
  </si>
  <si>
    <t>中田川面公園</t>
  </si>
  <si>
    <t>001506:中田川面公園</t>
  </si>
  <si>
    <t>中田町浅水字東川面198-1</t>
  </si>
  <si>
    <t>1994/07/12</t>
  </si>
  <si>
    <t>0190012</t>
  </si>
  <si>
    <t>中田大手口公園</t>
  </si>
  <si>
    <t>001505:中田大手口公園</t>
  </si>
  <si>
    <t>中田町上沼字長根3-1</t>
  </si>
  <si>
    <t>1987/08/04</t>
  </si>
  <si>
    <t>0190011</t>
  </si>
  <si>
    <t>中田町上沼字長根108</t>
  </si>
  <si>
    <t>1981/11/10</t>
  </si>
  <si>
    <t>東和馬の足農村公園</t>
  </si>
  <si>
    <t>001504:東和馬の足農村公園</t>
  </si>
  <si>
    <t>東和町米川字馬ノ足28-7</t>
  </si>
  <si>
    <t>1982/04/17</t>
  </si>
  <si>
    <t>0190010</t>
  </si>
  <si>
    <t>東和町米川字馬ノ足26-3</t>
  </si>
  <si>
    <t>東和軽米農村公園</t>
  </si>
  <si>
    <t>001503:東和軽米農村公園</t>
  </si>
  <si>
    <t>東和町米川字軽米141</t>
  </si>
  <si>
    <t>0190009</t>
  </si>
  <si>
    <t>東和町米川字軽米88-1</t>
  </si>
  <si>
    <t>東和町米川字軽米89-3</t>
  </si>
  <si>
    <t>東和町米川字軽米89-4</t>
  </si>
  <si>
    <t>東和町米川字軽米89-5</t>
  </si>
  <si>
    <t>東和町米川字軽米93-1</t>
  </si>
  <si>
    <t>東和町米川字軽米90-1</t>
  </si>
  <si>
    <t>東和町米川字軽米91-1</t>
  </si>
  <si>
    <t>東和町米川字軽米89-1</t>
  </si>
  <si>
    <t>東和南沢農村公園</t>
  </si>
  <si>
    <t>001502:東和南沢農村公園</t>
  </si>
  <si>
    <t>東和町米谷字南沢53-10</t>
  </si>
  <si>
    <t>0190008</t>
  </si>
  <si>
    <t>東和町米谷字南沢52-8</t>
  </si>
  <si>
    <t>東和町米谷字南沢53-12</t>
  </si>
  <si>
    <t>東和綱木農村公園</t>
  </si>
  <si>
    <t>001501:東和綱木農村公園</t>
  </si>
  <si>
    <t>東和町米川字東綱木211</t>
  </si>
  <si>
    <t>0190007</t>
  </si>
  <si>
    <t>東和機織沼農村公園</t>
  </si>
  <si>
    <t>001500:東和機織沼農村公園</t>
  </si>
  <si>
    <t>東和町錦織字内ノ目294-2</t>
  </si>
  <si>
    <t>0190006</t>
  </si>
  <si>
    <t>東和大沢農村公園</t>
  </si>
  <si>
    <t>001498:東和大沢農村公園</t>
  </si>
  <si>
    <t>用途廃止に伴い410㎡（908,150円）を総務課所管普通財産へ　</t>
  </si>
  <si>
    <t>東和町米谷字新大沢95-2</t>
  </si>
  <si>
    <t>0190004</t>
  </si>
  <si>
    <t>0790168</t>
  </si>
  <si>
    <t>東和町米谷字新大沢97-1</t>
  </si>
  <si>
    <t>東和町米谷字新大沢94-2</t>
  </si>
  <si>
    <t>迫泥内農村公園</t>
  </si>
  <si>
    <t>001497:迫泥内農村公園</t>
  </si>
  <si>
    <t>迫町北方字新土手ノ内71-3</t>
  </si>
  <si>
    <t>0190003</t>
  </si>
  <si>
    <t>迫町北方字新土手ノ内71-1</t>
  </si>
  <si>
    <t>迫町北方字新土手ノ内71-2</t>
  </si>
  <si>
    <t>迫坂戸公園</t>
  </si>
  <si>
    <t>001496:迫坂戸公園</t>
  </si>
  <si>
    <t>2007/11/13</t>
  </si>
  <si>
    <t>迫町新田字東坂戸155-4</t>
  </si>
  <si>
    <t>0190002</t>
  </si>
  <si>
    <t>迫永田農村公園</t>
  </si>
  <si>
    <t>001495:迫永田農村公園</t>
  </si>
  <si>
    <t>迫町北方字熊沢5-2</t>
  </si>
  <si>
    <t>0190001</t>
  </si>
  <si>
    <t>迫町北方字熊沢6-3</t>
  </si>
  <si>
    <t>迫町北方字熊沢44-3</t>
  </si>
  <si>
    <t>迫町北方字熊沢44-6</t>
  </si>
  <si>
    <t>迫町北方字熊沢4-3</t>
  </si>
  <si>
    <t>2002/09/09</t>
  </si>
  <si>
    <t>米山ひだまり公園（都市公園）</t>
  </si>
  <si>
    <t>001494:米山ひだまり公園</t>
  </si>
  <si>
    <t>定住促進住宅地造成事業（中津山地区）により都市公園として整備　</t>
  </si>
  <si>
    <t>米山町中津山字筒場埣229-27</t>
  </si>
  <si>
    <t>0180032</t>
  </si>
  <si>
    <t>米山ひだまり公園（測量）</t>
  </si>
  <si>
    <t>佐沼墓園</t>
  </si>
  <si>
    <t>001491:佐沼墓園</t>
  </si>
  <si>
    <t>迫町佐沼字沼向69-1</t>
  </si>
  <si>
    <t>0180029</t>
  </si>
  <si>
    <t>豊里水辺の公園</t>
  </si>
  <si>
    <t>001489:豊里水辺の公園</t>
  </si>
  <si>
    <t>H19.10.1開設　</t>
  </si>
  <si>
    <t>豊里町川前187-1</t>
  </si>
  <si>
    <t>0180027</t>
  </si>
  <si>
    <t>豊里花の公園</t>
  </si>
  <si>
    <t>001487:豊里花の公園</t>
  </si>
  <si>
    <t>豊里町小口前71-1</t>
  </si>
  <si>
    <t>0180025</t>
  </si>
  <si>
    <t>一部用途廃止（308.99㎡）　【現況地積】修正</t>
  </si>
  <si>
    <t>豊里町小口前88</t>
  </si>
  <si>
    <t>豊里町小口前62-5</t>
  </si>
  <si>
    <t>鹿ヶ城公園（歴史博物館）</t>
  </si>
  <si>
    <t>001486:鹿ヶ城公園（歴史博物館）</t>
  </si>
  <si>
    <t>迫町佐沼字内町13-2</t>
  </si>
  <si>
    <t>0180024</t>
  </si>
  <si>
    <t>迫町佐沼字内町10-2</t>
  </si>
  <si>
    <t>迫町佐沼字内町12-2</t>
  </si>
  <si>
    <t>迫町佐沼字内町10-3</t>
  </si>
  <si>
    <t>迫町佐沼字内町15-3</t>
  </si>
  <si>
    <t>迫町佐沼字内町63-29</t>
  </si>
  <si>
    <t>迫町佐沼字内町27-1</t>
  </si>
  <si>
    <t>迫町佐沼字内町12-8</t>
  </si>
  <si>
    <t>迫町佐沼字内町12-7</t>
  </si>
  <si>
    <t>迫町佐沼字内町67-1</t>
  </si>
  <si>
    <t>迫町佐沼字内町63-20</t>
  </si>
  <si>
    <t>迫町佐沼字内町63-19</t>
  </si>
  <si>
    <t>迫町佐沼字内町63-1</t>
  </si>
  <si>
    <t>迫町佐沼字内町27-3</t>
  </si>
  <si>
    <t>平成8年3月26日　亘理智胤氏より寄付　</t>
  </si>
  <si>
    <t>迫町佐沼字内町15-1</t>
  </si>
  <si>
    <t>迫町佐沼字内町67-7</t>
  </si>
  <si>
    <t>迫町佐沼字内町23-1</t>
  </si>
  <si>
    <t>迫町佐沼字内町63-21</t>
  </si>
  <si>
    <t>迫町佐沼字内町29-1</t>
  </si>
  <si>
    <t>迫町佐沼字内町28</t>
  </si>
  <si>
    <t>迫町佐沼字内町33-1</t>
  </si>
  <si>
    <t>迫町佐沼字内町23-6</t>
  </si>
  <si>
    <t>迫町佐沼字内町12</t>
  </si>
  <si>
    <t>迫町佐沼字内町23-4</t>
  </si>
  <si>
    <t>迫町佐沼字内町15-2</t>
  </si>
  <si>
    <t>迫町佐沼字内町14-2</t>
  </si>
  <si>
    <t>迫町佐沼字沼向58</t>
  </si>
  <si>
    <t>迫町北方字熊沢1-4</t>
  </si>
  <si>
    <t>迫町北方字新土手ノ内71-4</t>
  </si>
  <si>
    <t>東和町米谷字新大沢96-1</t>
  </si>
  <si>
    <t>用途廃止に伴い200㎡（443,000円）を総務課所管普通財産へ　</t>
  </si>
  <si>
    <t>東和大清水農村公園</t>
  </si>
  <si>
    <t>001499:東和大清水農村公園</t>
  </si>
  <si>
    <t>0190005</t>
  </si>
  <si>
    <t>東和町錦織字内ノ目291-3</t>
  </si>
  <si>
    <t>東和町米谷字南沢1-20</t>
  </si>
  <si>
    <t>東和町米谷字南沢53-11</t>
  </si>
  <si>
    <t>東和町米川字軽米87-4</t>
  </si>
  <si>
    <t>東和町米川字軽米93-2</t>
  </si>
  <si>
    <t>蛇筒沼　</t>
  </si>
  <si>
    <t>中田町上沼字大泉伊勢山3</t>
  </si>
  <si>
    <t>溜池（調整池）</t>
  </si>
  <si>
    <t>001670:ため池（中田　調整池）</t>
  </si>
  <si>
    <t>中田町上沼字大泉伊勢山115</t>
  </si>
  <si>
    <t>0260032</t>
  </si>
  <si>
    <t>野庭前溜池</t>
  </si>
  <si>
    <t>001666:野庭前溜池</t>
  </si>
  <si>
    <t>石越町北郷字九輪堂29</t>
  </si>
  <si>
    <t>0260028</t>
  </si>
  <si>
    <t>西風田下溜池</t>
  </si>
  <si>
    <t>001662:西風田下溜池</t>
  </si>
  <si>
    <t>石越町北郷字長根94-1</t>
  </si>
  <si>
    <t>0260024</t>
  </si>
  <si>
    <t>大根沢溜池</t>
  </si>
  <si>
    <t>001646:大根沢溜池</t>
  </si>
  <si>
    <t>石越町東郷字大根沢106</t>
  </si>
  <si>
    <t>0260008</t>
  </si>
  <si>
    <t>迫町新田字鍛治ケ沢45</t>
  </si>
  <si>
    <t>南方町三代前110-1</t>
  </si>
  <si>
    <t>迫町新田字寺志田57</t>
  </si>
  <si>
    <t>迫町北方字三ツ目沢41</t>
  </si>
  <si>
    <t>迫町北方字丸森65</t>
  </si>
  <si>
    <t>迫町新田字田上22-1</t>
  </si>
  <si>
    <t>迫町新田字山守屋敷209</t>
  </si>
  <si>
    <t>迫町新田字飯島34</t>
  </si>
  <si>
    <t>南方町下平貝11</t>
  </si>
  <si>
    <t>迫町新田字寺志田110-1</t>
  </si>
  <si>
    <t>迫町新田字横沢1-1</t>
  </si>
  <si>
    <t>迫町新田字台所71</t>
  </si>
  <si>
    <t>迫町新田字中葉木沢21</t>
  </si>
  <si>
    <t>迫町新田字下葉木沢12-3</t>
  </si>
  <si>
    <t>迫町新田字上立戸139</t>
  </si>
  <si>
    <t>迫町新田字大久保172</t>
  </si>
  <si>
    <t>迫町新田字山ノ神276</t>
  </si>
  <si>
    <t>迫町新田字刈又沢145-1</t>
  </si>
  <si>
    <t>迫町新田字北山70</t>
  </si>
  <si>
    <t>迫町新田字上大田切46</t>
  </si>
  <si>
    <t>迫町新田字堤田7-2</t>
  </si>
  <si>
    <t>迫町新田字寺志田39-2</t>
  </si>
  <si>
    <t>南方町大森前83</t>
  </si>
  <si>
    <t>豊里町久寿田62-1</t>
  </si>
  <si>
    <t>豊里町上沼田378-2</t>
  </si>
  <si>
    <t>迫町新田字西沢28</t>
  </si>
  <si>
    <t>南方町銭金壇73-2</t>
  </si>
  <si>
    <t>十五畴公園</t>
  </si>
  <si>
    <t>001593:十五畴公園</t>
  </si>
  <si>
    <t>迫町佐沼字十五畴114-18</t>
  </si>
  <si>
    <t>1978/06/23</t>
  </si>
  <si>
    <t>0230012</t>
  </si>
  <si>
    <t>迫町北方字舟橋前37-8</t>
  </si>
  <si>
    <t>南方町新田15-1</t>
  </si>
  <si>
    <t>津山町横山字細屋29-21</t>
  </si>
  <si>
    <t>豊里町上屋浦114-11</t>
  </si>
  <si>
    <t>豊里町上屋浦58</t>
  </si>
  <si>
    <t>豊里町上屋浦65-1</t>
  </si>
  <si>
    <t>豊里町上屋浦70</t>
  </si>
  <si>
    <t>豊里町上屋浦74</t>
  </si>
  <si>
    <t>豊里町上屋浦81-10</t>
  </si>
  <si>
    <t>豊里町上屋浦86</t>
  </si>
  <si>
    <t>豊里町上屋浦88</t>
  </si>
  <si>
    <t>豊里町上屋浦90</t>
  </si>
  <si>
    <t>豊里町上屋浦105-2</t>
  </si>
  <si>
    <t>豊里町上屋浦50-5</t>
  </si>
  <si>
    <t>中田町宝江黒沼字浦97-2</t>
  </si>
  <si>
    <t>中田町宝江黒沼字浦88-1</t>
  </si>
  <si>
    <t>登米町小島長橋630</t>
  </si>
  <si>
    <t>登米町小島弁慶山81</t>
  </si>
  <si>
    <t>南方町翌沢36-2</t>
  </si>
  <si>
    <t>南方町翌沢65-1</t>
  </si>
  <si>
    <t>南方町翌沢73-1</t>
  </si>
  <si>
    <t>石越町東郷字苦木144</t>
  </si>
  <si>
    <t>石越町東郷字祢宜屋敷115-2</t>
  </si>
  <si>
    <t>石越町東郷字祢宜屋敷116-4</t>
  </si>
  <si>
    <t>石越町東郷字祢宜屋敷120-2</t>
  </si>
  <si>
    <t>石越町南郷字高森321-4</t>
  </si>
  <si>
    <t>米山町字桜岡貝待井150-2</t>
  </si>
  <si>
    <t>米山町字桜岡貝待井582-1</t>
  </si>
  <si>
    <t>米山町字桜岡貝待井708-1</t>
  </si>
  <si>
    <t>中田町上沼字冠木41</t>
  </si>
  <si>
    <t>中田町上沼字冠木45-6</t>
  </si>
  <si>
    <t>中田町上沼字弥勒寺住吉180-2</t>
  </si>
  <si>
    <t>中田町浅水字長谷山295-1</t>
  </si>
  <si>
    <t>東和錦織公園</t>
  </si>
  <si>
    <t>001558:東和錦織公園</t>
  </si>
  <si>
    <t>0210007</t>
  </si>
  <si>
    <t>東和町米川字東綱木33-2</t>
  </si>
  <si>
    <t>東和町米川字東綱木28-1</t>
  </si>
  <si>
    <t>登米町寺池桜小路103-10</t>
  </si>
  <si>
    <t>迫町北方字兵粮23-54</t>
  </si>
  <si>
    <t>迫町北方字天形161-85</t>
  </si>
  <si>
    <t>迫町北方字天形161-76</t>
  </si>
  <si>
    <t>迫町北方字天形161-34</t>
  </si>
  <si>
    <t>東和町米川字北上沢102-14</t>
  </si>
  <si>
    <t>津山木の体験広場</t>
  </si>
  <si>
    <t>001539:津山木の体験広場</t>
  </si>
  <si>
    <t>津山町柳津字形沼150-3</t>
  </si>
  <si>
    <t>0190045</t>
  </si>
  <si>
    <t>津山町横山字寺倉22-6</t>
  </si>
  <si>
    <t>津山町横山字寺倉14-4</t>
  </si>
  <si>
    <t>津山黄牛町農村公園</t>
  </si>
  <si>
    <t>001536:津山黄牛町農村公園</t>
  </si>
  <si>
    <t>津山町柳津字黄牛新岩前245-1</t>
  </si>
  <si>
    <t>0190042</t>
  </si>
  <si>
    <t>南方町照井251-1</t>
  </si>
  <si>
    <t>南方町米袋前56</t>
  </si>
  <si>
    <t>南方南大畑農村公園</t>
  </si>
  <si>
    <t>001530:南方南大畑農村公園</t>
  </si>
  <si>
    <t>0190036</t>
  </si>
  <si>
    <t>南方町松島屋敷82</t>
  </si>
  <si>
    <t>南方町八の森12-1</t>
  </si>
  <si>
    <t>米山千貫公園</t>
  </si>
  <si>
    <t>001521:米山千貫公園</t>
  </si>
  <si>
    <t>米山町中津山字東千貫47-3</t>
  </si>
  <si>
    <t>0190027</t>
  </si>
  <si>
    <t>米山後小路公園</t>
  </si>
  <si>
    <t>001516:米山後小路公園</t>
  </si>
  <si>
    <t>米山町西野字中島134-1</t>
  </si>
  <si>
    <t>0190022</t>
  </si>
  <si>
    <t>中田新井田公園</t>
  </si>
  <si>
    <t>001511:中田新井田公園</t>
  </si>
  <si>
    <t>中田町宝江新井田字上待井31-2</t>
  </si>
  <si>
    <t>0190017</t>
  </si>
  <si>
    <t>中田町浅水字東川面195-2</t>
  </si>
  <si>
    <t>中田舘公園</t>
  </si>
  <si>
    <t>001507:中田舘公園</t>
  </si>
  <si>
    <t>中田町宝江新井田字細谷125</t>
  </si>
  <si>
    <t>1990/10/30</t>
  </si>
  <si>
    <t>0190013</t>
  </si>
  <si>
    <t>中田町石森字小倉253-1</t>
  </si>
  <si>
    <t>インフラ資産/土地</t>
  </si>
  <si>
    <t>道-19</t>
  </si>
  <si>
    <t>0:通常資産</t>
  </si>
  <si>
    <t>2021</t>
  </si>
  <si>
    <t>2021/04/01</t>
  </si>
  <si>
    <t>0:翌年度から開始</t>
  </si>
  <si>
    <t>0:一円残ししない</t>
  </si>
  <si>
    <t>0:新規資産</t>
  </si>
  <si>
    <t>道-78</t>
  </si>
  <si>
    <t>道-89</t>
  </si>
  <si>
    <t>0:　</t>
  </si>
  <si>
    <t>AsyzAP PPP元キー:00000001-0000008597-1</t>
  </si>
  <si>
    <t>付随費用（測量費等）南方町堂地地内土地分割点設置及び地積測量図作成業務</t>
  </si>
  <si>
    <t>2021/12/13</t>
  </si>
  <si>
    <t>南方町堂地地内土地分割点設置及び地積測量図作成業務　完成払い</t>
  </si>
  <si>
    <t>0.0000000000</t>
  </si>
  <si>
    <t>2022/02/04</t>
  </si>
  <si>
    <t>30:突合</t>
  </si>
  <si>
    <t>01:新規</t>
  </si>
  <si>
    <t>08</t>
  </si>
  <si>
    <t>02</t>
  </si>
  <si>
    <t>000</t>
  </si>
  <si>
    <t>510058942</t>
  </si>
  <si>
    <t>AsyzAP南方町堂地地内土地分割点設置及び地積測量図作成業務　完成払い PPP元キー:00000001-0000008586-1</t>
  </si>
  <si>
    <t>R3黄牛線（移転補償）</t>
  </si>
  <si>
    <t>2021/05/28</t>
  </si>
  <si>
    <t>公衆道路用地</t>
  </si>
  <si>
    <t>津山町柳津　地内</t>
  </si>
  <si>
    <t>2021/06/18</t>
  </si>
  <si>
    <t>03</t>
  </si>
  <si>
    <t>510018254</t>
  </si>
  <si>
    <t>12:式</t>
  </si>
  <si>
    <t>AsyzAP公衆道路用地 PPP元キー:00000001-0000008590-1</t>
  </si>
  <si>
    <t>R3堀米・下川面線（移転補償）</t>
  </si>
  <si>
    <t>2022/01/14</t>
  </si>
  <si>
    <t>中田町浅水　地内</t>
  </si>
  <si>
    <t>2022/01/28</t>
  </si>
  <si>
    <t>510013770</t>
  </si>
  <si>
    <t>AsyzAP公衆道路用地 PPP元キー:00000001-0000008588-1</t>
  </si>
  <si>
    <t>R3大網4号線（移転補償）</t>
  </si>
  <si>
    <t>2022/02/28</t>
  </si>
  <si>
    <t>2021/10/08</t>
  </si>
  <si>
    <t>迫町佐沼字大網　地内</t>
  </si>
  <si>
    <t>2022/03/18</t>
  </si>
  <si>
    <t>510041379</t>
  </si>
  <si>
    <t>AsyzAP公衆道路用地 PPP元キー:00000001-0000008592-1</t>
  </si>
  <si>
    <t>R3梅ノ木・平柳線（土地購入）</t>
  </si>
  <si>
    <t>2021/10/13</t>
  </si>
  <si>
    <t>迫町佐沼字新駒木袋　地内外</t>
  </si>
  <si>
    <t>2021/12/10</t>
  </si>
  <si>
    <t>510010288</t>
  </si>
  <si>
    <t>AsyzAP公衆道路用地 PPP元キー:00000001-0000008568-1</t>
  </si>
  <si>
    <t>R2北大畑３号線（移転補償）</t>
  </si>
  <si>
    <t>AsyzAP PPP元キー:00000001-0000008600-1</t>
  </si>
  <si>
    <t>R2赤坂線（移転補償）</t>
  </si>
  <si>
    <t>AsyzAPインフラ資産/土地 PPP元キー:00000001-0000008595-1</t>
  </si>
  <si>
    <t>AsyzAPインフラ資産/土地 PPP元キー:00000001-0000008596-1</t>
  </si>
  <si>
    <t>南方町堂地246番4、南方町堂地246番1</t>
  </si>
  <si>
    <t>2021/12/28</t>
  </si>
  <si>
    <t>市道新井宿・堂地線排水路整備事業に伴う土地購入</t>
  </si>
  <si>
    <t>2022/01/21</t>
  </si>
  <si>
    <t>510064939</t>
  </si>
  <si>
    <t>AsyzAP市道新井宿・堂地線排水路整備事業に伴う土地購入 PPP元キー:00000001-0000008555-1</t>
  </si>
  <si>
    <t>付随費用（登記費用）米山町中津山字丸森地内土地分筆登記業務</t>
  </si>
  <si>
    <t>2021/12/09</t>
  </si>
  <si>
    <t>米山町中津山字丸森地内土地分筆登記業務　完成払い</t>
  </si>
  <si>
    <t>2021/12/24</t>
  </si>
  <si>
    <t>510022678</t>
  </si>
  <si>
    <t>AsyzAP米山町中津山字丸森地内土地分筆登記業務　完成払い PPP元キー:00000001-0000008583-1</t>
  </si>
  <si>
    <t>南方町堂地253番3、南方町堂地254番7</t>
  </si>
  <si>
    <t>2021/11/10</t>
  </si>
  <si>
    <t>2021/12/03</t>
  </si>
  <si>
    <t>510053211</t>
  </si>
  <si>
    <t>AsyzAP市道新井宿・堂地線排水路整備事業に伴う土地購入 PPP元キー:00000001-0000008554-1</t>
  </si>
  <si>
    <t>R3赤坂線（移転補償）</t>
  </si>
  <si>
    <t>2022/01/05</t>
  </si>
  <si>
    <t>迫町新田字山守屋敷　地内</t>
  </si>
  <si>
    <t>510013760</t>
  </si>
  <si>
    <t>AsyzAP PPP元キー:00000001-0000008587-1</t>
  </si>
  <si>
    <t>R3堀米・下川面線（土地購入）</t>
  </si>
  <si>
    <t>2021/12/08</t>
  </si>
  <si>
    <t>中田町浅水字上川面　地内外</t>
  </si>
  <si>
    <t>2021/12/17</t>
  </si>
  <si>
    <t>510013772</t>
  </si>
  <si>
    <t>AsyzAP公衆道路用地 PPP元キー:00000001-0000008576-1</t>
  </si>
  <si>
    <t>R3白鳥１号線（土地購入）</t>
  </si>
  <si>
    <t>2021/09/03</t>
  </si>
  <si>
    <t>豊里町白鳥　地内</t>
  </si>
  <si>
    <t>2021/09/17</t>
  </si>
  <si>
    <t>510017368</t>
  </si>
  <si>
    <t>AsyzAP公衆道路用地 PPP元キー:00000001-0000008572-1</t>
  </si>
  <si>
    <t>R2堀米・下川面線（土地購入）</t>
  </si>
  <si>
    <t>AsyzAP PPP元キー:00000001-0000008598-1</t>
  </si>
  <si>
    <t>付随費用（測量費等）境界測量及び地積測量図作成業務（石越）</t>
  </si>
  <si>
    <t>2022/03/31</t>
  </si>
  <si>
    <t>境界測量及び地積測量図作成業務</t>
  </si>
  <si>
    <t>2022/04/15</t>
  </si>
  <si>
    <t>510078894</t>
  </si>
  <si>
    <t>AsyzAP境界測量及び地積測量図作成業務 PPP元キー:00000001-0000008582-1</t>
  </si>
  <si>
    <t>R3永田・板倉線（土地購入）</t>
  </si>
  <si>
    <t>2021/11/24</t>
  </si>
  <si>
    <t>迫町北方字新広沖　地内外</t>
  </si>
  <si>
    <t>510022364</t>
  </si>
  <si>
    <t>AsyzAP公衆道路用地 PPP元キー:00000001-0000008575-1</t>
  </si>
  <si>
    <t>付随費用（測量費等）八幡浦６号線未登記用地測量業務</t>
  </si>
  <si>
    <t>八幡浦６号線未登記用地測量業務</t>
  </si>
  <si>
    <t>510077905</t>
  </si>
  <si>
    <t>AsyzAP八幡浦６号線未登記用地測量業務 PPP元キー:00000001-0000008581-1</t>
  </si>
  <si>
    <t>R3新北谷地菱ノ倉線（移転補償）</t>
  </si>
  <si>
    <t>2021/08/10</t>
  </si>
  <si>
    <t>2021/08/27</t>
  </si>
  <si>
    <t>510022684</t>
  </si>
  <si>
    <t>AsyzAP公衆道路用地 PPP元キー:00000001-0000008591-1</t>
  </si>
  <si>
    <t>付随費用（測量費等）分割点設置及び地積測量図作成業務</t>
  </si>
  <si>
    <t>2021/09/01</t>
  </si>
  <si>
    <t>分割点設置及び地積測量図作成業務</t>
  </si>
  <si>
    <t>510038537</t>
  </si>
  <si>
    <t>AsyzAP分割点設置及び地積測量図作成業務 PPP元キー:00000001-0000008579-1</t>
  </si>
  <si>
    <t>R3北大畑３号線（移転補償）</t>
  </si>
  <si>
    <t>2021/07/19</t>
  </si>
  <si>
    <t>2021/08/13</t>
  </si>
  <si>
    <t>510013776</t>
  </si>
  <si>
    <t>AsyzAP公衆道路用地 PPP元キー:00000001-0000008589-1</t>
  </si>
  <si>
    <t>R２北大畑３号線（移転補償）</t>
  </si>
  <si>
    <t>AsyzAP PPP元キー:00000001-0000008601-1</t>
  </si>
  <si>
    <t>付随費用（分筆費用）登米市南方町畑岡地内土地分筆業務</t>
  </si>
  <si>
    <t>2021/08/03</t>
  </si>
  <si>
    <t>土地分筆登記業務</t>
  </si>
  <si>
    <t>510022664</t>
  </si>
  <si>
    <t>AsyzAP土地分筆登記業務 PPP元キー:00000001-0000008578-1</t>
  </si>
  <si>
    <t>R3赤坂線（土地購入）</t>
  </si>
  <si>
    <t>2021/12/23</t>
  </si>
  <si>
    <t>510020188</t>
  </si>
  <si>
    <t>AsyzAP公衆道路用地 PPP元キー:00000001-0000008574-1</t>
  </si>
  <si>
    <t>R3大網４号線（土地購入）</t>
  </si>
  <si>
    <t>2022/03/01</t>
  </si>
  <si>
    <t>510041377</t>
  </si>
  <si>
    <t>AsyzAP公衆道路用地 PPP元キー:00000001-0000008573-1</t>
  </si>
  <si>
    <t>付随費用（登記費用）南方町堂地地内土地分筆登記業務</t>
  </si>
  <si>
    <t>2021/04/16</t>
  </si>
  <si>
    <t>南方町堂地地内土地分筆登記業務</t>
  </si>
  <si>
    <t>2022/03/25</t>
  </si>
  <si>
    <t>510078622</t>
  </si>
  <si>
    <t>AsyzAP南方町堂地地内土地分筆登記業務 PPP元キー:00000001-0000008585-1</t>
  </si>
  <si>
    <t>付随費用（測量費等）米山町中津山字追土地地内土地境界確認及び地積測量図作成業務</t>
  </si>
  <si>
    <t>2021/09/14</t>
  </si>
  <si>
    <t>米山町中津山字追土地地内土地境界確認及び地積測量図作成業務　完成払い</t>
  </si>
  <si>
    <t>510040574</t>
  </si>
  <si>
    <t>AsyzAP米山町中津山字追土地地内土地境界確認及び地積測量図作成業務　完成払い PPP元キー:00000001-0000008580-1</t>
  </si>
  <si>
    <t>R2堀米・下川面線（移転補償）</t>
  </si>
  <si>
    <t>AsyzAP PPP元キー:00000001-0000008599-1</t>
  </si>
  <si>
    <t>R3辺室山中道線（土地購入）</t>
  </si>
  <si>
    <t>2021/10/26</t>
  </si>
  <si>
    <t>2021/10/29</t>
  </si>
  <si>
    <t>登米町登米字寺池辺室山</t>
  </si>
  <si>
    <t>2021/11/12</t>
  </si>
  <si>
    <t>510045837</t>
  </si>
  <si>
    <t>AsyzAP公衆道路用地 PPP元キー:00000001-0000008562-1</t>
  </si>
  <si>
    <t>付随費用（登記費用）大岳線未登記土地分筆業務</t>
  </si>
  <si>
    <t>大岳線未登記土地分筆業務</t>
  </si>
  <si>
    <t>510077912</t>
  </si>
  <si>
    <t>AsyzAP大岳線未登記土地分筆業務 PPP元キー:00000001-0000008577-1</t>
  </si>
  <si>
    <t>R3北大畑3号線（土地購入）</t>
  </si>
  <si>
    <t>2021/07/29</t>
  </si>
  <si>
    <t>510013775</t>
  </si>
  <si>
    <t>AsyzAP公衆道路用地 PPP元キー:00000001-0000008571-1</t>
  </si>
  <si>
    <t>R3幹線用水線（土地購入）</t>
  </si>
  <si>
    <t>登米町登米字小島長橋　地内</t>
  </si>
  <si>
    <t>510021338</t>
  </si>
  <si>
    <t>AsyzAP公衆道路用地 PPP元キー:00000001-0000008570-1</t>
  </si>
  <si>
    <t>付随費用（測量費等）境界測量及び地積測量図作成業務（その２）（石越）</t>
  </si>
  <si>
    <t>境界測量及び地積測量図作成業務（その２）</t>
  </si>
  <si>
    <t>510079927</t>
  </si>
  <si>
    <t>AsyzAP境界測量及び地積測量図作成業務（その２） PPP元キー:00000001-0000008584-1</t>
  </si>
  <si>
    <t>R3東表前４号線（移転補償）</t>
  </si>
  <si>
    <t>迫町森字表前　地内</t>
  </si>
  <si>
    <t>510057959</t>
  </si>
  <si>
    <t>AsyzAP公衆道路用地 PPP元キー:00000001-0000008593-1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</si>
</sst>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yyyy/mm/dd"/>
  </numFmts>
  <fonts count="4" x14ac:knownFonts="1">
    <font>
      <sz val="11"/>
      <name val="Calibri"/>
    </font>
    <font>
      <sz val="11"/>
      <name val="ＭＳ ゴシック"/>
      <family val="3"/>
    </font>
    <font>
      <b/>
      <sz val="12"/>
      <name val="游ゴシック"/>
      <family val="3"/>
      <charset val="128"/>
    </font>
    <font>
      <sz val="12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0EE9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 applyFont="1" applyFill="1" applyBorder="1"/>
    <xf numFmtId="0" fontId="2" fillId="2" borderId="0" xfId="0" applyFont="1" applyFill="1" applyBorder="1" applyAlignment="1">
      <alignment horizontal="center"/>
    </xf>
    <xf numFmtId="176" fontId="2" fillId="2" borderId="0" xfId="0" applyNumberFormat="1" applyFont="1" applyFill="1" applyBorder="1" applyAlignment="1">
      <alignment horizontal="center"/>
    </xf>
    <xf numFmtId="3" fontId="2" fillId="2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176" fontId="3" fillId="0" borderId="0" xfId="0" applyNumberFormat="1" applyFont="1" applyFill="1" applyBorder="1"/>
    <xf numFmtId="3" fontId="3" fillId="0" borderId="0" xfId="0" applyNumberFormat="1" applyFont="1" applyFill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3237"/>
  <sheetViews>
    <sheetView tabSelected="1" defaultGridColor="0" topLeftCell="C1" colorId="8" workbookViewId="0">
      <selection activeCell="C1" sqref="C1"/>
    </sheetView>
  </sheetViews>
  <sheetFormatPr defaultColWidth="2.7109375" defaultRowHeight="19.5" x14ac:dyDescent="0.4"/>
  <cols>
    <col min="1" max="1" width="6.42578125" style="4" hidden="1" customWidth="1"/>
    <col min="2" max="2" width="4.42578125" style="4" hidden="1" customWidth="1"/>
    <col min="3" max="4" width="21" style="4" bestFit="1" customWidth="1"/>
    <col min="5" max="5" width="26.140625" style="4" bestFit="1" customWidth="1"/>
    <col min="6" max="8" width="10" style="4" hidden="1" customWidth="1"/>
    <col min="9" max="9" width="88.140625" style="4" bestFit="1" customWidth="1"/>
    <col min="10" max="10" width="48.28515625" style="4" bestFit="1" customWidth="1"/>
    <col min="11" max="11" width="16.42578125" style="4" bestFit="1" customWidth="1"/>
    <col min="12" max="12" width="119" style="4" bestFit="1" customWidth="1"/>
    <col min="13" max="13" width="48.28515625" style="5" bestFit="1" customWidth="1"/>
    <col min="14" max="14" width="12.42578125" style="6" bestFit="1" customWidth="1"/>
    <col min="15" max="15" width="20" style="4" bestFit="1" customWidth="1"/>
    <col min="16" max="16" width="6.28515625" style="6" hidden="1" customWidth="1"/>
    <col min="17" max="17" width="13.7109375" style="6" hidden="1" customWidth="1"/>
    <col min="18" max="18" width="11.85546875" style="6" hidden="1" customWidth="1"/>
    <col min="19" max="19" width="10" style="6" hidden="1" customWidth="1"/>
    <col min="20" max="20" width="15.28515625" style="6" bestFit="1" customWidth="1"/>
    <col min="21" max="21" width="19.140625" style="5" bestFit="1" customWidth="1"/>
    <col min="22" max="22" width="35.42578125" style="4" bestFit="1" customWidth="1"/>
    <col min="23" max="23" width="15.5703125" style="4" hidden="1" customWidth="1"/>
    <col min="24" max="24" width="13.7109375" style="4" hidden="1" customWidth="1"/>
    <col min="25" max="27" width="11.85546875" style="4" hidden="1" customWidth="1"/>
    <col min="28" max="28" width="6.28515625" style="4" hidden="1" customWidth="1"/>
    <col min="29" max="29" width="6.28515625" style="5" hidden="1" customWidth="1"/>
    <col min="30" max="30" width="13.7109375" style="5" hidden="1" customWidth="1"/>
    <col min="31" max="31" width="11.85546875" style="4" hidden="1" customWidth="1"/>
    <col min="32" max="33" width="10" style="5" hidden="1" customWidth="1"/>
    <col min="34" max="34" width="4.42578125" style="4" hidden="1" customWidth="1"/>
    <col min="35" max="35" width="10" style="4" hidden="1" customWidth="1"/>
    <col min="36" max="37" width="8.140625" style="4" hidden="1" customWidth="1"/>
    <col min="38" max="38" width="13.7109375" style="4" hidden="1" customWidth="1"/>
    <col min="39" max="39" width="11.85546875" style="4" hidden="1" customWidth="1"/>
    <col min="40" max="40" width="13.7109375" style="4" hidden="1" customWidth="1"/>
    <col min="41" max="42" width="11.85546875" style="4" hidden="1" customWidth="1"/>
    <col min="43" max="43" width="13.7109375" style="4" hidden="1" customWidth="1"/>
    <col min="44" max="44" width="11.85546875" style="4" hidden="1" customWidth="1"/>
    <col min="45" max="46" width="4.42578125" style="5" hidden="1" customWidth="1"/>
    <col min="47" max="47" width="8.140625" style="5" hidden="1" customWidth="1"/>
    <col min="48" max="48" width="10" style="5" hidden="1" customWidth="1"/>
    <col min="49" max="49" width="10" style="4" hidden="1" customWidth="1"/>
    <col min="50" max="51" width="4.42578125" style="4" hidden="1" customWidth="1"/>
    <col min="52" max="54" width="11.85546875" style="4" hidden="1" customWidth="1"/>
    <col min="55" max="55" width="10" style="4" hidden="1" customWidth="1"/>
    <col min="56" max="56" width="11.85546875" style="4" hidden="1" customWidth="1"/>
    <col min="57" max="57" width="13.7109375" style="4" hidden="1" customWidth="1"/>
    <col min="58" max="58" width="15.5703125" style="5" hidden="1" customWidth="1"/>
    <col min="59" max="60" width="11.85546875" style="4" hidden="1" customWidth="1"/>
    <col min="61" max="61" width="8.140625" style="4" hidden="1" customWidth="1"/>
    <col min="62" max="62" width="10" style="5" hidden="1" customWidth="1"/>
    <col min="63" max="63" width="13.7109375" style="4" hidden="1" customWidth="1"/>
    <col min="64" max="64" width="21.28515625" style="4" hidden="1" customWidth="1"/>
    <col min="65" max="65" width="11.85546875" style="4" hidden="1" customWidth="1"/>
    <col min="66" max="66" width="13.85546875" style="6" hidden="1" customWidth="1"/>
    <col min="67" max="67" width="10" style="6" hidden="1" customWidth="1"/>
    <col min="68" max="68" width="10" style="4" hidden="1" customWidth="1"/>
    <col min="69" max="69" width="4.42578125" style="4" hidden="1" customWidth="1"/>
    <col min="70" max="72" width="11.85546875" style="4" hidden="1" customWidth="1"/>
    <col min="73" max="77" width="15.5703125" style="4" hidden="1" customWidth="1"/>
    <col min="78" max="78" width="8.140625" style="5" hidden="1" customWidth="1"/>
    <col min="79" max="81" width="8.140625" style="4" hidden="1" customWidth="1"/>
    <col min="82" max="82" width="10" style="4" hidden="1" customWidth="1"/>
    <col min="83" max="83" width="8.140625" style="4" hidden="1" customWidth="1"/>
    <col min="84" max="84" width="11.85546875" style="4" hidden="1" customWidth="1"/>
    <col min="85" max="86" width="13.7109375" style="4" hidden="1" customWidth="1"/>
    <col min="87" max="87" width="17.42578125" style="4" hidden="1" customWidth="1"/>
    <col min="88" max="89" width="11.85546875" style="4" hidden="1" customWidth="1"/>
    <col min="90" max="90" width="6.42578125" style="4" hidden="1" customWidth="1"/>
    <col min="91" max="91" width="11.85546875" style="4" hidden="1" customWidth="1"/>
    <col min="92" max="92" width="13.7109375" style="4" hidden="1" customWidth="1"/>
    <col min="93" max="93" width="11.85546875" style="5" hidden="1" customWidth="1"/>
    <col min="94" max="95" width="11.85546875" style="4" hidden="1" customWidth="1"/>
    <col min="96" max="96" width="8.140625" style="4" hidden="1" customWidth="1"/>
    <col min="97" max="97" width="11.85546875" style="4" hidden="1" customWidth="1"/>
    <col min="98" max="98" width="10" style="4" hidden="1" customWidth="1"/>
    <col min="99" max="101" width="13.7109375" style="4" hidden="1" customWidth="1"/>
    <col min="102" max="103" width="8.140625" style="4" hidden="1" customWidth="1"/>
    <col min="104" max="104" width="4.42578125" style="6" hidden="1" customWidth="1"/>
    <col min="105" max="105" width="13.7109375" style="6" hidden="1" customWidth="1"/>
    <col min="106" max="106" width="10" style="6" hidden="1" customWidth="1"/>
    <col min="107" max="107" width="8.140625" style="4" hidden="1" customWidth="1"/>
    <col min="108" max="108" width="4.42578125" style="4" hidden="1" customWidth="1"/>
    <col min="109" max="110" width="8.140625" style="4" hidden="1" customWidth="1"/>
    <col min="111" max="111" width="8.140625" style="6" hidden="1" customWidth="1"/>
    <col min="112" max="112" width="6.28515625" style="5" hidden="1" customWidth="1"/>
    <col min="113" max="113" width="8.140625" style="4" hidden="1" customWidth="1"/>
    <col min="114" max="114" width="4.42578125" style="4" hidden="1" customWidth="1"/>
    <col min="115" max="115" width="2.7109375" style="4" hidden="1" customWidth="1"/>
    <col min="116" max="116" width="4.42578125" style="4" hidden="1" customWidth="1"/>
    <col min="117" max="118" width="8.140625" style="4" hidden="1" customWidth="1"/>
    <col min="119" max="119" width="6.28515625" style="6" hidden="1" customWidth="1"/>
    <col min="120" max="120" width="4.42578125" style="4" hidden="1" customWidth="1"/>
    <col min="121" max="121" width="8.140625" style="4" hidden="1" customWidth="1"/>
    <col min="122" max="125" width="4.42578125" style="4" hidden="1" customWidth="1"/>
    <col min="126" max="127" width="11.85546875" style="4" hidden="1" customWidth="1"/>
    <col min="128" max="134" width="10" style="4" hidden="1" customWidth="1"/>
    <col min="135" max="195" width="11.85546875" style="4" hidden="1" customWidth="1"/>
    <col min="196" max="204" width="10" style="4" hidden="1" customWidth="1"/>
    <col min="205" max="225" width="11.85546875" style="4" hidden="1" customWidth="1"/>
    <col min="226" max="226" width="17.5703125" style="4" hidden="1" customWidth="1"/>
    <col min="227" max="227" width="15.7109375" style="4" hidden="1" customWidth="1"/>
    <col min="228" max="228" width="11.85546875" style="4" hidden="1" customWidth="1"/>
    <col min="229" max="229" width="10" style="4" hidden="1" customWidth="1"/>
    <col min="230" max="230" width="13.85546875" style="4" hidden="1" customWidth="1"/>
    <col min="231" max="231" width="6.28515625" style="4" hidden="1" customWidth="1"/>
    <col min="232" max="234" width="8.140625" style="4" hidden="1" customWidth="1"/>
    <col min="235" max="235" width="15.5703125" style="4" hidden="1" customWidth="1"/>
    <col min="236" max="240" width="19.42578125" style="4" hidden="1" customWidth="1"/>
    <col min="241" max="241" width="2.7109375" style="4" customWidth="1"/>
    <col min="242" max="16384" width="2.7109375" style="4"/>
  </cols>
  <sheetData>
    <row r="1" spans="1:240" ht="19.5" customHeight="1" x14ac:dyDescent="0.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11</v>
      </c>
      <c r="J1" s="1" t="s">
        <v>16</v>
      </c>
      <c r="K1" s="1" t="s">
        <v>46</v>
      </c>
      <c r="L1" s="1" t="s">
        <v>8</v>
      </c>
      <c r="M1" s="2" t="s">
        <v>35</v>
      </c>
      <c r="N1" s="3" t="s">
        <v>97</v>
      </c>
      <c r="O1" s="1" t="s">
        <v>98</v>
      </c>
      <c r="P1" s="3" t="s">
        <v>99</v>
      </c>
      <c r="Q1" s="3" t="s">
        <v>100</v>
      </c>
      <c r="R1" s="3" t="s">
        <v>101</v>
      </c>
      <c r="S1" s="3" t="s">
        <v>102</v>
      </c>
      <c r="T1" s="3" t="s">
        <v>103</v>
      </c>
      <c r="U1" s="2" t="s">
        <v>18</v>
      </c>
      <c r="V1" s="1" t="s">
        <v>9</v>
      </c>
      <c r="W1" s="1" t="s">
        <v>10</v>
      </c>
      <c r="X1" s="1" t="s">
        <v>12</v>
      </c>
      <c r="Y1" s="1" t="s">
        <v>13</v>
      </c>
      <c r="Z1" s="1" t="s">
        <v>14</v>
      </c>
      <c r="AA1" s="1" t="s">
        <v>15</v>
      </c>
      <c r="AB1" s="1" t="s">
        <v>17</v>
      </c>
      <c r="AC1" s="2" t="s">
        <v>19</v>
      </c>
      <c r="AD1" s="2" t="s">
        <v>20</v>
      </c>
      <c r="AE1" s="1" t="s">
        <v>21</v>
      </c>
      <c r="AF1" s="2" t="s">
        <v>22</v>
      </c>
      <c r="AG1" s="2" t="s">
        <v>23</v>
      </c>
      <c r="AH1" s="1" t="s">
        <v>24</v>
      </c>
      <c r="AI1" s="1" t="s">
        <v>25</v>
      </c>
      <c r="AJ1" s="1" t="s">
        <v>26</v>
      </c>
      <c r="AK1" s="1" t="s">
        <v>27</v>
      </c>
      <c r="AL1" s="1" t="s">
        <v>28</v>
      </c>
      <c r="AM1" s="1" t="s">
        <v>29</v>
      </c>
      <c r="AN1" s="1" t="s">
        <v>30</v>
      </c>
      <c r="AO1" s="1" t="s">
        <v>31</v>
      </c>
      <c r="AP1" s="1" t="s">
        <v>32</v>
      </c>
      <c r="AQ1" s="1" t="s">
        <v>33</v>
      </c>
      <c r="AR1" s="1" t="s">
        <v>34</v>
      </c>
      <c r="AS1" s="2" t="s">
        <v>36</v>
      </c>
      <c r="AT1" s="2" t="s">
        <v>37</v>
      </c>
      <c r="AU1" s="2" t="s">
        <v>38</v>
      </c>
      <c r="AV1" s="2" t="s">
        <v>39</v>
      </c>
      <c r="AW1" s="1" t="s">
        <v>40</v>
      </c>
      <c r="AX1" s="1" t="s">
        <v>41</v>
      </c>
      <c r="AY1" s="1" t="s">
        <v>42</v>
      </c>
      <c r="AZ1" s="1" t="s">
        <v>43</v>
      </c>
      <c r="BA1" s="1" t="s">
        <v>44</v>
      </c>
      <c r="BB1" s="1" t="s">
        <v>45</v>
      </c>
      <c r="BC1" s="1" t="s">
        <v>47</v>
      </c>
      <c r="BD1" s="1" t="s">
        <v>48</v>
      </c>
      <c r="BE1" s="1" t="s">
        <v>49</v>
      </c>
      <c r="BF1" s="2" t="s">
        <v>50</v>
      </c>
      <c r="BG1" s="1" t="s">
        <v>51</v>
      </c>
      <c r="BH1" s="1" t="s">
        <v>52</v>
      </c>
      <c r="BI1" s="1" t="s">
        <v>53</v>
      </c>
      <c r="BJ1" s="2" t="s">
        <v>54</v>
      </c>
      <c r="BK1" s="1" t="s">
        <v>55</v>
      </c>
      <c r="BL1" s="1" t="s">
        <v>56</v>
      </c>
      <c r="BM1" s="1" t="s">
        <v>57</v>
      </c>
      <c r="BN1" s="3" t="s">
        <v>58</v>
      </c>
      <c r="BO1" s="3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65</v>
      </c>
      <c r="BV1" s="1" t="s">
        <v>66</v>
      </c>
      <c r="BW1" s="1" t="s">
        <v>67</v>
      </c>
      <c r="BX1" s="1" t="s">
        <v>68</v>
      </c>
      <c r="BY1" s="1" t="s">
        <v>69</v>
      </c>
      <c r="BZ1" s="2" t="s">
        <v>70</v>
      </c>
      <c r="CA1" s="1" t="s">
        <v>71</v>
      </c>
      <c r="CB1" s="1" t="s">
        <v>72</v>
      </c>
      <c r="CC1" s="1" t="s">
        <v>73</v>
      </c>
      <c r="CD1" s="1" t="s">
        <v>74</v>
      </c>
      <c r="CE1" s="1" t="s">
        <v>75</v>
      </c>
      <c r="CF1" s="1" t="s">
        <v>76</v>
      </c>
      <c r="CG1" s="1" t="s">
        <v>77</v>
      </c>
      <c r="CH1" s="1" t="s">
        <v>78</v>
      </c>
      <c r="CI1" s="1" t="s">
        <v>79</v>
      </c>
      <c r="CJ1" s="1" t="s">
        <v>80</v>
      </c>
      <c r="CK1" s="1" t="s">
        <v>81</v>
      </c>
      <c r="CL1" s="1" t="s">
        <v>82</v>
      </c>
      <c r="CM1" s="1" t="s">
        <v>83</v>
      </c>
      <c r="CN1" s="1" t="s">
        <v>84</v>
      </c>
      <c r="CO1" s="2" t="s">
        <v>85</v>
      </c>
      <c r="CP1" s="1" t="s">
        <v>86</v>
      </c>
      <c r="CQ1" s="1" t="s">
        <v>87</v>
      </c>
      <c r="CR1" s="1" t="s">
        <v>88</v>
      </c>
      <c r="CS1" s="1" t="s">
        <v>89</v>
      </c>
      <c r="CT1" s="1" t="s">
        <v>90</v>
      </c>
      <c r="CU1" s="1" t="s">
        <v>91</v>
      </c>
      <c r="CV1" s="1" t="s">
        <v>92</v>
      </c>
      <c r="CW1" s="1" t="s">
        <v>93</v>
      </c>
      <c r="CX1" s="1" t="s">
        <v>94</v>
      </c>
      <c r="CY1" s="1" t="s">
        <v>95</v>
      </c>
      <c r="CZ1" s="3" t="s">
        <v>96</v>
      </c>
      <c r="DA1" s="3" t="s">
        <v>104</v>
      </c>
      <c r="DB1" s="3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3" t="s">
        <v>110</v>
      </c>
      <c r="DH1" s="2" t="s">
        <v>111</v>
      </c>
      <c r="DI1" s="1" t="s">
        <v>112</v>
      </c>
      <c r="DJ1" s="1" t="s">
        <v>24</v>
      </c>
      <c r="DK1" s="1" t="s">
        <v>113</v>
      </c>
      <c r="DL1" s="1" t="s">
        <v>114</v>
      </c>
      <c r="DM1" s="1" t="s">
        <v>115</v>
      </c>
      <c r="DN1" s="1" t="s">
        <v>116</v>
      </c>
      <c r="DO1" s="3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</row>
    <row r="2" spans="1:240" ht="19.5" customHeight="1" x14ac:dyDescent="0.4">
      <c r="A2" s="4">
        <v>1</v>
      </c>
      <c r="B2" s="4" t="s">
        <v>239</v>
      </c>
      <c r="C2" s="4">
        <v>709</v>
      </c>
      <c r="D2" s="4">
        <v>1</v>
      </c>
      <c r="E2" s="4">
        <v>1</v>
      </c>
      <c r="F2" s="4" t="s">
        <v>240</v>
      </c>
      <c r="G2" s="4" t="s">
        <v>241</v>
      </c>
      <c r="H2" s="4" t="s">
        <v>241</v>
      </c>
      <c r="I2" s="4" t="s">
        <v>4225</v>
      </c>
      <c r="J2" s="4" t="s">
        <v>418</v>
      </c>
      <c r="K2" s="4" t="s">
        <v>251</v>
      </c>
      <c r="L2" s="4" t="s">
        <v>4224</v>
      </c>
      <c r="M2" s="5" t="s">
        <v>4226</v>
      </c>
      <c r="N2" s="6">
        <f>3740</f>
        <v>3740</v>
      </c>
      <c r="O2" s="4" t="s">
        <v>265</v>
      </c>
      <c r="P2" s="6">
        <f>8284100</f>
        <v>8284100</v>
      </c>
      <c r="Q2" s="6">
        <f>0</f>
        <v>0</v>
      </c>
      <c r="S2" s="6">
        <f>0</f>
        <v>0</v>
      </c>
      <c r="T2" s="6">
        <f>8284100</f>
        <v>8284100</v>
      </c>
      <c r="U2" s="5" t="s">
        <v>245</v>
      </c>
      <c r="V2" s="4" t="s">
        <v>270</v>
      </c>
      <c r="W2" s="4" t="s">
        <v>242</v>
      </c>
      <c r="X2" s="4" t="s">
        <v>273</v>
      </c>
      <c r="Y2" s="4" t="s">
        <v>241</v>
      </c>
      <c r="AB2" s="4" t="s">
        <v>241</v>
      </c>
      <c r="AD2" s="5" t="s">
        <v>241</v>
      </c>
      <c r="AG2" s="5" t="s">
        <v>246</v>
      </c>
      <c r="AH2" s="4" t="s">
        <v>241</v>
      </c>
      <c r="AI2" s="4" t="s">
        <v>247</v>
      </c>
      <c r="AJ2" s="4" t="s">
        <v>248</v>
      </c>
      <c r="AZ2" s="4" t="s">
        <v>249</v>
      </c>
      <c r="BA2" s="4" t="s">
        <v>241</v>
      </c>
      <c r="BB2" s="4" t="s">
        <v>250</v>
      </c>
      <c r="BC2" s="4" t="s">
        <v>241</v>
      </c>
      <c r="BD2" s="4" t="s">
        <v>252</v>
      </c>
      <c r="BE2" s="4" t="s">
        <v>241</v>
      </c>
      <c r="BG2" s="4" t="s">
        <v>4227</v>
      </c>
      <c r="BI2" s="4" t="s">
        <v>253</v>
      </c>
      <c r="BJ2" s="5" t="s">
        <v>246</v>
      </c>
      <c r="BK2" s="4" t="s">
        <v>254</v>
      </c>
      <c r="BL2" s="4" t="s">
        <v>255</v>
      </c>
      <c r="BM2" s="4" t="s">
        <v>241</v>
      </c>
      <c r="BN2" s="6">
        <f>0</f>
        <v>0</v>
      </c>
      <c r="BO2" s="6">
        <f>0</f>
        <v>0</v>
      </c>
      <c r="BP2" s="4" t="s">
        <v>256</v>
      </c>
      <c r="BQ2" s="4" t="s">
        <v>257</v>
      </c>
      <c r="CE2" s="4" t="s">
        <v>241</v>
      </c>
      <c r="CF2" s="4" t="s">
        <v>241</v>
      </c>
      <c r="CJ2" s="4" t="s">
        <v>258</v>
      </c>
      <c r="CK2" s="4" t="s">
        <v>259</v>
      </c>
      <c r="CL2" s="4" t="s">
        <v>241</v>
      </c>
      <c r="CO2" s="5" t="s">
        <v>260</v>
      </c>
      <c r="CP2" s="4" t="s">
        <v>241</v>
      </c>
      <c r="CQ2" s="4" t="s">
        <v>261</v>
      </c>
      <c r="CR2" s="4" t="s">
        <v>241</v>
      </c>
      <c r="CS2" s="4" t="s">
        <v>241</v>
      </c>
      <c r="CT2" s="4">
        <v>0</v>
      </c>
      <c r="CU2" s="4" t="s">
        <v>262</v>
      </c>
      <c r="CV2" s="4" t="s">
        <v>263</v>
      </c>
      <c r="CW2" s="4" t="s">
        <v>263</v>
      </c>
      <c r="CX2" s="4" t="s">
        <v>264</v>
      </c>
      <c r="DA2" s="6">
        <f>8284100</f>
        <v>8284100</v>
      </c>
      <c r="DC2" s="4" t="s">
        <v>422</v>
      </c>
      <c r="DD2" s="4" t="s">
        <v>241</v>
      </c>
      <c r="DF2" s="4" t="s">
        <v>422</v>
      </c>
      <c r="DG2" s="6">
        <f>3740</f>
        <v>3740</v>
      </c>
      <c r="DI2" s="4" t="s">
        <v>414</v>
      </c>
      <c r="DJ2" s="4" t="s">
        <v>241</v>
      </c>
      <c r="DK2" s="4" t="s">
        <v>241</v>
      </c>
      <c r="DL2" s="4" t="s">
        <v>241</v>
      </c>
      <c r="DP2" s="4" t="s">
        <v>241</v>
      </c>
      <c r="DQ2" s="4" t="s">
        <v>241</v>
      </c>
      <c r="DR2" s="4" t="s">
        <v>241</v>
      </c>
      <c r="DS2" s="4" t="s">
        <v>241</v>
      </c>
      <c r="DV2" s="4" t="s">
        <v>4228</v>
      </c>
      <c r="DW2" s="4" t="s">
        <v>267</v>
      </c>
      <c r="HO2" s="4" t="s">
        <v>267</v>
      </c>
    </row>
    <row r="3" spans="1:240" ht="19.5" customHeight="1" x14ac:dyDescent="0.4">
      <c r="A3" s="4">
        <v>1</v>
      </c>
      <c r="B3" s="4" t="s">
        <v>239</v>
      </c>
      <c r="C3" s="4">
        <v>710</v>
      </c>
      <c r="D3" s="4">
        <v>1</v>
      </c>
      <c r="E3" s="4">
        <v>1</v>
      </c>
      <c r="F3" s="4" t="s">
        <v>240</v>
      </c>
      <c r="G3" s="4" t="s">
        <v>241</v>
      </c>
      <c r="H3" s="4" t="s">
        <v>241</v>
      </c>
      <c r="I3" s="4" t="s">
        <v>4230</v>
      </c>
      <c r="J3" s="4" t="s">
        <v>418</v>
      </c>
      <c r="K3" s="4" t="s">
        <v>251</v>
      </c>
      <c r="L3" s="4" t="s">
        <v>4229</v>
      </c>
      <c r="M3" s="5" t="s">
        <v>4231</v>
      </c>
      <c r="N3" s="6">
        <f>1761</f>
        <v>1761</v>
      </c>
      <c r="O3" s="4" t="s">
        <v>265</v>
      </c>
      <c r="P3" s="6">
        <f>3900615</f>
        <v>3900615</v>
      </c>
      <c r="Q3" s="6">
        <f>0</f>
        <v>0</v>
      </c>
      <c r="S3" s="6">
        <f>0</f>
        <v>0</v>
      </c>
      <c r="T3" s="6">
        <f>3900615</f>
        <v>3900615</v>
      </c>
      <c r="U3" s="5" t="s">
        <v>245</v>
      </c>
      <c r="V3" s="4" t="s">
        <v>270</v>
      </c>
      <c r="W3" s="4" t="s">
        <v>242</v>
      </c>
      <c r="X3" s="4" t="s">
        <v>273</v>
      </c>
      <c r="Y3" s="4" t="s">
        <v>241</v>
      </c>
      <c r="AB3" s="4" t="s">
        <v>241</v>
      </c>
      <c r="AD3" s="5" t="s">
        <v>241</v>
      </c>
      <c r="AG3" s="5" t="s">
        <v>246</v>
      </c>
      <c r="AH3" s="4" t="s">
        <v>241</v>
      </c>
      <c r="AI3" s="4" t="s">
        <v>247</v>
      </c>
      <c r="AJ3" s="4" t="s">
        <v>248</v>
      </c>
      <c r="AZ3" s="4" t="s">
        <v>249</v>
      </c>
      <c r="BA3" s="4" t="s">
        <v>241</v>
      </c>
      <c r="BB3" s="4" t="s">
        <v>250</v>
      </c>
      <c r="BC3" s="4" t="s">
        <v>241</v>
      </c>
      <c r="BD3" s="4" t="s">
        <v>252</v>
      </c>
      <c r="BE3" s="4" t="s">
        <v>241</v>
      </c>
      <c r="BG3" s="4" t="s">
        <v>4227</v>
      </c>
      <c r="BI3" s="4" t="s">
        <v>253</v>
      </c>
      <c r="BJ3" s="5" t="s">
        <v>246</v>
      </c>
      <c r="BK3" s="4" t="s">
        <v>254</v>
      </c>
      <c r="BL3" s="4" t="s">
        <v>255</v>
      </c>
      <c r="BM3" s="4" t="s">
        <v>241</v>
      </c>
      <c r="BN3" s="6">
        <f>0</f>
        <v>0</v>
      </c>
      <c r="BO3" s="6">
        <f>0</f>
        <v>0</v>
      </c>
      <c r="BP3" s="4" t="s">
        <v>256</v>
      </c>
      <c r="BQ3" s="4" t="s">
        <v>257</v>
      </c>
      <c r="CE3" s="4" t="s">
        <v>241</v>
      </c>
      <c r="CF3" s="4" t="s">
        <v>241</v>
      </c>
      <c r="CJ3" s="4" t="s">
        <v>258</v>
      </c>
      <c r="CK3" s="4" t="s">
        <v>259</v>
      </c>
      <c r="CL3" s="4" t="s">
        <v>241</v>
      </c>
      <c r="CO3" s="5" t="s">
        <v>260</v>
      </c>
      <c r="CP3" s="4" t="s">
        <v>241</v>
      </c>
      <c r="CQ3" s="4" t="s">
        <v>261</v>
      </c>
      <c r="CR3" s="4" t="s">
        <v>241</v>
      </c>
      <c r="CS3" s="4" t="s">
        <v>241</v>
      </c>
      <c r="CT3" s="4">
        <v>0</v>
      </c>
      <c r="CU3" s="4" t="s">
        <v>262</v>
      </c>
      <c r="CV3" s="4" t="s">
        <v>263</v>
      </c>
      <c r="CW3" s="4" t="s">
        <v>263</v>
      </c>
      <c r="CX3" s="4" t="s">
        <v>264</v>
      </c>
      <c r="DA3" s="6">
        <f>3900615</f>
        <v>3900615</v>
      </c>
      <c r="DC3" s="4" t="s">
        <v>422</v>
      </c>
      <c r="DD3" s="4" t="s">
        <v>241</v>
      </c>
      <c r="DF3" s="4" t="s">
        <v>422</v>
      </c>
      <c r="DG3" s="6">
        <f>1761</f>
        <v>1761</v>
      </c>
      <c r="DI3" s="4" t="s">
        <v>414</v>
      </c>
      <c r="DJ3" s="4" t="s">
        <v>241</v>
      </c>
      <c r="DK3" s="4" t="s">
        <v>241</v>
      </c>
      <c r="DL3" s="4" t="s">
        <v>241</v>
      </c>
      <c r="DP3" s="4" t="s">
        <v>241</v>
      </c>
      <c r="DQ3" s="4" t="s">
        <v>241</v>
      </c>
      <c r="DR3" s="4" t="s">
        <v>241</v>
      </c>
      <c r="DS3" s="4" t="s">
        <v>241</v>
      </c>
      <c r="DV3" s="4" t="s">
        <v>4232</v>
      </c>
      <c r="DW3" s="4" t="s">
        <v>267</v>
      </c>
      <c r="HO3" s="4" t="s">
        <v>267</v>
      </c>
    </row>
    <row r="4" spans="1:240" ht="19.5" customHeight="1" x14ac:dyDescent="0.4">
      <c r="A4" s="4">
        <v>1</v>
      </c>
      <c r="B4" s="4" t="s">
        <v>239</v>
      </c>
      <c r="C4" s="4">
        <v>711</v>
      </c>
      <c r="D4" s="4">
        <v>1</v>
      </c>
      <c r="E4" s="4">
        <v>1</v>
      </c>
      <c r="F4" s="4" t="s">
        <v>240</v>
      </c>
      <c r="G4" s="4" t="s">
        <v>241</v>
      </c>
      <c r="H4" s="4" t="s">
        <v>241</v>
      </c>
      <c r="I4" s="4" t="s">
        <v>4234</v>
      </c>
      <c r="J4" s="4" t="s">
        <v>418</v>
      </c>
      <c r="K4" s="4" t="s">
        <v>251</v>
      </c>
      <c r="L4" s="4" t="s">
        <v>4233</v>
      </c>
      <c r="M4" s="5" t="s">
        <v>4235</v>
      </c>
      <c r="N4" s="6">
        <f>4641</f>
        <v>4641</v>
      </c>
      <c r="O4" s="4" t="s">
        <v>265</v>
      </c>
      <c r="P4" s="6">
        <f>10279815</f>
        <v>10279815</v>
      </c>
      <c r="Q4" s="6">
        <f>0</f>
        <v>0</v>
      </c>
      <c r="S4" s="6">
        <f>0</f>
        <v>0</v>
      </c>
      <c r="T4" s="6">
        <f>10279815</f>
        <v>10279815</v>
      </c>
      <c r="U4" s="5" t="s">
        <v>245</v>
      </c>
      <c r="V4" s="4" t="s">
        <v>270</v>
      </c>
      <c r="W4" s="4" t="s">
        <v>242</v>
      </c>
      <c r="X4" s="4" t="s">
        <v>273</v>
      </c>
      <c r="Y4" s="4" t="s">
        <v>241</v>
      </c>
      <c r="AB4" s="4" t="s">
        <v>241</v>
      </c>
      <c r="AD4" s="5" t="s">
        <v>241</v>
      </c>
      <c r="AG4" s="5" t="s">
        <v>246</v>
      </c>
      <c r="AH4" s="4" t="s">
        <v>241</v>
      </c>
      <c r="AI4" s="4" t="s">
        <v>247</v>
      </c>
      <c r="AJ4" s="4" t="s">
        <v>248</v>
      </c>
      <c r="AZ4" s="4" t="s">
        <v>249</v>
      </c>
      <c r="BA4" s="4" t="s">
        <v>241</v>
      </c>
      <c r="BB4" s="4" t="s">
        <v>250</v>
      </c>
      <c r="BC4" s="4" t="s">
        <v>241</v>
      </c>
      <c r="BD4" s="4" t="s">
        <v>252</v>
      </c>
      <c r="BE4" s="4" t="s">
        <v>241</v>
      </c>
      <c r="BG4" s="4" t="s">
        <v>4227</v>
      </c>
      <c r="BI4" s="4" t="s">
        <v>253</v>
      </c>
      <c r="BJ4" s="5" t="s">
        <v>246</v>
      </c>
      <c r="BK4" s="4" t="s">
        <v>254</v>
      </c>
      <c r="BL4" s="4" t="s">
        <v>255</v>
      </c>
      <c r="BM4" s="4" t="s">
        <v>241</v>
      </c>
      <c r="BN4" s="6">
        <f>0</f>
        <v>0</v>
      </c>
      <c r="BO4" s="6">
        <f>0</f>
        <v>0</v>
      </c>
      <c r="BP4" s="4" t="s">
        <v>256</v>
      </c>
      <c r="BQ4" s="4" t="s">
        <v>257</v>
      </c>
      <c r="CE4" s="4" t="s">
        <v>241</v>
      </c>
      <c r="CF4" s="4" t="s">
        <v>241</v>
      </c>
      <c r="CJ4" s="4" t="s">
        <v>258</v>
      </c>
      <c r="CK4" s="4" t="s">
        <v>259</v>
      </c>
      <c r="CL4" s="4" t="s">
        <v>241</v>
      </c>
      <c r="CO4" s="5" t="s">
        <v>260</v>
      </c>
      <c r="CP4" s="4" t="s">
        <v>241</v>
      </c>
      <c r="CQ4" s="4" t="s">
        <v>261</v>
      </c>
      <c r="CR4" s="4" t="s">
        <v>241</v>
      </c>
      <c r="CS4" s="4" t="s">
        <v>241</v>
      </c>
      <c r="CT4" s="4">
        <v>0</v>
      </c>
      <c r="CU4" s="4" t="s">
        <v>262</v>
      </c>
      <c r="CV4" s="4" t="s">
        <v>263</v>
      </c>
      <c r="CW4" s="4" t="s">
        <v>263</v>
      </c>
      <c r="CX4" s="4" t="s">
        <v>264</v>
      </c>
      <c r="DA4" s="6">
        <f>10279815</f>
        <v>10279815</v>
      </c>
      <c r="DC4" s="4" t="s">
        <v>422</v>
      </c>
      <c r="DD4" s="4" t="s">
        <v>241</v>
      </c>
      <c r="DF4" s="4" t="s">
        <v>422</v>
      </c>
      <c r="DG4" s="6">
        <f>4641</f>
        <v>4641</v>
      </c>
      <c r="DH4" s="5" t="s">
        <v>4236</v>
      </c>
      <c r="DI4" s="4" t="s">
        <v>414</v>
      </c>
      <c r="DJ4" s="4" t="s">
        <v>241</v>
      </c>
      <c r="DK4" s="4" t="s">
        <v>241</v>
      </c>
      <c r="DL4" s="4" t="s">
        <v>241</v>
      </c>
      <c r="DP4" s="4" t="s">
        <v>241</v>
      </c>
      <c r="DQ4" s="4" t="s">
        <v>241</v>
      </c>
      <c r="DR4" s="4" t="s">
        <v>241</v>
      </c>
      <c r="DS4" s="4" t="s">
        <v>241</v>
      </c>
      <c r="DV4" s="4" t="s">
        <v>4237</v>
      </c>
      <c r="DW4" s="4" t="s">
        <v>267</v>
      </c>
      <c r="HO4" s="4" t="s">
        <v>267</v>
      </c>
    </row>
    <row r="5" spans="1:240" ht="19.5" customHeight="1" x14ac:dyDescent="0.4">
      <c r="A5" s="4">
        <v>1</v>
      </c>
      <c r="B5" s="4" t="s">
        <v>239</v>
      </c>
      <c r="C5" s="4">
        <v>712</v>
      </c>
      <c r="D5" s="4">
        <v>1</v>
      </c>
      <c r="E5" s="4">
        <v>1</v>
      </c>
      <c r="F5" s="4" t="s">
        <v>240</v>
      </c>
      <c r="G5" s="4" t="s">
        <v>241</v>
      </c>
      <c r="H5" s="4" t="s">
        <v>241</v>
      </c>
      <c r="I5" s="4" t="s">
        <v>4239</v>
      </c>
      <c r="J5" s="4" t="s">
        <v>418</v>
      </c>
      <c r="K5" s="4" t="s">
        <v>251</v>
      </c>
      <c r="L5" s="4" t="s">
        <v>4238</v>
      </c>
      <c r="M5" s="5" t="s">
        <v>4240</v>
      </c>
      <c r="N5" s="6">
        <f>1757</f>
        <v>1757</v>
      </c>
      <c r="O5" s="4" t="s">
        <v>265</v>
      </c>
      <c r="P5" s="6">
        <f>3891755</f>
        <v>3891755</v>
      </c>
      <c r="Q5" s="6">
        <f>0</f>
        <v>0</v>
      </c>
      <c r="S5" s="6">
        <f>0</f>
        <v>0</v>
      </c>
      <c r="T5" s="6">
        <f>3891755</f>
        <v>3891755</v>
      </c>
      <c r="U5" s="5" t="s">
        <v>245</v>
      </c>
      <c r="V5" s="4" t="s">
        <v>270</v>
      </c>
      <c r="W5" s="4" t="s">
        <v>242</v>
      </c>
      <c r="X5" s="4" t="s">
        <v>273</v>
      </c>
      <c r="Y5" s="4" t="s">
        <v>241</v>
      </c>
      <c r="AB5" s="4" t="s">
        <v>241</v>
      </c>
      <c r="AD5" s="5" t="s">
        <v>241</v>
      </c>
      <c r="AG5" s="5" t="s">
        <v>246</v>
      </c>
      <c r="AH5" s="4" t="s">
        <v>241</v>
      </c>
      <c r="AI5" s="4" t="s">
        <v>247</v>
      </c>
      <c r="AJ5" s="4" t="s">
        <v>248</v>
      </c>
      <c r="AZ5" s="4" t="s">
        <v>249</v>
      </c>
      <c r="BA5" s="4" t="s">
        <v>241</v>
      </c>
      <c r="BB5" s="4" t="s">
        <v>250</v>
      </c>
      <c r="BC5" s="4" t="s">
        <v>241</v>
      </c>
      <c r="BD5" s="4" t="s">
        <v>252</v>
      </c>
      <c r="BE5" s="4" t="s">
        <v>241</v>
      </c>
      <c r="BG5" s="4" t="s">
        <v>4227</v>
      </c>
      <c r="BI5" s="4" t="s">
        <v>253</v>
      </c>
      <c r="BJ5" s="5" t="s">
        <v>246</v>
      </c>
      <c r="BK5" s="4" t="s">
        <v>254</v>
      </c>
      <c r="BL5" s="4" t="s">
        <v>255</v>
      </c>
      <c r="BM5" s="4" t="s">
        <v>241</v>
      </c>
      <c r="BN5" s="6">
        <f>0</f>
        <v>0</v>
      </c>
      <c r="BO5" s="6">
        <f>0</f>
        <v>0</v>
      </c>
      <c r="BP5" s="4" t="s">
        <v>256</v>
      </c>
      <c r="BQ5" s="4" t="s">
        <v>257</v>
      </c>
      <c r="CE5" s="4" t="s">
        <v>241</v>
      </c>
      <c r="CF5" s="4" t="s">
        <v>241</v>
      </c>
      <c r="CJ5" s="4" t="s">
        <v>258</v>
      </c>
      <c r="CK5" s="4" t="s">
        <v>259</v>
      </c>
      <c r="CL5" s="4" t="s">
        <v>241</v>
      </c>
      <c r="CO5" s="5" t="s">
        <v>260</v>
      </c>
      <c r="CP5" s="4" t="s">
        <v>241</v>
      </c>
      <c r="CQ5" s="4" t="s">
        <v>261</v>
      </c>
      <c r="CR5" s="4" t="s">
        <v>241</v>
      </c>
      <c r="CS5" s="4" t="s">
        <v>241</v>
      </c>
      <c r="CT5" s="4">
        <v>0</v>
      </c>
      <c r="CU5" s="4" t="s">
        <v>262</v>
      </c>
      <c r="CV5" s="4" t="s">
        <v>263</v>
      </c>
      <c r="CW5" s="4" t="s">
        <v>263</v>
      </c>
      <c r="CX5" s="4" t="s">
        <v>264</v>
      </c>
      <c r="DA5" s="6">
        <f>3891755</f>
        <v>3891755</v>
      </c>
      <c r="DC5" s="4" t="s">
        <v>422</v>
      </c>
      <c r="DD5" s="4" t="s">
        <v>241</v>
      </c>
      <c r="DF5" s="4" t="s">
        <v>422</v>
      </c>
      <c r="DG5" s="6">
        <f>1757</f>
        <v>1757</v>
      </c>
      <c r="DH5" s="5" t="s">
        <v>3184</v>
      </c>
      <c r="DI5" s="4" t="s">
        <v>414</v>
      </c>
      <c r="DJ5" s="4" t="s">
        <v>241</v>
      </c>
      <c r="DK5" s="4" t="s">
        <v>241</v>
      </c>
      <c r="DL5" s="4" t="s">
        <v>241</v>
      </c>
      <c r="DP5" s="4" t="s">
        <v>241</v>
      </c>
      <c r="DQ5" s="4" t="s">
        <v>241</v>
      </c>
      <c r="DR5" s="4" t="s">
        <v>241</v>
      </c>
      <c r="DS5" s="4" t="s">
        <v>241</v>
      </c>
      <c r="DV5" s="4" t="s">
        <v>4241</v>
      </c>
      <c r="DW5" s="4" t="s">
        <v>267</v>
      </c>
      <c r="HO5" s="4" t="s">
        <v>267</v>
      </c>
    </row>
    <row r="6" spans="1:240" ht="19.5" customHeight="1" x14ac:dyDescent="0.4">
      <c r="A6" s="4">
        <v>1</v>
      </c>
      <c r="B6" s="4" t="s">
        <v>239</v>
      </c>
      <c r="C6" s="4">
        <v>713</v>
      </c>
      <c r="D6" s="4">
        <v>1</v>
      </c>
      <c r="E6" s="4">
        <v>1</v>
      </c>
      <c r="F6" s="4" t="s">
        <v>240</v>
      </c>
      <c r="G6" s="4" t="s">
        <v>241</v>
      </c>
      <c r="H6" s="4" t="s">
        <v>241</v>
      </c>
      <c r="I6" s="4" t="s">
        <v>4243</v>
      </c>
      <c r="J6" s="4" t="s">
        <v>418</v>
      </c>
      <c r="K6" s="4" t="s">
        <v>251</v>
      </c>
      <c r="L6" s="4" t="s">
        <v>4242</v>
      </c>
      <c r="M6" s="5" t="s">
        <v>4244</v>
      </c>
      <c r="N6" s="6">
        <f>3550</f>
        <v>3550</v>
      </c>
      <c r="O6" s="4" t="s">
        <v>265</v>
      </c>
      <c r="P6" s="6">
        <f>7863250</f>
        <v>7863250</v>
      </c>
      <c r="Q6" s="6">
        <f>0</f>
        <v>0</v>
      </c>
      <c r="S6" s="6">
        <f>0</f>
        <v>0</v>
      </c>
      <c r="T6" s="6">
        <f>7863250</f>
        <v>7863250</v>
      </c>
      <c r="U6" s="5" t="s">
        <v>245</v>
      </c>
      <c r="V6" s="4" t="s">
        <v>270</v>
      </c>
      <c r="W6" s="4" t="s">
        <v>242</v>
      </c>
      <c r="X6" s="4" t="s">
        <v>273</v>
      </c>
      <c r="Y6" s="4" t="s">
        <v>241</v>
      </c>
      <c r="AB6" s="4" t="s">
        <v>241</v>
      </c>
      <c r="AD6" s="5" t="s">
        <v>241</v>
      </c>
      <c r="AG6" s="5" t="s">
        <v>246</v>
      </c>
      <c r="AH6" s="4" t="s">
        <v>241</v>
      </c>
      <c r="AI6" s="4" t="s">
        <v>247</v>
      </c>
      <c r="AJ6" s="4" t="s">
        <v>248</v>
      </c>
      <c r="AZ6" s="4" t="s">
        <v>249</v>
      </c>
      <c r="BA6" s="4" t="s">
        <v>241</v>
      </c>
      <c r="BB6" s="4" t="s">
        <v>250</v>
      </c>
      <c r="BC6" s="4" t="s">
        <v>241</v>
      </c>
      <c r="BD6" s="4" t="s">
        <v>252</v>
      </c>
      <c r="BE6" s="4" t="s">
        <v>241</v>
      </c>
      <c r="BG6" s="4" t="s">
        <v>4227</v>
      </c>
      <c r="BI6" s="4" t="s">
        <v>253</v>
      </c>
      <c r="BJ6" s="5" t="s">
        <v>246</v>
      </c>
      <c r="BK6" s="4" t="s">
        <v>254</v>
      </c>
      <c r="BL6" s="4" t="s">
        <v>255</v>
      </c>
      <c r="BM6" s="4" t="s">
        <v>241</v>
      </c>
      <c r="BN6" s="6">
        <f>0</f>
        <v>0</v>
      </c>
      <c r="BO6" s="6">
        <f>0</f>
        <v>0</v>
      </c>
      <c r="BP6" s="4" t="s">
        <v>256</v>
      </c>
      <c r="BQ6" s="4" t="s">
        <v>257</v>
      </c>
      <c r="CE6" s="4" t="s">
        <v>241</v>
      </c>
      <c r="CF6" s="4" t="s">
        <v>241</v>
      </c>
      <c r="CJ6" s="4" t="s">
        <v>258</v>
      </c>
      <c r="CK6" s="4" t="s">
        <v>259</v>
      </c>
      <c r="CL6" s="4" t="s">
        <v>241</v>
      </c>
      <c r="CO6" s="5" t="s">
        <v>260</v>
      </c>
      <c r="CP6" s="4" t="s">
        <v>241</v>
      </c>
      <c r="CQ6" s="4" t="s">
        <v>261</v>
      </c>
      <c r="CR6" s="4" t="s">
        <v>241</v>
      </c>
      <c r="CS6" s="4" t="s">
        <v>241</v>
      </c>
      <c r="CT6" s="4">
        <v>0</v>
      </c>
      <c r="CU6" s="4" t="s">
        <v>262</v>
      </c>
      <c r="CV6" s="4" t="s">
        <v>263</v>
      </c>
      <c r="CW6" s="4" t="s">
        <v>263</v>
      </c>
      <c r="CX6" s="4" t="s">
        <v>264</v>
      </c>
      <c r="DA6" s="6">
        <f>7863250</f>
        <v>7863250</v>
      </c>
      <c r="DC6" s="4" t="s">
        <v>422</v>
      </c>
      <c r="DD6" s="4" t="s">
        <v>241</v>
      </c>
      <c r="DF6" s="4" t="s">
        <v>422</v>
      </c>
      <c r="DG6" s="6">
        <f>3550</f>
        <v>3550</v>
      </c>
      <c r="DI6" s="4" t="s">
        <v>414</v>
      </c>
      <c r="DJ6" s="4" t="s">
        <v>241</v>
      </c>
      <c r="DK6" s="4" t="s">
        <v>241</v>
      </c>
      <c r="DL6" s="4" t="s">
        <v>241</v>
      </c>
      <c r="DP6" s="4" t="s">
        <v>241</v>
      </c>
      <c r="DQ6" s="4" t="s">
        <v>241</v>
      </c>
      <c r="DR6" s="4" t="s">
        <v>241</v>
      </c>
      <c r="DS6" s="4" t="s">
        <v>241</v>
      </c>
      <c r="DV6" s="4" t="s">
        <v>4245</v>
      </c>
      <c r="DW6" s="4" t="s">
        <v>267</v>
      </c>
      <c r="HO6" s="4" t="s">
        <v>267</v>
      </c>
    </row>
    <row r="7" spans="1:240" ht="19.5" customHeight="1" x14ac:dyDescent="0.4">
      <c r="A7" s="4">
        <v>1</v>
      </c>
      <c r="B7" s="4" t="s">
        <v>239</v>
      </c>
      <c r="C7" s="4">
        <v>714</v>
      </c>
      <c r="D7" s="4">
        <v>1</v>
      </c>
      <c r="E7" s="4">
        <v>1</v>
      </c>
      <c r="F7" s="4" t="s">
        <v>240</v>
      </c>
      <c r="G7" s="4" t="s">
        <v>241</v>
      </c>
      <c r="H7" s="4" t="s">
        <v>241</v>
      </c>
      <c r="I7" s="4" t="s">
        <v>4247</v>
      </c>
      <c r="J7" s="4" t="s">
        <v>418</v>
      </c>
      <c r="K7" s="4" t="s">
        <v>251</v>
      </c>
      <c r="L7" s="4" t="s">
        <v>4246</v>
      </c>
      <c r="M7" s="5" t="s">
        <v>4248</v>
      </c>
      <c r="N7" s="6">
        <f>1406.15</f>
        <v>1406.15</v>
      </c>
      <c r="O7" s="4" t="s">
        <v>265</v>
      </c>
      <c r="P7" s="6">
        <f>3114622</f>
        <v>3114622</v>
      </c>
      <c r="Q7" s="6">
        <f>0</f>
        <v>0</v>
      </c>
      <c r="S7" s="6">
        <f>0</f>
        <v>0</v>
      </c>
      <c r="T7" s="6">
        <f>3114622</f>
        <v>3114622</v>
      </c>
      <c r="U7" s="5" t="s">
        <v>245</v>
      </c>
      <c r="V7" s="4" t="s">
        <v>270</v>
      </c>
      <c r="W7" s="4" t="s">
        <v>242</v>
      </c>
      <c r="X7" s="4" t="s">
        <v>273</v>
      </c>
      <c r="Y7" s="4" t="s">
        <v>241</v>
      </c>
      <c r="AB7" s="4" t="s">
        <v>241</v>
      </c>
      <c r="AD7" s="5" t="s">
        <v>241</v>
      </c>
      <c r="AG7" s="5" t="s">
        <v>246</v>
      </c>
      <c r="AH7" s="4" t="s">
        <v>241</v>
      </c>
      <c r="AI7" s="4" t="s">
        <v>247</v>
      </c>
      <c r="AJ7" s="4" t="s">
        <v>248</v>
      </c>
      <c r="AZ7" s="4" t="s">
        <v>249</v>
      </c>
      <c r="BA7" s="4" t="s">
        <v>241</v>
      </c>
      <c r="BB7" s="4" t="s">
        <v>250</v>
      </c>
      <c r="BC7" s="4" t="s">
        <v>241</v>
      </c>
      <c r="BD7" s="4" t="s">
        <v>252</v>
      </c>
      <c r="BE7" s="4" t="s">
        <v>241</v>
      </c>
      <c r="BG7" s="4" t="s">
        <v>4227</v>
      </c>
      <c r="BI7" s="4" t="s">
        <v>253</v>
      </c>
      <c r="BJ7" s="5" t="s">
        <v>246</v>
      </c>
      <c r="BK7" s="4" t="s">
        <v>254</v>
      </c>
      <c r="BL7" s="4" t="s">
        <v>255</v>
      </c>
      <c r="BM7" s="4" t="s">
        <v>241</v>
      </c>
      <c r="BN7" s="6">
        <f>0</f>
        <v>0</v>
      </c>
      <c r="BO7" s="6">
        <f>0</f>
        <v>0</v>
      </c>
      <c r="BP7" s="4" t="s">
        <v>256</v>
      </c>
      <c r="BQ7" s="4" t="s">
        <v>257</v>
      </c>
      <c r="CE7" s="4" t="s">
        <v>241</v>
      </c>
      <c r="CF7" s="4" t="s">
        <v>241</v>
      </c>
      <c r="CJ7" s="4" t="s">
        <v>258</v>
      </c>
      <c r="CK7" s="4" t="s">
        <v>259</v>
      </c>
      <c r="CL7" s="4" t="s">
        <v>241</v>
      </c>
      <c r="CO7" s="5" t="s">
        <v>260</v>
      </c>
      <c r="CP7" s="4" t="s">
        <v>241</v>
      </c>
      <c r="CQ7" s="4" t="s">
        <v>261</v>
      </c>
      <c r="CR7" s="4" t="s">
        <v>241</v>
      </c>
      <c r="CS7" s="4" t="s">
        <v>241</v>
      </c>
      <c r="CT7" s="4">
        <v>0</v>
      </c>
      <c r="CU7" s="4" t="s">
        <v>262</v>
      </c>
      <c r="CV7" s="4" t="s">
        <v>263</v>
      </c>
      <c r="CW7" s="4" t="s">
        <v>263</v>
      </c>
      <c r="CX7" s="4" t="s">
        <v>264</v>
      </c>
      <c r="DA7" s="6">
        <f>3114622</f>
        <v>3114622</v>
      </c>
      <c r="DC7" s="4" t="s">
        <v>422</v>
      </c>
      <c r="DD7" s="4" t="s">
        <v>241</v>
      </c>
      <c r="DF7" s="4" t="s">
        <v>422</v>
      </c>
      <c r="DG7" s="6">
        <f>1406</f>
        <v>1406</v>
      </c>
      <c r="DI7" s="4" t="s">
        <v>414</v>
      </c>
      <c r="DJ7" s="4" t="s">
        <v>241</v>
      </c>
      <c r="DK7" s="4" t="s">
        <v>241</v>
      </c>
      <c r="DL7" s="4" t="s">
        <v>241</v>
      </c>
      <c r="DP7" s="4" t="s">
        <v>241</v>
      </c>
      <c r="DQ7" s="4" t="s">
        <v>241</v>
      </c>
      <c r="DR7" s="4" t="s">
        <v>241</v>
      </c>
      <c r="DS7" s="4" t="s">
        <v>241</v>
      </c>
      <c r="DV7" s="4" t="s">
        <v>4249</v>
      </c>
      <c r="DW7" s="4" t="s">
        <v>267</v>
      </c>
      <c r="HO7" s="4" t="s">
        <v>267</v>
      </c>
    </row>
    <row r="8" spans="1:240" ht="19.5" customHeight="1" x14ac:dyDescent="0.4">
      <c r="A8" s="4">
        <v>1</v>
      </c>
      <c r="B8" s="4" t="s">
        <v>239</v>
      </c>
      <c r="C8" s="4">
        <v>715</v>
      </c>
      <c r="D8" s="4">
        <v>1</v>
      </c>
      <c r="E8" s="4">
        <v>1</v>
      </c>
      <c r="F8" s="4" t="s">
        <v>240</v>
      </c>
      <c r="G8" s="4" t="s">
        <v>241</v>
      </c>
      <c r="H8" s="4" t="s">
        <v>241</v>
      </c>
      <c r="I8" s="4" t="s">
        <v>4251</v>
      </c>
      <c r="J8" s="4" t="s">
        <v>418</v>
      </c>
      <c r="K8" s="4" t="s">
        <v>251</v>
      </c>
      <c r="L8" s="4" t="s">
        <v>4250</v>
      </c>
      <c r="M8" s="5" t="s">
        <v>4252</v>
      </c>
      <c r="N8" s="6">
        <f>2396.69</f>
        <v>2396.69</v>
      </c>
      <c r="O8" s="4" t="s">
        <v>265</v>
      </c>
      <c r="P8" s="6">
        <f>5308668</f>
        <v>5308668</v>
      </c>
      <c r="Q8" s="6">
        <f>0</f>
        <v>0</v>
      </c>
      <c r="S8" s="6">
        <f>0</f>
        <v>0</v>
      </c>
      <c r="T8" s="6">
        <f>5308668</f>
        <v>5308668</v>
      </c>
      <c r="U8" s="5" t="s">
        <v>245</v>
      </c>
      <c r="V8" s="4" t="s">
        <v>270</v>
      </c>
      <c r="W8" s="4" t="s">
        <v>242</v>
      </c>
      <c r="X8" s="4" t="s">
        <v>273</v>
      </c>
      <c r="Y8" s="4" t="s">
        <v>241</v>
      </c>
      <c r="AB8" s="4" t="s">
        <v>241</v>
      </c>
      <c r="AD8" s="5" t="s">
        <v>241</v>
      </c>
      <c r="AG8" s="5" t="s">
        <v>246</v>
      </c>
      <c r="AH8" s="4" t="s">
        <v>241</v>
      </c>
      <c r="AI8" s="4" t="s">
        <v>247</v>
      </c>
      <c r="AJ8" s="4" t="s">
        <v>248</v>
      </c>
      <c r="AZ8" s="4" t="s">
        <v>249</v>
      </c>
      <c r="BA8" s="4" t="s">
        <v>241</v>
      </c>
      <c r="BB8" s="4" t="s">
        <v>250</v>
      </c>
      <c r="BC8" s="4" t="s">
        <v>241</v>
      </c>
      <c r="BD8" s="4" t="s">
        <v>252</v>
      </c>
      <c r="BE8" s="4" t="s">
        <v>241</v>
      </c>
      <c r="BG8" s="4" t="s">
        <v>4227</v>
      </c>
      <c r="BI8" s="4" t="s">
        <v>253</v>
      </c>
      <c r="BJ8" s="5" t="s">
        <v>246</v>
      </c>
      <c r="BK8" s="4" t="s">
        <v>254</v>
      </c>
      <c r="BL8" s="4" t="s">
        <v>255</v>
      </c>
      <c r="BM8" s="4" t="s">
        <v>241</v>
      </c>
      <c r="BN8" s="6">
        <f>0</f>
        <v>0</v>
      </c>
      <c r="BO8" s="6">
        <f>0</f>
        <v>0</v>
      </c>
      <c r="BP8" s="4" t="s">
        <v>256</v>
      </c>
      <c r="BQ8" s="4" t="s">
        <v>257</v>
      </c>
      <c r="CE8" s="4" t="s">
        <v>241</v>
      </c>
      <c r="CF8" s="4" t="s">
        <v>241</v>
      </c>
      <c r="CJ8" s="4" t="s">
        <v>258</v>
      </c>
      <c r="CK8" s="4" t="s">
        <v>259</v>
      </c>
      <c r="CL8" s="4" t="s">
        <v>241</v>
      </c>
      <c r="CO8" s="5" t="s">
        <v>260</v>
      </c>
      <c r="CP8" s="4" t="s">
        <v>241</v>
      </c>
      <c r="CQ8" s="4" t="s">
        <v>261</v>
      </c>
      <c r="CR8" s="4" t="s">
        <v>241</v>
      </c>
      <c r="CS8" s="4" t="s">
        <v>241</v>
      </c>
      <c r="CT8" s="4">
        <v>0</v>
      </c>
      <c r="CU8" s="4" t="s">
        <v>262</v>
      </c>
      <c r="CV8" s="4" t="s">
        <v>263</v>
      </c>
      <c r="CW8" s="4" t="s">
        <v>263</v>
      </c>
      <c r="CX8" s="4" t="s">
        <v>264</v>
      </c>
      <c r="DA8" s="6">
        <f>5308668</f>
        <v>5308668</v>
      </c>
      <c r="DC8" s="4" t="s">
        <v>422</v>
      </c>
      <c r="DD8" s="4" t="s">
        <v>241</v>
      </c>
      <c r="DF8" s="4" t="s">
        <v>422</v>
      </c>
      <c r="DG8" s="6">
        <f>2396</f>
        <v>2396</v>
      </c>
      <c r="DI8" s="4" t="s">
        <v>414</v>
      </c>
      <c r="DJ8" s="4" t="s">
        <v>241</v>
      </c>
      <c r="DK8" s="4" t="s">
        <v>241</v>
      </c>
      <c r="DL8" s="4" t="s">
        <v>241</v>
      </c>
      <c r="DP8" s="4" t="s">
        <v>241</v>
      </c>
      <c r="DQ8" s="4" t="s">
        <v>241</v>
      </c>
      <c r="DR8" s="4" t="s">
        <v>241</v>
      </c>
      <c r="DS8" s="4" t="s">
        <v>241</v>
      </c>
      <c r="DV8" s="4" t="s">
        <v>4253</v>
      </c>
      <c r="DW8" s="4" t="s">
        <v>267</v>
      </c>
      <c r="HO8" s="4" t="s">
        <v>267</v>
      </c>
    </row>
    <row r="9" spans="1:240" ht="19.5" customHeight="1" x14ac:dyDescent="0.4">
      <c r="A9" s="4">
        <v>1</v>
      </c>
      <c r="B9" s="4" t="s">
        <v>239</v>
      </c>
      <c r="C9" s="4">
        <v>716</v>
      </c>
      <c r="D9" s="4">
        <v>1</v>
      </c>
      <c r="E9" s="4">
        <v>1</v>
      </c>
      <c r="F9" s="4" t="s">
        <v>240</v>
      </c>
      <c r="G9" s="4" t="s">
        <v>241</v>
      </c>
      <c r="H9" s="4" t="s">
        <v>241</v>
      </c>
      <c r="I9" s="4" t="s">
        <v>4255</v>
      </c>
      <c r="J9" s="4" t="s">
        <v>418</v>
      </c>
      <c r="K9" s="4" t="s">
        <v>251</v>
      </c>
      <c r="L9" s="4" t="s">
        <v>4254</v>
      </c>
      <c r="M9" s="5" t="s">
        <v>4256</v>
      </c>
      <c r="N9" s="6">
        <f>1692.48</f>
        <v>1692.48</v>
      </c>
      <c r="O9" s="4" t="s">
        <v>265</v>
      </c>
      <c r="P9" s="6">
        <f>3748843</f>
        <v>3748843</v>
      </c>
      <c r="Q9" s="6">
        <f>0</f>
        <v>0</v>
      </c>
      <c r="S9" s="6">
        <f>0</f>
        <v>0</v>
      </c>
      <c r="T9" s="6">
        <f>3748843</f>
        <v>3748843</v>
      </c>
      <c r="U9" s="5" t="s">
        <v>245</v>
      </c>
      <c r="V9" s="4" t="s">
        <v>270</v>
      </c>
      <c r="W9" s="4" t="s">
        <v>242</v>
      </c>
      <c r="X9" s="4" t="s">
        <v>273</v>
      </c>
      <c r="Y9" s="4" t="s">
        <v>241</v>
      </c>
      <c r="AB9" s="4" t="s">
        <v>241</v>
      </c>
      <c r="AD9" s="5" t="s">
        <v>241</v>
      </c>
      <c r="AG9" s="5" t="s">
        <v>246</v>
      </c>
      <c r="AH9" s="4" t="s">
        <v>241</v>
      </c>
      <c r="AI9" s="4" t="s">
        <v>247</v>
      </c>
      <c r="AJ9" s="4" t="s">
        <v>248</v>
      </c>
      <c r="AZ9" s="4" t="s">
        <v>249</v>
      </c>
      <c r="BA9" s="4" t="s">
        <v>241</v>
      </c>
      <c r="BB9" s="4" t="s">
        <v>250</v>
      </c>
      <c r="BC9" s="4" t="s">
        <v>241</v>
      </c>
      <c r="BD9" s="4" t="s">
        <v>252</v>
      </c>
      <c r="BE9" s="4" t="s">
        <v>241</v>
      </c>
      <c r="BG9" s="4" t="s">
        <v>4227</v>
      </c>
      <c r="BI9" s="4" t="s">
        <v>253</v>
      </c>
      <c r="BJ9" s="5" t="s">
        <v>246</v>
      </c>
      <c r="BK9" s="4" t="s">
        <v>254</v>
      </c>
      <c r="BL9" s="4" t="s">
        <v>255</v>
      </c>
      <c r="BM9" s="4" t="s">
        <v>241</v>
      </c>
      <c r="BN9" s="6">
        <f>0</f>
        <v>0</v>
      </c>
      <c r="BO9" s="6">
        <f>0</f>
        <v>0</v>
      </c>
      <c r="BP9" s="4" t="s">
        <v>256</v>
      </c>
      <c r="BQ9" s="4" t="s">
        <v>257</v>
      </c>
      <c r="CE9" s="4" t="s">
        <v>241</v>
      </c>
      <c r="CF9" s="4" t="s">
        <v>241</v>
      </c>
      <c r="CJ9" s="4" t="s">
        <v>258</v>
      </c>
      <c r="CK9" s="4" t="s">
        <v>259</v>
      </c>
      <c r="CL9" s="4" t="s">
        <v>241</v>
      </c>
      <c r="CO9" s="5" t="s">
        <v>260</v>
      </c>
      <c r="CP9" s="4" t="s">
        <v>241</v>
      </c>
      <c r="CQ9" s="4" t="s">
        <v>261</v>
      </c>
      <c r="CR9" s="4" t="s">
        <v>241</v>
      </c>
      <c r="CS9" s="4" t="s">
        <v>241</v>
      </c>
      <c r="CT9" s="4">
        <v>0</v>
      </c>
      <c r="CU9" s="4" t="s">
        <v>262</v>
      </c>
      <c r="CV9" s="4" t="s">
        <v>263</v>
      </c>
      <c r="CW9" s="4" t="s">
        <v>263</v>
      </c>
      <c r="CX9" s="4" t="s">
        <v>264</v>
      </c>
      <c r="DA9" s="6">
        <f>3748843</f>
        <v>3748843</v>
      </c>
      <c r="DC9" s="4" t="s">
        <v>422</v>
      </c>
      <c r="DD9" s="4" t="s">
        <v>241</v>
      </c>
      <c r="DF9" s="4" t="s">
        <v>422</v>
      </c>
      <c r="DG9" s="6">
        <f>1692</f>
        <v>1692</v>
      </c>
      <c r="DI9" s="4" t="s">
        <v>414</v>
      </c>
      <c r="DJ9" s="4" t="s">
        <v>241</v>
      </c>
      <c r="DK9" s="4" t="s">
        <v>241</v>
      </c>
      <c r="DL9" s="4" t="s">
        <v>241</v>
      </c>
      <c r="DP9" s="4" t="s">
        <v>241</v>
      </c>
      <c r="DQ9" s="4" t="s">
        <v>241</v>
      </c>
      <c r="DR9" s="4" t="s">
        <v>241</v>
      </c>
      <c r="DS9" s="4" t="s">
        <v>241</v>
      </c>
      <c r="DV9" s="4" t="s">
        <v>4257</v>
      </c>
      <c r="DW9" s="4" t="s">
        <v>267</v>
      </c>
      <c r="HO9" s="4" t="s">
        <v>267</v>
      </c>
    </row>
    <row r="10" spans="1:240" ht="19.5" customHeight="1" x14ac:dyDescent="0.4">
      <c r="A10" s="4">
        <v>1</v>
      </c>
      <c r="B10" s="4" t="s">
        <v>239</v>
      </c>
      <c r="C10" s="4">
        <v>717</v>
      </c>
      <c r="D10" s="4">
        <v>1</v>
      </c>
      <c r="E10" s="4">
        <v>1</v>
      </c>
      <c r="F10" s="4" t="s">
        <v>240</v>
      </c>
      <c r="G10" s="4" t="s">
        <v>241</v>
      </c>
      <c r="H10" s="4" t="s">
        <v>241</v>
      </c>
      <c r="I10" s="4" t="s">
        <v>4259</v>
      </c>
      <c r="J10" s="4" t="s">
        <v>418</v>
      </c>
      <c r="K10" s="4" t="s">
        <v>251</v>
      </c>
      <c r="L10" s="4" t="s">
        <v>4258</v>
      </c>
      <c r="M10" s="5" t="s">
        <v>4260</v>
      </c>
      <c r="N10" s="6">
        <f>2025.79</f>
        <v>2025.79</v>
      </c>
      <c r="O10" s="4" t="s">
        <v>265</v>
      </c>
      <c r="P10" s="6">
        <f>4487124</f>
        <v>4487124</v>
      </c>
      <c r="Q10" s="6">
        <f>0</f>
        <v>0</v>
      </c>
      <c r="S10" s="6">
        <f>0</f>
        <v>0</v>
      </c>
      <c r="T10" s="6">
        <f>4487124</f>
        <v>4487124</v>
      </c>
      <c r="U10" s="5" t="s">
        <v>245</v>
      </c>
      <c r="V10" s="4" t="s">
        <v>270</v>
      </c>
      <c r="W10" s="4" t="s">
        <v>242</v>
      </c>
      <c r="X10" s="4" t="s">
        <v>273</v>
      </c>
      <c r="Y10" s="4" t="s">
        <v>241</v>
      </c>
      <c r="AB10" s="4" t="s">
        <v>241</v>
      </c>
      <c r="AD10" s="5" t="s">
        <v>241</v>
      </c>
      <c r="AG10" s="5" t="s">
        <v>246</v>
      </c>
      <c r="AH10" s="4" t="s">
        <v>241</v>
      </c>
      <c r="AI10" s="4" t="s">
        <v>247</v>
      </c>
      <c r="AJ10" s="4" t="s">
        <v>248</v>
      </c>
      <c r="AZ10" s="4" t="s">
        <v>249</v>
      </c>
      <c r="BA10" s="4" t="s">
        <v>241</v>
      </c>
      <c r="BB10" s="4" t="s">
        <v>250</v>
      </c>
      <c r="BC10" s="4" t="s">
        <v>241</v>
      </c>
      <c r="BD10" s="4" t="s">
        <v>252</v>
      </c>
      <c r="BE10" s="4" t="s">
        <v>241</v>
      </c>
      <c r="BG10" s="4" t="s">
        <v>4227</v>
      </c>
      <c r="BI10" s="4" t="s">
        <v>253</v>
      </c>
      <c r="BJ10" s="5" t="s">
        <v>246</v>
      </c>
      <c r="BK10" s="4" t="s">
        <v>254</v>
      </c>
      <c r="BL10" s="4" t="s">
        <v>255</v>
      </c>
      <c r="BM10" s="4" t="s">
        <v>241</v>
      </c>
      <c r="BN10" s="6">
        <f>0</f>
        <v>0</v>
      </c>
      <c r="BO10" s="6">
        <f>0</f>
        <v>0</v>
      </c>
      <c r="BP10" s="4" t="s">
        <v>256</v>
      </c>
      <c r="BQ10" s="4" t="s">
        <v>257</v>
      </c>
      <c r="CE10" s="4" t="s">
        <v>241</v>
      </c>
      <c r="CF10" s="4" t="s">
        <v>241</v>
      </c>
      <c r="CJ10" s="4" t="s">
        <v>258</v>
      </c>
      <c r="CK10" s="4" t="s">
        <v>259</v>
      </c>
      <c r="CL10" s="4" t="s">
        <v>241</v>
      </c>
      <c r="CO10" s="5" t="s">
        <v>260</v>
      </c>
      <c r="CP10" s="4" t="s">
        <v>241</v>
      </c>
      <c r="CQ10" s="4" t="s">
        <v>261</v>
      </c>
      <c r="CR10" s="4" t="s">
        <v>241</v>
      </c>
      <c r="CS10" s="4" t="s">
        <v>241</v>
      </c>
      <c r="CT10" s="4">
        <v>0</v>
      </c>
      <c r="CU10" s="4" t="s">
        <v>262</v>
      </c>
      <c r="CV10" s="4" t="s">
        <v>263</v>
      </c>
      <c r="CW10" s="4" t="s">
        <v>263</v>
      </c>
      <c r="CX10" s="4" t="s">
        <v>264</v>
      </c>
      <c r="DA10" s="6">
        <f>4487124</f>
        <v>4487124</v>
      </c>
      <c r="DC10" s="4" t="s">
        <v>422</v>
      </c>
      <c r="DD10" s="4" t="s">
        <v>241</v>
      </c>
      <c r="DF10" s="4" t="s">
        <v>422</v>
      </c>
      <c r="DG10" s="6">
        <f>2025</f>
        <v>2025</v>
      </c>
      <c r="DH10" s="5" t="s">
        <v>4261</v>
      </c>
      <c r="DI10" s="4" t="s">
        <v>414</v>
      </c>
      <c r="DJ10" s="4" t="s">
        <v>241</v>
      </c>
      <c r="DK10" s="4" t="s">
        <v>241</v>
      </c>
      <c r="DL10" s="4" t="s">
        <v>241</v>
      </c>
      <c r="DP10" s="4" t="s">
        <v>241</v>
      </c>
      <c r="DQ10" s="4" t="s">
        <v>241</v>
      </c>
      <c r="DR10" s="4" t="s">
        <v>241</v>
      </c>
      <c r="DS10" s="4" t="s">
        <v>241</v>
      </c>
      <c r="DV10" s="4" t="s">
        <v>4262</v>
      </c>
      <c r="DW10" s="4" t="s">
        <v>267</v>
      </c>
      <c r="HO10" s="4" t="s">
        <v>267</v>
      </c>
    </row>
    <row r="11" spans="1:240" ht="19.5" customHeight="1" x14ac:dyDescent="0.4">
      <c r="A11" s="4">
        <v>1</v>
      </c>
      <c r="B11" s="4" t="s">
        <v>239</v>
      </c>
      <c r="C11" s="4">
        <v>718</v>
      </c>
      <c r="D11" s="4">
        <v>1</v>
      </c>
      <c r="E11" s="4">
        <v>1</v>
      </c>
      <c r="F11" s="4" t="s">
        <v>240</v>
      </c>
      <c r="G11" s="4" t="s">
        <v>241</v>
      </c>
      <c r="H11" s="4" t="s">
        <v>241</v>
      </c>
      <c r="I11" s="4" t="s">
        <v>4264</v>
      </c>
      <c r="J11" s="4" t="s">
        <v>418</v>
      </c>
      <c r="K11" s="4" t="s">
        <v>251</v>
      </c>
      <c r="L11" s="4" t="s">
        <v>4263</v>
      </c>
      <c r="M11" s="5" t="s">
        <v>4265</v>
      </c>
      <c r="N11" s="6">
        <f>1800</f>
        <v>1800</v>
      </c>
      <c r="O11" s="4" t="s">
        <v>265</v>
      </c>
      <c r="P11" s="6">
        <f>3987000</f>
        <v>3987000</v>
      </c>
      <c r="Q11" s="6">
        <f>0</f>
        <v>0</v>
      </c>
      <c r="S11" s="6">
        <f>0</f>
        <v>0</v>
      </c>
      <c r="T11" s="6">
        <f>3987000</f>
        <v>3987000</v>
      </c>
      <c r="U11" s="5" t="s">
        <v>245</v>
      </c>
      <c r="V11" s="4" t="s">
        <v>270</v>
      </c>
      <c r="W11" s="4" t="s">
        <v>242</v>
      </c>
      <c r="X11" s="4" t="s">
        <v>273</v>
      </c>
      <c r="Y11" s="4" t="s">
        <v>241</v>
      </c>
      <c r="AB11" s="4" t="s">
        <v>241</v>
      </c>
      <c r="AD11" s="5" t="s">
        <v>241</v>
      </c>
      <c r="AG11" s="5" t="s">
        <v>246</v>
      </c>
      <c r="AH11" s="4" t="s">
        <v>241</v>
      </c>
      <c r="AI11" s="4" t="s">
        <v>247</v>
      </c>
      <c r="AJ11" s="4" t="s">
        <v>248</v>
      </c>
      <c r="AZ11" s="4" t="s">
        <v>249</v>
      </c>
      <c r="BA11" s="4" t="s">
        <v>241</v>
      </c>
      <c r="BB11" s="4" t="s">
        <v>250</v>
      </c>
      <c r="BC11" s="4" t="s">
        <v>241</v>
      </c>
      <c r="BD11" s="4" t="s">
        <v>252</v>
      </c>
      <c r="BE11" s="4" t="s">
        <v>241</v>
      </c>
      <c r="BG11" s="4" t="s">
        <v>4227</v>
      </c>
      <c r="BI11" s="4" t="s">
        <v>253</v>
      </c>
      <c r="BJ11" s="5" t="s">
        <v>246</v>
      </c>
      <c r="BK11" s="4" t="s">
        <v>254</v>
      </c>
      <c r="BL11" s="4" t="s">
        <v>255</v>
      </c>
      <c r="BM11" s="4" t="s">
        <v>241</v>
      </c>
      <c r="BN11" s="6">
        <f>0</f>
        <v>0</v>
      </c>
      <c r="BO11" s="6">
        <f>0</f>
        <v>0</v>
      </c>
      <c r="BP11" s="4" t="s">
        <v>256</v>
      </c>
      <c r="BQ11" s="4" t="s">
        <v>257</v>
      </c>
      <c r="CE11" s="4" t="s">
        <v>241</v>
      </c>
      <c r="CF11" s="4" t="s">
        <v>241</v>
      </c>
      <c r="CJ11" s="4" t="s">
        <v>258</v>
      </c>
      <c r="CK11" s="4" t="s">
        <v>259</v>
      </c>
      <c r="CL11" s="4" t="s">
        <v>241</v>
      </c>
      <c r="CO11" s="5" t="s">
        <v>260</v>
      </c>
      <c r="CP11" s="4" t="s">
        <v>241</v>
      </c>
      <c r="CQ11" s="4" t="s">
        <v>261</v>
      </c>
      <c r="CR11" s="4" t="s">
        <v>241</v>
      </c>
      <c r="CS11" s="4" t="s">
        <v>241</v>
      </c>
      <c r="CT11" s="4">
        <v>0</v>
      </c>
      <c r="CU11" s="4" t="s">
        <v>262</v>
      </c>
      <c r="CV11" s="4" t="s">
        <v>263</v>
      </c>
      <c r="CW11" s="4" t="s">
        <v>263</v>
      </c>
      <c r="CX11" s="4" t="s">
        <v>264</v>
      </c>
      <c r="DA11" s="6">
        <f>3987000</f>
        <v>3987000</v>
      </c>
      <c r="DC11" s="4" t="s">
        <v>422</v>
      </c>
      <c r="DD11" s="4" t="s">
        <v>241</v>
      </c>
      <c r="DF11" s="4" t="s">
        <v>422</v>
      </c>
      <c r="DG11" s="6">
        <f>1800</f>
        <v>1800</v>
      </c>
      <c r="DI11" s="4" t="s">
        <v>414</v>
      </c>
      <c r="DJ11" s="4" t="s">
        <v>241</v>
      </c>
      <c r="DK11" s="4" t="s">
        <v>241</v>
      </c>
      <c r="DL11" s="4" t="s">
        <v>241</v>
      </c>
      <c r="DP11" s="4" t="s">
        <v>241</v>
      </c>
      <c r="DQ11" s="4" t="s">
        <v>241</v>
      </c>
      <c r="DR11" s="4" t="s">
        <v>241</v>
      </c>
      <c r="DS11" s="4" t="s">
        <v>241</v>
      </c>
      <c r="DV11" s="4" t="s">
        <v>4266</v>
      </c>
      <c r="DW11" s="4" t="s">
        <v>267</v>
      </c>
      <c r="HO11" s="4" t="s">
        <v>267</v>
      </c>
    </row>
    <row r="12" spans="1:240" ht="19.5" customHeight="1" x14ac:dyDescent="0.4">
      <c r="A12" s="4">
        <v>1</v>
      </c>
      <c r="B12" s="4" t="s">
        <v>239</v>
      </c>
      <c r="C12" s="4">
        <v>719</v>
      </c>
      <c r="D12" s="4">
        <v>1</v>
      </c>
      <c r="E12" s="4">
        <v>1</v>
      </c>
      <c r="F12" s="4" t="s">
        <v>240</v>
      </c>
      <c r="G12" s="4" t="s">
        <v>241</v>
      </c>
      <c r="H12" s="4" t="s">
        <v>241</v>
      </c>
      <c r="I12" s="4" t="s">
        <v>4268</v>
      </c>
      <c r="J12" s="4" t="s">
        <v>418</v>
      </c>
      <c r="K12" s="4" t="s">
        <v>251</v>
      </c>
      <c r="L12" s="4" t="s">
        <v>4267</v>
      </c>
      <c r="M12" s="5" t="s">
        <v>4269</v>
      </c>
      <c r="N12" s="6">
        <f>1811.88</f>
        <v>1811.88</v>
      </c>
      <c r="O12" s="4" t="s">
        <v>265</v>
      </c>
      <c r="P12" s="6">
        <f>4013314</f>
        <v>4013314</v>
      </c>
      <c r="Q12" s="6">
        <f>0</f>
        <v>0</v>
      </c>
      <c r="S12" s="6">
        <f>0</f>
        <v>0</v>
      </c>
      <c r="T12" s="6">
        <f>4013314</f>
        <v>4013314</v>
      </c>
      <c r="U12" s="5" t="s">
        <v>245</v>
      </c>
      <c r="V12" s="4" t="s">
        <v>270</v>
      </c>
      <c r="W12" s="4" t="s">
        <v>242</v>
      </c>
      <c r="X12" s="4" t="s">
        <v>273</v>
      </c>
      <c r="Y12" s="4" t="s">
        <v>241</v>
      </c>
      <c r="AB12" s="4" t="s">
        <v>241</v>
      </c>
      <c r="AD12" s="5" t="s">
        <v>241</v>
      </c>
      <c r="AG12" s="5" t="s">
        <v>246</v>
      </c>
      <c r="AH12" s="4" t="s">
        <v>241</v>
      </c>
      <c r="AI12" s="4" t="s">
        <v>247</v>
      </c>
      <c r="AJ12" s="4" t="s">
        <v>248</v>
      </c>
      <c r="AZ12" s="4" t="s">
        <v>249</v>
      </c>
      <c r="BA12" s="4" t="s">
        <v>241</v>
      </c>
      <c r="BB12" s="4" t="s">
        <v>250</v>
      </c>
      <c r="BC12" s="4" t="s">
        <v>241</v>
      </c>
      <c r="BD12" s="4" t="s">
        <v>252</v>
      </c>
      <c r="BE12" s="4" t="s">
        <v>241</v>
      </c>
      <c r="BG12" s="4" t="s">
        <v>4227</v>
      </c>
      <c r="BI12" s="4" t="s">
        <v>284</v>
      </c>
      <c r="BJ12" s="5" t="s">
        <v>282</v>
      </c>
      <c r="BK12" s="4" t="s">
        <v>254</v>
      </c>
      <c r="BL12" s="4" t="s">
        <v>255</v>
      </c>
      <c r="BM12" s="4" t="s">
        <v>241</v>
      </c>
      <c r="BN12" s="6">
        <f>0</f>
        <v>0</v>
      </c>
      <c r="BO12" s="6">
        <f>0</f>
        <v>0</v>
      </c>
      <c r="BP12" s="4" t="s">
        <v>256</v>
      </c>
      <c r="BQ12" s="4" t="s">
        <v>257</v>
      </c>
      <c r="CE12" s="4" t="s">
        <v>241</v>
      </c>
      <c r="CF12" s="4" t="s">
        <v>241</v>
      </c>
      <c r="CJ12" s="4" t="s">
        <v>258</v>
      </c>
      <c r="CK12" s="4" t="s">
        <v>259</v>
      </c>
      <c r="CL12" s="4" t="s">
        <v>241</v>
      </c>
      <c r="CO12" s="5" t="s">
        <v>260</v>
      </c>
      <c r="CP12" s="4" t="s">
        <v>241</v>
      </c>
      <c r="CQ12" s="4" t="s">
        <v>261</v>
      </c>
      <c r="CR12" s="4" t="s">
        <v>241</v>
      </c>
      <c r="CS12" s="4" t="s">
        <v>241</v>
      </c>
      <c r="CT12" s="4">
        <v>0</v>
      </c>
      <c r="CU12" s="4" t="s">
        <v>262</v>
      </c>
      <c r="CV12" s="4" t="s">
        <v>263</v>
      </c>
      <c r="CW12" s="4" t="s">
        <v>263</v>
      </c>
      <c r="CX12" s="4" t="s">
        <v>264</v>
      </c>
      <c r="DA12" s="6">
        <f>4013314</f>
        <v>4013314</v>
      </c>
      <c r="DC12" s="4" t="s">
        <v>422</v>
      </c>
      <c r="DD12" s="4" t="s">
        <v>241</v>
      </c>
      <c r="DF12" s="4" t="s">
        <v>422</v>
      </c>
      <c r="DG12" s="6">
        <f>1811</f>
        <v>1811</v>
      </c>
      <c r="DI12" s="4" t="s">
        <v>414</v>
      </c>
      <c r="DJ12" s="4" t="s">
        <v>241</v>
      </c>
      <c r="DK12" s="4" t="s">
        <v>241</v>
      </c>
      <c r="DL12" s="4" t="s">
        <v>241</v>
      </c>
      <c r="DP12" s="4" t="s">
        <v>241</v>
      </c>
      <c r="DQ12" s="4" t="s">
        <v>241</v>
      </c>
      <c r="DR12" s="4" t="s">
        <v>241</v>
      </c>
      <c r="DS12" s="4" t="s">
        <v>241</v>
      </c>
      <c r="DV12" s="4" t="s">
        <v>4270</v>
      </c>
      <c r="DW12" s="4" t="s">
        <v>267</v>
      </c>
      <c r="HO12" s="4" t="s">
        <v>267</v>
      </c>
    </row>
    <row r="13" spans="1:240" ht="19.5" customHeight="1" x14ac:dyDescent="0.4">
      <c r="A13" s="4">
        <v>1</v>
      </c>
      <c r="B13" s="4" t="s">
        <v>239</v>
      </c>
      <c r="C13" s="4">
        <v>720</v>
      </c>
      <c r="D13" s="4">
        <v>1</v>
      </c>
      <c r="E13" s="4">
        <v>1</v>
      </c>
      <c r="F13" s="4" t="s">
        <v>240</v>
      </c>
      <c r="G13" s="4" t="s">
        <v>241</v>
      </c>
      <c r="H13" s="4" t="s">
        <v>241</v>
      </c>
      <c r="I13" s="4" t="s">
        <v>4272</v>
      </c>
      <c r="J13" s="4" t="s">
        <v>418</v>
      </c>
      <c r="K13" s="4" t="s">
        <v>251</v>
      </c>
      <c r="L13" s="4" t="s">
        <v>4271</v>
      </c>
      <c r="M13" s="5" t="s">
        <v>4273</v>
      </c>
      <c r="N13" s="6">
        <f>1589.97</f>
        <v>1589.97</v>
      </c>
      <c r="O13" s="4" t="s">
        <v>265</v>
      </c>
      <c r="P13" s="6">
        <f>3521783</f>
        <v>3521783</v>
      </c>
      <c r="Q13" s="6">
        <f>0</f>
        <v>0</v>
      </c>
      <c r="S13" s="6">
        <f>0</f>
        <v>0</v>
      </c>
      <c r="T13" s="6">
        <f>3521783</f>
        <v>3521783</v>
      </c>
      <c r="U13" s="5" t="s">
        <v>245</v>
      </c>
      <c r="V13" s="4" t="s">
        <v>270</v>
      </c>
      <c r="W13" s="4" t="s">
        <v>242</v>
      </c>
      <c r="X13" s="4" t="s">
        <v>273</v>
      </c>
      <c r="Y13" s="4" t="s">
        <v>241</v>
      </c>
      <c r="AB13" s="4" t="s">
        <v>241</v>
      </c>
      <c r="AD13" s="5" t="s">
        <v>241</v>
      </c>
      <c r="AG13" s="5" t="s">
        <v>246</v>
      </c>
      <c r="AH13" s="4" t="s">
        <v>241</v>
      </c>
      <c r="AI13" s="4" t="s">
        <v>247</v>
      </c>
      <c r="AJ13" s="4" t="s">
        <v>248</v>
      </c>
      <c r="AZ13" s="4" t="s">
        <v>249</v>
      </c>
      <c r="BA13" s="4" t="s">
        <v>241</v>
      </c>
      <c r="BB13" s="4" t="s">
        <v>250</v>
      </c>
      <c r="BC13" s="4" t="s">
        <v>241</v>
      </c>
      <c r="BD13" s="4" t="s">
        <v>252</v>
      </c>
      <c r="BE13" s="4" t="s">
        <v>241</v>
      </c>
      <c r="BG13" s="4" t="s">
        <v>4227</v>
      </c>
      <c r="BI13" s="4" t="s">
        <v>284</v>
      </c>
      <c r="BJ13" s="5" t="s">
        <v>3162</v>
      </c>
      <c r="BK13" s="4" t="s">
        <v>254</v>
      </c>
      <c r="BL13" s="4" t="s">
        <v>255</v>
      </c>
      <c r="BM13" s="4" t="s">
        <v>241</v>
      </c>
      <c r="BN13" s="6">
        <f>0</f>
        <v>0</v>
      </c>
      <c r="BO13" s="6">
        <f>0</f>
        <v>0</v>
      </c>
      <c r="BP13" s="4" t="s">
        <v>256</v>
      </c>
      <c r="BQ13" s="4" t="s">
        <v>257</v>
      </c>
      <c r="CE13" s="4" t="s">
        <v>241</v>
      </c>
      <c r="CF13" s="4" t="s">
        <v>241</v>
      </c>
      <c r="CJ13" s="4" t="s">
        <v>258</v>
      </c>
      <c r="CK13" s="4" t="s">
        <v>259</v>
      </c>
      <c r="CL13" s="4" t="s">
        <v>241</v>
      </c>
      <c r="CO13" s="5" t="s">
        <v>260</v>
      </c>
      <c r="CP13" s="4" t="s">
        <v>241</v>
      </c>
      <c r="CQ13" s="4" t="s">
        <v>261</v>
      </c>
      <c r="CR13" s="4" t="s">
        <v>241</v>
      </c>
      <c r="CS13" s="4" t="s">
        <v>241</v>
      </c>
      <c r="CT13" s="4">
        <v>0</v>
      </c>
      <c r="CU13" s="4" t="s">
        <v>262</v>
      </c>
      <c r="CV13" s="4" t="s">
        <v>263</v>
      </c>
      <c r="CW13" s="4" t="s">
        <v>263</v>
      </c>
      <c r="CX13" s="4" t="s">
        <v>264</v>
      </c>
      <c r="DA13" s="6">
        <f>3521783</f>
        <v>3521783</v>
      </c>
      <c r="DC13" s="4" t="s">
        <v>422</v>
      </c>
      <c r="DD13" s="4" t="s">
        <v>241</v>
      </c>
      <c r="DF13" s="4" t="s">
        <v>266</v>
      </c>
      <c r="DG13" s="6">
        <f>1589.97</f>
        <v>1589.97</v>
      </c>
      <c r="DI13" s="4" t="s">
        <v>414</v>
      </c>
      <c r="DJ13" s="4" t="s">
        <v>241</v>
      </c>
      <c r="DK13" s="4" t="s">
        <v>241</v>
      </c>
      <c r="DL13" s="4" t="s">
        <v>241</v>
      </c>
      <c r="DP13" s="4" t="s">
        <v>241</v>
      </c>
      <c r="DQ13" s="4" t="s">
        <v>241</v>
      </c>
      <c r="DR13" s="4" t="s">
        <v>241</v>
      </c>
      <c r="DS13" s="4" t="s">
        <v>241</v>
      </c>
      <c r="DV13" s="4" t="s">
        <v>4274</v>
      </c>
      <c r="DW13" s="4" t="s">
        <v>267</v>
      </c>
      <c r="HO13" s="4" t="s">
        <v>267</v>
      </c>
    </row>
    <row r="14" spans="1:240" ht="19.5" customHeight="1" x14ac:dyDescent="0.4">
      <c r="A14" s="4">
        <v>1</v>
      </c>
      <c r="B14" s="4" t="s">
        <v>239</v>
      </c>
      <c r="C14" s="4">
        <v>721</v>
      </c>
      <c r="D14" s="4">
        <v>1</v>
      </c>
      <c r="E14" s="4">
        <v>1</v>
      </c>
      <c r="F14" s="4" t="s">
        <v>240</v>
      </c>
      <c r="G14" s="4" t="s">
        <v>241</v>
      </c>
      <c r="H14" s="4" t="s">
        <v>241</v>
      </c>
      <c r="I14" s="4" t="s">
        <v>4272</v>
      </c>
      <c r="J14" s="4" t="s">
        <v>418</v>
      </c>
      <c r="K14" s="4" t="s">
        <v>251</v>
      </c>
      <c r="L14" s="4" t="s">
        <v>4271</v>
      </c>
      <c r="M14" s="5" t="s">
        <v>4275</v>
      </c>
      <c r="N14" s="6">
        <f>3001</f>
        <v>3001</v>
      </c>
      <c r="O14" s="4" t="s">
        <v>265</v>
      </c>
      <c r="P14" s="6">
        <f>6647215</f>
        <v>6647215</v>
      </c>
      <c r="Q14" s="6">
        <f>0</f>
        <v>0</v>
      </c>
      <c r="S14" s="6">
        <f>0</f>
        <v>0</v>
      </c>
      <c r="T14" s="6">
        <f>6647215</f>
        <v>6647215</v>
      </c>
      <c r="U14" s="5" t="s">
        <v>245</v>
      </c>
      <c r="V14" s="4" t="s">
        <v>270</v>
      </c>
      <c r="W14" s="4" t="s">
        <v>242</v>
      </c>
      <c r="X14" s="4" t="s">
        <v>273</v>
      </c>
      <c r="Y14" s="4" t="s">
        <v>241</v>
      </c>
      <c r="AB14" s="4" t="s">
        <v>241</v>
      </c>
      <c r="AD14" s="5" t="s">
        <v>241</v>
      </c>
      <c r="AG14" s="5" t="s">
        <v>246</v>
      </c>
      <c r="AH14" s="4" t="s">
        <v>241</v>
      </c>
      <c r="AI14" s="4" t="s">
        <v>247</v>
      </c>
      <c r="AJ14" s="4" t="s">
        <v>248</v>
      </c>
      <c r="AZ14" s="4" t="s">
        <v>249</v>
      </c>
      <c r="BA14" s="4" t="s">
        <v>241</v>
      </c>
      <c r="BB14" s="4" t="s">
        <v>250</v>
      </c>
      <c r="BC14" s="4" t="s">
        <v>241</v>
      </c>
      <c r="BD14" s="4" t="s">
        <v>252</v>
      </c>
      <c r="BE14" s="4" t="s">
        <v>241</v>
      </c>
      <c r="BI14" s="4" t="s">
        <v>284</v>
      </c>
      <c r="BJ14" s="5" t="s">
        <v>3162</v>
      </c>
      <c r="BK14" s="4" t="s">
        <v>254</v>
      </c>
      <c r="BL14" s="4" t="s">
        <v>255</v>
      </c>
      <c r="BM14" s="4" t="s">
        <v>241</v>
      </c>
      <c r="BN14" s="6">
        <f>0</f>
        <v>0</v>
      </c>
      <c r="BO14" s="6">
        <f>0</f>
        <v>0</v>
      </c>
      <c r="BP14" s="4" t="s">
        <v>256</v>
      </c>
      <c r="BQ14" s="4" t="s">
        <v>257</v>
      </c>
      <c r="CE14" s="4" t="s">
        <v>241</v>
      </c>
      <c r="CF14" s="4" t="s">
        <v>241</v>
      </c>
      <c r="CJ14" s="4" t="s">
        <v>258</v>
      </c>
      <c r="CK14" s="4" t="s">
        <v>259</v>
      </c>
      <c r="CL14" s="4" t="s">
        <v>241</v>
      </c>
      <c r="CO14" s="5" t="s">
        <v>260</v>
      </c>
      <c r="CP14" s="4" t="s">
        <v>241</v>
      </c>
      <c r="CQ14" s="4" t="s">
        <v>261</v>
      </c>
      <c r="CR14" s="4" t="s">
        <v>241</v>
      </c>
      <c r="CS14" s="4" t="s">
        <v>241</v>
      </c>
      <c r="CT14" s="4">
        <v>0</v>
      </c>
      <c r="CU14" s="4" t="s">
        <v>262</v>
      </c>
      <c r="CV14" s="4" t="s">
        <v>263</v>
      </c>
      <c r="CW14" s="4" t="s">
        <v>263</v>
      </c>
      <c r="CX14" s="4" t="s">
        <v>264</v>
      </c>
      <c r="DA14" s="6">
        <f>6647215</f>
        <v>6647215</v>
      </c>
      <c r="DC14" s="4" t="s">
        <v>422</v>
      </c>
      <c r="DD14" s="4" t="s">
        <v>241</v>
      </c>
      <c r="DF14" s="4" t="s">
        <v>422</v>
      </c>
      <c r="DG14" s="6">
        <f>3001</f>
        <v>3001</v>
      </c>
      <c r="DI14" s="4" t="s">
        <v>414</v>
      </c>
      <c r="DJ14" s="4" t="s">
        <v>241</v>
      </c>
      <c r="DK14" s="4" t="s">
        <v>241</v>
      </c>
      <c r="DL14" s="4" t="s">
        <v>241</v>
      </c>
      <c r="DP14" s="4" t="s">
        <v>241</v>
      </c>
      <c r="DQ14" s="4" t="s">
        <v>241</v>
      </c>
      <c r="DR14" s="4" t="s">
        <v>241</v>
      </c>
      <c r="DS14" s="4" t="s">
        <v>241</v>
      </c>
      <c r="DV14" s="4" t="s">
        <v>4274</v>
      </c>
      <c r="DW14" s="4" t="s">
        <v>416</v>
      </c>
      <c r="HO14" s="4" t="s">
        <v>267</v>
      </c>
    </row>
    <row r="15" spans="1:240" ht="19.5" customHeight="1" x14ac:dyDescent="0.4">
      <c r="A15" s="4">
        <v>1</v>
      </c>
      <c r="B15" s="4" t="s">
        <v>239</v>
      </c>
      <c r="C15" s="4">
        <v>722</v>
      </c>
      <c r="D15" s="4">
        <v>1</v>
      </c>
      <c r="E15" s="4">
        <v>1</v>
      </c>
      <c r="F15" s="4" t="s">
        <v>240</v>
      </c>
      <c r="G15" s="4" t="s">
        <v>241</v>
      </c>
      <c r="H15" s="4" t="s">
        <v>241</v>
      </c>
      <c r="I15" s="4" t="s">
        <v>4277</v>
      </c>
      <c r="J15" s="4" t="s">
        <v>418</v>
      </c>
      <c r="K15" s="4" t="s">
        <v>251</v>
      </c>
      <c r="L15" s="4" t="s">
        <v>4276</v>
      </c>
      <c r="M15" s="5" t="s">
        <v>4280</v>
      </c>
      <c r="N15" s="6">
        <f>546.89</f>
        <v>546.89</v>
      </c>
      <c r="O15" s="4" t="s">
        <v>265</v>
      </c>
      <c r="P15" s="6">
        <f>4703254</f>
        <v>4703254</v>
      </c>
      <c r="Q15" s="6">
        <f>0</f>
        <v>0</v>
      </c>
      <c r="S15" s="6">
        <f>0</f>
        <v>0</v>
      </c>
      <c r="T15" s="6">
        <f>4703254</f>
        <v>4703254</v>
      </c>
      <c r="U15" s="5" t="s">
        <v>245</v>
      </c>
      <c r="V15" s="4" t="s">
        <v>270</v>
      </c>
      <c r="W15" s="4" t="s">
        <v>242</v>
      </c>
      <c r="X15" s="4" t="s">
        <v>273</v>
      </c>
      <c r="Y15" s="4" t="s">
        <v>241</v>
      </c>
      <c r="AB15" s="4" t="s">
        <v>241</v>
      </c>
      <c r="AD15" s="5" t="s">
        <v>241</v>
      </c>
      <c r="AG15" s="5" t="s">
        <v>246</v>
      </c>
      <c r="AH15" s="4" t="s">
        <v>241</v>
      </c>
      <c r="AI15" s="4" t="s">
        <v>247</v>
      </c>
      <c r="AJ15" s="4" t="s">
        <v>248</v>
      </c>
      <c r="AZ15" s="4" t="s">
        <v>249</v>
      </c>
      <c r="BA15" s="4" t="s">
        <v>241</v>
      </c>
      <c r="BB15" s="4" t="s">
        <v>250</v>
      </c>
      <c r="BC15" s="4" t="s">
        <v>241</v>
      </c>
      <c r="BD15" s="4" t="s">
        <v>252</v>
      </c>
      <c r="BE15" s="4" t="s">
        <v>241</v>
      </c>
      <c r="BG15" s="4" t="s">
        <v>4227</v>
      </c>
      <c r="BI15" s="4" t="s">
        <v>284</v>
      </c>
      <c r="BJ15" s="5" t="s">
        <v>3162</v>
      </c>
      <c r="BK15" s="4" t="s">
        <v>254</v>
      </c>
      <c r="BL15" s="4" t="s">
        <v>255</v>
      </c>
      <c r="BM15" s="4" t="s">
        <v>241</v>
      </c>
      <c r="BN15" s="6">
        <f>0</f>
        <v>0</v>
      </c>
      <c r="BO15" s="6">
        <f>0</f>
        <v>0</v>
      </c>
      <c r="BP15" s="4" t="s">
        <v>256</v>
      </c>
      <c r="BQ15" s="4" t="s">
        <v>257</v>
      </c>
      <c r="CE15" s="4" t="s">
        <v>241</v>
      </c>
      <c r="CF15" s="4" t="s">
        <v>241</v>
      </c>
      <c r="CJ15" s="4" t="s">
        <v>258</v>
      </c>
      <c r="CK15" s="4" t="s">
        <v>259</v>
      </c>
      <c r="CL15" s="4" t="s">
        <v>241</v>
      </c>
      <c r="CO15" s="5" t="s">
        <v>260</v>
      </c>
      <c r="CP15" s="4" t="s">
        <v>241</v>
      </c>
      <c r="CQ15" s="4" t="s">
        <v>261</v>
      </c>
      <c r="CR15" s="4" t="s">
        <v>241</v>
      </c>
      <c r="CS15" s="4" t="s">
        <v>241</v>
      </c>
      <c r="CT15" s="4">
        <v>0</v>
      </c>
      <c r="CU15" s="4" t="s">
        <v>262</v>
      </c>
      <c r="CV15" s="4" t="s">
        <v>263</v>
      </c>
      <c r="CW15" s="4" t="s">
        <v>263</v>
      </c>
      <c r="CX15" s="4" t="s">
        <v>264</v>
      </c>
      <c r="DA15" s="6">
        <f>4703254</f>
        <v>4703254</v>
      </c>
      <c r="DC15" s="4" t="s">
        <v>266</v>
      </c>
      <c r="DD15" s="4" t="s">
        <v>241</v>
      </c>
      <c r="DF15" s="4" t="s">
        <v>266</v>
      </c>
      <c r="DG15" s="6">
        <f>546.89</f>
        <v>546.89</v>
      </c>
      <c r="DI15" s="4" t="s">
        <v>266</v>
      </c>
      <c r="DJ15" s="4" t="s">
        <v>241</v>
      </c>
      <c r="DK15" s="4" t="s">
        <v>241</v>
      </c>
      <c r="DL15" s="4" t="s">
        <v>241</v>
      </c>
      <c r="DP15" s="4" t="s">
        <v>241</v>
      </c>
      <c r="DQ15" s="4" t="s">
        <v>241</v>
      </c>
      <c r="DR15" s="4" t="s">
        <v>241</v>
      </c>
      <c r="DS15" s="4" t="s">
        <v>241</v>
      </c>
      <c r="DV15" s="4" t="s">
        <v>4279</v>
      </c>
      <c r="DW15" s="4" t="s">
        <v>267</v>
      </c>
      <c r="HO15" s="4" t="s">
        <v>267</v>
      </c>
    </row>
    <row r="16" spans="1:240" ht="19.5" customHeight="1" x14ac:dyDescent="0.4">
      <c r="A16" s="4">
        <v>1</v>
      </c>
      <c r="B16" s="4" t="s">
        <v>239</v>
      </c>
      <c r="C16" s="4">
        <v>723</v>
      </c>
      <c r="D16" s="4">
        <v>1</v>
      </c>
      <c r="E16" s="4">
        <v>1</v>
      </c>
      <c r="F16" s="4" t="s">
        <v>240</v>
      </c>
      <c r="G16" s="4" t="s">
        <v>241</v>
      </c>
      <c r="H16" s="4" t="s">
        <v>241</v>
      </c>
      <c r="I16" s="4" t="s">
        <v>4277</v>
      </c>
      <c r="J16" s="4" t="s">
        <v>418</v>
      </c>
      <c r="K16" s="4" t="s">
        <v>251</v>
      </c>
      <c r="L16" s="4" t="s">
        <v>4276</v>
      </c>
      <c r="M16" s="5" t="s">
        <v>4281</v>
      </c>
      <c r="N16" s="6">
        <f>1282.85</f>
        <v>1282.8499999999999</v>
      </c>
      <c r="O16" s="4" t="s">
        <v>265</v>
      </c>
      <c r="P16" s="6">
        <f>11032510</f>
        <v>11032510</v>
      </c>
      <c r="Q16" s="6">
        <f>0</f>
        <v>0</v>
      </c>
      <c r="S16" s="6">
        <f>0</f>
        <v>0</v>
      </c>
      <c r="T16" s="6">
        <f>11032510</f>
        <v>11032510</v>
      </c>
      <c r="U16" s="5" t="s">
        <v>245</v>
      </c>
      <c r="V16" s="4" t="s">
        <v>270</v>
      </c>
      <c r="W16" s="4" t="s">
        <v>242</v>
      </c>
      <c r="X16" s="4" t="s">
        <v>273</v>
      </c>
      <c r="Y16" s="4" t="s">
        <v>241</v>
      </c>
      <c r="AB16" s="4" t="s">
        <v>241</v>
      </c>
      <c r="AD16" s="5" t="s">
        <v>241</v>
      </c>
      <c r="AG16" s="5" t="s">
        <v>246</v>
      </c>
      <c r="AH16" s="4" t="s">
        <v>241</v>
      </c>
      <c r="AI16" s="4" t="s">
        <v>247</v>
      </c>
      <c r="AJ16" s="4" t="s">
        <v>248</v>
      </c>
      <c r="AZ16" s="4" t="s">
        <v>249</v>
      </c>
      <c r="BA16" s="4" t="s">
        <v>241</v>
      </c>
      <c r="BB16" s="4" t="s">
        <v>250</v>
      </c>
      <c r="BC16" s="4" t="s">
        <v>241</v>
      </c>
      <c r="BD16" s="4" t="s">
        <v>252</v>
      </c>
      <c r="BE16" s="4" t="s">
        <v>241</v>
      </c>
      <c r="BI16" s="4" t="s">
        <v>253</v>
      </c>
      <c r="BJ16" s="5" t="s">
        <v>246</v>
      </c>
      <c r="BK16" s="4" t="s">
        <v>254</v>
      </c>
      <c r="BL16" s="4" t="s">
        <v>255</v>
      </c>
      <c r="BM16" s="4" t="s">
        <v>241</v>
      </c>
      <c r="BN16" s="6">
        <f>0</f>
        <v>0</v>
      </c>
      <c r="BO16" s="6">
        <f>0</f>
        <v>0</v>
      </c>
      <c r="BP16" s="4" t="s">
        <v>256</v>
      </c>
      <c r="BQ16" s="4" t="s">
        <v>257</v>
      </c>
      <c r="CE16" s="4" t="s">
        <v>241</v>
      </c>
      <c r="CF16" s="4" t="s">
        <v>241</v>
      </c>
      <c r="CJ16" s="4" t="s">
        <v>258</v>
      </c>
      <c r="CK16" s="4" t="s">
        <v>259</v>
      </c>
      <c r="CL16" s="4" t="s">
        <v>241</v>
      </c>
      <c r="CO16" s="5" t="s">
        <v>260</v>
      </c>
      <c r="CP16" s="4" t="s">
        <v>241</v>
      </c>
      <c r="CQ16" s="4" t="s">
        <v>261</v>
      </c>
      <c r="CR16" s="4" t="s">
        <v>241</v>
      </c>
      <c r="CS16" s="4" t="s">
        <v>241</v>
      </c>
      <c r="CT16" s="4">
        <v>0</v>
      </c>
      <c r="CU16" s="4" t="s">
        <v>262</v>
      </c>
      <c r="CV16" s="4" t="s">
        <v>263</v>
      </c>
      <c r="CW16" s="4" t="s">
        <v>263</v>
      </c>
      <c r="CX16" s="4" t="s">
        <v>264</v>
      </c>
      <c r="DA16" s="6">
        <f>11032510</f>
        <v>11032510</v>
      </c>
      <c r="DC16" s="4" t="s">
        <v>266</v>
      </c>
      <c r="DD16" s="4" t="s">
        <v>241</v>
      </c>
      <c r="DF16" s="4" t="s">
        <v>266</v>
      </c>
      <c r="DG16" s="6">
        <f>1282.85</f>
        <v>1282.8499999999999</v>
      </c>
      <c r="DI16" s="4" t="s">
        <v>266</v>
      </c>
      <c r="DJ16" s="4" t="s">
        <v>241</v>
      </c>
      <c r="DK16" s="4" t="s">
        <v>241</v>
      </c>
      <c r="DL16" s="4" t="s">
        <v>241</v>
      </c>
      <c r="DP16" s="4" t="s">
        <v>241</v>
      </c>
      <c r="DQ16" s="4" t="s">
        <v>241</v>
      </c>
      <c r="DR16" s="4" t="s">
        <v>241</v>
      </c>
      <c r="DS16" s="4" t="s">
        <v>241</v>
      </c>
      <c r="DV16" s="4" t="s">
        <v>4279</v>
      </c>
      <c r="DW16" s="4" t="s">
        <v>416</v>
      </c>
      <c r="HO16" s="4" t="s">
        <v>267</v>
      </c>
    </row>
    <row r="17" spans="1:223" ht="19.5" customHeight="1" x14ac:dyDescent="0.4">
      <c r="A17" s="4">
        <v>1</v>
      </c>
      <c r="B17" s="4" t="s">
        <v>239</v>
      </c>
      <c r="C17" s="4">
        <v>724</v>
      </c>
      <c r="D17" s="4">
        <v>1</v>
      </c>
      <c r="E17" s="4">
        <v>1</v>
      </c>
      <c r="F17" s="4" t="s">
        <v>240</v>
      </c>
      <c r="G17" s="4" t="s">
        <v>241</v>
      </c>
      <c r="H17" s="4" t="s">
        <v>241</v>
      </c>
      <c r="I17" s="4" t="s">
        <v>4277</v>
      </c>
      <c r="J17" s="4" t="s">
        <v>418</v>
      </c>
      <c r="K17" s="4" t="s">
        <v>251</v>
      </c>
      <c r="L17" s="4" t="s">
        <v>4276</v>
      </c>
      <c r="M17" s="5" t="s">
        <v>4278</v>
      </c>
      <c r="N17" s="6">
        <f>11.21</f>
        <v>11.21</v>
      </c>
      <c r="O17" s="4" t="s">
        <v>265</v>
      </c>
      <c r="P17" s="6">
        <f>24830</f>
        <v>24830</v>
      </c>
      <c r="Q17" s="6">
        <f>0</f>
        <v>0</v>
      </c>
      <c r="S17" s="6">
        <f>0</f>
        <v>0</v>
      </c>
      <c r="T17" s="6">
        <f>24830</f>
        <v>24830</v>
      </c>
      <c r="U17" s="5" t="s">
        <v>245</v>
      </c>
      <c r="V17" s="4" t="s">
        <v>270</v>
      </c>
      <c r="W17" s="4" t="s">
        <v>242</v>
      </c>
      <c r="X17" s="4" t="s">
        <v>273</v>
      </c>
      <c r="Y17" s="4" t="s">
        <v>241</v>
      </c>
      <c r="AB17" s="4" t="s">
        <v>241</v>
      </c>
      <c r="AD17" s="5" t="s">
        <v>241</v>
      </c>
      <c r="AG17" s="5" t="s">
        <v>246</v>
      </c>
      <c r="AH17" s="4" t="s">
        <v>241</v>
      </c>
      <c r="AI17" s="4" t="s">
        <v>247</v>
      </c>
      <c r="AJ17" s="4" t="s">
        <v>248</v>
      </c>
      <c r="AZ17" s="4" t="s">
        <v>249</v>
      </c>
      <c r="BA17" s="4" t="s">
        <v>241</v>
      </c>
      <c r="BB17" s="4" t="s">
        <v>250</v>
      </c>
      <c r="BC17" s="4" t="s">
        <v>241</v>
      </c>
      <c r="BD17" s="4" t="s">
        <v>252</v>
      </c>
      <c r="BE17" s="4" t="s">
        <v>241</v>
      </c>
      <c r="BI17" s="4" t="s">
        <v>253</v>
      </c>
      <c r="BJ17" s="5" t="s">
        <v>246</v>
      </c>
      <c r="BK17" s="4" t="s">
        <v>254</v>
      </c>
      <c r="BL17" s="4" t="s">
        <v>255</v>
      </c>
      <c r="BM17" s="4" t="s">
        <v>241</v>
      </c>
      <c r="BN17" s="6">
        <f>0</f>
        <v>0</v>
      </c>
      <c r="BO17" s="6">
        <f>0</f>
        <v>0</v>
      </c>
      <c r="BP17" s="4" t="s">
        <v>256</v>
      </c>
      <c r="BQ17" s="4" t="s">
        <v>257</v>
      </c>
      <c r="CE17" s="4" t="s">
        <v>241</v>
      </c>
      <c r="CF17" s="4" t="s">
        <v>241</v>
      </c>
      <c r="CJ17" s="4" t="s">
        <v>258</v>
      </c>
      <c r="CK17" s="4" t="s">
        <v>259</v>
      </c>
      <c r="CL17" s="4" t="s">
        <v>241</v>
      </c>
      <c r="CO17" s="5" t="s">
        <v>260</v>
      </c>
      <c r="CP17" s="4" t="s">
        <v>241</v>
      </c>
      <c r="CQ17" s="4" t="s">
        <v>261</v>
      </c>
      <c r="CR17" s="4" t="s">
        <v>241</v>
      </c>
      <c r="CS17" s="4" t="s">
        <v>241</v>
      </c>
      <c r="CT17" s="4">
        <v>0</v>
      </c>
      <c r="CU17" s="4" t="s">
        <v>262</v>
      </c>
      <c r="CV17" s="4" t="s">
        <v>263</v>
      </c>
      <c r="CW17" s="4" t="s">
        <v>263</v>
      </c>
      <c r="CX17" s="4" t="s">
        <v>264</v>
      </c>
      <c r="DA17" s="6">
        <f>24830</f>
        <v>24830</v>
      </c>
      <c r="DC17" s="4" t="s">
        <v>422</v>
      </c>
      <c r="DD17" s="4" t="s">
        <v>241</v>
      </c>
      <c r="DF17" s="4" t="s">
        <v>266</v>
      </c>
      <c r="DG17" s="6">
        <f>11.21</f>
        <v>11.21</v>
      </c>
      <c r="DI17" s="4" t="s">
        <v>414</v>
      </c>
      <c r="DJ17" s="4" t="s">
        <v>241</v>
      </c>
      <c r="DK17" s="4" t="s">
        <v>241</v>
      </c>
      <c r="DL17" s="4" t="s">
        <v>241</v>
      </c>
      <c r="DP17" s="4" t="s">
        <v>241</v>
      </c>
      <c r="DQ17" s="4" t="s">
        <v>241</v>
      </c>
      <c r="DR17" s="4" t="s">
        <v>241</v>
      </c>
      <c r="DS17" s="4" t="s">
        <v>241</v>
      </c>
      <c r="DV17" s="4" t="s">
        <v>4279</v>
      </c>
      <c r="DW17" s="4" t="s">
        <v>388</v>
      </c>
      <c r="HO17" s="4" t="s">
        <v>267</v>
      </c>
    </row>
    <row r="18" spans="1:223" ht="19.5" customHeight="1" x14ac:dyDescent="0.4">
      <c r="A18" s="4">
        <v>1</v>
      </c>
      <c r="B18" s="4" t="s">
        <v>239</v>
      </c>
      <c r="C18" s="4">
        <v>725</v>
      </c>
      <c r="D18" s="4">
        <v>1</v>
      </c>
      <c r="E18" s="4">
        <v>1</v>
      </c>
      <c r="F18" s="4" t="s">
        <v>240</v>
      </c>
      <c r="G18" s="4" t="s">
        <v>241</v>
      </c>
      <c r="H18" s="4" t="s">
        <v>241</v>
      </c>
      <c r="I18" s="4" t="s">
        <v>4283</v>
      </c>
      <c r="J18" s="4" t="s">
        <v>418</v>
      </c>
      <c r="K18" s="4" t="s">
        <v>251</v>
      </c>
      <c r="L18" s="4" t="s">
        <v>4282</v>
      </c>
      <c r="M18" s="5" t="s">
        <v>4285</v>
      </c>
      <c r="N18" s="6">
        <f>2471.85</f>
        <v>2471.85</v>
      </c>
      <c r="O18" s="4" t="s">
        <v>265</v>
      </c>
      <c r="P18" s="6">
        <f>5475147</f>
        <v>5475147</v>
      </c>
      <c r="Q18" s="6">
        <f>0</f>
        <v>0</v>
      </c>
      <c r="S18" s="6">
        <f>0</f>
        <v>0</v>
      </c>
      <c r="T18" s="6">
        <f>5475147</f>
        <v>5475147</v>
      </c>
      <c r="U18" s="5" t="s">
        <v>245</v>
      </c>
      <c r="V18" s="4" t="s">
        <v>270</v>
      </c>
      <c r="W18" s="4" t="s">
        <v>242</v>
      </c>
      <c r="X18" s="4" t="s">
        <v>273</v>
      </c>
      <c r="Y18" s="4" t="s">
        <v>241</v>
      </c>
      <c r="AB18" s="4" t="s">
        <v>241</v>
      </c>
      <c r="AD18" s="5" t="s">
        <v>241</v>
      </c>
      <c r="AG18" s="5" t="s">
        <v>246</v>
      </c>
      <c r="AH18" s="4" t="s">
        <v>4284</v>
      </c>
      <c r="AI18" s="4" t="s">
        <v>247</v>
      </c>
      <c r="AJ18" s="4" t="s">
        <v>248</v>
      </c>
      <c r="AZ18" s="4" t="s">
        <v>249</v>
      </c>
      <c r="BA18" s="4" t="s">
        <v>241</v>
      </c>
      <c r="BB18" s="4" t="s">
        <v>250</v>
      </c>
      <c r="BC18" s="4" t="s">
        <v>241</v>
      </c>
      <c r="BD18" s="4" t="s">
        <v>252</v>
      </c>
      <c r="BE18" s="4" t="s">
        <v>241</v>
      </c>
      <c r="BG18" s="4" t="s">
        <v>4227</v>
      </c>
      <c r="BI18" s="4" t="s">
        <v>253</v>
      </c>
      <c r="BJ18" s="5" t="s">
        <v>246</v>
      </c>
      <c r="BK18" s="4" t="s">
        <v>254</v>
      </c>
      <c r="BL18" s="4" t="s">
        <v>255</v>
      </c>
      <c r="BM18" s="4" t="s">
        <v>241</v>
      </c>
      <c r="BN18" s="6">
        <f>0</f>
        <v>0</v>
      </c>
      <c r="BO18" s="6">
        <f>0</f>
        <v>0</v>
      </c>
      <c r="BP18" s="4" t="s">
        <v>256</v>
      </c>
      <c r="BQ18" s="4" t="s">
        <v>257</v>
      </c>
      <c r="CE18" s="4" t="s">
        <v>241</v>
      </c>
      <c r="CF18" s="4" t="s">
        <v>241</v>
      </c>
      <c r="CJ18" s="4" t="s">
        <v>258</v>
      </c>
      <c r="CK18" s="4" t="s">
        <v>259</v>
      </c>
      <c r="CL18" s="4" t="s">
        <v>241</v>
      </c>
      <c r="CO18" s="5" t="s">
        <v>260</v>
      </c>
      <c r="CP18" s="4" t="s">
        <v>241</v>
      </c>
      <c r="CQ18" s="4" t="s">
        <v>261</v>
      </c>
      <c r="CR18" s="4" t="s">
        <v>241</v>
      </c>
      <c r="CS18" s="4" t="s">
        <v>241</v>
      </c>
      <c r="CT18" s="4">
        <v>0</v>
      </c>
      <c r="CU18" s="4" t="s">
        <v>262</v>
      </c>
      <c r="CV18" s="4" t="s">
        <v>263</v>
      </c>
      <c r="CW18" s="4" t="s">
        <v>263</v>
      </c>
      <c r="CX18" s="4" t="s">
        <v>264</v>
      </c>
      <c r="DA18" s="6">
        <f>5475147</f>
        <v>5475147</v>
      </c>
      <c r="DC18" s="4" t="s">
        <v>422</v>
      </c>
      <c r="DD18" s="4" t="s">
        <v>241</v>
      </c>
      <c r="DF18" s="4" t="s">
        <v>422</v>
      </c>
      <c r="DG18" s="6">
        <f>2471</f>
        <v>2471</v>
      </c>
      <c r="DI18" s="4" t="s">
        <v>414</v>
      </c>
      <c r="DJ18" s="4" t="s">
        <v>241</v>
      </c>
      <c r="DK18" s="4" t="s">
        <v>241</v>
      </c>
      <c r="DL18" s="4" t="s">
        <v>241</v>
      </c>
      <c r="DP18" s="4" t="s">
        <v>241</v>
      </c>
      <c r="DQ18" s="4" t="s">
        <v>241</v>
      </c>
      <c r="DR18" s="4" t="s">
        <v>241</v>
      </c>
      <c r="DS18" s="4" t="s">
        <v>241</v>
      </c>
      <c r="DV18" s="4" t="s">
        <v>4286</v>
      </c>
      <c r="DW18" s="4" t="s">
        <v>267</v>
      </c>
      <c r="HO18" s="4" t="s">
        <v>267</v>
      </c>
    </row>
    <row r="19" spans="1:223" ht="19.5" customHeight="1" x14ac:dyDescent="0.4">
      <c r="A19" s="4">
        <v>1</v>
      </c>
      <c r="B19" s="4" t="s">
        <v>239</v>
      </c>
      <c r="C19" s="4">
        <v>726</v>
      </c>
      <c r="D19" s="4">
        <v>1</v>
      </c>
      <c r="E19" s="4">
        <v>1</v>
      </c>
      <c r="F19" s="4" t="s">
        <v>240</v>
      </c>
      <c r="G19" s="4" t="s">
        <v>241</v>
      </c>
      <c r="H19" s="4" t="s">
        <v>241</v>
      </c>
      <c r="I19" s="4" t="s">
        <v>4288</v>
      </c>
      <c r="J19" s="4" t="s">
        <v>418</v>
      </c>
      <c r="K19" s="4" t="s">
        <v>251</v>
      </c>
      <c r="L19" s="4" t="s">
        <v>4287</v>
      </c>
      <c r="M19" s="5" t="s">
        <v>4289</v>
      </c>
      <c r="N19" s="6">
        <f>2496</f>
        <v>2496</v>
      </c>
      <c r="O19" s="4" t="s">
        <v>265</v>
      </c>
      <c r="P19" s="6">
        <f>5528640</f>
        <v>5528640</v>
      </c>
      <c r="Q19" s="6">
        <f>0</f>
        <v>0</v>
      </c>
      <c r="S19" s="6">
        <f>0</f>
        <v>0</v>
      </c>
      <c r="T19" s="6">
        <f>5528640</f>
        <v>5528640</v>
      </c>
      <c r="U19" s="5" t="s">
        <v>245</v>
      </c>
      <c r="V19" s="4" t="s">
        <v>270</v>
      </c>
      <c r="W19" s="4" t="s">
        <v>242</v>
      </c>
      <c r="X19" s="4" t="s">
        <v>273</v>
      </c>
      <c r="Y19" s="4" t="s">
        <v>241</v>
      </c>
      <c r="AB19" s="4" t="s">
        <v>241</v>
      </c>
      <c r="AD19" s="5" t="s">
        <v>241</v>
      </c>
      <c r="AG19" s="5" t="s">
        <v>246</v>
      </c>
      <c r="AH19" s="4" t="s">
        <v>241</v>
      </c>
      <c r="AI19" s="4" t="s">
        <v>247</v>
      </c>
      <c r="AJ19" s="4" t="s">
        <v>248</v>
      </c>
      <c r="AZ19" s="4" t="s">
        <v>249</v>
      </c>
      <c r="BA19" s="4" t="s">
        <v>241</v>
      </c>
      <c r="BB19" s="4" t="s">
        <v>250</v>
      </c>
      <c r="BC19" s="4" t="s">
        <v>241</v>
      </c>
      <c r="BD19" s="4" t="s">
        <v>252</v>
      </c>
      <c r="BE19" s="4" t="s">
        <v>241</v>
      </c>
      <c r="BG19" s="4" t="s">
        <v>4227</v>
      </c>
      <c r="BI19" s="4" t="s">
        <v>253</v>
      </c>
      <c r="BJ19" s="5" t="s">
        <v>246</v>
      </c>
      <c r="BK19" s="4" t="s">
        <v>254</v>
      </c>
      <c r="BL19" s="4" t="s">
        <v>255</v>
      </c>
      <c r="BM19" s="4" t="s">
        <v>241</v>
      </c>
      <c r="BN19" s="6">
        <f>0</f>
        <v>0</v>
      </c>
      <c r="BO19" s="6">
        <f>0</f>
        <v>0</v>
      </c>
      <c r="BP19" s="4" t="s">
        <v>256</v>
      </c>
      <c r="BQ19" s="4" t="s">
        <v>257</v>
      </c>
      <c r="CE19" s="4" t="s">
        <v>241</v>
      </c>
      <c r="CF19" s="4" t="s">
        <v>241</v>
      </c>
      <c r="CJ19" s="4" t="s">
        <v>258</v>
      </c>
      <c r="CK19" s="4" t="s">
        <v>259</v>
      </c>
      <c r="CL19" s="4" t="s">
        <v>241</v>
      </c>
      <c r="CO19" s="5" t="s">
        <v>260</v>
      </c>
      <c r="CP19" s="4" t="s">
        <v>241</v>
      </c>
      <c r="CQ19" s="4" t="s">
        <v>261</v>
      </c>
      <c r="CR19" s="4" t="s">
        <v>241</v>
      </c>
      <c r="CS19" s="4" t="s">
        <v>241</v>
      </c>
      <c r="CT19" s="4">
        <v>0</v>
      </c>
      <c r="CU19" s="4" t="s">
        <v>262</v>
      </c>
      <c r="CV19" s="4" t="s">
        <v>263</v>
      </c>
      <c r="CW19" s="4" t="s">
        <v>263</v>
      </c>
      <c r="CX19" s="4" t="s">
        <v>264</v>
      </c>
      <c r="DA19" s="6">
        <f>5528640</f>
        <v>5528640</v>
      </c>
      <c r="DC19" s="4" t="s">
        <v>422</v>
      </c>
      <c r="DD19" s="4" t="s">
        <v>241</v>
      </c>
      <c r="DF19" s="4" t="s">
        <v>414</v>
      </c>
      <c r="DG19" s="6">
        <f>2496</f>
        <v>2496</v>
      </c>
      <c r="DI19" s="4" t="s">
        <v>414</v>
      </c>
      <c r="DJ19" s="4" t="s">
        <v>241</v>
      </c>
      <c r="DK19" s="4" t="s">
        <v>241</v>
      </c>
      <c r="DL19" s="4" t="s">
        <v>241</v>
      </c>
      <c r="DP19" s="4" t="s">
        <v>241</v>
      </c>
      <c r="DQ19" s="4" t="s">
        <v>241</v>
      </c>
      <c r="DR19" s="4" t="s">
        <v>241</v>
      </c>
      <c r="DS19" s="4" t="s">
        <v>241</v>
      </c>
      <c r="DV19" s="4" t="s">
        <v>4290</v>
      </c>
      <c r="DW19" s="4" t="s">
        <v>267</v>
      </c>
      <c r="HO19" s="4" t="s">
        <v>267</v>
      </c>
    </row>
    <row r="20" spans="1:223" ht="19.5" customHeight="1" x14ac:dyDescent="0.4">
      <c r="A20" s="4">
        <v>1</v>
      </c>
      <c r="B20" s="4" t="s">
        <v>239</v>
      </c>
      <c r="C20" s="4">
        <v>727</v>
      </c>
      <c r="D20" s="4">
        <v>1</v>
      </c>
      <c r="E20" s="4">
        <v>1</v>
      </c>
      <c r="F20" s="4" t="s">
        <v>240</v>
      </c>
      <c r="G20" s="4" t="s">
        <v>241</v>
      </c>
      <c r="H20" s="4" t="s">
        <v>241</v>
      </c>
      <c r="I20" s="4" t="s">
        <v>4293</v>
      </c>
      <c r="J20" s="4" t="s">
        <v>596</v>
      </c>
      <c r="K20" s="4" t="s">
        <v>251</v>
      </c>
      <c r="L20" s="4" t="s">
        <v>4292</v>
      </c>
      <c r="M20" s="5" t="s">
        <v>3163</v>
      </c>
      <c r="N20" s="6">
        <f>20493.2</f>
        <v>20493.2</v>
      </c>
      <c r="O20" s="4" t="s">
        <v>265</v>
      </c>
      <c r="P20" s="6">
        <f>45392438</f>
        <v>45392438</v>
      </c>
      <c r="Q20" s="6">
        <f>0</f>
        <v>0</v>
      </c>
      <c r="S20" s="6">
        <f>0</f>
        <v>0</v>
      </c>
      <c r="T20" s="6">
        <f>45392438</f>
        <v>45392438</v>
      </c>
      <c r="U20" s="5" t="s">
        <v>245</v>
      </c>
      <c r="V20" s="4" t="s">
        <v>270</v>
      </c>
      <c r="W20" s="4" t="s">
        <v>242</v>
      </c>
      <c r="X20" s="4" t="s">
        <v>273</v>
      </c>
      <c r="Y20" s="4" t="s">
        <v>241</v>
      </c>
      <c r="AB20" s="4" t="s">
        <v>241</v>
      </c>
      <c r="AD20" s="5" t="s">
        <v>241</v>
      </c>
      <c r="AG20" s="5" t="s">
        <v>246</v>
      </c>
      <c r="AH20" s="4" t="s">
        <v>4294</v>
      </c>
      <c r="AI20" s="4" t="s">
        <v>247</v>
      </c>
      <c r="AJ20" s="4" t="s">
        <v>248</v>
      </c>
      <c r="AZ20" s="4" t="s">
        <v>249</v>
      </c>
      <c r="BA20" s="4" t="s">
        <v>241</v>
      </c>
      <c r="BB20" s="4" t="s">
        <v>250</v>
      </c>
      <c r="BC20" s="4" t="s">
        <v>241</v>
      </c>
      <c r="BD20" s="4" t="s">
        <v>252</v>
      </c>
      <c r="BE20" s="4" t="s">
        <v>241</v>
      </c>
      <c r="BG20" s="4" t="s">
        <v>4227</v>
      </c>
      <c r="BI20" s="4" t="s">
        <v>253</v>
      </c>
      <c r="BJ20" s="5" t="s">
        <v>246</v>
      </c>
      <c r="BK20" s="4" t="s">
        <v>254</v>
      </c>
      <c r="BL20" s="4" t="s">
        <v>3172</v>
      </c>
      <c r="BM20" s="4" t="s">
        <v>241</v>
      </c>
      <c r="BN20" s="6">
        <f>0</f>
        <v>0</v>
      </c>
      <c r="BO20" s="6">
        <f>0</f>
        <v>0</v>
      </c>
      <c r="BP20" s="4" t="s">
        <v>256</v>
      </c>
      <c r="BQ20" s="4" t="s">
        <v>257</v>
      </c>
      <c r="CE20" s="4" t="s">
        <v>241</v>
      </c>
      <c r="CF20" s="4" t="s">
        <v>241</v>
      </c>
      <c r="CJ20" s="4" t="s">
        <v>258</v>
      </c>
      <c r="CK20" s="4" t="s">
        <v>259</v>
      </c>
      <c r="CL20" s="4" t="s">
        <v>241</v>
      </c>
      <c r="CO20" s="5" t="s">
        <v>260</v>
      </c>
      <c r="CP20" s="4" t="s">
        <v>241</v>
      </c>
      <c r="CQ20" s="4" t="s">
        <v>261</v>
      </c>
      <c r="CR20" s="4" t="s">
        <v>241</v>
      </c>
      <c r="CS20" s="4" t="s">
        <v>241</v>
      </c>
      <c r="CT20" s="4">
        <v>0</v>
      </c>
      <c r="CU20" s="4" t="s">
        <v>262</v>
      </c>
      <c r="CV20" s="4" t="s">
        <v>263</v>
      </c>
      <c r="CW20" s="4" t="s">
        <v>263</v>
      </c>
      <c r="CX20" s="4" t="s">
        <v>264</v>
      </c>
      <c r="DA20" s="6">
        <f>45392438</f>
        <v>45392438</v>
      </c>
      <c r="DC20" s="4" t="s">
        <v>414</v>
      </c>
      <c r="DD20" s="4" t="s">
        <v>241</v>
      </c>
      <c r="DF20" s="4" t="s">
        <v>414</v>
      </c>
      <c r="DG20" s="6">
        <f>20493.2</f>
        <v>20493.2</v>
      </c>
      <c r="DI20" s="4" t="s">
        <v>414</v>
      </c>
      <c r="DJ20" s="4" t="s">
        <v>241</v>
      </c>
      <c r="DK20" s="4" t="s">
        <v>241</v>
      </c>
      <c r="DL20" s="4" t="s">
        <v>241</v>
      </c>
      <c r="DP20" s="4" t="s">
        <v>241</v>
      </c>
      <c r="DQ20" s="4" t="s">
        <v>241</v>
      </c>
      <c r="DR20" s="4" t="s">
        <v>241</v>
      </c>
      <c r="DS20" s="4" t="s">
        <v>241</v>
      </c>
      <c r="DV20" s="4" t="s">
        <v>4295</v>
      </c>
      <c r="DW20" s="4" t="s">
        <v>267</v>
      </c>
      <c r="HO20" s="4" t="s">
        <v>748</v>
      </c>
    </row>
    <row r="21" spans="1:223" ht="19.5" customHeight="1" x14ac:dyDescent="0.4">
      <c r="A21" s="4">
        <v>1</v>
      </c>
      <c r="B21" s="4" t="s">
        <v>239</v>
      </c>
      <c r="C21" s="4">
        <v>728</v>
      </c>
      <c r="D21" s="4">
        <v>1</v>
      </c>
      <c r="E21" s="4">
        <v>1</v>
      </c>
      <c r="F21" s="4" t="s">
        <v>240</v>
      </c>
      <c r="G21" s="4" t="s">
        <v>241</v>
      </c>
      <c r="H21" s="4" t="s">
        <v>241</v>
      </c>
      <c r="I21" s="4" t="s">
        <v>4297</v>
      </c>
      <c r="J21" s="4" t="s">
        <v>418</v>
      </c>
      <c r="K21" s="4" t="s">
        <v>251</v>
      </c>
      <c r="L21" s="4" t="s">
        <v>4296</v>
      </c>
      <c r="M21" s="5" t="s">
        <v>4298</v>
      </c>
      <c r="N21" s="6">
        <f>2758</f>
        <v>2758</v>
      </c>
      <c r="O21" s="4" t="s">
        <v>265</v>
      </c>
      <c r="P21" s="6">
        <f>6108970</f>
        <v>6108970</v>
      </c>
      <c r="Q21" s="6">
        <f>0</f>
        <v>0</v>
      </c>
      <c r="S21" s="6">
        <f>0</f>
        <v>0</v>
      </c>
      <c r="T21" s="6">
        <f>6108970</f>
        <v>6108970</v>
      </c>
      <c r="U21" s="5" t="s">
        <v>245</v>
      </c>
      <c r="V21" s="4" t="s">
        <v>270</v>
      </c>
      <c r="W21" s="4" t="s">
        <v>242</v>
      </c>
      <c r="X21" s="4" t="s">
        <v>273</v>
      </c>
      <c r="Y21" s="4" t="s">
        <v>241</v>
      </c>
      <c r="AB21" s="4" t="s">
        <v>241</v>
      </c>
      <c r="AD21" s="5" t="s">
        <v>241</v>
      </c>
      <c r="AG21" s="5" t="s">
        <v>246</v>
      </c>
      <c r="AH21" s="4" t="s">
        <v>241</v>
      </c>
      <c r="AI21" s="4" t="s">
        <v>247</v>
      </c>
      <c r="AJ21" s="4" t="s">
        <v>248</v>
      </c>
      <c r="AZ21" s="4" t="s">
        <v>249</v>
      </c>
      <c r="BA21" s="4" t="s">
        <v>241</v>
      </c>
      <c r="BB21" s="4" t="s">
        <v>250</v>
      </c>
      <c r="BC21" s="4" t="s">
        <v>241</v>
      </c>
      <c r="BD21" s="4" t="s">
        <v>252</v>
      </c>
      <c r="BE21" s="4" t="s">
        <v>241</v>
      </c>
      <c r="BG21" s="4" t="s">
        <v>4227</v>
      </c>
      <c r="BI21" s="4" t="s">
        <v>253</v>
      </c>
      <c r="BJ21" s="5" t="s">
        <v>246</v>
      </c>
      <c r="BK21" s="4" t="s">
        <v>254</v>
      </c>
      <c r="BL21" s="4" t="s">
        <v>255</v>
      </c>
      <c r="BM21" s="4" t="s">
        <v>241</v>
      </c>
      <c r="BN21" s="6">
        <f>0</f>
        <v>0</v>
      </c>
      <c r="BO21" s="6">
        <f>0</f>
        <v>0</v>
      </c>
      <c r="BP21" s="4" t="s">
        <v>256</v>
      </c>
      <c r="BQ21" s="4" t="s">
        <v>257</v>
      </c>
      <c r="CE21" s="4" t="s">
        <v>241</v>
      </c>
      <c r="CF21" s="4" t="s">
        <v>241</v>
      </c>
      <c r="CJ21" s="4" t="s">
        <v>258</v>
      </c>
      <c r="CK21" s="4" t="s">
        <v>259</v>
      </c>
      <c r="CL21" s="4" t="s">
        <v>241</v>
      </c>
      <c r="CO21" s="5" t="s">
        <v>260</v>
      </c>
      <c r="CP21" s="4" t="s">
        <v>241</v>
      </c>
      <c r="CQ21" s="4" t="s">
        <v>261</v>
      </c>
      <c r="CR21" s="4" t="s">
        <v>241</v>
      </c>
      <c r="CS21" s="4" t="s">
        <v>241</v>
      </c>
      <c r="CT21" s="4">
        <v>0</v>
      </c>
      <c r="CU21" s="4" t="s">
        <v>262</v>
      </c>
      <c r="CV21" s="4" t="s">
        <v>263</v>
      </c>
      <c r="CW21" s="4" t="s">
        <v>263</v>
      </c>
      <c r="CX21" s="4" t="s">
        <v>264</v>
      </c>
      <c r="DA21" s="6">
        <f>6108970</f>
        <v>6108970</v>
      </c>
      <c r="DC21" s="4" t="s">
        <v>422</v>
      </c>
      <c r="DD21" s="4" t="s">
        <v>241</v>
      </c>
      <c r="DF21" s="4" t="s">
        <v>422</v>
      </c>
      <c r="DG21" s="6">
        <f>2758</f>
        <v>2758</v>
      </c>
      <c r="DI21" s="4" t="s">
        <v>414</v>
      </c>
      <c r="DJ21" s="4" t="s">
        <v>241</v>
      </c>
      <c r="DK21" s="4" t="s">
        <v>241</v>
      </c>
      <c r="DL21" s="4" t="s">
        <v>241</v>
      </c>
      <c r="DP21" s="4" t="s">
        <v>241</v>
      </c>
      <c r="DQ21" s="4" t="s">
        <v>241</v>
      </c>
      <c r="DR21" s="4" t="s">
        <v>241</v>
      </c>
      <c r="DS21" s="4" t="s">
        <v>241</v>
      </c>
      <c r="DV21" s="4" t="s">
        <v>4299</v>
      </c>
      <c r="DW21" s="4" t="s">
        <v>267</v>
      </c>
      <c r="HO21" s="4" t="s">
        <v>267</v>
      </c>
    </row>
    <row r="22" spans="1:223" ht="19.5" customHeight="1" x14ac:dyDescent="0.4">
      <c r="A22" s="4">
        <v>1</v>
      </c>
      <c r="B22" s="4" t="s">
        <v>239</v>
      </c>
      <c r="C22" s="4">
        <v>729</v>
      </c>
      <c r="D22" s="4">
        <v>1</v>
      </c>
      <c r="E22" s="4">
        <v>1</v>
      </c>
      <c r="F22" s="4" t="s">
        <v>240</v>
      </c>
      <c r="G22" s="4" t="s">
        <v>241</v>
      </c>
      <c r="H22" s="4" t="s">
        <v>241</v>
      </c>
      <c r="I22" s="4" t="s">
        <v>4297</v>
      </c>
      <c r="J22" s="4" t="s">
        <v>418</v>
      </c>
      <c r="K22" s="4" t="s">
        <v>251</v>
      </c>
      <c r="L22" s="4" t="s">
        <v>4296</v>
      </c>
      <c r="M22" s="5" t="s">
        <v>4301</v>
      </c>
      <c r="N22" s="6">
        <f>12161</f>
        <v>12161</v>
      </c>
      <c r="O22" s="4" t="s">
        <v>265</v>
      </c>
      <c r="P22" s="6">
        <f>26936615</f>
        <v>26936615</v>
      </c>
      <c r="Q22" s="6">
        <f>0</f>
        <v>0</v>
      </c>
      <c r="S22" s="6">
        <f>0</f>
        <v>0</v>
      </c>
      <c r="T22" s="6">
        <f>26936615</f>
        <v>26936615</v>
      </c>
      <c r="U22" s="5" t="s">
        <v>245</v>
      </c>
      <c r="V22" s="4" t="s">
        <v>270</v>
      </c>
      <c r="W22" s="4" t="s">
        <v>242</v>
      </c>
      <c r="X22" s="4" t="s">
        <v>273</v>
      </c>
      <c r="Y22" s="4" t="s">
        <v>241</v>
      </c>
      <c r="AB22" s="4" t="s">
        <v>241</v>
      </c>
      <c r="AD22" s="5" t="s">
        <v>241</v>
      </c>
      <c r="AG22" s="5" t="s">
        <v>4300</v>
      </c>
      <c r="AH22" s="4" t="s">
        <v>241</v>
      </c>
      <c r="AI22" s="4" t="s">
        <v>247</v>
      </c>
      <c r="AJ22" s="4" t="s">
        <v>248</v>
      </c>
      <c r="AZ22" s="4" t="s">
        <v>249</v>
      </c>
      <c r="BA22" s="4" t="s">
        <v>241</v>
      </c>
      <c r="BB22" s="4" t="s">
        <v>250</v>
      </c>
      <c r="BC22" s="4" t="s">
        <v>241</v>
      </c>
      <c r="BD22" s="4" t="s">
        <v>252</v>
      </c>
      <c r="BE22" s="4" t="s">
        <v>241</v>
      </c>
      <c r="BI22" s="4" t="s">
        <v>284</v>
      </c>
      <c r="BJ22" s="5" t="s">
        <v>4300</v>
      </c>
      <c r="BK22" s="4" t="s">
        <v>254</v>
      </c>
      <c r="BL22" s="4" t="s">
        <v>255</v>
      </c>
      <c r="BM22" s="4" t="s">
        <v>241</v>
      </c>
      <c r="BN22" s="6">
        <f>0</f>
        <v>0</v>
      </c>
      <c r="BO22" s="6">
        <f>0</f>
        <v>0</v>
      </c>
      <c r="BP22" s="4" t="s">
        <v>256</v>
      </c>
      <c r="BQ22" s="4" t="s">
        <v>257</v>
      </c>
      <c r="CE22" s="4" t="s">
        <v>241</v>
      </c>
      <c r="CF22" s="4" t="s">
        <v>241</v>
      </c>
      <c r="CJ22" s="4" t="s">
        <v>258</v>
      </c>
      <c r="CK22" s="4" t="s">
        <v>259</v>
      </c>
      <c r="CL22" s="4" t="s">
        <v>241</v>
      </c>
      <c r="CO22" s="5" t="s">
        <v>260</v>
      </c>
      <c r="CP22" s="4" t="s">
        <v>241</v>
      </c>
      <c r="CQ22" s="4" t="s">
        <v>261</v>
      </c>
      <c r="CR22" s="4" t="s">
        <v>241</v>
      </c>
      <c r="CS22" s="4" t="s">
        <v>241</v>
      </c>
      <c r="CT22" s="4">
        <v>0</v>
      </c>
      <c r="CU22" s="4" t="s">
        <v>262</v>
      </c>
      <c r="CV22" s="4" t="s">
        <v>263</v>
      </c>
      <c r="CW22" s="4" t="s">
        <v>263</v>
      </c>
      <c r="CX22" s="4" t="s">
        <v>264</v>
      </c>
      <c r="DA22" s="6">
        <f>26936615</f>
        <v>26936615</v>
      </c>
      <c r="DC22" s="4" t="s">
        <v>422</v>
      </c>
      <c r="DD22" s="4" t="s">
        <v>241</v>
      </c>
      <c r="DF22" s="4" t="s">
        <v>422</v>
      </c>
      <c r="DG22" s="6">
        <f>12161</f>
        <v>12161</v>
      </c>
      <c r="DI22" s="4" t="s">
        <v>414</v>
      </c>
      <c r="DJ22" s="4" t="s">
        <v>241</v>
      </c>
      <c r="DK22" s="4" t="s">
        <v>241</v>
      </c>
      <c r="DL22" s="4" t="s">
        <v>241</v>
      </c>
      <c r="DP22" s="4" t="s">
        <v>241</v>
      </c>
      <c r="DQ22" s="4" t="s">
        <v>241</v>
      </c>
      <c r="DR22" s="4" t="s">
        <v>241</v>
      </c>
      <c r="DS22" s="4" t="s">
        <v>241</v>
      </c>
      <c r="DV22" s="4" t="s">
        <v>4299</v>
      </c>
      <c r="DW22" s="4" t="s">
        <v>416</v>
      </c>
      <c r="HO22" s="4" t="s">
        <v>267</v>
      </c>
    </row>
    <row r="23" spans="1:223" ht="19.5" customHeight="1" x14ac:dyDescent="0.4">
      <c r="A23" s="4">
        <v>1</v>
      </c>
      <c r="B23" s="4" t="s">
        <v>239</v>
      </c>
      <c r="C23" s="4">
        <v>730</v>
      </c>
      <c r="D23" s="4">
        <v>1</v>
      </c>
      <c r="E23" s="4">
        <v>1</v>
      </c>
      <c r="F23" s="4" t="s">
        <v>240</v>
      </c>
      <c r="G23" s="4" t="s">
        <v>241</v>
      </c>
      <c r="H23" s="4" t="s">
        <v>241</v>
      </c>
      <c r="I23" s="4" t="s">
        <v>4303</v>
      </c>
      <c r="J23" s="4" t="s">
        <v>418</v>
      </c>
      <c r="K23" s="4" t="s">
        <v>251</v>
      </c>
      <c r="L23" s="4" t="s">
        <v>4302</v>
      </c>
      <c r="M23" s="5" t="s">
        <v>4304</v>
      </c>
      <c r="N23" s="6">
        <f>14115</f>
        <v>14115</v>
      </c>
      <c r="O23" s="4" t="s">
        <v>265</v>
      </c>
      <c r="P23" s="6">
        <f>31264725</f>
        <v>31264725</v>
      </c>
      <c r="Q23" s="6">
        <f>0</f>
        <v>0</v>
      </c>
      <c r="S23" s="6">
        <f>0</f>
        <v>0</v>
      </c>
      <c r="T23" s="6">
        <f>31264725</f>
        <v>31264725</v>
      </c>
      <c r="U23" s="5" t="s">
        <v>245</v>
      </c>
      <c r="V23" s="4" t="s">
        <v>270</v>
      </c>
      <c r="W23" s="4" t="s">
        <v>242</v>
      </c>
      <c r="X23" s="4" t="s">
        <v>273</v>
      </c>
      <c r="Y23" s="4" t="s">
        <v>241</v>
      </c>
      <c r="AB23" s="4" t="s">
        <v>241</v>
      </c>
      <c r="AD23" s="5" t="s">
        <v>241</v>
      </c>
      <c r="AG23" s="5" t="s">
        <v>246</v>
      </c>
      <c r="AH23" s="4" t="s">
        <v>241</v>
      </c>
      <c r="AI23" s="4" t="s">
        <v>247</v>
      </c>
      <c r="AJ23" s="4" t="s">
        <v>248</v>
      </c>
      <c r="AZ23" s="4" t="s">
        <v>249</v>
      </c>
      <c r="BA23" s="4" t="s">
        <v>241</v>
      </c>
      <c r="BB23" s="4" t="s">
        <v>250</v>
      </c>
      <c r="BC23" s="4" t="s">
        <v>241</v>
      </c>
      <c r="BD23" s="4" t="s">
        <v>252</v>
      </c>
      <c r="BE23" s="4" t="s">
        <v>241</v>
      </c>
      <c r="BG23" s="4" t="s">
        <v>4227</v>
      </c>
      <c r="BI23" s="4" t="s">
        <v>253</v>
      </c>
      <c r="BJ23" s="5" t="s">
        <v>246</v>
      </c>
      <c r="BK23" s="4" t="s">
        <v>254</v>
      </c>
      <c r="BL23" s="4" t="s">
        <v>255</v>
      </c>
      <c r="BM23" s="4" t="s">
        <v>241</v>
      </c>
      <c r="BN23" s="6">
        <f>0</f>
        <v>0</v>
      </c>
      <c r="BO23" s="6">
        <f>0</f>
        <v>0</v>
      </c>
      <c r="BP23" s="4" t="s">
        <v>256</v>
      </c>
      <c r="BQ23" s="4" t="s">
        <v>257</v>
      </c>
      <c r="CE23" s="4" t="s">
        <v>241</v>
      </c>
      <c r="CF23" s="4" t="s">
        <v>241</v>
      </c>
      <c r="CJ23" s="4" t="s">
        <v>258</v>
      </c>
      <c r="CK23" s="4" t="s">
        <v>259</v>
      </c>
      <c r="CL23" s="4" t="s">
        <v>241</v>
      </c>
      <c r="CO23" s="5" t="s">
        <v>260</v>
      </c>
      <c r="CP23" s="4" t="s">
        <v>241</v>
      </c>
      <c r="CQ23" s="4" t="s">
        <v>261</v>
      </c>
      <c r="CR23" s="4" t="s">
        <v>241</v>
      </c>
      <c r="CS23" s="4" t="s">
        <v>241</v>
      </c>
      <c r="CT23" s="4">
        <v>0</v>
      </c>
      <c r="CU23" s="4" t="s">
        <v>262</v>
      </c>
      <c r="CV23" s="4" t="s">
        <v>263</v>
      </c>
      <c r="CW23" s="4" t="s">
        <v>263</v>
      </c>
      <c r="CX23" s="4" t="s">
        <v>264</v>
      </c>
      <c r="DA23" s="6">
        <f>31264725</f>
        <v>31264725</v>
      </c>
      <c r="DC23" s="4" t="s">
        <v>422</v>
      </c>
      <c r="DD23" s="4" t="s">
        <v>241</v>
      </c>
      <c r="DF23" s="4" t="s">
        <v>422</v>
      </c>
      <c r="DG23" s="6">
        <f>14115</f>
        <v>14115</v>
      </c>
      <c r="DI23" s="4" t="s">
        <v>414</v>
      </c>
      <c r="DJ23" s="4" t="s">
        <v>241</v>
      </c>
      <c r="DK23" s="4" t="s">
        <v>241</v>
      </c>
      <c r="DL23" s="4" t="s">
        <v>241</v>
      </c>
      <c r="DP23" s="4" t="s">
        <v>241</v>
      </c>
      <c r="DQ23" s="4" t="s">
        <v>241</v>
      </c>
      <c r="DR23" s="4" t="s">
        <v>241</v>
      </c>
      <c r="DS23" s="4" t="s">
        <v>241</v>
      </c>
      <c r="DV23" s="4" t="s">
        <v>4305</v>
      </c>
      <c r="DW23" s="4" t="s">
        <v>267</v>
      </c>
      <c r="HO23" s="4" t="s">
        <v>267</v>
      </c>
    </row>
    <row r="24" spans="1:223" ht="19.5" customHeight="1" x14ac:dyDescent="0.4">
      <c r="A24" s="4">
        <v>1</v>
      </c>
      <c r="B24" s="4" t="s">
        <v>239</v>
      </c>
      <c r="C24" s="4">
        <v>731</v>
      </c>
      <c r="D24" s="4">
        <v>1</v>
      </c>
      <c r="E24" s="4">
        <v>1</v>
      </c>
      <c r="F24" s="4" t="s">
        <v>240</v>
      </c>
      <c r="G24" s="4" t="s">
        <v>241</v>
      </c>
      <c r="H24" s="4" t="s">
        <v>241</v>
      </c>
      <c r="I24" s="4" t="s">
        <v>4308</v>
      </c>
      <c r="J24" s="4" t="s">
        <v>596</v>
      </c>
      <c r="K24" s="4" t="s">
        <v>251</v>
      </c>
      <c r="L24" s="4" t="s">
        <v>4307</v>
      </c>
      <c r="M24" s="5" t="s">
        <v>4314</v>
      </c>
      <c r="N24" s="6">
        <f>20779</f>
        <v>20779</v>
      </c>
      <c r="O24" s="4" t="s">
        <v>265</v>
      </c>
      <c r="P24" s="6">
        <f>46025485</f>
        <v>46025485</v>
      </c>
      <c r="Q24" s="6">
        <f>0</f>
        <v>0</v>
      </c>
      <c r="S24" s="6">
        <f>0</f>
        <v>0</v>
      </c>
      <c r="T24" s="6">
        <f>46025485</f>
        <v>46025485</v>
      </c>
      <c r="U24" s="5" t="s">
        <v>245</v>
      </c>
      <c r="V24" s="4" t="s">
        <v>270</v>
      </c>
      <c r="W24" s="4" t="s">
        <v>242</v>
      </c>
      <c r="X24" s="4" t="s">
        <v>273</v>
      </c>
      <c r="Y24" s="4" t="s">
        <v>241</v>
      </c>
      <c r="AB24" s="4" t="s">
        <v>241</v>
      </c>
      <c r="AD24" s="5" t="s">
        <v>241</v>
      </c>
      <c r="AG24" s="5" t="s">
        <v>246</v>
      </c>
      <c r="AH24" s="4" t="s">
        <v>241</v>
      </c>
      <c r="AI24" s="4" t="s">
        <v>247</v>
      </c>
      <c r="AJ24" s="4" t="s">
        <v>248</v>
      </c>
      <c r="AZ24" s="4" t="s">
        <v>249</v>
      </c>
      <c r="BA24" s="4" t="s">
        <v>241</v>
      </c>
      <c r="BB24" s="4" t="s">
        <v>250</v>
      </c>
      <c r="BC24" s="4" t="s">
        <v>241</v>
      </c>
      <c r="BD24" s="4" t="s">
        <v>252</v>
      </c>
      <c r="BE24" s="4" t="s">
        <v>241</v>
      </c>
      <c r="BG24" s="4" t="s">
        <v>4227</v>
      </c>
      <c r="BI24" s="4" t="s">
        <v>253</v>
      </c>
      <c r="BJ24" s="5" t="s">
        <v>246</v>
      </c>
      <c r="BK24" s="4" t="s">
        <v>254</v>
      </c>
      <c r="BL24" s="4" t="s">
        <v>255</v>
      </c>
      <c r="BM24" s="4" t="s">
        <v>241</v>
      </c>
      <c r="BN24" s="6">
        <f>0</f>
        <v>0</v>
      </c>
      <c r="BO24" s="6">
        <f>0</f>
        <v>0</v>
      </c>
      <c r="BP24" s="4" t="s">
        <v>256</v>
      </c>
      <c r="BQ24" s="4" t="s">
        <v>257</v>
      </c>
      <c r="CE24" s="4" t="s">
        <v>241</v>
      </c>
      <c r="CF24" s="4" t="s">
        <v>241</v>
      </c>
      <c r="CJ24" s="4" t="s">
        <v>258</v>
      </c>
      <c r="CK24" s="4" t="s">
        <v>259</v>
      </c>
      <c r="CL24" s="4" t="s">
        <v>241</v>
      </c>
      <c r="CO24" s="5" t="s">
        <v>260</v>
      </c>
      <c r="CP24" s="4" t="s">
        <v>241</v>
      </c>
      <c r="CQ24" s="4" t="s">
        <v>261</v>
      </c>
      <c r="CR24" s="4" t="s">
        <v>241</v>
      </c>
      <c r="CS24" s="4" t="s">
        <v>241</v>
      </c>
      <c r="CT24" s="4">
        <v>0</v>
      </c>
      <c r="CU24" s="4" t="s">
        <v>262</v>
      </c>
      <c r="CV24" s="4" t="s">
        <v>263</v>
      </c>
      <c r="CW24" s="4" t="s">
        <v>263</v>
      </c>
      <c r="CX24" s="4" t="s">
        <v>264</v>
      </c>
      <c r="DA24" s="6">
        <f>46025485</f>
        <v>46025485</v>
      </c>
      <c r="DC24" s="4" t="s">
        <v>422</v>
      </c>
      <c r="DD24" s="4" t="s">
        <v>241</v>
      </c>
      <c r="DF24" s="4" t="s">
        <v>422</v>
      </c>
      <c r="DG24" s="6">
        <f>20779</f>
        <v>20779</v>
      </c>
      <c r="DI24" s="4" t="s">
        <v>414</v>
      </c>
      <c r="DJ24" s="4" t="s">
        <v>241</v>
      </c>
      <c r="DK24" s="4" t="s">
        <v>241</v>
      </c>
      <c r="DL24" s="4" t="s">
        <v>241</v>
      </c>
      <c r="DP24" s="4" t="s">
        <v>241</v>
      </c>
      <c r="DQ24" s="4" t="s">
        <v>241</v>
      </c>
      <c r="DR24" s="4" t="s">
        <v>241</v>
      </c>
      <c r="DS24" s="4" t="s">
        <v>241</v>
      </c>
      <c r="DV24" s="4" t="s">
        <v>4310</v>
      </c>
      <c r="DW24" s="4" t="s">
        <v>267</v>
      </c>
      <c r="HO24" s="4" t="s">
        <v>267</v>
      </c>
    </row>
    <row r="25" spans="1:223" ht="19.5" customHeight="1" x14ac:dyDescent="0.4">
      <c r="A25" s="4">
        <v>1</v>
      </c>
      <c r="B25" s="4" t="s">
        <v>239</v>
      </c>
      <c r="C25" s="4">
        <v>732</v>
      </c>
      <c r="D25" s="4">
        <v>1</v>
      </c>
      <c r="E25" s="4">
        <v>1</v>
      </c>
      <c r="F25" s="4" t="s">
        <v>240</v>
      </c>
      <c r="G25" s="4" t="s">
        <v>241</v>
      </c>
      <c r="H25" s="4" t="s">
        <v>241</v>
      </c>
      <c r="I25" s="4" t="s">
        <v>4308</v>
      </c>
      <c r="J25" s="4" t="s">
        <v>596</v>
      </c>
      <c r="K25" s="4" t="s">
        <v>251</v>
      </c>
      <c r="L25" s="4" t="s">
        <v>4307</v>
      </c>
      <c r="M25" s="5" t="s">
        <v>4309</v>
      </c>
      <c r="N25" s="6">
        <f>7409</f>
        <v>7409</v>
      </c>
      <c r="O25" s="4" t="s">
        <v>265</v>
      </c>
      <c r="P25" s="6">
        <f>16410935</f>
        <v>16410935</v>
      </c>
      <c r="Q25" s="6">
        <f>0</f>
        <v>0</v>
      </c>
      <c r="S25" s="6">
        <f>0</f>
        <v>0</v>
      </c>
      <c r="T25" s="6">
        <f>16410935</f>
        <v>16410935</v>
      </c>
      <c r="U25" s="5" t="s">
        <v>245</v>
      </c>
      <c r="V25" s="4" t="s">
        <v>270</v>
      </c>
      <c r="W25" s="4" t="s">
        <v>242</v>
      </c>
      <c r="X25" s="4" t="s">
        <v>273</v>
      </c>
      <c r="Y25" s="4" t="s">
        <v>241</v>
      </c>
      <c r="AB25" s="4" t="s">
        <v>241</v>
      </c>
      <c r="AD25" s="5" t="s">
        <v>241</v>
      </c>
      <c r="AG25" s="5" t="s">
        <v>246</v>
      </c>
      <c r="AH25" s="4" t="s">
        <v>241</v>
      </c>
      <c r="AI25" s="4" t="s">
        <v>247</v>
      </c>
      <c r="AJ25" s="4" t="s">
        <v>248</v>
      </c>
      <c r="AZ25" s="4" t="s">
        <v>249</v>
      </c>
      <c r="BA25" s="4" t="s">
        <v>241</v>
      </c>
      <c r="BB25" s="4" t="s">
        <v>250</v>
      </c>
      <c r="BC25" s="4" t="s">
        <v>241</v>
      </c>
      <c r="BD25" s="4" t="s">
        <v>252</v>
      </c>
      <c r="BE25" s="4" t="s">
        <v>241</v>
      </c>
      <c r="BI25" s="4" t="s">
        <v>253</v>
      </c>
      <c r="BJ25" s="5" t="s">
        <v>246</v>
      </c>
      <c r="BK25" s="4" t="s">
        <v>254</v>
      </c>
      <c r="BL25" s="4" t="s">
        <v>255</v>
      </c>
      <c r="BM25" s="4" t="s">
        <v>241</v>
      </c>
      <c r="BN25" s="6">
        <f>0</f>
        <v>0</v>
      </c>
      <c r="BO25" s="6">
        <f>0</f>
        <v>0</v>
      </c>
      <c r="BP25" s="4" t="s">
        <v>256</v>
      </c>
      <c r="BQ25" s="4" t="s">
        <v>257</v>
      </c>
      <c r="CE25" s="4" t="s">
        <v>241</v>
      </c>
      <c r="CF25" s="4" t="s">
        <v>241</v>
      </c>
      <c r="CJ25" s="4" t="s">
        <v>258</v>
      </c>
      <c r="CK25" s="4" t="s">
        <v>259</v>
      </c>
      <c r="CL25" s="4" t="s">
        <v>241</v>
      </c>
      <c r="CO25" s="5" t="s">
        <v>260</v>
      </c>
      <c r="CP25" s="4" t="s">
        <v>241</v>
      </c>
      <c r="CQ25" s="4" t="s">
        <v>261</v>
      </c>
      <c r="CR25" s="4" t="s">
        <v>241</v>
      </c>
      <c r="CS25" s="4" t="s">
        <v>241</v>
      </c>
      <c r="CT25" s="4">
        <v>0</v>
      </c>
      <c r="CU25" s="4" t="s">
        <v>262</v>
      </c>
      <c r="CV25" s="4" t="s">
        <v>263</v>
      </c>
      <c r="CW25" s="4" t="s">
        <v>263</v>
      </c>
      <c r="CX25" s="4" t="s">
        <v>264</v>
      </c>
      <c r="DA25" s="6">
        <f>16410935</f>
        <v>16410935</v>
      </c>
      <c r="DC25" s="4" t="s">
        <v>422</v>
      </c>
      <c r="DD25" s="4" t="s">
        <v>241</v>
      </c>
      <c r="DF25" s="4" t="s">
        <v>422</v>
      </c>
      <c r="DG25" s="6">
        <f>7409</f>
        <v>7409</v>
      </c>
      <c r="DI25" s="4" t="s">
        <v>414</v>
      </c>
      <c r="DJ25" s="4" t="s">
        <v>241</v>
      </c>
      <c r="DK25" s="4" t="s">
        <v>241</v>
      </c>
      <c r="DL25" s="4" t="s">
        <v>241</v>
      </c>
      <c r="DP25" s="4" t="s">
        <v>241</v>
      </c>
      <c r="DQ25" s="4" t="s">
        <v>241</v>
      </c>
      <c r="DR25" s="4" t="s">
        <v>241</v>
      </c>
      <c r="DS25" s="4" t="s">
        <v>241</v>
      </c>
      <c r="DV25" s="4" t="s">
        <v>4310</v>
      </c>
      <c r="DW25" s="4" t="s">
        <v>416</v>
      </c>
      <c r="HO25" s="4" t="s">
        <v>267</v>
      </c>
    </row>
    <row r="26" spans="1:223" ht="19.5" customHeight="1" x14ac:dyDescent="0.4">
      <c r="A26" s="4">
        <v>1</v>
      </c>
      <c r="B26" s="4" t="s">
        <v>239</v>
      </c>
      <c r="C26" s="4">
        <v>733</v>
      </c>
      <c r="D26" s="4">
        <v>1</v>
      </c>
      <c r="E26" s="4">
        <v>1</v>
      </c>
      <c r="F26" s="4" t="s">
        <v>240</v>
      </c>
      <c r="G26" s="4" t="s">
        <v>241</v>
      </c>
      <c r="H26" s="4" t="s">
        <v>241</v>
      </c>
      <c r="I26" s="4" t="s">
        <v>4308</v>
      </c>
      <c r="J26" s="4" t="s">
        <v>596</v>
      </c>
      <c r="K26" s="4" t="s">
        <v>251</v>
      </c>
      <c r="L26" s="4" t="s">
        <v>4307</v>
      </c>
      <c r="M26" s="5" t="s">
        <v>4313</v>
      </c>
      <c r="N26" s="6">
        <f>5370</f>
        <v>5370</v>
      </c>
      <c r="O26" s="4" t="s">
        <v>265</v>
      </c>
      <c r="P26" s="6">
        <f>11894550</f>
        <v>11894550</v>
      </c>
      <c r="Q26" s="6">
        <f>0</f>
        <v>0</v>
      </c>
      <c r="S26" s="6">
        <f>0</f>
        <v>0</v>
      </c>
      <c r="T26" s="6">
        <f>11894550</f>
        <v>11894550</v>
      </c>
      <c r="U26" s="5" t="s">
        <v>245</v>
      </c>
      <c r="V26" s="4" t="s">
        <v>270</v>
      </c>
      <c r="W26" s="4" t="s">
        <v>242</v>
      </c>
      <c r="X26" s="4" t="s">
        <v>273</v>
      </c>
      <c r="Y26" s="4" t="s">
        <v>241</v>
      </c>
      <c r="AB26" s="4" t="s">
        <v>241</v>
      </c>
      <c r="AD26" s="5" t="s">
        <v>241</v>
      </c>
      <c r="AG26" s="5" t="s">
        <v>246</v>
      </c>
      <c r="AH26" s="4" t="s">
        <v>241</v>
      </c>
      <c r="AI26" s="4" t="s">
        <v>247</v>
      </c>
      <c r="AJ26" s="4" t="s">
        <v>248</v>
      </c>
      <c r="AZ26" s="4" t="s">
        <v>249</v>
      </c>
      <c r="BA26" s="4" t="s">
        <v>241</v>
      </c>
      <c r="BB26" s="4" t="s">
        <v>250</v>
      </c>
      <c r="BC26" s="4" t="s">
        <v>241</v>
      </c>
      <c r="BD26" s="4" t="s">
        <v>252</v>
      </c>
      <c r="BE26" s="4" t="s">
        <v>241</v>
      </c>
      <c r="BI26" s="4" t="s">
        <v>253</v>
      </c>
      <c r="BJ26" s="5" t="s">
        <v>246</v>
      </c>
      <c r="BK26" s="4" t="s">
        <v>254</v>
      </c>
      <c r="BL26" s="4" t="s">
        <v>255</v>
      </c>
      <c r="BM26" s="4" t="s">
        <v>241</v>
      </c>
      <c r="BN26" s="6">
        <f>0</f>
        <v>0</v>
      </c>
      <c r="BO26" s="6">
        <f>0</f>
        <v>0</v>
      </c>
      <c r="BP26" s="4" t="s">
        <v>256</v>
      </c>
      <c r="BQ26" s="4" t="s">
        <v>257</v>
      </c>
      <c r="CE26" s="4" t="s">
        <v>241</v>
      </c>
      <c r="CF26" s="4" t="s">
        <v>241</v>
      </c>
      <c r="CJ26" s="4" t="s">
        <v>258</v>
      </c>
      <c r="CK26" s="4" t="s">
        <v>259</v>
      </c>
      <c r="CL26" s="4" t="s">
        <v>241</v>
      </c>
      <c r="CO26" s="5" t="s">
        <v>260</v>
      </c>
      <c r="CP26" s="4" t="s">
        <v>241</v>
      </c>
      <c r="CQ26" s="4" t="s">
        <v>261</v>
      </c>
      <c r="CR26" s="4" t="s">
        <v>241</v>
      </c>
      <c r="CS26" s="4" t="s">
        <v>241</v>
      </c>
      <c r="CT26" s="4">
        <v>0</v>
      </c>
      <c r="CU26" s="4" t="s">
        <v>262</v>
      </c>
      <c r="CV26" s="4" t="s">
        <v>263</v>
      </c>
      <c r="CW26" s="4" t="s">
        <v>263</v>
      </c>
      <c r="CX26" s="4" t="s">
        <v>264</v>
      </c>
      <c r="DA26" s="6">
        <f>11894550</f>
        <v>11894550</v>
      </c>
      <c r="DC26" s="4" t="s">
        <v>422</v>
      </c>
      <c r="DD26" s="4" t="s">
        <v>241</v>
      </c>
      <c r="DF26" s="4" t="s">
        <v>422</v>
      </c>
      <c r="DG26" s="6">
        <f>5370</f>
        <v>5370</v>
      </c>
      <c r="DI26" s="4" t="s">
        <v>414</v>
      </c>
      <c r="DJ26" s="4" t="s">
        <v>241</v>
      </c>
      <c r="DK26" s="4" t="s">
        <v>241</v>
      </c>
      <c r="DL26" s="4" t="s">
        <v>241</v>
      </c>
      <c r="DP26" s="4" t="s">
        <v>241</v>
      </c>
      <c r="DQ26" s="4" t="s">
        <v>241</v>
      </c>
      <c r="DR26" s="4" t="s">
        <v>241</v>
      </c>
      <c r="DS26" s="4" t="s">
        <v>241</v>
      </c>
      <c r="DV26" s="4" t="s">
        <v>4310</v>
      </c>
      <c r="DW26" s="4" t="s">
        <v>388</v>
      </c>
      <c r="HO26" s="4" t="s">
        <v>267</v>
      </c>
    </row>
    <row r="27" spans="1:223" ht="19.5" customHeight="1" x14ac:dyDescent="0.4">
      <c r="A27" s="4">
        <v>1</v>
      </c>
      <c r="B27" s="4" t="s">
        <v>239</v>
      </c>
      <c r="C27" s="4">
        <v>734</v>
      </c>
      <c r="D27" s="4">
        <v>1</v>
      </c>
      <c r="E27" s="4">
        <v>1</v>
      </c>
      <c r="F27" s="4" t="s">
        <v>268</v>
      </c>
      <c r="G27" s="4" t="s">
        <v>241</v>
      </c>
      <c r="H27" s="4" t="s">
        <v>241</v>
      </c>
      <c r="I27" s="4" t="s">
        <v>4308</v>
      </c>
      <c r="J27" s="4" t="s">
        <v>596</v>
      </c>
      <c r="K27" s="4" t="s">
        <v>251</v>
      </c>
      <c r="L27" s="4" t="s">
        <v>4307</v>
      </c>
      <c r="M27" s="5" t="s">
        <v>4311</v>
      </c>
      <c r="N27" s="6">
        <f>318.27</f>
        <v>318.27</v>
      </c>
      <c r="O27" s="4" t="s">
        <v>265</v>
      </c>
      <c r="P27" s="6">
        <f>7956750</f>
        <v>7956750</v>
      </c>
      <c r="Q27" s="6">
        <f>0</f>
        <v>0</v>
      </c>
      <c r="S27" s="6">
        <f>0</f>
        <v>0</v>
      </c>
      <c r="T27" s="6">
        <f>7956750</f>
        <v>7956750</v>
      </c>
      <c r="U27" s="5" t="s">
        <v>4300</v>
      </c>
      <c r="V27" s="4" t="s">
        <v>270</v>
      </c>
      <c r="W27" s="4" t="s">
        <v>242</v>
      </c>
      <c r="X27" s="4" t="s">
        <v>241</v>
      </c>
      <c r="Y27" s="4" t="s">
        <v>241</v>
      </c>
      <c r="AB27" s="4" t="s">
        <v>241</v>
      </c>
      <c r="AD27" s="5" t="s">
        <v>241</v>
      </c>
      <c r="AG27" s="5" t="s">
        <v>246</v>
      </c>
      <c r="AH27" s="4" t="s">
        <v>241</v>
      </c>
      <c r="AI27" s="4" t="s">
        <v>247</v>
      </c>
      <c r="AJ27" s="4" t="s">
        <v>248</v>
      </c>
      <c r="AZ27" s="4" t="s">
        <v>249</v>
      </c>
      <c r="BA27" s="4" t="s">
        <v>241</v>
      </c>
      <c r="BB27" s="4" t="s">
        <v>250</v>
      </c>
      <c r="BC27" s="4" t="s">
        <v>241</v>
      </c>
      <c r="BD27" s="4" t="s">
        <v>252</v>
      </c>
      <c r="BE27" s="4" t="s">
        <v>241</v>
      </c>
      <c r="BI27" s="4" t="s">
        <v>253</v>
      </c>
      <c r="BJ27" s="5" t="s">
        <v>4300</v>
      </c>
      <c r="BK27" s="4" t="s">
        <v>254</v>
      </c>
      <c r="BL27" s="4" t="s">
        <v>4312</v>
      </c>
      <c r="BM27" s="4" t="s">
        <v>241</v>
      </c>
      <c r="BN27" s="6">
        <f>0</f>
        <v>0</v>
      </c>
      <c r="BO27" s="6">
        <f>0</f>
        <v>0</v>
      </c>
      <c r="BP27" s="4" t="s">
        <v>256</v>
      </c>
      <c r="BQ27" s="4" t="s">
        <v>257</v>
      </c>
      <c r="CE27" s="4" t="s">
        <v>241</v>
      </c>
      <c r="CF27" s="4" t="s">
        <v>241</v>
      </c>
      <c r="CJ27" s="4" t="s">
        <v>258</v>
      </c>
      <c r="CK27" s="4" t="s">
        <v>259</v>
      </c>
      <c r="CL27" s="4" t="s">
        <v>241</v>
      </c>
      <c r="CO27" s="5" t="s">
        <v>260</v>
      </c>
      <c r="CP27" s="4" t="s">
        <v>241</v>
      </c>
      <c r="CQ27" s="4" t="s">
        <v>261</v>
      </c>
      <c r="CR27" s="4" t="s">
        <v>241</v>
      </c>
      <c r="CS27" s="4" t="s">
        <v>241</v>
      </c>
      <c r="CT27" s="4">
        <v>0</v>
      </c>
      <c r="CU27" s="4" t="s">
        <v>262</v>
      </c>
      <c r="CV27" s="4" t="s">
        <v>263</v>
      </c>
      <c r="CW27" s="4" t="s">
        <v>263</v>
      </c>
      <c r="CX27" s="4" t="s">
        <v>264</v>
      </c>
      <c r="DA27" s="6">
        <f>7956750</f>
        <v>7956750</v>
      </c>
      <c r="DC27" s="4" t="s">
        <v>287</v>
      </c>
      <c r="DD27" s="4" t="s">
        <v>241</v>
      </c>
      <c r="DF27" s="4" t="s">
        <v>287</v>
      </c>
      <c r="DG27" s="6">
        <f>318.27</f>
        <v>318.27</v>
      </c>
      <c r="DI27" s="4" t="s">
        <v>241</v>
      </c>
      <c r="DJ27" s="4" t="s">
        <v>241</v>
      </c>
      <c r="DK27" s="4" t="s">
        <v>241</v>
      </c>
      <c r="DL27" s="4" t="s">
        <v>241</v>
      </c>
      <c r="DP27" s="4" t="s">
        <v>241</v>
      </c>
      <c r="DQ27" s="4" t="s">
        <v>241</v>
      </c>
      <c r="DR27" s="4" t="s">
        <v>241</v>
      </c>
      <c r="DS27" s="4" t="s">
        <v>241</v>
      </c>
      <c r="DV27" s="4" t="s">
        <v>4310</v>
      </c>
      <c r="DW27" s="4" t="s">
        <v>327</v>
      </c>
      <c r="HO27" s="4" t="s">
        <v>267</v>
      </c>
    </row>
    <row r="28" spans="1:223" ht="19.5" customHeight="1" x14ac:dyDescent="0.4">
      <c r="A28" s="4">
        <v>1</v>
      </c>
      <c r="B28" s="4" t="s">
        <v>239</v>
      </c>
      <c r="C28" s="4">
        <v>735</v>
      </c>
      <c r="D28" s="4">
        <v>1</v>
      </c>
      <c r="E28" s="4">
        <v>1</v>
      </c>
      <c r="F28" s="4" t="s">
        <v>240</v>
      </c>
      <c r="G28" s="4" t="s">
        <v>241</v>
      </c>
      <c r="H28" s="4" t="s">
        <v>241</v>
      </c>
      <c r="I28" s="4" t="s">
        <v>4317</v>
      </c>
      <c r="J28" s="4" t="s">
        <v>418</v>
      </c>
      <c r="K28" s="4" t="s">
        <v>251</v>
      </c>
      <c r="L28" s="4" t="s">
        <v>4316</v>
      </c>
      <c r="M28" s="5" t="s">
        <v>4318</v>
      </c>
      <c r="N28" s="6">
        <f>10500.2</f>
        <v>10500.2</v>
      </c>
      <c r="O28" s="4" t="s">
        <v>265</v>
      </c>
      <c r="P28" s="6">
        <f>23257943</f>
        <v>23257943</v>
      </c>
      <c r="Q28" s="6">
        <f>0</f>
        <v>0</v>
      </c>
      <c r="S28" s="6">
        <f>0</f>
        <v>0</v>
      </c>
      <c r="T28" s="6">
        <f>23257943</f>
        <v>23257943</v>
      </c>
      <c r="U28" s="5" t="s">
        <v>245</v>
      </c>
      <c r="V28" s="4" t="s">
        <v>270</v>
      </c>
      <c r="W28" s="4" t="s">
        <v>242</v>
      </c>
      <c r="X28" s="4" t="s">
        <v>273</v>
      </c>
      <c r="Y28" s="4" t="s">
        <v>241</v>
      </c>
      <c r="AB28" s="4" t="s">
        <v>241</v>
      </c>
      <c r="AD28" s="5" t="s">
        <v>241</v>
      </c>
      <c r="AG28" s="5" t="s">
        <v>246</v>
      </c>
      <c r="AH28" s="4" t="s">
        <v>241</v>
      </c>
      <c r="AI28" s="4" t="s">
        <v>247</v>
      </c>
      <c r="AJ28" s="4" t="s">
        <v>248</v>
      </c>
      <c r="AZ28" s="4" t="s">
        <v>249</v>
      </c>
      <c r="BA28" s="4" t="s">
        <v>241</v>
      </c>
      <c r="BB28" s="4" t="s">
        <v>250</v>
      </c>
      <c r="BC28" s="4" t="s">
        <v>241</v>
      </c>
      <c r="BD28" s="4" t="s">
        <v>252</v>
      </c>
      <c r="BE28" s="4" t="s">
        <v>241</v>
      </c>
      <c r="BG28" s="4" t="s">
        <v>4227</v>
      </c>
      <c r="BI28" s="4" t="s">
        <v>253</v>
      </c>
      <c r="BJ28" s="5" t="s">
        <v>246</v>
      </c>
      <c r="BK28" s="4" t="s">
        <v>254</v>
      </c>
      <c r="BL28" s="4" t="s">
        <v>255</v>
      </c>
      <c r="BM28" s="4" t="s">
        <v>241</v>
      </c>
      <c r="BN28" s="6">
        <f>0</f>
        <v>0</v>
      </c>
      <c r="BO28" s="6">
        <f>0</f>
        <v>0</v>
      </c>
      <c r="BP28" s="4" t="s">
        <v>256</v>
      </c>
      <c r="BQ28" s="4" t="s">
        <v>257</v>
      </c>
      <c r="CE28" s="4" t="s">
        <v>241</v>
      </c>
      <c r="CF28" s="4" t="s">
        <v>241</v>
      </c>
      <c r="CJ28" s="4" t="s">
        <v>258</v>
      </c>
      <c r="CK28" s="4" t="s">
        <v>259</v>
      </c>
      <c r="CL28" s="4" t="s">
        <v>241</v>
      </c>
      <c r="CO28" s="5" t="s">
        <v>260</v>
      </c>
      <c r="CP28" s="4" t="s">
        <v>241</v>
      </c>
      <c r="CQ28" s="4" t="s">
        <v>261</v>
      </c>
      <c r="CR28" s="4" t="s">
        <v>241</v>
      </c>
      <c r="CS28" s="4" t="s">
        <v>241</v>
      </c>
      <c r="CT28" s="4">
        <v>0</v>
      </c>
      <c r="CU28" s="4" t="s">
        <v>262</v>
      </c>
      <c r="CV28" s="4" t="s">
        <v>263</v>
      </c>
      <c r="CW28" s="4" t="s">
        <v>263</v>
      </c>
      <c r="CX28" s="4" t="s">
        <v>264</v>
      </c>
      <c r="DA28" s="6">
        <f>23257943</f>
        <v>23257943</v>
      </c>
      <c r="DC28" s="4" t="s">
        <v>422</v>
      </c>
      <c r="DD28" s="4" t="s">
        <v>241</v>
      </c>
      <c r="DF28" s="4" t="s">
        <v>422</v>
      </c>
      <c r="DG28" s="6">
        <f>10500</f>
        <v>10500</v>
      </c>
      <c r="DI28" s="4" t="s">
        <v>414</v>
      </c>
      <c r="DJ28" s="4" t="s">
        <v>241</v>
      </c>
      <c r="DK28" s="4" t="s">
        <v>241</v>
      </c>
      <c r="DL28" s="4" t="s">
        <v>241</v>
      </c>
      <c r="DP28" s="4" t="s">
        <v>241</v>
      </c>
      <c r="DQ28" s="4" t="s">
        <v>241</v>
      </c>
      <c r="DR28" s="4" t="s">
        <v>241</v>
      </c>
      <c r="DS28" s="4" t="s">
        <v>241</v>
      </c>
      <c r="DV28" s="4" t="s">
        <v>4319</v>
      </c>
      <c r="DW28" s="4" t="s">
        <v>267</v>
      </c>
      <c r="HO28" s="4" t="s">
        <v>267</v>
      </c>
    </row>
    <row r="29" spans="1:223" ht="19.5" customHeight="1" x14ac:dyDescent="0.4">
      <c r="A29" s="4">
        <v>1</v>
      </c>
      <c r="B29" s="4" t="s">
        <v>239</v>
      </c>
      <c r="C29" s="4">
        <v>736</v>
      </c>
      <c r="D29" s="4">
        <v>1</v>
      </c>
      <c r="E29" s="4">
        <v>1</v>
      </c>
      <c r="F29" s="4" t="s">
        <v>240</v>
      </c>
      <c r="G29" s="4" t="s">
        <v>241</v>
      </c>
      <c r="H29" s="4" t="s">
        <v>241</v>
      </c>
      <c r="I29" s="4" t="s">
        <v>4321</v>
      </c>
      <c r="J29" s="4" t="s">
        <v>418</v>
      </c>
      <c r="K29" s="4" t="s">
        <v>251</v>
      </c>
      <c r="L29" s="4" t="s">
        <v>4320</v>
      </c>
      <c r="M29" s="5" t="s">
        <v>4329</v>
      </c>
      <c r="N29" s="6">
        <f>109</f>
        <v>109</v>
      </c>
      <c r="O29" s="4" t="s">
        <v>265</v>
      </c>
      <c r="P29" s="6">
        <f>241435</f>
        <v>241435</v>
      </c>
      <c r="Q29" s="6">
        <f>0</f>
        <v>0</v>
      </c>
      <c r="S29" s="6">
        <f>0</f>
        <v>0</v>
      </c>
      <c r="T29" s="6">
        <f>241435</f>
        <v>241435</v>
      </c>
      <c r="U29" s="5" t="s">
        <v>245</v>
      </c>
      <c r="V29" s="4" t="s">
        <v>270</v>
      </c>
      <c r="W29" s="4" t="s">
        <v>242</v>
      </c>
      <c r="X29" s="4" t="s">
        <v>273</v>
      </c>
      <c r="Y29" s="4" t="s">
        <v>241</v>
      </c>
      <c r="AB29" s="4" t="s">
        <v>241</v>
      </c>
      <c r="AD29" s="5" t="s">
        <v>241</v>
      </c>
      <c r="AG29" s="5" t="s">
        <v>246</v>
      </c>
      <c r="AH29" s="4" t="s">
        <v>241</v>
      </c>
      <c r="AI29" s="4" t="s">
        <v>247</v>
      </c>
      <c r="AJ29" s="4" t="s">
        <v>248</v>
      </c>
      <c r="AZ29" s="4" t="s">
        <v>249</v>
      </c>
      <c r="BA29" s="4" t="s">
        <v>241</v>
      </c>
      <c r="BB29" s="4" t="s">
        <v>250</v>
      </c>
      <c r="BC29" s="4" t="s">
        <v>241</v>
      </c>
      <c r="BD29" s="4" t="s">
        <v>252</v>
      </c>
      <c r="BE29" s="4" t="s">
        <v>241</v>
      </c>
      <c r="BG29" s="4" t="s">
        <v>4227</v>
      </c>
      <c r="BI29" s="4" t="s">
        <v>253</v>
      </c>
      <c r="BJ29" s="5" t="s">
        <v>246</v>
      </c>
      <c r="BK29" s="4" t="s">
        <v>254</v>
      </c>
      <c r="BL29" s="4" t="s">
        <v>255</v>
      </c>
      <c r="BM29" s="4" t="s">
        <v>241</v>
      </c>
      <c r="BN29" s="6">
        <f>0</f>
        <v>0</v>
      </c>
      <c r="BO29" s="6">
        <f>0</f>
        <v>0</v>
      </c>
      <c r="BP29" s="4" t="s">
        <v>256</v>
      </c>
      <c r="BQ29" s="4" t="s">
        <v>257</v>
      </c>
      <c r="CE29" s="4" t="s">
        <v>241</v>
      </c>
      <c r="CF29" s="4" t="s">
        <v>241</v>
      </c>
      <c r="CJ29" s="4" t="s">
        <v>258</v>
      </c>
      <c r="CK29" s="4" t="s">
        <v>259</v>
      </c>
      <c r="CL29" s="4" t="s">
        <v>241</v>
      </c>
      <c r="CO29" s="5" t="s">
        <v>260</v>
      </c>
      <c r="CP29" s="4" t="s">
        <v>241</v>
      </c>
      <c r="CQ29" s="4" t="s">
        <v>261</v>
      </c>
      <c r="CR29" s="4" t="s">
        <v>241</v>
      </c>
      <c r="CS29" s="4" t="s">
        <v>241</v>
      </c>
      <c r="CT29" s="4">
        <v>0</v>
      </c>
      <c r="CU29" s="4" t="s">
        <v>262</v>
      </c>
      <c r="CV29" s="4" t="s">
        <v>263</v>
      </c>
      <c r="CW29" s="4" t="s">
        <v>263</v>
      </c>
      <c r="CX29" s="4" t="s">
        <v>264</v>
      </c>
      <c r="DA29" s="6">
        <f>241435</f>
        <v>241435</v>
      </c>
      <c r="DC29" s="4" t="s">
        <v>422</v>
      </c>
      <c r="DD29" s="4" t="s">
        <v>241</v>
      </c>
      <c r="DF29" s="4" t="s">
        <v>422</v>
      </c>
      <c r="DG29" s="6">
        <f>109</f>
        <v>109</v>
      </c>
      <c r="DI29" s="4" t="s">
        <v>414</v>
      </c>
      <c r="DJ29" s="4" t="s">
        <v>241</v>
      </c>
      <c r="DK29" s="4" t="s">
        <v>241</v>
      </c>
      <c r="DL29" s="4" t="s">
        <v>241</v>
      </c>
      <c r="DP29" s="4" t="s">
        <v>241</v>
      </c>
      <c r="DQ29" s="4" t="s">
        <v>241</v>
      </c>
      <c r="DR29" s="4" t="s">
        <v>241</v>
      </c>
      <c r="DS29" s="4" t="s">
        <v>241</v>
      </c>
      <c r="DV29" s="4" t="s">
        <v>4323</v>
      </c>
      <c r="DW29" s="4" t="s">
        <v>267</v>
      </c>
      <c r="HO29" s="4" t="s">
        <v>267</v>
      </c>
    </row>
    <row r="30" spans="1:223" ht="19.5" customHeight="1" x14ac:dyDescent="0.4">
      <c r="A30" s="4">
        <v>1</v>
      </c>
      <c r="B30" s="4" t="s">
        <v>239</v>
      </c>
      <c r="C30" s="4">
        <v>737</v>
      </c>
      <c r="D30" s="4">
        <v>1</v>
      </c>
      <c r="E30" s="4">
        <v>1</v>
      </c>
      <c r="F30" s="4" t="s">
        <v>240</v>
      </c>
      <c r="G30" s="4" t="s">
        <v>241</v>
      </c>
      <c r="H30" s="4" t="s">
        <v>241</v>
      </c>
      <c r="I30" s="4" t="s">
        <v>4321</v>
      </c>
      <c r="J30" s="4" t="s">
        <v>418</v>
      </c>
      <c r="K30" s="4" t="s">
        <v>251</v>
      </c>
      <c r="L30" s="4" t="s">
        <v>4320</v>
      </c>
      <c r="M30" s="5" t="s">
        <v>4328</v>
      </c>
      <c r="N30" s="6">
        <f>1011</f>
        <v>1011</v>
      </c>
      <c r="O30" s="4" t="s">
        <v>265</v>
      </c>
      <c r="P30" s="6">
        <f>2239365</f>
        <v>2239365</v>
      </c>
      <c r="Q30" s="6">
        <f>0</f>
        <v>0</v>
      </c>
      <c r="S30" s="6">
        <f>0</f>
        <v>0</v>
      </c>
      <c r="T30" s="6">
        <f>2239365</f>
        <v>2239365</v>
      </c>
      <c r="U30" s="5" t="s">
        <v>245</v>
      </c>
      <c r="V30" s="4" t="s">
        <v>270</v>
      </c>
      <c r="W30" s="4" t="s">
        <v>242</v>
      </c>
      <c r="X30" s="4" t="s">
        <v>273</v>
      </c>
      <c r="Y30" s="4" t="s">
        <v>241</v>
      </c>
      <c r="AB30" s="4" t="s">
        <v>241</v>
      </c>
      <c r="AD30" s="5" t="s">
        <v>241</v>
      </c>
      <c r="AG30" s="5" t="s">
        <v>246</v>
      </c>
      <c r="AH30" s="4" t="s">
        <v>241</v>
      </c>
      <c r="AI30" s="4" t="s">
        <v>247</v>
      </c>
      <c r="AJ30" s="4" t="s">
        <v>248</v>
      </c>
      <c r="AZ30" s="4" t="s">
        <v>249</v>
      </c>
      <c r="BA30" s="4" t="s">
        <v>241</v>
      </c>
      <c r="BB30" s="4" t="s">
        <v>250</v>
      </c>
      <c r="BC30" s="4" t="s">
        <v>241</v>
      </c>
      <c r="BD30" s="4" t="s">
        <v>252</v>
      </c>
      <c r="BE30" s="4" t="s">
        <v>241</v>
      </c>
      <c r="BI30" s="4" t="s">
        <v>253</v>
      </c>
      <c r="BJ30" s="5" t="s">
        <v>246</v>
      </c>
      <c r="BK30" s="4" t="s">
        <v>254</v>
      </c>
      <c r="BL30" s="4" t="s">
        <v>255</v>
      </c>
      <c r="BM30" s="4" t="s">
        <v>241</v>
      </c>
      <c r="BN30" s="6">
        <f>0</f>
        <v>0</v>
      </c>
      <c r="BO30" s="6">
        <f>0</f>
        <v>0</v>
      </c>
      <c r="BP30" s="4" t="s">
        <v>256</v>
      </c>
      <c r="BQ30" s="4" t="s">
        <v>257</v>
      </c>
      <c r="CE30" s="4" t="s">
        <v>241</v>
      </c>
      <c r="CF30" s="4" t="s">
        <v>241</v>
      </c>
      <c r="CJ30" s="4" t="s">
        <v>258</v>
      </c>
      <c r="CK30" s="4" t="s">
        <v>259</v>
      </c>
      <c r="CL30" s="4" t="s">
        <v>241</v>
      </c>
      <c r="CO30" s="5" t="s">
        <v>260</v>
      </c>
      <c r="CP30" s="4" t="s">
        <v>241</v>
      </c>
      <c r="CQ30" s="4" t="s">
        <v>261</v>
      </c>
      <c r="CR30" s="4" t="s">
        <v>241</v>
      </c>
      <c r="CS30" s="4" t="s">
        <v>241</v>
      </c>
      <c r="CT30" s="4">
        <v>0</v>
      </c>
      <c r="CU30" s="4" t="s">
        <v>262</v>
      </c>
      <c r="CV30" s="4" t="s">
        <v>263</v>
      </c>
      <c r="CW30" s="4" t="s">
        <v>263</v>
      </c>
      <c r="CX30" s="4" t="s">
        <v>264</v>
      </c>
      <c r="DA30" s="6">
        <f>2239365</f>
        <v>2239365</v>
      </c>
      <c r="DC30" s="4" t="s">
        <v>422</v>
      </c>
      <c r="DD30" s="4" t="s">
        <v>241</v>
      </c>
      <c r="DF30" s="4" t="s">
        <v>422</v>
      </c>
      <c r="DG30" s="6">
        <f>1011</f>
        <v>1011</v>
      </c>
      <c r="DI30" s="4" t="s">
        <v>414</v>
      </c>
      <c r="DJ30" s="4" t="s">
        <v>241</v>
      </c>
      <c r="DK30" s="4" t="s">
        <v>241</v>
      </c>
      <c r="DL30" s="4" t="s">
        <v>241</v>
      </c>
      <c r="DP30" s="4" t="s">
        <v>241</v>
      </c>
      <c r="DQ30" s="4" t="s">
        <v>241</v>
      </c>
      <c r="DR30" s="4" t="s">
        <v>241</v>
      </c>
      <c r="DS30" s="4" t="s">
        <v>241</v>
      </c>
      <c r="DV30" s="4" t="s">
        <v>4323</v>
      </c>
      <c r="DW30" s="4" t="s">
        <v>416</v>
      </c>
      <c r="HO30" s="4" t="s">
        <v>267</v>
      </c>
    </row>
    <row r="31" spans="1:223" ht="19.5" customHeight="1" x14ac:dyDescent="0.4">
      <c r="A31" s="4">
        <v>1</v>
      </c>
      <c r="B31" s="4" t="s">
        <v>239</v>
      </c>
      <c r="C31" s="4">
        <v>738</v>
      </c>
      <c r="D31" s="4">
        <v>1</v>
      </c>
      <c r="E31" s="4">
        <v>1</v>
      </c>
      <c r="F31" s="4" t="s">
        <v>240</v>
      </c>
      <c r="G31" s="4" t="s">
        <v>241</v>
      </c>
      <c r="H31" s="4" t="s">
        <v>241</v>
      </c>
      <c r="I31" s="4" t="s">
        <v>4321</v>
      </c>
      <c r="J31" s="4" t="s">
        <v>418</v>
      </c>
      <c r="K31" s="4" t="s">
        <v>251</v>
      </c>
      <c r="L31" s="4" t="s">
        <v>4320</v>
      </c>
      <c r="M31" s="5" t="s">
        <v>4327</v>
      </c>
      <c r="N31" s="6">
        <f>3142</f>
        <v>3142</v>
      </c>
      <c r="O31" s="4" t="s">
        <v>265</v>
      </c>
      <c r="P31" s="6">
        <f>6959530</f>
        <v>6959530</v>
      </c>
      <c r="Q31" s="6">
        <f>0</f>
        <v>0</v>
      </c>
      <c r="S31" s="6">
        <f>0</f>
        <v>0</v>
      </c>
      <c r="T31" s="6">
        <f>6959530</f>
        <v>6959530</v>
      </c>
      <c r="U31" s="5" t="s">
        <v>245</v>
      </c>
      <c r="V31" s="4" t="s">
        <v>270</v>
      </c>
      <c r="W31" s="4" t="s">
        <v>242</v>
      </c>
      <c r="X31" s="4" t="s">
        <v>273</v>
      </c>
      <c r="Y31" s="4" t="s">
        <v>241</v>
      </c>
      <c r="AB31" s="4" t="s">
        <v>241</v>
      </c>
      <c r="AD31" s="5" t="s">
        <v>241</v>
      </c>
      <c r="AG31" s="5" t="s">
        <v>246</v>
      </c>
      <c r="AH31" s="4" t="s">
        <v>241</v>
      </c>
      <c r="AI31" s="4" t="s">
        <v>247</v>
      </c>
      <c r="AJ31" s="4" t="s">
        <v>248</v>
      </c>
      <c r="AZ31" s="4" t="s">
        <v>249</v>
      </c>
      <c r="BA31" s="4" t="s">
        <v>241</v>
      </c>
      <c r="BB31" s="4" t="s">
        <v>250</v>
      </c>
      <c r="BC31" s="4" t="s">
        <v>241</v>
      </c>
      <c r="BD31" s="4" t="s">
        <v>252</v>
      </c>
      <c r="BE31" s="4" t="s">
        <v>241</v>
      </c>
      <c r="BI31" s="4" t="s">
        <v>253</v>
      </c>
      <c r="BJ31" s="5" t="s">
        <v>246</v>
      </c>
      <c r="BK31" s="4" t="s">
        <v>254</v>
      </c>
      <c r="BL31" s="4" t="s">
        <v>255</v>
      </c>
      <c r="BM31" s="4" t="s">
        <v>241</v>
      </c>
      <c r="BN31" s="6">
        <f>0</f>
        <v>0</v>
      </c>
      <c r="BO31" s="6">
        <f>0</f>
        <v>0</v>
      </c>
      <c r="BP31" s="4" t="s">
        <v>256</v>
      </c>
      <c r="BQ31" s="4" t="s">
        <v>257</v>
      </c>
      <c r="CE31" s="4" t="s">
        <v>241</v>
      </c>
      <c r="CF31" s="4" t="s">
        <v>241</v>
      </c>
      <c r="CJ31" s="4" t="s">
        <v>258</v>
      </c>
      <c r="CK31" s="4" t="s">
        <v>259</v>
      </c>
      <c r="CL31" s="4" t="s">
        <v>241</v>
      </c>
      <c r="CO31" s="5" t="s">
        <v>260</v>
      </c>
      <c r="CP31" s="4" t="s">
        <v>241</v>
      </c>
      <c r="CQ31" s="4" t="s">
        <v>261</v>
      </c>
      <c r="CR31" s="4" t="s">
        <v>241</v>
      </c>
      <c r="CS31" s="4" t="s">
        <v>241</v>
      </c>
      <c r="CT31" s="4">
        <v>0</v>
      </c>
      <c r="CU31" s="4" t="s">
        <v>262</v>
      </c>
      <c r="CV31" s="4" t="s">
        <v>263</v>
      </c>
      <c r="CW31" s="4" t="s">
        <v>263</v>
      </c>
      <c r="CX31" s="4" t="s">
        <v>264</v>
      </c>
      <c r="DA31" s="6">
        <f>6959530</f>
        <v>6959530</v>
      </c>
      <c r="DC31" s="4" t="s">
        <v>422</v>
      </c>
      <c r="DD31" s="4" t="s">
        <v>241</v>
      </c>
      <c r="DF31" s="4" t="s">
        <v>422</v>
      </c>
      <c r="DG31" s="6">
        <f>3142</f>
        <v>3142</v>
      </c>
      <c r="DH31" s="5" t="s">
        <v>3184</v>
      </c>
      <c r="DI31" s="4" t="s">
        <v>414</v>
      </c>
      <c r="DJ31" s="4" t="s">
        <v>241</v>
      </c>
      <c r="DK31" s="4" t="s">
        <v>241</v>
      </c>
      <c r="DL31" s="4" t="s">
        <v>241</v>
      </c>
      <c r="DP31" s="4" t="s">
        <v>241</v>
      </c>
      <c r="DQ31" s="4" t="s">
        <v>241</v>
      </c>
      <c r="DR31" s="4" t="s">
        <v>241</v>
      </c>
      <c r="DS31" s="4" t="s">
        <v>241</v>
      </c>
      <c r="DV31" s="4" t="s">
        <v>4323</v>
      </c>
      <c r="DW31" s="4" t="s">
        <v>388</v>
      </c>
      <c r="HO31" s="4" t="s">
        <v>267</v>
      </c>
    </row>
    <row r="32" spans="1:223" ht="19.5" customHeight="1" x14ac:dyDescent="0.4">
      <c r="A32" s="4">
        <v>1</v>
      </c>
      <c r="B32" s="4" t="s">
        <v>239</v>
      </c>
      <c r="C32" s="4">
        <v>739</v>
      </c>
      <c r="D32" s="4">
        <v>1</v>
      </c>
      <c r="E32" s="4">
        <v>1</v>
      </c>
      <c r="F32" s="4" t="s">
        <v>240</v>
      </c>
      <c r="G32" s="4" t="s">
        <v>241</v>
      </c>
      <c r="H32" s="4" t="s">
        <v>241</v>
      </c>
      <c r="I32" s="4" t="s">
        <v>4321</v>
      </c>
      <c r="J32" s="4" t="s">
        <v>418</v>
      </c>
      <c r="K32" s="4" t="s">
        <v>251</v>
      </c>
      <c r="L32" s="4" t="s">
        <v>4320</v>
      </c>
      <c r="M32" s="5" t="s">
        <v>4326</v>
      </c>
      <c r="N32" s="6">
        <f>1758</f>
        <v>1758</v>
      </c>
      <c r="O32" s="4" t="s">
        <v>265</v>
      </c>
      <c r="P32" s="6">
        <f>3893970</f>
        <v>3893970</v>
      </c>
      <c r="Q32" s="6">
        <f>0</f>
        <v>0</v>
      </c>
      <c r="S32" s="6">
        <f>0</f>
        <v>0</v>
      </c>
      <c r="T32" s="6">
        <f>3893970</f>
        <v>3893970</v>
      </c>
      <c r="U32" s="5" t="s">
        <v>245</v>
      </c>
      <c r="V32" s="4" t="s">
        <v>270</v>
      </c>
      <c r="W32" s="4" t="s">
        <v>242</v>
      </c>
      <c r="X32" s="4" t="s">
        <v>273</v>
      </c>
      <c r="Y32" s="4" t="s">
        <v>241</v>
      </c>
      <c r="AB32" s="4" t="s">
        <v>241</v>
      </c>
      <c r="AD32" s="5" t="s">
        <v>241</v>
      </c>
      <c r="AG32" s="5" t="s">
        <v>246</v>
      </c>
      <c r="AH32" s="4" t="s">
        <v>241</v>
      </c>
      <c r="AI32" s="4" t="s">
        <v>247</v>
      </c>
      <c r="AJ32" s="4" t="s">
        <v>248</v>
      </c>
      <c r="AZ32" s="4" t="s">
        <v>249</v>
      </c>
      <c r="BA32" s="4" t="s">
        <v>241</v>
      </c>
      <c r="BB32" s="4" t="s">
        <v>250</v>
      </c>
      <c r="BC32" s="4" t="s">
        <v>241</v>
      </c>
      <c r="BD32" s="4" t="s">
        <v>252</v>
      </c>
      <c r="BE32" s="4" t="s">
        <v>241</v>
      </c>
      <c r="BI32" s="4" t="s">
        <v>253</v>
      </c>
      <c r="BJ32" s="5" t="s">
        <v>246</v>
      </c>
      <c r="BK32" s="4" t="s">
        <v>254</v>
      </c>
      <c r="BL32" s="4" t="s">
        <v>255</v>
      </c>
      <c r="BM32" s="4" t="s">
        <v>241</v>
      </c>
      <c r="BN32" s="6">
        <f>0</f>
        <v>0</v>
      </c>
      <c r="BO32" s="6">
        <f>0</f>
        <v>0</v>
      </c>
      <c r="BP32" s="4" t="s">
        <v>256</v>
      </c>
      <c r="BQ32" s="4" t="s">
        <v>257</v>
      </c>
      <c r="CE32" s="4" t="s">
        <v>241</v>
      </c>
      <c r="CF32" s="4" t="s">
        <v>241</v>
      </c>
      <c r="CJ32" s="4" t="s">
        <v>258</v>
      </c>
      <c r="CK32" s="4" t="s">
        <v>259</v>
      </c>
      <c r="CL32" s="4" t="s">
        <v>241</v>
      </c>
      <c r="CO32" s="5" t="s">
        <v>260</v>
      </c>
      <c r="CP32" s="4" t="s">
        <v>241</v>
      </c>
      <c r="CQ32" s="4" t="s">
        <v>261</v>
      </c>
      <c r="CR32" s="4" t="s">
        <v>241</v>
      </c>
      <c r="CS32" s="4" t="s">
        <v>241</v>
      </c>
      <c r="CT32" s="4">
        <v>0</v>
      </c>
      <c r="CU32" s="4" t="s">
        <v>262</v>
      </c>
      <c r="CV32" s="4" t="s">
        <v>263</v>
      </c>
      <c r="CW32" s="4" t="s">
        <v>263</v>
      </c>
      <c r="CX32" s="4" t="s">
        <v>264</v>
      </c>
      <c r="DA32" s="6">
        <f>3893970</f>
        <v>3893970</v>
      </c>
      <c r="DC32" s="4" t="s">
        <v>422</v>
      </c>
      <c r="DD32" s="4" t="s">
        <v>241</v>
      </c>
      <c r="DF32" s="4" t="s">
        <v>422</v>
      </c>
      <c r="DG32" s="6">
        <f>1758</f>
        <v>1758</v>
      </c>
      <c r="DI32" s="4" t="s">
        <v>414</v>
      </c>
      <c r="DJ32" s="4" t="s">
        <v>241</v>
      </c>
      <c r="DK32" s="4" t="s">
        <v>241</v>
      </c>
      <c r="DL32" s="4" t="s">
        <v>241</v>
      </c>
      <c r="DP32" s="4" t="s">
        <v>241</v>
      </c>
      <c r="DQ32" s="4" t="s">
        <v>241</v>
      </c>
      <c r="DR32" s="4" t="s">
        <v>241</v>
      </c>
      <c r="DS32" s="4" t="s">
        <v>241</v>
      </c>
      <c r="DV32" s="4" t="s">
        <v>4323</v>
      </c>
      <c r="DW32" s="4" t="s">
        <v>327</v>
      </c>
      <c r="HO32" s="4" t="s">
        <v>267</v>
      </c>
    </row>
    <row r="33" spans="1:223" ht="19.5" customHeight="1" x14ac:dyDescent="0.4">
      <c r="A33" s="4">
        <v>1</v>
      </c>
      <c r="B33" s="4" t="s">
        <v>239</v>
      </c>
      <c r="C33" s="4">
        <v>740</v>
      </c>
      <c r="D33" s="4">
        <v>1</v>
      </c>
      <c r="E33" s="4">
        <v>1</v>
      </c>
      <c r="F33" s="4" t="s">
        <v>240</v>
      </c>
      <c r="G33" s="4" t="s">
        <v>241</v>
      </c>
      <c r="H33" s="4" t="s">
        <v>241</v>
      </c>
      <c r="I33" s="4" t="s">
        <v>4321</v>
      </c>
      <c r="J33" s="4" t="s">
        <v>418</v>
      </c>
      <c r="K33" s="4" t="s">
        <v>251</v>
      </c>
      <c r="L33" s="4" t="s">
        <v>4320</v>
      </c>
      <c r="M33" s="5" t="s">
        <v>4325</v>
      </c>
      <c r="N33" s="6">
        <f>1203</f>
        <v>1203</v>
      </c>
      <c r="O33" s="4" t="s">
        <v>265</v>
      </c>
      <c r="P33" s="6">
        <f>2664645</f>
        <v>2664645</v>
      </c>
      <c r="Q33" s="6">
        <f>0</f>
        <v>0</v>
      </c>
      <c r="S33" s="6">
        <f>0</f>
        <v>0</v>
      </c>
      <c r="T33" s="6">
        <f>2664645</f>
        <v>2664645</v>
      </c>
      <c r="U33" s="5" t="s">
        <v>245</v>
      </c>
      <c r="V33" s="4" t="s">
        <v>270</v>
      </c>
      <c r="W33" s="4" t="s">
        <v>242</v>
      </c>
      <c r="X33" s="4" t="s">
        <v>273</v>
      </c>
      <c r="Y33" s="4" t="s">
        <v>241</v>
      </c>
      <c r="AB33" s="4" t="s">
        <v>241</v>
      </c>
      <c r="AD33" s="5" t="s">
        <v>241</v>
      </c>
      <c r="AG33" s="5" t="s">
        <v>246</v>
      </c>
      <c r="AH33" s="4" t="s">
        <v>241</v>
      </c>
      <c r="AI33" s="4" t="s">
        <v>247</v>
      </c>
      <c r="AJ33" s="4" t="s">
        <v>248</v>
      </c>
      <c r="AZ33" s="4" t="s">
        <v>249</v>
      </c>
      <c r="BA33" s="4" t="s">
        <v>241</v>
      </c>
      <c r="BB33" s="4" t="s">
        <v>250</v>
      </c>
      <c r="BC33" s="4" t="s">
        <v>241</v>
      </c>
      <c r="BD33" s="4" t="s">
        <v>252</v>
      </c>
      <c r="BE33" s="4" t="s">
        <v>241</v>
      </c>
      <c r="BI33" s="4" t="s">
        <v>253</v>
      </c>
      <c r="BJ33" s="5" t="s">
        <v>246</v>
      </c>
      <c r="BK33" s="4" t="s">
        <v>254</v>
      </c>
      <c r="BL33" s="4" t="s">
        <v>255</v>
      </c>
      <c r="BM33" s="4" t="s">
        <v>241</v>
      </c>
      <c r="BN33" s="6">
        <f>0</f>
        <v>0</v>
      </c>
      <c r="BO33" s="6">
        <f>0</f>
        <v>0</v>
      </c>
      <c r="BP33" s="4" t="s">
        <v>256</v>
      </c>
      <c r="BQ33" s="4" t="s">
        <v>257</v>
      </c>
      <c r="CE33" s="4" t="s">
        <v>241</v>
      </c>
      <c r="CF33" s="4" t="s">
        <v>241</v>
      </c>
      <c r="CJ33" s="4" t="s">
        <v>258</v>
      </c>
      <c r="CK33" s="4" t="s">
        <v>259</v>
      </c>
      <c r="CL33" s="4" t="s">
        <v>241</v>
      </c>
      <c r="CO33" s="5" t="s">
        <v>260</v>
      </c>
      <c r="CP33" s="4" t="s">
        <v>241</v>
      </c>
      <c r="CQ33" s="4" t="s">
        <v>261</v>
      </c>
      <c r="CR33" s="4" t="s">
        <v>241</v>
      </c>
      <c r="CS33" s="4" t="s">
        <v>241</v>
      </c>
      <c r="CT33" s="4">
        <v>0</v>
      </c>
      <c r="CU33" s="4" t="s">
        <v>262</v>
      </c>
      <c r="CV33" s="4" t="s">
        <v>263</v>
      </c>
      <c r="CW33" s="4" t="s">
        <v>263</v>
      </c>
      <c r="CX33" s="4" t="s">
        <v>264</v>
      </c>
      <c r="DA33" s="6">
        <f>2664645</f>
        <v>2664645</v>
      </c>
      <c r="DC33" s="4" t="s">
        <v>422</v>
      </c>
      <c r="DD33" s="4" t="s">
        <v>241</v>
      </c>
      <c r="DF33" s="4" t="s">
        <v>422</v>
      </c>
      <c r="DG33" s="6">
        <f>1203</f>
        <v>1203</v>
      </c>
      <c r="DI33" s="4" t="s">
        <v>414</v>
      </c>
      <c r="DJ33" s="4" t="s">
        <v>241</v>
      </c>
      <c r="DK33" s="4" t="s">
        <v>241</v>
      </c>
      <c r="DL33" s="4" t="s">
        <v>241</v>
      </c>
      <c r="DP33" s="4" t="s">
        <v>241</v>
      </c>
      <c r="DQ33" s="4" t="s">
        <v>241</v>
      </c>
      <c r="DR33" s="4" t="s">
        <v>241</v>
      </c>
      <c r="DS33" s="4" t="s">
        <v>241</v>
      </c>
      <c r="DV33" s="4" t="s">
        <v>4323</v>
      </c>
      <c r="DW33" s="4" t="s">
        <v>748</v>
      </c>
      <c r="HO33" s="4" t="s">
        <v>267</v>
      </c>
    </row>
    <row r="34" spans="1:223" ht="19.5" customHeight="1" x14ac:dyDescent="0.4">
      <c r="A34" s="4">
        <v>1</v>
      </c>
      <c r="B34" s="4" t="s">
        <v>239</v>
      </c>
      <c r="C34" s="4">
        <v>741</v>
      </c>
      <c r="D34" s="4">
        <v>1</v>
      </c>
      <c r="E34" s="4">
        <v>1</v>
      </c>
      <c r="F34" s="4" t="s">
        <v>240</v>
      </c>
      <c r="G34" s="4" t="s">
        <v>241</v>
      </c>
      <c r="H34" s="4" t="s">
        <v>241</v>
      </c>
      <c r="I34" s="4" t="s">
        <v>4321</v>
      </c>
      <c r="J34" s="4" t="s">
        <v>418</v>
      </c>
      <c r="K34" s="4" t="s">
        <v>251</v>
      </c>
      <c r="L34" s="4" t="s">
        <v>4320</v>
      </c>
      <c r="M34" s="5" t="s">
        <v>4324</v>
      </c>
      <c r="N34" s="6">
        <f>1313</f>
        <v>1313</v>
      </c>
      <c r="O34" s="4" t="s">
        <v>265</v>
      </c>
      <c r="P34" s="6">
        <f>2908295</f>
        <v>2908295</v>
      </c>
      <c r="Q34" s="6">
        <f>0</f>
        <v>0</v>
      </c>
      <c r="S34" s="6">
        <f>0</f>
        <v>0</v>
      </c>
      <c r="T34" s="6">
        <f>2908295</f>
        <v>2908295</v>
      </c>
      <c r="U34" s="5" t="s">
        <v>245</v>
      </c>
      <c r="V34" s="4" t="s">
        <v>270</v>
      </c>
      <c r="W34" s="4" t="s">
        <v>242</v>
      </c>
      <c r="X34" s="4" t="s">
        <v>273</v>
      </c>
      <c r="Y34" s="4" t="s">
        <v>241</v>
      </c>
      <c r="AB34" s="4" t="s">
        <v>241</v>
      </c>
      <c r="AD34" s="5" t="s">
        <v>241</v>
      </c>
      <c r="AG34" s="5" t="s">
        <v>246</v>
      </c>
      <c r="AH34" s="4" t="s">
        <v>241</v>
      </c>
      <c r="AI34" s="4" t="s">
        <v>247</v>
      </c>
      <c r="AJ34" s="4" t="s">
        <v>248</v>
      </c>
      <c r="AZ34" s="4" t="s">
        <v>249</v>
      </c>
      <c r="BA34" s="4" t="s">
        <v>241</v>
      </c>
      <c r="BB34" s="4" t="s">
        <v>250</v>
      </c>
      <c r="BC34" s="4" t="s">
        <v>241</v>
      </c>
      <c r="BD34" s="4" t="s">
        <v>252</v>
      </c>
      <c r="BE34" s="4" t="s">
        <v>241</v>
      </c>
      <c r="BI34" s="4" t="s">
        <v>253</v>
      </c>
      <c r="BJ34" s="5" t="s">
        <v>246</v>
      </c>
      <c r="BK34" s="4" t="s">
        <v>254</v>
      </c>
      <c r="BL34" s="4" t="s">
        <v>255</v>
      </c>
      <c r="BM34" s="4" t="s">
        <v>241</v>
      </c>
      <c r="BN34" s="6">
        <f>0</f>
        <v>0</v>
      </c>
      <c r="BO34" s="6">
        <f>0</f>
        <v>0</v>
      </c>
      <c r="BP34" s="4" t="s">
        <v>256</v>
      </c>
      <c r="BQ34" s="4" t="s">
        <v>257</v>
      </c>
      <c r="CE34" s="4" t="s">
        <v>241</v>
      </c>
      <c r="CF34" s="4" t="s">
        <v>241</v>
      </c>
      <c r="CJ34" s="4" t="s">
        <v>258</v>
      </c>
      <c r="CK34" s="4" t="s">
        <v>259</v>
      </c>
      <c r="CL34" s="4" t="s">
        <v>241</v>
      </c>
      <c r="CO34" s="5" t="s">
        <v>260</v>
      </c>
      <c r="CP34" s="4" t="s">
        <v>241</v>
      </c>
      <c r="CQ34" s="4" t="s">
        <v>261</v>
      </c>
      <c r="CR34" s="4" t="s">
        <v>241</v>
      </c>
      <c r="CS34" s="4" t="s">
        <v>241</v>
      </c>
      <c r="CT34" s="4">
        <v>0</v>
      </c>
      <c r="CU34" s="4" t="s">
        <v>262</v>
      </c>
      <c r="CV34" s="4" t="s">
        <v>263</v>
      </c>
      <c r="CW34" s="4" t="s">
        <v>263</v>
      </c>
      <c r="CX34" s="4" t="s">
        <v>264</v>
      </c>
      <c r="DA34" s="6">
        <f>2908295</f>
        <v>2908295</v>
      </c>
      <c r="DC34" s="4" t="s">
        <v>422</v>
      </c>
      <c r="DD34" s="4" t="s">
        <v>241</v>
      </c>
      <c r="DF34" s="4" t="s">
        <v>422</v>
      </c>
      <c r="DG34" s="6">
        <f>1313</f>
        <v>1313</v>
      </c>
      <c r="DI34" s="4" t="s">
        <v>414</v>
      </c>
      <c r="DJ34" s="4" t="s">
        <v>241</v>
      </c>
      <c r="DK34" s="4" t="s">
        <v>241</v>
      </c>
      <c r="DL34" s="4" t="s">
        <v>241</v>
      </c>
      <c r="DP34" s="4" t="s">
        <v>241</v>
      </c>
      <c r="DQ34" s="4" t="s">
        <v>241</v>
      </c>
      <c r="DR34" s="4" t="s">
        <v>241</v>
      </c>
      <c r="DS34" s="4" t="s">
        <v>241</v>
      </c>
      <c r="DV34" s="4" t="s">
        <v>4323</v>
      </c>
      <c r="DW34" s="4" t="s">
        <v>719</v>
      </c>
      <c r="HO34" s="4" t="s">
        <v>267</v>
      </c>
    </row>
    <row r="35" spans="1:223" ht="19.5" customHeight="1" x14ac:dyDescent="0.4">
      <c r="A35" s="4">
        <v>1</v>
      </c>
      <c r="B35" s="4" t="s">
        <v>239</v>
      </c>
      <c r="C35" s="4">
        <v>742</v>
      </c>
      <c r="D35" s="4">
        <v>1</v>
      </c>
      <c r="E35" s="4">
        <v>1</v>
      </c>
      <c r="F35" s="4" t="s">
        <v>240</v>
      </c>
      <c r="G35" s="4" t="s">
        <v>241</v>
      </c>
      <c r="H35" s="4" t="s">
        <v>241</v>
      </c>
      <c r="I35" s="4" t="s">
        <v>4321</v>
      </c>
      <c r="J35" s="4" t="s">
        <v>418</v>
      </c>
      <c r="K35" s="4" t="s">
        <v>251</v>
      </c>
      <c r="L35" s="4" t="s">
        <v>4320</v>
      </c>
      <c r="M35" s="5" t="s">
        <v>4322</v>
      </c>
      <c r="N35" s="6">
        <f>1983</f>
        <v>1983</v>
      </c>
      <c r="O35" s="4" t="s">
        <v>265</v>
      </c>
      <c r="P35" s="6">
        <f>4392345</f>
        <v>4392345</v>
      </c>
      <c r="Q35" s="6">
        <f>0</f>
        <v>0</v>
      </c>
      <c r="S35" s="6">
        <f>0</f>
        <v>0</v>
      </c>
      <c r="T35" s="6">
        <f>4392345</f>
        <v>4392345</v>
      </c>
      <c r="U35" s="5" t="s">
        <v>245</v>
      </c>
      <c r="V35" s="4" t="s">
        <v>270</v>
      </c>
      <c r="W35" s="4" t="s">
        <v>242</v>
      </c>
      <c r="X35" s="4" t="s">
        <v>273</v>
      </c>
      <c r="Y35" s="4" t="s">
        <v>241</v>
      </c>
      <c r="AB35" s="4" t="s">
        <v>241</v>
      </c>
      <c r="AD35" s="5" t="s">
        <v>241</v>
      </c>
      <c r="AG35" s="5" t="s">
        <v>246</v>
      </c>
      <c r="AH35" s="4" t="s">
        <v>241</v>
      </c>
      <c r="AI35" s="4" t="s">
        <v>247</v>
      </c>
      <c r="AJ35" s="4" t="s">
        <v>248</v>
      </c>
      <c r="AZ35" s="4" t="s">
        <v>249</v>
      </c>
      <c r="BA35" s="4" t="s">
        <v>241</v>
      </c>
      <c r="BB35" s="4" t="s">
        <v>250</v>
      </c>
      <c r="BC35" s="4" t="s">
        <v>241</v>
      </c>
      <c r="BD35" s="4" t="s">
        <v>252</v>
      </c>
      <c r="BE35" s="4" t="s">
        <v>241</v>
      </c>
      <c r="BI35" s="4" t="s">
        <v>253</v>
      </c>
      <c r="BJ35" s="5" t="s">
        <v>246</v>
      </c>
      <c r="BK35" s="4" t="s">
        <v>254</v>
      </c>
      <c r="BL35" s="4" t="s">
        <v>255</v>
      </c>
      <c r="BM35" s="4" t="s">
        <v>241</v>
      </c>
      <c r="BN35" s="6">
        <f>0</f>
        <v>0</v>
      </c>
      <c r="BO35" s="6">
        <f>0</f>
        <v>0</v>
      </c>
      <c r="BP35" s="4" t="s">
        <v>256</v>
      </c>
      <c r="BQ35" s="4" t="s">
        <v>257</v>
      </c>
      <c r="CE35" s="4" t="s">
        <v>241</v>
      </c>
      <c r="CF35" s="4" t="s">
        <v>241</v>
      </c>
      <c r="CJ35" s="4" t="s">
        <v>258</v>
      </c>
      <c r="CK35" s="4" t="s">
        <v>259</v>
      </c>
      <c r="CL35" s="4" t="s">
        <v>241</v>
      </c>
      <c r="CO35" s="5" t="s">
        <v>260</v>
      </c>
      <c r="CP35" s="4" t="s">
        <v>241</v>
      </c>
      <c r="CQ35" s="4" t="s">
        <v>261</v>
      </c>
      <c r="CR35" s="4" t="s">
        <v>241</v>
      </c>
      <c r="CS35" s="4" t="s">
        <v>241</v>
      </c>
      <c r="CT35" s="4">
        <v>0</v>
      </c>
      <c r="CU35" s="4" t="s">
        <v>262</v>
      </c>
      <c r="CV35" s="4" t="s">
        <v>263</v>
      </c>
      <c r="CW35" s="4" t="s">
        <v>263</v>
      </c>
      <c r="CX35" s="4" t="s">
        <v>264</v>
      </c>
      <c r="DA35" s="6">
        <f>4392345</f>
        <v>4392345</v>
      </c>
      <c r="DC35" s="4" t="s">
        <v>422</v>
      </c>
      <c r="DD35" s="4" t="s">
        <v>241</v>
      </c>
      <c r="DF35" s="4" t="s">
        <v>422</v>
      </c>
      <c r="DG35" s="6">
        <f>1983</f>
        <v>1983</v>
      </c>
      <c r="DI35" s="4" t="s">
        <v>414</v>
      </c>
      <c r="DJ35" s="4" t="s">
        <v>241</v>
      </c>
      <c r="DK35" s="4" t="s">
        <v>241</v>
      </c>
      <c r="DL35" s="4" t="s">
        <v>241</v>
      </c>
      <c r="DP35" s="4" t="s">
        <v>241</v>
      </c>
      <c r="DQ35" s="4" t="s">
        <v>241</v>
      </c>
      <c r="DR35" s="4" t="s">
        <v>241</v>
      </c>
      <c r="DS35" s="4" t="s">
        <v>241</v>
      </c>
      <c r="DV35" s="4" t="s">
        <v>4323</v>
      </c>
      <c r="DW35" s="4" t="s">
        <v>690</v>
      </c>
      <c r="HO35" s="4" t="s">
        <v>267</v>
      </c>
    </row>
    <row r="36" spans="1:223" ht="19.5" customHeight="1" x14ac:dyDescent="0.4">
      <c r="A36" s="4">
        <v>1</v>
      </c>
      <c r="B36" s="4" t="s">
        <v>239</v>
      </c>
      <c r="C36" s="4">
        <v>743</v>
      </c>
      <c r="D36" s="4">
        <v>1</v>
      </c>
      <c r="E36" s="4">
        <v>1</v>
      </c>
      <c r="F36" s="4" t="s">
        <v>240</v>
      </c>
      <c r="G36" s="4" t="s">
        <v>241</v>
      </c>
      <c r="H36" s="4" t="s">
        <v>241</v>
      </c>
      <c r="I36" s="4" t="s">
        <v>4331</v>
      </c>
      <c r="J36" s="4" t="s">
        <v>418</v>
      </c>
      <c r="K36" s="4" t="s">
        <v>251</v>
      </c>
      <c r="L36" s="4" t="s">
        <v>4330</v>
      </c>
      <c r="M36" s="5" t="s">
        <v>4332</v>
      </c>
      <c r="N36" s="6">
        <f>11005</f>
        <v>11005</v>
      </c>
      <c r="O36" s="4" t="s">
        <v>265</v>
      </c>
      <c r="P36" s="6">
        <f>24376075</f>
        <v>24376075</v>
      </c>
      <c r="Q36" s="6">
        <f>0</f>
        <v>0</v>
      </c>
      <c r="S36" s="6">
        <f>0</f>
        <v>0</v>
      </c>
      <c r="T36" s="6">
        <f>24376075</f>
        <v>24376075</v>
      </c>
      <c r="U36" s="5" t="s">
        <v>245</v>
      </c>
      <c r="V36" s="4" t="s">
        <v>270</v>
      </c>
      <c r="W36" s="4" t="s">
        <v>242</v>
      </c>
      <c r="X36" s="4" t="s">
        <v>273</v>
      </c>
      <c r="Y36" s="4" t="s">
        <v>241</v>
      </c>
      <c r="AB36" s="4" t="s">
        <v>241</v>
      </c>
      <c r="AD36" s="5" t="s">
        <v>241</v>
      </c>
      <c r="AG36" s="5" t="s">
        <v>246</v>
      </c>
      <c r="AH36" s="4" t="s">
        <v>241</v>
      </c>
      <c r="AI36" s="4" t="s">
        <v>247</v>
      </c>
      <c r="AJ36" s="4" t="s">
        <v>248</v>
      </c>
      <c r="AZ36" s="4" t="s">
        <v>249</v>
      </c>
      <c r="BA36" s="4" t="s">
        <v>241</v>
      </c>
      <c r="BB36" s="4" t="s">
        <v>250</v>
      </c>
      <c r="BC36" s="4" t="s">
        <v>241</v>
      </c>
      <c r="BD36" s="4" t="s">
        <v>252</v>
      </c>
      <c r="BE36" s="4" t="s">
        <v>241</v>
      </c>
      <c r="BG36" s="4" t="s">
        <v>4227</v>
      </c>
      <c r="BI36" s="4" t="s">
        <v>253</v>
      </c>
      <c r="BJ36" s="5" t="s">
        <v>246</v>
      </c>
      <c r="BK36" s="4" t="s">
        <v>254</v>
      </c>
      <c r="BL36" s="4" t="s">
        <v>255</v>
      </c>
      <c r="BM36" s="4" t="s">
        <v>241</v>
      </c>
      <c r="BN36" s="6">
        <f>0</f>
        <v>0</v>
      </c>
      <c r="BO36" s="6">
        <f>0</f>
        <v>0</v>
      </c>
      <c r="BP36" s="4" t="s">
        <v>256</v>
      </c>
      <c r="BQ36" s="4" t="s">
        <v>257</v>
      </c>
      <c r="CE36" s="4" t="s">
        <v>241</v>
      </c>
      <c r="CF36" s="4" t="s">
        <v>241</v>
      </c>
      <c r="CJ36" s="4" t="s">
        <v>258</v>
      </c>
      <c r="CK36" s="4" t="s">
        <v>259</v>
      </c>
      <c r="CL36" s="4" t="s">
        <v>241</v>
      </c>
      <c r="CO36" s="5" t="s">
        <v>260</v>
      </c>
      <c r="CP36" s="4" t="s">
        <v>241</v>
      </c>
      <c r="CQ36" s="4" t="s">
        <v>261</v>
      </c>
      <c r="CR36" s="4" t="s">
        <v>241</v>
      </c>
      <c r="CS36" s="4" t="s">
        <v>241</v>
      </c>
      <c r="CT36" s="4">
        <v>0</v>
      </c>
      <c r="CU36" s="4" t="s">
        <v>262</v>
      </c>
      <c r="CV36" s="4" t="s">
        <v>263</v>
      </c>
      <c r="CW36" s="4" t="s">
        <v>263</v>
      </c>
      <c r="CX36" s="4" t="s">
        <v>264</v>
      </c>
      <c r="DA36" s="6">
        <f>24376075</f>
        <v>24376075</v>
      </c>
      <c r="DC36" s="4" t="s">
        <v>422</v>
      </c>
      <c r="DD36" s="4" t="s">
        <v>241</v>
      </c>
      <c r="DF36" s="4" t="s">
        <v>422</v>
      </c>
      <c r="DG36" s="6">
        <f>11005</f>
        <v>11005</v>
      </c>
      <c r="DI36" s="4" t="s">
        <v>414</v>
      </c>
      <c r="DJ36" s="4" t="s">
        <v>241</v>
      </c>
      <c r="DK36" s="4" t="s">
        <v>241</v>
      </c>
      <c r="DL36" s="4" t="s">
        <v>241</v>
      </c>
      <c r="DP36" s="4" t="s">
        <v>241</v>
      </c>
      <c r="DQ36" s="4" t="s">
        <v>241</v>
      </c>
      <c r="DR36" s="4" t="s">
        <v>241</v>
      </c>
      <c r="DS36" s="4" t="s">
        <v>241</v>
      </c>
      <c r="DV36" s="4" t="s">
        <v>4333</v>
      </c>
      <c r="DW36" s="4" t="s">
        <v>267</v>
      </c>
      <c r="HO36" s="4" t="s">
        <v>267</v>
      </c>
    </row>
    <row r="37" spans="1:223" ht="19.5" customHeight="1" x14ac:dyDescent="0.4">
      <c r="A37" s="4">
        <v>1</v>
      </c>
      <c r="B37" s="4" t="s">
        <v>239</v>
      </c>
      <c r="C37" s="4">
        <v>744</v>
      </c>
      <c r="D37" s="4">
        <v>1</v>
      </c>
      <c r="E37" s="4">
        <v>1</v>
      </c>
      <c r="F37" s="4" t="s">
        <v>240</v>
      </c>
      <c r="G37" s="4" t="s">
        <v>241</v>
      </c>
      <c r="H37" s="4" t="s">
        <v>241</v>
      </c>
      <c r="I37" s="4" t="s">
        <v>4335</v>
      </c>
      <c r="J37" s="4" t="s">
        <v>418</v>
      </c>
      <c r="K37" s="4" t="s">
        <v>251</v>
      </c>
      <c r="L37" s="4" t="s">
        <v>4334</v>
      </c>
      <c r="M37" s="5" t="s">
        <v>5398</v>
      </c>
      <c r="N37" s="6">
        <f>11103</f>
        <v>11103</v>
      </c>
      <c r="O37" s="4" t="s">
        <v>265</v>
      </c>
      <c r="P37" s="6">
        <f>24593145</f>
        <v>24593145</v>
      </c>
      <c r="Q37" s="6">
        <f>0</f>
        <v>0</v>
      </c>
      <c r="S37" s="6">
        <f>0</f>
        <v>0</v>
      </c>
      <c r="T37" s="6">
        <f>24593145</f>
        <v>24593145</v>
      </c>
      <c r="U37" s="5" t="s">
        <v>245</v>
      </c>
      <c r="V37" s="4" t="s">
        <v>270</v>
      </c>
      <c r="W37" s="4" t="s">
        <v>242</v>
      </c>
      <c r="X37" s="4" t="s">
        <v>273</v>
      </c>
      <c r="Y37" s="4" t="s">
        <v>241</v>
      </c>
      <c r="AB37" s="4" t="s">
        <v>241</v>
      </c>
      <c r="AD37" s="5" t="s">
        <v>241</v>
      </c>
      <c r="AG37" s="5" t="s">
        <v>246</v>
      </c>
      <c r="AH37" s="4" t="s">
        <v>241</v>
      </c>
      <c r="AI37" s="4" t="s">
        <v>247</v>
      </c>
      <c r="AJ37" s="4" t="s">
        <v>248</v>
      </c>
      <c r="AZ37" s="4" t="s">
        <v>249</v>
      </c>
      <c r="BA37" s="4" t="s">
        <v>241</v>
      </c>
      <c r="BB37" s="4" t="s">
        <v>250</v>
      </c>
      <c r="BC37" s="4" t="s">
        <v>241</v>
      </c>
      <c r="BD37" s="4" t="s">
        <v>252</v>
      </c>
      <c r="BE37" s="4" t="s">
        <v>241</v>
      </c>
      <c r="BG37" s="4" t="s">
        <v>4227</v>
      </c>
      <c r="BI37" s="4" t="s">
        <v>253</v>
      </c>
      <c r="BJ37" s="5" t="s">
        <v>246</v>
      </c>
      <c r="BK37" s="4" t="s">
        <v>254</v>
      </c>
      <c r="BL37" s="4" t="s">
        <v>255</v>
      </c>
      <c r="BM37" s="4" t="s">
        <v>241</v>
      </c>
      <c r="BN37" s="6">
        <f>0</f>
        <v>0</v>
      </c>
      <c r="BO37" s="6">
        <f>0</f>
        <v>0</v>
      </c>
      <c r="BP37" s="4" t="s">
        <v>256</v>
      </c>
      <c r="BQ37" s="4" t="s">
        <v>257</v>
      </c>
      <c r="CE37" s="4" t="s">
        <v>241</v>
      </c>
      <c r="CF37" s="4" t="s">
        <v>241</v>
      </c>
      <c r="CJ37" s="4" t="s">
        <v>258</v>
      </c>
      <c r="CK37" s="4" t="s">
        <v>259</v>
      </c>
      <c r="CL37" s="4" t="s">
        <v>241</v>
      </c>
      <c r="CO37" s="5" t="s">
        <v>260</v>
      </c>
      <c r="CP37" s="4" t="s">
        <v>241</v>
      </c>
      <c r="CQ37" s="4" t="s">
        <v>261</v>
      </c>
      <c r="CR37" s="4" t="s">
        <v>241</v>
      </c>
      <c r="CS37" s="4" t="s">
        <v>241</v>
      </c>
      <c r="CT37" s="4">
        <v>0</v>
      </c>
      <c r="CU37" s="4" t="s">
        <v>262</v>
      </c>
      <c r="CV37" s="4" t="s">
        <v>263</v>
      </c>
      <c r="CW37" s="4" t="s">
        <v>263</v>
      </c>
      <c r="CX37" s="4" t="s">
        <v>264</v>
      </c>
      <c r="DA37" s="6">
        <f>24593145</f>
        <v>24593145</v>
      </c>
      <c r="DC37" s="4" t="s">
        <v>422</v>
      </c>
      <c r="DD37" s="4" t="s">
        <v>241</v>
      </c>
      <c r="DF37" s="4" t="s">
        <v>422</v>
      </c>
      <c r="DG37" s="6">
        <f>11103</f>
        <v>11103</v>
      </c>
      <c r="DI37" s="4" t="s">
        <v>414</v>
      </c>
      <c r="DJ37" s="4" t="s">
        <v>241</v>
      </c>
      <c r="DK37" s="4" t="s">
        <v>241</v>
      </c>
      <c r="DL37" s="4" t="s">
        <v>241</v>
      </c>
      <c r="DP37" s="4" t="s">
        <v>241</v>
      </c>
      <c r="DQ37" s="4" t="s">
        <v>241</v>
      </c>
      <c r="DR37" s="4" t="s">
        <v>241</v>
      </c>
      <c r="DS37" s="4" t="s">
        <v>241</v>
      </c>
      <c r="DV37" s="4" t="s">
        <v>4337</v>
      </c>
      <c r="DW37" s="4" t="s">
        <v>267</v>
      </c>
      <c r="HO37" s="4" t="s">
        <v>267</v>
      </c>
    </row>
    <row r="38" spans="1:223" ht="19.5" customHeight="1" x14ac:dyDescent="0.4">
      <c r="A38" s="4">
        <v>1</v>
      </c>
      <c r="B38" s="4" t="s">
        <v>239</v>
      </c>
      <c r="C38" s="4">
        <v>745</v>
      </c>
      <c r="D38" s="4">
        <v>1</v>
      </c>
      <c r="E38" s="4">
        <v>1</v>
      </c>
      <c r="F38" s="4" t="s">
        <v>240</v>
      </c>
      <c r="G38" s="4" t="s">
        <v>241</v>
      </c>
      <c r="H38" s="4" t="s">
        <v>241</v>
      </c>
      <c r="I38" s="4" t="s">
        <v>4335</v>
      </c>
      <c r="J38" s="4" t="s">
        <v>418</v>
      </c>
      <c r="K38" s="4" t="s">
        <v>251</v>
      </c>
      <c r="L38" s="4" t="s">
        <v>4334</v>
      </c>
      <c r="M38" s="5" t="s">
        <v>5397</v>
      </c>
      <c r="N38" s="6">
        <f>2069</f>
        <v>2069</v>
      </c>
      <c r="O38" s="4" t="s">
        <v>265</v>
      </c>
      <c r="P38" s="6">
        <f>4582835</f>
        <v>4582835</v>
      </c>
      <c r="Q38" s="6">
        <f>0</f>
        <v>0</v>
      </c>
      <c r="S38" s="6">
        <f>0</f>
        <v>0</v>
      </c>
      <c r="T38" s="6">
        <f>4582835</f>
        <v>4582835</v>
      </c>
      <c r="U38" s="5" t="s">
        <v>245</v>
      </c>
      <c r="V38" s="4" t="s">
        <v>270</v>
      </c>
      <c r="W38" s="4" t="s">
        <v>242</v>
      </c>
      <c r="X38" s="4" t="s">
        <v>273</v>
      </c>
      <c r="Y38" s="4" t="s">
        <v>241</v>
      </c>
      <c r="AB38" s="4" t="s">
        <v>241</v>
      </c>
      <c r="AD38" s="5" t="s">
        <v>241</v>
      </c>
      <c r="AG38" s="5" t="s">
        <v>246</v>
      </c>
      <c r="AH38" s="4" t="s">
        <v>241</v>
      </c>
      <c r="AI38" s="4" t="s">
        <v>247</v>
      </c>
      <c r="AJ38" s="4" t="s">
        <v>248</v>
      </c>
      <c r="AZ38" s="4" t="s">
        <v>249</v>
      </c>
      <c r="BA38" s="4" t="s">
        <v>241</v>
      </c>
      <c r="BB38" s="4" t="s">
        <v>250</v>
      </c>
      <c r="BC38" s="4" t="s">
        <v>241</v>
      </c>
      <c r="BD38" s="4" t="s">
        <v>252</v>
      </c>
      <c r="BE38" s="4" t="s">
        <v>241</v>
      </c>
      <c r="BI38" s="4" t="s">
        <v>253</v>
      </c>
      <c r="BJ38" s="5" t="s">
        <v>246</v>
      </c>
      <c r="BK38" s="4" t="s">
        <v>254</v>
      </c>
      <c r="BL38" s="4" t="s">
        <v>255</v>
      </c>
      <c r="BM38" s="4" t="s">
        <v>241</v>
      </c>
      <c r="BN38" s="6">
        <f>0</f>
        <v>0</v>
      </c>
      <c r="BO38" s="6">
        <f>0</f>
        <v>0</v>
      </c>
      <c r="BP38" s="4" t="s">
        <v>256</v>
      </c>
      <c r="BQ38" s="4" t="s">
        <v>257</v>
      </c>
      <c r="CE38" s="4" t="s">
        <v>241</v>
      </c>
      <c r="CF38" s="4" t="s">
        <v>241</v>
      </c>
      <c r="CJ38" s="4" t="s">
        <v>258</v>
      </c>
      <c r="CK38" s="4" t="s">
        <v>259</v>
      </c>
      <c r="CL38" s="4" t="s">
        <v>241</v>
      </c>
      <c r="CO38" s="5" t="s">
        <v>260</v>
      </c>
      <c r="CP38" s="4" t="s">
        <v>241</v>
      </c>
      <c r="CQ38" s="4" t="s">
        <v>261</v>
      </c>
      <c r="CR38" s="4" t="s">
        <v>241</v>
      </c>
      <c r="CS38" s="4" t="s">
        <v>241</v>
      </c>
      <c r="CT38" s="4">
        <v>0</v>
      </c>
      <c r="CU38" s="4" t="s">
        <v>262</v>
      </c>
      <c r="CV38" s="4" t="s">
        <v>263</v>
      </c>
      <c r="CW38" s="4" t="s">
        <v>263</v>
      </c>
      <c r="CX38" s="4" t="s">
        <v>264</v>
      </c>
      <c r="DA38" s="6">
        <f>4582835</f>
        <v>4582835</v>
      </c>
      <c r="DC38" s="4" t="s">
        <v>422</v>
      </c>
      <c r="DD38" s="4" t="s">
        <v>241</v>
      </c>
      <c r="DF38" s="4" t="s">
        <v>3167</v>
      </c>
      <c r="DG38" s="6">
        <f>2069</f>
        <v>2069</v>
      </c>
      <c r="DI38" s="4" t="s">
        <v>414</v>
      </c>
      <c r="DJ38" s="4" t="s">
        <v>241</v>
      </c>
      <c r="DK38" s="4" t="s">
        <v>241</v>
      </c>
      <c r="DL38" s="4" t="s">
        <v>241</v>
      </c>
      <c r="DP38" s="4" t="s">
        <v>241</v>
      </c>
      <c r="DQ38" s="4" t="s">
        <v>241</v>
      </c>
      <c r="DR38" s="4" t="s">
        <v>241</v>
      </c>
      <c r="DS38" s="4" t="s">
        <v>241</v>
      </c>
      <c r="DV38" s="4" t="s">
        <v>4337</v>
      </c>
      <c r="DW38" s="4" t="s">
        <v>416</v>
      </c>
      <c r="HO38" s="4" t="s">
        <v>267</v>
      </c>
    </row>
    <row r="39" spans="1:223" ht="19.5" customHeight="1" x14ac:dyDescent="0.4">
      <c r="A39" s="4">
        <v>1</v>
      </c>
      <c r="B39" s="4" t="s">
        <v>239</v>
      </c>
      <c r="C39" s="4">
        <v>746</v>
      </c>
      <c r="D39" s="4">
        <v>1</v>
      </c>
      <c r="E39" s="4">
        <v>1</v>
      </c>
      <c r="F39" s="4" t="s">
        <v>240</v>
      </c>
      <c r="G39" s="4" t="s">
        <v>241</v>
      </c>
      <c r="H39" s="4" t="s">
        <v>241</v>
      </c>
      <c r="I39" s="4" t="s">
        <v>4335</v>
      </c>
      <c r="J39" s="4" t="s">
        <v>418</v>
      </c>
      <c r="K39" s="4" t="s">
        <v>251</v>
      </c>
      <c r="L39" s="4" t="s">
        <v>4334</v>
      </c>
      <c r="M39" s="5" t="s">
        <v>5396</v>
      </c>
      <c r="N39" s="6">
        <f>1739</f>
        <v>1739</v>
      </c>
      <c r="O39" s="4" t="s">
        <v>265</v>
      </c>
      <c r="P39" s="6">
        <f>3851885</f>
        <v>3851885</v>
      </c>
      <c r="Q39" s="6">
        <f>0</f>
        <v>0</v>
      </c>
      <c r="S39" s="6">
        <f>0</f>
        <v>0</v>
      </c>
      <c r="T39" s="6">
        <f>3851885</f>
        <v>3851885</v>
      </c>
      <c r="U39" s="5" t="s">
        <v>245</v>
      </c>
      <c r="V39" s="4" t="s">
        <v>270</v>
      </c>
      <c r="W39" s="4" t="s">
        <v>242</v>
      </c>
      <c r="X39" s="4" t="s">
        <v>273</v>
      </c>
      <c r="Y39" s="4" t="s">
        <v>241</v>
      </c>
      <c r="AB39" s="4" t="s">
        <v>241</v>
      </c>
      <c r="AD39" s="5" t="s">
        <v>241</v>
      </c>
      <c r="AG39" s="5" t="s">
        <v>246</v>
      </c>
      <c r="AH39" s="4" t="s">
        <v>241</v>
      </c>
      <c r="AI39" s="4" t="s">
        <v>247</v>
      </c>
      <c r="AJ39" s="4" t="s">
        <v>248</v>
      </c>
      <c r="AZ39" s="4" t="s">
        <v>249</v>
      </c>
      <c r="BA39" s="4" t="s">
        <v>241</v>
      </c>
      <c r="BB39" s="4" t="s">
        <v>250</v>
      </c>
      <c r="BC39" s="4" t="s">
        <v>241</v>
      </c>
      <c r="BD39" s="4" t="s">
        <v>252</v>
      </c>
      <c r="BE39" s="4" t="s">
        <v>241</v>
      </c>
      <c r="BI39" s="4" t="s">
        <v>253</v>
      </c>
      <c r="BJ39" s="5" t="s">
        <v>246</v>
      </c>
      <c r="BK39" s="4" t="s">
        <v>254</v>
      </c>
      <c r="BL39" s="4" t="s">
        <v>255</v>
      </c>
      <c r="BM39" s="4" t="s">
        <v>241</v>
      </c>
      <c r="BN39" s="6">
        <f>0</f>
        <v>0</v>
      </c>
      <c r="BO39" s="6">
        <f>0</f>
        <v>0</v>
      </c>
      <c r="BP39" s="4" t="s">
        <v>256</v>
      </c>
      <c r="BQ39" s="4" t="s">
        <v>257</v>
      </c>
      <c r="CE39" s="4" t="s">
        <v>241</v>
      </c>
      <c r="CF39" s="4" t="s">
        <v>241</v>
      </c>
      <c r="CJ39" s="4" t="s">
        <v>258</v>
      </c>
      <c r="CK39" s="4" t="s">
        <v>259</v>
      </c>
      <c r="CL39" s="4" t="s">
        <v>241</v>
      </c>
      <c r="CO39" s="5" t="s">
        <v>260</v>
      </c>
      <c r="CP39" s="4" t="s">
        <v>241</v>
      </c>
      <c r="CQ39" s="4" t="s">
        <v>261</v>
      </c>
      <c r="CR39" s="4" t="s">
        <v>241</v>
      </c>
      <c r="CS39" s="4" t="s">
        <v>241</v>
      </c>
      <c r="CT39" s="4">
        <v>0</v>
      </c>
      <c r="CU39" s="4" t="s">
        <v>262</v>
      </c>
      <c r="CV39" s="4" t="s">
        <v>263</v>
      </c>
      <c r="CW39" s="4" t="s">
        <v>263</v>
      </c>
      <c r="CX39" s="4" t="s">
        <v>264</v>
      </c>
      <c r="DA39" s="6">
        <f>3851885</f>
        <v>3851885</v>
      </c>
      <c r="DC39" s="4" t="s">
        <v>422</v>
      </c>
      <c r="DD39" s="4" t="s">
        <v>241</v>
      </c>
      <c r="DF39" s="4" t="s">
        <v>422</v>
      </c>
      <c r="DG39" s="6">
        <f>1739</f>
        <v>1739</v>
      </c>
      <c r="DI39" s="4" t="s">
        <v>414</v>
      </c>
      <c r="DJ39" s="4" t="s">
        <v>241</v>
      </c>
      <c r="DK39" s="4" t="s">
        <v>241</v>
      </c>
      <c r="DL39" s="4" t="s">
        <v>241</v>
      </c>
      <c r="DP39" s="4" t="s">
        <v>241</v>
      </c>
      <c r="DQ39" s="4" t="s">
        <v>241</v>
      </c>
      <c r="DR39" s="4" t="s">
        <v>241</v>
      </c>
      <c r="DS39" s="4" t="s">
        <v>241</v>
      </c>
      <c r="DV39" s="4" t="s">
        <v>4337</v>
      </c>
      <c r="DW39" s="4" t="s">
        <v>388</v>
      </c>
      <c r="HO39" s="4" t="s">
        <v>267</v>
      </c>
    </row>
    <row r="40" spans="1:223" ht="19.5" customHeight="1" x14ac:dyDescent="0.4">
      <c r="A40" s="4">
        <v>1</v>
      </c>
      <c r="B40" s="4" t="s">
        <v>239</v>
      </c>
      <c r="C40" s="4">
        <v>747</v>
      </c>
      <c r="D40" s="4">
        <v>1</v>
      </c>
      <c r="E40" s="4">
        <v>1</v>
      </c>
      <c r="F40" s="4" t="s">
        <v>240</v>
      </c>
      <c r="G40" s="4" t="s">
        <v>241</v>
      </c>
      <c r="H40" s="4" t="s">
        <v>241</v>
      </c>
      <c r="I40" s="4" t="s">
        <v>4335</v>
      </c>
      <c r="J40" s="4" t="s">
        <v>418</v>
      </c>
      <c r="K40" s="4" t="s">
        <v>251</v>
      </c>
      <c r="L40" s="4" t="s">
        <v>4334</v>
      </c>
      <c r="M40" s="5" t="s">
        <v>5395</v>
      </c>
      <c r="N40" s="6">
        <f>670</f>
        <v>670</v>
      </c>
      <c r="O40" s="4" t="s">
        <v>265</v>
      </c>
      <c r="P40" s="6">
        <f>1484050</f>
        <v>1484050</v>
      </c>
      <c r="Q40" s="6">
        <f>0</f>
        <v>0</v>
      </c>
      <c r="S40" s="6">
        <f>0</f>
        <v>0</v>
      </c>
      <c r="T40" s="6">
        <f>1484050</f>
        <v>1484050</v>
      </c>
      <c r="U40" s="5" t="s">
        <v>245</v>
      </c>
      <c r="V40" s="4" t="s">
        <v>270</v>
      </c>
      <c r="W40" s="4" t="s">
        <v>242</v>
      </c>
      <c r="X40" s="4" t="s">
        <v>273</v>
      </c>
      <c r="Y40" s="4" t="s">
        <v>241</v>
      </c>
      <c r="AB40" s="4" t="s">
        <v>241</v>
      </c>
      <c r="AD40" s="5" t="s">
        <v>241</v>
      </c>
      <c r="AG40" s="5" t="s">
        <v>246</v>
      </c>
      <c r="AH40" s="4" t="s">
        <v>241</v>
      </c>
      <c r="AI40" s="4" t="s">
        <v>247</v>
      </c>
      <c r="AJ40" s="4" t="s">
        <v>248</v>
      </c>
      <c r="AZ40" s="4" t="s">
        <v>249</v>
      </c>
      <c r="BA40" s="4" t="s">
        <v>241</v>
      </c>
      <c r="BB40" s="4" t="s">
        <v>250</v>
      </c>
      <c r="BC40" s="4" t="s">
        <v>241</v>
      </c>
      <c r="BD40" s="4" t="s">
        <v>252</v>
      </c>
      <c r="BE40" s="4" t="s">
        <v>241</v>
      </c>
      <c r="BI40" s="4" t="s">
        <v>253</v>
      </c>
      <c r="BJ40" s="5" t="s">
        <v>246</v>
      </c>
      <c r="BK40" s="4" t="s">
        <v>254</v>
      </c>
      <c r="BL40" s="4" t="s">
        <v>255</v>
      </c>
      <c r="BM40" s="4" t="s">
        <v>241</v>
      </c>
      <c r="BN40" s="6">
        <f>0</f>
        <v>0</v>
      </c>
      <c r="BO40" s="6">
        <f>0</f>
        <v>0</v>
      </c>
      <c r="BP40" s="4" t="s">
        <v>256</v>
      </c>
      <c r="BQ40" s="4" t="s">
        <v>257</v>
      </c>
      <c r="CE40" s="4" t="s">
        <v>241</v>
      </c>
      <c r="CF40" s="4" t="s">
        <v>241</v>
      </c>
      <c r="CJ40" s="4" t="s">
        <v>258</v>
      </c>
      <c r="CK40" s="4" t="s">
        <v>259</v>
      </c>
      <c r="CL40" s="4" t="s">
        <v>241</v>
      </c>
      <c r="CO40" s="5" t="s">
        <v>260</v>
      </c>
      <c r="CP40" s="4" t="s">
        <v>241</v>
      </c>
      <c r="CQ40" s="4" t="s">
        <v>261</v>
      </c>
      <c r="CR40" s="4" t="s">
        <v>241</v>
      </c>
      <c r="CS40" s="4" t="s">
        <v>241</v>
      </c>
      <c r="CT40" s="4">
        <v>0</v>
      </c>
      <c r="CU40" s="4" t="s">
        <v>262</v>
      </c>
      <c r="CV40" s="4" t="s">
        <v>263</v>
      </c>
      <c r="CW40" s="4" t="s">
        <v>263</v>
      </c>
      <c r="CX40" s="4" t="s">
        <v>264</v>
      </c>
      <c r="DA40" s="6">
        <f>1484050</f>
        <v>1484050</v>
      </c>
      <c r="DC40" s="4" t="s">
        <v>422</v>
      </c>
      <c r="DD40" s="4" t="s">
        <v>241</v>
      </c>
      <c r="DF40" s="4" t="s">
        <v>422</v>
      </c>
      <c r="DG40" s="6">
        <f>670</f>
        <v>670</v>
      </c>
      <c r="DI40" s="4" t="s">
        <v>414</v>
      </c>
      <c r="DJ40" s="4" t="s">
        <v>241</v>
      </c>
      <c r="DK40" s="4" t="s">
        <v>241</v>
      </c>
      <c r="DL40" s="4" t="s">
        <v>241</v>
      </c>
      <c r="DP40" s="4" t="s">
        <v>241</v>
      </c>
      <c r="DQ40" s="4" t="s">
        <v>241</v>
      </c>
      <c r="DR40" s="4" t="s">
        <v>241</v>
      </c>
      <c r="DS40" s="4" t="s">
        <v>241</v>
      </c>
      <c r="DV40" s="4" t="s">
        <v>4337</v>
      </c>
      <c r="DW40" s="4" t="s">
        <v>327</v>
      </c>
      <c r="HO40" s="4" t="s">
        <v>267</v>
      </c>
    </row>
    <row r="41" spans="1:223" ht="19.5" customHeight="1" x14ac:dyDescent="0.4">
      <c r="A41" s="4">
        <v>1</v>
      </c>
      <c r="B41" s="4" t="s">
        <v>239</v>
      </c>
      <c r="C41" s="4">
        <v>748</v>
      </c>
      <c r="D41" s="4">
        <v>1</v>
      </c>
      <c r="E41" s="4">
        <v>1</v>
      </c>
      <c r="F41" s="4" t="s">
        <v>240</v>
      </c>
      <c r="G41" s="4" t="s">
        <v>241</v>
      </c>
      <c r="H41" s="4" t="s">
        <v>241</v>
      </c>
      <c r="I41" s="4" t="s">
        <v>4335</v>
      </c>
      <c r="J41" s="4" t="s">
        <v>418</v>
      </c>
      <c r="K41" s="4" t="s">
        <v>251</v>
      </c>
      <c r="L41" s="4" t="s">
        <v>4334</v>
      </c>
      <c r="M41" s="5" t="s">
        <v>4340</v>
      </c>
      <c r="N41" s="6">
        <f>448</f>
        <v>448</v>
      </c>
      <c r="O41" s="4" t="s">
        <v>265</v>
      </c>
      <c r="P41" s="6">
        <f>992320</f>
        <v>992320</v>
      </c>
      <c r="Q41" s="6">
        <f>0</f>
        <v>0</v>
      </c>
      <c r="S41" s="6">
        <f>0</f>
        <v>0</v>
      </c>
      <c r="T41" s="6">
        <f>992320</f>
        <v>992320</v>
      </c>
      <c r="U41" s="5" t="s">
        <v>245</v>
      </c>
      <c r="V41" s="4" t="s">
        <v>270</v>
      </c>
      <c r="W41" s="4" t="s">
        <v>242</v>
      </c>
      <c r="X41" s="4" t="s">
        <v>273</v>
      </c>
      <c r="Y41" s="4" t="s">
        <v>241</v>
      </c>
      <c r="AB41" s="4" t="s">
        <v>241</v>
      </c>
      <c r="AD41" s="5" t="s">
        <v>241</v>
      </c>
      <c r="AG41" s="5" t="s">
        <v>246</v>
      </c>
      <c r="AH41" s="4" t="s">
        <v>241</v>
      </c>
      <c r="AI41" s="4" t="s">
        <v>247</v>
      </c>
      <c r="AJ41" s="4" t="s">
        <v>248</v>
      </c>
      <c r="AZ41" s="4" t="s">
        <v>249</v>
      </c>
      <c r="BA41" s="4" t="s">
        <v>241</v>
      </c>
      <c r="BB41" s="4" t="s">
        <v>250</v>
      </c>
      <c r="BC41" s="4" t="s">
        <v>241</v>
      </c>
      <c r="BD41" s="4" t="s">
        <v>252</v>
      </c>
      <c r="BE41" s="4" t="s">
        <v>241</v>
      </c>
      <c r="BI41" s="4" t="s">
        <v>253</v>
      </c>
      <c r="BJ41" s="5" t="s">
        <v>246</v>
      </c>
      <c r="BK41" s="4" t="s">
        <v>254</v>
      </c>
      <c r="BL41" s="4" t="s">
        <v>255</v>
      </c>
      <c r="BM41" s="4" t="s">
        <v>241</v>
      </c>
      <c r="BN41" s="6">
        <f>0</f>
        <v>0</v>
      </c>
      <c r="BO41" s="6">
        <f>0</f>
        <v>0</v>
      </c>
      <c r="BP41" s="4" t="s">
        <v>256</v>
      </c>
      <c r="BQ41" s="4" t="s">
        <v>257</v>
      </c>
      <c r="CE41" s="4" t="s">
        <v>241</v>
      </c>
      <c r="CF41" s="4" t="s">
        <v>241</v>
      </c>
      <c r="CJ41" s="4" t="s">
        <v>258</v>
      </c>
      <c r="CK41" s="4" t="s">
        <v>259</v>
      </c>
      <c r="CL41" s="4" t="s">
        <v>241</v>
      </c>
      <c r="CO41" s="5" t="s">
        <v>260</v>
      </c>
      <c r="CP41" s="4" t="s">
        <v>241</v>
      </c>
      <c r="CQ41" s="4" t="s">
        <v>261</v>
      </c>
      <c r="CR41" s="4" t="s">
        <v>241</v>
      </c>
      <c r="CS41" s="4" t="s">
        <v>241</v>
      </c>
      <c r="CT41" s="4">
        <v>0</v>
      </c>
      <c r="CU41" s="4" t="s">
        <v>262</v>
      </c>
      <c r="CV41" s="4" t="s">
        <v>263</v>
      </c>
      <c r="CW41" s="4" t="s">
        <v>263</v>
      </c>
      <c r="CX41" s="4" t="s">
        <v>264</v>
      </c>
      <c r="DA41" s="6">
        <f>992320</f>
        <v>992320</v>
      </c>
      <c r="DC41" s="4" t="s">
        <v>422</v>
      </c>
      <c r="DD41" s="4" t="s">
        <v>241</v>
      </c>
      <c r="DF41" s="4" t="s">
        <v>422</v>
      </c>
      <c r="DG41" s="6">
        <f>448</f>
        <v>448</v>
      </c>
      <c r="DI41" s="4" t="s">
        <v>414</v>
      </c>
      <c r="DJ41" s="4" t="s">
        <v>241</v>
      </c>
      <c r="DK41" s="4" t="s">
        <v>241</v>
      </c>
      <c r="DL41" s="4" t="s">
        <v>241</v>
      </c>
      <c r="DP41" s="4" t="s">
        <v>241</v>
      </c>
      <c r="DQ41" s="4" t="s">
        <v>241</v>
      </c>
      <c r="DR41" s="4" t="s">
        <v>241</v>
      </c>
      <c r="DS41" s="4" t="s">
        <v>241</v>
      </c>
      <c r="DV41" s="4" t="s">
        <v>4337</v>
      </c>
      <c r="DW41" s="4" t="s">
        <v>748</v>
      </c>
      <c r="HO41" s="4" t="s">
        <v>267</v>
      </c>
    </row>
    <row r="42" spans="1:223" ht="19.5" customHeight="1" x14ac:dyDescent="0.4">
      <c r="A42" s="4">
        <v>1</v>
      </c>
      <c r="B42" s="4" t="s">
        <v>239</v>
      </c>
      <c r="C42" s="4">
        <v>749</v>
      </c>
      <c r="D42" s="4">
        <v>1</v>
      </c>
      <c r="E42" s="4">
        <v>1</v>
      </c>
      <c r="F42" s="4" t="s">
        <v>240</v>
      </c>
      <c r="G42" s="4" t="s">
        <v>241</v>
      </c>
      <c r="H42" s="4" t="s">
        <v>241</v>
      </c>
      <c r="I42" s="4" t="s">
        <v>4335</v>
      </c>
      <c r="J42" s="4" t="s">
        <v>418</v>
      </c>
      <c r="K42" s="4" t="s">
        <v>251</v>
      </c>
      <c r="L42" s="4" t="s">
        <v>4334</v>
      </c>
      <c r="M42" s="5" t="s">
        <v>4339</v>
      </c>
      <c r="N42" s="6">
        <f>458</f>
        <v>458</v>
      </c>
      <c r="O42" s="4" t="s">
        <v>265</v>
      </c>
      <c r="P42" s="6">
        <f>1014470</f>
        <v>1014470</v>
      </c>
      <c r="Q42" s="6">
        <f>0</f>
        <v>0</v>
      </c>
      <c r="S42" s="6">
        <f>0</f>
        <v>0</v>
      </c>
      <c r="T42" s="6">
        <f>1014470</f>
        <v>1014470</v>
      </c>
      <c r="U42" s="5" t="s">
        <v>245</v>
      </c>
      <c r="V42" s="4" t="s">
        <v>270</v>
      </c>
      <c r="W42" s="4" t="s">
        <v>242</v>
      </c>
      <c r="X42" s="4" t="s">
        <v>273</v>
      </c>
      <c r="Y42" s="4" t="s">
        <v>241</v>
      </c>
      <c r="AB42" s="4" t="s">
        <v>241</v>
      </c>
      <c r="AD42" s="5" t="s">
        <v>241</v>
      </c>
      <c r="AG42" s="5" t="s">
        <v>246</v>
      </c>
      <c r="AH42" s="4" t="s">
        <v>241</v>
      </c>
      <c r="AI42" s="4" t="s">
        <v>247</v>
      </c>
      <c r="AJ42" s="4" t="s">
        <v>248</v>
      </c>
      <c r="AZ42" s="4" t="s">
        <v>249</v>
      </c>
      <c r="BA42" s="4" t="s">
        <v>241</v>
      </c>
      <c r="BB42" s="4" t="s">
        <v>250</v>
      </c>
      <c r="BC42" s="4" t="s">
        <v>241</v>
      </c>
      <c r="BD42" s="4" t="s">
        <v>252</v>
      </c>
      <c r="BE42" s="4" t="s">
        <v>241</v>
      </c>
      <c r="BI42" s="4" t="s">
        <v>253</v>
      </c>
      <c r="BJ42" s="5" t="s">
        <v>246</v>
      </c>
      <c r="BK42" s="4" t="s">
        <v>254</v>
      </c>
      <c r="BL42" s="4" t="s">
        <v>255</v>
      </c>
      <c r="BM42" s="4" t="s">
        <v>241</v>
      </c>
      <c r="BN42" s="6">
        <f>0</f>
        <v>0</v>
      </c>
      <c r="BO42" s="6">
        <f>0</f>
        <v>0</v>
      </c>
      <c r="BP42" s="4" t="s">
        <v>256</v>
      </c>
      <c r="BQ42" s="4" t="s">
        <v>257</v>
      </c>
      <c r="CE42" s="4" t="s">
        <v>241</v>
      </c>
      <c r="CF42" s="4" t="s">
        <v>241</v>
      </c>
      <c r="CJ42" s="4" t="s">
        <v>258</v>
      </c>
      <c r="CK42" s="4" t="s">
        <v>259</v>
      </c>
      <c r="CL42" s="4" t="s">
        <v>241</v>
      </c>
      <c r="CO42" s="5" t="s">
        <v>260</v>
      </c>
      <c r="CP42" s="4" t="s">
        <v>241</v>
      </c>
      <c r="CQ42" s="4" t="s">
        <v>261</v>
      </c>
      <c r="CR42" s="4" t="s">
        <v>241</v>
      </c>
      <c r="CS42" s="4" t="s">
        <v>241</v>
      </c>
      <c r="CT42" s="4">
        <v>0</v>
      </c>
      <c r="CU42" s="4" t="s">
        <v>262</v>
      </c>
      <c r="CV42" s="4" t="s">
        <v>263</v>
      </c>
      <c r="CW42" s="4" t="s">
        <v>263</v>
      </c>
      <c r="CX42" s="4" t="s">
        <v>264</v>
      </c>
      <c r="DA42" s="6">
        <f>1014470</f>
        <v>1014470</v>
      </c>
      <c r="DC42" s="4" t="s">
        <v>422</v>
      </c>
      <c r="DD42" s="4" t="s">
        <v>241</v>
      </c>
      <c r="DF42" s="4" t="s">
        <v>422</v>
      </c>
      <c r="DG42" s="6">
        <f>458</f>
        <v>458</v>
      </c>
      <c r="DI42" s="4" t="s">
        <v>414</v>
      </c>
      <c r="DJ42" s="4" t="s">
        <v>241</v>
      </c>
      <c r="DK42" s="4" t="s">
        <v>241</v>
      </c>
      <c r="DL42" s="4" t="s">
        <v>241</v>
      </c>
      <c r="DP42" s="4" t="s">
        <v>241</v>
      </c>
      <c r="DQ42" s="4" t="s">
        <v>241</v>
      </c>
      <c r="DR42" s="4" t="s">
        <v>241</v>
      </c>
      <c r="DS42" s="4" t="s">
        <v>241</v>
      </c>
      <c r="DV42" s="4" t="s">
        <v>4337</v>
      </c>
      <c r="DW42" s="4" t="s">
        <v>719</v>
      </c>
      <c r="HO42" s="4" t="s">
        <v>267</v>
      </c>
    </row>
    <row r="43" spans="1:223" ht="19.5" customHeight="1" x14ac:dyDescent="0.4">
      <c r="A43" s="4">
        <v>1</v>
      </c>
      <c r="B43" s="4" t="s">
        <v>239</v>
      </c>
      <c r="C43" s="4">
        <v>750</v>
      </c>
      <c r="D43" s="4">
        <v>1</v>
      </c>
      <c r="E43" s="4">
        <v>1</v>
      </c>
      <c r="F43" s="4" t="s">
        <v>268</v>
      </c>
      <c r="G43" s="4" t="s">
        <v>241</v>
      </c>
      <c r="H43" s="4" t="s">
        <v>241</v>
      </c>
      <c r="I43" s="4" t="s">
        <v>4335</v>
      </c>
      <c r="J43" s="4" t="s">
        <v>418</v>
      </c>
      <c r="K43" s="4" t="s">
        <v>251</v>
      </c>
      <c r="L43" s="4" t="s">
        <v>4334</v>
      </c>
      <c r="M43" s="5" t="s">
        <v>4336</v>
      </c>
      <c r="N43" s="6">
        <f>278</f>
        <v>278</v>
      </c>
      <c r="O43" s="4" t="s">
        <v>265</v>
      </c>
      <c r="P43" s="6">
        <f>136220</f>
        <v>136220</v>
      </c>
      <c r="Q43" s="6">
        <f>0</f>
        <v>0</v>
      </c>
      <c r="S43" s="6">
        <f>0</f>
        <v>0</v>
      </c>
      <c r="T43" s="6">
        <f>136220</f>
        <v>136220</v>
      </c>
      <c r="U43" s="5" t="s">
        <v>245</v>
      </c>
      <c r="V43" s="4" t="s">
        <v>270</v>
      </c>
      <c r="W43" s="4" t="s">
        <v>271</v>
      </c>
      <c r="X43" s="4" t="s">
        <v>273</v>
      </c>
      <c r="Y43" s="4" t="s">
        <v>241</v>
      </c>
      <c r="AB43" s="4" t="s">
        <v>241</v>
      </c>
      <c r="AD43" s="5" t="s">
        <v>241</v>
      </c>
      <c r="AG43" s="5" t="s">
        <v>246</v>
      </c>
      <c r="AH43" s="4" t="s">
        <v>241</v>
      </c>
      <c r="AI43" s="4" t="s">
        <v>247</v>
      </c>
      <c r="AJ43" s="4" t="s">
        <v>248</v>
      </c>
      <c r="AZ43" s="4" t="s">
        <v>249</v>
      </c>
      <c r="BA43" s="4" t="s">
        <v>241</v>
      </c>
      <c r="BB43" s="4" t="s">
        <v>250</v>
      </c>
      <c r="BC43" s="4" t="s">
        <v>241</v>
      </c>
      <c r="BD43" s="4" t="s">
        <v>252</v>
      </c>
      <c r="BE43" s="4" t="s">
        <v>241</v>
      </c>
      <c r="BI43" s="4" t="s">
        <v>253</v>
      </c>
      <c r="BJ43" s="5" t="s">
        <v>246</v>
      </c>
      <c r="BK43" s="4" t="s">
        <v>254</v>
      </c>
      <c r="BL43" s="4" t="s">
        <v>255</v>
      </c>
      <c r="BM43" s="4" t="s">
        <v>241</v>
      </c>
      <c r="BN43" s="6">
        <f>0</f>
        <v>0</v>
      </c>
      <c r="BO43" s="6">
        <f>0</f>
        <v>0</v>
      </c>
      <c r="BP43" s="4" t="s">
        <v>256</v>
      </c>
      <c r="BQ43" s="4" t="s">
        <v>257</v>
      </c>
      <c r="CE43" s="4" t="s">
        <v>241</v>
      </c>
      <c r="CF43" s="4" t="s">
        <v>241</v>
      </c>
      <c r="CJ43" s="4" t="s">
        <v>258</v>
      </c>
      <c r="CK43" s="4" t="s">
        <v>259</v>
      </c>
      <c r="CL43" s="4" t="s">
        <v>241</v>
      </c>
      <c r="CO43" s="5" t="s">
        <v>260</v>
      </c>
      <c r="CP43" s="4" t="s">
        <v>241</v>
      </c>
      <c r="CQ43" s="4" t="s">
        <v>261</v>
      </c>
      <c r="CR43" s="4" t="s">
        <v>241</v>
      </c>
      <c r="CS43" s="4" t="s">
        <v>241</v>
      </c>
      <c r="CT43" s="4">
        <v>0</v>
      </c>
      <c r="CU43" s="4" t="s">
        <v>262</v>
      </c>
      <c r="CV43" s="4" t="s">
        <v>263</v>
      </c>
      <c r="CW43" s="4" t="s">
        <v>263</v>
      </c>
      <c r="CX43" s="4" t="s">
        <v>264</v>
      </c>
      <c r="DA43" s="6">
        <f>136220</f>
        <v>136220</v>
      </c>
      <c r="DC43" s="4" t="s">
        <v>277</v>
      </c>
      <c r="DD43" s="4" t="s">
        <v>241</v>
      </c>
      <c r="DF43" s="4" t="s">
        <v>287</v>
      </c>
      <c r="DG43" s="6">
        <f>0</f>
        <v>0</v>
      </c>
      <c r="DI43" s="4" t="s">
        <v>287</v>
      </c>
      <c r="DJ43" s="4" t="s">
        <v>241</v>
      </c>
      <c r="DK43" s="4" t="s">
        <v>241</v>
      </c>
      <c r="DL43" s="4" t="s">
        <v>241</v>
      </c>
      <c r="DP43" s="4" t="s">
        <v>241</v>
      </c>
      <c r="DQ43" s="4" t="s">
        <v>241</v>
      </c>
      <c r="DR43" s="4" t="s">
        <v>241</v>
      </c>
      <c r="DS43" s="4" t="s">
        <v>241</v>
      </c>
      <c r="DV43" s="4" t="s">
        <v>4337</v>
      </c>
      <c r="DW43" s="4" t="s">
        <v>690</v>
      </c>
      <c r="HO43" s="4" t="s">
        <v>267</v>
      </c>
    </row>
    <row r="44" spans="1:223" ht="19.5" customHeight="1" x14ac:dyDescent="0.4">
      <c r="A44" s="4">
        <v>1</v>
      </c>
      <c r="B44" s="4" t="s">
        <v>239</v>
      </c>
      <c r="C44" s="4">
        <v>751</v>
      </c>
      <c r="D44" s="4">
        <v>1</v>
      </c>
      <c r="E44" s="4">
        <v>1</v>
      </c>
      <c r="F44" s="4" t="s">
        <v>240</v>
      </c>
      <c r="G44" s="4" t="s">
        <v>241</v>
      </c>
      <c r="H44" s="4" t="s">
        <v>241</v>
      </c>
      <c r="I44" s="4" t="s">
        <v>5375</v>
      </c>
      <c r="J44" s="4" t="s">
        <v>596</v>
      </c>
      <c r="K44" s="4" t="s">
        <v>251</v>
      </c>
      <c r="L44" s="4" t="s">
        <v>5374</v>
      </c>
      <c r="M44" s="5" t="s">
        <v>5392</v>
      </c>
      <c r="N44" s="6">
        <f>3062</f>
        <v>3062</v>
      </c>
      <c r="O44" s="4" t="s">
        <v>265</v>
      </c>
      <c r="P44" s="6">
        <f>6782330</f>
        <v>6782330</v>
      </c>
      <c r="Q44" s="6">
        <f>0</f>
        <v>0</v>
      </c>
      <c r="S44" s="6">
        <f>0</f>
        <v>0</v>
      </c>
      <c r="T44" s="6">
        <f>6782330</f>
        <v>6782330</v>
      </c>
      <c r="U44" s="5" t="s">
        <v>245</v>
      </c>
      <c r="V44" s="4" t="s">
        <v>270</v>
      </c>
      <c r="W44" s="4" t="s">
        <v>242</v>
      </c>
      <c r="X44" s="4" t="s">
        <v>273</v>
      </c>
      <c r="Y44" s="4" t="s">
        <v>241</v>
      </c>
      <c r="AB44" s="4" t="s">
        <v>241</v>
      </c>
      <c r="AD44" s="5" t="s">
        <v>241</v>
      </c>
      <c r="AG44" s="5" t="s">
        <v>246</v>
      </c>
      <c r="AH44" s="4" t="s">
        <v>5391</v>
      </c>
      <c r="AI44" s="4" t="s">
        <v>247</v>
      </c>
      <c r="AJ44" s="4" t="s">
        <v>248</v>
      </c>
      <c r="AZ44" s="4" t="s">
        <v>249</v>
      </c>
      <c r="BA44" s="4" t="s">
        <v>241</v>
      </c>
      <c r="BB44" s="4" t="s">
        <v>250</v>
      </c>
      <c r="BC44" s="4" t="s">
        <v>241</v>
      </c>
      <c r="BD44" s="4" t="s">
        <v>252</v>
      </c>
      <c r="BE44" s="4" t="s">
        <v>241</v>
      </c>
      <c r="BI44" s="4" t="s">
        <v>253</v>
      </c>
      <c r="BJ44" s="5" t="s">
        <v>246</v>
      </c>
      <c r="BK44" s="4" t="s">
        <v>254</v>
      </c>
      <c r="BL44" s="4" t="s">
        <v>255</v>
      </c>
      <c r="BM44" s="4" t="s">
        <v>241</v>
      </c>
      <c r="BN44" s="6">
        <f>0</f>
        <v>0</v>
      </c>
      <c r="BO44" s="6">
        <f>0</f>
        <v>0</v>
      </c>
      <c r="BP44" s="4" t="s">
        <v>256</v>
      </c>
      <c r="BQ44" s="4" t="s">
        <v>257</v>
      </c>
      <c r="CE44" s="4" t="s">
        <v>241</v>
      </c>
      <c r="CF44" s="4" t="s">
        <v>241</v>
      </c>
      <c r="CJ44" s="4" t="s">
        <v>258</v>
      </c>
      <c r="CK44" s="4" t="s">
        <v>259</v>
      </c>
      <c r="CL44" s="4" t="s">
        <v>241</v>
      </c>
      <c r="CO44" s="5" t="s">
        <v>260</v>
      </c>
      <c r="CP44" s="4" t="s">
        <v>241</v>
      </c>
      <c r="CQ44" s="4" t="s">
        <v>261</v>
      </c>
      <c r="CR44" s="4" t="s">
        <v>241</v>
      </c>
      <c r="CS44" s="4" t="s">
        <v>241</v>
      </c>
      <c r="CT44" s="4">
        <v>0</v>
      </c>
      <c r="CU44" s="4" t="s">
        <v>262</v>
      </c>
      <c r="CV44" s="4" t="s">
        <v>263</v>
      </c>
      <c r="CW44" s="4" t="s">
        <v>263</v>
      </c>
      <c r="CX44" s="4" t="s">
        <v>264</v>
      </c>
      <c r="DA44" s="6">
        <f>6782330</f>
        <v>6782330</v>
      </c>
      <c r="DC44" s="4" t="s">
        <v>3159</v>
      </c>
      <c r="DD44" s="4" t="s">
        <v>241</v>
      </c>
      <c r="DF44" s="4" t="s">
        <v>3159</v>
      </c>
      <c r="DG44" s="6">
        <f>0</f>
        <v>0</v>
      </c>
      <c r="DI44" s="4" t="s">
        <v>414</v>
      </c>
      <c r="DJ44" s="4" t="s">
        <v>241</v>
      </c>
      <c r="DK44" s="4" t="s">
        <v>241</v>
      </c>
      <c r="DL44" s="4" t="s">
        <v>241</v>
      </c>
      <c r="DP44" s="4" t="s">
        <v>241</v>
      </c>
      <c r="DQ44" s="4" t="s">
        <v>241</v>
      </c>
      <c r="DR44" s="4" t="s">
        <v>241</v>
      </c>
      <c r="DS44" s="4" t="s">
        <v>241</v>
      </c>
      <c r="DV44" s="4" t="s">
        <v>5377</v>
      </c>
      <c r="DW44" s="4" t="s">
        <v>267</v>
      </c>
      <c r="HO44" s="4" t="s">
        <v>267</v>
      </c>
    </row>
    <row r="45" spans="1:223" ht="19.5" customHeight="1" x14ac:dyDescent="0.4">
      <c r="A45" s="4">
        <v>1</v>
      </c>
      <c r="B45" s="4" t="s">
        <v>239</v>
      </c>
      <c r="C45" s="4">
        <v>752</v>
      </c>
      <c r="D45" s="4">
        <v>1</v>
      </c>
      <c r="E45" s="4">
        <v>1</v>
      </c>
      <c r="F45" s="4" t="s">
        <v>240</v>
      </c>
      <c r="G45" s="4" t="s">
        <v>241</v>
      </c>
      <c r="H45" s="4" t="s">
        <v>241</v>
      </c>
      <c r="I45" s="4" t="s">
        <v>5375</v>
      </c>
      <c r="J45" s="4" t="s">
        <v>596</v>
      </c>
      <c r="K45" s="4" t="s">
        <v>251</v>
      </c>
      <c r="L45" s="4" t="s">
        <v>5374</v>
      </c>
      <c r="M45" s="5" t="s">
        <v>5393</v>
      </c>
      <c r="N45" s="6">
        <f>862</f>
        <v>862</v>
      </c>
      <c r="O45" s="4" t="s">
        <v>265</v>
      </c>
      <c r="P45" s="6">
        <f>1909330</f>
        <v>1909330</v>
      </c>
      <c r="Q45" s="6">
        <f>0</f>
        <v>0</v>
      </c>
      <c r="S45" s="6">
        <f>0</f>
        <v>0</v>
      </c>
      <c r="T45" s="6">
        <f>1909330</f>
        <v>1909330</v>
      </c>
      <c r="U45" s="5" t="s">
        <v>245</v>
      </c>
      <c r="V45" s="4" t="s">
        <v>270</v>
      </c>
      <c r="W45" s="4" t="s">
        <v>242</v>
      </c>
      <c r="X45" s="4" t="s">
        <v>273</v>
      </c>
      <c r="Y45" s="4" t="s">
        <v>241</v>
      </c>
      <c r="AB45" s="4" t="s">
        <v>241</v>
      </c>
      <c r="AD45" s="5" t="s">
        <v>241</v>
      </c>
      <c r="AG45" s="5" t="s">
        <v>246</v>
      </c>
      <c r="AH45" s="4" t="s">
        <v>241</v>
      </c>
      <c r="AI45" s="4" t="s">
        <v>247</v>
      </c>
      <c r="AJ45" s="4" t="s">
        <v>248</v>
      </c>
      <c r="AZ45" s="4" t="s">
        <v>249</v>
      </c>
      <c r="BA45" s="4" t="s">
        <v>241</v>
      </c>
      <c r="BB45" s="4" t="s">
        <v>250</v>
      </c>
      <c r="BC45" s="4" t="s">
        <v>241</v>
      </c>
      <c r="BD45" s="4" t="s">
        <v>252</v>
      </c>
      <c r="BE45" s="4" t="s">
        <v>241</v>
      </c>
      <c r="BI45" s="4" t="s">
        <v>253</v>
      </c>
      <c r="BJ45" s="5" t="s">
        <v>246</v>
      </c>
      <c r="BK45" s="4" t="s">
        <v>254</v>
      </c>
      <c r="BL45" s="4" t="s">
        <v>255</v>
      </c>
      <c r="BM45" s="4" t="s">
        <v>241</v>
      </c>
      <c r="BN45" s="6">
        <f>0</f>
        <v>0</v>
      </c>
      <c r="BO45" s="6">
        <f>0</f>
        <v>0</v>
      </c>
      <c r="BP45" s="4" t="s">
        <v>256</v>
      </c>
      <c r="BQ45" s="4" t="s">
        <v>257</v>
      </c>
      <c r="CE45" s="4" t="s">
        <v>241</v>
      </c>
      <c r="CF45" s="4" t="s">
        <v>241</v>
      </c>
      <c r="CJ45" s="4" t="s">
        <v>258</v>
      </c>
      <c r="CK45" s="4" t="s">
        <v>259</v>
      </c>
      <c r="CL45" s="4" t="s">
        <v>241</v>
      </c>
      <c r="CO45" s="5" t="s">
        <v>260</v>
      </c>
      <c r="CP45" s="4" t="s">
        <v>241</v>
      </c>
      <c r="CQ45" s="4" t="s">
        <v>261</v>
      </c>
      <c r="CR45" s="4" t="s">
        <v>241</v>
      </c>
      <c r="CS45" s="4" t="s">
        <v>241</v>
      </c>
      <c r="CT45" s="4">
        <v>0</v>
      </c>
      <c r="CU45" s="4" t="s">
        <v>262</v>
      </c>
      <c r="CV45" s="4" t="s">
        <v>263</v>
      </c>
      <c r="CW45" s="4" t="s">
        <v>263</v>
      </c>
      <c r="CX45" s="4" t="s">
        <v>264</v>
      </c>
      <c r="DA45" s="6">
        <f>1909330</f>
        <v>1909330</v>
      </c>
      <c r="DC45" s="4" t="s">
        <v>422</v>
      </c>
      <c r="DD45" s="4" t="s">
        <v>241</v>
      </c>
      <c r="DF45" s="4" t="s">
        <v>422</v>
      </c>
      <c r="DG45" s="6">
        <f>862</f>
        <v>862</v>
      </c>
      <c r="DI45" s="4" t="s">
        <v>414</v>
      </c>
      <c r="DJ45" s="4" t="s">
        <v>241</v>
      </c>
      <c r="DK45" s="4" t="s">
        <v>241</v>
      </c>
      <c r="DL45" s="4" t="s">
        <v>241</v>
      </c>
      <c r="DP45" s="4" t="s">
        <v>241</v>
      </c>
      <c r="DQ45" s="4" t="s">
        <v>241</v>
      </c>
      <c r="DR45" s="4" t="s">
        <v>241</v>
      </c>
      <c r="DS45" s="4" t="s">
        <v>241</v>
      </c>
      <c r="DV45" s="4" t="s">
        <v>5377</v>
      </c>
      <c r="DW45" s="4" t="s">
        <v>416</v>
      </c>
      <c r="HO45" s="4" t="s">
        <v>267</v>
      </c>
    </row>
    <row r="46" spans="1:223" ht="19.5" customHeight="1" x14ac:dyDescent="0.4">
      <c r="A46" s="4">
        <v>1</v>
      </c>
      <c r="B46" s="4" t="s">
        <v>239</v>
      </c>
      <c r="C46" s="4">
        <v>753</v>
      </c>
      <c r="D46" s="4">
        <v>1</v>
      </c>
      <c r="E46" s="4">
        <v>1</v>
      </c>
      <c r="F46" s="4" t="s">
        <v>240</v>
      </c>
      <c r="G46" s="4" t="s">
        <v>241</v>
      </c>
      <c r="H46" s="4" t="s">
        <v>241</v>
      </c>
      <c r="I46" s="4" t="s">
        <v>5375</v>
      </c>
      <c r="J46" s="4" t="s">
        <v>596</v>
      </c>
      <c r="K46" s="4" t="s">
        <v>251</v>
      </c>
      <c r="L46" s="4" t="s">
        <v>5374</v>
      </c>
      <c r="M46" s="5" t="s">
        <v>5394</v>
      </c>
      <c r="N46" s="6">
        <f>74</f>
        <v>74</v>
      </c>
      <c r="O46" s="4" t="s">
        <v>265</v>
      </c>
      <c r="P46" s="6">
        <f>163910</f>
        <v>163910</v>
      </c>
      <c r="Q46" s="6">
        <f>0</f>
        <v>0</v>
      </c>
      <c r="S46" s="6">
        <f>0</f>
        <v>0</v>
      </c>
      <c r="T46" s="6">
        <f>163910</f>
        <v>163910</v>
      </c>
      <c r="U46" s="5" t="s">
        <v>245</v>
      </c>
      <c r="V46" s="4" t="s">
        <v>270</v>
      </c>
      <c r="W46" s="4" t="s">
        <v>242</v>
      </c>
      <c r="X46" s="4" t="s">
        <v>273</v>
      </c>
      <c r="Y46" s="4" t="s">
        <v>241</v>
      </c>
      <c r="AB46" s="4" t="s">
        <v>241</v>
      </c>
      <c r="AD46" s="5" t="s">
        <v>241</v>
      </c>
      <c r="AG46" s="5" t="s">
        <v>246</v>
      </c>
      <c r="AH46" s="4" t="s">
        <v>241</v>
      </c>
      <c r="AI46" s="4" t="s">
        <v>247</v>
      </c>
      <c r="AJ46" s="4" t="s">
        <v>248</v>
      </c>
      <c r="AZ46" s="4" t="s">
        <v>249</v>
      </c>
      <c r="BA46" s="4" t="s">
        <v>241</v>
      </c>
      <c r="BB46" s="4" t="s">
        <v>250</v>
      </c>
      <c r="BC46" s="4" t="s">
        <v>241</v>
      </c>
      <c r="BD46" s="4" t="s">
        <v>252</v>
      </c>
      <c r="BE46" s="4" t="s">
        <v>241</v>
      </c>
      <c r="BG46" s="4" t="s">
        <v>4227</v>
      </c>
      <c r="BI46" s="4" t="s">
        <v>253</v>
      </c>
      <c r="BJ46" s="5" t="s">
        <v>246</v>
      </c>
      <c r="BK46" s="4" t="s">
        <v>254</v>
      </c>
      <c r="BL46" s="4" t="s">
        <v>255</v>
      </c>
      <c r="BM46" s="4" t="s">
        <v>241</v>
      </c>
      <c r="BN46" s="6">
        <f>0</f>
        <v>0</v>
      </c>
      <c r="BO46" s="6">
        <f>0</f>
        <v>0</v>
      </c>
      <c r="BP46" s="4" t="s">
        <v>256</v>
      </c>
      <c r="BQ46" s="4" t="s">
        <v>257</v>
      </c>
      <c r="CE46" s="4" t="s">
        <v>241</v>
      </c>
      <c r="CF46" s="4" t="s">
        <v>241</v>
      </c>
      <c r="CJ46" s="4" t="s">
        <v>258</v>
      </c>
      <c r="CK46" s="4" t="s">
        <v>259</v>
      </c>
      <c r="CL46" s="4" t="s">
        <v>241</v>
      </c>
      <c r="CO46" s="5" t="s">
        <v>260</v>
      </c>
      <c r="CP46" s="4" t="s">
        <v>241</v>
      </c>
      <c r="CQ46" s="4" t="s">
        <v>261</v>
      </c>
      <c r="CR46" s="4" t="s">
        <v>241</v>
      </c>
      <c r="CS46" s="4" t="s">
        <v>241</v>
      </c>
      <c r="CT46" s="4">
        <v>0</v>
      </c>
      <c r="CU46" s="4" t="s">
        <v>262</v>
      </c>
      <c r="CV46" s="4" t="s">
        <v>263</v>
      </c>
      <c r="CW46" s="4" t="s">
        <v>263</v>
      </c>
      <c r="CX46" s="4" t="s">
        <v>264</v>
      </c>
      <c r="DA46" s="6">
        <f>163910</f>
        <v>163910</v>
      </c>
      <c r="DC46" s="4" t="s">
        <v>422</v>
      </c>
      <c r="DD46" s="4" t="s">
        <v>241</v>
      </c>
      <c r="DF46" s="4" t="s">
        <v>422</v>
      </c>
      <c r="DG46" s="6">
        <f>74</f>
        <v>74</v>
      </c>
      <c r="DI46" s="4" t="s">
        <v>414</v>
      </c>
      <c r="DJ46" s="4" t="s">
        <v>241</v>
      </c>
      <c r="DK46" s="4" t="s">
        <v>241</v>
      </c>
      <c r="DL46" s="4" t="s">
        <v>241</v>
      </c>
      <c r="DP46" s="4" t="s">
        <v>241</v>
      </c>
      <c r="DQ46" s="4" t="s">
        <v>241</v>
      </c>
      <c r="DR46" s="4" t="s">
        <v>241</v>
      </c>
      <c r="DS46" s="4" t="s">
        <v>241</v>
      </c>
      <c r="DV46" s="4" t="s">
        <v>5377</v>
      </c>
      <c r="DW46" s="4" t="s">
        <v>388</v>
      </c>
      <c r="HO46" s="4" t="s">
        <v>267</v>
      </c>
    </row>
    <row r="47" spans="1:223" ht="19.5" customHeight="1" x14ac:dyDescent="0.4">
      <c r="A47" s="4">
        <v>1</v>
      </c>
      <c r="B47" s="4" t="s">
        <v>239</v>
      </c>
      <c r="C47" s="4">
        <v>754</v>
      </c>
      <c r="D47" s="4">
        <v>1</v>
      </c>
      <c r="E47" s="4">
        <v>1</v>
      </c>
      <c r="F47" s="4" t="s">
        <v>240</v>
      </c>
      <c r="G47" s="4" t="s">
        <v>241</v>
      </c>
      <c r="H47" s="4" t="s">
        <v>241</v>
      </c>
      <c r="I47" s="4" t="s">
        <v>5375</v>
      </c>
      <c r="J47" s="4" t="s">
        <v>596</v>
      </c>
      <c r="K47" s="4" t="s">
        <v>251</v>
      </c>
      <c r="L47" s="4" t="s">
        <v>5374</v>
      </c>
      <c r="M47" s="5" t="s">
        <v>5399</v>
      </c>
      <c r="N47" s="6">
        <f>19</f>
        <v>19</v>
      </c>
      <c r="O47" s="4" t="s">
        <v>265</v>
      </c>
      <c r="P47" s="6">
        <f>42085</f>
        <v>42085</v>
      </c>
      <c r="Q47" s="6">
        <f>0</f>
        <v>0</v>
      </c>
      <c r="S47" s="6">
        <f>0</f>
        <v>0</v>
      </c>
      <c r="T47" s="6">
        <f>42085</f>
        <v>42085</v>
      </c>
      <c r="U47" s="5" t="s">
        <v>245</v>
      </c>
      <c r="V47" s="4" t="s">
        <v>270</v>
      </c>
      <c r="W47" s="4" t="s">
        <v>242</v>
      </c>
      <c r="X47" s="4" t="s">
        <v>273</v>
      </c>
      <c r="Y47" s="4" t="s">
        <v>241</v>
      </c>
      <c r="AB47" s="4" t="s">
        <v>241</v>
      </c>
      <c r="AD47" s="5" t="s">
        <v>241</v>
      </c>
      <c r="AG47" s="5" t="s">
        <v>246</v>
      </c>
      <c r="AH47" s="4" t="s">
        <v>241</v>
      </c>
      <c r="AI47" s="4" t="s">
        <v>247</v>
      </c>
      <c r="AJ47" s="4" t="s">
        <v>248</v>
      </c>
      <c r="AZ47" s="4" t="s">
        <v>249</v>
      </c>
      <c r="BA47" s="4" t="s">
        <v>241</v>
      </c>
      <c r="BB47" s="4" t="s">
        <v>250</v>
      </c>
      <c r="BC47" s="4" t="s">
        <v>241</v>
      </c>
      <c r="BD47" s="4" t="s">
        <v>252</v>
      </c>
      <c r="BE47" s="4" t="s">
        <v>241</v>
      </c>
      <c r="BI47" s="4" t="s">
        <v>253</v>
      </c>
      <c r="BJ47" s="5" t="s">
        <v>246</v>
      </c>
      <c r="BK47" s="4" t="s">
        <v>254</v>
      </c>
      <c r="BL47" s="4" t="s">
        <v>255</v>
      </c>
      <c r="BM47" s="4" t="s">
        <v>241</v>
      </c>
      <c r="BN47" s="6">
        <f>0</f>
        <v>0</v>
      </c>
      <c r="BO47" s="6">
        <f>0</f>
        <v>0</v>
      </c>
      <c r="BP47" s="4" t="s">
        <v>256</v>
      </c>
      <c r="BQ47" s="4" t="s">
        <v>257</v>
      </c>
      <c r="CE47" s="4" t="s">
        <v>241</v>
      </c>
      <c r="CF47" s="4" t="s">
        <v>241</v>
      </c>
      <c r="CJ47" s="4" t="s">
        <v>258</v>
      </c>
      <c r="CK47" s="4" t="s">
        <v>259</v>
      </c>
      <c r="CL47" s="4" t="s">
        <v>241</v>
      </c>
      <c r="CO47" s="5" t="s">
        <v>260</v>
      </c>
      <c r="CP47" s="4" t="s">
        <v>241</v>
      </c>
      <c r="CQ47" s="4" t="s">
        <v>261</v>
      </c>
      <c r="CR47" s="4" t="s">
        <v>241</v>
      </c>
      <c r="CS47" s="4" t="s">
        <v>241</v>
      </c>
      <c r="CT47" s="4">
        <v>0</v>
      </c>
      <c r="CU47" s="4" t="s">
        <v>262</v>
      </c>
      <c r="CV47" s="4" t="s">
        <v>263</v>
      </c>
      <c r="CW47" s="4" t="s">
        <v>263</v>
      </c>
      <c r="CX47" s="4" t="s">
        <v>264</v>
      </c>
      <c r="DA47" s="6">
        <f>42085</f>
        <v>42085</v>
      </c>
      <c r="DC47" s="4" t="s">
        <v>422</v>
      </c>
      <c r="DD47" s="4" t="s">
        <v>241</v>
      </c>
      <c r="DF47" s="4" t="s">
        <v>422</v>
      </c>
      <c r="DG47" s="6">
        <f>19</f>
        <v>19</v>
      </c>
      <c r="DI47" s="4" t="s">
        <v>414</v>
      </c>
      <c r="DJ47" s="4" t="s">
        <v>241</v>
      </c>
      <c r="DK47" s="4" t="s">
        <v>241</v>
      </c>
      <c r="DL47" s="4" t="s">
        <v>241</v>
      </c>
      <c r="DP47" s="4" t="s">
        <v>241</v>
      </c>
      <c r="DQ47" s="4" t="s">
        <v>241</v>
      </c>
      <c r="DR47" s="4" t="s">
        <v>241</v>
      </c>
      <c r="DS47" s="4" t="s">
        <v>241</v>
      </c>
      <c r="DV47" s="4" t="s">
        <v>5377</v>
      </c>
      <c r="DW47" s="4" t="s">
        <v>327</v>
      </c>
      <c r="HO47" s="4" t="s">
        <v>267</v>
      </c>
    </row>
    <row r="48" spans="1:223" ht="19.5" customHeight="1" x14ac:dyDescent="0.4">
      <c r="A48" s="4">
        <v>1</v>
      </c>
      <c r="B48" s="4" t="s">
        <v>239</v>
      </c>
      <c r="C48" s="4">
        <v>755</v>
      </c>
      <c r="D48" s="4">
        <v>1</v>
      </c>
      <c r="E48" s="4">
        <v>1</v>
      </c>
      <c r="F48" s="4" t="s">
        <v>240</v>
      </c>
      <c r="G48" s="4" t="s">
        <v>241</v>
      </c>
      <c r="H48" s="4" t="s">
        <v>241</v>
      </c>
      <c r="I48" s="4" t="s">
        <v>5375</v>
      </c>
      <c r="J48" s="4" t="s">
        <v>596</v>
      </c>
      <c r="K48" s="4" t="s">
        <v>251</v>
      </c>
      <c r="L48" s="4" t="s">
        <v>5374</v>
      </c>
      <c r="M48" s="5" t="s">
        <v>5400</v>
      </c>
      <c r="N48" s="6">
        <f>3937.53</f>
        <v>3937.53</v>
      </c>
      <c r="O48" s="4" t="s">
        <v>265</v>
      </c>
      <c r="P48" s="6">
        <f>38587794</f>
        <v>38587794</v>
      </c>
      <c r="Q48" s="6">
        <f>0</f>
        <v>0</v>
      </c>
      <c r="S48" s="6">
        <f>0</f>
        <v>0</v>
      </c>
      <c r="T48" s="6">
        <f>38587794</f>
        <v>38587794</v>
      </c>
      <c r="U48" s="5" t="s">
        <v>245</v>
      </c>
      <c r="V48" s="4" t="s">
        <v>270</v>
      </c>
      <c r="W48" s="4" t="s">
        <v>242</v>
      </c>
      <c r="X48" s="4" t="s">
        <v>273</v>
      </c>
      <c r="Y48" s="4" t="s">
        <v>241</v>
      </c>
      <c r="AB48" s="4" t="s">
        <v>241</v>
      </c>
      <c r="AD48" s="5" t="s">
        <v>241</v>
      </c>
      <c r="AG48" s="5" t="s">
        <v>246</v>
      </c>
      <c r="AH48" s="4" t="s">
        <v>241</v>
      </c>
      <c r="AI48" s="4" t="s">
        <v>247</v>
      </c>
      <c r="AJ48" s="4" t="s">
        <v>248</v>
      </c>
      <c r="AZ48" s="4" t="s">
        <v>249</v>
      </c>
      <c r="BA48" s="4" t="s">
        <v>241</v>
      </c>
      <c r="BB48" s="4" t="s">
        <v>250</v>
      </c>
      <c r="BC48" s="4" t="s">
        <v>241</v>
      </c>
      <c r="BD48" s="4" t="s">
        <v>252</v>
      </c>
      <c r="BE48" s="4" t="s">
        <v>241</v>
      </c>
      <c r="BI48" s="4" t="s">
        <v>253</v>
      </c>
      <c r="BJ48" s="5" t="s">
        <v>246</v>
      </c>
      <c r="BK48" s="4" t="s">
        <v>254</v>
      </c>
      <c r="BL48" s="4" t="s">
        <v>255</v>
      </c>
      <c r="BM48" s="4" t="s">
        <v>241</v>
      </c>
      <c r="BN48" s="6">
        <f>0</f>
        <v>0</v>
      </c>
      <c r="BO48" s="6">
        <f>0</f>
        <v>0</v>
      </c>
      <c r="BP48" s="4" t="s">
        <v>256</v>
      </c>
      <c r="BQ48" s="4" t="s">
        <v>257</v>
      </c>
      <c r="CE48" s="4" t="s">
        <v>241</v>
      </c>
      <c r="CF48" s="4" t="s">
        <v>241</v>
      </c>
      <c r="CJ48" s="4" t="s">
        <v>258</v>
      </c>
      <c r="CK48" s="4" t="s">
        <v>259</v>
      </c>
      <c r="CL48" s="4" t="s">
        <v>241</v>
      </c>
      <c r="CO48" s="5" t="s">
        <v>260</v>
      </c>
      <c r="CP48" s="4" t="s">
        <v>241</v>
      </c>
      <c r="CQ48" s="4" t="s">
        <v>261</v>
      </c>
      <c r="CR48" s="4" t="s">
        <v>241</v>
      </c>
      <c r="CS48" s="4" t="s">
        <v>241</v>
      </c>
      <c r="CT48" s="4">
        <v>0</v>
      </c>
      <c r="CU48" s="4" t="s">
        <v>262</v>
      </c>
      <c r="CV48" s="4" t="s">
        <v>263</v>
      </c>
      <c r="CW48" s="4" t="s">
        <v>263</v>
      </c>
      <c r="CX48" s="4" t="s">
        <v>264</v>
      </c>
      <c r="DA48" s="6">
        <f>38587794</f>
        <v>38587794</v>
      </c>
      <c r="DC48" s="4" t="s">
        <v>266</v>
      </c>
      <c r="DD48" s="4" t="s">
        <v>241</v>
      </c>
      <c r="DF48" s="4" t="s">
        <v>266</v>
      </c>
      <c r="DG48" s="6">
        <f>3937.53</f>
        <v>3937.53</v>
      </c>
      <c r="DI48" s="4" t="s">
        <v>266</v>
      </c>
      <c r="DJ48" s="4" t="s">
        <v>241</v>
      </c>
      <c r="DK48" s="4" t="s">
        <v>241</v>
      </c>
      <c r="DL48" s="4" t="s">
        <v>241</v>
      </c>
      <c r="DP48" s="4" t="s">
        <v>241</v>
      </c>
      <c r="DQ48" s="4" t="s">
        <v>241</v>
      </c>
      <c r="DR48" s="4" t="s">
        <v>241</v>
      </c>
      <c r="DS48" s="4" t="s">
        <v>241</v>
      </c>
      <c r="DV48" s="4" t="s">
        <v>5377</v>
      </c>
      <c r="DW48" s="4" t="s">
        <v>748</v>
      </c>
      <c r="HO48" s="4" t="s">
        <v>267</v>
      </c>
    </row>
    <row r="49" spans="1:223" ht="19.5" customHeight="1" x14ac:dyDescent="0.4">
      <c r="A49" s="4">
        <v>1</v>
      </c>
      <c r="B49" s="4" t="s">
        <v>239</v>
      </c>
      <c r="C49" s="4">
        <v>756</v>
      </c>
      <c r="D49" s="4">
        <v>1</v>
      </c>
      <c r="E49" s="4">
        <v>1</v>
      </c>
      <c r="F49" s="4" t="s">
        <v>240</v>
      </c>
      <c r="G49" s="4" t="s">
        <v>241</v>
      </c>
      <c r="H49" s="4" t="s">
        <v>241</v>
      </c>
      <c r="I49" s="4" t="s">
        <v>5375</v>
      </c>
      <c r="J49" s="4" t="s">
        <v>596</v>
      </c>
      <c r="K49" s="4" t="s">
        <v>251</v>
      </c>
      <c r="L49" s="4" t="s">
        <v>5374</v>
      </c>
      <c r="M49" s="5" t="s">
        <v>5390</v>
      </c>
      <c r="N49" s="6">
        <f>144</f>
        <v>144</v>
      </c>
      <c r="O49" s="4" t="s">
        <v>265</v>
      </c>
      <c r="P49" s="6">
        <f>1584</f>
        <v>1584</v>
      </c>
      <c r="Q49" s="6">
        <f>0</f>
        <v>0</v>
      </c>
      <c r="S49" s="6">
        <f>0</f>
        <v>0</v>
      </c>
      <c r="T49" s="6">
        <f>1584</f>
        <v>1584</v>
      </c>
      <c r="U49" s="5" t="s">
        <v>245</v>
      </c>
      <c r="V49" s="4" t="s">
        <v>270</v>
      </c>
      <c r="W49" s="4" t="s">
        <v>242</v>
      </c>
      <c r="X49" s="4" t="s">
        <v>273</v>
      </c>
      <c r="Y49" s="4" t="s">
        <v>241</v>
      </c>
      <c r="AB49" s="4" t="s">
        <v>241</v>
      </c>
      <c r="AD49" s="5" t="s">
        <v>241</v>
      </c>
      <c r="AG49" s="5" t="s">
        <v>246</v>
      </c>
      <c r="AH49" s="4" t="s">
        <v>241</v>
      </c>
      <c r="AI49" s="4" t="s">
        <v>247</v>
      </c>
      <c r="AJ49" s="4" t="s">
        <v>248</v>
      </c>
      <c r="AZ49" s="4" t="s">
        <v>249</v>
      </c>
      <c r="BA49" s="4" t="s">
        <v>241</v>
      </c>
      <c r="BB49" s="4" t="s">
        <v>250</v>
      </c>
      <c r="BC49" s="4" t="s">
        <v>241</v>
      </c>
      <c r="BD49" s="4" t="s">
        <v>252</v>
      </c>
      <c r="BE49" s="4" t="s">
        <v>241</v>
      </c>
      <c r="BI49" s="4" t="s">
        <v>253</v>
      </c>
      <c r="BJ49" s="5" t="s">
        <v>246</v>
      </c>
      <c r="BK49" s="4" t="s">
        <v>254</v>
      </c>
      <c r="BL49" s="4" t="s">
        <v>255</v>
      </c>
      <c r="BM49" s="4" t="s">
        <v>241</v>
      </c>
      <c r="BN49" s="6">
        <f>0</f>
        <v>0</v>
      </c>
      <c r="BO49" s="6">
        <f>0</f>
        <v>0</v>
      </c>
      <c r="BP49" s="4" t="s">
        <v>256</v>
      </c>
      <c r="BQ49" s="4" t="s">
        <v>257</v>
      </c>
      <c r="CE49" s="4" t="s">
        <v>241</v>
      </c>
      <c r="CF49" s="4" t="s">
        <v>241</v>
      </c>
      <c r="CJ49" s="4" t="s">
        <v>258</v>
      </c>
      <c r="CK49" s="4" t="s">
        <v>259</v>
      </c>
      <c r="CL49" s="4" t="s">
        <v>241</v>
      </c>
      <c r="CO49" s="5" t="s">
        <v>260</v>
      </c>
      <c r="CP49" s="4" t="s">
        <v>241</v>
      </c>
      <c r="CQ49" s="4" t="s">
        <v>261</v>
      </c>
      <c r="CR49" s="4" t="s">
        <v>241</v>
      </c>
      <c r="CS49" s="4" t="s">
        <v>241</v>
      </c>
      <c r="CT49" s="4">
        <v>0</v>
      </c>
      <c r="CU49" s="4" t="s">
        <v>262</v>
      </c>
      <c r="CV49" s="4" t="s">
        <v>263</v>
      </c>
      <c r="CW49" s="4" t="s">
        <v>263</v>
      </c>
      <c r="CX49" s="4" t="s">
        <v>264</v>
      </c>
      <c r="DA49" s="6">
        <f>1584</f>
        <v>1584</v>
      </c>
      <c r="DC49" s="4" t="s">
        <v>3167</v>
      </c>
      <c r="DD49" s="4" t="s">
        <v>241</v>
      </c>
      <c r="DF49" s="4" t="s">
        <v>3167</v>
      </c>
      <c r="DG49" s="6">
        <f>144</f>
        <v>144</v>
      </c>
      <c r="DI49" s="4" t="s">
        <v>3167</v>
      </c>
      <c r="DJ49" s="4" t="s">
        <v>241</v>
      </c>
      <c r="DK49" s="4" t="s">
        <v>241</v>
      </c>
      <c r="DL49" s="4" t="s">
        <v>241</v>
      </c>
      <c r="DP49" s="4" t="s">
        <v>241</v>
      </c>
      <c r="DQ49" s="4" t="s">
        <v>241</v>
      </c>
      <c r="DR49" s="4" t="s">
        <v>241</v>
      </c>
      <c r="DS49" s="4" t="s">
        <v>241</v>
      </c>
      <c r="DV49" s="4" t="s">
        <v>5377</v>
      </c>
      <c r="DW49" s="4" t="s">
        <v>719</v>
      </c>
      <c r="HO49" s="4" t="s">
        <v>267</v>
      </c>
    </row>
    <row r="50" spans="1:223" ht="19.5" customHeight="1" x14ac:dyDescent="0.4">
      <c r="A50" s="4">
        <v>1</v>
      </c>
      <c r="B50" s="4" t="s">
        <v>239</v>
      </c>
      <c r="C50" s="4">
        <v>757</v>
      </c>
      <c r="D50" s="4">
        <v>1</v>
      </c>
      <c r="E50" s="4">
        <v>1</v>
      </c>
      <c r="F50" s="4" t="s">
        <v>240</v>
      </c>
      <c r="G50" s="4" t="s">
        <v>241</v>
      </c>
      <c r="H50" s="4" t="s">
        <v>241</v>
      </c>
      <c r="I50" s="4" t="s">
        <v>5375</v>
      </c>
      <c r="J50" s="4" t="s">
        <v>596</v>
      </c>
      <c r="K50" s="4" t="s">
        <v>251</v>
      </c>
      <c r="L50" s="4" t="s">
        <v>5374</v>
      </c>
      <c r="M50" s="5" t="s">
        <v>5389</v>
      </c>
      <c r="N50" s="6">
        <f>441</f>
        <v>441</v>
      </c>
      <c r="O50" s="4" t="s">
        <v>265</v>
      </c>
      <c r="P50" s="6">
        <f>976815</f>
        <v>976815</v>
      </c>
      <c r="Q50" s="6">
        <f>0</f>
        <v>0</v>
      </c>
      <c r="S50" s="6">
        <f>0</f>
        <v>0</v>
      </c>
      <c r="T50" s="6">
        <f>976815</f>
        <v>976815</v>
      </c>
      <c r="U50" s="5" t="s">
        <v>245</v>
      </c>
      <c r="V50" s="4" t="s">
        <v>270</v>
      </c>
      <c r="W50" s="4" t="s">
        <v>242</v>
      </c>
      <c r="X50" s="4" t="s">
        <v>273</v>
      </c>
      <c r="Y50" s="4" t="s">
        <v>241</v>
      </c>
      <c r="AB50" s="4" t="s">
        <v>241</v>
      </c>
      <c r="AD50" s="5" t="s">
        <v>241</v>
      </c>
      <c r="AG50" s="5" t="s">
        <v>246</v>
      </c>
      <c r="AH50" s="4" t="s">
        <v>241</v>
      </c>
      <c r="AI50" s="4" t="s">
        <v>247</v>
      </c>
      <c r="AJ50" s="4" t="s">
        <v>248</v>
      </c>
      <c r="AZ50" s="4" t="s">
        <v>249</v>
      </c>
      <c r="BA50" s="4" t="s">
        <v>241</v>
      </c>
      <c r="BB50" s="4" t="s">
        <v>250</v>
      </c>
      <c r="BC50" s="4" t="s">
        <v>241</v>
      </c>
      <c r="BD50" s="4" t="s">
        <v>252</v>
      </c>
      <c r="BE50" s="4" t="s">
        <v>241</v>
      </c>
      <c r="BI50" s="4" t="s">
        <v>253</v>
      </c>
      <c r="BJ50" s="5" t="s">
        <v>246</v>
      </c>
      <c r="BK50" s="4" t="s">
        <v>254</v>
      </c>
      <c r="BL50" s="4" t="s">
        <v>255</v>
      </c>
      <c r="BM50" s="4" t="s">
        <v>241</v>
      </c>
      <c r="BN50" s="6">
        <f>0</f>
        <v>0</v>
      </c>
      <c r="BO50" s="6">
        <f>0</f>
        <v>0</v>
      </c>
      <c r="BP50" s="4" t="s">
        <v>256</v>
      </c>
      <c r="BQ50" s="4" t="s">
        <v>257</v>
      </c>
      <c r="CE50" s="4" t="s">
        <v>241</v>
      </c>
      <c r="CF50" s="4" t="s">
        <v>241</v>
      </c>
      <c r="CJ50" s="4" t="s">
        <v>258</v>
      </c>
      <c r="CK50" s="4" t="s">
        <v>259</v>
      </c>
      <c r="CL50" s="4" t="s">
        <v>241</v>
      </c>
      <c r="CO50" s="5" t="s">
        <v>260</v>
      </c>
      <c r="CP50" s="4" t="s">
        <v>241</v>
      </c>
      <c r="CQ50" s="4" t="s">
        <v>261</v>
      </c>
      <c r="CR50" s="4" t="s">
        <v>241</v>
      </c>
      <c r="CS50" s="4" t="s">
        <v>241</v>
      </c>
      <c r="CT50" s="4">
        <v>0</v>
      </c>
      <c r="CU50" s="4" t="s">
        <v>262</v>
      </c>
      <c r="CV50" s="4" t="s">
        <v>263</v>
      </c>
      <c r="CW50" s="4" t="s">
        <v>263</v>
      </c>
      <c r="CX50" s="4" t="s">
        <v>264</v>
      </c>
      <c r="DA50" s="6">
        <f>976815</f>
        <v>976815</v>
      </c>
      <c r="DC50" s="4" t="s">
        <v>414</v>
      </c>
      <c r="DD50" s="4" t="s">
        <v>241</v>
      </c>
      <c r="DF50" s="4" t="s">
        <v>414</v>
      </c>
      <c r="DG50" s="6">
        <f>441</f>
        <v>441</v>
      </c>
      <c r="DI50" s="4" t="s">
        <v>414</v>
      </c>
      <c r="DJ50" s="4" t="s">
        <v>241</v>
      </c>
      <c r="DK50" s="4" t="s">
        <v>241</v>
      </c>
      <c r="DL50" s="4" t="s">
        <v>241</v>
      </c>
      <c r="DP50" s="4" t="s">
        <v>241</v>
      </c>
      <c r="DQ50" s="4" t="s">
        <v>241</v>
      </c>
      <c r="DR50" s="4" t="s">
        <v>241</v>
      </c>
      <c r="DS50" s="4" t="s">
        <v>241</v>
      </c>
      <c r="DV50" s="4" t="s">
        <v>5377</v>
      </c>
      <c r="DW50" s="4" t="s">
        <v>690</v>
      </c>
      <c r="HO50" s="4" t="s">
        <v>267</v>
      </c>
    </row>
    <row r="51" spans="1:223" ht="19.5" customHeight="1" x14ac:dyDescent="0.4">
      <c r="A51" s="4">
        <v>1</v>
      </c>
      <c r="B51" s="4" t="s">
        <v>239</v>
      </c>
      <c r="C51" s="4">
        <v>758</v>
      </c>
      <c r="D51" s="4">
        <v>1</v>
      </c>
      <c r="E51" s="4">
        <v>1</v>
      </c>
      <c r="F51" s="4" t="s">
        <v>240</v>
      </c>
      <c r="G51" s="4" t="s">
        <v>241</v>
      </c>
      <c r="H51" s="4" t="s">
        <v>241</v>
      </c>
      <c r="I51" s="4" t="s">
        <v>5375</v>
      </c>
      <c r="J51" s="4" t="s">
        <v>596</v>
      </c>
      <c r="K51" s="4" t="s">
        <v>251</v>
      </c>
      <c r="L51" s="4" t="s">
        <v>5374</v>
      </c>
      <c r="M51" s="5" t="s">
        <v>5388</v>
      </c>
      <c r="N51" s="6">
        <f>774</f>
        <v>774</v>
      </c>
      <c r="O51" s="4" t="s">
        <v>265</v>
      </c>
      <c r="P51" s="6">
        <f>1714410</f>
        <v>1714410</v>
      </c>
      <c r="Q51" s="6">
        <f>0</f>
        <v>0</v>
      </c>
      <c r="S51" s="6">
        <f>0</f>
        <v>0</v>
      </c>
      <c r="T51" s="6">
        <f>1714410</f>
        <v>1714410</v>
      </c>
      <c r="U51" s="5" t="s">
        <v>245</v>
      </c>
      <c r="V51" s="4" t="s">
        <v>270</v>
      </c>
      <c r="W51" s="4" t="s">
        <v>242</v>
      </c>
      <c r="X51" s="4" t="s">
        <v>273</v>
      </c>
      <c r="Y51" s="4" t="s">
        <v>241</v>
      </c>
      <c r="AB51" s="4" t="s">
        <v>241</v>
      </c>
      <c r="AD51" s="5" t="s">
        <v>241</v>
      </c>
      <c r="AG51" s="5" t="s">
        <v>246</v>
      </c>
      <c r="AH51" s="4" t="s">
        <v>241</v>
      </c>
      <c r="AI51" s="4" t="s">
        <v>247</v>
      </c>
      <c r="AJ51" s="4" t="s">
        <v>248</v>
      </c>
      <c r="AZ51" s="4" t="s">
        <v>249</v>
      </c>
      <c r="BA51" s="4" t="s">
        <v>241</v>
      </c>
      <c r="BB51" s="4" t="s">
        <v>250</v>
      </c>
      <c r="BC51" s="4" t="s">
        <v>241</v>
      </c>
      <c r="BD51" s="4" t="s">
        <v>252</v>
      </c>
      <c r="BE51" s="4" t="s">
        <v>241</v>
      </c>
      <c r="BI51" s="4" t="s">
        <v>253</v>
      </c>
      <c r="BJ51" s="5" t="s">
        <v>246</v>
      </c>
      <c r="BK51" s="4" t="s">
        <v>254</v>
      </c>
      <c r="BL51" s="4" t="s">
        <v>255</v>
      </c>
      <c r="BM51" s="4" t="s">
        <v>241</v>
      </c>
      <c r="BN51" s="6">
        <f>0</f>
        <v>0</v>
      </c>
      <c r="BO51" s="6">
        <f>0</f>
        <v>0</v>
      </c>
      <c r="BP51" s="4" t="s">
        <v>256</v>
      </c>
      <c r="BQ51" s="4" t="s">
        <v>257</v>
      </c>
      <c r="CE51" s="4" t="s">
        <v>241</v>
      </c>
      <c r="CF51" s="4" t="s">
        <v>241</v>
      </c>
      <c r="CJ51" s="4" t="s">
        <v>258</v>
      </c>
      <c r="CK51" s="4" t="s">
        <v>259</v>
      </c>
      <c r="CL51" s="4" t="s">
        <v>241</v>
      </c>
      <c r="CO51" s="5" t="s">
        <v>260</v>
      </c>
      <c r="CP51" s="4" t="s">
        <v>241</v>
      </c>
      <c r="CQ51" s="4" t="s">
        <v>261</v>
      </c>
      <c r="CR51" s="4" t="s">
        <v>241</v>
      </c>
      <c r="CS51" s="4" t="s">
        <v>241</v>
      </c>
      <c r="CT51" s="4">
        <v>0</v>
      </c>
      <c r="CU51" s="4" t="s">
        <v>262</v>
      </c>
      <c r="CV51" s="4" t="s">
        <v>263</v>
      </c>
      <c r="CW51" s="4" t="s">
        <v>263</v>
      </c>
      <c r="CX51" s="4" t="s">
        <v>264</v>
      </c>
      <c r="DA51" s="6">
        <f>1714410</f>
        <v>1714410</v>
      </c>
      <c r="DC51" s="4" t="s">
        <v>422</v>
      </c>
      <c r="DD51" s="4" t="s">
        <v>241</v>
      </c>
      <c r="DF51" s="4" t="s">
        <v>422</v>
      </c>
      <c r="DG51" s="6">
        <f>774</f>
        <v>774</v>
      </c>
      <c r="DI51" s="4" t="s">
        <v>414</v>
      </c>
      <c r="DJ51" s="4" t="s">
        <v>241</v>
      </c>
      <c r="DK51" s="4" t="s">
        <v>241</v>
      </c>
      <c r="DL51" s="4" t="s">
        <v>241</v>
      </c>
      <c r="DP51" s="4" t="s">
        <v>241</v>
      </c>
      <c r="DQ51" s="4" t="s">
        <v>241</v>
      </c>
      <c r="DR51" s="4" t="s">
        <v>241</v>
      </c>
      <c r="DS51" s="4" t="s">
        <v>241</v>
      </c>
      <c r="DV51" s="4" t="s">
        <v>5377</v>
      </c>
      <c r="DW51" s="4" t="s">
        <v>628</v>
      </c>
      <c r="HO51" s="4" t="s">
        <v>267</v>
      </c>
    </row>
    <row r="52" spans="1:223" ht="19.5" customHeight="1" x14ac:dyDescent="0.4">
      <c r="A52" s="4">
        <v>1</v>
      </c>
      <c r="B52" s="4" t="s">
        <v>239</v>
      </c>
      <c r="C52" s="4">
        <v>759</v>
      </c>
      <c r="D52" s="4">
        <v>1</v>
      </c>
      <c r="E52" s="4">
        <v>1</v>
      </c>
      <c r="F52" s="4" t="s">
        <v>240</v>
      </c>
      <c r="G52" s="4" t="s">
        <v>241</v>
      </c>
      <c r="H52" s="4" t="s">
        <v>241</v>
      </c>
      <c r="I52" s="4" t="s">
        <v>5375</v>
      </c>
      <c r="J52" s="4" t="s">
        <v>596</v>
      </c>
      <c r="K52" s="4" t="s">
        <v>251</v>
      </c>
      <c r="L52" s="4" t="s">
        <v>5374</v>
      </c>
      <c r="M52" s="5" t="s">
        <v>5387</v>
      </c>
      <c r="N52" s="6">
        <f>4340</f>
        <v>4340</v>
      </c>
      <c r="O52" s="4" t="s">
        <v>265</v>
      </c>
      <c r="P52" s="6">
        <f>9613100</f>
        <v>9613100</v>
      </c>
      <c r="Q52" s="6">
        <f>0</f>
        <v>0</v>
      </c>
      <c r="S52" s="6">
        <f>0</f>
        <v>0</v>
      </c>
      <c r="T52" s="6">
        <f>9613100</f>
        <v>9613100</v>
      </c>
      <c r="U52" s="5" t="s">
        <v>245</v>
      </c>
      <c r="V52" s="4" t="s">
        <v>270</v>
      </c>
      <c r="W52" s="4" t="s">
        <v>242</v>
      </c>
      <c r="X52" s="4" t="s">
        <v>273</v>
      </c>
      <c r="Y52" s="4" t="s">
        <v>241</v>
      </c>
      <c r="AB52" s="4" t="s">
        <v>241</v>
      </c>
      <c r="AD52" s="5" t="s">
        <v>241</v>
      </c>
      <c r="AG52" s="5" t="s">
        <v>246</v>
      </c>
      <c r="AH52" s="4" t="s">
        <v>241</v>
      </c>
      <c r="AI52" s="4" t="s">
        <v>247</v>
      </c>
      <c r="AJ52" s="4" t="s">
        <v>248</v>
      </c>
      <c r="AZ52" s="4" t="s">
        <v>249</v>
      </c>
      <c r="BA52" s="4" t="s">
        <v>241</v>
      </c>
      <c r="BB52" s="4" t="s">
        <v>250</v>
      </c>
      <c r="BC52" s="4" t="s">
        <v>241</v>
      </c>
      <c r="BD52" s="4" t="s">
        <v>252</v>
      </c>
      <c r="BE52" s="4" t="s">
        <v>241</v>
      </c>
      <c r="BI52" s="4" t="s">
        <v>253</v>
      </c>
      <c r="BJ52" s="5" t="s">
        <v>246</v>
      </c>
      <c r="BK52" s="4" t="s">
        <v>254</v>
      </c>
      <c r="BL52" s="4" t="s">
        <v>255</v>
      </c>
      <c r="BM52" s="4" t="s">
        <v>241</v>
      </c>
      <c r="BN52" s="6">
        <f>0</f>
        <v>0</v>
      </c>
      <c r="BO52" s="6">
        <f>0</f>
        <v>0</v>
      </c>
      <c r="BP52" s="4" t="s">
        <v>256</v>
      </c>
      <c r="BQ52" s="4" t="s">
        <v>257</v>
      </c>
      <c r="CE52" s="4" t="s">
        <v>241</v>
      </c>
      <c r="CF52" s="4" t="s">
        <v>241</v>
      </c>
      <c r="CJ52" s="4" t="s">
        <v>258</v>
      </c>
      <c r="CK52" s="4" t="s">
        <v>259</v>
      </c>
      <c r="CL52" s="4" t="s">
        <v>241</v>
      </c>
      <c r="CO52" s="5" t="s">
        <v>260</v>
      </c>
      <c r="CP52" s="4" t="s">
        <v>241</v>
      </c>
      <c r="CQ52" s="4" t="s">
        <v>261</v>
      </c>
      <c r="CR52" s="4" t="s">
        <v>241</v>
      </c>
      <c r="CS52" s="4" t="s">
        <v>241</v>
      </c>
      <c r="CT52" s="4">
        <v>0</v>
      </c>
      <c r="CU52" s="4" t="s">
        <v>262</v>
      </c>
      <c r="CV52" s="4" t="s">
        <v>263</v>
      </c>
      <c r="CW52" s="4" t="s">
        <v>263</v>
      </c>
      <c r="CX52" s="4" t="s">
        <v>264</v>
      </c>
      <c r="DA52" s="6">
        <f>9613100</f>
        <v>9613100</v>
      </c>
      <c r="DC52" s="4" t="s">
        <v>422</v>
      </c>
      <c r="DD52" s="4" t="s">
        <v>241</v>
      </c>
      <c r="DF52" s="4" t="s">
        <v>422</v>
      </c>
      <c r="DG52" s="6">
        <f>4340</f>
        <v>4340</v>
      </c>
      <c r="DI52" s="4" t="s">
        <v>414</v>
      </c>
      <c r="DJ52" s="4" t="s">
        <v>241</v>
      </c>
      <c r="DK52" s="4" t="s">
        <v>241</v>
      </c>
      <c r="DL52" s="4" t="s">
        <v>241</v>
      </c>
      <c r="DP52" s="4" t="s">
        <v>241</v>
      </c>
      <c r="DQ52" s="4" t="s">
        <v>241</v>
      </c>
      <c r="DR52" s="4" t="s">
        <v>241</v>
      </c>
      <c r="DS52" s="4" t="s">
        <v>241</v>
      </c>
      <c r="DV52" s="4" t="s">
        <v>5377</v>
      </c>
      <c r="DW52" s="4" t="s">
        <v>597</v>
      </c>
      <c r="HO52" s="4" t="s">
        <v>267</v>
      </c>
    </row>
    <row r="53" spans="1:223" ht="19.5" customHeight="1" x14ac:dyDescent="0.4">
      <c r="A53" s="4">
        <v>1</v>
      </c>
      <c r="B53" s="4" t="s">
        <v>239</v>
      </c>
      <c r="C53" s="4">
        <v>760</v>
      </c>
      <c r="D53" s="4">
        <v>1</v>
      </c>
      <c r="E53" s="4">
        <v>1</v>
      </c>
      <c r="F53" s="4" t="s">
        <v>240</v>
      </c>
      <c r="G53" s="4" t="s">
        <v>241</v>
      </c>
      <c r="H53" s="4" t="s">
        <v>241</v>
      </c>
      <c r="I53" s="4" t="s">
        <v>5375</v>
      </c>
      <c r="J53" s="4" t="s">
        <v>596</v>
      </c>
      <c r="K53" s="4" t="s">
        <v>251</v>
      </c>
      <c r="L53" s="4" t="s">
        <v>5374</v>
      </c>
      <c r="M53" s="5" t="s">
        <v>5386</v>
      </c>
      <c r="N53" s="6">
        <f>1038</f>
        <v>1038</v>
      </c>
      <c r="O53" s="4" t="s">
        <v>265</v>
      </c>
      <c r="P53" s="6">
        <f>2299170</f>
        <v>2299170</v>
      </c>
      <c r="Q53" s="6">
        <f>0</f>
        <v>0</v>
      </c>
      <c r="S53" s="6">
        <f>0</f>
        <v>0</v>
      </c>
      <c r="T53" s="6">
        <f>2299170</f>
        <v>2299170</v>
      </c>
      <c r="U53" s="5" t="s">
        <v>245</v>
      </c>
      <c r="V53" s="4" t="s">
        <v>270</v>
      </c>
      <c r="W53" s="4" t="s">
        <v>242</v>
      </c>
      <c r="X53" s="4" t="s">
        <v>273</v>
      </c>
      <c r="Y53" s="4" t="s">
        <v>241</v>
      </c>
      <c r="AB53" s="4" t="s">
        <v>241</v>
      </c>
      <c r="AD53" s="5" t="s">
        <v>241</v>
      </c>
      <c r="AG53" s="5" t="s">
        <v>246</v>
      </c>
      <c r="AH53" s="4" t="s">
        <v>241</v>
      </c>
      <c r="AI53" s="4" t="s">
        <v>247</v>
      </c>
      <c r="AJ53" s="4" t="s">
        <v>248</v>
      </c>
      <c r="AZ53" s="4" t="s">
        <v>249</v>
      </c>
      <c r="BA53" s="4" t="s">
        <v>241</v>
      </c>
      <c r="BB53" s="4" t="s">
        <v>250</v>
      </c>
      <c r="BC53" s="4" t="s">
        <v>241</v>
      </c>
      <c r="BD53" s="4" t="s">
        <v>252</v>
      </c>
      <c r="BE53" s="4" t="s">
        <v>241</v>
      </c>
      <c r="BI53" s="4" t="s">
        <v>253</v>
      </c>
      <c r="BJ53" s="5" t="s">
        <v>246</v>
      </c>
      <c r="BK53" s="4" t="s">
        <v>254</v>
      </c>
      <c r="BL53" s="4" t="s">
        <v>255</v>
      </c>
      <c r="BM53" s="4" t="s">
        <v>241</v>
      </c>
      <c r="BN53" s="6">
        <f>0</f>
        <v>0</v>
      </c>
      <c r="BO53" s="6">
        <f>0</f>
        <v>0</v>
      </c>
      <c r="BP53" s="4" t="s">
        <v>256</v>
      </c>
      <c r="BQ53" s="4" t="s">
        <v>257</v>
      </c>
      <c r="CE53" s="4" t="s">
        <v>241</v>
      </c>
      <c r="CF53" s="4" t="s">
        <v>241</v>
      </c>
      <c r="CJ53" s="4" t="s">
        <v>258</v>
      </c>
      <c r="CK53" s="4" t="s">
        <v>259</v>
      </c>
      <c r="CL53" s="4" t="s">
        <v>241</v>
      </c>
      <c r="CO53" s="5" t="s">
        <v>260</v>
      </c>
      <c r="CP53" s="4" t="s">
        <v>241</v>
      </c>
      <c r="CQ53" s="4" t="s">
        <v>261</v>
      </c>
      <c r="CR53" s="4" t="s">
        <v>241</v>
      </c>
      <c r="CS53" s="4" t="s">
        <v>241</v>
      </c>
      <c r="CT53" s="4">
        <v>0</v>
      </c>
      <c r="CU53" s="4" t="s">
        <v>262</v>
      </c>
      <c r="CV53" s="4" t="s">
        <v>263</v>
      </c>
      <c r="CW53" s="4" t="s">
        <v>263</v>
      </c>
      <c r="CX53" s="4" t="s">
        <v>264</v>
      </c>
      <c r="DA53" s="6">
        <f>2299170</f>
        <v>2299170</v>
      </c>
      <c r="DC53" s="4" t="s">
        <v>422</v>
      </c>
      <c r="DD53" s="4" t="s">
        <v>241</v>
      </c>
      <c r="DF53" s="4" t="s">
        <v>422</v>
      </c>
      <c r="DG53" s="6">
        <f>1038</f>
        <v>1038</v>
      </c>
      <c r="DI53" s="4" t="s">
        <v>414</v>
      </c>
      <c r="DJ53" s="4" t="s">
        <v>241</v>
      </c>
      <c r="DK53" s="4" t="s">
        <v>241</v>
      </c>
      <c r="DL53" s="4" t="s">
        <v>241</v>
      </c>
      <c r="DP53" s="4" t="s">
        <v>241</v>
      </c>
      <c r="DQ53" s="4" t="s">
        <v>241</v>
      </c>
      <c r="DR53" s="4" t="s">
        <v>241</v>
      </c>
      <c r="DS53" s="4" t="s">
        <v>241</v>
      </c>
      <c r="DV53" s="4" t="s">
        <v>5377</v>
      </c>
      <c r="DW53" s="4" t="s">
        <v>1792</v>
      </c>
      <c r="HO53" s="4" t="s">
        <v>267</v>
      </c>
    </row>
    <row r="54" spans="1:223" ht="19.5" customHeight="1" x14ac:dyDescent="0.4">
      <c r="A54" s="4">
        <v>1</v>
      </c>
      <c r="B54" s="4" t="s">
        <v>239</v>
      </c>
      <c r="C54" s="4">
        <v>761</v>
      </c>
      <c r="D54" s="4">
        <v>1</v>
      </c>
      <c r="E54" s="4">
        <v>1</v>
      </c>
      <c r="F54" s="4" t="s">
        <v>240</v>
      </c>
      <c r="G54" s="4" t="s">
        <v>241</v>
      </c>
      <c r="H54" s="4" t="s">
        <v>241</v>
      </c>
      <c r="I54" s="4" t="s">
        <v>5375</v>
      </c>
      <c r="J54" s="4" t="s">
        <v>596</v>
      </c>
      <c r="K54" s="4" t="s">
        <v>251</v>
      </c>
      <c r="L54" s="4" t="s">
        <v>5374</v>
      </c>
      <c r="M54" s="5" t="s">
        <v>5385</v>
      </c>
      <c r="N54" s="6">
        <f>81.22</f>
        <v>81.22</v>
      </c>
      <c r="O54" s="4" t="s">
        <v>265</v>
      </c>
      <c r="P54" s="6">
        <f>795956</f>
        <v>795956</v>
      </c>
      <c r="Q54" s="6">
        <f>0</f>
        <v>0</v>
      </c>
      <c r="S54" s="6">
        <f>0</f>
        <v>0</v>
      </c>
      <c r="T54" s="6">
        <f>795956</f>
        <v>795956</v>
      </c>
      <c r="U54" s="5" t="s">
        <v>245</v>
      </c>
      <c r="V54" s="4" t="s">
        <v>270</v>
      </c>
      <c r="W54" s="4" t="s">
        <v>242</v>
      </c>
      <c r="X54" s="4" t="s">
        <v>273</v>
      </c>
      <c r="Y54" s="4" t="s">
        <v>241</v>
      </c>
      <c r="AB54" s="4" t="s">
        <v>241</v>
      </c>
      <c r="AD54" s="5" t="s">
        <v>241</v>
      </c>
      <c r="AG54" s="5" t="s">
        <v>246</v>
      </c>
      <c r="AH54" s="4" t="s">
        <v>241</v>
      </c>
      <c r="AI54" s="4" t="s">
        <v>247</v>
      </c>
      <c r="AJ54" s="4" t="s">
        <v>248</v>
      </c>
      <c r="AZ54" s="4" t="s">
        <v>249</v>
      </c>
      <c r="BA54" s="4" t="s">
        <v>241</v>
      </c>
      <c r="BB54" s="4" t="s">
        <v>250</v>
      </c>
      <c r="BC54" s="4" t="s">
        <v>241</v>
      </c>
      <c r="BD54" s="4" t="s">
        <v>252</v>
      </c>
      <c r="BE54" s="4" t="s">
        <v>241</v>
      </c>
      <c r="BI54" s="4" t="s">
        <v>253</v>
      </c>
      <c r="BJ54" s="5" t="s">
        <v>246</v>
      </c>
      <c r="BK54" s="4" t="s">
        <v>254</v>
      </c>
      <c r="BL54" s="4" t="s">
        <v>255</v>
      </c>
      <c r="BM54" s="4" t="s">
        <v>241</v>
      </c>
      <c r="BN54" s="6">
        <f>0</f>
        <v>0</v>
      </c>
      <c r="BO54" s="6">
        <f>0</f>
        <v>0</v>
      </c>
      <c r="BP54" s="4" t="s">
        <v>256</v>
      </c>
      <c r="BQ54" s="4" t="s">
        <v>257</v>
      </c>
      <c r="CE54" s="4" t="s">
        <v>241</v>
      </c>
      <c r="CF54" s="4" t="s">
        <v>241</v>
      </c>
      <c r="CJ54" s="4" t="s">
        <v>258</v>
      </c>
      <c r="CK54" s="4" t="s">
        <v>259</v>
      </c>
      <c r="CL54" s="4" t="s">
        <v>241</v>
      </c>
      <c r="CO54" s="5" t="s">
        <v>260</v>
      </c>
      <c r="CP54" s="4" t="s">
        <v>241</v>
      </c>
      <c r="CQ54" s="4" t="s">
        <v>261</v>
      </c>
      <c r="CR54" s="4" t="s">
        <v>241</v>
      </c>
      <c r="CS54" s="4" t="s">
        <v>241</v>
      </c>
      <c r="CT54" s="4">
        <v>0</v>
      </c>
      <c r="CU54" s="4" t="s">
        <v>262</v>
      </c>
      <c r="CV54" s="4" t="s">
        <v>263</v>
      </c>
      <c r="CW54" s="4" t="s">
        <v>263</v>
      </c>
      <c r="CX54" s="4" t="s">
        <v>264</v>
      </c>
      <c r="DA54" s="6">
        <f>795956</f>
        <v>795956</v>
      </c>
      <c r="DC54" s="4" t="s">
        <v>266</v>
      </c>
      <c r="DD54" s="4" t="s">
        <v>241</v>
      </c>
      <c r="DF54" s="4" t="s">
        <v>266</v>
      </c>
      <c r="DG54" s="6">
        <f>81.22</f>
        <v>81.22</v>
      </c>
      <c r="DI54" s="4" t="s">
        <v>266</v>
      </c>
      <c r="DJ54" s="4" t="s">
        <v>241</v>
      </c>
      <c r="DK54" s="4" t="s">
        <v>241</v>
      </c>
      <c r="DL54" s="4" t="s">
        <v>241</v>
      </c>
      <c r="DP54" s="4" t="s">
        <v>241</v>
      </c>
      <c r="DQ54" s="4" t="s">
        <v>241</v>
      </c>
      <c r="DR54" s="4" t="s">
        <v>241</v>
      </c>
      <c r="DS54" s="4" t="s">
        <v>241</v>
      </c>
      <c r="DV54" s="4" t="s">
        <v>5377</v>
      </c>
      <c r="DW54" s="4" t="s">
        <v>1789</v>
      </c>
      <c r="HO54" s="4" t="s">
        <v>267</v>
      </c>
    </row>
    <row r="55" spans="1:223" ht="19.5" customHeight="1" x14ac:dyDescent="0.4">
      <c r="A55" s="4">
        <v>1</v>
      </c>
      <c r="B55" s="4" t="s">
        <v>239</v>
      </c>
      <c r="C55" s="4">
        <v>762</v>
      </c>
      <c r="D55" s="4">
        <v>1</v>
      </c>
      <c r="E55" s="4">
        <v>1</v>
      </c>
      <c r="F55" s="4" t="s">
        <v>240</v>
      </c>
      <c r="G55" s="4" t="s">
        <v>241</v>
      </c>
      <c r="H55" s="4" t="s">
        <v>241</v>
      </c>
      <c r="I55" s="4" t="s">
        <v>5375</v>
      </c>
      <c r="J55" s="4" t="s">
        <v>596</v>
      </c>
      <c r="K55" s="4" t="s">
        <v>251</v>
      </c>
      <c r="L55" s="4" t="s">
        <v>5374</v>
      </c>
      <c r="M55" s="5" t="s">
        <v>5384</v>
      </c>
      <c r="N55" s="6">
        <f>15.54</f>
        <v>15.54</v>
      </c>
      <c r="O55" s="4" t="s">
        <v>265</v>
      </c>
      <c r="P55" s="6">
        <f>152292</f>
        <v>152292</v>
      </c>
      <c r="Q55" s="6">
        <f>0</f>
        <v>0</v>
      </c>
      <c r="S55" s="6">
        <f>0</f>
        <v>0</v>
      </c>
      <c r="T55" s="6">
        <f>152292</f>
        <v>152292</v>
      </c>
      <c r="U55" s="5" t="s">
        <v>245</v>
      </c>
      <c r="V55" s="4" t="s">
        <v>270</v>
      </c>
      <c r="W55" s="4" t="s">
        <v>242</v>
      </c>
      <c r="X55" s="4" t="s">
        <v>273</v>
      </c>
      <c r="Y55" s="4" t="s">
        <v>241</v>
      </c>
      <c r="AB55" s="4" t="s">
        <v>241</v>
      </c>
      <c r="AD55" s="5" t="s">
        <v>241</v>
      </c>
      <c r="AG55" s="5" t="s">
        <v>246</v>
      </c>
      <c r="AH55" s="4" t="s">
        <v>241</v>
      </c>
      <c r="AI55" s="4" t="s">
        <v>247</v>
      </c>
      <c r="AJ55" s="4" t="s">
        <v>248</v>
      </c>
      <c r="AZ55" s="4" t="s">
        <v>249</v>
      </c>
      <c r="BA55" s="4" t="s">
        <v>241</v>
      </c>
      <c r="BB55" s="4" t="s">
        <v>250</v>
      </c>
      <c r="BC55" s="4" t="s">
        <v>241</v>
      </c>
      <c r="BD55" s="4" t="s">
        <v>252</v>
      </c>
      <c r="BE55" s="4" t="s">
        <v>241</v>
      </c>
      <c r="BI55" s="4" t="s">
        <v>253</v>
      </c>
      <c r="BJ55" s="5" t="s">
        <v>246</v>
      </c>
      <c r="BK55" s="4" t="s">
        <v>254</v>
      </c>
      <c r="BL55" s="4" t="s">
        <v>255</v>
      </c>
      <c r="BM55" s="4" t="s">
        <v>241</v>
      </c>
      <c r="BN55" s="6">
        <f>0</f>
        <v>0</v>
      </c>
      <c r="BO55" s="6">
        <f>0</f>
        <v>0</v>
      </c>
      <c r="BP55" s="4" t="s">
        <v>256</v>
      </c>
      <c r="BQ55" s="4" t="s">
        <v>257</v>
      </c>
      <c r="CE55" s="4" t="s">
        <v>241</v>
      </c>
      <c r="CF55" s="4" t="s">
        <v>241</v>
      </c>
      <c r="CJ55" s="4" t="s">
        <v>258</v>
      </c>
      <c r="CK55" s="4" t="s">
        <v>259</v>
      </c>
      <c r="CL55" s="4" t="s">
        <v>241</v>
      </c>
      <c r="CO55" s="5" t="s">
        <v>260</v>
      </c>
      <c r="CP55" s="4" t="s">
        <v>241</v>
      </c>
      <c r="CQ55" s="4" t="s">
        <v>261</v>
      </c>
      <c r="CR55" s="4" t="s">
        <v>241</v>
      </c>
      <c r="CS55" s="4" t="s">
        <v>241</v>
      </c>
      <c r="CT55" s="4">
        <v>0</v>
      </c>
      <c r="CU55" s="4" t="s">
        <v>262</v>
      </c>
      <c r="CV55" s="4" t="s">
        <v>263</v>
      </c>
      <c r="CW55" s="4" t="s">
        <v>263</v>
      </c>
      <c r="CX55" s="4" t="s">
        <v>264</v>
      </c>
      <c r="DA55" s="6">
        <f>152292</f>
        <v>152292</v>
      </c>
      <c r="DC55" s="4" t="s">
        <v>266</v>
      </c>
      <c r="DD55" s="4" t="s">
        <v>241</v>
      </c>
      <c r="DF55" s="4" t="s">
        <v>266</v>
      </c>
      <c r="DG55" s="6">
        <f>15.54</f>
        <v>15.54</v>
      </c>
      <c r="DI55" s="4" t="s">
        <v>266</v>
      </c>
      <c r="DJ55" s="4" t="s">
        <v>241</v>
      </c>
      <c r="DK55" s="4" t="s">
        <v>241</v>
      </c>
      <c r="DL55" s="4" t="s">
        <v>241</v>
      </c>
      <c r="DP55" s="4" t="s">
        <v>241</v>
      </c>
      <c r="DQ55" s="4" t="s">
        <v>241</v>
      </c>
      <c r="DR55" s="4" t="s">
        <v>241</v>
      </c>
      <c r="DS55" s="4" t="s">
        <v>241</v>
      </c>
      <c r="DV55" s="4" t="s">
        <v>5377</v>
      </c>
      <c r="DW55" s="4" t="s">
        <v>1787</v>
      </c>
      <c r="HO55" s="4" t="s">
        <v>267</v>
      </c>
    </row>
    <row r="56" spans="1:223" ht="19.5" customHeight="1" x14ac:dyDescent="0.4">
      <c r="A56" s="4">
        <v>1</v>
      </c>
      <c r="B56" s="4" t="s">
        <v>239</v>
      </c>
      <c r="C56" s="4">
        <v>763</v>
      </c>
      <c r="D56" s="4">
        <v>1</v>
      </c>
      <c r="E56" s="4">
        <v>1</v>
      </c>
      <c r="F56" s="4" t="s">
        <v>240</v>
      </c>
      <c r="G56" s="4" t="s">
        <v>241</v>
      </c>
      <c r="H56" s="4" t="s">
        <v>241</v>
      </c>
      <c r="I56" s="4" t="s">
        <v>5375</v>
      </c>
      <c r="J56" s="4" t="s">
        <v>596</v>
      </c>
      <c r="K56" s="4" t="s">
        <v>251</v>
      </c>
      <c r="L56" s="4" t="s">
        <v>5374</v>
      </c>
      <c r="M56" s="5" t="s">
        <v>5401</v>
      </c>
      <c r="N56" s="6">
        <f>160.19</f>
        <v>160.19</v>
      </c>
      <c r="O56" s="4" t="s">
        <v>265</v>
      </c>
      <c r="P56" s="6">
        <f>1601900</f>
        <v>1601900</v>
      </c>
      <c r="Q56" s="6">
        <f>0</f>
        <v>0</v>
      </c>
      <c r="S56" s="6">
        <f>0</f>
        <v>0</v>
      </c>
      <c r="T56" s="6">
        <f>1601900</f>
        <v>1601900</v>
      </c>
      <c r="U56" s="5" t="s">
        <v>245</v>
      </c>
      <c r="V56" s="4" t="s">
        <v>270</v>
      </c>
      <c r="W56" s="4" t="s">
        <v>242</v>
      </c>
      <c r="X56" s="4" t="s">
        <v>273</v>
      </c>
      <c r="Y56" s="4" t="s">
        <v>241</v>
      </c>
      <c r="AB56" s="4" t="s">
        <v>241</v>
      </c>
      <c r="AD56" s="5" t="s">
        <v>241</v>
      </c>
      <c r="AG56" s="5" t="s">
        <v>246</v>
      </c>
      <c r="AH56" s="4" t="s">
        <v>241</v>
      </c>
      <c r="AI56" s="4" t="s">
        <v>247</v>
      </c>
      <c r="AJ56" s="4" t="s">
        <v>248</v>
      </c>
      <c r="AZ56" s="4" t="s">
        <v>249</v>
      </c>
      <c r="BA56" s="4" t="s">
        <v>241</v>
      </c>
      <c r="BB56" s="4" t="s">
        <v>250</v>
      </c>
      <c r="BC56" s="4" t="s">
        <v>241</v>
      </c>
      <c r="BD56" s="4" t="s">
        <v>252</v>
      </c>
      <c r="BE56" s="4" t="s">
        <v>241</v>
      </c>
      <c r="BI56" s="4" t="s">
        <v>253</v>
      </c>
      <c r="BJ56" s="5" t="s">
        <v>246</v>
      </c>
      <c r="BK56" s="4" t="s">
        <v>254</v>
      </c>
      <c r="BL56" s="4" t="s">
        <v>255</v>
      </c>
      <c r="BM56" s="4" t="s">
        <v>241</v>
      </c>
      <c r="BN56" s="6">
        <f>0</f>
        <v>0</v>
      </c>
      <c r="BO56" s="6">
        <f>0</f>
        <v>0</v>
      </c>
      <c r="BP56" s="4" t="s">
        <v>256</v>
      </c>
      <c r="BQ56" s="4" t="s">
        <v>257</v>
      </c>
      <c r="CE56" s="4" t="s">
        <v>241</v>
      </c>
      <c r="CF56" s="4" t="s">
        <v>241</v>
      </c>
      <c r="CJ56" s="4" t="s">
        <v>258</v>
      </c>
      <c r="CK56" s="4" t="s">
        <v>259</v>
      </c>
      <c r="CL56" s="4" t="s">
        <v>241</v>
      </c>
      <c r="CO56" s="5" t="s">
        <v>260</v>
      </c>
      <c r="CP56" s="4" t="s">
        <v>241</v>
      </c>
      <c r="CQ56" s="4" t="s">
        <v>261</v>
      </c>
      <c r="CR56" s="4" t="s">
        <v>241</v>
      </c>
      <c r="CS56" s="4" t="s">
        <v>241</v>
      </c>
      <c r="CT56" s="4">
        <v>0</v>
      </c>
      <c r="CU56" s="4" t="s">
        <v>262</v>
      </c>
      <c r="CV56" s="4" t="s">
        <v>263</v>
      </c>
      <c r="CW56" s="4" t="s">
        <v>263</v>
      </c>
      <c r="CX56" s="4" t="s">
        <v>264</v>
      </c>
      <c r="DA56" s="6">
        <f>1601900</f>
        <v>1601900</v>
      </c>
      <c r="DC56" s="4" t="s">
        <v>266</v>
      </c>
      <c r="DD56" s="4" t="s">
        <v>241</v>
      </c>
      <c r="DF56" s="4" t="s">
        <v>324</v>
      </c>
      <c r="DG56" s="6">
        <f>160.19</f>
        <v>160.19</v>
      </c>
      <c r="DI56" s="4" t="s">
        <v>266</v>
      </c>
      <c r="DJ56" s="4" t="s">
        <v>241</v>
      </c>
      <c r="DK56" s="4" t="s">
        <v>241</v>
      </c>
      <c r="DL56" s="4" t="s">
        <v>241</v>
      </c>
      <c r="DP56" s="4" t="s">
        <v>241</v>
      </c>
      <c r="DQ56" s="4" t="s">
        <v>241</v>
      </c>
      <c r="DR56" s="4" t="s">
        <v>241</v>
      </c>
      <c r="DS56" s="4" t="s">
        <v>241</v>
      </c>
      <c r="DV56" s="4" t="s">
        <v>5377</v>
      </c>
      <c r="DW56" s="4" t="s">
        <v>1785</v>
      </c>
      <c r="HO56" s="4" t="s">
        <v>267</v>
      </c>
    </row>
    <row r="57" spans="1:223" ht="19.5" customHeight="1" x14ac:dyDescent="0.4">
      <c r="A57" s="4">
        <v>1</v>
      </c>
      <c r="B57" s="4" t="s">
        <v>239</v>
      </c>
      <c r="C57" s="4">
        <v>764</v>
      </c>
      <c r="D57" s="4">
        <v>1</v>
      </c>
      <c r="E57" s="4">
        <v>1</v>
      </c>
      <c r="F57" s="4" t="s">
        <v>240</v>
      </c>
      <c r="G57" s="4" t="s">
        <v>241</v>
      </c>
      <c r="H57" s="4" t="s">
        <v>241</v>
      </c>
      <c r="I57" s="4" t="s">
        <v>5375</v>
      </c>
      <c r="J57" s="4" t="s">
        <v>596</v>
      </c>
      <c r="K57" s="4" t="s">
        <v>251</v>
      </c>
      <c r="L57" s="4" t="s">
        <v>5374</v>
      </c>
      <c r="M57" s="5" t="s">
        <v>5383</v>
      </c>
      <c r="N57" s="6">
        <f>292.98</f>
        <v>292.98</v>
      </c>
      <c r="O57" s="4" t="s">
        <v>265</v>
      </c>
      <c r="P57" s="6">
        <f>2929800</f>
        <v>2929800</v>
      </c>
      <c r="Q57" s="6">
        <f>0</f>
        <v>0</v>
      </c>
      <c r="S57" s="6">
        <f>0</f>
        <v>0</v>
      </c>
      <c r="T57" s="6">
        <f>2929800</f>
        <v>2929800</v>
      </c>
      <c r="U57" s="5" t="s">
        <v>245</v>
      </c>
      <c r="V57" s="4" t="s">
        <v>270</v>
      </c>
      <c r="W57" s="4" t="s">
        <v>242</v>
      </c>
      <c r="X57" s="4" t="s">
        <v>273</v>
      </c>
      <c r="Y57" s="4" t="s">
        <v>241</v>
      </c>
      <c r="AB57" s="4" t="s">
        <v>241</v>
      </c>
      <c r="AD57" s="5" t="s">
        <v>241</v>
      </c>
      <c r="AG57" s="5" t="s">
        <v>246</v>
      </c>
      <c r="AH57" s="4" t="s">
        <v>241</v>
      </c>
      <c r="AI57" s="4" t="s">
        <v>247</v>
      </c>
      <c r="AJ57" s="4" t="s">
        <v>248</v>
      </c>
      <c r="AZ57" s="4" t="s">
        <v>249</v>
      </c>
      <c r="BA57" s="4" t="s">
        <v>241</v>
      </c>
      <c r="BB57" s="4" t="s">
        <v>250</v>
      </c>
      <c r="BC57" s="4" t="s">
        <v>241</v>
      </c>
      <c r="BD57" s="4" t="s">
        <v>252</v>
      </c>
      <c r="BE57" s="4" t="s">
        <v>241</v>
      </c>
      <c r="BI57" s="4" t="s">
        <v>253</v>
      </c>
      <c r="BJ57" s="5" t="s">
        <v>246</v>
      </c>
      <c r="BK57" s="4" t="s">
        <v>254</v>
      </c>
      <c r="BL57" s="4" t="s">
        <v>255</v>
      </c>
      <c r="BM57" s="4" t="s">
        <v>241</v>
      </c>
      <c r="BN57" s="6">
        <f>0</f>
        <v>0</v>
      </c>
      <c r="BO57" s="6">
        <f>0</f>
        <v>0</v>
      </c>
      <c r="BP57" s="4" t="s">
        <v>256</v>
      </c>
      <c r="BQ57" s="4" t="s">
        <v>257</v>
      </c>
      <c r="CE57" s="4" t="s">
        <v>241</v>
      </c>
      <c r="CF57" s="4" t="s">
        <v>241</v>
      </c>
      <c r="CJ57" s="4" t="s">
        <v>258</v>
      </c>
      <c r="CK57" s="4" t="s">
        <v>259</v>
      </c>
      <c r="CL57" s="4" t="s">
        <v>241</v>
      </c>
      <c r="CO57" s="5" t="s">
        <v>260</v>
      </c>
      <c r="CP57" s="4" t="s">
        <v>241</v>
      </c>
      <c r="CQ57" s="4" t="s">
        <v>261</v>
      </c>
      <c r="CR57" s="4" t="s">
        <v>241</v>
      </c>
      <c r="CS57" s="4" t="s">
        <v>241</v>
      </c>
      <c r="CT57" s="4">
        <v>0</v>
      </c>
      <c r="CU57" s="4" t="s">
        <v>262</v>
      </c>
      <c r="CV57" s="4" t="s">
        <v>263</v>
      </c>
      <c r="CW57" s="4" t="s">
        <v>263</v>
      </c>
      <c r="CX57" s="4" t="s">
        <v>264</v>
      </c>
      <c r="DA57" s="6">
        <f>2929800</f>
        <v>2929800</v>
      </c>
      <c r="DC57" s="4" t="s">
        <v>266</v>
      </c>
      <c r="DD57" s="4" t="s">
        <v>241</v>
      </c>
      <c r="DF57" s="4" t="s">
        <v>266</v>
      </c>
      <c r="DG57" s="6">
        <f>292.98</f>
        <v>292.98</v>
      </c>
      <c r="DI57" s="4" t="s">
        <v>266</v>
      </c>
      <c r="DJ57" s="4" t="s">
        <v>241</v>
      </c>
      <c r="DK57" s="4" t="s">
        <v>241</v>
      </c>
      <c r="DL57" s="4" t="s">
        <v>241</v>
      </c>
      <c r="DP57" s="4" t="s">
        <v>241</v>
      </c>
      <c r="DQ57" s="4" t="s">
        <v>241</v>
      </c>
      <c r="DR57" s="4" t="s">
        <v>241</v>
      </c>
      <c r="DS57" s="4" t="s">
        <v>241</v>
      </c>
      <c r="DV57" s="4" t="s">
        <v>5377</v>
      </c>
      <c r="DW57" s="4" t="s">
        <v>1781</v>
      </c>
      <c r="HO57" s="4" t="s">
        <v>267</v>
      </c>
    </row>
    <row r="58" spans="1:223" ht="19.5" customHeight="1" x14ac:dyDescent="0.4">
      <c r="A58" s="4">
        <v>1</v>
      </c>
      <c r="B58" s="4" t="s">
        <v>239</v>
      </c>
      <c r="C58" s="4">
        <v>765</v>
      </c>
      <c r="D58" s="4">
        <v>1</v>
      </c>
      <c r="E58" s="4">
        <v>1</v>
      </c>
      <c r="F58" s="4" t="s">
        <v>268</v>
      </c>
      <c r="G58" s="4" t="s">
        <v>241</v>
      </c>
      <c r="H58" s="4" t="s">
        <v>241</v>
      </c>
      <c r="I58" s="4" t="s">
        <v>5375</v>
      </c>
      <c r="J58" s="4" t="s">
        <v>596</v>
      </c>
      <c r="K58" s="4" t="s">
        <v>251</v>
      </c>
      <c r="L58" s="4" t="s">
        <v>5374</v>
      </c>
      <c r="M58" s="5" t="s">
        <v>5402</v>
      </c>
      <c r="N58" s="6">
        <f>2612</f>
        <v>2612</v>
      </c>
      <c r="O58" s="4" t="s">
        <v>265</v>
      </c>
      <c r="P58" s="6">
        <f>5785580</f>
        <v>5785580</v>
      </c>
      <c r="Q58" s="6">
        <f>0</f>
        <v>0</v>
      </c>
      <c r="S58" s="6">
        <f>0</f>
        <v>0</v>
      </c>
      <c r="T58" s="6">
        <f>5785580</f>
        <v>5785580</v>
      </c>
      <c r="U58" s="5" t="s">
        <v>245</v>
      </c>
      <c r="V58" s="4" t="s">
        <v>270</v>
      </c>
      <c r="W58" s="4" t="s">
        <v>242</v>
      </c>
      <c r="X58" s="4" t="s">
        <v>273</v>
      </c>
      <c r="Y58" s="4" t="s">
        <v>241</v>
      </c>
      <c r="AB58" s="4" t="s">
        <v>241</v>
      </c>
      <c r="AD58" s="5" t="s">
        <v>241</v>
      </c>
      <c r="AG58" s="5" t="s">
        <v>246</v>
      </c>
      <c r="AH58" s="4" t="s">
        <v>241</v>
      </c>
      <c r="AI58" s="4" t="s">
        <v>247</v>
      </c>
      <c r="AJ58" s="4" t="s">
        <v>248</v>
      </c>
      <c r="AZ58" s="4" t="s">
        <v>249</v>
      </c>
      <c r="BA58" s="4" t="s">
        <v>241</v>
      </c>
      <c r="BB58" s="4" t="s">
        <v>250</v>
      </c>
      <c r="BC58" s="4" t="s">
        <v>241</v>
      </c>
      <c r="BD58" s="4" t="s">
        <v>252</v>
      </c>
      <c r="BE58" s="4" t="s">
        <v>241</v>
      </c>
      <c r="BI58" s="4" t="s">
        <v>253</v>
      </c>
      <c r="BJ58" s="5" t="s">
        <v>246</v>
      </c>
      <c r="BK58" s="4" t="s">
        <v>254</v>
      </c>
      <c r="BL58" s="4" t="s">
        <v>255</v>
      </c>
      <c r="BM58" s="4" t="s">
        <v>241</v>
      </c>
      <c r="BN58" s="6">
        <f>0</f>
        <v>0</v>
      </c>
      <c r="BO58" s="6">
        <f>0</f>
        <v>0</v>
      </c>
      <c r="BP58" s="4" t="s">
        <v>256</v>
      </c>
      <c r="BQ58" s="4" t="s">
        <v>257</v>
      </c>
      <c r="CE58" s="4" t="s">
        <v>241</v>
      </c>
      <c r="CF58" s="4" t="s">
        <v>241</v>
      </c>
      <c r="CJ58" s="4" t="s">
        <v>258</v>
      </c>
      <c r="CK58" s="4" t="s">
        <v>259</v>
      </c>
      <c r="CL58" s="4" t="s">
        <v>241</v>
      </c>
      <c r="CO58" s="5" t="s">
        <v>260</v>
      </c>
      <c r="CP58" s="4" t="s">
        <v>241</v>
      </c>
      <c r="CQ58" s="4" t="s">
        <v>261</v>
      </c>
      <c r="CR58" s="4" t="s">
        <v>241</v>
      </c>
      <c r="CS58" s="4" t="s">
        <v>241</v>
      </c>
      <c r="CT58" s="4">
        <v>0</v>
      </c>
      <c r="CU58" s="4" t="s">
        <v>262</v>
      </c>
      <c r="CV58" s="4" t="s">
        <v>263</v>
      </c>
      <c r="CW58" s="4" t="s">
        <v>263</v>
      </c>
      <c r="CX58" s="4" t="s">
        <v>264</v>
      </c>
      <c r="DA58" s="6">
        <f>5785580</f>
        <v>5785580</v>
      </c>
      <c r="DC58" s="4" t="s">
        <v>287</v>
      </c>
      <c r="DD58" s="4" t="s">
        <v>241</v>
      </c>
      <c r="DF58" s="4" t="s">
        <v>3159</v>
      </c>
      <c r="DG58" s="6">
        <f>2612</f>
        <v>2612</v>
      </c>
      <c r="DI58" s="4" t="s">
        <v>414</v>
      </c>
      <c r="DJ58" s="4" t="s">
        <v>241</v>
      </c>
      <c r="DK58" s="4" t="s">
        <v>241</v>
      </c>
      <c r="DL58" s="4" t="s">
        <v>241</v>
      </c>
      <c r="DP58" s="4" t="s">
        <v>241</v>
      </c>
      <c r="DQ58" s="4" t="s">
        <v>241</v>
      </c>
      <c r="DR58" s="4" t="s">
        <v>241</v>
      </c>
      <c r="DS58" s="4" t="s">
        <v>241</v>
      </c>
      <c r="DV58" s="4" t="s">
        <v>5377</v>
      </c>
      <c r="DW58" s="4" t="s">
        <v>2564</v>
      </c>
      <c r="HO58" s="4" t="s">
        <v>267</v>
      </c>
    </row>
    <row r="59" spans="1:223" ht="19.5" customHeight="1" x14ac:dyDescent="0.4">
      <c r="A59" s="4">
        <v>1</v>
      </c>
      <c r="B59" s="4" t="s">
        <v>239</v>
      </c>
      <c r="C59" s="4">
        <v>766</v>
      </c>
      <c r="D59" s="4">
        <v>1</v>
      </c>
      <c r="E59" s="4">
        <v>1</v>
      </c>
      <c r="F59" s="4" t="s">
        <v>268</v>
      </c>
      <c r="G59" s="4" t="s">
        <v>241</v>
      </c>
      <c r="H59" s="4" t="s">
        <v>241</v>
      </c>
      <c r="I59" s="4" t="s">
        <v>5375</v>
      </c>
      <c r="J59" s="4" t="s">
        <v>596</v>
      </c>
      <c r="K59" s="4" t="s">
        <v>251</v>
      </c>
      <c r="L59" s="4" t="s">
        <v>5374</v>
      </c>
      <c r="M59" s="5" t="s">
        <v>5382</v>
      </c>
      <c r="N59" s="6">
        <f>5.97</f>
        <v>5.97</v>
      </c>
      <c r="O59" s="4" t="s">
        <v>265</v>
      </c>
      <c r="P59" s="6">
        <f>2925</f>
        <v>2925</v>
      </c>
      <c r="Q59" s="6">
        <f>0</f>
        <v>0</v>
      </c>
      <c r="S59" s="6">
        <f>0</f>
        <v>0</v>
      </c>
      <c r="T59" s="6">
        <f>2925</f>
        <v>2925</v>
      </c>
      <c r="U59" s="5" t="s">
        <v>245</v>
      </c>
      <c r="V59" s="4" t="s">
        <v>270</v>
      </c>
      <c r="W59" s="4" t="s">
        <v>242</v>
      </c>
      <c r="X59" s="4" t="s">
        <v>273</v>
      </c>
      <c r="Y59" s="4" t="s">
        <v>241</v>
      </c>
      <c r="AB59" s="4" t="s">
        <v>241</v>
      </c>
      <c r="AD59" s="5" t="s">
        <v>241</v>
      </c>
      <c r="AG59" s="5" t="s">
        <v>246</v>
      </c>
      <c r="AH59" s="4" t="s">
        <v>241</v>
      </c>
      <c r="AI59" s="4" t="s">
        <v>247</v>
      </c>
      <c r="AJ59" s="4" t="s">
        <v>248</v>
      </c>
      <c r="AZ59" s="4" t="s">
        <v>249</v>
      </c>
      <c r="BA59" s="4" t="s">
        <v>241</v>
      </c>
      <c r="BB59" s="4" t="s">
        <v>250</v>
      </c>
      <c r="BC59" s="4" t="s">
        <v>241</v>
      </c>
      <c r="BD59" s="4" t="s">
        <v>252</v>
      </c>
      <c r="BE59" s="4" t="s">
        <v>241</v>
      </c>
      <c r="BI59" s="4" t="s">
        <v>253</v>
      </c>
      <c r="BJ59" s="5" t="s">
        <v>246</v>
      </c>
      <c r="BK59" s="4" t="s">
        <v>254</v>
      </c>
      <c r="BL59" s="4" t="s">
        <v>255</v>
      </c>
      <c r="BM59" s="4" t="s">
        <v>241</v>
      </c>
      <c r="BN59" s="6">
        <f>0</f>
        <v>0</v>
      </c>
      <c r="BO59" s="6">
        <f>0</f>
        <v>0</v>
      </c>
      <c r="BP59" s="4" t="s">
        <v>256</v>
      </c>
      <c r="BQ59" s="4" t="s">
        <v>257</v>
      </c>
      <c r="CE59" s="4" t="s">
        <v>241</v>
      </c>
      <c r="CF59" s="4" t="s">
        <v>241</v>
      </c>
      <c r="CJ59" s="4" t="s">
        <v>258</v>
      </c>
      <c r="CK59" s="4" t="s">
        <v>259</v>
      </c>
      <c r="CL59" s="4" t="s">
        <v>241</v>
      </c>
      <c r="CO59" s="5" t="s">
        <v>260</v>
      </c>
      <c r="CP59" s="4" t="s">
        <v>241</v>
      </c>
      <c r="CQ59" s="4" t="s">
        <v>261</v>
      </c>
      <c r="CR59" s="4" t="s">
        <v>241</v>
      </c>
      <c r="CS59" s="4" t="s">
        <v>241</v>
      </c>
      <c r="CT59" s="4">
        <v>0</v>
      </c>
      <c r="CU59" s="4" t="s">
        <v>262</v>
      </c>
      <c r="CV59" s="4" t="s">
        <v>263</v>
      </c>
      <c r="CW59" s="4" t="s">
        <v>263</v>
      </c>
      <c r="CX59" s="4" t="s">
        <v>264</v>
      </c>
      <c r="DA59" s="6">
        <f>2925</f>
        <v>2925</v>
      </c>
      <c r="DC59" s="4" t="s">
        <v>287</v>
      </c>
      <c r="DD59" s="4" t="s">
        <v>241</v>
      </c>
      <c r="DF59" s="4" t="s">
        <v>277</v>
      </c>
      <c r="DG59" s="6">
        <f>5.97</f>
        <v>5.97</v>
      </c>
      <c r="DI59" s="4" t="s">
        <v>287</v>
      </c>
      <c r="DJ59" s="4" t="s">
        <v>241</v>
      </c>
      <c r="DK59" s="4" t="s">
        <v>241</v>
      </c>
      <c r="DL59" s="4" t="s">
        <v>241</v>
      </c>
      <c r="DP59" s="4" t="s">
        <v>241</v>
      </c>
      <c r="DQ59" s="4" t="s">
        <v>241</v>
      </c>
      <c r="DR59" s="4" t="s">
        <v>241</v>
      </c>
      <c r="DS59" s="4" t="s">
        <v>241</v>
      </c>
      <c r="DV59" s="4" t="s">
        <v>5377</v>
      </c>
      <c r="DW59" s="4" t="s">
        <v>1779</v>
      </c>
      <c r="HO59" s="4" t="s">
        <v>267</v>
      </c>
    </row>
    <row r="60" spans="1:223" ht="19.5" customHeight="1" x14ac:dyDescent="0.4">
      <c r="A60" s="4">
        <v>1</v>
      </c>
      <c r="B60" s="4" t="s">
        <v>239</v>
      </c>
      <c r="C60" s="4">
        <v>767</v>
      </c>
      <c r="D60" s="4">
        <v>1</v>
      </c>
      <c r="E60" s="4">
        <v>1</v>
      </c>
      <c r="F60" s="4" t="s">
        <v>268</v>
      </c>
      <c r="G60" s="4" t="s">
        <v>241</v>
      </c>
      <c r="H60" s="4" t="s">
        <v>241</v>
      </c>
      <c r="I60" s="4" t="s">
        <v>5375</v>
      </c>
      <c r="J60" s="4" t="s">
        <v>596</v>
      </c>
      <c r="K60" s="4" t="s">
        <v>251</v>
      </c>
      <c r="L60" s="4" t="s">
        <v>5374</v>
      </c>
      <c r="M60" s="5" t="s">
        <v>5379</v>
      </c>
      <c r="N60" s="6">
        <f>120</f>
        <v>120</v>
      </c>
      <c r="O60" s="4" t="s">
        <v>265</v>
      </c>
      <c r="P60" s="6">
        <f>58800</f>
        <v>58800</v>
      </c>
      <c r="Q60" s="6">
        <f>0</f>
        <v>0</v>
      </c>
      <c r="S60" s="6">
        <f>0</f>
        <v>0</v>
      </c>
      <c r="T60" s="6">
        <f>58800</f>
        <v>58800</v>
      </c>
      <c r="U60" s="5" t="s">
        <v>245</v>
      </c>
      <c r="V60" s="4" t="s">
        <v>270</v>
      </c>
      <c r="W60" s="4" t="s">
        <v>242</v>
      </c>
      <c r="X60" s="4" t="s">
        <v>273</v>
      </c>
      <c r="Y60" s="4" t="s">
        <v>241</v>
      </c>
      <c r="AB60" s="4" t="s">
        <v>241</v>
      </c>
      <c r="AD60" s="5" t="s">
        <v>241</v>
      </c>
      <c r="AG60" s="5" t="s">
        <v>246</v>
      </c>
      <c r="AH60" s="4" t="s">
        <v>241</v>
      </c>
      <c r="AI60" s="4" t="s">
        <v>247</v>
      </c>
      <c r="AJ60" s="4" t="s">
        <v>248</v>
      </c>
      <c r="AZ60" s="4" t="s">
        <v>249</v>
      </c>
      <c r="BA60" s="4" t="s">
        <v>241</v>
      </c>
      <c r="BB60" s="4" t="s">
        <v>250</v>
      </c>
      <c r="BC60" s="4" t="s">
        <v>241</v>
      </c>
      <c r="BD60" s="4" t="s">
        <v>252</v>
      </c>
      <c r="BE60" s="4" t="s">
        <v>241</v>
      </c>
      <c r="BI60" s="4" t="s">
        <v>253</v>
      </c>
      <c r="BJ60" s="5" t="s">
        <v>246</v>
      </c>
      <c r="BK60" s="4" t="s">
        <v>254</v>
      </c>
      <c r="BL60" s="4" t="s">
        <v>255</v>
      </c>
      <c r="BM60" s="4" t="s">
        <v>241</v>
      </c>
      <c r="BN60" s="6">
        <f>0</f>
        <v>0</v>
      </c>
      <c r="BO60" s="6">
        <f>0</f>
        <v>0</v>
      </c>
      <c r="BP60" s="4" t="s">
        <v>256</v>
      </c>
      <c r="BQ60" s="4" t="s">
        <v>257</v>
      </c>
      <c r="CE60" s="4" t="s">
        <v>241</v>
      </c>
      <c r="CF60" s="4" t="s">
        <v>241</v>
      </c>
      <c r="CJ60" s="4" t="s">
        <v>258</v>
      </c>
      <c r="CK60" s="4" t="s">
        <v>259</v>
      </c>
      <c r="CL60" s="4" t="s">
        <v>241</v>
      </c>
      <c r="CO60" s="5" t="s">
        <v>260</v>
      </c>
      <c r="CP60" s="4" t="s">
        <v>241</v>
      </c>
      <c r="CQ60" s="4" t="s">
        <v>261</v>
      </c>
      <c r="CR60" s="4" t="s">
        <v>241</v>
      </c>
      <c r="CS60" s="4" t="s">
        <v>241</v>
      </c>
      <c r="CT60" s="4">
        <v>0</v>
      </c>
      <c r="CU60" s="4" t="s">
        <v>262</v>
      </c>
      <c r="CV60" s="4" t="s">
        <v>263</v>
      </c>
      <c r="CW60" s="4" t="s">
        <v>263</v>
      </c>
      <c r="CX60" s="4" t="s">
        <v>264</v>
      </c>
      <c r="DA60" s="6">
        <f>58800</f>
        <v>58800</v>
      </c>
      <c r="DC60" s="4" t="s">
        <v>287</v>
      </c>
      <c r="DD60" s="4" t="s">
        <v>241</v>
      </c>
      <c r="DF60" s="4" t="s">
        <v>277</v>
      </c>
      <c r="DG60" s="6">
        <f>120</f>
        <v>120</v>
      </c>
      <c r="DI60" s="4" t="s">
        <v>287</v>
      </c>
      <c r="DJ60" s="4" t="s">
        <v>241</v>
      </c>
      <c r="DK60" s="4" t="s">
        <v>241</v>
      </c>
      <c r="DL60" s="4" t="s">
        <v>241</v>
      </c>
      <c r="DP60" s="4" t="s">
        <v>241</v>
      </c>
      <c r="DQ60" s="4" t="s">
        <v>241</v>
      </c>
      <c r="DR60" s="4" t="s">
        <v>241</v>
      </c>
      <c r="DS60" s="4" t="s">
        <v>241</v>
      </c>
      <c r="DV60" s="4" t="s">
        <v>5377</v>
      </c>
      <c r="DW60" s="4" t="s">
        <v>1803</v>
      </c>
      <c r="HO60" s="4" t="s">
        <v>267</v>
      </c>
    </row>
    <row r="61" spans="1:223" ht="19.5" customHeight="1" x14ac:dyDescent="0.4">
      <c r="A61" s="4">
        <v>1</v>
      </c>
      <c r="B61" s="4" t="s">
        <v>239</v>
      </c>
      <c r="C61" s="4">
        <v>768</v>
      </c>
      <c r="D61" s="4">
        <v>1</v>
      </c>
      <c r="E61" s="4">
        <v>1</v>
      </c>
      <c r="F61" s="4" t="s">
        <v>268</v>
      </c>
      <c r="G61" s="4" t="s">
        <v>241</v>
      </c>
      <c r="H61" s="4" t="s">
        <v>241</v>
      </c>
      <c r="I61" s="4" t="s">
        <v>5375</v>
      </c>
      <c r="J61" s="4" t="s">
        <v>596</v>
      </c>
      <c r="K61" s="4" t="s">
        <v>251</v>
      </c>
      <c r="L61" s="4" t="s">
        <v>5374</v>
      </c>
      <c r="M61" s="5" t="s">
        <v>5378</v>
      </c>
      <c r="N61" s="6">
        <f>8.71</f>
        <v>8.7100000000000009</v>
      </c>
      <c r="O61" s="4" t="s">
        <v>265</v>
      </c>
      <c r="P61" s="6">
        <f>243</f>
        <v>243</v>
      </c>
      <c r="Q61" s="6">
        <f>0</f>
        <v>0</v>
      </c>
      <c r="S61" s="6">
        <f>0</f>
        <v>0</v>
      </c>
      <c r="T61" s="6">
        <f>243</f>
        <v>243</v>
      </c>
      <c r="U61" s="5" t="s">
        <v>245</v>
      </c>
      <c r="V61" s="4" t="s">
        <v>270</v>
      </c>
      <c r="W61" s="4" t="s">
        <v>242</v>
      </c>
      <c r="X61" s="4" t="s">
        <v>273</v>
      </c>
      <c r="Y61" s="4" t="s">
        <v>241</v>
      </c>
      <c r="AB61" s="4" t="s">
        <v>241</v>
      </c>
      <c r="AD61" s="5" t="s">
        <v>241</v>
      </c>
      <c r="AG61" s="5" t="s">
        <v>246</v>
      </c>
      <c r="AH61" s="4" t="s">
        <v>241</v>
      </c>
      <c r="AI61" s="4" t="s">
        <v>247</v>
      </c>
      <c r="AJ61" s="4" t="s">
        <v>248</v>
      </c>
      <c r="AZ61" s="4" t="s">
        <v>249</v>
      </c>
      <c r="BA61" s="4" t="s">
        <v>241</v>
      </c>
      <c r="BB61" s="4" t="s">
        <v>250</v>
      </c>
      <c r="BC61" s="4" t="s">
        <v>241</v>
      </c>
      <c r="BD61" s="4" t="s">
        <v>252</v>
      </c>
      <c r="BE61" s="4" t="s">
        <v>241</v>
      </c>
      <c r="BI61" s="4" t="s">
        <v>253</v>
      </c>
      <c r="BJ61" s="5" t="s">
        <v>246</v>
      </c>
      <c r="BK61" s="4" t="s">
        <v>254</v>
      </c>
      <c r="BL61" s="4" t="s">
        <v>255</v>
      </c>
      <c r="BM61" s="4" t="s">
        <v>241</v>
      </c>
      <c r="BN61" s="6">
        <f>0</f>
        <v>0</v>
      </c>
      <c r="BO61" s="6">
        <f>0</f>
        <v>0</v>
      </c>
      <c r="BP61" s="4" t="s">
        <v>256</v>
      </c>
      <c r="BQ61" s="4" t="s">
        <v>257</v>
      </c>
      <c r="CE61" s="4" t="s">
        <v>241</v>
      </c>
      <c r="CF61" s="4" t="s">
        <v>241</v>
      </c>
      <c r="CJ61" s="4" t="s">
        <v>258</v>
      </c>
      <c r="CK61" s="4" t="s">
        <v>259</v>
      </c>
      <c r="CL61" s="4" t="s">
        <v>241</v>
      </c>
      <c r="CO61" s="5" t="s">
        <v>260</v>
      </c>
      <c r="CP61" s="4" t="s">
        <v>241</v>
      </c>
      <c r="CQ61" s="4" t="s">
        <v>261</v>
      </c>
      <c r="CR61" s="4" t="s">
        <v>241</v>
      </c>
      <c r="CS61" s="4" t="s">
        <v>241</v>
      </c>
      <c r="CT61" s="4">
        <v>0</v>
      </c>
      <c r="CU61" s="4" t="s">
        <v>262</v>
      </c>
      <c r="CV61" s="4" t="s">
        <v>263</v>
      </c>
      <c r="CW61" s="4" t="s">
        <v>263</v>
      </c>
      <c r="CX61" s="4" t="s">
        <v>264</v>
      </c>
      <c r="DA61" s="6">
        <f>243</f>
        <v>243</v>
      </c>
      <c r="DC61" s="4" t="s">
        <v>287</v>
      </c>
      <c r="DD61" s="4" t="s">
        <v>241</v>
      </c>
      <c r="DF61" s="4" t="s">
        <v>324</v>
      </c>
      <c r="DG61" s="6">
        <f>8.71</f>
        <v>8.7100000000000009</v>
      </c>
      <c r="DI61" s="4" t="s">
        <v>324</v>
      </c>
      <c r="DJ61" s="4" t="s">
        <v>241</v>
      </c>
      <c r="DK61" s="4" t="s">
        <v>241</v>
      </c>
      <c r="DL61" s="4" t="s">
        <v>241</v>
      </c>
      <c r="DP61" s="4" t="s">
        <v>241</v>
      </c>
      <c r="DQ61" s="4" t="s">
        <v>241</v>
      </c>
      <c r="DR61" s="4" t="s">
        <v>241</v>
      </c>
      <c r="DS61" s="4" t="s">
        <v>241</v>
      </c>
      <c r="DV61" s="4" t="s">
        <v>5377</v>
      </c>
      <c r="DW61" s="4" t="s">
        <v>1777</v>
      </c>
      <c r="HO61" s="4" t="s">
        <v>267</v>
      </c>
    </row>
    <row r="62" spans="1:223" ht="19.5" customHeight="1" x14ac:dyDescent="0.4">
      <c r="A62" s="4">
        <v>1</v>
      </c>
      <c r="B62" s="4" t="s">
        <v>239</v>
      </c>
      <c r="C62" s="4">
        <v>769</v>
      </c>
      <c r="D62" s="4">
        <v>1</v>
      </c>
      <c r="E62" s="4">
        <v>1</v>
      </c>
      <c r="F62" s="4" t="s">
        <v>268</v>
      </c>
      <c r="G62" s="4" t="s">
        <v>241</v>
      </c>
      <c r="H62" s="4" t="s">
        <v>241</v>
      </c>
      <c r="I62" s="4" t="s">
        <v>5375</v>
      </c>
      <c r="J62" s="4" t="s">
        <v>596</v>
      </c>
      <c r="K62" s="4" t="s">
        <v>251</v>
      </c>
      <c r="L62" s="4" t="s">
        <v>5374</v>
      </c>
      <c r="M62" s="5" t="s">
        <v>5376</v>
      </c>
      <c r="N62" s="6">
        <f>43</f>
        <v>43</v>
      </c>
      <c r="O62" s="4" t="s">
        <v>265</v>
      </c>
      <c r="P62" s="6">
        <f>21070</f>
        <v>21070</v>
      </c>
      <c r="Q62" s="6">
        <f>0</f>
        <v>0</v>
      </c>
      <c r="S62" s="6">
        <f>0</f>
        <v>0</v>
      </c>
      <c r="T62" s="6">
        <f>21070</f>
        <v>21070</v>
      </c>
      <c r="U62" s="5" t="s">
        <v>245</v>
      </c>
      <c r="V62" s="4" t="s">
        <v>270</v>
      </c>
      <c r="W62" s="4" t="s">
        <v>242</v>
      </c>
      <c r="X62" s="4" t="s">
        <v>273</v>
      </c>
      <c r="Y62" s="4" t="s">
        <v>241</v>
      </c>
      <c r="AB62" s="4" t="s">
        <v>241</v>
      </c>
      <c r="AD62" s="5" t="s">
        <v>241</v>
      </c>
      <c r="AG62" s="5" t="s">
        <v>246</v>
      </c>
      <c r="AH62" s="4" t="s">
        <v>241</v>
      </c>
      <c r="AI62" s="4" t="s">
        <v>247</v>
      </c>
      <c r="AJ62" s="4" t="s">
        <v>248</v>
      </c>
      <c r="AZ62" s="4" t="s">
        <v>249</v>
      </c>
      <c r="BA62" s="4" t="s">
        <v>241</v>
      </c>
      <c r="BB62" s="4" t="s">
        <v>250</v>
      </c>
      <c r="BC62" s="4" t="s">
        <v>241</v>
      </c>
      <c r="BD62" s="4" t="s">
        <v>252</v>
      </c>
      <c r="BE62" s="4" t="s">
        <v>241</v>
      </c>
      <c r="BI62" s="4" t="s">
        <v>253</v>
      </c>
      <c r="BJ62" s="5" t="s">
        <v>246</v>
      </c>
      <c r="BK62" s="4" t="s">
        <v>254</v>
      </c>
      <c r="BL62" s="4" t="s">
        <v>255</v>
      </c>
      <c r="BM62" s="4" t="s">
        <v>241</v>
      </c>
      <c r="BN62" s="6">
        <f>0</f>
        <v>0</v>
      </c>
      <c r="BO62" s="6">
        <f>0</f>
        <v>0</v>
      </c>
      <c r="BP62" s="4" t="s">
        <v>256</v>
      </c>
      <c r="BQ62" s="4" t="s">
        <v>257</v>
      </c>
      <c r="CE62" s="4" t="s">
        <v>241</v>
      </c>
      <c r="CF62" s="4" t="s">
        <v>241</v>
      </c>
      <c r="CJ62" s="4" t="s">
        <v>258</v>
      </c>
      <c r="CK62" s="4" t="s">
        <v>259</v>
      </c>
      <c r="CL62" s="4" t="s">
        <v>241</v>
      </c>
      <c r="CO62" s="5" t="s">
        <v>260</v>
      </c>
      <c r="CP62" s="4" t="s">
        <v>241</v>
      </c>
      <c r="CQ62" s="4" t="s">
        <v>261</v>
      </c>
      <c r="CR62" s="4" t="s">
        <v>241</v>
      </c>
      <c r="CS62" s="4" t="s">
        <v>241</v>
      </c>
      <c r="CT62" s="4">
        <v>0</v>
      </c>
      <c r="CU62" s="4" t="s">
        <v>262</v>
      </c>
      <c r="CV62" s="4" t="s">
        <v>263</v>
      </c>
      <c r="CW62" s="4" t="s">
        <v>263</v>
      </c>
      <c r="CX62" s="4" t="s">
        <v>264</v>
      </c>
      <c r="DA62" s="6">
        <f>21070</f>
        <v>21070</v>
      </c>
      <c r="DC62" s="4" t="s">
        <v>287</v>
      </c>
      <c r="DD62" s="4" t="s">
        <v>241</v>
      </c>
      <c r="DF62" s="4" t="s">
        <v>277</v>
      </c>
      <c r="DG62" s="6">
        <f>43</f>
        <v>43</v>
      </c>
      <c r="DI62" s="4" t="s">
        <v>287</v>
      </c>
      <c r="DJ62" s="4" t="s">
        <v>241</v>
      </c>
      <c r="DK62" s="4" t="s">
        <v>241</v>
      </c>
      <c r="DL62" s="4" t="s">
        <v>241</v>
      </c>
      <c r="DP62" s="4" t="s">
        <v>241</v>
      </c>
      <c r="DQ62" s="4" t="s">
        <v>241</v>
      </c>
      <c r="DR62" s="4" t="s">
        <v>241</v>
      </c>
      <c r="DS62" s="4" t="s">
        <v>241</v>
      </c>
      <c r="DV62" s="4" t="s">
        <v>5377</v>
      </c>
      <c r="DW62" s="4" t="s">
        <v>1775</v>
      </c>
      <c r="HO62" s="4" t="s">
        <v>267</v>
      </c>
    </row>
    <row r="63" spans="1:223" ht="19.5" customHeight="1" x14ac:dyDescent="0.4">
      <c r="A63" s="4">
        <v>1</v>
      </c>
      <c r="B63" s="4" t="s">
        <v>239</v>
      </c>
      <c r="C63" s="4">
        <v>770</v>
      </c>
      <c r="D63" s="4">
        <v>1</v>
      </c>
      <c r="E63" s="4">
        <v>1</v>
      </c>
      <c r="F63" s="4" t="s">
        <v>268</v>
      </c>
      <c r="G63" s="4" t="s">
        <v>241</v>
      </c>
      <c r="H63" s="4" t="s">
        <v>241</v>
      </c>
      <c r="I63" s="4" t="s">
        <v>5375</v>
      </c>
      <c r="J63" s="4" t="s">
        <v>596</v>
      </c>
      <c r="K63" s="4" t="s">
        <v>251</v>
      </c>
      <c r="L63" s="4" t="s">
        <v>5374</v>
      </c>
      <c r="M63" s="5" t="s">
        <v>5380</v>
      </c>
      <c r="N63" s="6">
        <f>112</f>
        <v>112</v>
      </c>
      <c r="O63" s="4" t="s">
        <v>265</v>
      </c>
      <c r="P63" s="6">
        <f>3136</f>
        <v>3136</v>
      </c>
      <c r="Q63" s="6">
        <f>0</f>
        <v>0</v>
      </c>
      <c r="S63" s="6">
        <f>0</f>
        <v>0</v>
      </c>
      <c r="T63" s="6">
        <f>3136</f>
        <v>3136</v>
      </c>
      <c r="U63" s="5" t="s">
        <v>245</v>
      </c>
      <c r="V63" s="4" t="s">
        <v>270</v>
      </c>
      <c r="W63" s="4" t="s">
        <v>242</v>
      </c>
      <c r="X63" s="4" t="s">
        <v>273</v>
      </c>
      <c r="Y63" s="4" t="s">
        <v>241</v>
      </c>
      <c r="AB63" s="4" t="s">
        <v>241</v>
      </c>
      <c r="AD63" s="5" t="s">
        <v>241</v>
      </c>
      <c r="AG63" s="5" t="s">
        <v>246</v>
      </c>
      <c r="AH63" s="4" t="s">
        <v>241</v>
      </c>
      <c r="AI63" s="4" t="s">
        <v>247</v>
      </c>
      <c r="AJ63" s="4" t="s">
        <v>248</v>
      </c>
      <c r="AZ63" s="4" t="s">
        <v>249</v>
      </c>
      <c r="BA63" s="4" t="s">
        <v>241</v>
      </c>
      <c r="BB63" s="4" t="s">
        <v>250</v>
      </c>
      <c r="BC63" s="4" t="s">
        <v>241</v>
      </c>
      <c r="BD63" s="4" t="s">
        <v>252</v>
      </c>
      <c r="BE63" s="4" t="s">
        <v>241</v>
      </c>
      <c r="BI63" s="4" t="s">
        <v>253</v>
      </c>
      <c r="BJ63" s="5" t="s">
        <v>246</v>
      </c>
      <c r="BK63" s="4" t="s">
        <v>254</v>
      </c>
      <c r="BL63" s="4" t="s">
        <v>255</v>
      </c>
      <c r="BM63" s="4" t="s">
        <v>241</v>
      </c>
      <c r="BN63" s="6">
        <f>0</f>
        <v>0</v>
      </c>
      <c r="BO63" s="6">
        <f>0</f>
        <v>0</v>
      </c>
      <c r="BP63" s="4" t="s">
        <v>256</v>
      </c>
      <c r="BQ63" s="4" t="s">
        <v>257</v>
      </c>
      <c r="CE63" s="4" t="s">
        <v>241</v>
      </c>
      <c r="CF63" s="4" t="s">
        <v>241</v>
      </c>
      <c r="CJ63" s="4" t="s">
        <v>258</v>
      </c>
      <c r="CK63" s="4" t="s">
        <v>259</v>
      </c>
      <c r="CL63" s="4" t="s">
        <v>241</v>
      </c>
      <c r="CO63" s="5" t="s">
        <v>260</v>
      </c>
      <c r="CP63" s="4" t="s">
        <v>241</v>
      </c>
      <c r="CQ63" s="4" t="s">
        <v>261</v>
      </c>
      <c r="CR63" s="4" t="s">
        <v>241</v>
      </c>
      <c r="CS63" s="4" t="s">
        <v>241</v>
      </c>
      <c r="CT63" s="4">
        <v>0</v>
      </c>
      <c r="CU63" s="4" t="s">
        <v>262</v>
      </c>
      <c r="CV63" s="4" t="s">
        <v>263</v>
      </c>
      <c r="CW63" s="4" t="s">
        <v>263</v>
      </c>
      <c r="CX63" s="4" t="s">
        <v>264</v>
      </c>
      <c r="DA63" s="6">
        <f>3136</f>
        <v>3136</v>
      </c>
      <c r="DC63" s="4" t="s">
        <v>287</v>
      </c>
      <c r="DD63" s="4" t="s">
        <v>241</v>
      </c>
      <c r="DF63" s="4" t="s">
        <v>324</v>
      </c>
      <c r="DG63" s="6">
        <f>112</f>
        <v>112</v>
      </c>
      <c r="DI63" s="4" t="s">
        <v>324</v>
      </c>
      <c r="DJ63" s="4" t="s">
        <v>241</v>
      </c>
      <c r="DK63" s="4" t="s">
        <v>241</v>
      </c>
      <c r="DL63" s="4" t="s">
        <v>241</v>
      </c>
      <c r="DP63" s="4" t="s">
        <v>241</v>
      </c>
      <c r="DQ63" s="4" t="s">
        <v>241</v>
      </c>
      <c r="DR63" s="4" t="s">
        <v>241</v>
      </c>
      <c r="DS63" s="4" t="s">
        <v>241</v>
      </c>
      <c r="DV63" s="4" t="s">
        <v>5377</v>
      </c>
      <c r="DW63" s="4" t="s">
        <v>1773</v>
      </c>
      <c r="HO63" s="4" t="s">
        <v>267</v>
      </c>
    </row>
    <row r="64" spans="1:223" ht="19.5" customHeight="1" x14ac:dyDescent="0.4">
      <c r="A64" s="4">
        <v>1</v>
      </c>
      <c r="B64" s="4" t="s">
        <v>239</v>
      </c>
      <c r="C64" s="4">
        <v>771</v>
      </c>
      <c r="D64" s="4">
        <v>1</v>
      </c>
      <c r="E64" s="4">
        <v>1</v>
      </c>
      <c r="F64" s="4" t="s">
        <v>268</v>
      </c>
      <c r="G64" s="4" t="s">
        <v>241</v>
      </c>
      <c r="H64" s="4" t="s">
        <v>241</v>
      </c>
      <c r="I64" s="4" t="s">
        <v>5375</v>
      </c>
      <c r="J64" s="4" t="s">
        <v>596</v>
      </c>
      <c r="K64" s="4" t="s">
        <v>251</v>
      </c>
      <c r="L64" s="4" t="s">
        <v>5374</v>
      </c>
      <c r="M64" s="5" t="s">
        <v>5403</v>
      </c>
      <c r="N64" s="6">
        <f>194</f>
        <v>194</v>
      </c>
      <c r="O64" s="4" t="s">
        <v>265</v>
      </c>
      <c r="P64" s="6">
        <f>95060</f>
        <v>95060</v>
      </c>
      <c r="Q64" s="6">
        <f>0</f>
        <v>0</v>
      </c>
      <c r="S64" s="6">
        <f>0</f>
        <v>0</v>
      </c>
      <c r="T64" s="6">
        <f>95060</f>
        <v>95060</v>
      </c>
      <c r="U64" s="5" t="s">
        <v>245</v>
      </c>
      <c r="V64" s="4" t="s">
        <v>270</v>
      </c>
      <c r="W64" s="4" t="s">
        <v>242</v>
      </c>
      <c r="X64" s="4" t="s">
        <v>273</v>
      </c>
      <c r="Y64" s="4" t="s">
        <v>241</v>
      </c>
      <c r="AB64" s="4" t="s">
        <v>241</v>
      </c>
      <c r="AD64" s="5" t="s">
        <v>241</v>
      </c>
      <c r="AG64" s="5" t="s">
        <v>246</v>
      </c>
      <c r="AH64" s="4" t="s">
        <v>241</v>
      </c>
      <c r="AI64" s="4" t="s">
        <v>247</v>
      </c>
      <c r="AJ64" s="4" t="s">
        <v>248</v>
      </c>
      <c r="AZ64" s="4" t="s">
        <v>249</v>
      </c>
      <c r="BA64" s="4" t="s">
        <v>241</v>
      </c>
      <c r="BB64" s="4" t="s">
        <v>250</v>
      </c>
      <c r="BC64" s="4" t="s">
        <v>241</v>
      </c>
      <c r="BD64" s="4" t="s">
        <v>252</v>
      </c>
      <c r="BE64" s="4" t="s">
        <v>241</v>
      </c>
      <c r="BI64" s="4" t="s">
        <v>253</v>
      </c>
      <c r="BJ64" s="5" t="s">
        <v>246</v>
      </c>
      <c r="BK64" s="4" t="s">
        <v>254</v>
      </c>
      <c r="BL64" s="4" t="s">
        <v>255</v>
      </c>
      <c r="BM64" s="4" t="s">
        <v>241</v>
      </c>
      <c r="BN64" s="6">
        <f>0</f>
        <v>0</v>
      </c>
      <c r="BO64" s="6">
        <f>0</f>
        <v>0</v>
      </c>
      <c r="BP64" s="4" t="s">
        <v>256</v>
      </c>
      <c r="BQ64" s="4" t="s">
        <v>257</v>
      </c>
      <c r="CE64" s="4" t="s">
        <v>241</v>
      </c>
      <c r="CF64" s="4" t="s">
        <v>241</v>
      </c>
      <c r="CJ64" s="4" t="s">
        <v>258</v>
      </c>
      <c r="CK64" s="4" t="s">
        <v>259</v>
      </c>
      <c r="CL64" s="4" t="s">
        <v>241</v>
      </c>
      <c r="CO64" s="5" t="s">
        <v>260</v>
      </c>
      <c r="CP64" s="4" t="s">
        <v>241</v>
      </c>
      <c r="CQ64" s="4" t="s">
        <v>261</v>
      </c>
      <c r="CR64" s="4" t="s">
        <v>241</v>
      </c>
      <c r="CS64" s="4" t="s">
        <v>241</v>
      </c>
      <c r="CT64" s="4">
        <v>0</v>
      </c>
      <c r="CU64" s="4" t="s">
        <v>262</v>
      </c>
      <c r="CV64" s="4" t="s">
        <v>263</v>
      </c>
      <c r="CW64" s="4" t="s">
        <v>263</v>
      </c>
      <c r="CX64" s="4" t="s">
        <v>264</v>
      </c>
      <c r="DA64" s="6">
        <f>95060</f>
        <v>95060</v>
      </c>
      <c r="DC64" s="4" t="s">
        <v>287</v>
      </c>
      <c r="DD64" s="4" t="s">
        <v>241</v>
      </c>
      <c r="DF64" s="4" t="s">
        <v>277</v>
      </c>
      <c r="DG64" s="6">
        <f>194</f>
        <v>194</v>
      </c>
      <c r="DI64" s="4" t="s">
        <v>287</v>
      </c>
      <c r="DJ64" s="4" t="s">
        <v>241</v>
      </c>
      <c r="DK64" s="4" t="s">
        <v>241</v>
      </c>
      <c r="DL64" s="4" t="s">
        <v>241</v>
      </c>
      <c r="DP64" s="4" t="s">
        <v>241</v>
      </c>
      <c r="DQ64" s="4" t="s">
        <v>241</v>
      </c>
      <c r="DR64" s="4" t="s">
        <v>241</v>
      </c>
      <c r="DS64" s="4" t="s">
        <v>241</v>
      </c>
      <c r="DV64" s="4" t="s">
        <v>5377</v>
      </c>
      <c r="DW64" s="4" t="s">
        <v>2076</v>
      </c>
      <c r="HO64" s="4" t="s">
        <v>267</v>
      </c>
    </row>
    <row r="65" spans="1:223" ht="19.5" customHeight="1" x14ac:dyDescent="0.4">
      <c r="A65" s="4">
        <v>1</v>
      </c>
      <c r="B65" s="4" t="s">
        <v>239</v>
      </c>
      <c r="C65" s="4">
        <v>772</v>
      </c>
      <c r="D65" s="4">
        <v>1</v>
      </c>
      <c r="E65" s="4">
        <v>1</v>
      </c>
      <c r="F65" s="4" t="s">
        <v>268</v>
      </c>
      <c r="G65" s="4" t="s">
        <v>241</v>
      </c>
      <c r="H65" s="4" t="s">
        <v>241</v>
      </c>
      <c r="I65" s="4" t="s">
        <v>5375</v>
      </c>
      <c r="J65" s="4" t="s">
        <v>596</v>
      </c>
      <c r="K65" s="4" t="s">
        <v>251</v>
      </c>
      <c r="L65" s="4" t="s">
        <v>5374</v>
      </c>
      <c r="M65" s="5" t="s">
        <v>5381</v>
      </c>
      <c r="N65" s="6">
        <f>24</f>
        <v>24</v>
      </c>
      <c r="O65" s="4" t="s">
        <v>265</v>
      </c>
      <c r="P65" s="6">
        <f>11760</f>
        <v>11760</v>
      </c>
      <c r="Q65" s="6">
        <f>0</f>
        <v>0</v>
      </c>
      <c r="S65" s="6">
        <f>0</f>
        <v>0</v>
      </c>
      <c r="T65" s="6">
        <f>11760</f>
        <v>11760</v>
      </c>
      <c r="U65" s="5" t="s">
        <v>245</v>
      </c>
      <c r="V65" s="4" t="s">
        <v>270</v>
      </c>
      <c r="W65" s="4" t="s">
        <v>242</v>
      </c>
      <c r="X65" s="4" t="s">
        <v>273</v>
      </c>
      <c r="Y65" s="4" t="s">
        <v>241</v>
      </c>
      <c r="AB65" s="4" t="s">
        <v>241</v>
      </c>
      <c r="AD65" s="5" t="s">
        <v>241</v>
      </c>
      <c r="AG65" s="5" t="s">
        <v>246</v>
      </c>
      <c r="AH65" s="4" t="s">
        <v>241</v>
      </c>
      <c r="AI65" s="4" t="s">
        <v>247</v>
      </c>
      <c r="AJ65" s="4" t="s">
        <v>248</v>
      </c>
      <c r="AZ65" s="4" t="s">
        <v>249</v>
      </c>
      <c r="BA65" s="4" t="s">
        <v>241</v>
      </c>
      <c r="BB65" s="4" t="s">
        <v>250</v>
      </c>
      <c r="BC65" s="4" t="s">
        <v>241</v>
      </c>
      <c r="BD65" s="4" t="s">
        <v>252</v>
      </c>
      <c r="BE65" s="4" t="s">
        <v>241</v>
      </c>
      <c r="BI65" s="4" t="s">
        <v>253</v>
      </c>
      <c r="BJ65" s="5" t="s">
        <v>246</v>
      </c>
      <c r="BK65" s="4" t="s">
        <v>254</v>
      </c>
      <c r="BL65" s="4" t="s">
        <v>255</v>
      </c>
      <c r="BM65" s="4" t="s">
        <v>241</v>
      </c>
      <c r="BN65" s="6">
        <f>0</f>
        <v>0</v>
      </c>
      <c r="BO65" s="6">
        <f>0</f>
        <v>0</v>
      </c>
      <c r="BP65" s="4" t="s">
        <v>256</v>
      </c>
      <c r="BQ65" s="4" t="s">
        <v>257</v>
      </c>
      <c r="CE65" s="4" t="s">
        <v>241</v>
      </c>
      <c r="CF65" s="4" t="s">
        <v>241</v>
      </c>
      <c r="CJ65" s="4" t="s">
        <v>258</v>
      </c>
      <c r="CK65" s="4" t="s">
        <v>259</v>
      </c>
      <c r="CL65" s="4" t="s">
        <v>241</v>
      </c>
      <c r="CO65" s="5" t="s">
        <v>260</v>
      </c>
      <c r="CP65" s="4" t="s">
        <v>241</v>
      </c>
      <c r="CQ65" s="4" t="s">
        <v>261</v>
      </c>
      <c r="CR65" s="4" t="s">
        <v>241</v>
      </c>
      <c r="CS65" s="4" t="s">
        <v>241</v>
      </c>
      <c r="CT65" s="4">
        <v>0</v>
      </c>
      <c r="CU65" s="4" t="s">
        <v>262</v>
      </c>
      <c r="CV65" s="4" t="s">
        <v>263</v>
      </c>
      <c r="CW65" s="4" t="s">
        <v>263</v>
      </c>
      <c r="CX65" s="4" t="s">
        <v>264</v>
      </c>
      <c r="DA65" s="6">
        <f>11760</f>
        <v>11760</v>
      </c>
      <c r="DC65" s="4" t="s">
        <v>287</v>
      </c>
      <c r="DD65" s="4" t="s">
        <v>241</v>
      </c>
      <c r="DF65" s="4" t="s">
        <v>277</v>
      </c>
      <c r="DG65" s="6">
        <f>24</f>
        <v>24</v>
      </c>
      <c r="DI65" s="4" t="s">
        <v>287</v>
      </c>
      <c r="DJ65" s="4" t="s">
        <v>241</v>
      </c>
      <c r="DK65" s="4" t="s">
        <v>241</v>
      </c>
      <c r="DL65" s="4" t="s">
        <v>241</v>
      </c>
      <c r="DP65" s="4" t="s">
        <v>241</v>
      </c>
      <c r="DQ65" s="4" t="s">
        <v>241</v>
      </c>
      <c r="DR65" s="4" t="s">
        <v>241</v>
      </c>
      <c r="DS65" s="4" t="s">
        <v>241</v>
      </c>
      <c r="DV65" s="4" t="s">
        <v>5377</v>
      </c>
      <c r="DW65" s="4" t="s">
        <v>1771</v>
      </c>
      <c r="HO65" s="4" t="s">
        <v>267</v>
      </c>
    </row>
    <row r="66" spans="1:223" ht="19.5" customHeight="1" x14ac:dyDescent="0.4">
      <c r="A66" s="4">
        <v>1</v>
      </c>
      <c r="B66" s="4" t="s">
        <v>239</v>
      </c>
      <c r="C66" s="4">
        <v>773</v>
      </c>
      <c r="D66" s="4">
        <v>1</v>
      </c>
      <c r="E66" s="4">
        <v>1</v>
      </c>
      <c r="F66" s="4" t="s">
        <v>268</v>
      </c>
      <c r="G66" s="4" t="s">
        <v>241</v>
      </c>
      <c r="H66" s="4" t="s">
        <v>241</v>
      </c>
      <c r="I66" s="4" t="s">
        <v>5375</v>
      </c>
      <c r="J66" s="4" t="s">
        <v>596</v>
      </c>
      <c r="K66" s="4" t="s">
        <v>251</v>
      </c>
      <c r="L66" s="4" t="s">
        <v>5374</v>
      </c>
      <c r="M66" s="5" t="s">
        <v>4336</v>
      </c>
      <c r="N66" s="6">
        <f>1727.85</f>
        <v>1727.85</v>
      </c>
      <c r="O66" s="4" t="s">
        <v>265</v>
      </c>
      <c r="P66" s="6">
        <f>846646</f>
        <v>846646</v>
      </c>
      <c r="Q66" s="6">
        <f>0</f>
        <v>0</v>
      </c>
      <c r="S66" s="6">
        <f>0</f>
        <v>0</v>
      </c>
      <c r="T66" s="6">
        <f>846646</f>
        <v>846646</v>
      </c>
      <c r="U66" s="5" t="s">
        <v>245</v>
      </c>
      <c r="V66" s="4" t="s">
        <v>270</v>
      </c>
      <c r="W66" s="4" t="s">
        <v>271</v>
      </c>
      <c r="X66" s="4" t="s">
        <v>273</v>
      </c>
      <c r="Y66" s="4" t="s">
        <v>241</v>
      </c>
      <c r="AB66" s="4" t="s">
        <v>241</v>
      </c>
      <c r="AD66" s="5" t="s">
        <v>241</v>
      </c>
      <c r="AG66" s="5" t="s">
        <v>246</v>
      </c>
      <c r="AH66" s="4" t="s">
        <v>241</v>
      </c>
      <c r="AI66" s="4" t="s">
        <v>247</v>
      </c>
      <c r="AJ66" s="4" t="s">
        <v>248</v>
      </c>
      <c r="AZ66" s="4" t="s">
        <v>249</v>
      </c>
      <c r="BA66" s="4" t="s">
        <v>241</v>
      </c>
      <c r="BB66" s="4" t="s">
        <v>250</v>
      </c>
      <c r="BC66" s="4" t="s">
        <v>241</v>
      </c>
      <c r="BD66" s="4" t="s">
        <v>252</v>
      </c>
      <c r="BE66" s="4" t="s">
        <v>241</v>
      </c>
      <c r="BI66" s="4" t="s">
        <v>253</v>
      </c>
      <c r="BJ66" s="5" t="s">
        <v>246</v>
      </c>
      <c r="BK66" s="4" t="s">
        <v>254</v>
      </c>
      <c r="BL66" s="4" t="s">
        <v>255</v>
      </c>
      <c r="BM66" s="4" t="s">
        <v>241</v>
      </c>
      <c r="BN66" s="6">
        <f>0</f>
        <v>0</v>
      </c>
      <c r="BO66" s="6">
        <f>0</f>
        <v>0</v>
      </c>
      <c r="BP66" s="4" t="s">
        <v>256</v>
      </c>
      <c r="BQ66" s="4" t="s">
        <v>257</v>
      </c>
      <c r="CE66" s="4" t="s">
        <v>241</v>
      </c>
      <c r="CF66" s="4" t="s">
        <v>241</v>
      </c>
      <c r="CJ66" s="4" t="s">
        <v>258</v>
      </c>
      <c r="CK66" s="4" t="s">
        <v>259</v>
      </c>
      <c r="CL66" s="4" t="s">
        <v>241</v>
      </c>
      <c r="CO66" s="5" t="s">
        <v>260</v>
      </c>
      <c r="CP66" s="4" t="s">
        <v>241</v>
      </c>
      <c r="CQ66" s="4" t="s">
        <v>261</v>
      </c>
      <c r="CR66" s="4" t="s">
        <v>241</v>
      </c>
      <c r="CS66" s="4" t="s">
        <v>241</v>
      </c>
      <c r="CT66" s="4">
        <v>0</v>
      </c>
      <c r="CU66" s="4" t="s">
        <v>262</v>
      </c>
      <c r="CV66" s="4" t="s">
        <v>263</v>
      </c>
      <c r="CW66" s="4" t="s">
        <v>263</v>
      </c>
      <c r="CX66" s="4" t="s">
        <v>264</v>
      </c>
      <c r="DA66" s="6">
        <f>846646</f>
        <v>846646</v>
      </c>
      <c r="DC66" s="4" t="s">
        <v>277</v>
      </c>
      <c r="DD66" s="4" t="s">
        <v>241</v>
      </c>
      <c r="DF66" s="4" t="s">
        <v>287</v>
      </c>
      <c r="DG66" s="6">
        <f>0</f>
        <v>0</v>
      </c>
      <c r="DI66" s="4" t="s">
        <v>287</v>
      </c>
      <c r="DJ66" s="4" t="s">
        <v>241</v>
      </c>
      <c r="DK66" s="4" t="s">
        <v>241</v>
      </c>
      <c r="DL66" s="4" t="s">
        <v>241</v>
      </c>
      <c r="DP66" s="4" t="s">
        <v>241</v>
      </c>
      <c r="DQ66" s="4" t="s">
        <v>241</v>
      </c>
      <c r="DR66" s="4" t="s">
        <v>241</v>
      </c>
      <c r="DS66" s="4" t="s">
        <v>241</v>
      </c>
      <c r="DV66" s="4" t="s">
        <v>5377</v>
      </c>
      <c r="DW66" s="4" t="s">
        <v>1769</v>
      </c>
      <c r="HO66" s="4" t="s">
        <v>267</v>
      </c>
    </row>
    <row r="67" spans="1:223" ht="19.5" customHeight="1" x14ac:dyDescent="0.4">
      <c r="A67" s="4">
        <v>1</v>
      </c>
      <c r="B67" s="4" t="s">
        <v>239</v>
      </c>
      <c r="C67" s="4">
        <v>774</v>
      </c>
      <c r="D67" s="4">
        <v>1</v>
      </c>
      <c r="E67" s="4">
        <v>1</v>
      </c>
      <c r="F67" s="4" t="s">
        <v>268</v>
      </c>
      <c r="G67" s="4" t="s">
        <v>241</v>
      </c>
      <c r="H67" s="4" t="s">
        <v>241</v>
      </c>
      <c r="I67" s="4" t="s">
        <v>5375</v>
      </c>
      <c r="J67" s="4" t="s">
        <v>596</v>
      </c>
      <c r="K67" s="4" t="s">
        <v>251</v>
      </c>
      <c r="L67" s="4" t="s">
        <v>5374</v>
      </c>
      <c r="M67" s="5" t="s">
        <v>4336</v>
      </c>
      <c r="N67" s="6">
        <f>10.32</f>
        <v>10.32</v>
      </c>
      <c r="O67" s="4" t="s">
        <v>265</v>
      </c>
      <c r="P67" s="6">
        <f>5056</f>
        <v>5056</v>
      </c>
      <c r="Q67" s="6">
        <f>0</f>
        <v>0</v>
      </c>
      <c r="S67" s="6">
        <f>0</f>
        <v>0</v>
      </c>
      <c r="T67" s="6">
        <f>5056</f>
        <v>5056</v>
      </c>
      <c r="U67" s="5" t="s">
        <v>245</v>
      </c>
      <c r="V67" s="4" t="s">
        <v>270</v>
      </c>
      <c r="W67" s="4" t="s">
        <v>271</v>
      </c>
      <c r="X67" s="4" t="s">
        <v>273</v>
      </c>
      <c r="Y67" s="4" t="s">
        <v>241</v>
      </c>
      <c r="AB67" s="4" t="s">
        <v>241</v>
      </c>
      <c r="AD67" s="5" t="s">
        <v>241</v>
      </c>
      <c r="AG67" s="5" t="s">
        <v>246</v>
      </c>
      <c r="AH67" s="4" t="s">
        <v>241</v>
      </c>
      <c r="AI67" s="4" t="s">
        <v>247</v>
      </c>
      <c r="AJ67" s="4" t="s">
        <v>248</v>
      </c>
      <c r="AZ67" s="4" t="s">
        <v>249</v>
      </c>
      <c r="BA67" s="4" t="s">
        <v>241</v>
      </c>
      <c r="BB67" s="4" t="s">
        <v>250</v>
      </c>
      <c r="BC67" s="4" t="s">
        <v>241</v>
      </c>
      <c r="BD67" s="4" t="s">
        <v>252</v>
      </c>
      <c r="BE67" s="4" t="s">
        <v>241</v>
      </c>
      <c r="BI67" s="4" t="s">
        <v>417</v>
      </c>
      <c r="BJ67" s="5" t="s">
        <v>4349</v>
      </c>
      <c r="BK67" s="4" t="s">
        <v>254</v>
      </c>
      <c r="BL67" s="4" t="s">
        <v>255</v>
      </c>
      <c r="BM67" s="4" t="s">
        <v>241</v>
      </c>
      <c r="BN67" s="6">
        <f>0</f>
        <v>0</v>
      </c>
      <c r="BO67" s="6">
        <f>0</f>
        <v>0</v>
      </c>
      <c r="BP67" s="4" t="s">
        <v>256</v>
      </c>
      <c r="BQ67" s="4" t="s">
        <v>257</v>
      </c>
      <c r="CE67" s="4" t="s">
        <v>241</v>
      </c>
      <c r="CF67" s="4" t="s">
        <v>241</v>
      </c>
      <c r="CJ67" s="4" t="s">
        <v>258</v>
      </c>
      <c r="CK67" s="4" t="s">
        <v>259</v>
      </c>
      <c r="CL67" s="4" t="s">
        <v>241</v>
      </c>
      <c r="CO67" s="5" t="s">
        <v>260</v>
      </c>
      <c r="CP67" s="4" t="s">
        <v>241</v>
      </c>
      <c r="CQ67" s="4" t="s">
        <v>261</v>
      </c>
      <c r="CR67" s="4" t="s">
        <v>241</v>
      </c>
      <c r="CS67" s="4" t="s">
        <v>241</v>
      </c>
      <c r="CT67" s="4">
        <v>0</v>
      </c>
      <c r="CU67" s="4" t="s">
        <v>262</v>
      </c>
      <c r="CV67" s="4" t="s">
        <v>263</v>
      </c>
      <c r="CW67" s="4" t="s">
        <v>263</v>
      </c>
      <c r="CX67" s="4" t="s">
        <v>264</v>
      </c>
      <c r="DA67" s="6">
        <f>5056</f>
        <v>5056</v>
      </c>
      <c r="DC67" s="4" t="s">
        <v>277</v>
      </c>
      <c r="DD67" s="4" t="s">
        <v>241</v>
      </c>
      <c r="DF67" s="4" t="s">
        <v>287</v>
      </c>
      <c r="DG67" s="6">
        <f>0</f>
        <v>0</v>
      </c>
      <c r="DI67" s="4" t="s">
        <v>287</v>
      </c>
      <c r="DJ67" s="4" t="s">
        <v>241</v>
      </c>
      <c r="DK67" s="4" t="s">
        <v>241</v>
      </c>
      <c r="DL67" s="4" t="s">
        <v>241</v>
      </c>
      <c r="DP67" s="4" t="s">
        <v>241</v>
      </c>
      <c r="DQ67" s="4" t="s">
        <v>241</v>
      </c>
      <c r="DR67" s="4" t="s">
        <v>241</v>
      </c>
      <c r="DS67" s="4" t="s">
        <v>241</v>
      </c>
      <c r="DV67" s="4" t="s">
        <v>5377</v>
      </c>
      <c r="DW67" s="4" t="s">
        <v>1914</v>
      </c>
      <c r="HO67" s="4" t="s">
        <v>267</v>
      </c>
    </row>
    <row r="68" spans="1:223" ht="19.5" customHeight="1" x14ac:dyDescent="0.4">
      <c r="A68" s="4">
        <v>1</v>
      </c>
      <c r="B68" s="4" t="s">
        <v>239</v>
      </c>
      <c r="C68" s="4">
        <v>775</v>
      </c>
      <c r="D68" s="4">
        <v>1</v>
      </c>
      <c r="E68" s="4">
        <v>1</v>
      </c>
      <c r="F68" s="4" t="s">
        <v>268</v>
      </c>
      <c r="G68" s="4" t="s">
        <v>241</v>
      </c>
      <c r="H68" s="4" t="s">
        <v>241</v>
      </c>
      <c r="I68" s="4" t="s">
        <v>5375</v>
      </c>
      <c r="J68" s="4" t="s">
        <v>596</v>
      </c>
      <c r="K68" s="4" t="s">
        <v>251</v>
      </c>
      <c r="L68" s="4" t="s">
        <v>5374</v>
      </c>
      <c r="M68" s="5" t="s">
        <v>4336</v>
      </c>
      <c r="N68" s="6">
        <f>99.66</f>
        <v>99.66</v>
      </c>
      <c r="O68" s="4" t="s">
        <v>265</v>
      </c>
      <c r="P68" s="6">
        <f>48833</f>
        <v>48833</v>
      </c>
      <c r="Q68" s="6">
        <f>0</f>
        <v>0</v>
      </c>
      <c r="S68" s="6">
        <f>0</f>
        <v>0</v>
      </c>
      <c r="T68" s="6">
        <f>48833</f>
        <v>48833</v>
      </c>
      <c r="U68" s="5" t="s">
        <v>245</v>
      </c>
      <c r="V68" s="4" t="s">
        <v>270</v>
      </c>
      <c r="W68" s="4" t="s">
        <v>271</v>
      </c>
      <c r="X68" s="4" t="s">
        <v>273</v>
      </c>
      <c r="Y68" s="4" t="s">
        <v>241</v>
      </c>
      <c r="AB68" s="4" t="s">
        <v>241</v>
      </c>
      <c r="AD68" s="5" t="s">
        <v>241</v>
      </c>
      <c r="AG68" s="5" t="s">
        <v>246</v>
      </c>
      <c r="AH68" s="4" t="s">
        <v>241</v>
      </c>
      <c r="AI68" s="4" t="s">
        <v>247</v>
      </c>
      <c r="AJ68" s="4" t="s">
        <v>248</v>
      </c>
      <c r="AZ68" s="4" t="s">
        <v>249</v>
      </c>
      <c r="BA68" s="4" t="s">
        <v>241</v>
      </c>
      <c r="BB68" s="4" t="s">
        <v>250</v>
      </c>
      <c r="BC68" s="4" t="s">
        <v>241</v>
      </c>
      <c r="BD68" s="4" t="s">
        <v>252</v>
      </c>
      <c r="BE68" s="4" t="s">
        <v>241</v>
      </c>
      <c r="BI68" s="4" t="s">
        <v>253</v>
      </c>
      <c r="BJ68" s="5" t="s">
        <v>246</v>
      </c>
      <c r="BK68" s="4" t="s">
        <v>254</v>
      </c>
      <c r="BL68" s="4" t="s">
        <v>255</v>
      </c>
      <c r="BM68" s="4" t="s">
        <v>241</v>
      </c>
      <c r="BN68" s="6">
        <f>0</f>
        <v>0</v>
      </c>
      <c r="BO68" s="6">
        <f>0</f>
        <v>0</v>
      </c>
      <c r="BP68" s="4" t="s">
        <v>256</v>
      </c>
      <c r="BQ68" s="4" t="s">
        <v>257</v>
      </c>
      <c r="CE68" s="4" t="s">
        <v>241</v>
      </c>
      <c r="CF68" s="4" t="s">
        <v>241</v>
      </c>
      <c r="CJ68" s="4" t="s">
        <v>258</v>
      </c>
      <c r="CK68" s="4" t="s">
        <v>259</v>
      </c>
      <c r="CL68" s="4" t="s">
        <v>241</v>
      </c>
      <c r="CO68" s="5" t="s">
        <v>260</v>
      </c>
      <c r="CP68" s="4" t="s">
        <v>241</v>
      </c>
      <c r="CQ68" s="4" t="s">
        <v>261</v>
      </c>
      <c r="CR68" s="4" t="s">
        <v>241</v>
      </c>
      <c r="CS68" s="4" t="s">
        <v>241</v>
      </c>
      <c r="CT68" s="4">
        <v>0</v>
      </c>
      <c r="CU68" s="4" t="s">
        <v>262</v>
      </c>
      <c r="CV68" s="4" t="s">
        <v>263</v>
      </c>
      <c r="CW68" s="4" t="s">
        <v>263</v>
      </c>
      <c r="CX68" s="4" t="s">
        <v>264</v>
      </c>
      <c r="DA68" s="6">
        <f>48833</f>
        <v>48833</v>
      </c>
      <c r="DC68" s="4" t="s">
        <v>277</v>
      </c>
      <c r="DD68" s="4" t="s">
        <v>241</v>
      </c>
      <c r="DF68" s="4" t="s">
        <v>287</v>
      </c>
      <c r="DG68" s="6">
        <f>0</f>
        <v>0</v>
      </c>
      <c r="DI68" s="4" t="s">
        <v>287</v>
      </c>
      <c r="DJ68" s="4" t="s">
        <v>241</v>
      </c>
      <c r="DK68" s="4" t="s">
        <v>241</v>
      </c>
      <c r="DL68" s="4" t="s">
        <v>241</v>
      </c>
      <c r="DP68" s="4" t="s">
        <v>241</v>
      </c>
      <c r="DQ68" s="4" t="s">
        <v>241</v>
      </c>
      <c r="DR68" s="4" t="s">
        <v>241</v>
      </c>
      <c r="DS68" s="4" t="s">
        <v>241</v>
      </c>
      <c r="DV68" s="4" t="s">
        <v>5377</v>
      </c>
      <c r="DW68" s="4" t="s">
        <v>1767</v>
      </c>
      <c r="HO68" s="4" t="s">
        <v>267</v>
      </c>
    </row>
    <row r="69" spans="1:223" ht="19.5" customHeight="1" x14ac:dyDescent="0.4">
      <c r="A69" s="4">
        <v>1</v>
      </c>
      <c r="B69" s="4" t="s">
        <v>239</v>
      </c>
      <c r="C69" s="4">
        <v>776</v>
      </c>
      <c r="D69" s="4">
        <v>1</v>
      </c>
      <c r="E69" s="4">
        <v>1</v>
      </c>
      <c r="F69" s="4" t="s">
        <v>240</v>
      </c>
      <c r="G69" s="4" t="s">
        <v>241</v>
      </c>
      <c r="H69" s="4" t="s">
        <v>241</v>
      </c>
      <c r="I69" s="4" t="s">
        <v>5368</v>
      </c>
      <c r="J69" s="4" t="s">
        <v>418</v>
      </c>
      <c r="K69" s="4" t="s">
        <v>251</v>
      </c>
      <c r="L69" s="4" t="s">
        <v>5367</v>
      </c>
      <c r="M69" s="5" t="s">
        <v>5373</v>
      </c>
      <c r="N69" s="6">
        <f>3080</f>
        <v>3080</v>
      </c>
      <c r="O69" s="4" t="s">
        <v>265</v>
      </c>
      <c r="P69" s="6">
        <f>5633498</f>
        <v>5633498</v>
      </c>
      <c r="Q69" s="6">
        <f>0</f>
        <v>0</v>
      </c>
      <c r="S69" s="6">
        <f>0</f>
        <v>0</v>
      </c>
      <c r="T69" s="6">
        <f>5633498</f>
        <v>5633498</v>
      </c>
      <c r="U69" s="5" t="s">
        <v>245</v>
      </c>
      <c r="V69" s="4" t="s">
        <v>270</v>
      </c>
      <c r="W69" s="4" t="s">
        <v>242</v>
      </c>
      <c r="X69" s="4" t="s">
        <v>273</v>
      </c>
      <c r="Y69" s="4" t="s">
        <v>241</v>
      </c>
      <c r="AB69" s="4" t="s">
        <v>241</v>
      </c>
      <c r="AD69" s="5" t="s">
        <v>241</v>
      </c>
      <c r="AG69" s="5" t="s">
        <v>246</v>
      </c>
      <c r="AH69" s="4" t="s">
        <v>241</v>
      </c>
      <c r="AI69" s="4" t="s">
        <v>247</v>
      </c>
      <c r="AJ69" s="4" t="s">
        <v>248</v>
      </c>
      <c r="AZ69" s="4" t="s">
        <v>249</v>
      </c>
      <c r="BA69" s="4" t="s">
        <v>241</v>
      </c>
      <c r="BB69" s="4" t="s">
        <v>250</v>
      </c>
      <c r="BC69" s="4" t="s">
        <v>241</v>
      </c>
      <c r="BD69" s="4" t="s">
        <v>252</v>
      </c>
      <c r="BE69" s="4" t="s">
        <v>241</v>
      </c>
      <c r="BG69" s="4" t="s">
        <v>4227</v>
      </c>
      <c r="BI69" s="4" t="s">
        <v>253</v>
      </c>
      <c r="BJ69" s="5" t="s">
        <v>246</v>
      </c>
      <c r="BK69" s="4" t="s">
        <v>254</v>
      </c>
      <c r="BL69" s="4" t="s">
        <v>255</v>
      </c>
      <c r="BM69" s="4" t="s">
        <v>241</v>
      </c>
      <c r="BN69" s="6">
        <f>0</f>
        <v>0</v>
      </c>
      <c r="BO69" s="6">
        <f>0</f>
        <v>0</v>
      </c>
      <c r="BP69" s="4" t="s">
        <v>256</v>
      </c>
      <c r="BQ69" s="4" t="s">
        <v>257</v>
      </c>
      <c r="CE69" s="4" t="s">
        <v>241</v>
      </c>
      <c r="CF69" s="4" t="s">
        <v>241</v>
      </c>
      <c r="CJ69" s="4" t="s">
        <v>258</v>
      </c>
      <c r="CK69" s="4" t="s">
        <v>259</v>
      </c>
      <c r="CL69" s="4" t="s">
        <v>241</v>
      </c>
      <c r="CO69" s="5" t="s">
        <v>260</v>
      </c>
      <c r="CP69" s="4" t="s">
        <v>241</v>
      </c>
      <c r="CQ69" s="4" t="s">
        <v>261</v>
      </c>
      <c r="CR69" s="4" t="s">
        <v>241</v>
      </c>
      <c r="CS69" s="4" t="s">
        <v>241</v>
      </c>
      <c r="CT69" s="4">
        <v>0</v>
      </c>
      <c r="CU69" s="4" t="s">
        <v>262</v>
      </c>
      <c r="CV69" s="4" t="s">
        <v>263</v>
      </c>
      <c r="CW69" s="4" t="s">
        <v>263</v>
      </c>
      <c r="CX69" s="4" t="s">
        <v>264</v>
      </c>
      <c r="DA69" s="6">
        <f>5633498</f>
        <v>5633498</v>
      </c>
      <c r="DC69" s="4" t="s">
        <v>414</v>
      </c>
      <c r="DD69" s="4" t="s">
        <v>241</v>
      </c>
      <c r="DF69" s="4" t="s">
        <v>422</v>
      </c>
      <c r="DG69" s="6">
        <f>3080</f>
        <v>3080</v>
      </c>
      <c r="DI69" s="4" t="s">
        <v>414</v>
      </c>
      <c r="DJ69" s="4" t="s">
        <v>241</v>
      </c>
      <c r="DK69" s="4" t="s">
        <v>241</v>
      </c>
      <c r="DL69" s="4" t="s">
        <v>241</v>
      </c>
      <c r="DP69" s="4" t="s">
        <v>241</v>
      </c>
      <c r="DQ69" s="4" t="s">
        <v>241</v>
      </c>
      <c r="DR69" s="4" t="s">
        <v>241</v>
      </c>
      <c r="DS69" s="4" t="s">
        <v>241</v>
      </c>
      <c r="DV69" s="4" t="s">
        <v>5370</v>
      </c>
      <c r="DW69" s="4" t="s">
        <v>267</v>
      </c>
      <c r="HO69" s="4" t="s">
        <v>267</v>
      </c>
    </row>
    <row r="70" spans="1:223" ht="19.5" customHeight="1" x14ac:dyDescent="0.4">
      <c r="A70" s="4">
        <v>1</v>
      </c>
      <c r="B70" s="4" t="s">
        <v>239</v>
      </c>
      <c r="C70" s="4">
        <v>777</v>
      </c>
      <c r="D70" s="4">
        <v>1</v>
      </c>
      <c r="E70" s="4">
        <v>1</v>
      </c>
      <c r="F70" s="4" t="s">
        <v>240</v>
      </c>
      <c r="G70" s="4" t="s">
        <v>241</v>
      </c>
      <c r="H70" s="4" t="s">
        <v>241</v>
      </c>
      <c r="I70" s="4" t="s">
        <v>5368</v>
      </c>
      <c r="J70" s="4" t="s">
        <v>418</v>
      </c>
      <c r="K70" s="4" t="s">
        <v>251</v>
      </c>
      <c r="L70" s="4" t="s">
        <v>5367</v>
      </c>
      <c r="M70" s="5" t="s">
        <v>5369</v>
      </c>
      <c r="N70" s="6">
        <f>1489</f>
        <v>1489</v>
      </c>
      <c r="O70" s="4" t="s">
        <v>265</v>
      </c>
      <c r="P70" s="6">
        <f>3298135</f>
        <v>3298135</v>
      </c>
      <c r="Q70" s="6">
        <f>0</f>
        <v>0</v>
      </c>
      <c r="S70" s="6">
        <f>0</f>
        <v>0</v>
      </c>
      <c r="T70" s="6">
        <f>3298135</f>
        <v>3298135</v>
      </c>
      <c r="U70" s="5" t="s">
        <v>245</v>
      </c>
      <c r="V70" s="4" t="s">
        <v>270</v>
      </c>
      <c r="W70" s="4" t="s">
        <v>242</v>
      </c>
      <c r="X70" s="4" t="s">
        <v>273</v>
      </c>
      <c r="Y70" s="4" t="s">
        <v>241</v>
      </c>
      <c r="AB70" s="4" t="s">
        <v>241</v>
      </c>
      <c r="AD70" s="5" t="s">
        <v>241</v>
      </c>
      <c r="AG70" s="5" t="s">
        <v>246</v>
      </c>
      <c r="AH70" s="4" t="s">
        <v>241</v>
      </c>
      <c r="AI70" s="4" t="s">
        <v>247</v>
      </c>
      <c r="AJ70" s="4" t="s">
        <v>248</v>
      </c>
      <c r="AZ70" s="4" t="s">
        <v>249</v>
      </c>
      <c r="BA70" s="4" t="s">
        <v>241</v>
      </c>
      <c r="BB70" s="4" t="s">
        <v>250</v>
      </c>
      <c r="BC70" s="4" t="s">
        <v>241</v>
      </c>
      <c r="BD70" s="4" t="s">
        <v>252</v>
      </c>
      <c r="BE70" s="4" t="s">
        <v>241</v>
      </c>
      <c r="BI70" s="4" t="s">
        <v>253</v>
      </c>
      <c r="BJ70" s="5" t="s">
        <v>246</v>
      </c>
      <c r="BK70" s="4" t="s">
        <v>254</v>
      </c>
      <c r="BL70" s="4" t="s">
        <v>3172</v>
      </c>
      <c r="BM70" s="4" t="s">
        <v>241</v>
      </c>
      <c r="BN70" s="6">
        <f>0</f>
        <v>0</v>
      </c>
      <c r="BO70" s="6">
        <f>0</f>
        <v>0</v>
      </c>
      <c r="BP70" s="4" t="s">
        <v>256</v>
      </c>
      <c r="BQ70" s="4" t="s">
        <v>257</v>
      </c>
      <c r="CE70" s="4" t="s">
        <v>241</v>
      </c>
      <c r="CF70" s="4" t="s">
        <v>241</v>
      </c>
      <c r="CJ70" s="4" t="s">
        <v>258</v>
      </c>
      <c r="CK70" s="4" t="s">
        <v>259</v>
      </c>
      <c r="CL70" s="4" t="s">
        <v>241</v>
      </c>
      <c r="CO70" s="5" t="s">
        <v>260</v>
      </c>
      <c r="CP70" s="4" t="s">
        <v>241</v>
      </c>
      <c r="CQ70" s="4" t="s">
        <v>261</v>
      </c>
      <c r="CR70" s="4" t="s">
        <v>241</v>
      </c>
      <c r="CS70" s="4" t="s">
        <v>241</v>
      </c>
      <c r="CT70" s="4">
        <v>0</v>
      </c>
      <c r="CU70" s="4" t="s">
        <v>262</v>
      </c>
      <c r="CV70" s="4" t="s">
        <v>263</v>
      </c>
      <c r="CW70" s="4" t="s">
        <v>263</v>
      </c>
      <c r="CX70" s="4" t="s">
        <v>264</v>
      </c>
      <c r="DA70" s="6">
        <f>3298135</f>
        <v>3298135</v>
      </c>
      <c r="DC70" s="4" t="s">
        <v>414</v>
      </c>
      <c r="DD70" s="4" t="s">
        <v>241</v>
      </c>
      <c r="DF70" s="4" t="s">
        <v>414</v>
      </c>
      <c r="DG70" s="6">
        <f>0</f>
        <v>0</v>
      </c>
      <c r="DI70" s="4" t="s">
        <v>414</v>
      </c>
      <c r="DJ70" s="4" t="s">
        <v>241</v>
      </c>
      <c r="DK70" s="4" t="s">
        <v>241</v>
      </c>
      <c r="DL70" s="4" t="s">
        <v>241</v>
      </c>
      <c r="DP70" s="4" t="s">
        <v>241</v>
      </c>
      <c r="DQ70" s="4" t="s">
        <v>241</v>
      </c>
      <c r="DR70" s="4" t="s">
        <v>241</v>
      </c>
      <c r="DS70" s="4" t="s">
        <v>241</v>
      </c>
      <c r="DV70" s="4" t="s">
        <v>5370</v>
      </c>
      <c r="DW70" s="4" t="s">
        <v>416</v>
      </c>
      <c r="HO70" s="4" t="s">
        <v>416</v>
      </c>
    </row>
    <row r="71" spans="1:223" ht="19.5" customHeight="1" x14ac:dyDescent="0.4">
      <c r="A71" s="4">
        <v>1</v>
      </c>
      <c r="B71" s="4" t="s">
        <v>239</v>
      </c>
      <c r="C71" s="4">
        <v>778</v>
      </c>
      <c r="D71" s="4">
        <v>1</v>
      </c>
      <c r="E71" s="4">
        <v>1</v>
      </c>
      <c r="F71" s="4" t="s">
        <v>240</v>
      </c>
      <c r="G71" s="4" t="s">
        <v>241</v>
      </c>
      <c r="H71" s="4" t="s">
        <v>241</v>
      </c>
      <c r="I71" s="4" t="s">
        <v>5368</v>
      </c>
      <c r="J71" s="4" t="s">
        <v>418</v>
      </c>
      <c r="K71" s="4" t="s">
        <v>251</v>
      </c>
      <c r="L71" s="4" t="s">
        <v>5367</v>
      </c>
      <c r="M71" s="5" t="s">
        <v>5372</v>
      </c>
      <c r="N71" s="6">
        <f>23356</f>
        <v>23356</v>
      </c>
      <c r="O71" s="4" t="s">
        <v>265</v>
      </c>
      <c r="P71" s="6">
        <f>51049127</f>
        <v>51049127</v>
      </c>
      <c r="Q71" s="6">
        <f>0</f>
        <v>0</v>
      </c>
      <c r="S71" s="6">
        <f>0</f>
        <v>0</v>
      </c>
      <c r="T71" s="6">
        <f>51049127</f>
        <v>51049127</v>
      </c>
      <c r="U71" s="5" t="s">
        <v>245</v>
      </c>
      <c r="V71" s="4" t="s">
        <v>270</v>
      </c>
      <c r="W71" s="4" t="s">
        <v>242</v>
      </c>
      <c r="X71" s="4" t="s">
        <v>273</v>
      </c>
      <c r="Y71" s="4" t="s">
        <v>241</v>
      </c>
      <c r="AB71" s="4" t="s">
        <v>241</v>
      </c>
      <c r="AD71" s="5" t="s">
        <v>241</v>
      </c>
      <c r="AG71" s="5" t="s">
        <v>246</v>
      </c>
      <c r="AH71" s="4" t="s">
        <v>5371</v>
      </c>
      <c r="AI71" s="4" t="s">
        <v>247</v>
      </c>
      <c r="AJ71" s="4" t="s">
        <v>248</v>
      </c>
      <c r="AZ71" s="4" t="s">
        <v>249</v>
      </c>
      <c r="BA71" s="4" t="s">
        <v>241</v>
      </c>
      <c r="BB71" s="4" t="s">
        <v>250</v>
      </c>
      <c r="BC71" s="4" t="s">
        <v>241</v>
      </c>
      <c r="BD71" s="4" t="s">
        <v>252</v>
      </c>
      <c r="BE71" s="4" t="s">
        <v>241</v>
      </c>
      <c r="BI71" s="4" t="s">
        <v>253</v>
      </c>
      <c r="BJ71" s="5" t="s">
        <v>246</v>
      </c>
      <c r="BK71" s="4" t="s">
        <v>254</v>
      </c>
      <c r="BL71" s="4" t="s">
        <v>254</v>
      </c>
      <c r="BM71" s="4" t="s">
        <v>241</v>
      </c>
      <c r="BN71" s="6">
        <f>0</f>
        <v>0</v>
      </c>
      <c r="BO71" s="6">
        <f>0</f>
        <v>0</v>
      </c>
      <c r="BP71" s="4" t="s">
        <v>256</v>
      </c>
      <c r="BQ71" s="4" t="s">
        <v>257</v>
      </c>
      <c r="CE71" s="4" t="s">
        <v>241</v>
      </c>
      <c r="CF71" s="4" t="s">
        <v>241</v>
      </c>
      <c r="CJ71" s="4" t="s">
        <v>258</v>
      </c>
      <c r="CK71" s="4" t="s">
        <v>259</v>
      </c>
      <c r="CL71" s="4" t="s">
        <v>241</v>
      </c>
      <c r="CO71" s="5" t="s">
        <v>260</v>
      </c>
      <c r="CP71" s="4" t="s">
        <v>241</v>
      </c>
      <c r="CQ71" s="4" t="s">
        <v>261</v>
      </c>
      <c r="CR71" s="4" t="s">
        <v>241</v>
      </c>
      <c r="CS71" s="4" t="s">
        <v>241</v>
      </c>
      <c r="CT71" s="4">
        <v>0</v>
      </c>
      <c r="CU71" s="4" t="s">
        <v>262</v>
      </c>
      <c r="CV71" s="4" t="s">
        <v>263</v>
      </c>
      <c r="CW71" s="4" t="s">
        <v>263</v>
      </c>
      <c r="CX71" s="4" t="s">
        <v>264</v>
      </c>
      <c r="DA71" s="6">
        <f>51049127</f>
        <v>51049127</v>
      </c>
      <c r="DC71" s="4" t="s">
        <v>414</v>
      </c>
      <c r="DD71" s="4" t="s">
        <v>241</v>
      </c>
      <c r="DF71" s="4" t="s">
        <v>414</v>
      </c>
      <c r="DG71" s="6">
        <f>23047.01</f>
        <v>23047.01</v>
      </c>
      <c r="DI71" s="4" t="s">
        <v>414</v>
      </c>
      <c r="DJ71" s="4" t="s">
        <v>241</v>
      </c>
      <c r="DK71" s="4" t="s">
        <v>241</v>
      </c>
      <c r="DL71" s="4" t="s">
        <v>241</v>
      </c>
      <c r="DP71" s="4" t="s">
        <v>241</v>
      </c>
      <c r="DQ71" s="4" t="s">
        <v>241</v>
      </c>
      <c r="DR71" s="4" t="s">
        <v>241</v>
      </c>
      <c r="DS71" s="4" t="s">
        <v>241</v>
      </c>
      <c r="DV71" s="4" t="s">
        <v>5370</v>
      </c>
      <c r="DW71" s="4" t="s">
        <v>388</v>
      </c>
      <c r="HO71" s="4" t="s">
        <v>416</v>
      </c>
    </row>
    <row r="72" spans="1:223" ht="19.5" customHeight="1" x14ac:dyDescent="0.4">
      <c r="A72" s="4">
        <v>1</v>
      </c>
      <c r="B72" s="4" t="s">
        <v>239</v>
      </c>
      <c r="C72" s="4">
        <v>781</v>
      </c>
      <c r="D72" s="4">
        <v>1</v>
      </c>
      <c r="E72" s="4">
        <v>1</v>
      </c>
      <c r="F72" s="4" t="s">
        <v>240</v>
      </c>
      <c r="G72" s="4" t="s">
        <v>241</v>
      </c>
      <c r="H72" s="4" t="s">
        <v>241</v>
      </c>
      <c r="I72" s="4" t="s">
        <v>5363</v>
      </c>
      <c r="J72" s="4" t="s">
        <v>418</v>
      </c>
      <c r="K72" s="4" t="s">
        <v>251</v>
      </c>
      <c r="L72" s="4" t="s">
        <v>5362</v>
      </c>
      <c r="M72" s="5" t="s">
        <v>5365</v>
      </c>
      <c r="N72" s="6">
        <f>265</f>
        <v>265</v>
      </c>
      <c r="O72" s="4" t="s">
        <v>265</v>
      </c>
      <c r="P72" s="6">
        <f>936775</f>
        <v>936775</v>
      </c>
      <c r="Q72" s="6">
        <f>0</f>
        <v>0</v>
      </c>
      <c r="S72" s="6">
        <f>0</f>
        <v>0</v>
      </c>
      <c r="T72" s="6">
        <f>936775</f>
        <v>936775</v>
      </c>
      <c r="U72" s="5" t="s">
        <v>421</v>
      </c>
      <c r="V72" s="4" t="s">
        <v>270</v>
      </c>
      <c r="W72" s="4" t="s">
        <v>242</v>
      </c>
      <c r="X72" s="4" t="s">
        <v>273</v>
      </c>
      <c r="Y72" s="4" t="s">
        <v>241</v>
      </c>
      <c r="AB72" s="4" t="s">
        <v>241</v>
      </c>
      <c r="AD72" s="5" t="s">
        <v>241</v>
      </c>
      <c r="AG72" s="5" t="s">
        <v>364</v>
      </c>
      <c r="AH72" s="4" t="s">
        <v>5364</v>
      </c>
      <c r="AI72" s="4" t="s">
        <v>247</v>
      </c>
      <c r="AJ72" s="4" t="s">
        <v>248</v>
      </c>
      <c r="AZ72" s="4" t="s">
        <v>249</v>
      </c>
      <c r="BA72" s="4" t="s">
        <v>241</v>
      </c>
      <c r="BB72" s="4" t="s">
        <v>250</v>
      </c>
      <c r="BC72" s="4" t="s">
        <v>241</v>
      </c>
      <c r="BD72" s="4" t="s">
        <v>252</v>
      </c>
      <c r="BE72" s="4" t="s">
        <v>241</v>
      </c>
      <c r="BG72" s="4" t="s">
        <v>4227</v>
      </c>
      <c r="BI72" s="4" t="s">
        <v>295</v>
      </c>
      <c r="BJ72" s="5" t="s">
        <v>364</v>
      </c>
      <c r="BK72" s="4" t="s">
        <v>254</v>
      </c>
      <c r="BL72" s="4" t="s">
        <v>255</v>
      </c>
      <c r="BM72" s="4" t="s">
        <v>241</v>
      </c>
      <c r="BN72" s="6">
        <f>0</f>
        <v>0</v>
      </c>
      <c r="BO72" s="6">
        <f>0</f>
        <v>0</v>
      </c>
      <c r="BP72" s="4" t="s">
        <v>256</v>
      </c>
      <c r="BQ72" s="4" t="s">
        <v>257</v>
      </c>
      <c r="CE72" s="4" t="s">
        <v>241</v>
      </c>
      <c r="CF72" s="4" t="s">
        <v>241</v>
      </c>
      <c r="CJ72" s="4" t="s">
        <v>286</v>
      </c>
      <c r="CK72" s="4" t="s">
        <v>259</v>
      </c>
      <c r="CL72" s="4" t="s">
        <v>241</v>
      </c>
      <c r="CO72" s="5" t="s">
        <v>260</v>
      </c>
      <c r="CP72" s="4" t="s">
        <v>241</v>
      </c>
      <c r="CQ72" s="4" t="s">
        <v>261</v>
      </c>
      <c r="CR72" s="4" t="s">
        <v>241</v>
      </c>
      <c r="CS72" s="4" t="s">
        <v>241</v>
      </c>
      <c r="CT72" s="4">
        <v>0</v>
      </c>
      <c r="CU72" s="4" t="s">
        <v>262</v>
      </c>
      <c r="CV72" s="4" t="s">
        <v>263</v>
      </c>
      <c r="CW72" s="4" t="s">
        <v>263</v>
      </c>
      <c r="CX72" s="4" t="s">
        <v>264</v>
      </c>
      <c r="DA72" s="6">
        <f>936775</f>
        <v>936775</v>
      </c>
      <c r="DC72" s="4" t="s">
        <v>266</v>
      </c>
      <c r="DD72" s="4" t="s">
        <v>241</v>
      </c>
      <c r="DF72" s="4" t="s">
        <v>348</v>
      </c>
      <c r="DG72" s="6">
        <f>265</f>
        <v>265</v>
      </c>
      <c r="DI72" s="4" t="s">
        <v>266</v>
      </c>
      <c r="DJ72" s="4" t="s">
        <v>241</v>
      </c>
      <c r="DK72" s="4" t="s">
        <v>241</v>
      </c>
      <c r="DL72" s="4" t="s">
        <v>241</v>
      </c>
      <c r="DP72" s="4" t="s">
        <v>241</v>
      </c>
      <c r="DQ72" s="4" t="s">
        <v>241</v>
      </c>
      <c r="DR72" s="4" t="s">
        <v>241</v>
      </c>
      <c r="DS72" s="4" t="s">
        <v>241</v>
      </c>
      <c r="DV72" s="4" t="s">
        <v>5366</v>
      </c>
      <c r="DW72" s="4" t="s">
        <v>267</v>
      </c>
      <c r="HO72" s="4" t="s">
        <v>267</v>
      </c>
    </row>
    <row r="73" spans="1:223" ht="19.5" customHeight="1" x14ac:dyDescent="0.4">
      <c r="A73" s="4">
        <v>1</v>
      </c>
      <c r="B73" s="4" t="s">
        <v>239</v>
      </c>
      <c r="C73" s="4">
        <v>782</v>
      </c>
      <c r="D73" s="4">
        <v>1</v>
      </c>
      <c r="E73" s="4">
        <v>1</v>
      </c>
      <c r="F73" s="4" t="s">
        <v>240</v>
      </c>
      <c r="G73" s="4" t="s">
        <v>241</v>
      </c>
      <c r="H73" s="4" t="s">
        <v>241</v>
      </c>
      <c r="I73" s="4" t="s">
        <v>5359</v>
      </c>
      <c r="J73" s="4" t="s">
        <v>418</v>
      </c>
      <c r="K73" s="4" t="s">
        <v>251</v>
      </c>
      <c r="L73" s="4" t="s">
        <v>5358</v>
      </c>
      <c r="M73" s="5" t="s">
        <v>5404</v>
      </c>
      <c r="N73" s="6">
        <f>14442</f>
        <v>14442</v>
      </c>
      <c r="O73" s="4" t="s">
        <v>265</v>
      </c>
      <c r="P73" s="6">
        <f>31989030</f>
        <v>31989030</v>
      </c>
      <c r="Q73" s="6">
        <f>0</f>
        <v>0</v>
      </c>
      <c r="S73" s="6">
        <f>0</f>
        <v>0</v>
      </c>
      <c r="T73" s="6">
        <f>31989030</f>
        <v>31989030</v>
      </c>
      <c r="U73" s="5" t="s">
        <v>245</v>
      </c>
      <c r="V73" s="4" t="s">
        <v>270</v>
      </c>
      <c r="W73" s="4" t="s">
        <v>242</v>
      </c>
      <c r="X73" s="4" t="s">
        <v>273</v>
      </c>
      <c r="Y73" s="4" t="s">
        <v>241</v>
      </c>
      <c r="AB73" s="4" t="s">
        <v>241</v>
      </c>
      <c r="AD73" s="5" t="s">
        <v>241</v>
      </c>
      <c r="AG73" s="5" t="s">
        <v>400</v>
      </c>
      <c r="AH73" s="4" t="s">
        <v>241</v>
      </c>
      <c r="AI73" s="4" t="s">
        <v>247</v>
      </c>
      <c r="AJ73" s="4" t="s">
        <v>248</v>
      </c>
      <c r="AZ73" s="4" t="s">
        <v>249</v>
      </c>
      <c r="BA73" s="4" t="s">
        <v>241</v>
      </c>
      <c r="BB73" s="4" t="s">
        <v>250</v>
      </c>
      <c r="BC73" s="4" t="s">
        <v>241</v>
      </c>
      <c r="BD73" s="4" t="s">
        <v>252</v>
      </c>
      <c r="BE73" s="4" t="s">
        <v>241</v>
      </c>
      <c r="BG73" s="4" t="s">
        <v>4227</v>
      </c>
      <c r="BI73" s="4" t="s">
        <v>284</v>
      </c>
      <c r="BJ73" s="5" t="s">
        <v>400</v>
      </c>
      <c r="BK73" s="4" t="s">
        <v>254</v>
      </c>
      <c r="BL73" s="4" t="s">
        <v>255</v>
      </c>
      <c r="BM73" s="4" t="s">
        <v>241</v>
      </c>
      <c r="BN73" s="6">
        <f>0</f>
        <v>0</v>
      </c>
      <c r="BO73" s="6">
        <f>0</f>
        <v>0</v>
      </c>
      <c r="BP73" s="4" t="s">
        <v>256</v>
      </c>
      <c r="BQ73" s="4" t="s">
        <v>257</v>
      </c>
      <c r="CE73" s="4" t="s">
        <v>241</v>
      </c>
      <c r="CF73" s="4" t="s">
        <v>241</v>
      </c>
      <c r="CJ73" s="4" t="s">
        <v>258</v>
      </c>
      <c r="CK73" s="4" t="s">
        <v>259</v>
      </c>
      <c r="CL73" s="4" t="s">
        <v>241</v>
      </c>
      <c r="CO73" s="5" t="s">
        <v>260</v>
      </c>
      <c r="CP73" s="4" t="s">
        <v>241</v>
      </c>
      <c r="CQ73" s="4" t="s">
        <v>261</v>
      </c>
      <c r="CR73" s="4" t="s">
        <v>241</v>
      </c>
      <c r="CS73" s="4" t="s">
        <v>241</v>
      </c>
      <c r="CT73" s="4">
        <v>0</v>
      </c>
      <c r="CU73" s="4" t="s">
        <v>262</v>
      </c>
      <c r="CV73" s="4" t="s">
        <v>263</v>
      </c>
      <c r="CW73" s="4" t="s">
        <v>263</v>
      </c>
      <c r="CX73" s="4" t="s">
        <v>264</v>
      </c>
      <c r="DA73" s="6">
        <f>31989030</f>
        <v>31989030</v>
      </c>
      <c r="DC73" s="4" t="s">
        <v>3159</v>
      </c>
      <c r="DD73" s="4" t="s">
        <v>241</v>
      </c>
      <c r="DF73" s="4" t="s">
        <v>3159</v>
      </c>
      <c r="DG73" s="6">
        <f>1291</f>
        <v>1291</v>
      </c>
      <c r="DI73" s="4" t="s">
        <v>414</v>
      </c>
      <c r="DJ73" s="4" t="s">
        <v>241</v>
      </c>
      <c r="DK73" s="4" t="s">
        <v>241</v>
      </c>
      <c r="DL73" s="4" t="s">
        <v>241</v>
      </c>
      <c r="DP73" s="4" t="s">
        <v>241</v>
      </c>
      <c r="DQ73" s="4" t="s">
        <v>241</v>
      </c>
      <c r="DR73" s="4" t="s">
        <v>241</v>
      </c>
      <c r="DS73" s="4" t="s">
        <v>241</v>
      </c>
      <c r="DV73" s="4" t="s">
        <v>5361</v>
      </c>
      <c r="DW73" s="4" t="s">
        <v>267</v>
      </c>
      <c r="HO73" s="4" t="s">
        <v>267</v>
      </c>
    </row>
    <row r="74" spans="1:223" ht="19.5" customHeight="1" x14ac:dyDescent="0.4">
      <c r="A74" s="4">
        <v>1</v>
      </c>
      <c r="B74" s="4" t="s">
        <v>239</v>
      </c>
      <c r="C74" s="4">
        <v>783</v>
      </c>
      <c r="D74" s="4">
        <v>1</v>
      </c>
      <c r="E74" s="4">
        <v>1</v>
      </c>
      <c r="F74" s="4" t="s">
        <v>240</v>
      </c>
      <c r="G74" s="4" t="s">
        <v>241</v>
      </c>
      <c r="H74" s="4" t="s">
        <v>241</v>
      </c>
      <c r="I74" s="4" t="s">
        <v>5359</v>
      </c>
      <c r="J74" s="4" t="s">
        <v>418</v>
      </c>
      <c r="K74" s="4" t="s">
        <v>251</v>
      </c>
      <c r="L74" s="4" t="s">
        <v>5358</v>
      </c>
      <c r="M74" s="5" t="s">
        <v>5360</v>
      </c>
      <c r="N74" s="6">
        <f>8393</f>
        <v>8393</v>
      </c>
      <c r="O74" s="4" t="s">
        <v>265</v>
      </c>
      <c r="P74" s="6">
        <f>18590495</f>
        <v>18590495</v>
      </c>
      <c r="Q74" s="6">
        <f>0</f>
        <v>0</v>
      </c>
      <c r="S74" s="6">
        <f>0</f>
        <v>0</v>
      </c>
      <c r="T74" s="6">
        <f>18590495</f>
        <v>18590495</v>
      </c>
      <c r="U74" s="5" t="s">
        <v>245</v>
      </c>
      <c r="V74" s="4" t="s">
        <v>270</v>
      </c>
      <c r="W74" s="4" t="s">
        <v>242</v>
      </c>
      <c r="X74" s="4" t="s">
        <v>273</v>
      </c>
      <c r="Y74" s="4" t="s">
        <v>241</v>
      </c>
      <c r="AB74" s="4" t="s">
        <v>241</v>
      </c>
      <c r="AD74" s="5" t="s">
        <v>241</v>
      </c>
      <c r="AG74" s="5" t="s">
        <v>246</v>
      </c>
      <c r="AH74" s="4" t="s">
        <v>241</v>
      </c>
      <c r="AI74" s="4" t="s">
        <v>247</v>
      </c>
      <c r="AJ74" s="4" t="s">
        <v>248</v>
      </c>
      <c r="AZ74" s="4" t="s">
        <v>249</v>
      </c>
      <c r="BA74" s="4" t="s">
        <v>241</v>
      </c>
      <c r="BB74" s="4" t="s">
        <v>250</v>
      </c>
      <c r="BC74" s="4" t="s">
        <v>241</v>
      </c>
      <c r="BD74" s="4" t="s">
        <v>252</v>
      </c>
      <c r="BE74" s="4" t="s">
        <v>241</v>
      </c>
      <c r="BI74" s="4" t="s">
        <v>253</v>
      </c>
      <c r="BJ74" s="5" t="s">
        <v>246</v>
      </c>
      <c r="BK74" s="4" t="s">
        <v>254</v>
      </c>
      <c r="BL74" s="4" t="s">
        <v>255</v>
      </c>
      <c r="BM74" s="4" t="s">
        <v>241</v>
      </c>
      <c r="BN74" s="6">
        <f>0</f>
        <v>0</v>
      </c>
      <c r="BO74" s="6">
        <f>0</f>
        <v>0</v>
      </c>
      <c r="BP74" s="4" t="s">
        <v>256</v>
      </c>
      <c r="BQ74" s="4" t="s">
        <v>257</v>
      </c>
      <c r="CE74" s="4" t="s">
        <v>241</v>
      </c>
      <c r="CF74" s="4" t="s">
        <v>241</v>
      </c>
      <c r="CJ74" s="4" t="s">
        <v>258</v>
      </c>
      <c r="CK74" s="4" t="s">
        <v>259</v>
      </c>
      <c r="CL74" s="4" t="s">
        <v>241</v>
      </c>
      <c r="CO74" s="5" t="s">
        <v>260</v>
      </c>
      <c r="CP74" s="4" t="s">
        <v>241</v>
      </c>
      <c r="CQ74" s="4" t="s">
        <v>261</v>
      </c>
      <c r="CR74" s="4" t="s">
        <v>241</v>
      </c>
      <c r="CS74" s="4" t="s">
        <v>241</v>
      </c>
      <c r="CT74" s="4">
        <v>0</v>
      </c>
      <c r="CU74" s="4" t="s">
        <v>262</v>
      </c>
      <c r="CV74" s="4" t="s">
        <v>263</v>
      </c>
      <c r="CW74" s="4" t="s">
        <v>263</v>
      </c>
      <c r="CX74" s="4" t="s">
        <v>264</v>
      </c>
      <c r="DA74" s="6">
        <f>18590495</f>
        <v>18590495</v>
      </c>
      <c r="DC74" s="4" t="s">
        <v>3159</v>
      </c>
      <c r="DD74" s="4" t="s">
        <v>241</v>
      </c>
      <c r="DF74" s="4" t="s">
        <v>3159</v>
      </c>
      <c r="DG74" s="6">
        <f>2803</f>
        <v>2803</v>
      </c>
      <c r="DI74" s="4" t="s">
        <v>414</v>
      </c>
      <c r="DJ74" s="4" t="s">
        <v>241</v>
      </c>
      <c r="DK74" s="4" t="s">
        <v>241</v>
      </c>
      <c r="DL74" s="4" t="s">
        <v>241</v>
      </c>
      <c r="DP74" s="4" t="s">
        <v>241</v>
      </c>
      <c r="DQ74" s="4" t="s">
        <v>241</v>
      </c>
      <c r="DR74" s="4" t="s">
        <v>241</v>
      </c>
      <c r="DS74" s="4" t="s">
        <v>241</v>
      </c>
      <c r="DV74" s="4" t="s">
        <v>5361</v>
      </c>
      <c r="DW74" s="4" t="s">
        <v>416</v>
      </c>
      <c r="HO74" s="4" t="s">
        <v>267</v>
      </c>
    </row>
    <row r="75" spans="1:223" ht="19.5" customHeight="1" x14ac:dyDescent="0.4">
      <c r="A75" s="4">
        <v>1</v>
      </c>
      <c r="B75" s="4" t="s">
        <v>239</v>
      </c>
      <c r="C75" s="4">
        <v>784</v>
      </c>
      <c r="D75" s="4">
        <v>1</v>
      </c>
      <c r="E75" s="4">
        <v>1</v>
      </c>
      <c r="F75" s="4" t="s">
        <v>268</v>
      </c>
      <c r="G75" s="4" t="s">
        <v>241</v>
      </c>
      <c r="H75" s="4" t="s">
        <v>241</v>
      </c>
      <c r="I75" s="4" t="s">
        <v>5353</v>
      </c>
      <c r="J75" s="4" t="s">
        <v>418</v>
      </c>
      <c r="K75" s="4" t="s">
        <v>251</v>
      </c>
      <c r="L75" s="4" t="s">
        <v>5352</v>
      </c>
      <c r="M75" s="5" t="s">
        <v>5355</v>
      </c>
      <c r="N75" s="6">
        <f>304</f>
        <v>304</v>
      </c>
      <c r="O75" s="4" t="s">
        <v>265</v>
      </c>
      <c r="P75" s="6">
        <f>130590</f>
        <v>130590</v>
      </c>
      <c r="Q75" s="6">
        <f>0</f>
        <v>0</v>
      </c>
      <c r="S75" s="6">
        <f>0</f>
        <v>0</v>
      </c>
      <c r="T75" s="6">
        <f>130590</f>
        <v>130590</v>
      </c>
      <c r="U75" s="5" t="s">
        <v>1013</v>
      </c>
      <c r="V75" s="4" t="s">
        <v>270</v>
      </c>
      <c r="W75" s="4" t="s">
        <v>242</v>
      </c>
      <c r="X75" s="4" t="s">
        <v>273</v>
      </c>
      <c r="Y75" s="4" t="s">
        <v>241</v>
      </c>
      <c r="AB75" s="4" t="s">
        <v>241</v>
      </c>
      <c r="AD75" s="5" t="s">
        <v>241</v>
      </c>
      <c r="AG75" s="5" t="s">
        <v>246</v>
      </c>
      <c r="AH75" s="4" t="s">
        <v>5354</v>
      </c>
      <c r="AI75" s="4" t="s">
        <v>247</v>
      </c>
      <c r="AJ75" s="4" t="s">
        <v>248</v>
      </c>
      <c r="AZ75" s="4" t="s">
        <v>249</v>
      </c>
      <c r="BA75" s="4" t="s">
        <v>241</v>
      </c>
      <c r="BB75" s="4" t="s">
        <v>250</v>
      </c>
      <c r="BC75" s="4" t="s">
        <v>241</v>
      </c>
      <c r="BD75" s="4" t="s">
        <v>252</v>
      </c>
      <c r="BE75" s="4" t="s">
        <v>241</v>
      </c>
      <c r="BG75" s="4" t="s">
        <v>4227</v>
      </c>
      <c r="BI75" s="4" t="s">
        <v>253</v>
      </c>
      <c r="BJ75" s="5" t="s">
        <v>1013</v>
      </c>
      <c r="BK75" s="4" t="s">
        <v>254</v>
      </c>
      <c r="BL75" s="4" t="s">
        <v>285</v>
      </c>
      <c r="BM75" s="4" t="s">
        <v>241</v>
      </c>
      <c r="BN75" s="6">
        <f>0</f>
        <v>0</v>
      </c>
      <c r="BO75" s="6">
        <f>0</f>
        <v>0</v>
      </c>
      <c r="BP75" s="4" t="s">
        <v>256</v>
      </c>
      <c r="BQ75" s="4" t="s">
        <v>257</v>
      </c>
      <c r="CE75" s="4" t="s">
        <v>241</v>
      </c>
      <c r="CF75" s="4" t="s">
        <v>241</v>
      </c>
      <c r="CJ75" s="4" t="s">
        <v>286</v>
      </c>
      <c r="CK75" s="4" t="s">
        <v>259</v>
      </c>
      <c r="CL75" s="4" t="s">
        <v>241</v>
      </c>
      <c r="CO75" s="5" t="s">
        <v>260</v>
      </c>
      <c r="CP75" s="4" t="s">
        <v>241</v>
      </c>
      <c r="CQ75" s="4" t="s">
        <v>261</v>
      </c>
      <c r="CR75" s="4" t="s">
        <v>241</v>
      </c>
      <c r="CS75" s="4" t="s">
        <v>241</v>
      </c>
      <c r="CT75" s="4">
        <v>0</v>
      </c>
      <c r="CU75" s="4" t="s">
        <v>262</v>
      </c>
      <c r="CV75" s="4" t="s">
        <v>263</v>
      </c>
      <c r="CW75" s="4" t="s">
        <v>263</v>
      </c>
      <c r="CX75" s="4" t="s">
        <v>264</v>
      </c>
      <c r="DA75" s="6">
        <f>130590</f>
        <v>130590</v>
      </c>
      <c r="DC75" s="4" t="s">
        <v>422</v>
      </c>
      <c r="DD75" s="4" t="s">
        <v>241</v>
      </c>
      <c r="DF75" s="4" t="s">
        <v>414</v>
      </c>
      <c r="DG75" s="6">
        <f>304.06</f>
        <v>304.06</v>
      </c>
      <c r="DI75" s="4" t="s">
        <v>241</v>
      </c>
      <c r="DJ75" s="4" t="s">
        <v>241</v>
      </c>
      <c r="DK75" s="4" t="s">
        <v>241</v>
      </c>
      <c r="DL75" s="4" t="s">
        <v>241</v>
      </c>
      <c r="DP75" s="4" t="s">
        <v>241</v>
      </c>
      <c r="DQ75" s="4" t="s">
        <v>241</v>
      </c>
      <c r="DR75" s="4" t="s">
        <v>241</v>
      </c>
      <c r="DS75" s="4" t="s">
        <v>241</v>
      </c>
      <c r="DV75" s="4" t="s">
        <v>5356</v>
      </c>
      <c r="DW75" s="4" t="s">
        <v>267</v>
      </c>
      <c r="HO75" s="4" t="s">
        <v>267</v>
      </c>
    </row>
    <row r="76" spans="1:223" ht="19.5" customHeight="1" x14ac:dyDescent="0.4">
      <c r="A76" s="4">
        <v>1</v>
      </c>
      <c r="B76" s="4" t="s">
        <v>239</v>
      </c>
      <c r="C76" s="4">
        <v>786</v>
      </c>
      <c r="D76" s="4">
        <v>1</v>
      </c>
      <c r="E76" s="4">
        <v>1</v>
      </c>
      <c r="F76" s="4" t="s">
        <v>268</v>
      </c>
      <c r="G76" s="4" t="s">
        <v>241</v>
      </c>
      <c r="H76" s="4" t="s">
        <v>241</v>
      </c>
      <c r="I76" s="4" t="s">
        <v>5353</v>
      </c>
      <c r="J76" s="4" t="s">
        <v>418</v>
      </c>
      <c r="K76" s="4" t="s">
        <v>251</v>
      </c>
      <c r="L76" s="4" t="s">
        <v>5357</v>
      </c>
      <c r="M76" s="5" t="s">
        <v>403</v>
      </c>
      <c r="N76" s="6">
        <f>0</f>
        <v>0</v>
      </c>
      <c r="O76" s="4" t="s">
        <v>265</v>
      </c>
      <c r="P76" s="6">
        <f>1880399</f>
        <v>1880399</v>
      </c>
      <c r="Q76" s="6">
        <f>0</f>
        <v>0</v>
      </c>
      <c r="S76" s="6">
        <f>0</f>
        <v>0</v>
      </c>
      <c r="T76" s="6">
        <f>1880399</f>
        <v>1880399</v>
      </c>
      <c r="U76" s="5" t="s">
        <v>400</v>
      </c>
      <c r="V76" s="4" t="s">
        <v>270</v>
      </c>
      <c r="W76" s="4" t="s">
        <v>242</v>
      </c>
      <c r="X76" s="4" t="s">
        <v>241</v>
      </c>
      <c r="Y76" s="4" t="s">
        <v>241</v>
      </c>
      <c r="AB76" s="4" t="s">
        <v>241</v>
      </c>
      <c r="AD76" s="5" t="s">
        <v>241</v>
      </c>
      <c r="AG76" s="5" t="s">
        <v>246</v>
      </c>
      <c r="AH76" s="4" t="s">
        <v>241</v>
      </c>
      <c r="AI76" s="4" t="s">
        <v>247</v>
      </c>
      <c r="AJ76" s="4" t="s">
        <v>248</v>
      </c>
      <c r="AZ76" s="4" t="s">
        <v>249</v>
      </c>
      <c r="BA76" s="4" t="s">
        <v>241</v>
      </c>
      <c r="BB76" s="4" t="s">
        <v>250</v>
      </c>
      <c r="BC76" s="4" t="s">
        <v>241</v>
      </c>
      <c r="BD76" s="4" t="s">
        <v>252</v>
      </c>
      <c r="BE76" s="4" t="s">
        <v>241</v>
      </c>
      <c r="BI76" s="4" t="s">
        <v>253</v>
      </c>
      <c r="BJ76" s="5" t="s">
        <v>400</v>
      </c>
      <c r="BK76" s="4" t="s">
        <v>254</v>
      </c>
      <c r="BL76" s="4" t="s">
        <v>306</v>
      </c>
      <c r="BM76" s="4" t="s">
        <v>241</v>
      </c>
      <c r="BN76" s="6">
        <f>0</f>
        <v>0</v>
      </c>
      <c r="BO76" s="6">
        <f>0</f>
        <v>0</v>
      </c>
      <c r="BP76" s="4" t="s">
        <v>256</v>
      </c>
      <c r="BQ76" s="4" t="s">
        <v>257</v>
      </c>
      <c r="CE76" s="4" t="s">
        <v>241</v>
      </c>
      <c r="CF76" s="4" t="s">
        <v>241</v>
      </c>
      <c r="CJ76" s="4" t="s">
        <v>258</v>
      </c>
      <c r="CK76" s="4" t="s">
        <v>259</v>
      </c>
      <c r="CL76" s="4" t="s">
        <v>241</v>
      </c>
      <c r="CO76" s="5" t="s">
        <v>260</v>
      </c>
      <c r="CP76" s="4" t="s">
        <v>241</v>
      </c>
      <c r="CQ76" s="4" t="s">
        <v>261</v>
      </c>
      <c r="CR76" s="4" t="s">
        <v>241</v>
      </c>
      <c r="CS76" s="4" t="s">
        <v>241</v>
      </c>
      <c r="CT76" s="4">
        <v>0</v>
      </c>
      <c r="CU76" s="4" t="s">
        <v>262</v>
      </c>
      <c r="CV76" s="4" t="s">
        <v>263</v>
      </c>
      <c r="CW76" s="4" t="s">
        <v>263</v>
      </c>
      <c r="CX76" s="4" t="s">
        <v>264</v>
      </c>
      <c r="DA76" s="6">
        <f>1880399</f>
        <v>1880399</v>
      </c>
      <c r="DC76" s="4" t="s">
        <v>287</v>
      </c>
      <c r="DD76" s="4" t="s">
        <v>241</v>
      </c>
      <c r="DF76" s="4" t="s">
        <v>287</v>
      </c>
      <c r="DG76" s="6">
        <f>0</f>
        <v>0</v>
      </c>
      <c r="DI76" s="4" t="s">
        <v>241</v>
      </c>
      <c r="DJ76" s="4" t="s">
        <v>241</v>
      </c>
      <c r="DK76" s="4" t="s">
        <v>241</v>
      </c>
      <c r="DL76" s="4" t="s">
        <v>241</v>
      </c>
      <c r="DP76" s="4" t="s">
        <v>241</v>
      </c>
      <c r="DQ76" s="4" t="s">
        <v>241</v>
      </c>
      <c r="DR76" s="4" t="s">
        <v>241</v>
      </c>
      <c r="DS76" s="4" t="s">
        <v>241</v>
      </c>
      <c r="DV76" s="4" t="s">
        <v>5356</v>
      </c>
      <c r="DW76" s="4" t="s">
        <v>388</v>
      </c>
      <c r="HO76" s="4" t="s">
        <v>267</v>
      </c>
    </row>
    <row r="77" spans="1:223" ht="19.5" customHeight="1" x14ac:dyDescent="0.4">
      <c r="A77" s="4">
        <v>1</v>
      </c>
      <c r="B77" s="4" t="s">
        <v>239</v>
      </c>
      <c r="C77" s="4">
        <v>787</v>
      </c>
      <c r="D77" s="4">
        <v>1</v>
      </c>
      <c r="E77" s="4">
        <v>1</v>
      </c>
      <c r="F77" s="4" t="s">
        <v>240</v>
      </c>
      <c r="G77" s="4" t="s">
        <v>241</v>
      </c>
      <c r="H77" s="4" t="s">
        <v>241</v>
      </c>
      <c r="I77" s="4" t="s">
        <v>5344</v>
      </c>
      <c r="J77" s="4" t="s">
        <v>418</v>
      </c>
      <c r="K77" s="4" t="s">
        <v>251</v>
      </c>
      <c r="L77" s="4" t="s">
        <v>5343</v>
      </c>
      <c r="M77" s="5" t="s">
        <v>5349</v>
      </c>
      <c r="N77" s="6">
        <f>28</f>
        <v>28</v>
      </c>
      <c r="O77" s="4" t="s">
        <v>265</v>
      </c>
      <c r="P77" s="6">
        <f>308</f>
        <v>308</v>
      </c>
      <c r="Q77" s="6">
        <f>0</f>
        <v>0</v>
      </c>
      <c r="S77" s="6">
        <f>0</f>
        <v>0</v>
      </c>
      <c r="T77" s="6">
        <f>308</f>
        <v>308</v>
      </c>
      <c r="U77" s="5" t="s">
        <v>245</v>
      </c>
      <c r="V77" s="4" t="s">
        <v>270</v>
      </c>
      <c r="W77" s="4" t="s">
        <v>242</v>
      </c>
      <c r="X77" s="4" t="s">
        <v>273</v>
      </c>
      <c r="Y77" s="4" t="s">
        <v>241</v>
      </c>
      <c r="AB77" s="4" t="s">
        <v>241</v>
      </c>
      <c r="AD77" s="5" t="s">
        <v>241</v>
      </c>
      <c r="AG77" s="5" t="s">
        <v>246</v>
      </c>
      <c r="AH77" s="4" t="s">
        <v>241</v>
      </c>
      <c r="AI77" s="4" t="s">
        <v>247</v>
      </c>
      <c r="AJ77" s="4" t="s">
        <v>248</v>
      </c>
      <c r="AZ77" s="4" t="s">
        <v>249</v>
      </c>
      <c r="BA77" s="4" t="s">
        <v>241</v>
      </c>
      <c r="BB77" s="4" t="s">
        <v>250</v>
      </c>
      <c r="BC77" s="4" t="s">
        <v>241</v>
      </c>
      <c r="BD77" s="4" t="s">
        <v>252</v>
      </c>
      <c r="BE77" s="4" t="s">
        <v>241</v>
      </c>
      <c r="BG77" s="4" t="s">
        <v>4227</v>
      </c>
      <c r="BI77" s="4" t="s">
        <v>253</v>
      </c>
      <c r="BJ77" s="5" t="s">
        <v>246</v>
      </c>
      <c r="BK77" s="4" t="s">
        <v>254</v>
      </c>
      <c r="BL77" s="4" t="s">
        <v>255</v>
      </c>
      <c r="BM77" s="4" t="s">
        <v>241</v>
      </c>
      <c r="BN77" s="6">
        <f>0</f>
        <v>0</v>
      </c>
      <c r="BO77" s="6">
        <f>0</f>
        <v>0</v>
      </c>
      <c r="BP77" s="4" t="s">
        <v>256</v>
      </c>
      <c r="BQ77" s="4" t="s">
        <v>257</v>
      </c>
      <c r="CE77" s="4" t="s">
        <v>241</v>
      </c>
      <c r="CF77" s="4" t="s">
        <v>241</v>
      </c>
      <c r="CJ77" s="4" t="s">
        <v>258</v>
      </c>
      <c r="CK77" s="4" t="s">
        <v>259</v>
      </c>
      <c r="CL77" s="4" t="s">
        <v>241</v>
      </c>
      <c r="CO77" s="5" t="s">
        <v>260</v>
      </c>
      <c r="CP77" s="4" t="s">
        <v>241</v>
      </c>
      <c r="CQ77" s="4" t="s">
        <v>261</v>
      </c>
      <c r="CR77" s="4" t="s">
        <v>241</v>
      </c>
      <c r="CS77" s="4" t="s">
        <v>241</v>
      </c>
      <c r="CT77" s="4">
        <v>0</v>
      </c>
      <c r="CU77" s="4" t="s">
        <v>262</v>
      </c>
      <c r="CV77" s="4" t="s">
        <v>263</v>
      </c>
      <c r="CW77" s="4" t="s">
        <v>263</v>
      </c>
      <c r="CX77" s="4" t="s">
        <v>264</v>
      </c>
      <c r="DA77" s="6">
        <f>308</f>
        <v>308</v>
      </c>
      <c r="DC77" s="4" t="s">
        <v>287</v>
      </c>
      <c r="DD77" s="4" t="s">
        <v>241</v>
      </c>
      <c r="DF77" s="4" t="s">
        <v>3160</v>
      </c>
      <c r="DG77" s="6">
        <f>28</f>
        <v>28</v>
      </c>
      <c r="DI77" s="4" t="s">
        <v>3167</v>
      </c>
      <c r="DJ77" s="4" t="s">
        <v>241</v>
      </c>
      <c r="DK77" s="4" t="s">
        <v>241</v>
      </c>
      <c r="DL77" s="4" t="s">
        <v>241</v>
      </c>
      <c r="DP77" s="4" t="s">
        <v>241</v>
      </c>
      <c r="DQ77" s="4" t="s">
        <v>241</v>
      </c>
      <c r="DR77" s="4" t="s">
        <v>241</v>
      </c>
      <c r="DS77" s="4" t="s">
        <v>241</v>
      </c>
      <c r="DV77" s="4" t="s">
        <v>5346</v>
      </c>
      <c r="DW77" s="4" t="s">
        <v>267</v>
      </c>
      <c r="HO77" s="4" t="s">
        <v>267</v>
      </c>
    </row>
    <row r="78" spans="1:223" ht="19.5" customHeight="1" x14ac:dyDescent="0.4">
      <c r="A78" s="4">
        <v>1</v>
      </c>
      <c r="B78" s="4" t="s">
        <v>239</v>
      </c>
      <c r="C78" s="4">
        <v>788</v>
      </c>
      <c r="D78" s="4">
        <v>1</v>
      </c>
      <c r="E78" s="4">
        <v>1</v>
      </c>
      <c r="F78" s="4" t="s">
        <v>240</v>
      </c>
      <c r="G78" s="4" t="s">
        <v>241</v>
      </c>
      <c r="H78" s="4" t="s">
        <v>241</v>
      </c>
      <c r="I78" s="4" t="s">
        <v>5344</v>
      </c>
      <c r="J78" s="4" t="s">
        <v>418</v>
      </c>
      <c r="K78" s="4" t="s">
        <v>251</v>
      </c>
      <c r="L78" s="4" t="s">
        <v>5343</v>
      </c>
      <c r="M78" s="5" t="s">
        <v>5405</v>
      </c>
      <c r="N78" s="6">
        <f>8.54</f>
        <v>8.5399999999999991</v>
      </c>
      <c r="O78" s="4" t="s">
        <v>265</v>
      </c>
      <c r="P78" s="6">
        <f>4184</f>
        <v>4184</v>
      </c>
      <c r="Q78" s="6">
        <f>0</f>
        <v>0</v>
      </c>
      <c r="S78" s="6">
        <f>0</f>
        <v>0</v>
      </c>
      <c r="T78" s="6">
        <f>4184</f>
        <v>4184</v>
      </c>
      <c r="U78" s="5" t="s">
        <v>245</v>
      </c>
      <c r="V78" s="4" t="s">
        <v>270</v>
      </c>
      <c r="W78" s="4" t="s">
        <v>242</v>
      </c>
      <c r="X78" s="4" t="s">
        <v>273</v>
      </c>
      <c r="Y78" s="4" t="s">
        <v>241</v>
      </c>
      <c r="AB78" s="4" t="s">
        <v>241</v>
      </c>
      <c r="AD78" s="5" t="s">
        <v>241</v>
      </c>
      <c r="AG78" s="5" t="s">
        <v>246</v>
      </c>
      <c r="AH78" s="4" t="s">
        <v>241</v>
      </c>
      <c r="AI78" s="4" t="s">
        <v>247</v>
      </c>
      <c r="AJ78" s="4" t="s">
        <v>248</v>
      </c>
      <c r="AZ78" s="4" t="s">
        <v>249</v>
      </c>
      <c r="BA78" s="4" t="s">
        <v>241</v>
      </c>
      <c r="BB78" s="4" t="s">
        <v>250</v>
      </c>
      <c r="BC78" s="4" t="s">
        <v>241</v>
      </c>
      <c r="BD78" s="4" t="s">
        <v>252</v>
      </c>
      <c r="BE78" s="4" t="s">
        <v>241</v>
      </c>
      <c r="BI78" s="4" t="s">
        <v>253</v>
      </c>
      <c r="BJ78" s="5" t="s">
        <v>246</v>
      </c>
      <c r="BK78" s="4" t="s">
        <v>254</v>
      </c>
      <c r="BL78" s="4" t="s">
        <v>255</v>
      </c>
      <c r="BM78" s="4" t="s">
        <v>241</v>
      </c>
      <c r="BN78" s="6">
        <f>0</f>
        <v>0</v>
      </c>
      <c r="BO78" s="6">
        <f>0</f>
        <v>0</v>
      </c>
      <c r="BP78" s="4" t="s">
        <v>256</v>
      </c>
      <c r="BQ78" s="4" t="s">
        <v>257</v>
      </c>
      <c r="CE78" s="4" t="s">
        <v>241</v>
      </c>
      <c r="CF78" s="4" t="s">
        <v>241</v>
      </c>
      <c r="CJ78" s="4" t="s">
        <v>258</v>
      </c>
      <c r="CK78" s="4" t="s">
        <v>259</v>
      </c>
      <c r="CL78" s="4" t="s">
        <v>241</v>
      </c>
      <c r="CO78" s="5" t="s">
        <v>260</v>
      </c>
      <c r="CP78" s="4" t="s">
        <v>241</v>
      </c>
      <c r="CQ78" s="4" t="s">
        <v>261</v>
      </c>
      <c r="CR78" s="4" t="s">
        <v>241</v>
      </c>
      <c r="CS78" s="4" t="s">
        <v>241</v>
      </c>
      <c r="CT78" s="4">
        <v>0</v>
      </c>
      <c r="CU78" s="4" t="s">
        <v>262</v>
      </c>
      <c r="CV78" s="4" t="s">
        <v>263</v>
      </c>
      <c r="CW78" s="4" t="s">
        <v>263</v>
      </c>
      <c r="CX78" s="4" t="s">
        <v>264</v>
      </c>
      <c r="DA78" s="6">
        <f>4184</f>
        <v>4184</v>
      </c>
      <c r="DC78" s="4" t="s">
        <v>287</v>
      </c>
      <c r="DD78" s="4" t="s">
        <v>241</v>
      </c>
      <c r="DF78" s="4" t="s">
        <v>348</v>
      </c>
      <c r="DG78" s="6">
        <f>8.54</f>
        <v>8.5399999999999991</v>
      </c>
      <c r="DI78" s="4" t="s">
        <v>287</v>
      </c>
      <c r="DJ78" s="4" t="s">
        <v>241</v>
      </c>
      <c r="DK78" s="4" t="s">
        <v>241</v>
      </c>
      <c r="DL78" s="4" t="s">
        <v>241</v>
      </c>
      <c r="DP78" s="4" t="s">
        <v>241</v>
      </c>
      <c r="DQ78" s="4" t="s">
        <v>241</v>
      </c>
      <c r="DR78" s="4" t="s">
        <v>241</v>
      </c>
      <c r="DS78" s="4" t="s">
        <v>241</v>
      </c>
      <c r="DV78" s="4" t="s">
        <v>5346</v>
      </c>
      <c r="DW78" s="4" t="s">
        <v>416</v>
      </c>
      <c r="HO78" s="4" t="s">
        <v>267</v>
      </c>
    </row>
    <row r="79" spans="1:223" ht="19.5" customHeight="1" x14ac:dyDescent="0.4">
      <c r="A79" s="4">
        <v>1</v>
      </c>
      <c r="B79" s="4" t="s">
        <v>239</v>
      </c>
      <c r="C79" s="4">
        <v>789</v>
      </c>
      <c r="D79" s="4">
        <v>1</v>
      </c>
      <c r="E79" s="4">
        <v>1</v>
      </c>
      <c r="F79" s="4" t="s">
        <v>240</v>
      </c>
      <c r="G79" s="4" t="s">
        <v>241</v>
      </c>
      <c r="H79" s="4" t="s">
        <v>241</v>
      </c>
      <c r="I79" s="4" t="s">
        <v>5344</v>
      </c>
      <c r="J79" s="4" t="s">
        <v>418</v>
      </c>
      <c r="K79" s="4" t="s">
        <v>251</v>
      </c>
      <c r="L79" s="4" t="s">
        <v>5343</v>
      </c>
      <c r="M79" s="5" t="s">
        <v>5350</v>
      </c>
      <c r="N79" s="6">
        <f>10</f>
        <v>10</v>
      </c>
      <c r="O79" s="4" t="s">
        <v>265</v>
      </c>
      <c r="P79" s="6">
        <f>4900</f>
        <v>4900</v>
      </c>
      <c r="Q79" s="6">
        <f>0</f>
        <v>0</v>
      </c>
      <c r="S79" s="6">
        <f>0</f>
        <v>0</v>
      </c>
      <c r="T79" s="6">
        <f>4900</f>
        <v>4900</v>
      </c>
      <c r="U79" s="5" t="s">
        <v>245</v>
      </c>
      <c r="V79" s="4" t="s">
        <v>270</v>
      </c>
      <c r="W79" s="4" t="s">
        <v>242</v>
      </c>
      <c r="X79" s="4" t="s">
        <v>273</v>
      </c>
      <c r="Y79" s="4" t="s">
        <v>241</v>
      </c>
      <c r="AB79" s="4" t="s">
        <v>241</v>
      </c>
      <c r="AD79" s="5" t="s">
        <v>241</v>
      </c>
      <c r="AG79" s="5" t="s">
        <v>246</v>
      </c>
      <c r="AH79" s="4" t="s">
        <v>241</v>
      </c>
      <c r="AI79" s="4" t="s">
        <v>247</v>
      </c>
      <c r="AJ79" s="4" t="s">
        <v>248</v>
      </c>
      <c r="AZ79" s="4" t="s">
        <v>249</v>
      </c>
      <c r="BA79" s="4" t="s">
        <v>241</v>
      </c>
      <c r="BB79" s="4" t="s">
        <v>250</v>
      </c>
      <c r="BC79" s="4" t="s">
        <v>241</v>
      </c>
      <c r="BD79" s="4" t="s">
        <v>252</v>
      </c>
      <c r="BE79" s="4" t="s">
        <v>241</v>
      </c>
      <c r="BI79" s="4" t="s">
        <v>253</v>
      </c>
      <c r="BJ79" s="5" t="s">
        <v>246</v>
      </c>
      <c r="BK79" s="4" t="s">
        <v>254</v>
      </c>
      <c r="BL79" s="4" t="s">
        <v>255</v>
      </c>
      <c r="BM79" s="4" t="s">
        <v>241</v>
      </c>
      <c r="BN79" s="6">
        <f>0</f>
        <v>0</v>
      </c>
      <c r="BO79" s="6">
        <f>0</f>
        <v>0</v>
      </c>
      <c r="BP79" s="4" t="s">
        <v>256</v>
      </c>
      <c r="BQ79" s="4" t="s">
        <v>257</v>
      </c>
      <c r="CE79" s="4" t="s">
        <v>241</v>
      </c>
      <c r="CF79" s="4" t="s">
        <v>241</v>
      </c>
      <c r="CJ79" s="4" t="s">
        <v>258</v>
      </c>
      <c r="CK79" s="4" t="s">
        <v>259</v>
      </c>
      <c r="CL79" s="4" t="s">
        <v>241</v>
      </c>
      <c r="CO79" s="5" t="s">
        <v>260</v>
      </c>
      <c r="CP79" s="4" t="s">
        <v>241</v>
      </c>
      <c r="CQ79" s="4" t="s">
        <v>261</v>
      </c>
      <c r="CR79" s="4" t="s">
        <v>241</v>
      </c>
      <c r="CS79" s="4" t="s">
        <v>241</v>
      </c>
      <c r="CT79" s="4">
        <v>0</v>
      </c>
      <c r="CU79" s="4" t="s">
        <v>262</v>
      </c>
      <c r="CV79" s="4" t="s">
        <v>263</v>
      </c>
      <c r="CW79" s="4" t="s">
        <v>263</v>
      </c>
      <c r="CX79" s="4" t="s">
        <v>264</v>
      </c>
      <c r="DA79" s="6">
        <f>4900</f>
        <v>4900</v>
      </c>
      <c r="DC79" s="4" t="s">
        <v>287</v>
      </c>
      <c r="DD79" s="4" t="s">
        <v>241</v>
      </c>
      <c r="DF79" s="4" t="s">
        <v>348</v>
      </c>
      <c r="DG79" s="6">
        <f>10</f>
        <v>10</v>
      </c>
      <c r="DH79" s="5" t="s">
        <v>5351</v>
      </c>
      <c r="DI79" s="4" t="s">
        <v>287</v>
      </c>
      <c r="DJ79" s="4" t="s">
        <v>241</v>
      </c>
      <c r="DK79" s="4" t="s">
        <v>241</v>
      </c>
      <c r="DL79" s="4" t="s">
        <v>241</v>
      </c>
      <c r="DP79" s="4" t="s">
        <v>241</v>
      </c>
      <c r="DQ79" s="4" t="s">
        <v>241</v>
      </c>
      <c r="DR79" s="4" t="s">
        <v>241</v>
      </c>
      <c r="DS79" s="4" t="s">
        <v>241</v>
      </c>
      <c r="DV79" s="4" t="s">
        <v>5346</v>
      </c>
      <c r="DW79" s="4" t="s">
        <v>388</v>
      </c>
      <c r="HO79" s="4" t="s">
        <v>267</v>
      </c>
    </row>
    <row r="80" spans="1:223" ht="19.5" customHeight="1" x14ac:dyDescent="0.4">
      <c r="A80" s="4">
        <v>1</v>
      </c>
      <c r="B80" s="4" t="s">
        <v>239</v>
      </c>
      <c r="C80" s="4">
        <v>790</v>
      </c>
      <c r="D80" s="4">
        <v>1</v>
      </c>
      <c r="E80" s="4">
        <v>1</v>
      </c>
      <c r="F80" s="4" t="s">
        <v>240</v>
      </c>
      <c r="G80" s="4" t="s">
        <v>241</v>
      </c>
      <c r="H80" s="4" t="s">
        <v>241</v>
      </c>
      <c r="I80" s="4" t="s">
        <v>5344</v>
      </c>
      <c r="J80" s="4" t="s">
        <v>418</v>
      </c>
      <c r="K80" s="4" t="s">
        <v>251</v>
      </c>
      <c r="L80" s="4" t="s">
        <v>5343</v>
      </c>
      <c r="M80" s="5" t="s">
        <v>5345</v>
      </c>
      <c r="N80" s="6">
        <f>13</f>
        <v>13</v>
      </c>
      <c r="O80" s="4" t="s">
        <v>265</v>
      </c>
      <c r="P80" s="6">
        <f>559</f>
        <v>559</v>
      </c>
      <c r="Q80" s="6">
        <f>0</f>
        <v>0</v>
      </c>
      <c r="S80" s="6">
        <f>0</f>
        <v>0</v>
      </c>
      <c r="T80" s="6">
        <f>559</f>
        <v>559</v>
      </c>
      <c r="U80" s="5" t="s">
        <v>245</v>
      </c>
      <c r="V80" s="4" t="s">
        <v>270</v>
      </c>
      <c r="W80" s="4" t="s">
        <v>242</v>
      </c>
      <c r="X80" s="4" t="s">
        <v>273</v>
      </c>
      <c r="Y80" s="4" t="s">
        <v>241</v>
      </c>
      <c r="AB80" s="4" t="s">
        <v>241</v>
      </c>
      <c r="AD80" s="5" t="s">
        <v>241</v>
      </c>
      <c r="AG80" s="5" t="s">
        <v>246</v>
      </c>
      <c r="AH80" s="4" t="s">
        <v>241</v>
      </c>
      <c r="AI80" s="4" t="s">
        <v>247</v>
      </c>
      <c r="AJ80" s="4" t="s">
        <v>248</v>
      </c>
      <c r="AZ80" s="4" t="s">
        <v>249</v>
      </c>
      <c r="BA80" s="4" t="s">
        <v>241</v>
      </c>
      <c r="BB80" s="4" t="s">
        <v>250</v>
      </c>
      <c r="BC80" s="4" t="s">
        <v>241</v>
      </c>
      <c r="BD80" s="4" t="s">
        <v>252</v>
      </c>
      <c r="BE80" s="4" t="s">
        <v>241</v>
      </c>
      <c r="BI80" s="4" t="s">
        <v>253</v>
      </c>
      <c r="BJ80" s="5" t="s">
        <v>246</v>
      </c>
      <c r="BK80" s="4" t="s">
        <v>254</v>
      </c>
      <c r="BL80" s="4" t="s">
        <v>255</v>
      </c>
      <c r="BM80" s="4" t="s">
        <v>241</v>
      </c>
      <c r="BN80" s="6">
        <f>0</f>
        <v>0</v>
      </c>
      <c r="BO80" s="6">
        <f>0</f>
        <v>0</v>
      </c>
      <c r="BP80" s="4" t="s">
        <v>256</v>
      </c>
      <c r="BQ80" s="4" t="s">
        <v>257</v>
      </c>
      <c r="CE80" s="4" t="s">
        <v>241</v>
      </c>
      <c r="CF80" s="4" t="s">
        <v>241</v>
      </c>
      <c r="CJ80" s="4" t="s">
        <v>258</v>
      </c>
      <c r="CK80" s="4" t="s">
        <v>259</v>
      </c>
      <c r="CL80" s="4" t="s">
        <v>241</v>
      </c>
      <c r="CO80" s="5" t="s">
        <v>260</v>
      </c>
      <c r="CP80" s="4" t="s">
        <v>241</v>
      </c>
      <c r="CQ80" s="4" t="s">
        <v>261</v>
      </c>
      <c r="CR80" s="4" t="s">
        <v>241</v>
      </c>
      <c r="CS80" s="4" t="s">
        <v>241</v>
      </c>
      <c r="CT80" s="4">
        <v>0</v>
      </c>
      <c r="CU80" s="4" t="s">
        <v>262</v>
      </c>
      <c r="CV80" s="4" t="s">
        <v>263</v>
      </c>
      <c r="CW80" s="4" t="s">
        <v>263</v>
      </c>
      <c r="CX80" s="4" t="s">
        <v>264</v>
      </c>
      <c r="DA80" s="6">
        <f>559</f>
        <v>559</v>
      </c>
      <c r="DC80" s="4" t="s">
        <v>348</v>
      </c>
      <c r="DD80" s="4" t="s">
        <v>241</v>
      </c>
      <c r="DF80" s="4" t="s">
        <v>348</v>
      </c>
      <c r="DG80" s="6">
        <f>13</f>
        <v>13</v>
      </c>
      <c r="DI80" s="4" t="s">
        <v>348</v>
      </c>
      <c r="DJ80" s="4" t="s">
        <v>241</v>
      </c>
      <c r="DK80" s="4" t="s">
        <v>241</v>
      </c>
      <c r="DL80" s="4" t="s">
        <v>241</v>
      </c>
      <c r="DP80" s="4" t="s">
        <v>241</v>
      </c>
      <c r="DQ80" s="4" t="s">
        <v>241</v>
      </c>
      <c r="DR80" s="4" t="s">
        <v>241</v>
      </c>
      <c r="DS80" s="4" t="s">
        <v>241</v>
      </c>
      <c r="DV80" s="4" t="s">
        <v>5346</v>
      </c>
      <c r="DW80" s="4" t="s">
        <v>327</v>
      </c>
      <c r="HO80" s="4" t="s">
        <v>267</v>
      </c>
    </row>
    <row r="81" spans="1:223" ht="19.5" customHeight="1" x14ac:dyDescent="0.4">
      <c r="A81" s="4">
        <v>1</v>
      </c>
      <c r="B81" s="4" t="s">
        <v>239</v>
      </c>
      <c r="C81" s="4">
        <v>791</v>
      </c>
      <c r="D81" s="4">
        <v>1</v>
      </c>
      <c r="E81" s="4">
        <v>1</v>
      </c>
      <c r="F81" s="4" t="s">
        <v>240</v>
      </c>
      <c r="G81" s="4" t="s">
        <v>241</v>
      </c>
      <c r="H81" s="4" t="s">
        <v>241</v>
      </c>
      <c r="I81" s="4" t="s">
        <v>5344</v>
      </c>
      <c r="J81" s="4" t="s">
        <v>418</v>
      </c>
      <c r="K81" s="4" t="s">
        <v>251</v>
      </c>
      <c r="L81" s="4" t="s">
        <v>5343</v>
      </c>
      <c r="M81" s="5" t="s">
        <v>5347</v>
      </c>
      <c r="N81" s="6">
        <f>9.09</f>
        <v>9.09</v>
      </c>
      <c r="O81" s="4" t="s">
        <v>265</v>
      </c>
      <c r="P81" s="6">
        <f>4454</f>
        <v>4454</v>
      </c>
      <c r="Q81" s="6">
        <f>0</f>
        <v>0</v>
      </c>
      <c r="S81" s="6">
        <f>0</f>
        <v>0</v>
      </c>
      <c r="T81" s="6">
        <f>4454</f>
        <v>4454</v>
      </c>
      <c r="U81" s="5" t="s">
        <v>245</v>
      </c>
      <c r="V81" s="4" t="s">
        <v>270</v>
      </c>
      <c r="W81" s="4" t="s">
        <v>242</v>
      </c>
      <c r="X81" s="4" t="s">
        <v>273</v>
      </c>
      <c r="Y81" s="4" t="s">
        <v>241</v>
      </c>
      <c r="AB81" s="4" t="s">
        <v>241</v>
      </c>
      <c r="AD81" s="5" t="s">
        <v>241</v>
      </c>
      <c r="AG81" s="5" t="s">
        <v>246</v>
      </c>
      <c r="AH81" s="4" t="s">
        <v>241</v>
      </c>
      <c r="AI81" s="4" t="s">
        <v>247</v>
      </c>
      <c r="AJ81" s="4" t="s">
        <v>248</v>
      </c>
      <c r="AZ81" s="4" t="s">
        <v>249</v>
      </c>
      <c r="BA81" s="4" t="s">
        <v>241</v>
      </c>
      <c r="BB81" s="4" t="s">
        <v>250</v>
      </c>
      <c r="BC81" s="4" t="s">
        <v>241</v>
      </c>
      <c r="BD81" s="4" t="s">
        <v>252</v>
      </c>
      <c r="BE81" s="4" t="s">
        <v>241</v>
      </c>
      <c r="BI81" s="4" t="s">
        <v>253</v>
      </c>
      <c r="BJ81" s="5" t="s">
        <v>246</v>
      </c>
      <c r="BK81" s="4" t="s">
        <v>254</v>
      </c>
      <c r="BL81" s="4" t="s">
        <v>255</v>
      </c>
      <c r="BM81" s="4" t="s">
        <v>241</v>
      </c>
      <c r="BN81" s="6">
        <f>0</f>
        <v>0</v>
      </c>
      <c r="BO81" s="6">
        <f>0</f>
        <v>0</v>
      </c>
      <c r="BP81" s="4" t="s">
        <v>256</v>
      </c>
      <c r="BQ81" s="4" t="s">
        <v>257</v>
      </c>
      <c r="CE81" s="4" t="s">
        <v>241</v>
      </c>
      <c r="CF81" s="4" t="s">
        <v>241</v>
      </c>
      <c r="CJ81" s="4" t="s">
        <v>258</v>
      </c>
      <c r="CK81" s="4" t="s">
        <v>259</v>
      </c>
      <c r="CL81" s="4" t="s">
        <v>241</v>
      </c>
      <c r="CO81" s="5" t="s">
        <v>260</v>
      </c>
      <c r="CP81" s="4" t="s">
        <v>241</v>
      </c>
      <c r="CQ81" s="4" t="s">
        <v>261</v>
      </c>
      <c r="CR81" s="4" t="s">
        <v>241</v>
      </c>
      <c r="CS81" s="4" t="s">
        <v>241</v>
      </c>
      <c r="CT81" s="4">
        <v>0</v>
      </c>
      <c r="CU81" s="4" t="s">
        <v>262</v>
      </c>
      <c r="CV81" s="4" t="s">
        <v>263</v>
      </c>
      <c r="CW81" s="4" t="s">
        <v>263</v>
      </c>
      <c r="CX81" s="4" t="s">
        <v>264</v>
      </c>
      <c r="DA81" s="6">
        <f>4454</f>
        <v>4454</v>
      </c>
      <c r="DC81" s="4" t="s">
        <v>287</v>
      </c>
      <c r="DD81" s="4" t="s">
        <v>241</v>
      </c>
      <c r="DF81" s="4" t="s">
        <v>348</v>
      </c>
      <c r="DG81" s="6">
        <f>9.09</f>
        <v>9.09</v>
      </c>
      <c r="DI81" s="4" t="s">
        <v>287</v>
      </c>
      <c r="DJ81" s="4" t="s">
        <v>241</v>
      </c>
      <c r="DK81" s="4" t="s">
        <v>241</v>
      </c>
      <c r="DL81" s="4" t="s">
        <v>241</v>
      </c>
      <c r="DP81" s="4" t="s">
        <v>241</v>
      </c>
      <c r="DQ81" s="4" t="s">
        <v>241</v>
      </c>
      <c r="DR81" s="4" t="s">
        <v>241</v>
      </c>
      <c r="DS81" s="4" t="s">
        <v>241</v>
      </c>
      <c r="DV81" s="4" t="s">
        <v>5346</v>
      </c>
      <c r="DW81" s="4" t="s">
        <v>748</v>
      </c>
      <c r="HO81" s="4" t="s">
        <v>267</v>
      </c>
    </row>
    <row r="82" spans="1:223" ht="19.5" customHeight="1" x14ac:dyDescent="0.4">
      <c r="A82" s="4">
        <v>1</v>
      </c>
      <c r="B82" s="4" t="s">
        <v>239</v>
      </c>
      <c r="C82" s="4">
        <v>792</v>
      </c>
      <c r="D82" s="4">
        <v>1</v>
      </c>
      <c r="E82" s="4">
        <v>1</v>
      </c>
      <c r="F82" s="4" t="s">
        <v>268</v>
      </c>
      <c r="G82" s="4" t="s">
        <v>241</v>
      </c>
      <c r="H82" s="4" t="s">
        <v>241</v>
      </c>
      <c r="I82" s="4" t="s">
        <v>5344</v>
      </c>
      <c r="J82" s="4" t="s">
        <v>418</v>
      </c>
      <c r="K82" s="4" t="s">
        <v>251</v>
      </c>
      <c r="L82" s="4" t="s">
        <v>5343</v>
      </c>
      <c r="M82" s="5" t="s">
        <v>5348</v>
      </c>
      <c r="N82" s="6">
        <f>22</f>
        <v>22</v>
      </c>
      <c r="O82" s="4" t="s">
        <v>265</v>
      </c>
      <c r="P82" s="6">
        <f>242</f>
        <v>242</v>
      </c>
      <c r="Q82" s="6">
        <f>0</f>
        <v>0</v>
      </c>
      <c r="S82" s="6">
        <f>0</f>
        <v>0</v>
      </c>
      <c r="T82" s="6">
        <f>242</f>
        <v>242</v>
      </c>
      <c r="U82" s="5" t="s">
        <v>245</v>
      </c>
      <c r="V82" s="4" t="s">
        <v>270</v>
      </c>
      <c r="W82" s="4" t="s">
        <v>242</v>
      </c>
      <c r="X82" s="4" t="s">
        <v>273</v>
      </c>
      <c r="Y82" s="4" t="s">
        <v>241</v>
      </c>
      <c r="AB82" s="4" t="s">
        <v>241</v>
      </c>
      <c r="AD82" s="5" t="s">
        <v>241</v>
      </c>
      <c r="AG82" s="5" t="s">
        <v>246</v>
      </c>
      <c r="AH82" s="4" t="s">
        <v>241</v>
      </c>
      <c r="AI82" s="4" t="s">
        <v>247</v>
      </c>
      <c r="AJ82" s="4" t="s">
        <v>248</v>
      </c>
      <c r="AZ82" s="4" t="s">
        <v>249</v>
      </c>
      <c r="BA82" s="4" t="s">
        <v>241</v>
      </c>
      <c r="BB82" s="4" t="s">
        <v>250</v>
      </c>
      <c r="BC82" s="4" t="s">
        <v>241</v>
      </c>
      <c r="BD82" s="4" t="s">
        <v>252</v>
      </c>
      <c r="BE82" s="4" t="s">
        <v>241</v>
      </c>
      <c r="BI82" s="4" t="s">
        <v>253</v>
      </c>
      <c r="BJ82" s="5" t="s">
        <v>246</v>
      </c>
      <c r="BK82" s="4" t="s">
        <v>254</v>
      </c>
      <c r="BL82" s="4" t="s">
        <v>255</v>
      </c>
      <c r="BM82" s="4" t="s">
        <v>241</v>
      </c>
      <c r="BN82" s="6">
        <f>0</f>
        <v>0</v>
      </c>
      <c r="BO82" s="6">
        <f>0</f>
        <v>0</v>
      </c>
      <c r="BP82" s="4" t="s">
        <v>256</v>
      </c>
      <c r="BQ82" s="4" t="s">
        <v>257</v>
      </c>
      <c r="CE82" s="4" t="s">
        <v>241</v>
      </c>
      <c r="CF82" s="4" t="s">
        <v>241</v>
      </c>
      <c r="CJ82" s="4" t="s">
        <v>258</v>
      </c>
      <c r="CK82" s="4" t="s">
        <v>259</v>
      </c>
      <c r="CL82" s="4" t="s">
        <v>241</v>
      </c>
      <c r="CO82" s="5" t="s">
        <v>260</v>
      </c>
      <c r="CP82" s="4" t="s">
        <v>241</v>
      </c>
      <c r="CQ82" s="4" t="s">
        <v>261</v>
      </c>
      <c r="CR82" s="4" t="s">
        <v>241</v>
      </c>
      <c r="CS82" s="4" t="s">
        <v>241</v>
      </c>
      <c r="CT82" s="4">
        <v>0</v>
      </c>
      <c r="CU82" s="4" t="s">
        <v>262</v>
      </c>
      <c r="CV82" s="4" t="s">
        <v>263</v>
      </c>
      <c r="CW82" s="4" t="s">
        <v>263</v>
      </c>
      <c r="CX82" s="4" t="s">
        <v>264</v>
      </c>
      <c r="DA82" s="6">
        <f>242</f>
        <v>242</v>
      </c>
      <c r="DC82" s="4" t="s">
        <v>287</v>
      </c>
      <c r="DD82" s="4" t="s">
        <v>241</v>
      </c>
      <c r="DF82" s="4" t="s">
        <v>3160</v>
      </c>
      <c r="DG82" s="6">
        <f>22</f>
        <v>22</v>
      </c>
      <c r="DI82" s="4" t="s">
        <v>3167</v>
      </c>
      <c r="DJ82" s="4" t="s">
        <v>241</v>
      </c>
      <c r="DK82" s="4" t="s">
        <v>241</v>
      </c>
      <c r="DL82" s="4" t="s">
        <v>241</v>
      </c>
      <c r="DP82" s="4" t="s">
        <v>241</v>
      </c>
      <c r="DQ82" s="4" t="s">
        <v>241</v>
      </c>
      <c r="DR82" s="4" t="s">
        <v>241</v>
      </c>
      <c r="DS82" s="4" t="s">
        <v>241</v>
      </c>
      <c r="DV82" s="4" t="s">
        <v>5346</v>
      </c>
      <c r="DW82" s="4" t="s">
        <v>719</v>
      </c>
      <c r="HO82" s="4" t="s">
        <v>267</v>
      </c>
    </row>
    <row r="83" spans="1:223" ht="19.5" customHeight="1" x14ac:dyDescent="0.4">
      <c r="A83" s="4">
        <v>1</v>
      </c>
      <c r="B83" s="4" t="s">
        <v>239</v>
      </c>
      <c r="C83" s="4">
        <v>793</v>
      </c>
      <c r="D83" s="4">
        <v>1</v>
      </c>
      <c r="E83" s="4">
        <v>1</v>
      </c>
      <c r="F83" s="4" t="s">
        <v>240</v>
      </c>
      <c r="G83" s="4" t="s">
        <v>241</v>
      </c>
      <c r="H83" s="4" t="s">
        <v>241</v>
      </c>
      <c r="I83" s="4" t="s">
        <v>5339</v>
      </c>
      <c r="J83" s="4" t="s">
        <v>418</v>
      </c>
      <c r="K83" s="4" t="s">
        <v>251</v>
      </c>
      <c r="L83" s="4" t="s">
        <v>5338</v>
      </c>
      <c r="M83" s="5" t="s">
        <v>5341</v>
      </c>
      <c r="N83" s="6">
        <f>1329</f>
        <v>1329</v>
      </c>
      <c r="O83" s="4" t="s">
        <v>265</v>
      </c>
      <c r="P83" s="6">
        <f>207324</f>
        <v>207324</v>
      </c>
      <c r="Q83" s="6">
        <f>0</f>
        <v>0</v>
      </c>
      <c r="S83" s="6">
        <f>0</f>
        <v>0</v>
      </c>
      <c r="T83" s="6">
        <f>207324</f>
        <v>207324</v>
      </c>
      <c r="U83" s="5" t="s">
        <v>5340</v>
      </c>
      <c r="V83" s="4" t="s">
        <v>270</v>
      </c>
      <c r="W83" s="4" t="s">
        <v>242</v>
      </c>
      <c r="X83" s="4" t="s">
        <v>273</v>
      </c>
      <c r="Y83" s="4" t="s">
        <v>241</v>
      </c>
      <c r="AB83" s="4" t="s">
        <v>241</v>
      </c>
      <c r="AD83" s="5" t="s">
        <v>241</v>
      </c>
      <c r="AG83" s="5" t="s">
        <v>246</v>
      </c>
      <c r="AH83" s="4" t="s">
        <v>241</v>
      </c>
      <c r="AI83" s="4" t="s">
        <v>247</v>
      </c>
      <c r="AJ83" s="4" t="s">
        <v>248</v>
      </c>
      <c r="AZ83" s="4" t="s">
        <v>249</v>
      </c>
      <c r="BA83" s="4" t="s">
        <v>241</v>
      </c>
      <c r="BB83" s="4" t="s">
        <v>250</v>
      </c>
      <c r="BC83" s="4" t="s">
        <v>241</v>
      </c>
      <c r="BD83" s="4" t="s">
        <v>252</v>
      </c>
      <c r="BE83" s="4" t="s">
        <v>241</v>
      </c>
      <c r="BG83" s="4" t="s">
        <v>4227</v>
      </c>
      <c r="BI83" s="4" t="s">
        <v>253</v>
      </c>
      <c r="BJ83" s="5" t="s">
        <v>246</v>
      </c>
      <c r="BK83" s="4" t="s">
        <v>254</v>
      </c>
      <c r="BL83" s="4" t="s">
        <v>255</v>
      </c>
      <c r="BM83" s="4" t="s">
        <v>241</v>
      </c>
      <c r="BN83" s="6">
        <f>0</f>
        <v>0</v>
      </c>
      <c r="BO83" s="6">
        <f>0</f>
        <v>0</v>
      </c>
      <c r="BP83" s="4" t="s">
        <v>256</v>
      </c>
      <c r="BQ83" s="4" t="s">
        <v>257</v>
      </c>
      <c r="CE83" s="4" t="s">
        <v>241</v>
      </c>
      <c r="CF83" s="4" t="s">
        <v>241</v>
      </c>
      <c r="CJ83" s="4" t="s">
        <v>286</v>
      </c>
      <c r="CK83" s="4" t="s">
        <v>259</v>
      </c>
      <c r="CL83" s="4" t="s">
        <v>241</v>
      </c>
      <c r="CO83" s="5" t="s">
        <v>260</v>
      </c>
      <c r="CP83" s="4" t="s">
        <v>241</v>
      </c>
      <c r="CQ83" s="4" t="s">
        <v>261</v>
      </c>
      <c r="CR83" s="4" t="s">
        <v>241</v>
      </c>
      <c r="CS83" s="4" t="s">
        <v>241</v>
      </c>
      <c r="CT83" s="4">
        <v>0</v>
      </c>
      <c r="CU83" s="4" t="s">
        <v>262</v>
      </c>
      <c r="CV83" s="4" t="s">
        <v>263</v>
      </c>
      <c r="CW83" s="4" t="s">
        <v>263</v>
      </c>
      <c r="CX83" s="4" t="s">
        <v>264</v>
      </c>
      <c r="DA83" s="6">
        <f>207324</f>
        <v>207324</v>
      </c>
      <c r="DC83" s="4" t="s">
        <v>422</v>
      </c>
      <c r="DD83" s="4" t="s">
        <v>241</v>
      </c>
      <c r="DF83" s="4" t="s">
        <v>324</v>
      </c>
      <c r="DG83" s="6">
        <f>1329</f>
        <v>1329</v>
      </c>
      <c r="DI83" s="4" t="s">
        <v>414</v>
      </c>
      <c r="DJ83" s="4" t="s">
        <v>241</v>
      </c>
      <c r="DK83" s="4" t="s">
        <v>241</v>
      </c>
      <c r="DL83" s="4" t="s">
        <v>241</v>
      </c>
      <c r="DP83" s="4" t="s">
        <v>241</v>
      </c>
      <c r="DQ83" s="4" t="s">
        <v>241</v>
      </c>
      <c r="DR83" s="4" t="s">
        <v>241</v>
      </c>
      <c r="DS83" s="4" t="s">
        <v>241</v>
      </c>
      <c r="DV83" s="4" t="s">
        <v>5342</v>
      </c>
      <c r="DW83" s="4" t="s">
        <v>267</v>
      </c>
      <c r="HO83" s="4" t="s">
        <v>267</v>
      </c>
    </row>
    <row r="84" spans="1:223" ht="19.5" customHeight="1" x14ac:dyDescent="0.4">
      <c r="A84" s="4">
        <v>1</v>
      </c>
      <c r="B84" s="4" t="s">
        <v>239</v>
      </c>
      <c r="C84" s="4">
        <v>794</v>
      </c>
      <c r="D84" s="4">
        <v>1</v>
      </c>
      <c r="E84" s="4">
        <v>1</v>
      </c>
      <c r="F84" s="4" t="s">
        <v>240</v>
      </c>
      <c r="G84" s="4" t="s">
        <v>241</v>
      </c>
      <c r="H84" s="4" t="s">
        <v>241</v>
      </c>
      <c r="I84" s="4" t="s">
        <v>5333</v>
      </c>
      <c r="J84" s="4" t="s">
        <v>418</v>
      </c>
      <c r="K84" s="4" t="s">
        <v>251</v>
      </c>
      <c r="L84" s="4" t="s">
        <v>5332</v>
      </c>
      <c r="M84" s="5" t="s">
        <v>5336</v>
      </c>
      <c r="N84" s="6">
        <f>221</f>
        <v>221</v>
      </c>
      <c r="O84" s="4" t="s">
        <v>265</v>
      </c>
      <c r="P84" s="6">
        <f>489515</f>
        <v>489515</v>
      </c>
      <c r="Q84" s="6">
        <f>0</f>
        <v>0</v>
      </c>
      <c r="S84" s="6">
        <f>0</f>
        <v>0</v>
      </c>
      <c r="T84" s="6">
        <f>489515</f>
        <v>489515</v>
      </c>
      <c r="U84" s="5" t="s">
        <v>245</v>
      </c>
      <c r="V84" s="4" t="s">
        <v>270</v>
      </c>
      <c r="W84" s="4" t="s">
        <v>242</v>
      </c>
      <c r="X84" s="4" t="s">
        <v>273</v>
      </c>
      <c r="Y84" s="4" t="s">
        <v>241</v>
      </c>
      <c r="AB84" s="4" t="s">
        <v>241</v>
      </c>
      <c r="AD84" s="5" t="s">
        <v>241</v>
      </c>
      <c r="AG84" s="5" t="s">
        <v>246</v>
      </c>
      <c r="AH84" s="4" t="s">
        <v>241</v>
      </c>
      <c r="AI84" s="4" t="s">
        <v>247</v>
      </c>
      <c r="AJ84" s="4" t="s">
        <v>248</v>
      </c>
      <c r="AZ84" s="4" t="s">
        <v>249</v>
      </c>
      <c r="BA84" s="4" t="s">
        <v>241</v>
      </c>
      <c r="BB84" s="4" t="s">
        <v>250</v>
      </c>
      <c r="BC84" s="4" t="s">
        <v>241</v>
      </c>
      <c r="BD84" s="4" t="s">
        <v>252</v>
      </c>
      <c r="BE84" s="4" t="s">
        <v>241</v>
      </c>
      <c r="BG84" s="4" t="s">
        <v>4227</v>
      </c>
      <c r="BI84" s="4" t="s">
        <v>253</v>
      </c>
      <c r="BJ84" s="5" t="s">
        <v>246</v>
      </c>
      <c r="BK84" s="4" t="s">
        <v>254</v>
      </c>
      <c r="BL84" s="4" t="s">
        <v>255</v>
      </c>
      <c r="BM84" s="4" t="s">
        <v>241</v>
      </c>
      <c r="BN84" s="6">
        <f>0</f>
        <v>0</v>
      </c>
      <c r="BO84" s="6">
        <f>0</f>
        <v>0</v>
      </c>
      <c r="BP84" s="4" t="s">
        <v>256</v>
      </c>
      <c r="BQ84" s="4" t="s">
        <v>257</v>
      </c>
      <c r="CE84" s="4" t="s">
        <v>241</v>
      </c>
      <c r="CF84" s="4" t="s">
        <v>241</v>
      </c>
      <c r="CJ84" s="4" t="s">
        <v>258</v>
      </c>
      <c r="CK84" s="4" t="s">
        <v>259</v>
      </c>
      <c r="CL84" s="4" t="s">
        <v>241</v>
      </c>
      <c r="CO84" s="5" t="s">
        <v>260</v>
      </c>
      <c r="CP84" s="4" t="s">
        <v>241</v>
      </c>
      <c r="CQ84" s="4" t="s">
        <v>261</v>
      </c>
      <c r="CR84" s="4" t="s">
        <v>241</v>
      </c>
      <c r="CS84" s="4" t="s">
        <v>241</v>
      </c>
      <c r="CT84" s="4">
        <v>0</v>
      </c>
      <c r="CU84" s="4" t="s">
        <v>262</v>
      </c>
      <c r="CV84" s="4" t="s">
        <v>263</v>
      </c>
      <c r="CW84" s="4" t="s">
        <v>263</v>
      </c>
      <c r="CX84" s="4" t="s">
        <v>264</v>
      </c>
      <c r="DA84" s="6">
        <f>489515</f>
        <v>489515</v>
      </c>
      <c r="DC84" s="4" t="s">
        <v>287</v>
      </c>
      <c r="DD84" s="4" t="s">
        <v>241</v>
      </c>
      <c r="DF84" s="4" t="s">
        <v>287</v>
      </c>
      <c r="DG84" s="6">
        <f>0</f>
        <v>0</v>
      </c>
      <c r="DI84" s="4" t="s">
        <v>414</v>
      </c>
      <c r="DJ84" s="4" t="s">
        <v>241</v>
      </c>
      <c r="DK84" s="4" t="s">
        <v>241</v>
      </c>
      <c r="DL84" s="4" t="s">
        <v>241</v>
      </c>
      <c r="DP84" s="4" t="s">
        <v>241</v>
      </c>
      <c r="DQ84" s="4" t="s">
        <v>241</v>
      </c>
      <c r="DR84" s="4" t="s">
        <v>241</v>
      </c>
      <c r="DS84" s="4" t="s">
        <v>241</v>
      </c>
      <c r="DV84" s="4" t="s">
        <v>5335</v>
      </c>
      <c r="DW84" s="4" t="s">
        <v>267</v>
      </c>
      <c r="HO84" s="4" t="s">
        <v>267</v>
      </c>
    </row>
    <row r="85" spans="1:223" ht="19.5" customHeight="1" x14ac:dyDescent="0.4">
      <c r="A85" s="4">
        <v>1</v>
      </c>
      <c r="B85" s="4" t="s">
        <v>239</v>
      </c>
      <c r="C85" s="4">
        <v>795</v>
      </c>
      <c r="D85" s="4">
        <v>1</v>
      </c>
      <c r="E85" s="4">
        <v>1</v>
      </c>
      <c r="F85" s="4" t="s">
        <v>240</v>
      </c>
      <c r="G85" s="4" t="s">
        <v>241</v>
      </c>
      <c r="H85" s="4" t="s">
        <v>241</v>
      </c>
      <c r="I85" s="4" t="s">
        <v>5333</v>
      </c>
      <c r="J85" s="4" t="s">
        <v>418</v>
      </c>
      <c r="K85" s="4" t="s">
        <v>251</v>
      </c>
      <c r="L85" s="4" t="s">
        <v>5332</v>
      </c>
      <c r="M85" s="5" t="s">
        <v>5337</v>
      </c>
      <c r="N85" s="6">
        <f>173</f>
        <v>173</v>
      </c>
      <c r="O85" s="4" t="s">
        <v>265</v>
      </c>
      <c r="P85" s="6">
        <f>383195</f>
        <v>383195</v>
      </c>
      <c r="Q85" s="6">
        <f>0</f>
        <v>0</v>
      </c>
      <c r="S85" s="6">
        <f>0</f>
        <v>0</v>
      </c>
      <c r="T85" s="6">
        <f>383195</f>
        <v>383195</v>
      </c>
      <c r="U85" s="5" t="s">
        <v>245</v>
      </c>
      <c r="V85" s="4" t="s">
        <v>270</v>
      </c>
      <c r="W85" s="4" t="s">
        <v>242</v>
      </c>
      <c r="X85" s="4" t="s">
        <v>273</v>
      </c>
      <c r="Y85" s="4" t="s">
        <v>241</v>
      </c>
      <c r="AB85" s="4" t="s">
        <v>241</v>
      </c>
      <c r="AD85" s="5" t="s">
        <v>241</v>
      </c>
      <c r="AG85" s="5" t="s">
        <v>246</v>
      </c>
      <c r="AH85" s="4" t="s">
        <v>241</v>
      </c>
      <c r="AI85" s="4" t="s">
        <v>247</v>
      </c>
      <c r="AJ85" s="4" t="s">
        <v>248</v>
      </c>
      <c r="AZ85" s="4" t="s">
        <v>249</v>
      </c>
      <c r="BA85" s="4" t="s">
        <v>241</v>
      </c>
      <c r="BB85" s="4" t="s">
        <v>250</v>
      </c>
      <c r="BC85" s="4" t="s">
        <v>241</v>
      </c>
      <c r="BD85" s="4" t="s">
        <v>252</v>
      </c>
      <c r="BE85" s="4" t="s">
        <v>241</v>
      </c>
      <c r="BI85" s="4" t="s">
        <v>284</v>
      </c>
      <c r="BJ85" s="5" t="s">
        <v>282</v>
      </c>
      <c r="BK85" s="4" t="s">
        <v>254</v>
      </c>
      <c r="BL85" s="4" t="s">
        <v>255</v>
      </c>
      <c r="BM85" s="4" t="s">
        <v>241</v>
      </c>
      <c r="BN85" s="6">
        <f>0</f>
        <v>0</v>
      </c>
      <c r="BO85" s="6">
        <f>0</f>
        <v>0</v>
      </c>
      <c r="BP85" s="4" t="s">
        <v>256</v>
      </c>
      <c r="BQ85" s="4" t="s">
        <v>257</v>
      </c>
      <c r="CE85" s="4" t="s">
        <v>241</v>
      </c>
      <c r="CF85" s="4" t="s">
        <v>241</v>
      </c>
      <c r="CJ85" s="4" t="s">
        <v>258</v>
      </c>
      <c r="CK85" s="4" t="s">
        <v>259</v>
      </c>
      <c r="CL85" s="4" t="s">
        <v>241</v>
      </c>
      <c r="CO85" s="5" t="s">
        <v>260</v>
      </c>
      <c r="CP85" s="4" t="s">
        <v>241</v>
      </c>
      <c r="CQ85" s="4" t="s">
        <v>261</v>
      </c>
      <c r="CR85" s="4" t="s">
        <v>241</v>
      </c>
      <c r="CS85" s="4" t="s">
        <v>241</v>
      </c>
      <c r="CT85" s="4">
        <v>0</v>
      </c>
      <c r="CU85" s="4" t="s">
        <v>262</v>
      </c>
      <c r="CV85" s="4" t="s">
        <v>263</v>
      </c>
      <c r="CW85" s="4" t="s">
        <v>263</v>
      </c>
      <c r="CX85" s="4" t="s">
        <v>264</v>
      </c>
      <c r="DA85" s="6">
        <f>383195</f>
        <v>383195</v>
      </c>
      <c r="DC85" s="4" t="s">
        <v>287</v>
      </c>
      <c r="DD85" s="4" t="s">
        <v>241</v>
      </c>
      <c r="DF85" s="4" t="s">
        <v>287</v>
      </c>
      <c r="DG85" s="6">
        <f>0</f>
        <v>0</v>
      </c>
      <c r="DI85" s="4" t="s">
        <v>414</v>
      </c>
      <c r="DJ85" s="4" t="s">
        <v>241</v>
      </c>
      <c r="DK85" s="4" t="s">
        <v>241</v>
      </c>
      <c r="DL85" s="4" t="s">
        <v>241</v>
      </c>
      <c r="DP85" s="4" t="s">
        <v>241</v>
      </c>
      <c r="DQ85" s="4" t="s">
        <v>241</v>
      </c>
      <c r="DR85" s="4" t="s">
        <v>241</v>
      </c>
      <c r="DS85" s="4" t="s">
        <v>241</v>
      </c>
      <c r="DV85" s="4" t="s">
        <v>5335</v>
      </c>
      <c r="DW85" s="4" t="s">
        <v>416</v>
      </c>
      <c r="HO85" s="4" t="s">
        <v>267</v>
      </c>
    </row>
    <row r="86" spans="1:223" ht="19.5" customHeight="1" x14ac:dyDescent="0.4">
      <c r="A86" s="4">
        <v>1</v>
      </c>
      <c r="B86" s="4" t="s">
        <v>239</v>
      </c>
      <c r="C86" s="4">
        <v>796</v>
      </c>
      <c r="D86" s="4">
        <v>1</v>
      </c>
      <c r="E86" s="4">
        <v>1</v>
      </c>
      <c r="F86" s="4" t="s">
        <v>240</v>
      </c>
      <c r="G86" s="4" t="s">
        <v>241</v>
      </c>
      <c r="H86" s="4" t="s">
        <v>241</v>
      </c>
      <c r="I86" s="4" t="s">
        <v>5333</v>
      </c>
      <c r="J86" s="4" t="s">
        <v>418</v>
      </c>
      <c r="K86" s="4" t="s">
        <v>251</v>
      </c>
      <c r="L86" s="4" t="s">
        <v>5332</v>
      </c>
      <c r="M86" s="5" t="s">
        <v>5334</v>
      </c>
      <c r="N86" s="6">
        <f>845</f>
        <v>845</v>
      </c>
      <c r="O86" s="4" t="s">
        <v>265</v>
      </c>
      <c r="P86" s="6">
        <f>1871675</f>
        <v>1871675</v>
      </c>
      <c r="Q86" s="6">
        <f>0</f>
        <v>0</v>
      </c>
      <c r="S86" s="6">
        <f>0</f>
        <v>0</v>
      </c>
      <c r="T86" s="6">
        <f>1871675</f>
        <v>1871675</v>
      </c>
      <c r="U86" s="5" t="s">
        <v>245</v>
      </c>
      <c r="V86" s="4" t="s">
        <v>270</v>
      </c>
      <c r="W86" s="4" t="s">
        <v>242</v>
      </c>
      <c r="X86" s="4" t="s">
        <v>273</v>
      </c>
      <c r="Y86" s="4" t="s">
        <v>241</v>
      </c>
      <c r="AB86" s="4" t="s">
        <v>241</v>
      </c>
      <c r="AD86" s="5" t="s">
        <v>241</v>
      </c>
      <c r="AG86" s="5" t="s">
        <v>246</v>
      </c>
      <c r="AH86" s="4" t="s">
        <v>241</v>
      </c>
      <c r="AI86" s="4" t="s">
        <v>247</v>
      </c>
      <c r="AJ86" s="4" t="s">
        <v>248</v>
      </c>
      <c r="AZ86" s="4" t="s">
        <v>249</v>
      </c>
      <c r="BA86" s="4" t="s">
        <v>241</v>
      </c>
      <c r="BB86" s="4" t="s">
        <v>250</v>
      </c>
      <c r="BC86" s="4" t="s">
        <v>241</v>
      </c>
      <c r="BD86" s="4" t="s">
        <v>252</v>
      </c>
      <c r="BE86" s="4" t="s">
        <v>241</v>
      </c>
      <c r="BI86" s="4" t="s">
        <v>253</v>
      </c>
      <c r="BJ86" s="5" t="s">
        <v>246</v>
      </c>
      <c r="BK86" s="4" t="s">
        <v>254</v>
      </c>
      <c r="BL86" s="4" t="s">
        <v>255</v>
      </c>
      <c r="BM86" s="4" t="s">
        <v>241</v>
      </c>
      <c r="BN86" s="6">
        <f>0</f>
        <v>0</v>
      </c>
      <c r="BO86" s="6">
        <f>0</f>
        <v>0</v>
      </c>
      <c r="BP86" s="4" t="s">
        <v>256</v>
      </c>
      <c r="BQ86" s="4" t="s">
        <v>257</v>
      </c>
      <c r="CE86" s="4" t="s">
        <v>241</v>
      </c>
      <c r="CF86" s="4" t="s">
        <v>241</v>
      </c>
      <c r="CJ86" s="4" t="s">
        <v>258</v>
      </c>
      <c r="CK86" s="4" t="s">
        <v>259</v>
      </c>
      <c r="CL86" s="4" t="s">
        <v>241</v>
      </c>
      <c r="CO86" s="5" t="s">
        <v>260</v>
      </c>
      <c r="CP86" s="4" t="s">
        <v>241</v>
      </c>
      <c r="CQ86" s="4" t="s">
        <v>261</v>
      </c>
      <c r="CR86" s="4" t="s">
        <v>241</v>
      </c>
      <c r="CS86" s="4" t="s">
        <v>241</v>
      </c>
      <c r="CT86" s="4">
        <v>0</v>
      </c>
      <c r="CU86" s="4" t="s">
        <v>262</v>
      </c>
      <c r="CV86" s="4" t="s">
        <v>263</v>
      </c>
      <c r="CW86" s="4" t="s">
        <v>263</v>
      </c>
      <c r="CX86" s="4" t="s">
        <v>264</v>
      </c>
      <c r="DA86" s="6">
        <f>1871675</f>
        <v>1871675</v>
      </c>
      <c r="DC86" s="4" t="s">
        <v>287</v>
      </c>
      <c r="DD86" s="4" t="s">
        <v>241</v>
      </c>
      <c r="DF86" s="4" t="s">
        <v>287</v>
      </c>
      <c r="DG86" s="6">
        <f>0</f>
        <v>0</v>
      </c>
      <c r="DI86" s="4" t="s">
        <v>414</v>
      </c>
      <c r="DJ86" s="4" t="s">
        <v>241</v>
      </c>
      <c r="DK86" s="4" t="s">
        <v>241</v>
      </c>
      <c r="DL86" s="4" t="s">
        <v>241</v>
      </c>
      <c r="DP86" s="4" t="s">
        <v>241</v>
      </c>
      <c r="DQ86" s="4" t="s">
        <v>241</v>
      </c>
      <c r="DR86" s="4" t="s">
        <v>241</v>
      </c>
      <c r="DS86" s="4" t="s">
        <v>241</v>
      </c>
      <c r="DV86" s="4" t="s">
        <v>5335</v>
      </c>
      <c r="DW86" s="4" t="s">
        <v>388</v>
      </c>
      <c r="HO86" s="4" t="s">
        <v>267</v>
      </c>
    </row>
    <row r="87" spans="1:223" ht="19.5" customHeight="1" x14ac:dyDescent="0.4">
      <c r="A87" s="4">
        <v>1</v>
      </c>
      <c r="B87" s="4" t="s">
        <v>239</v>
      </c>
      <c r="C87" s="4">
        <v>797</v>
      </c>
      <c r="D87" s="4">
        <v>1</v>
      </c>
      <c r="E87" s="4">
        <v>1</v>
      </c>
      <c r="F87" s="4" t="s">
        <v>240</v>
      </c>
      <c r="G87" s="4" t="s">
        <v>241</v>
      </c>
      <c r="H87" s="4" t="s">
        <v>241</v>
      </c>
      <c r="I87" s="4" t="s">
        <v>5333</v>
      </c>
      <c r="J87" s="4" t="s">
        <v>418</v>
      </c>
      <c r="K87" s="4" t="s">
        <v>251</v>
      </c>
      <c r="L87" s="4" t="s">
        <v>5332</v>
      </c>
      <c r="M87" s="5" t="s">
        <v>5406</v>
      </c>
      <c r="N87" s="6">
        <f>411</f>
        <v>411</v>
      </c>
      <c r="O87" s="4" t="s">
        <v>265</v>
      </c>
      <c r="P87" s="6">
        <f>910365</f>
        <v>910365</v>
      </c>
      <c r="Q87" s="6">
        <f>0</f>
        <v>0</v>
      </c>
      <c r="S87" s="6">
        <f>0</f>
        <v>0</v>
      </c>
      <c r="T87" s="6">
        <f>910365</f>
        <v>910365</v>
      </c>
      <c r="U87" s="5" t="s">
        <v>245</v>
      </c>
      <c r="V87" s="4" t="s">
        <v>270</v>
      </c>
      <c r="W87" s="4" t="s">
        <v>242</v>
      </c>
      <c r="X87" s="4" t="s">
        <v>273</v>
      </c>
      <c r="Y87" s="4" t="s">
        <v>241</v>
      </c>
      <c r="AB87" s="4" t="s">
        <v>241</v>
      </c>
      <c r="AD87" s="5" t="s">
        <v>241</v>
      </c>
      <c r="AG87" s="5" t="s">
        <v>246</v>
      </c>
      <c r="AH87" s="4" t="s">
        <v>241</v>
      </c>
      <c r="AI87" s="4" t="s">
        <v>247</v>
      </c>
      <c r="AJ87" s="4" t="s">
        <v>248</v>
      </c>
      <c r="AZ87" s="4" t="s">
        <v>249</v>
      </c>
      <c r="BA87" s="4" t="s">
        <v>241</v>
      </c>
      <c r="BB87" s="4" t="s">
        <v>250</v>
      </c>
      <c r="BC87" s="4" t="s">
        <v>241</v>
      </c>
      <c r="BD87" s="4" t="s">
        <v>252</v>
      </c>
      <c r="BE87" s="4" t="s">
        <v>241</v>
      </c>
      <c r="BI87" s="4" t="s">
        <v>284</v>
      </c>
      <c r="BJ87" s="5" t="s">
        <v>282</v>
      </c>
      <c r="BK87" s="4" t="s">
        <v>254</v>
      </c>
      <c r="BL87" s="4" t="s">
        <v>255</v>
      </c>
      <c r="BM87" s="4" t="s">
        <v>241</v>
      </c>
      <c r="BN87" s="6">
        <f>0</f>
        <v>0</v>
      </c>
      <c r="BO87" s="6">
        <f>0</f>
        <v>0</v>
      </c>
      <c r="BP87" s="4" t="s">
        <v>256</v>
      </c>
      <c r="BQ87" s="4" t="s">
        <v>257</v>
      </c>
      <c r="CE87" s="4" t="s">
        <v>241</v>
      </c>
      <c r="CF87" s="4" t="s">
        <v>241</v>
      </c>
      <c r="CJ87" s="4" t="s">
        <v>258</v>
      </c>
      <c r="CK87" s="4" t="s">
        <v>259</v>
      </c>
      <c r="CL87" s="4" t="s">
        <v>241</v>
      </c>
      <c r="CO87" s="5" t="s">
        <v>260</v>
      </c>
      <c r="CP87" s="4" t="s">
        <v>241</v>
      </c>
      <c r="CQ87" s="4" t="s">
        <v>261</v>
      </c>
      <c r="CR87" s="4" t="s">
        <v>241</v>
      </c>
      <c r="CS87" s="4" t="s">
        <v>241</v>
      </c>
      <c r="CT87" s="4">
        <v>0</v>
      </c>
      <c r="CU87" s="4" t="s">
        <v>262</v>
      </c>
      <c r="CV87" s="4" t="s">
        <v>263</v>
      </c>
      <c r="CW87" s="4" t="s">
        <v>263</v>
      </c>
      <c r="CX87" s="4" t="s">
        <v>264</v>
      </c>
      <c r="DA87" s="6">
        <f>910365</f>
        <v>910365</v>
      </c>
      <c r="DC87" s="4" t="s">
        <v>287</v>
      </c>
      <c r="DD87" s="4" t="s">
        <v>241</v>
      </c>
      <c r="DF87" s="4" t="s">
        <v>287</v>
      </c>
      <c r="DG87" s="6">
        <f>0</f>
        <v>0</v>
      </c>
      <c r="DI87" s="4" t="s">
        <v>414</v>
      </c>
      <c r="DJ87" s="4" t="s">
        <v>241</v>
      </c>
      <c r="DK87" s="4" t="s">
        <v>241</v>
      </c>
      <c r="DL87" s="4" t="s">
        <v>241</v>
      </c>
      <c r="DP87" s="4" t="s">
        <v>241</v>
      </c>
      <c r="DQ87" s="4" t="s">
        <v>241</v>
      </c>
      <c r="DR87" s="4" t="s">
        <v>241</v>
      </c>
      <c r="DS87" s="4" t="s">
        <v>241</v>
      </c>
      <c r="DV87" s="4" t="s">
        <v>5335</v>
      </c>
      <c r="DW87" s="4" t="s">
        <v>327</v>
      </c>
      <c r="HO87" s="4" t="s">
        <v>267</v>
      </c>
    </row>
    <row r="88" spans="1:223" ht="19.5" customHeight="1" x14ac:dyDescent="0.4">
      <c r="A88" s="4">
        <v>1</v>
      </c>
      <c r="B88" s="4" t="s">
        <v>239</v>
      </c>
      <c r="C88" s="4">
        <v>799</v>
      </c>
      <c r="D88" s="4">
        <v>1</v>
      </c>
      <c r="E88" s="4">
        <v>1</v>
      </c>
      <c r="F88" s="4" t="s">
        <v>240</v>
      </c>
      <c r="G88" s="4" t="s">
        <v>241</v>
      </c>
      <c r="H88" s="4" t="s">
        <v>241</v>
      </c>
      <c r="I88" s="4" t="s">
        <v>5325</v>
      </c>
      <c r="J88" s="4" t="s">
        <v>418</v>
      </c>
      <c r="K88" s="4" t="s">
        <v>251</v>
      </c>
      <c r="L88" s="4" t="s">
        <v>5324</v>
      </c>
      <c r="M88" s="5" t="s">
        <v>5330</v>
      </c>
      <c r="N88" s="6">
        <f>758</f>
        <v>758</v>
      </c>
      <c r="O88" s="4" t="s">
        <v>265</v>
      </c>
      <c r="P88" s="6">
        <f>1678970</f>
        <v>1678970</v>
      </c>
      <c r="Q88" s="6">
        <f>0</f>
        <v>0</v>
      </c>
      <c r="S88" s="6">
        <f>0</f>
        <v>0</v>
      </c>
      <c r="T88" s="6">
        <f>1678970</f>
        <v>1678970</v>
      </c>
      <c r="U88" s="5" t="s">
        <v>245</v>
      </c>
      <c r="V88" s="4" t="s">
        <v>270</v>
      </c>
      <c r="W88" s="4" t="s">
        <v>242</v>
      </c>
      <c r="X88" s="4" t="s">
        <v>273</v>
      </c>
      <c r="Y88" s="4" t="s">
        <v>241</v>
      </c>
      <c r="AB88" s="4" t="s">
        <v>241</v>
      </c>
      <c r="AD88" s="5" t="s">
        <v>241</v>
      </c>
      <c r="AG88" s="5" t="s">
        <v>246</v>
      </c>
      <c r="AH88" s="4" t="s">
        <v>5408</v>
      </c>
      <c r="AI88" s="4" t="s">
        <v>247</v>
      </c>
      <c r="AJ88" s="4" t="s">
        <v>248</v>
      </c>
      <c r="AZ88" s="4" t="s">
        <v>249</v>
      </c>
      <c r="BA88" s="4" t="s">
        <v>241</v>
      </c>
      <c r="BB88" s="4" t="s">
        <v>250</v>
      </c>
      <c r="BC88" s="4" t="s">
        <v>241</v>
      </c>
      <c r="BD88" s="4" t="s">
        <v>252</v>
      </c>
      <c r="BE88" s="4" t="s">
        <v>241</v>
      </c>
      <c r="BI88" s="4" t="s">
        <v>284</v>
      </c>
      <c r="BJ88" s="5" t="s">
        <v>282</v>
      </c>
      <c r="BK88" s="4" t="s">
        <v>254</v>
      </c>
      <c r="BL88" s="4" t="s">
        <v>3172</v>
      </c>
      <c r="BM88" s="4" t="s">
        <v>241</v>
      </c>
      <c r="BN88" s="6">
        <f>0</f>
        <v>0</v>
      </c>
      <c r="BO88" s="6">
        <f>0</f>
        <v>0</v>
      </c>
      <c r="BP88" s="4" t="s">
        <v>256</v>
      </c>
      <c r="BQ88" s="4" t="s">
        <v>257</v>
      </c>
      <c r="CE88" s="4" t="s">
        <v>241</v>
      </c>
      <c r="CF88" s="4" t="s">
        <v>241</v>
      </c>
      <c r="CJ88" s="4" t="s">
        <v>258</v>
      </c>
      <c r="CK88" s="4" t="s">
        <v>259</v>
      </c>
      <c r="CL88" s="4" t="s">
        <v>241</v>
      </c>
      <c r="CO88" s="5" t="s">
        <v>260</v>
      </c>
      <c r="CP88" s="4" t="s">
        <v>241</v>
      </c>
      <c r="CQ88" s="4" t="s">
        <v>261</v>
      </c>
      <c r="CR88" s="4" t="s">
        <v>241</v>
      </c>
      <c r="CS88" s="4" t="s">
        <v>241</v>
      </c>
      <c r="CT88" s="4">
        <v>0</v>
      </c>
      <c r="CU88" s="4" t="s">
        <v>262</v>
      </c>
      <c r="CV88" s="4" t="s">
        <v>263</v>
      </c>
      <c r="CW88" s="4" t="s">
        <v>263</v>
      </c>
      <c r="CX88" s="4" t="s">
        <v>264</v>
      </c>
      <c r="DA88" s="6">
        <f>1678970</f>
        <v>1678970</v>
      </c>
      <c r="DC88" s="4" t="s">
        <v>422</v>
      </c>
      <c r="DD88" s="4" t="s">
        <v>241</v>
      </c>
      <c r="DF88" s="4" t="s">
        <v>287</v>
      </c>
      <c r="DG88" s="6">
        <f>0</f>
        <v>0</v>
      </c>
      <c r="DI88" s="4" t="s">
        <v>414</v>
      </c>
      <c r="DJ88" s="4" t="s">
        <v>241</v>
      </c>
      <c r="DK88" s="4" t="s">
        <v>241</v>
      </c>
      <c r="DL88" s="4" t="s">
        <v>241</v>
      </c>
      <c r="DP88" s="4" t="s">
        <v>241</v>
      </c>
      <c r="DQ88" s="4" t="s">
        <v>241</v>
      </c>
      <c r="DR88" s="4" t="s">
        <v>241</v>
      </c>
      <c r="DS88" s="4" t="s">
        <v>241</v>
      </c>
      <c r="DV88" s="4" t="s">
        <v>5328</v>
      </c>
      <c r="DW88" s="4" t="s">
        <v>416</v>
      </c>
      <c r="HO88" s="4" t="s">
        <v>416</v>
      </c>
    </row>
    <row r="89" spans="1:223" ht="19.5" customHeight="1" x14ac:dyDescent="0.4">
      <c r="A89" s="4">
        <v>1</v>
      </c>
      <c r="B89" s="4" t="s">
        <v>239</v>
      </c>
      <c r="C89" s="4">
        <v>800</v>
      </c>
      <c r="D89" s="4">
        <v>1</v>
      </c>
      <c r="E89" s="4">
        <v>1</v>
      </c>
      <c r="F89" s="4" t="s">
        <v>240</v>
      </c>
      <c r="G89" s="4" t="s">
        <v>241</v>
      </c>
      <c r="H89" s="4" t="s">
        <v>241</v>
      </c>
      <c r="I89" s="4" t="s">
        <v>5325</v>
      </c>
      <c r="J89" s="4" t="s">
        <v>418</v>
      </c>
      <c r="K89" s="4" t="s">
        <v>251</v>
      </c>
      <c r="L89" s="4" t="s">
        <v>5324</v>
      </c>
      <c r="M89" s="5" t="s">
        <v>5327</v>
      </c>
      <c r="N89" s="6">
        <f>120</f>
        <v>120</v>
      </c>
      <c r="O89" s="4" t="s">
        <v>265</v>
      </c>
      <c r="P89" s="6">
        <f>265800</f>
        <v>265800</v>
      </c>
      <c r="Q89" s="6">
        <f>0</f>
        <v>0</v>
      </c>
      <c r="S89" s="6">
        <f>0</f>
        <v>0</v>
      </c>
      <c r="T89" s="6">
        <f>265800</f>
        <v>265800</v>
      </c>
      <c r="U89" s="5" t="s">
        <v>245</v>
      </c>
      <c r="V89" s="4" t="s">
        <v>270</v>
      </c>
      <c r="W89" s="4" t="s">
        <v>242</v>
      </c>
      <c r="X89" s="4" t="s">
        <v>273</v>
      </c>
      <c r="Y89" s="4" t="s">
        <v>241</v>
      </c>
      <c r="AB89" s="4" t="s">
        <v>241</v>
      </c>
      <c r="AD89" s="5" t="s">
        <v>241</v>
      </c>
      <c r="AG89" s="5" t="s">
        <v>246</v>
      </c>
      <c r="AH89" s="4" t="s">
        <v>5326</v>
      </c>
      <c r="AI89" s="4" t="s">
        <v>247</v>
      </c>
      <c r="AJ89" s="4" t="s">
        <v>248</v>
      </c>
      <c r="AZ89" s="4" t="s">
        <v>249</v>
      </c>
      <c r="BA89" s="4" t="s">
        <v>241</v>
      </c>
      <c r="BB89" s="4" t="s">
        <v>250</v>
      </c>
      <c r="BC89" s="4" t="s">
        <v>241</v>
      </c>
      <c r="BD89" s="4" t="s">
        <v>252</v>
      </c>
      <c r="BE89" s="4" t="s">
        <v>241</v>
      </c>
      <c r="BI89" s="4" t="s">
        <v>253</v>
      </c>
      <c r="BJ89" s="5" t="s">
        <v>246</v>
      </c>
      <c r="BK89" s="4" t="s">
        <v>254</v>
      </c>
      <c r="BL89" s="4" t="s">
        <v>3172</v>
      </c>
      <c r="BM89" s="4" t="s">
        <v>241</v>
      </c>
      <c r="BN89" s="6">
        <f>0</f>
        <v>0</v>
      </c>
      <c r="BO89" s="6">
        <f>0</f>
        <v>0</v>
      </c>
      <c r="BP89" s="4" t="s">
        <v>256</v>
      </c>
      <c r="BQ89" s="4" t="s">
        <v>257</v>
      </c>
      <c r="CE89" s="4" t="s">
        <v>241</v>
      </c>
      <c r="CF89" s="4" t="s">
        <v>241</v>
      </c>
      <c r="CJ89" s="4" t="s">
        <v>258</v>
      </c>
      <c r="CK89" s="4" t="s">
        <v>259</v>
      </c>
      <c r="CL89" s="4" t="s">
        <v>241</v>
      </c>
      <c r="CO89" s="5" t="s">
        <v>260</v>
      </c>
      <c r="CP89" s="4" t="s">
        <v>241</v>
      </c>
      <c r="CQ89" s="4" t="s">
        <v>261</v>
      </c>
      <c r="CR89" s="4" t="s">
        <v>241</v>
      </c>
      <c r="CS89" s="4" t="s">
        <v>241</v>
      </c>
      <c r="CT89" s="4">
        <v>0</v>
      </c>
      <c r="CU89" s="4" t="s">
        <v>262</v>
      </c>
      <c r="CV89" s="4" t="s">
        <v>263</v>
      </c>
      <c r="CW89" s="4" t="s">
        <v>263</v>
      </c>
      <c r="CX89" s="4" t="s">
        <v>264</v>
      </c>
      <c r="DA89" s="6">
        <f>265800</f>
        <v>265800</v>
      </c>
      <c r="DC89" s="4" t="s">
        <v>422</v>
      </c>
      <c r="DD89" s="4" t="s">
        <v>241</v>
      </c>
      <c r="DF89" s="4" t="s">
        <v>287</v>
      </c>
      <c r="DG89" s="6">
        <f>0</f>
        <v>0</v>
      </c>
      <c r="DI89" s="4" t="s">
        <v>414</v>
      </c>
      <c r="DJ89" s="4" t="s">
        <v>241</v>
      </c>
      <c r="DK89" s="4" t="s">
        <v>241</v>
      </c>
      <c r="DL89" s="4" t="s">
        <v>241</v>
      </c>
      <c r="DP89" s="4" t="s">
        <v>241</v>
      </c>
      <c r="DQ89" s="4" t="s">
        <v>241</v>
      </c>
      <c r="DR89" s="4" t="s">
        <v>241</v>
      </c>
      <c r="DS89" s="4" t="s">
        <v>241</v>
      </c>
      <c r="DV89" s="4" t="s">
        <v>5328</v>
      </c>
      <c r="DW89" s="4" t="s">
        <v>388</v>
      </c>
      <c r="HO89" s="4" t="s">
        <v>416</v>
      </c>
    </row>
    <row r="90" spans="1:223" ht="19.5" customHeight="1" x14ac:dyDescent="0.4">
      <c r="A90" s="4">
        <v>1</v>
      </c>
      <c r="B90" s="4" t="s">
        <v>239</v>
      </c>
      <c r="C90" s="4">
        <v>801</v>
      </c>
      <c r="D90" s="4">
        <v>1</v>
      </c>
      <c r="E90" s="4">
        <v>1</v>
      </c>
      <c r="F90" s="4" t="s">
        <v>240</v>
      </c>
      <c r="G90" s="4" t="s">
        <v>241</v>
      </c>
      <c r="H90" s="4" t="s">
        <v>241</v>
      </c>
      <c r="I90" s="4" t="s">
        <v>5325</v>
      </c>
      <c r="J90" s="4" t="s">
        <v>418</v>
      </c>
      <c r="K90" s="4" t="s">
        <v>251</v>
      </c>
      <c r="L90" s="4" t="s">
        <v>5324</v>
      </c>
      <c r="M90" s="5" t="s">
        <v>5331</v>
      </c>
      <c r="N90" s="6">
        <f>412</f>
        <v>412</v>
      </c>
      <c r="O90" s="4" t="s">
        <v>265</v>
      </c>
      <c r="P90" s="6">
        <f>912580</f>
        <v>912580</v>
      </c>
      <c r="Q90" s="6">
        <f>0</f>
        <v>0</v>
      </c>
      <c r="S90" s="6">
        <f>0</f>
        <v>0</v>
      </c>
      <c r="T90" s="6">
        <f>912580</f>
        <v>912580</v>
      </c>
      <c r="U90" s="5" t="s">
        <v>245</v>
      </c>
      <c r="V90" s="4" t="s">
        <v>270</v>
      </c>
      <c r="W90" s="4" t="s">
        <v>242</v>
      </c>
      <c r="X90" s="4" t="s">
        <v>273</v>
      </c>
      <c r="Y90" s="4" t="s">
        <v>241</v>
      </c>
      <c r="AB90" s="4" t="s">
        <v>241</v>
      </c>
      <c r="AD90" s="5" t="s">
        <v>241</v>
      </c>
      <c r="AG90" s="5" t="s">
        <v>246</v>
      </c>
      <c r="AH90" s="4" t="s">
        <v>241</v>
      </c>
      <c r="AI90" s="4" t="s">
        <v>247</v>
      </c>
      <c r="AJ90" s="4" t="s">
        <v>248</v>
      </c>
      <c r="AZ90" s="4" t="s">
        <v>249</v>
      </c>
      <c r="BA90" s="4" t="s">
        <v>241</v>
      </c>
      <c r="BB90" s="4" t="s">
        <v>250</v>
      </c>
      <c r="BC90" s="4" t="s">
        <v>241</v>
      </c>
      <c r="BD90" s="4" t="s">
        <v>252</v>
      </c>
      <c r="BE90" s="4" t="s">
        <v>241</v>
      </c>
      <c r="BI90" s="4" t="s">
        <v>253</v>
      </c>
      <c r="BJ90" s="5" t="s">
        <v>246</v>
      </c>
      <c r="BK90" s="4" t="s">
        <v>254</v>
      </c>
      <c r="BL90" s="4" t="s">
        <v>255</v>
      </c>
      <c r="BM90" s="4" t="s">
        <v>241</v>
      </c>
      <c r="BN90" s="6">
        <f>0</f>
        <v>0</v>
      </c>
      <c r="BO90" s="6">
        <f>0</f>
        <v>0</v>
      </c>
      <c r="BP90" s="4" t="s">
        <v>256</v>
      </c>
      <c r="BQ90" s="4" t="s">
        <v>257</v>
      </c>
      <c r="CE90" s="4" t="s">
        <v>241</v>
      </c>
      <c r="CF90" s="4" t="s">
        <v>241</v>
      </c>
      <c r="CJ90" s="4" t="s">
        <v>258</v>
      </c>
      <c r="CK90" s="4" t="s">
        <v>259</v>
      </c>
      <c r="CL90" s="4" t="s">
        <v>241</v>
      </c>
      <c r="CO90" s="5" t="s">
        <v>260</v>
      </c>
      <c r="CP90" s="4" t="s">
        <v>241</v>
      </c>
      <c r="CQ90" s="4" t="s">
        <v>261</v>
      </c>
      <c r="CR90" s="4" t="s">
        <v>241</v>
      </c>
      <c r="CS90" s="4" t="s">
        <v>241</v>
      </c>
      <c r="CT90" s="4">
        <v>0</v>
      </c>
      <c r="CU90" s="4" t="s">
        <v>262</v>
      </c>
      <c r="CV90" s="4" t="s">
        <v>263</v>
      </c>
      <c r="CW90" s="4" t="s">
        <v>263</v>
      </c>
      <c r="CX90" s="4" t="s">
        <v>264</v>
      </c>
      <c r="DA90" s="6">
        <f>912580</f>
        <v>912580</v>
      </c>
      <c r="DC90" s="4" t="s">
        <v>422</v>
      </c>
      <c r="DD90" s="4" t="s">
        <v>241</v>
      </c>
      <c r="DF90" s="4" t="s">
        <v>287</v>
      </c>
      <c r="DG90" s="6">
        <f>0</f>
        <v>0</v>
      </c>
      <c r="DI90" s="4" t="s">
        <v>414</v>
      </c>
      <c r="DJ90" s="4" t="s">
        <v>241</v>
      </c>
      <c r="DK90" s="4" t="s">
        <v>241</v>
      </c>
      <c r="DL90" s="4" t="s">
        <v>241</v>
      </c>
      <c r="DP90" s="4" t="s">
        <v>241</v>
      </c>
      <c r="DQ90" s="4" t="s">
        <v>241</v>
      </c>
      <c r="DR90" s="4" t="s">
        <v>241</v>
      </c>
      <c r="DS90" s="4" t="s">
        <v>241</v>
      </c>
      <c r="DV90" s="4" t="s">
        <v>5328</v>
      </c>
      <c r="DW90" s="4" t="s">
        <v>327</v>
      </c>
      <c r="HO90" s="4" t="s">
        <v>267</v>
      </c>
    </row>
    <row r="91" spans="1:223" ht="19.5" customHeight="1" x14ac:dyDescent="0.4">
      <c r="A91" s="4">
        <v>1</v>
      </c>
      <c r="B91" s="4" t="s">
        <v>239</v>
      </c>
      <c r="C91" s="4">
        <v>802</v>
      </c>
      <c r="D91" s="4">
        <v>1</v>
      </c>
      <c r="E91" s="4">
        <v>1</v>
      </c>
      <c r="F91" s="4" t="s">
        <v>240</v>
      </c>
      <c r="G91" s="4" t="s">
        <v>241</v>
      </c>
      <c r="H91" s="4" t="s">
        <v>241</v>
      </c>
      <c r="I91" s="4" t="s">
        <v>5410</v>
      </c>
      <c r="J91" s="4" t="s">
        <v>418</v>
      </c>
      <c r="K91" s="4" t="s">
        <v>251</v>
      </c>
      <c r="L91" s="4" t="s">
        <v>5409</v>
      </c>
      <c r="M91" s="5" t="s">
        <v>3186</v>
      </c>
      <c r="N91" s="6">
        <f>757</f>
        <v>757</v>
      </c>
      <c r="O91" s="4" t="s">
        <v>265</v>
      </c>
      <c r="P91" s="6">
        <f>1676755</f>
        <v>1676755</v>
      </c>
      <c r="Q91" s="6">
        <f>0</f>
        <v>0</v>
      </c>
      <c r="S91" s="6">
        <f>0</f>
        <v>0</v>
      </c>
      <c r="T91" s="6">
        <f>1676755</f>
        <v>1676755</v>
      </c>
      <c r="U91" s="5" t="s">
        <v>245</v>
      </c>
      <c r="V91" s="4" t="s">
        <v>270</v>
      </c>
      <c r="W91" s="4" t="s">
        <v>242</v>
      </c>
      <c r="X91" s="4" t="s">
        <v>273</v>
      </c>
      <c r="Y91" s="4" t="s">
        <v>241</v>
      </c>
      <c r="AB91" s="4" t="s">
        <v>241</v>
      </c>
      <c r="AD91" s="5" t="s">
        <v>241</v>
      </c>
      <c r="AG91" s="5" t="s">
        <v>246</v>
      </c>
      <c r="AH91" s="4" t="s">
        <v>241</v>
      </c>
      <c r="AI91" s="4" t="s">
        <v>247</v>
      </c>
      <c r="AJ91" s="4" t="s">
        <v>248</v>
      </c>
      <c r="AZ91" s="4" t="s">
        <v>249</v>
      </c>
      <c r="BA91" s="4" t="s">
        <v>241</v>
      </c>
      <c r="BB91" s="4" t="s">
        <v>250</v>
      </c>
      <c r="BC91" s="4" t="s">
        <v>241</v>
      </c>
      <c r="BD91" s="4" t="s">
        <v>252</v>
      </c>
      <c r="BE91" s="4" t="s">
        <v>241</v>
      </c>
      <c r="BG91" s="4" t="s">
        <v>4227</v>
      </c>
      <c r="BI91" s="4" t="s">
        <v>253</v>
      </c>
      <c r="BJ91" s="5" t="s">
        <v>246</v>
      </c>
      <c r="BK91" s="4" t="s">
        <v>254</v>
      </c>
      <c r="BL91" s="4" t="s">
        <v>255</v>
      </c>
      <c r="BM91" s="4" t="s">
        <v>241</v>
      </c>
      <c r="BN91" s="6">
        <f>0</f>
        <v>0</v>
      </c>
      <c r="BO91" s="6">
        <f>0</f>
        <v>0</v>
      </c>
      <c r="BP91" s="4" t="s">
        <v>256</v>
      </c>
      <c r="BQ91" s="4" t="s">
        <v>257</v>
      </c>
      <c r="CE91" s="4" t="s">
        <v>241</v>
      </c>
      <c r="CF91" s="4" t="s">
        <v>241</v>
      </c>
      <c r="CJ91" s="4" t="s">
        <v>258</v>
      </c>
      <c r="CK91" s="4" t="s">
        <v>259</v>
      </c>
      <c r="CL91" s="4" t="s">
        <v>241</v>
      </c>
      <c r="CO91" s="5" t="s">
        <v>260</v>
      </c>
      <c r="CP91" s="4" t="s">
        <v>241</v>
      </c>
      <c r="CQ91" s="4" t="s">
        <v>261</v>
      </c>
      <c r="CR91" s="4" t="s">
        <v>241</v>
      </c>
      <c r="CS91" s="4" t="s">
        <v>241</v>
      </c>
      <c r="CT91" s="4">
        <v>0</v>
      </c>
      <c r="CU91" s="4" t="s">
        <v>262</v>
      </c>
      <c r="CV91" s="4" t="s">
        <v>263</v>
      </c>
      <c r="CW91" s="4" t="s">
        <v>263</v>
      </c>
      <c r="CX91" s="4" t="s">
        <v>264</v>
      </c>
      <c r="DA91" s="6">
        <f>1676755</f>
        <v>1676755</v>
      </c>
      <c r="DC91" s="4" t="s">
        <v>422</v>
      </c>
      <c r="DD91" s="4" t="s">
        <v>241</v>
      </c>
      <c r="DF91" s="4" t="s">
        <v>287</v>
      </c>
      <c r="DG91" s="6">
        <f>0</f>
        <v>0</v>
      </c>
      <c r="DI91" s="4" t="s">
        <v>414</v>
      </c>
      <c r="DJ91" s="4" t="s">
        <v>241</v>
      </c>
      <c r="DK91" s="4" t="s">
        <v>241</v>
      </c>
      <c r="DL91" s="4" t="s">
        <v>241</v>
      </c>
      <c r="DP91" s="4" t="s">
        <v>241</v>
      </c>
      <c r="DQ91" s="4" t="s">
        <v>241</v>
      </c>
      <c r="DR91" s="4" t="s">
        <v>241</v>
      </c>
      <c r="DS91" s="4" t="s">
        <v>241</v>
      </c>
      <c r="DV91" s="4" t="s">
        <v>5411</v>
      </c>
      <c r="DW91" s="4" t="s">
        <v>267</v>
      </c>
      <c r="HO91" s="4" t="s">
        <v>267</v>
      </c>
    </row>
    <row r="92" spans="1:223" ht="19.5" customHeight="1" x14ac:dyDescent="0.4">
      <c r="A92" s="4">
        <v>1</v>
      </c>
      <c r="B92" s="4" t="s">
        <v>239</v>
      </c>
      <c r="C92" s="4">
        <v>803</v>
      </c>
      <c r="D92" s="4">
        <v>1</v>
      </c>
      <c r="E92" s="4">
        <v>1</v>
      </c>
      <c r="F92" s="4" t="s">
        <v>240</v>
      </c>
      <c r="G92" s="4" t="s">
        <v>241</v>
      </c>
      <c r="H92" s="4" t="s">
        <v>241</v>
      </c>
      <c r="I92" s="4" t="s">
        <v>5321</v>
      </c>
      <c r="J92" s="4" t="s">
        <v>418</v>
      </c>
      <c r="K92" s="4" t="s">
        <v>251</v>
      </c>
      <c r="L92" s="4" t="s">
        <v>5320</v>
      </c>
      <c r="M92" s="5" t="s">
        <v>5412</v>
      </c>
      <c r="N92" s="6">
        <f>389</f>
        <v>389</v>
      </c>
      <c r="O92" s="4" t="s">
        <v>265</v>
      </c>
      <c r="P92" s="6">
        <f>861635</f>
        <v>861635</v>
      </c>
      <c r="Q92" s="6">
        <f>0</f>
        <v>0</v>
      </c>
      <c r="S92" s="6">
        <f>0</f>
        <v>0</v>
      </c>
      <c r="T92" s="6">
        <f>861635</f>
        <v>861635</v>
      </c>
      <c r="U92" s="5" t="s">
        <v>245</v>
      </c>
      <c r="V92" s="4" t="s">
        <v>270</v>
      </c>
      <c r="W92" s="4" t="s">
        <v>242</v>
      </c>
      <c r="X92" s="4" t="s">
        <v>273</v>
      </c>
      <c r="Y92" s="4" t="s">
        <v>241</v>
      </c>
      <c r="AB92" s="4" t="s">
        <v>241</v>
      </c>
      <c r="AD92" s="5" t="s">
        <v>241</v>
      </c>
      <c r="AG92" s="5" t="s">
        <v>246</v>
      </c>
      <c r="AH92" s="4" t="s">
        <v>241</v>
      </c>
      <c r="AI92" s="4" t="s">
        <v>247</v>
      </c>
      <c r="AJ92" s="4" t="s">
        <v>248</v>
      </c>
      <c r="AZ92" s="4" t="s">
        <v>249</v>
      </c>
      <c r="BA92" s="4" t="s">
        <v>241</v>
      </c>
      <c r="BB92" s="4" t="s">
        <v>250</v>
      </c>
      <c r="BC92" s="4" t="s">
        <v>241</v>
      </c>
      <c r="BD92" s="4" t="s">
        <v>252</v>
      </c>
      <c r="BE92" s="4" t="s">
        <v>241</v>
      </c>
      <c r="BG92" s="4" t="s">
        <v>4227</v>
      </c>
      <c r="BI92" s="4" t="s">
        <v>253</v>
      </c>
      <c r="BJ92" s="5" t="s">
        <v>246</v>
      </c>
      <c r="BK92" s="4" t="s">
        <v>254</v>
      </c>
      <c r="BL92" s="4" t="s">
        <v>255</v>
      </c>
      <c r="BM92" s="4" t="s">
        <v>241</v>
      </c>
      <c r="BN92" s="6">
        <f>0</f>
        <v>0</v>
      </c>
      <c r="BO92" s="6">
        <f>0</f>
        <v>0</v>
      </c>
      <c r="BP92" s="4" t="s">
        <v>256</v>
      </c>
      <c r="BQ92" s="4" t="s">
        <v>257</v>
      </c>
      <c r="CE92" s="4" t="s">
        <v>241</v>
      </c>
      <c r="CF92" s="4" t="s">
        <v>241</v>
      </c>
      <c r="CJ92" s="4" t="s">
        <v>258</v>
      </c>
      <c r="CK92" s="4" t="s">
        <v>259</v>
      </c>
      <c r="CL92" s="4" t="s">
        <v>241</v>
      </c>
      <c r="CO92" s="5" t="s">
        <v>260</v>
      </c>
      <c r="CP92" s="4" t="s">
        <v>241</v>
      </c>
      <c r="CQ92" s="4" t="s">
        <v>261</v>
      </c>
      <c r="CR92" s="4" t="s">
        <v>241</v>
      </c>
      <c r="CS92" s="4" t="s">
        <v>241</v>
      </c>
      <c r="CT92" s="4">
        <v>0</v>
      </c>
      <c r="CU92" s="4" t="s">
        <v>262</v>
      </c>
      <c r="CV92" s="4" t="s">
        <v>263</v>
      </c>
      <c r="CW92" s="4" t="s">
        <v>263</v>
      </c>
      <c r="CX92" s="4" t="s">
        <v>264</v>
      </c>
      <c r="DA92" s="6">
        <f>861635</f>
        <v>861635</v>
      </c>
      <c r="DC92" s="4" t="s">
        <v>422</v>
      </c>
      <c r="DD92" s="4" t="s">
        <v>241</v>
      </c>
      <c r="DF92" s="4" t="s">
        <v>287</v>
      </c>
      <c r="DG92" s="6">
        <f>0</f>
        <v>0</v>
      </c>
      <c r="DI92" s="4" t="s">
        <v>414</v>
      </c>
      <c r="DJ92" s="4" t="s">
        <v>241</v>
      </c>
      <c r="DK92" s="4" t="s">
        <v>241</v>
      </c>
      <c r="DL92" s="4" t="s">
        <v>241</v>
      </c>
      <c r="DP92" s="4" t="s">
        <v>241</v>
      </c>
      <c r="DQ92" s="4" t="s">
        <v>241</v>
      </c>
      <c r="DR92" s="4" t="s">
        <v>241</v>
      </c>
      <c r="DS92" s="4" t="s">
        <v>241</v>
      </c>
      <c r="DV92" s="4" t="s">
        <v>5323</v>
      </c>
      <c r="DW92" s="4" t="s">
        <v>267</v>
      </c>
      <c r="HO92" s="4" t="s">
        <v>267</v>
      </c>
    </row>
    <row r="93" spans="1:223" ht="19.5" customHeight="1" x14ac:dyDescent="0.4">
      <c r="A93" s="4">
        <v>1</v>
      </c>
      <c r="B93" s="4" t="s">
        <v>239</v>
      </c>
      <c r="C93" s="4">
        <v>804</v>
      </c>
      <c r="D93" s="4">
        <v>1</v>
      </c>
      <c r="E93" s="4">
        <v>1</v>
      </c>
      <c r="F93" s="4" t="s">
        <v>240</v>
      </c>
      <c r="G93" s="4" t="s">
        <v>241</v>
      </c>
      <c r="H93" s="4" t="s">
        <v>241</v>
      </c>
      <c r="I93" s="4" t="s">
        <v>5321</v>
      </c>
      <c r="J93" s="4" t="s">
        <v>418</v>
      </c>
      <c r="K93" s="4" t="s">
        <v>251</v>
      </c>
      <c r="L93" s="4" t="s">
        <v>5320</v>
      </c>
      <c r="M93" s="5" t="s">
        <v>5322</v>
      </c>
      <c r="N93" s="6">
        <f>125</f>
        <v>125</v>
      </c>
      <c r="O93" s="4" t="s">
        <v>265</v>
      </c>
      <c r="P93" s="6">
        <f>276875</f>
        <v>276875</v>
      </c>
      <c r="Q93" s="6">
        <f>0</f>
        <v>0</v>
      </c>
      <c r="S93" s="6">
        <f>0</f>
        <v>0</v>
      </c>
      <c r="T93" s="6">
        <f>276875</f>
        <v>276875</v>
      </c>
      <c r="U93" s="5" t="s">
        <v>245</v>
      </c>
      <c r="V93" s="4" t="s">
        <v>270</v>
      </c>
      <c r="W93" s="4" t="s">
        <v>242</v>
      </c>
      <c r="X93" s="4" t="s">
        <v>273</v>
      </c>
      <c r="Y93" s="4" t="s">
        <v>241</v>
      </c>
      <c r="AB93" s="4" t="s">
        <v>241</v>
      </c>
      <c r="AD93" s="5" t="s">
        <v>241</v>
      </c>
      <c r="AG93" s="5" t="s">
        <v>246</v>
      </c>
      <c r="AH93" s="4" t="s">
        <v>241</v>
      </c>
      <c r="AI93" s="4" t="s">
        <v>247</v>
      </c>
      <c r="AJ93" s="4" t="s">
        <v>248</v>
      </c>
      <c r="AZ93" s="4" t="s">
        <v>249</v>
      </c>
      <c r="BA93" s="4" t="s">
        <v>241</v>
      </c>
      <c r="BB93" s="4" t="s">
        <v>250</v>
      </c>
      <c r="BC93" s="4" t="s">
        <v>241</v>
      </c>
      <c r="BD93" s="4" t="s">
        <v>252</v>
      </c>
      <c r="BE93" s="4" t="s">
        <v>241</v>
      </c>
      <c r="BI93" s="4" t="s">
        <v>253</v>
      </c>
      <c r="BJ93" s="5" t="s">
        <v>246</v>
      </c>
      <c r="BK93" s="4" t="s">
        <v>254</v>
      </c>
      <c r="BL93" s="4" t="s">
        <v>255</v>
      </c>
      <c r="BM93" s="4" t="s">
        <v>241</v>
      </c>
      <c r="BN93" s="6">
        <f>0</f>
        <v>0</v>
      </c>
      <c r="BO93" s="6">
        <f>0</f>
        <v>0</v>
      </c>
      <c r="BP93" s="4" t="s">
        <v>256</v>
      </c>
      <c r="BQ93" s="4" t="s">
        <v>257</v>
      </c>
      <c r="CE93" s="4" t="s">
        <v>241</v>
      </c>
      <c r="CF93" s="4" t="s">
        <v>241</v>
      </c>
      <c r="CJ93" s="4" t="s">
        <v>258</v>
      </c>
      <c r="CK93" s="4" t="s">
        <v>259</v>
      </c>
      <c r="CL93" s="4" t="s">
        <v>241</v>
      </c>
      <c r="CO93" s="5" t="s">
        <v>260</v>
      </c>
      <c r="CP93" s="4" t="s">
        <v>241</v>
      </c>
      <c r="CQ93" s="4" t="s">
        <v>261</v>
      </c>
      <c r="CR93" s="4" t="s">
        <v>241</v>
      </c>
      <c r="CS93" s="4" t="s">
        <v>241</v>
      </c>
      <c r="CT93" s="4">
        <v>0</v>
      </c>
      <c r="CU93" s="4" t="s">
        <v>262</v>
      </c>
      <c r="CV93" s="4" t="s">
        <v>263</v>
      </c>
      <c r="CW93" s="4" t="s">
        <v>263</v>
      </c>
      <c r="CX93" s="4" t="s">
        <v>264</v>
      </c>
      <c r="DA93" s="6">
        <f>276875</f>
        <v>276875</v>
      </c>
      <c r="DC93" s="4" t="s">
        <v>422</v>
      </c>
      <c r="DD93" s="4" t="s">
        <v>241</v>
      </c>
      <c r="DF93" s="4" t="s">
        <v>287</v>
      </c>
      <c r="DG93" s="6">
        <f>0</f>
        <v>0</v>
      </c>
      <c r="DI93" s="4" t="s">
        <v>414</v>
      </c>
      <c r="DJ93" s="4" t="s">
        <v>241</v>
      </c>
      <c r="DK93" s="4" t="s">
        <v>241</v>
      </c>
      <c r="DL93" s="4" t="s">
        <v>241</v>
      </c>
      <c r="DP93" s="4" t="s">
        <v>241</v>
      </c>
      <c r="DQ93" s="4" t="s">
        <v>241</v>
      </c>
      <c r="DR93" s="4" t="s">
        <v>241</v>
      </c>
      <c r="DS93" s="4" t="s">
        <v>241</v>
      </c>
      <c r="DV93" s="4" t="s">
        <v>5323</v>
      </c>
      <c r="DW93" s="4" t="s">
        <v>416</v>
      </c>
      <c r="HO93" s="4" t="s">
        <v>267</v>
      </c>
    </row>
    <row r="94" spans="1:223" ht="19.5" customHeight="1" x14ac:dyDescent="0.4">
      <c r="A94" s="4">
        <v>1</v>
      </c>
      <c r="B94" s="4" t="s">
        <v>239</v>
      </c>
      <c r="C94" s="4">
        <v>805</v>
      </c>
      <c r="D94" s="4">
        <v>1</v>
      </c>
      <c r="E94" s="4">
        <v>1</v>
      </c>
      <c r="F94" s="4" t="s">
        <v>240</v>
      </c>
      <c r="G94" s="4" t="s">
        <v>241</v>
      </c>
      <c r="H94" s="4" t="s">
        <v>241</v>
      </c>
      <c r="I94" s="4" t="s">
        <v>5317</v>
      </c>
      <c r="J94" s="4" t="s">
        <v>418</v>
      </c>
      <c r="K94" s="4" t="s">
        <v>251</v>
      </c>
      <c r="L94" s="4" t="s">
        <v>5316</v>
      </c>
      <c r="M94" s="5" t="s">
        <v>5318</v>
      </c>
      <c r="N94" s="6">
        <f>3374</f>
        <v>3374</v>
      </c>
      <c r="O94" s="4" t="s">
        <v>265</v>
      </c>
      <c r="P94" s="6">
        <f>7473410</f>
        <v>7473410</v>
      </c>
      <c r="Q94" s="6">
        <f>0</f>
        <v>0</v>
      </c>
      <c r="S94" s="6">
        <f>0</f>
        <v>0</v>
      </c>
      <c r="T94" s="6">
        <f>7473410</f>
        <v>7473410</v>
      </c>
      <c r="U94" s="5" t="s">
        <v>245</v>
      </c>
      <c r="V94" s="4" t="s">
        <v>270</v>
      </c>
      <c r="W94" s="4" t="s">
        <v>242</v>
      </c>
      <c r="X94" s="4" t="s">
        <v>273</v>
      </c>
      <c r="Y94" s="4" t="s">
        <v>241</v>
      </c>
      <c r="AB94" s="4" t="s">
        <v>241</v>
      </c>
      <c r="AD94" s="5" t="s">
        <v>241</v>
      </c>
      <c r="AG94" s="5" t="s">
        <v>246</v>
      </c>
      <c r="AH94" s="4" t="s">
        <v>241</v>
      </c>
      <c r="AI94" s="4" t="s">
        <v>247</v>
      </c>
      <c r="AJ94" s="4" t="s">
        <v>248</v>
      </c>
      <c r="AZ94" s="4" t="s">
        <v>249</v>
      </c>
      <c r="BA94" s="4" t="s">
        <v>241</v>
      </c>
      <c r="BB94" s="4" t="s">
        <v>250</v>
      </c>
      <c r="BC94" s="4" t="s">
        <v>241</v>
      </c>
      <c r="BD94" s="4" t="s">
        <v>252</v>
      </c>
      <c r="BE94" s="4" t="s">
        <v>241</v>
      </c>
      <c r="BG94" s="4" t="s">
        <v>4227</v>
      </c>
      <c r="BI94" s="4" t="s">
        <v>253</v>
      </c>
      <c r="BJ94" s="5" t="s">
        <v>246</v>
      </c>
      <c r="BK94" s="4" t="s">
        <v>254</v>
      </c>
      <c r="BL94" s="4" t="s">
        <v>255</v>
      </c>
      <c r="BM94" s="4" t="s">
        <v>241</v>
      </c>
      <c r="BN94" s="6">
        <f>0</f>
        <v>0</v>
      </c>
      <c r="BO94" s="6">
        <f>0</f>
        <v>0</v>
      </c>
      <c r="BP94" s="4" t="s">
        <v>256</v>
      </c>
      <c r="BQ94" s="4" t="s">
        <v>257</v>
      </c>
      <c r="CE94" s="4" t="s">
        <v>241</v>
      </c>
      <c r="CF94" s="4" t="s">
        <v>241</v>
      </c>
      <c r="CJ94" s="4" t="s">
        <v>258</v>
      </c>
      <c r="CK94" s="4" t="s">
        <v>259</v>
      </c>
      <c r="CL94" s="4" t="s">
        <v>241</v>
      </c>
      <c r="CO94" s="5" t="s">
        <v>260</v>
      </c>
      <c r="CP94" s="4" t="s">
        <v>241</v>
      </c>
      <c r="CQ94" s="4" t="s">
        <v>261</v>
      </c>
      <c r="CR94" s="4" t="s">
        <v>241</v>
      </c>
      <c r="CS94" s="4" t="s">
        <v>241</v>
      </c>
      <c r="CT94" s="4">
        <v>0</v>
      </c>
      <c r="CU94" s="4" t="s">
        <v>262</v>
      </c>
      <c r="CV94" s="4" t="s">
        <v>263</v>
      </c>
      <c r="CW94" s="4" t="s">
        <v>263</v>
      </c>
      <c r="CX94" s="4" t="s">
        <v>264</v>
      </c>
      <c r="DA94" s="6">
        <f>7473410</f>
        <v>7473410</v>
      </c>
      <c r="DC94" s="4" t="s">
        <v>422</v>
      </c>
      <c r="DD94" s="4" t="s">
        <v>241</v>
      </c>
      <c r="DF94" s="4" t="s">
        <v>287</v>
      </c>
      <c r="DG94" s="6">
        <f>0</f>
        <v>0</v>
      </c>
      <c r="DI94" s="4" t="s">
        <v>414</v>
      </c>
      <c r="DJ94" s="4" t="s">
        <v>241</v>
      </c>
      <c r="DK94" s="4" t="s">
        <v>241</v>
      </c>
      <c r="DL94" s="4" t="s">
        <v>241</v>
      </c>
      <c r="DP94" s="4" t="s">
        <v>241</v>
      </c>
      <c r="DQ94" s="4" t="s">
        <v>241</v>
      </c>
      <c r="DR94" s="4" t="s">
        <v>241</v>
      </c>
      <c r="DS94" s="4" t="s">
        <v>241</v>
      </c>
      <c r="DV94" s="4" t="s">
        <v>5319</v>
      </c>
      <c r="DW94" s="4" t="s">
        <v>267</v>
      </c>
      <c r="HO94" s="4" t="s">
        <v>267</v>
      </c>
    </row>
    <row r="95" spans="1:223" ht="19.5" customHeight="1" x14ac:dyDescent="0.4">
      <c r="A95" s="4">
        <v>1</v>
      </c>
      <c r="B95" s="4" t="s">
        <v>239</v>
      </c>
      <c r="C95" s="4">
        <v>806</v>
      </c>
      <c r="D95" s="4">
        <v>1</v>
      </c>
      <c r="E95" s="4">
        <v>1</v>
      </c>
      <c r="F95" s="4" t="s">
        <v>240</v>
      </c>
      <c r="G95" s="4" t="s">
        <v>241</v>
      </c>
      <c r="H95" s="4" t="s">
        <v>241</v>
      </c>
      <c r="I95" s="4" t="s">
        <v>5311</v>
      </c>
      <c r="J95" s="4" t="s">
        <v>418</v>
      </c>
      <c r="K95" s="4" t="s">
        <v>251</v>
      </c>
      <c r="L95" s="4" t="s">
        <v>5310</v>
      </c>
      <c r="M95" s="5" t="s">
        <v>5315</v>
      </c>
      <c r="N95" s="6">
        <f>178</f>
        <v>178</v>
      </c>
      <c r="O95" s="4" t="s">
        <v>265</v>
      </c>
      <c r="P95" s="6">
        <f>394270</f>
        <v>394270</v>
      </c>
      <c r="Q95" s="6">
        <f>0</f>
        <v>0</v>
      </c>
      <c r="S95" s="6">
        <f>0</f>
        <v>0</v>
      </c>
      <c r="T95" s="6">
        <f>394270</f>
        <v>394270</v>
      </c>
      <c r="U95" s="5" t="s">
        <v>245</v>
      </c>
      <c r="V95" s="4" t="s">
        <v>270</v>
      </c>
      <c r="W95" s="4" t="s">
        <v>242</v>
      </c>
      <c r="X95" s="4" t="s">
        <v>273</v>
      </c>
      <c r="Y95" s="4" t="s">
        <v>241</v>
      </c>
      <c r="AB95" s="4" t="s">
        <v>241</v>
      </c>
      <c r="AD95" s="5" t="s">
        <v>241</v>
      </c>
      <c r="AG95" s="5" t="s">
        <v>246</v>
      </c>
      <c r="AH95" s="4" t="s">
        <v>241</v>
      </c>
      <c r="AI95" s="4" t="s">
        <v>247</v>
      </c>
      <c r="AJ95" s="4" t="s">
        <v>248</v>
      </c>
      <c r="AZ95" s="4" t="s">
        <v>249</v>
      </c>
      <c r="BA95" s="4" t="s">
        <v>241</v>
      </c>
      <c r="BB95" s="4" t="s">
        <v>250</v>
      </c>
      <c r="BC95" s="4" t="s">
        <v>241</v>
      </c>
      <c r="BD95" s="4" t="s">
        <v>252</v>
      </c>
      <c r="BE95" s="4" t="s">
        <v>241</v>
      </c>
      <c r="BG95" s="4" t="s">
        <v>4227</v>
      </c>
      <c r="BI95" s="4" t="s">
        <v>253</v>
      </c>
      <c r="BJ95" s="5" t="s">
        <v>246</v>
      </c>
      <c r="BK95" s="4" t="s">
        <v>254</v>
      </c>
      <c r="BL95" s="4" t="s">
        <v>255</v>
      </c>
      <c r="BM95" s="4" t="s">
        <v>241</v>
      </c>
      <c r="BN95" s="6">
        <f>0</f>
        <v>0</v>
      </c>
      <c r="BO95" s="6">
        <f>0</f>
        <v>0</v>
      </c>
      <c r="BP95" s="4" t="s">
        <v>256</v>
      </c>
      <c r="BQ95" s="4" t="s">
        <v>257</v>
      </c>
      <c r="CE95" s="4" t="s">
        <v>241</v>
      </c>
      <c r="CF95" s="4" t="s">
        <v>241</v>
      </c>
      <c r="CJ95" s="4" t="s">
        <v>258</v>
      </c>
      <c r="CK95" s="4" t="s">
        <v>259</v>
      </c>
      <c r="CL95" s="4" t="s">
        <v>241</v>
      </c>
      <c r="CO95" s="5" t="s">
        <v>260</v>
      </c>
      <c r="CP95" s="4" t="s">
        <v>241</v>
      </c>
      <c r="CQ95" s="4" t="s">
        <v>261</v>
      </c>
      <c r="CR95" s="4" t="s">
        <v>241</v>
      </c>
      <c r="CS95" s="4" t="s">
        <v>241</v>
      </c>
      <c r="CT95" s="4">
        <v>0</v>
      </c>
      <c r="CU95" s="4" t="s">
        <v>262</v>
      </c>
      <c r="CV95" s="4" t="s">
        <v>263</v>
      </c>
      <c r="CW95" s="4" t="s">
        <v>263</v>
      </c>
      <c r="CX95" s="4" t="s">
        <v>264</v>
      </c>
      <c r="DA95" s="6">
        <f>394270</f>
        <v>394270</v>
      </c>
      <c r="DC95" s="4" t="s">
        <v>422</v>
      </c>
      <c r="DD95" s="4" t="s">
        <v>241</v>
      </c>
      <c r="DF95" s="4" t="s">
        <v>287</v>
      </c>
      <c r="DG95" s="6">
        <f>0</f>
        <v>0</v>
      </c>
      <c r="DI95" s="4" t="s">
        <v>414</v>
      </c>
      <c r="DJ95" s="4" t="s">
        <v>241</v>
      </c>
      <c r="DK95" s="4" t="s">
        <v>241</v>
      </c>
      <c r="DL95" s="4" t="s">
        <v>241</v>
      </c>
      <c r="DP95" s="4" t="s">
        <v>241</v>
      </c>
      <c r="DQ95" s="4" t="s">
        <v>241</v>
      </c>
      <c r="DR95" s="4" t="s">
        <v>241</v>
      </c>
      <c r="DS95" s="4" t="s">
        <v>241</v>
      </c>
      <c r="DV95" s="4" t="s">
        <v>5313</v>
      </c>
      <c r="DW95" s="4" t="s">
        <v>267</v>
      </c>
      <c r="HO95" s="4" t="s">
        <v>267</v>
      </c>
    </row>
    <row r="96" spans="1:223" ht="19.5" customHeight="1" x14ac:dyDescent="0.4">
      <c r="A96" s="4">
        <v>1</v>
      </c>
      <c r="B96" s="4" t="s">
        <v>239</v>
      </c>
      <c r="C96" s="4">
        <v>807</v>
      </c>
      <c r="D96" s="4">
        <v>1</v>
      </c>
      <c r="E96" s="4">
        <v>1</v>
      </c>
      <c r="F96" s="4" t="s">
        <v>240</v>
      </c>
      <c r="G96" s="4" t="s">
        <v>241</v>
      </c>
      <c r="H96" s="4" t="s">
        <v>241</v>
      </c>
      <c r="I96" s="4" t="s">
        <v>5311</v>
      </c>
      <c r="J96" s="4" t="s">
        <v>418</v>
      </c>
      <c r="K96" s="4" t="s">
        <v>251</v>
      </c>
      <c r="L96" s="4" t="s">
        <v>5310</v>
      </c>
      <c r="M96" s="5" t="s">
        <v>5413</v>
      </c>
      <c r="N96" s="6">
        <f>468</f>
        <v>468</v>
      </c>
      <c r="O96" s="4" t="s">
        <v>265</v>
      </c>
      <c r="P96" s="6">
        <f>1036620</f>
        <v>1036620</v>
      </c>
      <c r="Q96" s="6">
        <f>0</f>
        <v>0</v>
      </c>
      <c r="S96" s="6">
        <f>0</f>
        <v>0</v>
      </c>
      <c r="T96" s="6">
        <f>1036620</f>
        <v>1036620</v>
      </c>
      <c r="U96" s="5" t="s">
        <v>245</v>
      </c>
      <c r="V96" s="4" t="s">
        <v>270</v>
      </c>
      <c r="W96" s="4" t="s">
        <v>242</v>
      </c>
      <c r="X96" s="4" t="s">
        <v>273</v>
      </c>
      <c r="Y96" s="4" t="s">
        <v>241</v>
      </c>
      <c r="AB96" s="4" t="s">
        <v>241</v>
      </c>
      <c r="AD96" s="5" t="s">
        <v>241</v>
      </c>
      <c r="AG96" s="5" t="s">
        <v>246</v>
      </c>
      <c r="AH96" s="4" t="s">
        <v>241</v>
      </c>
      <c r="AI96" s="4" t="s">
        <v>247</v>
      </c>
      <c r="AJ96" s="4" t="s">
        <v>248</v>
      </c>
      <c r="AZ96" s="4" t="s">
        <v>249</v>
      </c>
      <c r="BA96" s="4" t="s">
        <v>241</v>
      </c>
      <c r="BB96" s="4" t="s">
        <v>250</v>
      </c>
      <c r="BC96" s="4" t="s">
        <v>241</v>
      </c>
      <c r="BD96" s="4" t="s">
        <v>252</v>
      </c>
      <c r="BE96" s="4" t="s">
        <v>241</v>
      </c>
      <c r="BI96" s="4" t="s">
        <v>253</v>
      </c>
      <c r="BJ96" s="5" t="s">
        <v>246</v>
      </c>
      <c r="BK96" s="4" t="s">
        <v>254</v>
      </c>
      <c r="BL96" s="4" t="s">
        <v>255</v>
      </c>
      <c r="BM96" s="4" t="s">
        <v>241</v>
      </c>
      <c r="BN96" s="6">
        <f>0</f>
        <v>0</v>
      </c>
      <c r="BO96" s="6">
        <f>0</f>
        <v>0</v>
      </c>
      <c r="BP96" s="4" t="s">
        <v>256</v>
      </c>
      <c r="BQ96" s="4" t="s">
        <v>257</v>
      </c>
      <c r="CE96" s="4" t="s">
        <v>241</v>
      </c>
      <c r="CF96" s="4" t="s">
        <v>241</v>
      </c>
      <c r="CJ96" s="4" t="s">
        <v>258</v>
      </c>
      <c r="CK96" s="4" t="s">
        <v>259</v>
      </c>
      <c r="CL96" s="4" t="s">
        <v>241</v>
      </c>
      <c r="CO96" s="5" t="s">
        <v>260</v>
      </c>
      <c r="CP96" s="4" t="s">
        <v>241</v>
      </c>
      <c r="CQ96" s="4" t="s">
        <v>261</v>
      </c>
      <c r="CR96" s="4" t="s">
        <v>241</v>
      </c>
      <c r="CS96" s="4" t="s">
        <v>241</v>
      </c>
      <c r="CT96" s="4">
        <v>0</v>
      </c>
      <c r="CU96" s="4" t="s">
        <v>262</v>
      </c>
      <c r="CV96" s="4" t="s">
        <v>263</v>
      </c>
      <c r="CW96" s="4" t="s">
        <v>263</v>
      </c>
      <c r="CX96" s="4" t="s">
        <v>264</v>
      </c>
      <c r="DA96" s="6">
        <f>1036620</f>
        <v>1036620</v>
      </c>
      <c r="DC96" s="4" t="s">
        <v>422</v>
      </c>
      <c r="DD96" s="4" t="s">
        <v>241</v>
      </c>
      <c r="DF96" s="4" t="s">
        <v>287</v>
      </c>
      <c r="DG96" s="6">
        <f>0</f>
        <v>0</v>
      </c>
      <c r="DI96" s="4" t="s">
        <v>414</v>
      </c>
      <c r="DJ96" s="4" t="s">
        <v>241</v>
      </c>
      <c r="DK96" s="4" t="s">
        <v>241</v>
      </c>
      <c r="DL96" s="4" t="s">
        <v>241</v>
      </c>
      <c r="DP96" s="4" t="s">
        <v>241</v>
      </c>
      <c r="DQ96" s="4" t="s">
        <v>241</v>
      </c>
      <c r="DR96" s="4" t="s">
        <v>241</v>
      </c>
      <c r="DS96" s="4" t="s">
        <v>241</v>
      </c>
      <c r="DV96" s="4" t="s">
        <v>5313</v>
      </c>
      <c r="DW96" s="4" t="s">
        <v>416</v>
      </c>
      <c r="HO96" s="4" t="s">
        <v>267</v>
      </c>
    </row>
    <row r="97" spans="1:223" ht="19.5" customHeight="1" x14ac:dyDescent="0.4">
      <c r="A97" s="4">
        <v>1</v>
      </c>
      <c r="B97" s="4" t="s">
        <v>239</v>
      </c>
      <c r="C97" s="4">
        <v>808</v>
      </c>
      <c r="D97" s="4">
        <v>1</v>
      </c>
      <c r="E97" s="4">
        <v>1</v>
      </c>
      <c r="F97" s="4" t="s">
        <v>240</v>
      </c>
      <c r="G97" s="4" t="s">
        <v>241</v>
      </c>
      <c r="H97" s="4" t="s">
        <v>241</v>
      </c>
      <c r="I97" s="4" t="s">
        <v>5311</v>
      </c>
      <c r="J97" s="4" t="s">
        <v>418</v>
      </c>
      <c r="K97" s="4" t="s">
        <v>251</v>
      </c>
      <c r="L97" s="4" t="s">
        <v>5310</v>
      </c>
      <c r="M97" s="5" t="s">
        <v>5312</v>
      </c>
      <c r="N97" s="6">
        <f>512</f>
        <v>512</v>
      </c>
      <c r="O97" s="4" t="s">
        <v>265</v>
      </c>
      <c r="P97" s="6">
        <f>1134080</f>
        <v>1134080</v>
      </c>
      <c r="Q97" s="6">
        <f>0</f>
        <v>0</v>
      </c>
      <c r="S97" s="6">
        <f>0</f>
        <v>0</v>
      </c>
      <c r="T97" s="6">
        <f>1134080</f>
        <v>1134080</v>
      </c>
      <c r="U97" s="5" t="s">
        <v>245</v>
      </c>
      <c r="V97" s="4" t="s">
        <v>270</v>
      </c>
      <c r="W97" s="4" t="s">
        <v>242</v>
      </c>
      <c r="X97" s="4" t="s">
        <v>273</v>
      </c>
      <c r="Y97" s="4" t="s">
        <v>241</v>
      </c>
      <c r="AB97" s="4" t="s">
        <v>241</v>
      </c>
      <c r="AD97" s="5" t="s">
        <v>241</v>
      </c>
      <c r="AG97" s="5" t="s">
        <v>246</v>
      </c>
      <c r="AH97" s="4" t="s">
        <v>241</v>
      </c>
      <c r="AI97" s="4" t="s">
        <v>247</v>
      </c>
      <c r="AJ97" s="4" t="s">
        <v>248</v>
      </c>
      <c r="AZ97" s="4" t="s">
        <v>249</v>
      </c>
      <c r="BA97" s="4" t="s">
        <v>241</v>
      </c>
      <c r="BB97" s="4" t="s">
        <v>250</v>
      </c>
      <c r="BC97" s="4" t="s">
        <v>241</v>
      </c>
      <c r="BD97" s="4" t="s">
        <v>252</v>
      </c>
      <c r="BE97" s="4" t="s">
        <v>241</v>
      </c>
      <c r="BI97" s="4" t="s">
        <v>253</v>
      </c>
      <c r="BJ97" s="5" t="s">
        <v>246</v>
      </c>
      <c r="BK97" s="4" t="s">
        <v>254</v>
      </c>
      <c r="BL97" s="4" t="s">
        <v>255</v>
      </c>
      <c r="BM97" s="4" t="s">
        <v>241</v>
      </c>
      <c r="BN97" s="6">
        <f>0</f>
        <v>0</v>
      </c>
      <c r="BO97" s="6">
        <f>0</f>
        <v>0</v>
      </c>
      <c r="BP97" s="4" t="s">
        <v>256</v>
      </c>
      <c r="BQ97" s="4" t="s">
        <v>257</v>
      </c>
      <c r="CE97" s="4" t="s">
        <v>241</v>
      </c>
      <c r="CF97" s="4" t="s">
        <v>241</v>
      </c>
      <c r="CJ97" s="4" t="s">
        <v>258</v>
      </c>
      <c r="CK97" s="4" t="s">
        <v>259</v>
      </c>
      <c r="CL97" s="4" t="s">
        <v>241</v>
      </c>
      <c r="CO97" s="5" t="s">
        <v>260</v>
      </c>
      <c r="CP97" s="4" t="s">
        <v>241</v>
      </c>
      <c r="CQ97" s="4" t="s">
        <v>261</v>
      </c>
      <c r="CR97" s="4" t="s">
        <v>241</v>
      </c>
      <c r="CS97" s="4" t="s">
        <v>241</v>
      </c>
      <c r="CT97" s="4">
        <v>0</v>
      </c>
      <c r="CU97" s="4" t="s">
        <v>262</v>
      </c>
      <c r="CV97" s="4" t="s">
        <v>263</v>
      </c>
      <c r="CW97" s="4" t="s">
        <v>263</v>
      </c>
      <c r="CX97" s="4" t="s">
        <v>264</v>
      </c>
      <c r="DA97" s="6">
        <f>1134080</f>
        <v>1134080</v>
      </c>
      <c r="DC97" s="4" t="s">
        <v>422</v>
      </c>
      <c r="DD97" s="4" t="s">
        <v>241</v>
      </c>
      <c r="DF97" s="4" t="s">
        <v>287</v>
      </c>
      <c r="DG97" s="6">
        <f>0</f>
        <v>0</v>
      </c>
      <c r="DI97" s="4" t="s">
        <v>414</v>
      </c>
      <c r="DJ97" s="4" t="s">
        <v>241</v>
      </c>
      <c r="DK97" s="4" t="s">
        <v>241</v>
      </c>
      <c r="DL97" s="4" t="s">
        <v>241</v>
      </c>
      <c r="DP97" s="4" t="s">
        <v>241</v>
      </c>
      <c r="DQ97" s="4" t="s">
        <v>241</v>
      </c>
      <c r="DR97" s="4" t="s">
        <v>241</v>
      </c>
      <c r="DS97" s="4" t="s">
        <v>241</v>
      </c>
      <c r="DV97" s="4" t="s">
        <v>5313</v>
      </c>
      <c r="DW97" s="4" t="s">
        <v>388</v>
      </c>
      <c r="HO97" s="4" t="s">
        <v>267</v>
      </c>
    </row>
    <row r="98" spans="1:223" ht="19.5" customHeight="1" x14ac:dyDescent="0.4">
      <c r="A98" s="4">
        <v>1</v>
      </c>
      <c r="B98" s="4" t="s">
        <v>239</v>
      </c>
      <c r="C98" s="4">
        <v>809</v>
      </c>
      <c r="D98" s="4">
        <v>1</v>
      </c>
      <c r="E98" s="4">
        <v>1</v>
      </c>
      <c r="F98" s="4" t="s">
        <v>240</v>
      </c>
      <c r="G98" s="4" t="s">
        <v>241</v>
      </c>
      <c r="H98" s="4" t="s">
        <v>241</v>
      </c>
      <c r="I98" s="4" t="s">
        <v>5311</v>
      </c>
      <c r="J98" s="4" t="s">
        <v>418</v>
      </c>
      <c r="K98" s="4" t="s">
        <v>251</v>
      </c>
      <c r="L98" s="4" t="s">
        <v>5310</v>
      </c>
      <c r="M98" s="5" t="s">
        <v>5314</v>
      </c>
      <c r="N98" s="6">
        <f>23</f>
        <v>23</v>
      </c>
      <c r="O98" s="4" t="s">
        <v>265</v>
      </c>
      <c r="P98" s="6">
        <f>50945</f>
        <v>50945</v>
      </c>
      <c r="Q98" s="6">
        <f>0</f>
        <v>0</v>
      </c>
      <c r="S98" s="6">
        <f>0</f>
        <v>0</v>
      </c>
      <c r="T98" s="6">
        <f>50945</f>
        <v>50945</v>
      </c>
      <c r="U98" s="5" t="s">
        <v>245</v>
      </c>
      <c r="V98" s="4" t="s">
        <v>270</v>
      </c>
      <c r="W98" s="4" t="s">
        <v>242</v>
      </c>
      <c r="X98" s="4" t="s">
        <v>273</v>
      </c>
      <c r="Y98" s="4" t="s">
        <v>241</v>
      </c>
      <c r="AB98" s="4" t="s">
        <v>241</v>
      </c>
      <c r="AD98" s="5" t="s">
        <v>241</v>
      </c>
      <c r="AG98" s="5" t="s">
        <v>246</v>
      </c>
      <c r="AH98" s="4" t="s">
        <v>241</v>
      </c>
      <c r="AI98" s="4" t="s">
        <v>247</v>
      </c>
      <c r="AJ98" s="4" t="s">
        <v>248</v>
      </c>
      <c r="AZ98" s="4" t="s">
        <v>249</v>
      </c>
      <c r="BA98" s="4" t="s">
        <v>241</v>
      </c>
      <c r="BB98" s="4" t="s">
        <v>250</v>
      </c>
      <c r="BC98" s="4" t="s">
        <v>241</v>
      </c>
      <c r="BD98" s="4" t="s">
        <v>252</v>
      </c>
      <c r="BE98" s="4" t="s">
        <v>241</v>
      </c>
      <c r="BI98" s="4" t="s">
        <v>253</v>
      </c>
      <c r="BJ98" s="5" t="s">
        <v>246</v>
      </c>
      <c r="BK98" s="4" t="s">
        <v>254</v>
      </c>
      <c r="BL98" s="4" t="s">
        <v>255</v>
      </c>
      <c r="BM98" s="4" t="s">
        <v>241</v>
      </c>
      <c r="BN98" s="6">
        <f>0</f>
        <v>0</v>
      </c>
      <c r="BO98" s="6">
        <f>0</f>
        <v>0</v>
      </c>
      <c r="BP98" s="4" t="s">
        <v>256</v>
      </c>
      <c r="BQ98" s="4" t="s">
        <v>257</v>
      </c>
      <c r="CE98" s="4" t="s">
        <v>241</v>
      </c>
      <c r="CF98" s="4" t="s">
        <v>241</v>
      </c>
      <c r="CJ98" s="4" t="s">
        <v>258</v>
      </c>
      <c r="CK98" s="4" t="s">
        <v>259</v>
      </c>
      <c r="CL98" s="4" t="s">
        <v>241</v>
      </c>
      <c r="CO98" s="5" t="s">
        <v>260</v>
      </c>
      <c r="CP98" s="4" t="s">
        <v>241</v>
      </c>
      <c r="CQ98" s="4" t="s">
        <v>261</v>
      </c>
      <c r="CR98" s="4" t="s">
        <v>241</v>
      </c>
      <c r="CS98" s="4" t="s">
        <v>241</v>
      </c>
      <c r="CT98" s="4">
        <v>0</v>
      </c>
      <c r="CU98" s="4" t="s">
        <v>262</v>
      </c>
      <c r="CV98" s="4" t="s">
        <v>263</v>
      </c>
      <c r="CW98" s="4" t="s">
        <v>263</v>
      </c>
      <c r="CX98" s="4" t="s">
        <v>264</v>
      </c>
      <c r="DA98" s="6">
        <f>50945</f>
        <v>50945</v>
      </c>
      <c r="DC98" s="4" t="s">
        <v>422</v>
      </c>
      <c r="DD98" s="4" t="s">
        <v>241</v>
      </c>
      <c r="DF98" s="4" t="s">
        <v>287</v>
      </c>
      <c r="DG98" s="6">
        <f>0</f>
        <v>0</v>
      </c>
      <c r="DI98" s="4" t="s">
        <v>414</v>
      </c>
      <c r="DJ98" s="4" t="s">
        <v>241</v>
      </c>
      <c r="DK98" s="4" t="s">
        <v>241</v>
      </c>
      <c r="DL98" s="4" t="s">
        <v>241</v>
      </c>
      <c r="DP98" s="4" t="s">
        <v>241</v>
      </c>
      <c r="DQ98" s="4" t="s">
        <v>241</v>
      </c>
      <c r="DR98" s="4" t="s">
        <v>241</v>
      </c>
      <c r="DS98" s="4" t="s">
        <v>241</v>
      </c>
      <c r="DV98" s="4" t="s">
        <v>5313</v>
      </c>
      <c r="DW98" s="4" t="s">
        <v>327</v>
      </c>
      <c r="HO98" s="4" t="s">
        <v>267</v>
      </c>
    </row>
    <row r="99" spans="1:223" ht="19.5" customHeight="1" x14ac:dyDescent="0.4">
      <c r="A99" s="4">
        <v>1</v>
      </c>
      <c r="B99" s="4" t="s">
        <v>239</v>
      </c>
      <c r="C99" s="4">
        <v>810</v>
      </c>
      <c r="D99" s="4">
        <v>1</v>
      </c>
      <c r="E99" s="4">
        <v>1</v>
      </c>
      <c r="F99" s="4" t="s">
        <v>240</v>
      </c>
      <c r="G99" s="4" t="s">
        <v>241</v>
      </c>
      <c r="H99" s="4" t="s">
        <v>241</v>
      </c>
      <c r="I99" s="4" t="s">
        <v>5311</v>
      </c>
      <c r="J99" s="4" t="s">
        <v>418</v>
      </c>
      <c r="K99" s="4" t="s">
        <v>251</v>
      </c>
      <c r="L99" s="4" t="s">
        <v>5310</v>
      </c>
      <c r="M99" s="5" t="s">
        <v>5414</v>
      </c>
      <c r="N99" s="6">
        <f>306</f>
        <v>306</v>
      </c>
      <c r="O99" s="4" t="s">
        <v>265</v>
      </c>
      <c r="P99" s="6">
        <f>677790</f>
        <v>677790</v>
      </c>
      <c r="Q99" s="6">
        <f>0</f>
        <v>0</v>
      </c>
      <c r="S99" s="6">
        <f>0</f>
        <v>0</v>
      </c>
      <c r="T99" s="6">
        <f>677790</f>
        <v>677790</v>
      </c>
      <c r="U99" s="5" t="s">
        <v>245</v>
      </c>
      <c r="V99" s="4" t="s">
        <v>270</v>
      </c>
      <c r="W99" s="4" t="s">
        <v>242</v>
      </c>
      <c r="X99" s="4" t="s">
        <v>273</v>
      </c>
      <c r="Y99" s="4" t="s">
        <v>241</v>
      </c>
      <c r="AB99" s="4" t="s">
        <v>241</v>
      </c>
      <c r="AD99" s="5" t="s">
        <v>241</v>
      </c>
      <c r="AG99" s="5" t="s">
        <v>246</v>
      </c>
      <c r="AH99" s="4" t="s">
        <v>241</v>
      </c>
      <c r="AI99" s="4" t="s">
        <v>247</v>
      </c>
      <c r="AJ99" s="4" t="s">
        <v>248</v>
      </c>
      <c r="AZ99" s="4" t="s">
        <v>249</v>
      </c>
      <c r="BA99" s="4" t="s">
        <v>241</v>
      </c>
      <c r="BB99" s="4" t="s">
        <v>250</v>
      </c>
      <c r="BC99" s="4" t="s">
        <v>241</v>
      </c>
      <c r="BD99" s="4" t="s">
        <v>252</v>
      </c>
      <c r="BE99" s="4" t="s">
        <v>241</v>
      </c>
      <c r="BI99" s="4" t="s">
        <v>253</v>
      </c>
      <c r="BJ99" s="5" t="s">
        <v>246</v>
      </c>
      <c r="BK99" s="4" t="s">
        <v>254</v>
      </c>
      <c r="BL99" s="4" t="s">
        <v>255</v>
      </c>
      <c r="BM99" s="4" t="s">
        <v>241</v>
      </c>
      <c r="BN99" s="6">
        <f>0</f>
        <v>0</v>
      </c>
      <c r="BO99" s="6">
        <f>0</f>
        <v>0</v>
      </c>
      <c r="BP99" s="4" t="s">
        <v>256</v>
      </c>
      <c r="BQ99" s="4" t="s">
        <v>257</v>
      </c>
      <c r="CE99" s="4" t="s">
        <v>241</v>
      </c>
      <c r="CF99" s="4" t="s">
        <v>241</v>
      </c>
      <c r="CJ99" s="4" t="s">
        <v>258</v>
      </c>
      <c r="CK99" s="4" t="s">
        <v>259</v>
      </c>
      <c r="CL99" s="4" t="s">
        <v>241</v>
      </c>
      <c r="CO99" s="5" t="s">
        <v>260</v>
      </c>
      <c r="CP99" s="4" t="s">
        <v>241</v>
      </c>
      <c r="CQ99" s="4" t="s">
        <v>261</v>
      </c>
      <c r="CR99" s="4" t="s">
        <v>241</v>
      </c>
      <c r="CS99" s="4" t="s">
        <v>241</v>
      </c>
      <c r="CT99" s="4">
        <v>0</v>
      </c>
      <c r="CU99" s="4" t="s">
        <v>262</v>
      </c>
      <c r="CV99" s="4" t="s">
        <v>263</v>
      </c>
      <c r="CW99" s="4" t="s">
        <v>263</v>
      </c>
      <c r="CX99" s="4" t="s">
        <v>264</v>
      </c>
      <c r="DA99" s="6">
        <f>677790</f>
        <v>677790</v>
      </c>
      <c r="DC99" s="4" t="s">
        <v>422</v>
      </c>
      <c r="DD99" s="4" t="s">
        <v>241</v>
      </c>
      <c r="DF99" s="4" t="s">
        <v>287</v>
      </c>
      <c r="DG99" s="6">
        <f>0</f>
        <v>0</v>
      </c>
      <c r="DI99" s="4" t="s">
        <v>414</v>
      </c>
      <c r="DJ99" s="4" t="s">
        <v>241</v>
      </c>
      <c r="DK99" s="4" t="s">
        <v>241</v>
      </c>
      <c r="DL99" s="4" t="s">
        <v>241</v>
      </c>
      <c r="DP99" s="4" t="s">
        <v>241</v>
      </c>
      <c r="DQ99" s="4" t="s">
        <v>241</v>
      </c>
      <c r="DR99" s="4" t="s">
        <v>241</v>
      </c>
      <c r="DS99" s="4" t="s">
        <v>241</v>
      </c>
      <c r="DV99" s="4" t="s">
        <v>5313</v>
      </c>
      <c r="DW99" s="4" t="s">
        <v>748</v>
      </c>
      <c r="HO99" s="4" t="s">
        <v>267</v>
      </c>
    </row>
    <row r="100" spans="1:223" ht="19.5" customHeight="1" x14ac:dyDescent="0.4">
      <c r="A100" s="4">
        <v>1</v>
      </c>
      <c r="B100" s="4" t="s">
        <v>239</v>
      </c>
      <c r="C100" s="4">
        <v>811</v>
      </c>
      <c r="D100" s="4">
        <v>1</v>
      </c>
      <c r="E100" s="4">
        <v>1</v>
      </c>
      <c r="F100" s="4" t="s">
        <v>240</v>
      </c>
      <c r="G100" s="4" t="s">
        <v>241</v>
      </c>
      <c r="H100" s="4" t="s">
        <v>241</v>
      </c>
      <c r="I100" s="4" t="s">
        <v>5299</v>
      </c>
      <c r="J100" s="4" t="s">
        <v>418</v>
      </c>
      <c r="K100" s="4" t="s">
        <v>251</v>
      </c>
      <c r="L100" s="4" t="s">
        <v>5298</v>
      </c>
      <c r="M100" s="5" t="s">
        <v>5302</v>
      </c>
      <c r="N100" s="6">
        <f>972</f>
        <v>972</v>
      </c>
      <c r="O100" s="4" t="s">
        <v>265</v>
      </c>
      <c r="P100" s="6">
        <f>2152980</f>
        <v>2152980</v>
      </c>
      <c r="Q100" s="6">
        <f>0</f>
        <v>0</v>
      </c>
      <c r="S100" s="6">
        <f>0</f>
        <v>0</v>
      </c>
      <c r="T100" s="6">
        <f>2152980</f>
        <v>2152980</v>
      </c>
      <c r="U100" s="5" t="s">
        <v>245</v>
      </c>
      <c r="V100" s="4" t="s">
        <v>270</v>
      </c>
      <c r="W100" s="4" t="s">
        <v>242</v>
      </c>
      <c r="X100" s="4" t="s">
        <v>273</v>
      </c>
      <c r="Y100" s="4" t="s">
        <v>241</v>
      </c>
      <c r="AB100" s="4" t="s">
        <v>241</v>
      </c>
      <c r="AD100" s="5" t="s">
        <v>241</v>
      </c>
      <c r="AG100" s="5" t="s">
        <v>246</v>
      </c>
      <c r="AH100" s="4" t="s">
        <v>241</v>
      </c>
      <c r="AI100" s="4" t="s">
        <v>247</v>
      </c>
      <c r="AJ100" s="4" t="s">
        <v>248</v>
      </c>
      <c r="AZ100" s="4" t="s">
        <v>249</v>
      </c>
      <c r="BA100" s="4" t="s">
        <v>241</v>
      </c>
      <c r="BB100" s="4" t="s">
        <v>250</v>
      </c>
      <c r="BC100" s="4" t="s">
        <v>241</v>
      </c>
      <c r="BD100" s="4" t="s">
        <v>252</v>
      </c>
      <c r="BE100" s="4" t="s">
        <v>241</v>
      </c>
      <c r="BG100" s="4" t="s">
        <v>4227</v>
      </c>
      <c r="BI100" s="4" t="s">
        <v>253</v>
      </c>
      <c r="BJ100" s="5" t="s">
        <v>246</v>
      </c>
      <c r="BK100" s="4" t="s">
        <v>254</v>
      </c>
      <c r="BL100" s="4" t="s">
        <v>255</v>
      </c>
      <c r="BM100" s="4" t="s">
        <v>241</v>
      </c>
      <c r="BN100" s="6">
        <f>0</f>
        <v>0</v>
      </c>
      <c r="BO100" s="6">
        <f>0</f>
        <v>0</v>
      </c>
      <c r="BP100" s="4" t="s">
        <v>256</v>
      </c>
      <c r="BQ100" s="4" t="s">
        <v>257</v>
      </c>
      <c r="CE100" s="4" t="s">
        <v>241</v>
      </c>
      <c r="CF100" s="4" t="s">
        <v>241</v>
      </c>
      <c r="CJ100" s="4" t="s">
        <v>258</v>
      </c>
      <c r="CK100" s="4" t="s">
        <v>259</v>
      </c>
      <c r="CL100" s="4" t="s">
        <v>241</v>
      </c>
      <c r="CO100" s="5" t="s">
        <v>260</v>
      </c>
      <c r="CP100" s="4" t="s">
        <v>241</v>
      </c>
      <c r="CQ100" s="4" t="s">
        <v>261</v>
      </c>
      <c r="CR100" s="4" t="s">
        <v>241</v>
      </c>
      <c r="CS100" s="4" t="s">
        <v>241</v>
      </c>
      <c r="CT100" s="4">
        <v>0</v>
      </c>
      <c r="CU100" s="4" t="s">
        <v>262</v>
      </c>
      <c r="CV100" s="4" t="s">
        <v>263</v>
      </c>
      <c r="CW100" s="4" t="s">
        <v>263</v>
      </c>
      <c r="CX100" s="4" t="s">
        <v>264</v>
      </c>
      <c r="DA100" s="6">
        <f>2152980</f>
        <v>2152980</v>
      </c>
      <c r="DC100" s="4" t="s">
        <v>414</v>
      </c>
      <c r="DD100" s="4" t="s">
        <v>241</v>
      </c>
      <c r="DF100" s="4" t="s">
        <v>287</v>
      </c>
      <c r="DG100" s="6">
        <f>0</f>
        <v>0</v>
      </c>
      <c r="DI100" s="4" t="s">
        <v>414</v>
      </c>
      <c r="DJ100" s="4" t="s">
        <v>241</v>
      </c>
      <c r="DK100" s="4" t="s">
        <v>241</v>
      </c>
      <c r="DL100" s="4" t="s">
        <v>241</v>
      </c>
      <c r="DP100" s="4" t="s">
        <v>241</v>
      </c>
      <c r="DQ100" s="4" t="s">
        <v>241</v>
      </c>
      <c r="DR100" s="4" t="s">
        <v>241</v>
      </c>
      <c r="DS100" s="4" t="s">
        <v>241</v>
      </c>
      <c r="DV100" s="4" t="s">
        <v>5301</v>
      </c>
      <c r="DW100" s="4" t="s">
        <v>267</v>
      </c>
      <c r="HO100" s="4" t="s">
        <v>267</v>
      </c>
    </row>
    <row r="101" spans="1:223" ht="19.5" customHeight="1" x14ac:dyDescent="0.4">
      <c r="A101" s="4">
        <v>1</v>
      </c>
      <c r="B101" s="4" t="s">
        <v>239</v>
      </c>
      <c r="C101" s="4">
        <v>812</v>
      </c>
      <c r="D101" s="4">
        <v>1</v>
      </c>
      <c r="E101" s="4">
        <v>1</v>
      </c>
      <c r="F101" s="4" t="s">
        <v>240</v>
      </c>
      <c r="G101" s="4" t="s">
        <v>241</v>
      </c>
      <c r="H101" s="4" t="s">
        <v>241</v>
      </c>
      <c r="I101" s="4" t="s">
        <v>5299</v>
      </c>
      <c r="J101" s="4" t="s">
        <v>418</v>
      </c>
      <c r="K101" s="4" t="s">
        <v>251</v>
      </c>
      <c r="L101" s="4" t="s">
        <v>5298</v>
      </c>
      <c r="M101" s="5" t="s">
        <v>5309</v>
      </c>
      <c r="N101" s="6">
        <f>3996</f>
        <v>3996</v>
      </c>
      <c r="O101" s="4" t="s">
        <v>265</v>
      </c>
      <c r="P101" s="6">
        <f>171828</f>
        <v>171828</v>
      </c>
      <c r="Q101" s="6">
        <f>0</f>
        <v>0</v>
      </c>
      <c r="S101" s="6">
        <f>0</f>
        <v>0</v>
      </c>
      <c r="T101" s="6">
        <f>171828</f>
        <v>171828</v>
      </c>
      <c r="U101" s="5" t="s">
        <v>245</v>
      </c>
      <c r="V101" s="4" t="s">
        <v>270</v>
      </c>
      <c r="W101" s="4" t="s">
        <v>242</v>
      </c>
      <c r="X101" s="4" t="s">
        <v>273</v>
      </c>
      <c r="Y101" s="4" t="s">
        <v>241</v>
      </c>
      <c r="AB101" s="4" t="s">
        <v>241</v>
      </c>
      <c r="AD101" s="5" t="s">
        <v>241</v>
      </c>
      <c r="AG101" s="5" t="s">
        <v>246</v>
      </c>
      <c r="AH101" s="4" t="s">
        <v>241</v>
      </c>
      <c r="AI101" s="4" t="s">
        <v>247</v>
      </c>
      <c r="AJ101" s="4" t="s">
        <v>248</v>
      </c>
      <c r="AZ101" s="4" t="s">
        <v>249</v>
      </c>
      <c r="BA101" s="4" t="s">
        <v>241</v>
      </c>
      <c r="BB101" s="4" t="s">
        <v>250</v>
      </c>
      <c r="BC101" s="4" t="s">
        <v>241</v>
      </c>
      <c r="BD101" s="4" t="s">
        <v>252</v>
      </c>
      <c r="BE101" s="4" t="s">
        <v>241</v>
      </c>
      <c r="BI101" s="4" t="s">
        <v>253</v>
      </c>
      <c r="BJ101" s="5" t="s">
        <v>246</v>
      </c>
      <c r="BK101" s="4" t="s">
        <v>254</v>
      </c>
      <c r="BL101" s="4" t="s">
        <v>255</v>
      </c>
      <c r="BM101" s="4" t="s">
        <v>241</v>
      </c>
      <c r="BN101" s="6">
        <f>0</f>
        <v>0</v>
      </c>
      <c r="BO101" s="6">
        <f>0</f>
        <v>0</v>
      </c>
      <c r="BP101" s="4" t="s">
        <v>256</v>
      </c>
      <c r="BQ101" s="4" t="s">
        <v>257</v>
      </c>
      <c r="CE101" s="4" t="s">
        <v>241</v>
      </c>
      <c r="CF101" s="4" t="s">
        <v>241</v>
      </c>
      <c r="CJ101" s="4" t="s">
        <v>258</v>
      </c>
      <c r="CK101" s="4" t="s">
        <v>259</v>
      </c>
      <c r="CL101" s="4" t="s">
        <v>241</v>
      </c>
      <c r="CO101" s="5" t="s">
        <v>260</v>
      </c>
      <c r="CP101" s="4" t="s">
        <v>241</v>
      </c>
      <c r="CQ101" s="4" t="s">
        <v>261</v>
      </c>
      <c r="CR101" s="4" t="s">
        <v>241</v>
      </c>
      <c r="CS101" s="4" t="s">
        <v>241</v>
      </c>
      <c r="CT101" s="4">
        <v>0</v>
      </c>
      <c r="CU101" s="4" t="s">
        <v>262</v>
      </c>
      <c r="CV101" s="4" t="s">
        <v>263</v>
      </c>
      <c r="CW101" s="4" t="s">
        <v>263</v>
      </c>
      <c r="CX101" s="4" t="s">
        <v>264</v>
      </c>
      <c r="DA101" s="6">
        <f>171828</f>
        <v>171828</v>
      </c>
      <c r="DC101" s="4" t="s">
        <v>348</v>
      </c>
      <c r="DD101" s="4" t="s">
        <v>241</v>
      </c>
      <c r="DF101" s="4" t="s">
        <v>287</v>
      </c>
      <c r="DG101" s="6">
        <f>0</f>
        <v>0</v>
      </c>
      <c r="DI101" s="4" t="s">
        <v>348</v>
      </c>
      <c r="DJ101" s="4" t="s">
        <v>241</v>
      </c>
      <c r="DK101" s="4" t="s">
        <v>241</v>
      </c>
      <c r="DL101" s="4" t="s">
        <v>241</v>
      </c>
      <c r="DP101" s="4" t="s">
        <v>241</v>
      </c>
      <c r="DQ101" s="4" t="s">
        <v>241</v>
      </c>
      <c r="DR101" s="4" t="s">
        <v>241</v>
      </c>
      <c r="DS101" s="4" t="s">
        <v>241</v>
      </c>
      <c r="DV101" s="4" t="s">
        <v>5301</v>
      </c>
      <c r="DW101" s="4" t="s">
        <v>416</v>
      </c>
      <c r="HO101" s="4" t="s">
        <v>267</v>
      </c>
    </row>
    <row r="102" spans="1:223" ht="19.5" customHeight="1" x14ac:dyDescent="0.4">
      <c r="A102" s="4">
        <v>1</v>
      </c>
      <c r="B102" s="4" t="s">
        <v>239</v>
      </c>
      <c r="C102" s="4">
        <v>813</v>
      </c>
      <c r="D102" s="4">
        <v>1</v>
      </c>
      <c r="E102" s="4">
        <v>1</v>
      </c>
      <c r="F102" s="4" t="s">
        <v>240</v>
      </c>
      <c r="G102" s="4" t="s">
        <v>241</v>
      </c>
      <c r="H102" s="4" t="s">
        <v>241</v>
      </c>
      <c r="I102" s="4" t="s">
        <v>5299</v>
      </c>
      <c r="J102" s="4" t="s">
        <v>418</v>
      </c>
      <c r="K102" s="4" t="s">
        <v>251</v>
      </c>
      <c r="L102" s="4" t="s">
        <v>5298</v>
      </c>
      <c r="M102" s="5" t="s">
        <v>5303</v>
      </c>
      <c r="N102" s="6">
        <f>298</f>
        <v>298</v>
      </c>
      <c r="O102" s="4" t="s">
        <v>265</v>
      </c>
      <c r="P102" s="6">
        <f>660070</f>
        <v>660070</v>
      </c>
      <c r="Q102" s="6">
        <f>0</f>
        <v>0</v>
      </c>
      <c r="S102" s="6">
        <f>0</f>
        <v>0</v>
      </c>
      <c r="T102" s="6">
        <f>660070</f>
        <v>660070</v>
      </c>
      <c r="U102" s="5" t="s">
        <v>245</v>
      </c>
      <c r="V102" s="4" t="s">
        <v>270</v>
      </c>
      <c r="W102" s="4" t="s">
        <v>242</v>
      </c>
      <c r="X102" s="4" t="s">
        <v>273</v>
      </c>
      <c r="Y102" s="4" t="s">
        <v>241</v>
      </c>
      <c r="AB102" s="4" t="s">
        <v>241</v>
      </c>
      <c r="AD102" s="5" t="s">
        <v>241</v>
      </c>
      <c r="AG102" s="5" t="s">
        <v>246</v>
      </c>
      <c r="AH102" s="4" t="s">
        <v>241</v>
      </c>
      <c r="AI102" s="4" t="s">
        <v>247</v>
      </c>
      <c r="AJ102" s="4" t="s">
        <v>248</v>
      </c>
      <c r="AZ102" s="4" t="s">
        <v>249</v>
      </c>
      <c r="BA102" s="4" t="s">
        <v>241</v>
      </c>
      <c r="BB102" s="4" t="s">
        <v>250</v>
      </c>
      <c r="BC102" s="4" t="s">
        <v>241</v>
      </c>
      <c r="BD102" s="4" t="s">
        <v>252</v>
      </c>
      <c r="BE102" s="4" t="s">
        <v>241</v>
      </c>
      <c r="BI102" s="4" t="s">
        <v>253</v>
      </c>
      <c r="BJ102" s="5" t="s">
        <v>246</v>
      </c>
      <c r="BK102" s="4" t="s">
        <v>254</v>
      </c>
      <c r="BL102" s="4" t="s">
        <v>255</v>
      </c>
      <c r="BM102" s="4" t="s">
        <v>241</v>
      </c>
      <c r="BN102" s="6">
        <f>0</f>
        <v>0</v>
      </c>
      <c r="BO102" s="6">
        <f>0</f>
        <v>0</v>
      </c>
      <c r="BP102" s="4" t="s">
        <v>256</v>
      </c>
      <c r="BQ102" s="4" t="s">
        <v>257</v>
      </c>
      <c r="CE102" s="4" t="s">
        <v>241</v>
      </c>
      <c r="CF102" s="4" t="s">
        <v>241</v>
      </c>
      <c r="CJ102" s="4" t="s">
        <v>258</v>
      </c>
      <c r="CK102" s="4" t="s">
        <v>259</v>
      </c>
      <c r="CL102" s="4" t="s">
        <v>241</v>
      </c>
      <c r="CO102" s="5" t="s">
        <v>260</v>
      </c>
      <c r="CP102" s="4" t="s">
        <v>241</v>
      </c>
      <c r="CQ102" s="4" t="s">
        <v>261</v>
      </c>
      <c r="CR102" s="4" t="s">
        <v>241</v>
      </c>
      <c r="CS102" s="4" t="s">
        <v>241</v>
      </c>
      <c r="CT102" s="4">
        <v>0</v>
      </c>
      <c r="CU102" s="4" t="s">
        <v>262</v>
      </c>
      <c r="CV102" s="4" t="s">
        <v>263</v>
      </c>
      <c r="CW102" s="4" t="s">
        <v>263</v>
      </c>
      <c r="CX102" s="4" t="s">
        <v>264</v>
      </c>
      <c r="DA102" s="6">
        <f>660070</f>
        <v>660070</v>
      </c>
      <c r="DC102" s="4" t="s">
        <v>414</v>
      </c>
      <c r="DD102" s="4" t="s">
        <v>241</v>
      </c>
      <c r="DF102" s="4" t="s">
        <v>287</v>
      </c>
      <c r="DG102" s="6">
        <f>0</f>
        <v>0</v>
      </c>
      <c r="DI102" s="4" t="s">
        <v>414</v>
      </c>
      <c r="DJ102" s="4" t="s">
        <v>241</v>
      </c>
      <c r="DK102" s="4" t="s">
        <v>241</v>
      </c>
      <c r="DL102" s="4" t="s">
        <v>241</v>
      </c>
      <c r="DP102" s="4" t="s">
        <v>241</v>
      </c>
      <c r="DQ102" s="4" t="s">
        <v>241</v>
      </c>
      <c r="DR102" s="4" t="s">
        <v>241</v>
      </c>
      <c r="DS102" s="4" t="s">
        <v>241</v>
      </c>
      <c r="DV102" s="4" t="s">
        <v>5301</v>
      </c>
      <c r="DW102" s="4" t="s">
        <v>388</v>
      </c>
      <c r="HO102" s="4" t="s">
        <v>267</v>
      </c>
    </row>
    <row r="103" spans="1:223" ht="19.5" customHeight="1" x14ac:dyDescent="0.4">
      <c r="A103" s="4">
        <v>1</v>
      </c>
      <c r="B103" s="4" t="s">
        <v>239</v>
      </c>
      <c r="C103" s="4">
        <v>814</v>
      </c>
      <c r="D103" s="4">
        <v>1</v>
      </c>
      <c r="E103" s="4">
        <v>1</v>
      </c>
      <c r="F103" s="4" t="s">
        <v>240</v>
      </c>
      <c r="G103" s="4" t="s">
        <v>241</v>
      </c>
      <c r="H103" s="4" t="s">
        <v>241</v>
      </c>
      <c r="I103" s="4" t="s">
        <v>5299</v>
      </c>
      <c r="J103" s="4" t="s">
        <v>418</v>
      </c>
      <c r="K103" s="4" t="s">
        <v>251</v>
      </c>
      <c r="L103" s="4" t="s">
        <v>5298</v>
      </c>
      <c r="M103" s="5" t="s">
        <v>5416</v>
      </c>
      <c r="N103" s="6">
        <f>521</f>
        <v>521</v>
      </c>
      <c r="O103" s="4" t="s">
        <v>265</v>
      </c>
      <c r="P103" s="6">
        <f>22403</f>
        <v>22403</v>
      </c>
      <c r="Q103" s="6">
        <f>0</f>
        <v>0</v>
      </c>
      <c r="S103" s="6">
        <f>0</f>
        <v>0</v>
      </c>
      <c r="T103" s="6">
        <f>22403</f>
        <v>22403</v>
      </c>
      <c r="U103" s="5" t="s">
        <v>245</v>
      </c>
      <c r="V103" s="4" t="s">
        <v>270</v>
      </c>
      <c r="W103" s="4" t="s">
        <v>242</v>
      </c>
      <c r="X103" s="4" t="s">
        <v>273</v>
      </c>
      <c r="Y103" s="4" t="s">
        <v>241</v>
      </c>
      <c r="AB103" s="4" t="s">
        <v>241</v>
      </c>
      <c r="AD103" s="5" t="s">
        <v>241</v>
      </c>
      <c r="AG103" s="5" t="s">
        <v>246</v>
      </c>
      <c r="AH103" s="4" t="s">
        <v>241</v>
      </c>
      <c r="AI103" s="4" t="s">
        <v>247</v>
      </c>
      <c r="AJ103" s="4" t="s">
        <v>248</v>
      </c>
      <c r="AZ103" s="4" t="s">
        <v>249</v>
      </c>
      <c r="BA103" s="4" t="s">
        <v>241</v>
      </c>
      <c r="BB103" s="4" t="s">
        <v>250</v>
      </c>
      <c r="BC103" s="4" t="s">
        <v>241</v>
      </c>
      <c r="BD103" s="4" t="s">
        <v>252</v>
      </c>
      <c r="BE103" s="4" t="s">
        <v>241</v>
      </c>
      <c r="BI103" s="4" t="s">
        <v>253</v>
      </c>
      <c r="BJ103" s="5" t="s">
        <v>246</v>
      </c>
      <c r="BK103" s="4" t="s">
        <v>254</v>
      </c>
      <c r="BL103" s="4" t="s">
        <v>255</v>
      </c>
      <c r="BM103" s="4" t="s">
        <v>241</v>
      </c>
      <c r="BN103" s="6">
        <f>0</f>
        <v>0</v>
      </c>
      <c r="BO103" s="6">
        <f>0</f>
        <v>0</v>
      </c>
      <c r="BP103" s="4" t="s">
        <v>256</v>
      </c>
      <c r="BQ103" s="4" t="s">
        <v>257</v>
      </c>
      <c r="CE103" s="4" t="s">
        <v>241</v>
      </c>
      <c r="CF103" s="4" t="s">
        <v>241</v>
      </c>
      <c r="CJ103" s="4" t="s">
        <v>258</v>
      </c>
      <c r="CK103" s="4" t="s">
        <v>259</v>
      </c>
      <c r="CL103" s="4" t="s">
        <v>241</v>
      </c>
      <c r="CO103" s="5" t="s">
        <v>260</v>
      </c>
      <c r="CP103" s="4" t="s">
        <v>241</v>
      </c>
      <c r="CQ103" s="4" t="s">
        <v>261</v>
      </c>
      <c r="CR103" s="4" t="s">
        <v>241</v>
      </c>
      <c r="CS103" s="4" t="s">
        <v>241</v>
      </c>
      <c r="CT103" s="4">
        <v>0</v>
      </c>
      <c r="CU103" s="4" t="s">
        <v>262</v>
      </c>
      <c r="CV103" s="4" t="s">
        <v>263</v>
      </c>
      <c r="CW103" s="4" t="s">
        <v>263</v>
      </c>
      <c r="CX103" s="4" t="s">
        <v>264</v>
      </c>
      <c r="DA103" s="6">
        <f>22403</f>
        <v>22403</v>
      </c>
      <c r="DC103" s="4" t="s">
        <v>348</v>
      </c>
      <c r="DD103" s="4" t="s">
        <v>241</v>
      </c>
      <c r="DF103" s="4" t="s">
        <v>287</v>
      </c>
      <c r="DG103" s="6">
        <f>0</f>
        <v>0</v>
      </c>
      <c r="DI103" s="4" t="s">
        <v>348</v>
      </c>
      <c r="DJ103" s="4" t="s">
        <v>241</v>
      </c>
      <c r="DK103" s="4" t="s">
        <v>241</v>
      </c>
      <c r="DL103" s="4" t="s">
        <v>241</v>
      </c>
      <c r="DP103" s="4" t="s">
        <v>241</v>
      </c>
      <c r="DQ103" s="4" t="s">
        <v>241</v>
      </c>
      <c r="DR103" s="4" t="s">
        <v>241</v>
      </c>
      <c r="DS103" s="4" t="s">
        <v>241</v>
      </c>
      <c r="DV103" s="4" t="s">
        <v>5301</v>
      </c>
      <c r="DW103" s="4" t="s">
        <v>327</v>
      </c>
      <c r="HO103" s="4" t="s">
        <v>267</v>
      </c>
    </row>
    <row r="104" spans="1:223" ht="19.5" customHeight="1" x14ac:dyDescent="0.4">
      <c r="A104" s="4">
        <v>1</v>
      </c>
      <c r="B104" s="4" t="s">
        <v>239</v>
      </c>
      <c r="C104" s="4">
        <v>815</v>
      </c>
      <c r="D104" s="4">
        <v>1</v>
      </c>
      <c r="E104" s="4">
        <v>1</v>
      </c>
      <c r="F104" s="4" t="s">
        <v>240</v>
      </c>
      <c r="G104" s="4" t="s">
        <v>241</v>
      </c>
      <c r="H104" s="4" t="s">
        <v>241</v>
      </c>
      <c r="I104" s="4" t="s">
        <v>5299</v>
      </c>
      <c r="J104" s="4" t="s">
        <v>418</v>
      </c>
      <c r="K104" s="4" t="s">
        <v>251</v>
      </c>
      <c r="L104" s="4" t="s">
        <v>5298</v>
      </c>
      <c r="M104" s="5" t="s">
        <v>5304</v>
      </c>
      <c r="N104" s="6">
        <f>325</f>
        <v>325</v>
      </c>
      <c r="O104" s="4" t="s">
        <v>265</v>
      </c>
      <c r="P104" s="6">
        <f>13975</f>
        <v>13975</v>
      </c>
      <c r="Q104" s="6">
        <f>0</f>
        <v>0</v>
      </c>
      <c r="S104" s="6">
        <f>0</f>
        <v>0</v>
      </c>
      <c r="T104" s="6">
        <f>13975</f>
        <v>13975</v>
      </c>
      <c r="U104" s="5" t="s">
        <v>245</v>
      </c>
      <c r="V104" s="4" t="s">
        <v>270</v>
      </c>
      <c r="W104" s="4" t="s">
        <v>242</v>
      </c>
      <c r="X104" s="4" t="s">
        <v>273</v>
      </c>
      <c r="Y104" s="4" t="s">
        <v>241</v>
      </c>
      <c r="AB104" s="4" t="s">
        <v>241</v>
      </c>
      <c r="AD104" s="5" t="s">
        <v>241</v>
      </c>
      <c r="AG104" s="5" t="s">
        <v>246</v>
      </c>
      <c r="AH104" s="4" t="s">
        <v>241</v>
      </c>
      <c r="AI104" s="4" t="s">
        <v>247</v>
      </c>
      <c r="AJ104" s="4" t="s">
        <v>248</v>
      </c>
      <c r="AZ104" s="4" t="s">
        <v>249</v>
      </c>
      <c r="BA104" s="4" t="s">
        <v>241</v>
      </c>
      <c r="BB104" s="4" t="s">
        <v>250</v>
      </c>
      <c r="BC104" s="4" t="s">
        <v>241</v>
      </c>
      <c r="BD104" s="4" t="s">
        <v>252</v>
      </c>
      <c r="BE104" s="4" t="s">
        <v>241</v>
      </c>
      <c r="BI104" s="4" t="s">
        <v>253</v>
      </c>
      <c r="BJ104" s="5" t="s">
        <v>246</v>
      </c>
      <c r="BK104" s="4" t="s">
        <v>254</v>
      </c>
      <c r="BL104" s="4" t="s">
        <v>255</v>
      </c>
      <c r="BM104" s="4" t="s">
        <v>241</v>
      </c>
      <c r="BN104" s="6">
        <f>0</f>
        <v>0</v>
      </c>
      <c r="BO104" s="6">
        <f>0</f>
        <v>0</v>
      </c>
      <c r="BP104" s="4" t="s">
        <v>256</v>
      </c>
      <c r="BQ104" s="4" t="s">
        <v>257</v>
      </c>
      <c r="CE104" s="4" t="s">
        <v>241</v>
      </c>
      <c r="CF104" s="4" t="s">
        <v>241</v>
      </c>
      <c r="CJ104" s="4" t="s">
        <v>258</v>
      </c>
      <c r="CK104" s="4" t="s">
        <v>259</v>
      </c>
      <c r="CL104" s="4" t="s">
        <v>241</v>
      </c>
      <c r="CO104" s="5" t="s">
        <v>260</v>
      </c>
      <c r="CP104" s="4" t="s">
        <v>241</v>
      </c>
      <c r="CQ104" s="4" t="s">
        <v>261</v>
      </c>
      <c r="CR104" s="4" t="s">
        <v>241</v>
      </c>
      <c r="CS104" s="4" t="s">
        <v>241</v>
      </c>
      <c r="CT104" s="4">
        <v>0</v>
      </c>
      <c r="CU104" s="4" t="s">
        <v>262</v>
      </c>
      <c r="CV104" s="4" t="s">
        <v>263</v>
      </c>
      <c r="CW104" s="4" t="s">
        <v>263</v>
      </c>
      <c r="CX104" s="4" t="s">
        <v>264</v>
      </c>
      <c r="DA104" s="6">
        <f>13975</f>
        <v>13975</v>
      </c>
      <c r="DC104" s="4" t="s">
        <v>348</v>
      </c>
      <c r="DD104" s="4" t="s">
        <v>241</v>
      </c>
      <c r="DF104" s="4" t="s">
        <v>287</v>
      </c>
      <c r="DG104" s="6">
        <f>0</f>
        <v>0</v>
      </c>
      <c r="DI104" s="4" t="s">
        <v>348</v>
      </c>
      <c r="DJ104" s="4" t="s">
        <v>241</v>
      </c>
      <c r="DK104" s="4" t="s">
        <v>241</v>
      </c>
      <c r="DL104" s="4" t="s">
        <v>241</v>
      </c>
      <c r="DP104" s="4" t="s">
        <v>241</v>
      </c>
      <c r="DQ104" s="4" t="s">
        <v>241</v>
      </c>
      <c r="DR104" s="4" t="s">
        <v>241</v>
      </c>
      <c r="DS104" s="4" t="s">
        <v>241</v>
      </c>
      <c r="DV104" s="4" t="s">
        <v>5301</v>
      </c>
      <c r="DW104" s="4" t="s">
        <v>748</v>
      </c>
      <c r="HO104" s="4" t="s">
        <v>267</v>
      </c>
    </row>
    <row r="105" spans="1:223" ht="19.5" customHeight="1" x14ac:dyDescent="0.4">
      <c r="A105" s="4">
        <v>1</v>
      </c>
      <c r="B105" s="4" t="s">
        <v>239</v>
      </c>
      <c r="C105" s="4">
        <v>816</v>
      </c>
      <c r="D105" s="4">
        <v>1</v>
      </c>
      <c r="E105" s="4">
        <v>1</v>
      </c>
      <c r="F105" s="4" t="s">
        <v>240</v>
      </c>
      <c r="G105" s="4" t="s">
        <v>241</v>
      </c>
      <c r="H105" s="4" t="s">
        <v>241</v>
      </c>
      <c r="I105" s="4" t="s">
        <v>5299</v>
      </c>
      <c r="J105" s="4" t="s">
        <v>418</v>
      </c>
      <c r="K105" s="4" t="s">
        <v>251</v>
      </c>
      <c r="L105" s="4" t="s">
        <v>5298</v>
      </c>
      <c r="M105" s="5" t="s">
        <v>5305</v>
      </c>
      <c r="N105" s="6">
        <f>719</f>
        <v>719</v>
      </c>
      <c r="O105" s="4" t="s">
        <v>265</v>
      </c>
      <c r="P105" s="6">
        <f>76933</f>
        <v>76933</v>
      </c>
      <c r="Q105" s="6">
        <f>0</f>
        <v>0</v>
      </c>
      <c r="S105" s="6">
        <f>0</f>
        <v>0</v>
      </c>
      <c r="T105" s="6">
        <f>76933</f>
        <v>76933</v>
      </c>
      <c r="U105" s="5" t="s">
        <v>245</v>
      </c>
      <c r="V105" s="4" t="s">
        <v>270</v>
      </c>
      <c r="W105" s="4" t="s">
        <v>242</v>
      </c>
      <c r="X105" s="4" t="s">
        <v>273</v>
      </c>
      <c r="Y105" s="4" t="s">
        <v>241</v>
      </c>
      <c r="AB105" s="4" t="s">
        <v>241</v>
      </c>
      <c r="AD105" s="5" t="s">
        <v>241</v>
      </c>
      <c r="AG105" s="5" t="s">
        <v>246</v>
      </c>
      <c r="AH105" s="4" t="s">
        <v>241</v>
      </c>
      <c r="AI105" s="4" t="s">
        <v>247</v>
      </c>
      <c r="AJ105" s="4" t="s">
        <v>248</v>
      </c>
      <c r="AZ105" s="4" t="s">
        <v>249</v>
      </c>
      <c r="BA105" s="4" t="s">
        <v>241</v>
      </c>
      <c r="BB105" s="4" t="s">
        <v>250</v>
      </c>
      <c r="BC105" s="4" t="s">
        <v>241</v>
      </c>
      <c r="BD105" s="4" t="s">
        <v>252</v>
      </c>
      <c r="BE105" s="4" t="s">
        <v>241</v>
      </c>
      <c r="BI105" s="4" t="s">
        <v>253</v>
      </c>
      <c r="BJ105" s="5" t="s">
        <v>246</v>
      </c>
      <c r="BK105" s="4" t="s">
        <v>254</v>
      </c>
      <c r="BL105" s="4" t="s">
        <v>255</v>
      </c>
      <c r="BM105" s="4" t="s">
        <v>241</v>
      </c>
      <c r="BN105" s="6">
        <f>0</f>
        <v>0</v>
      </c>
      <c r="BO105" s="6">
        <f>0</f>
        <v>0</v>
      </c>
      <c r="BP105" s="4" t="s">
        <v>256</v>
      </c>
      <c r="BQ105" s="4" t="s">
        <v>257</v>
      </c>
      <c r="CE105" s="4" t="s">
        <v>241</v>
      </c>
      <c r="CF105" s="4" t="s">
        <v>241</v>
      </c>
      <c r="CJ105" s="4" t="s">
        <v>258</v>
      </c>
      <c r="CK105" s="4" t="s">
        <v>259</v>
      </c>
      <c r="CL105" s="4" t="s">
        <v>241</v>
      </c>
      <c r="CO105" s="5" t="s">
        <v>260</v>
      </c>
      <c r="CP105" s="4" t="s">
        <v>241</v>
      </c>
      <c r="CQ105" s="4" t="s">
        <v>261</v>
      </c>
      <c r="CR105" s="4" t="s">
        <v>241</v>
      </c>
      <c r="CS105" s="4" t="s">
        <v>241</v>
      </c>
      <c r="CT105" s="4">
        <v>0</v>
      </c>
      <c r="CU105" s="4" t="s">
        <v>262</v>
      </c>
      <c r="CV105" s="4" t="s">
        <v>263</v>
      </c>
      <c r="CW105" s="4" t="s">
        <v>263</v>
      </c>
      <c r="CX105" s="4" t="s">
        <v>264</v>
      </c>
      <c r="DA105" s="6">
        <f>76933</f>
        <v>76933</v>
      </c>
      <c r="DC105" s="4" t="s">
        <v>387</v>
      </c>
      <c r="DD105" s="4" t="s">
        <v>241</v>
      </c>
      <c r="DF105" s="4" t="s">
        <v>287</v>
      </c>
      <c r="DG105" s="6">
        <f>0</f>
        <v>0</v>
      </c>
      <c r="DI105" s="4" t="s">
        <v>387</v>
      </c>
      <c r="DJ105" s="4" t="s">
        <v>241</v>
      </c>
      <c r="DK105" s="4" t="s">
        <v>241</v>
      </c>
      <c r="DL105" s="4" t="s">
        <v>241</v>
      </c>
      <c r="DP105" s="4" t="s">
        <v>241</v>
      </c>
      <c r="DQ105" s="4" t="s">
        <v>241</v>
      </c>
      <c r="DR105" s="4" t="s">
        <v>241</v>
      </c>
      <c r="DS105" s="4" t="s">
        <v>241</v>
      </c>
      <c r="DV105" s="4" t="s">
        <v>5301</v>
      </c>
      <c r="DW105" s="4" t="s">
        <v>719</v>
      </c>
      <c r="HO105" s="4" t="s">
        <v>267</v>
      </c>
    </row>
    <row r="106" spans="1:223" ht="19.5" customHeight="1" x14ac:dyDescent="0.4">
      <c r="A106" s="4">
        <v>1</v>
      </c>
      <c r="B106" s="4" t="s">
        <v>239</v>
      </c>
      <c r="C106" s="4">
        <v>817</v>
      </c>
      <c r="D106" s="4">
        <v>1</v>
      </c>
      <c r="E106" s="4">
        <v>1</v>
      </c>
      <c r="F106" s="4" t="s">
        <v>240</v>
      </c>
      <c r="G106" s="4" t="s">
        <v>241</v>
      </c>
      <c r="H106" s="4" t="s">
        <v>241</v>
      </c>
      <c r="I106" s="4" t="s">
        <v>5299</v>
      </c>
      <c r="J106" s="4" t="s">
        <v>418</v>
      </c>
      <c r="K106" s="4" t="s">
        <v>251</v>
      </c>
      <c r="L106" s="4" t="s">
        <v>5298</v>
      </c>
      <c r="M106" s="5" t="s">
        <v>5306</v>
      </c>
      <c r="N106" s="6">
        <f>296</f>
        <v>296</v>
      </c>
      <c r="O106" s="4" t="s">
        <v>265</v>
      </c>
      <c r="P106" s="6">
        <f>5624</f>
        <v>5624</v>
      </c>
      <c r="Q106" s="6">
        <f>0</f>
        <v>0</v>
      </c>
      <c r="S106" s="6">
        <f>0</f>
        <v>0</v>
      </c>
      <c r="T106" s="6">
        <f>5624</f>
        <v>5624</v>
      </c>
      <c r="U106" s="5" t="s">
        <v>245</v>
      </c>
      <c r="V106" s="4" t="s">
        <v>270</v>
      </c>
      <c r="W106" s="4" t="s">
        <v>242</v>
      </c>
      <c r="X106" s="4" t="s">
        <v>273</v>
      </c>
      <c r="Y106" s="4" t="s">
        <v>241</v>
      </c>
      <c r="AB106" s="4" t="s">
        <v>241</v>
      </c>
      <c r="AD106" s="5" t="s">
        <v>241</v>
      </c>
      <c r="AG106" s="5" t="s">
        <v>246</v>
      </c>
      <c r="AH106" s="4" t="s">
        <v>241</v>
      </c>
      <c r="AI106" s="4" t="s">
        <v>247</v>
      </c>
      <c r="AJ106" s="4" t="s">
        <v>248</v>
      </c>
      <c r="AZ106" s="4" t="s">
        <v>249</v>
      </c>
      <c r="BA106" s="4" t="s">
        <v>241</v>
      </c>
      <c r="BB106" s="4" t="s">
        <v>250</v>
      </c>
      <c r="BC106" s="4" t="s">
        <v>241</v>
      </c>
      <c r="BD106" s="4" t="s">
        <v>252</v>
      </c>
      <c r="BE106" s="4" t="s">
        <v>241</v>
      </c>
      <c r="BI106" s="4" t="s">
        <v>253</v>
      </c>
      <c r="BJ106" s="5" t="s">
        <v>246</v>
      </c>
      <c r="BK106" s="4" t="s">
        <v>254</v>
      </c>
      <c r="BL106" s="4" t="s">
        <v>255</v>
      </c>
      <c r="BM106" s="4" t="s">
        <v>241</v>
      </c>
      <c r="BN106" s="6">
        <f>0</f>
        <v>0</v>
      </c>
      <c r="BO106" s="6">
        <f>0</f>
        <v>0</v>
      </c>
      <c r="BP106" s="4" t="s">
        <v>256</v>
      </c>
      <c r="BQ106" s="4" t="s">
        <v>257</v>
      </c>
      <c r="CE106" s="4" t="s">
        <v>241</v>
      </c>
      <c r="CF106" s="4" t="s">
        <v>241</v>
      </c>
      <c r="CJ106" s="4" t="s">
        <v>258</v>
      </c>
      <c r="CK106" s="4" t="s">
        <v>259</v>
      </c>
      <c r="CL106" s="4" t="s">
        <v>241</v>
      </c>
      <c r="CO106" s="5" t="s">
        <v>260</v>
      </c>
      <c r="CP106" s="4" t="s">
        <v>241</v>
      </c>
      <c r="CQ106" s="4" t="s">
        <v>261</v>
      </c>
      <c r="CR106" s="4" t="s">
        <v>241</v>
      </c>
      <c r="CS106" s="4" t="s">
        <v>241</v>
      </c>
      <c r="CT106" s="4">
        <v>0</v>
      </c>
      <c r="CU106" s="4" t="s">
        <v>262</v>
      </c>
      <c r="CV106" s="4" t="s">
        <v>263</v>
      </c>
      <c r="CW106" s="4" t="s">
        <v>263</v>
      </c>
      <c r="CX106" s="4" t="s">
        <v>264</v>
      </c>
      <c r="DA106" s="6">
        <f>5624</f>
        <v>5624</v>
      </c>
      <c r="DC106" s="4" t="s">
        <v>970</v>
      </c>
      <c r="DD106" s="4" t="s">
        <v>241</v>
      </c>
      <c r="DF106" s="4" t="s">
        <v>287</v>
      </c>
      <c r="DG106" s="6">
        <f>0</f>
        <v>0</v>
      </c>
      <c r="DI106" s="4" t="s">
        <v>970</v>
      </c>
      <c r="DJ106" s="4" t="s">
        <v>241</v>
      </c>
      <c r="DK106" s="4" t="s">
        <v>241</v>
      </c>
      <c r="DL106" s="4" t="s">
        <v>241</v>
      </c>
      <c r="DP106" s="4" t="s">
        <v>241</v>
      </c>
      <c r="DQ106" s="4" t="s">
        <v>241</v>
      </c>
      <c r="DR106" s="4" t="s">
        <v>241</v>
      </c>
      <c r="DS106" s="4" t="s">
        <v>241</v>
      </c>
      <c r="DV106" s="4" t="s">
        <v>5301</v>
      </c>
      <c r="DW106" s="4" t="s">
        <v>690</v>
      </c>
      <c r="HO106" s="4" t="s">
        <v>267</v>
      </c>
    </row>
    <row r="107" spans="1:223" ht="19.5" customHeight="1" x14ac:dyDescent="0.4">
      <c r="A107" s="4">
        <v>1</v>
      </c>
      <c r="B107" s="4" t="s">
        <v>239</v>
      </c>
      <c r="C107" s="4">
        <v>818</v>
      </c>
      <c r="D107" s="4">
        <v>1</v>
      </c>
      <c r="E107" s="4">
        <v>1</v>
      </c>
      <c r="F107" s="4" t="s">
        <v>240</v>
      </c>
      <c r="G107" s="4" t="s">
        <v>241</v>
      </c>
      <c r="H107" s="4" t="s">
        <v>241</v>
      </c>
      <c r="I107" s="4" t="s">
        <v>5299</v>
      </c>
      <c r="J107" s="4" t="s">
        <v>418</v>
      </c>
      <c r="K107" s="4" t="s">
        <v>251</v>
      </c>
      <c r="L107" s="4" t="s">
        <v>5298</v>
      </c>
      <c r="M107" s="5" t="s">
        <v>5415</v>
      </c>
      <c r="N107" s="6">
        <f>2879</f>
        <v>2879</v>
      </c>
      <c r="O107" s="4" t="s">
        <v>265</v>
      </c>
      <c r="P107" s="6">
        <f>9500700</f>
        <v>9500700</v>
      </c>
      <c r="Q107" s="6">
        <f>0</f>
        <v>0</v>
      </c>
      <c r="S107" s="6">
        <f>0</f>
        <v>0</v>
      </c>
      <c r="T107" s="6">
        <f>9500700</f>
        <v>9500700</v>
      </c>
      <c r="U107" s="5" t="s">
        <v>245</v>
      </c>
      <c r="V107" s="4" t="s">
        <v>270</v>
      </c>
      <c r="W107" s="4" t="s">
        <v>242</v>
      </c>
      <c r="X107" s="4" t="s">
        <v>273</v>
      </c>
      <c r="Y107" s="4" t="s">
        <v>241</v>
      </c>
      <c r="AB107" s="4" t="s">
        <v>241</v>
      </c>
      <c r="AD107" s="5" t="s">
        <v>241</v>
      </c>
      <c r="AG107" s="5" t="s">
        <v>246</v>
      </c>
      <c r="AH107" s="4" t="s">
        <v>241</v>
      </c>
      <c r="AI107" s="4" t="s">
        <v>247</v>
      </c>
      <c r="AJ107" s="4" t="s">
        <v>248</v>
      </c>
      <c r="AZ107" s="4" t="s">
        <v>249</v>
      </c>
      <c r="BA107" s="4" t="s">
        <v>241</v>
      </c>
      <c r="BB107" s="4" t="s">
        <v>250</v>
      </c>
      <c r="BC107" s="4" t="s">
        <v>241</v>
      </c>
      <c r="BD107" s="4" t="s">
        <v>252</v>
      </c>
      <c r="BE107" s="4" t="s">
        <v>241</v>
      </c>
      <c r="BI107" s="4" t="s">
        <v>253</v>
      </c>
      <c r="BJ107" s="5" t="s">
        <v>246</v>
      </c>
      <c r="BK107" s="4" t="s">
        <v>254</v>
      </c>
      <c r="BL107" s="4" t="s">
        <v>255</v>
      </c>
      <c r="BM107" s="4" t="s">
        <v>241</v>
      </c>
      <c r="BN107" s="6">
        <f>0</f>
        <v>0</v>
      </c>
      <c r="BO107" s="6">
        <f>0</f>
        <v>0</v>
      </c>
      <c r="BP107" s="4" t="s">
        <v>256</v>
      </c>
      <c r="BQ107" s="4" t="s">
        <v>257</v>
      </c>
      <c r="CE107" s="4" t="s">
        <v>241</v>
      </c>
      <c r="CF107" s="4" t="s">
        <v>241</v>
      </c>
      <c r="CJ107" s="4" t="s">
        <v>258</v>
      </c>
      <c r="CK107" s="4" t="s">
        <v>259</v>
      </c>
      <c r="CL107" s="4" t="s">
        <v>241</v>
      </c>
      <c r="CO107" s="5" t="s">
        <v>260</v>
      </c>
      <c r="CP107" s="4" t="s">
        <v>241</v>
      </c>
      <c r="CQ107" s="4" t="s">
        <v>261</v>
      </c>
      <c r="CR107" s="4" t="s">
        <v>241</v>
      </c>
      <c r="CS107" s="4" t="s">
        <v>241</v>
      </c>
      <c r="CT107" s="4">
        <v>0</v>
      </c>
      <c r="CU107" s="4" t="s">
        <v>262</v>
      </c>
      <c r="CV107" s="4" t="s">
        <v>263</v>
      </c>
      <c r="CW107" s="4" t="s">
        <v>263</v>
      </c>
      <c r="CX107" s="4" t="s">
        <v>264</v>
      </c>
      <c r="DA107" s="6">
        <f>9500700</f>
        <v>9500700</v>
      </c>
      <c r="DC107" s="4" t="s">
        <v>266</v>
      </c>
      <c r="DD107" s="4" t="s">
        <v>241</v>
      </c>
      <c r="DF107" s="4" t="s">
        <v>287</v>
      </c>
      <c r="DG107" s="6">
        <f>0</f>
        <v>0</v>
      </c>
      <c r="DI107" s="4" t="s">
        <v>266</v>
      </c>
      <c r="DJ107" s="4" t="s">
        <v>241</v>
      </c>
      <c r="DK107" s="4" t="s">
        <v>241</v>
      </c>
      <c r="DL107" s="4" t="s">
        <v>241</v>
      </c>
      <c r="DP107" s="4" t="s">
        <v>241</v>
      </c>
      <c r="DQ107" s="4" t="s">
        <v>241</v>
      </c>
      <c r="DR107" s="4" t="s">
        <v>241</v>
      </c>
      <c r="DS107" s="4" t="s">
        <v>241</v>
      </c>
      <c r="DV107" s="4" t="s">
        <v>5301</v>
      </c>
      <c r="DW107" s="4" t="s">
        <v>628</v>
      </c>
      <c r="HO107" s="4" t="s">
        <v>267</v>
      </c>
    </row>
    <row r="108" spans="1:223" ht="19.5" customHeight="1" x14ac:dyDescent="0.4">
      <c r="A108" s="4">
        <v>1</v>
      </c>
      <c r="B108" s="4" t="s">
        <v>239</v>
      </c>
      <c r="C108" s="4">
        <v>819</v>
      </c>
      <c r="D108" s="4">
        <v>1</v>
      </c>
      <c r="E108" s="4">
        <v>1</v>
      </c>
      <c r="F108" s="4" t="s">
        <v>240</v>
      </c>
      <c r="G108" s="4" t="s">
        <v>241</v>
      </c>
      <c r="H108" s="4" t="s">
        <v>241</v>
      </c>
      <c r="I108" s="4" t="s">
        <v>5299</v>
      </c>
      <c r="J108" s="4" t="s">
        <v>418</v>
      </c>
      <c r="K108" s="4" t="s">
        <v>251</v>
      </c>
      <c r="L108" s="4" t="s">
        <v>5298</v>
      </c>
      <c r="M108" s="5" t="s">
        <v>5307</v>
      </c>
      <c r="N108" s="6">
        <f>854</f>
        <v>854</v>
      </c>
      <c r="O108" s="4" t="s">
        <v>265</v>
      </c>
      <c r="P108" s="6">
        <f>36722</f>
        <v>36722</v>
      </c>
      <c r="Q108" s="6">
        <f>0</f>
        <v>0</v>
      </c>
      <c r="S108" s="6">
        <f>0</f>
        <v>0</v>
      </c>
      <c r="T108" s="6">
        <f>36722</f>
        <v>36722</v>
      </c>
      <c r="U108" s="5" t="s">
        <v>245</v>
      </c>
      <c r="V108" s="4" t="s">
        <v>270</v>
      </c>
      <c r="W108" s="4" t="s">
        <v>242</v>
      </c>
      <c r="X108" s="4" t="s">
        <v>273</v>
      </c>
      <c r="Y108" s="4" t="s">
        <v>241</v>
      </c>
      <c r="AB108" s="4" t="s">
        <v>241</v>
      </c>
      <c r="AD108" s="5" t="s">
        <v>241</v>
      </c>
      <c r="AG108" s="5" t="s">
        <v>246</v>
      </c>
      <c r="AH108" s="4" t="s">
        <v>241</v>
      </c>
      <c r="AI108" s="4" t="s">
        <v>247</v>
      </c>
      <c r="AJ108" s="4" t="s">
        <v>248</v>
      </c>
      <c r="AZ108" s="4" t="s">
        <v>249</v>
      </c>
      <c r="BA108" s="4" t="s">
        <v>241</v>
      </c>
      <c r="BB108" s="4" t="s">
        <v>250</v>
      </c>
      <c r="BC108" s="4" t="s">
        <v>241</v>
      </c>
      <c r="BD108" s="4" t="s">
        <v>252</v>
      </c>
      <c r="BE108" s="4" t="s">
        <v>241</v>
      </c>
      <c r="BI108" s="4" t="s">
        <v>253</v>
      </c>
      <c r="BJ108" s="5" t="s">
        <v>246</v>
      </c>
      <c r="BK108" s="4" t="s">
        <v>254</v>
      </c>
      <c r="BL108" s="4" t="s">
        <v>255</v>
      </c>
      <c r="BM108" s="4" t="s">
        <v>241</v>
      </c>
      <c r="BN108" s="6">
        <f>0</f>
        <v>0</v>
      </c>
      <c r="BO108" s="6">
        <f>0</f>
        <v>0</v>
      </c>
      <c r="BP108" s="4" t="s">
        <v>256</v>
      </c>
      <c r="BQ108" s="4" t="s">
        <v>257</v>
      </c>
      <c r="CE108" s="4" t="s">
        <v>241</v>
      </c>
      <c r="CF108" s="4" t="s">
        <v>241</v>
      </c>
      <c r="CJ108" s="4" t="s">
        <v>258</v>
      </c>
      <c r="CK108" s="4" t="s">
        <v>259</v>
      </c>
      <c r="CL108" s="4" t="s">
        <v>241</v>
      </c>
      <c r="CO108" s="5" t="s">
        <v>260</v>
      </c>
      <c r="CP108" s="4" t="s">
        <v>241</v>
      </c>
      <c r="CQ108" s="4" t="s">
        <v>261</v>
      </c>
      <c r="CR108" s="4" t="s">
        <v>241</v>
      </c>
      <c r="CS108" s="4" t="s">
        <v>241</v>
      </c>
      <c r="CT108" s="4">
        <v>0</v>
      </c>
      <c r="CU108" s="4" t="s">
        <v>262</v>
      </c>
      <c r="CV108" s="4" t="s">
        <v>263</v>
      </c>
      <c r="CW108" s="4" t="s">
        <v>263</v>
      </c>
      <c r="CX108" s="4" t="s">
        <v>264</v>
      </c>
      <c r="DA108" s="6">
        <f>36722</f>
        <v>36722</v>
      </c>
      <c r="DC108" s="4" t="s">
        <v>348</v>
      </c>
      <c r="DD108" s="4" t="s">
        <v>241</v>
      </c>
      <c r="DF108" s="4" t="s">
        <v>287</v>
      </c>
      <c r="DG108" s="6">
        <f>0</f>
        <v>0</v>
      </c>
      <c r="DI108" s="4" t="s">
        <v>348</v>
      </c>
      <c r="DJ108" s="4" t="s">
        <v>241</v>
      </c>
      <c r="DK108" s="4" t="s">
        <v>241</v>
      </c>
      <c r="DL108" s="4" t="s">
        <v>241</v>
      </c>
      <c r="DP108" s="4" t="s">
        <v>241</v>
      </c>
      <c r="DQ108" s="4" t="s">
        <v>241</v>
      </c>
      <c r="DR108" s="4" t="s">
        <v>241</v>
      </c>
      <c r="DS108" s="4" t="s">
        <v>241</v>
      </c>
      <c r="DV108" s="4" t="s">
        <v>5301</v>
      </c>
      <c r="DW108" s="4" t="s">
        <v>597</v>
      </c>
      <c r="HO108" s="4" t="s">
        <v>267</v>
      </c>
    </row>
    <row r="109" spans="1:223" ht="19.5" customHeight="1" x14ac:dyDescent="0.4">
      <c r="A109" s="4">
        <v>1</v>
      </c>
      <c r="B109" s="4" t="s">
        <v>239</v>
      </c>
      <c r="C109" s="4">
        <v>820</v>
      </c>
      <c r="D109" s="4">
        <v>1</v>
      </c>
      <c r="E109" s="4">
        <v>1</v>
      </c>
      <c r="F109" s="4" t="s">
        <v>240</v>
      </c>
      <c r="G109" s="4" t="s">
        <v>241</v>
      </c>
      <c r="H109" s="4" t="s">
        <v>241</v>
      </c>
      <c r="I109" s="4" t="s">
        <v>5299</v>
      </c>
      <c r="J109" s="4" t="s">
        <v>418</v>
      </c>
      <c r="K109" s="4" t="s">
        <v>251</v>
      </c>
      <c r="L109" s="4" t="s">
        <v>5298</v>
      </c>
      <c r="M109" s="5" t="s">
        <v>5308</v>
      </c>
      <c r="N109" s="6">
        <f>225</f>
        <v>225</v>
      </c>
      <c r="O109" s="4" t="s">
        <v>265</v>
      </c>
      <c r="P109" s="6">
        <f>6300</f>
        <v>6300</v>
      </c>
      <c r="Q109" s="6">
        <f>0</f>
        <v>0</v>
      </c>
      <c r="S109" s="6">
        <f>0</f>
        <v>0</v>
      </c>
      <c r="T109" s="6">
        <f>6300</f>
        <v>6300</v>
      </c>
      <c r="U109" s="5" t="s">
        <v>245</v>
      </c>
      <c r="V109" s="4" t="s">
        <v>270</v>
      </c>
      <c r="W109" s="4" t="s">
        <v>242</v>
      </c>
      <c r="X109" s="4" t="s">
        <v>273</v>
      </c>
      <c r="Y109" s="4" t="s">
        <v>241</v>
      </c>
      <c r="AB109" s="4" t="s">
        <v>241</v>
      </c>
      <c r="AD109" s="5" t="s">
        <v>241</v>
      </c>
      <c r="AG109" s="5" t="s">
        <v>246</v>
      </c>
      <c r="AH109" s="4" t="s">
        <v>241</v>
      </c>
      <c r="AI109" s="4" t="s">
        <v>247</v>
      </c>
      <c r="AJ109" s="4" t="s">
        <v>248</v>
      </c>
      <c r="AZ109" s="4" t="s">
        <v>249</v>
      </c>
      <c r="BA109" s="4" t="s">
        <v>241</v>
      </c>
      <c r="BB109" s="4" t="s">
        <v>250</v>
      </c>
      <c r="BC109" s="4" t="s">
        <v>241</v>
      </c>
      <c r="BD109" s="4" t="s">
        <v>252</v>
      </c>
      <c r="BE109" s="4" t="s">
        <v>241</v>
      </c>
      <c r="BI109" s="4" t="s">
        <v>253</v>
      </c>
      <c r="BJ109" s="5" t="s">
        <v>246</v>
      </c>
      <c r="BK109" s="4" t="s">
        <v>254</v>
      </c>
      <c r="BL109" s="4" t="s">
        <v>255</v>
      </c>
      <c r="BM109" s="4" t="s">
        <v>241</v>
      </c>
      <c r="BN109" s="6">
        <f>0</f>
        <v>0</v>
      </c>
      <c r="BO109" s="6">
        <f>0</f>
        <v>0</v>
      </c>
      <c r="BP109" s="4" t="s">
        <v>256</v>
      </c>
      <c r="BQ109" s="4" t="s">
        <v>257</v>
      </c>
      <c r="CE109" s="4" t="s">
        <v>241</v>
      </c>
      <c r="CF109" s="4" t="s">
        <v>241</v>
      </c>
      <c r="CJ109" s="4" t="s">
        <v>258</v>
      </c>
      <c r="CK109" s="4" t="s">
        <v>259</v>
      </c>
      <c r="CL109" s="4" t="s">
        <v>241</v>
      </c>
      <c r="CO109" s="5" t="s">
        <v>260</v>
      </c>
      <c r="CP109" s="4" t="s">
        <v>241</v>
      </c>
      <c r="CQ109" s="4" t="s">
        <v>261</v>
      </c>
      <c r="CR109" s="4" t="s">
        <v>241</v>
      </c>
      <c r="CS109" s="4" t="s">
        <v>241</v>
      </c>
      <c r="CT109" s="4">
        <v>0</v>
      </c>
      <c r="CU109" s="4" t="s">
        <v>262</v>
      </c>
      <c r="CV109" s="4" t="s">
        <v>263</v>
      </c>
      <c r="CW109" s="4" t="s">
        <v>263</v>
      </c>
      <c r="CX109" s="4" t="s">
        <v>264</v>
      </c>
      <c r="DA109" s="6">
        <f>6300</f>
        <v>6300</v>
      </c>
      <c r="DC109" s="4" t="s">
        <v>324</v>
      </c>
      <c r="DD109" s="4" t="s">
        <v>241</v>
      </c>
      <c r="DF109" s="4" t="s">
        <v>287</v>
      </c>
      <c r="DG109" s="6">
        <f>0</f>
        <v>0</v>
      </c>
      <c r="DI109" s="4" t="s">
        <v>324</v>
      </c>
      <c r="DJ109" s="4" t="s">
        <v>241</v>
      </c>
      <c r="DK109" s="4" t="s">
        <v>241</v>
      </c>
      <c r="DL109" s="4" t="s">
        <v>241</v>
      </c>
      <c r="DP109" s="4" t="s">
        <v>241</v>
      </c>
      <c r="DQ109" s="4" t="s">
        <v>241</v>
      </c>
      <c r="DR109" s="4" t="s">
        <v>241</v>
      </c>
      <c r="DS109" s="4" t="s">
        <v>241</v>
      </c>
      <c r="DV109" s="4" t="s">
        <v>5301</v>
      </c>
      <c r="DW109" s="4" t="s">
        <v>1792</v>
      </c>
      <c r="HO109" s="4" t="s">
        <v>267</v>
      </c>
    </row>
    <row r="110" spans="1:223" ht="19.5" customHeight="1" x14ac:dyDescent="0.4">
      <c r="A110" s="4">
        <v>1</v>
      </c>
      <c r="B110" s="4" t="s">
        <v>239</v>
      </c>
      <c r="C110" s="4">
        <v>821</v>
      </c>
      <c r="D110" s="4">
        <v>1</v>
      </c>
      <c r="E110" s="4">
        <v>1</v>
      </c>
      <c r="F110" s="4" t="s">
        <v>240</v>
      </c>
      <c r="G110" s="4" t="s">
        <v>241</v>
      </c>
      <c r="H110" s="4" t="s">
        <v>241</v>
      </c>
      <c r="I110" s="4" t="s">
        <v>5299</v>
      </c>
      <c r="J110" s="4" t="s">
        <v>418</v>
      </c>
      <c r="K110" s="4" t="s">
        <v>251</v>
      </c>
      <c r="L110" s="4" t="s">
        <v>5298</v>
      </c>
      <c r="M110" s="5" t="s">
        <v>5300</v>
      </c>
      <c r="N110" s="6">
        <f>251</f>
        <v>251</v>
      </c>
      <c r="O110" s="4" t="s">
        <v>265</v>
      </c>
      <c r="P110" s="6">
        <f>555965</f>
        <v>555965</v>
      </c>
      <c r="Q110" s="6">
        <f>0</f>
        <v>0</v>
      </c>
      <c r="S110" s="6">
        <f>0</f>
        <v>0</v>
      </c>
      <c r="T110" s="6">
        <f>555965</f>
        <v>555965</v>
      </c>
      <c r="U110" s="5" t="s">
        <v>245</v>
      </c>
      <c r="V110" s="4" t="s">
        <v>270</v>
      </c>
      <c r="W110" s="4" t="s">
        <v>242</v>
      </c>
      <c r="X110" s="4" t="s">
        <v>273</v>
      </c>
      <c r="Y110" s="4" t="s">
        <v>241</v>
      </c>
      <c r="AB110" s="4" t="s">
        <v>241</v>
      </c>
      <c r="AD110" s="5" t="s">
        <v>241</v>
      </c>
      <c r="AG110" s="5" t="s">
        <v>246</v>
      </c>
      <c r="AH110" s="4" t="s">
        <v>241</v>
      </c>
      <c r="AI110" s="4" t="s">
        <v>247</v>
      </c>
      <c r="AJ110" s="4" t="s">
        <v>248</v>
      </c>
      <c r="AZ110" s="4" t="s">
        <v>249</v>
      </c>
      <c r="BA110" s="4" t="s">
        <v>241</v>
      </c>
      <c r="BB110" s="4" t="s">
        <v>250</v>
      </c>
      <c r="BC110" s="4" t="s">
        <v>241</v>
      </c>
      <c r="BD110" s="4" t="s">
        <v>252</v>
      </c>
      <c r="BE110" s="4" t="s">
        <v>241</v>
      </c>
      <c r="BI110" s="4" t="s">
        <v>253</v>
      </c>
      <c r="BJ110" s="5" t="s">
        <v>246</v>
      </c>
      <c r="BK110" s="4" t="s">
        <v>254</v>
      </c>
      <c r="BL110" s="4" t="s">
        <v>255</v>
      </c>
      <c r="BM110" s="4" t="s">
        <v>241</v>
      </c>
      <c r="BN110" s="6">
        <f>0</f>
        <v>0</v>
      </c>
      <c r="BO110" s="6">
        <f>0</f>
        <v>0</v>
      </c>
      <c r="BP110" s="4" t="s">
        <v>256</v>
      </c>
      <c r="BQ110" s="4" t="s">
        <v>257</v>
      </c>
      <c r="CE110" s="4" t="s">
        <v>241</v>
      </c>
      <c r="CF110" s="4" t="s">
        <v>241</v>
      </c>
      <c r="CJ110" s="4" t="s">
        <v>258</v>
      </c>
      <c r="CK110" s="4" t="s">
        <v>259</v>
      </c>
      <c r="CL110" s="4" t="s">
        <v>241</v>
      </c>
      <c r="CO110" s="5" t="s">
        <v>260</v>
      </c>
      <c r="CP110" s="4" t="s">
        <v>241</v>
      </c>
      <c r="CQ110" s="4" t="s">
        <v>261</v>
      </c>
      <c r="CR110" s="4" t="s">
        <v>241</v>
      </c>
      <c r="CS110" s="4" t="s">
        <v>241</v>
      </c>
      <c r="CT110" s="4">
        <v>0</v>
      </c>
      <c r="CU110" s="4" t="s">
        <v>262</v>
      </c>
      <c r="CV110" s="4" t="s">
        <v>263</v>
      </c>
      <c r="CW110" s="4" t="s">
        <v>263</v>
      </c>
      <c r="CX110" s="4" t="s">
        <v>264</v>
      </c>
      <c r="DA110" s="6">
        <f>555965</f>
        <v>555965</v>
      </c>
      <c r="DC110" s="4" t="s">
        <v>414</v>
      </c>
      <c r="DD110" s="4" t="s">
        <v>241</v>
      </c>
      <c r="DF110" s="4" t="s">
        <v>287</v>
      </c>
      <c r="DG110" s="6">
        <f>0</f>
        <v>0</v>
      </c>
      <c r="DI110" s="4" t="s">
        <v>414</v>
      </c>
      <c r="DJ110" s="4" t="s">
        <v>241</v>
      </c>
      <c r="DK110" s="4" t="s">
        <v>241</v>
      </c>
      <c r="DL110" s="4" t="s">
        <v>241</v>
      </c>
      <c r="DP110" s="4" t="s">
        <v>241</v>
      </c>
      <c r="DQ110" s="4" t="s">
        <v>241</v>
      </c>
      <c r="DR110" s="4" t="s">
        <v>241</v>
      </c>
      <c r="DS110" s="4" t="s">
        <v>241</v>
      </c>
      <c r="DV110" s="4" t="s">
        <v>5301</v>
      </c>
      <c r="DW110" s="4" t="s">
        <v>1789</v>
      </c>
      <c r="HO110" s="4" t="s">
        <v>267</v>
      </c>
    </row>
    <row r="111" spans="1:223" ht="19.5" customHeight="1" x14ac:dyDescent="0.4">
      <c r="A111" s="4">
        <v>1</v>
      </c>
      <c r="B111" s="4" t="s">
        <v>239</v>
      </c>
      <c r="C111" s="4">
        <v>822</v>
      </c>
      <c r="D111" s="4">
        <v>1</v>
      </c>
      <c r="E111" s="4">
        <v>1</v>
      </c>
      <c r="F111" s="4" t="s">
        <v>240</v>
      </c>
      <c r="G111" s="4" t="s">
        <v>241</v>
      </c>
      <c r="H111" s="4" t="s">
        <v>241</v>
      </c>
      <c r="I111" s="4" t="s">
        <v>5293</v>
      </c>
      <c r="J111" s="4" t="s">
        <v>418</v>
      </c>
      <c r="K111" s="4" t="s">
        <v>251</v>
      </c>
      <c r="L111" s="4" t="s">
        <v>5292</v>
      </c>
      <c r="M111" s="5" t="s">
        <v>5297</v>
      </c>
      <c r="N111" s="6">
        <f>690</f>
        <v>690</v>
      </c>
      <c r="O111" s="4" t="s">
        <v>265</v>
      </c>
      <c r="P111" s="6">
        <f>1528350</f>
        <v>1528350</v>
      </c>
      <c r="Q111" s="6">
        <f>0</f>
        <v>0</v>
      </c>
      <c r="S111" s="6">
        <f>0</f>
        <v>0</v>
      </c>
      <c r="T111" s="6">
        <f>1528350</f>
        <v>1528350</v>
      </c>
      <c r="U111" s="5" t="s">
        <v>245</v>
      </c>
      <c r="V111" s="4" t="s">
        <v>270</v>
      </c>
      <c r="W111" s="4" t="s">
        <v>242</v>
      </c>
      <c r="X111" s="4" t="s">
        <v>273</v>
      </c>
      <c r="Y111" s="4" t="s">
        <v>241</v>
      </c>
      <c r="AB111" s="4" t="s">
        <v>241</v>
      </c>
      <c r="AD111" s="5" t="s">
        <v>241</v>
      </c>
      <c r="AG111" s="5" t="s">
        <v>246</v>
      </c>
      <c r="AH111" s="4" t="s">
        <v>241</v>
      </c>
      <c r="AI111" s="4" t="s">
        <v>247</v>
      </c>
      <c r="AJ111" s="4" t="s">
        <v>248</v>
      </c>
      <c r="AZ111" s="4" t="s">
        <v>249</v>
      </c>
      <c r="BA111" s="4" t="s">
        <v>241</v>
      </c>
      <c r="BB111" s="4" t="s">
        <v>250</v>
      </c>
      <c r="BC111" s="4" t="s">
        <v>241</v>
      </c>
      <c r="BD111" s="4" t="s">
        <v>252</v>
      </c>
      <c r="BE111" s="4" t="s">
        <v>241</v>
      </c>
      <c r="BG111" s="4" t="s">
        <v>4227</v>
      </c>
      <c r="BI111" s="4" t="s">
        <v>253</v>
      </c>
      <c r="BJ111" s="5" t="s">
        <v>246</v>
      </c>
      <c r="BK111" s="4" t="s">
        <v>254</v>
      </c>
      <c r="BL111" s="4" t="s">
        <v>255</v>
      </c>
      <c r="BM111" s="4" t="s">
        <v>241</v>
      </c>
      <c r="BN111" s="6">
        <f>0</f>
        <v>0</v>
      </c>
      <c r="BO111" s="6">
        <f>0</f>
        <v>0</v>
      </c>
      <c r="BP111" s="4" t="s">
        <v>256</v>
      </c>
      <c r="BQ111" s="4" t="s">
        <v>257</v>
      </c>
      <c r="CE111" s="4" t="s">
        <v>241</v>
      </c>
      <c r="CF111" s="4" t="s">
        <v>241</v>
      </c>
      <c r="CJ111" s="4" t="s">
        <v>258</v>
      </c>
      <c r="CK111" s="4" t="s">
        <v>259</v>
      </c>
      <c r="CL111" s="4" t="s">
        <v>241</v>
      </c>
      <c r="CO111" s="5" t="s">
        <v>260</v>
      </c>
      <c r="CP111" s="4" t="s">
        <v>241</v>
      </c>
      <c r="CQ111" s="4" t="s">
        <v>261</v>
      </c>
      <c r="CR111" s="4" t="s">
        <v>241</v>
      </c>
      <c r="CS111" s="4" t="s">
        <v>241</v>
      </c>
      <c r="CT111" s="4">
        <v>0</v>
      </c>
      <c r="CU111" s="4" t="s">
        <v>262</v>
      </c>
      <c r="CV111" s="4" t="s">
        <v>263</v>
      </c>
      <c r="CW111" s="4" t="s">
        <v>263</v>
      </c>
      <c r="CX111" s="4" t="s">
        <v>264</v>
      </c>
      <c r="DA111" s="6">
        <f>1528350</f>
        <v>1528350</v>
      </c>
      <c r="DC111" s="4" t="s">
        <v>422</v>
      </c>
      <c r="DD111" s="4" t="s">
        <v>241</v>
      </c>
      <c r="DF111" s="4" t="s">
        <v>287</v>
      </c>
      <c r="DG111" s="6">
        <f>0</f>
        <v>0</v>
      </c>
      <c r="DI111" s="4" t="s">
        <v>414</v>
      </c>
      <c r="DJ111" s="4" t="s">
        <v>241</v>
      </c>
      <c r="DK111" s="4" t="s">
        <v>241</v>
      </c>
      <c r="DL111" s="4" t="s">
        <v>241</v>
      </c>
      <c r="DP111" s="4" t="s">
        <v>241</v>
      </c>
      <c r="DQ111" s="4" t="s">
        <v>241</v>
      </c>
      <c r="DR111" s="4" t="s">
        <v>241</v>
      </c>
      <c r="DS111" s="4" t="s">
        <v>241</v>
      </c>
      <c r="DV111" s="4" t="s">
        <v>5296</v>
      </c>
      <c r="DW111" s="4" t="s">
        <v>267</v>
      </c>
      <c r="HO111" s="4" t="s">
        <v>267</v>
      </c>
    </row>
    <row r="112" spans="1:223" ht="19.5" customHeight="1" x14ac:dyDescent="0.4">
      <c r="A112" s="4">
        <v>1</v>
      </c>
      <c r="B112" s="4" t="s">
        <v>239</v>
      </c>
      <c r="C112" s="4">
        <v>823</v>
      </c>
      <c r="D112" s="4">
        <v>1</v>
      </c>
      <c r="E112" s="4">
        <v>1</v>
      </c>
      <c r="F112" s="4" t="s">
        <v>240</v>
      </c>
      <c r="G112" s="4" t="s">
        <v>241</v>
      </c>
      <c r="H112" s="4" t="s">
        <v>241</v>
      </c>
      <c r="I112" s="4" t="s">
        <v>5293</v>
      </c>
      <c r="J112" s="4" t="s">
        <v>418</v>
      </c>
      <c r="K112" s="4" t="s">
        <v>251</v>
      </c>
      <c r="L112" s="4" t="s">
        <v>5292</v>
      </c>
      <c r="M112" s="5" t="s">
        <v>5294</v>
      </c>
      <c r="N112" s="6">
        <f>2997</f>
        <v>2997</v>
      </c>
      <c r="O112" s="4" t="s">
        <v>265</v>
      </c>
      <c r="P112" s="6">
        <f>6638355</f>
        <v>6638355</v>
      </c>
      <c r="Q112" s="6">
        <f>0</f>
        <v>0</v>
      </c>
      <c r="S112" s="6">
        <f>0</f>
        <v>0</v>
      </c>
      <c r="T112" s="6">
        <f>6638355</f>
        <v>6638355</v>
      </c>
      <c r="U112" s="5" t="s">
        <v>245</v>
      </c>
      <c r="V112" s="4" t="s">
        <v>270</v>
      </c>
      <c r="W112" s="4" t="s">
        <v>242</v>
      </c>
      <c r="X112" s="4" t="s">
        <v>273</v>
      </c>
      <c r="Y112" s="4" t="s">
        <v>241</v>
      </c>
      <c r="AB112" s="4" t="s">
        <v>241</v>
      </c>
      <c r="AD112" s="5" t="s">
        <v>241</v>
      </c>
      <c r="AG112" s="5" t="s">
        <v>246</v>
      </c>
      <c r="AH112" s="4" t="s">
        <v>241</v>
      </c>
      <c r="AI112" s="4" t="s">
        <v>247</v>
      </c>
      <c r="AJ112" s="4" t="s">
        <v>248</v>
      </c>
      <c r="AZ112" s="4" t="s">
        <v>249</v>
      </c>
      <c r="BA112" s="4" t="s">
        <v>241</v>
      </c>
      <c r="BB112" s="4" t="s">
        <v>250</v>
      </c>
      <c r="BC112" s="4" t="s">
        <v>241</v>
      </c>
      <c r="BD112" s="4" t="s">
        <v>252</v>
      </c>
      <c r="BE112" s="4" t="s">
        <v>241</v>
      </c>
      <c r="BI112" s="4" t="s">
        <v>253</v>
      </c>
      <c r="BJ112" s="5" t="s">
        <v>246</v>
      </c>
      <c r="BK112" s="4" t="s">
        <v>254</v>
      </c>
      <c r="BL112" s="4" t="s">
        <v>255</v>
      </c>
      <c r="BM112" s="4" t="s">
        <v>241</v>
      </c>
      <c r="BN112" s="6">
        <f>0</f>
        <v>0</v>
      </c>
      <c r="BO112" s="6">
        <f>0</f>
        <v>0</v>
      </c>
      <c r="BP112" s="4" t="s">
        <v>256</v>
      </c>
      <c r="BQ112" s="4" t="s">
        <v>257</v>
      </c>
      <c r="CE112" s="4" t="s">
        <v>241</v>
      </c>
      <c r="CF112" s="4" t="s">
        <v>241</v>
      </c>
      <c r="CJ112" s="4" t="s">
        <v>258</v>
      </c>
      <c r="CK112" s="4" t="s">
        <v>259</v>
      </c>
      <c r="CL112" s="4" t="s">
        <v>241</v>
      </c>
      <c r="CO112" s="5" t="s">
        <v>260</v>
      </c>
      <c r="CP112" s="4" t="s">
        <v>241</v>
      </c>
      <c r="CQ112" s="4" t="s">
        <v>261</v>
      </c>
      <c r="CR112" s="4" t="s">
        <v>241</v>
      </c>
      <c r="CS112" s="4" t="s">
        <v>241</v>
      </c>
      <c r="CT112" s="4">
        <v>0</v>
      </c>
      <c r="CU112" s="4" t="s">
        <v>262</v>
      </c>
      <c r="CV112" s="4" t="s">
        <v>263</v>
      </c>
      <c r="CW112" s="4" t="s">
        <v>263</v>
      </c>
      <c r="CX112" s="4" t="s">
        <v>264</v>
      </c>
      <c r="DA112" s="6">
        <f>6638355</f>
        <v>6638355</v>
      </c>
      <c r="DC112" s="4" t="s">
        <v>422</v>
      </c>
      <c r="DD112" s="4" t="s">
        <v>241</v>
      </c>
      <c r="DF112" s="4" t="s">
        <v>287</v>
      </c>
      <c r="DG112" s="6">
        <f>0</f>
        <v>0</v>
      </c>
      <c r="DH112" s="5" t="s">
        <v>5295</v>
      </c>
      <c r="DI112" s="4" t="s">
        <v>414</v>
      </c>
      <c r="DJ112" s="4" t="s">
        <v>241</v>
      </c>
      <c r="DK112" s="4" t="s">
        <v>241</v>
      </c>
      <c r="DL112" s="4" t="s">
        <v>241</v>
      </c>
      <c r="DP112" s="4" t="s">
        <v>241</v>
      </c>
      <c r="DQ112" s="4" t="s">
        <v>241</v>
      </c>
      <c r="DR112" s="4" t="s">
        <v>241</v>
      </c>
      <c r="DS112" s="4" t="s">
        <v>241</v>
      </c>
      <c r="DV112" s="4" t="s">
        <v>5296</v>
      </c>
      <c r="DW112" s="4" t="s">
        <v>416</v>
      </c>
      <c r="HO112" s="4" t="s">
        <v>267</v>
      </c>
    </row>
    <row r="113" spans="1:223" ht="19.5" customHeight="1" x14ac:dyDescent="0.4">
      <c r="A113" s="4">
        <v>1</v>
      </c>
      <c r="B113" s="4" t="s">
        <v>239</v>
      </c>
      <c r="C113" s="4">
        <v>824</v>
      </c>
      <c r="D113" s="4">
        <v>1</v>
      </c>
      <c r="E113" s="4">
        <v>1</v>
      </c>
      <c r="F113" s="4" t="s">
        <v>240</v>
      </c>
      <c r="G113" s="4" t="s">
        <v>241</v>
      </c>
      <c r="H113" s="4" t="s">
        <v>241</v>
      </c>
      <c r="I113" s="4" t="s">
        <v>5286</v>
      </c>
      <c r="J113" s="4" t="s">
        <v>418</v>
      </c>
      <c r="K113" s="4" t="s">
        <v>251</v>
      </c>
      <c r="L113" s="4" t="s">
        <v>5285</v>
      </c>
      <c r="M113" s="5" t="s">
        <v>5290</v>
      </c>
      <c r="N113" s="6">
        <f>80</f>
        <v>80</v>
      </c>
      <c r="O113" s="4" t="s">
        <v>265</v>
      </c>
      <c r="P113" s="6">
        <f>177200</f>
        <v>177200</v>
      </c>
      <c r="Q113" s="6">
        <f>0</f>
        <v>0</v>
      </c>
      <c r="S113" s="6">
        <f>0</f>
        <v>0</v>
      </c>
      <c r="T113" s="6">
        <f>177200</f>
        <v>177200</v>
      </c>
      <c r="U113" s="5" t="s">
        <v>245</v>
      </c>
      <c r="V113" s="4" t="s">
        <v>270</v>
      </c>
      <c r="W113" s="4" t="s">
        <v>242</v>
      </c>
      <c r="X113" s="4" t="s">
        <v>273</v>
      </c>
      <c r="Y113" s="4" t="s">
        <v>241</v>
      </c>
      <c r="AB113" s="4" t="s">
        <v>241</v>
      </c>
      <c r="AD113" s="5" t="s">
        <v>241</v>
      </c>
      <c r="AG113" s="5" t="s">
        <v>246</v>
      </c>
      <c r="AH113" s="4" t="s">
        <v>241</v>
      </c>
      <c r="AI113" s="4" t="s">
        <v>247</v>
      </c>
      <c r="AJ113" s="4" t="s">
        <v>248</v>
      </c>
      <c r="AZ113" s="4" t="s">
        <v>249</v>
      </c>
      <c r="BA113" s="4" t="s">
        <v>241</v>
      </c>
      <c r="BB113" s="4" t="s">
        <v>250</v>
      </c>
      <c r="BC113" s="4" t="s">
        <v>241</v>
      </c>
      <c r="BD113" s="4" t="s">
        <v>252</v>
      </c>
      <c r="BE113" s="4" t="s">
        <v>241</v>
      </c>
      <c r="BG113" s="4" t="s">
        <v>4227</v>
      </c>
      <c r="BI113" s="4" t="s">
        <v>253</v>
      </c>
      <c r="BJ113" s="5" t="s">
        <v>246</v>
      </c>
      <c r="BK113" s="4" t="s">
        <v>254</v>
      </c>
      <c r="BL113" s="4" t="s">
        <v>255</v>
      </c>
      <c r="BM113" s="4" t="s">
        <v>241</v>
      </c>
      <c r="BN113" s="6">
        <f>0</f>
        <v>0</v>
      </c>
      <c r="BO113" s="6">
        <f>0</f>
        <v>0</v>
      </c>
      <c r="BP113" s="4" t="s">
        <v>256</v>
      </c>
      <c r="BQ113" s="4" t="s">
        <v>257</v>
      </c>
      <c r="CE113" s="4" t="s">
        <v>241</v>
      </c>
      <c r="CF113" s="4" t="s">
        <v>241</v>
      </c>
      <c r="CJ113" s="4" t="s">
        <v>258</v>
      </c>
      <c r="CK113" s="4" t="s">
        <v>259</v>
      </c>
      <c r="CL113" s="4" t="s">
        <v>241</v>
      </c>
      <c r="CO113" s="5" t="s">
        <v>260</v>
      </c>
      <c r="CP113" s="4" t="s">
        <v>241</v>
      </c>
      <c r="CQ113" s="4" t="s">
        <v>261</v>
      </c>
      <c r="CR113" s="4" t="s">
        <v>241</v>
      </c>
      <c r="CS113" s="4" t="s">
        <v>241</v>
      </c>
      <c r="CT113" s="4">
        <v>0</v>
      </c>
      <c r="CU113" s="4" t="s">
        <v>262</v>
      </c>
      <c r="CV113" s="4" t="s">
        <v>263</v>
      </c>
      <c r="CW113" s="4" t="s">
        <v>263</v>
      </c>
      <c r="CX113" s="4" t="s">
        <v>264</v>
      </c>
      <c r="DA113" s="6">
        <f>177200</f>
        <v>177200</v>
      </c>
      <c r="DC113" s="4" t="s">
        <v>422</v>
      </c>
      <c r="DD113" s="4" t="s">
        <v>241</v>
      </c>
      <c r="DF113" s="4" t="s">
        <v>422</v>
      </c>
      <c r="DG113" s="6">
        <f>80</f>
        <v>80</v>
      </c>
      <c r="DH113" s="5" t="s">
        <v>5291</v>
      </c>
      <c r="DI113" s="4" t="s">
        <v>414</v>
      </c>
      <c r="DJ113" s="4" t="s">
        <v>241</v>
      </c>
      <c r="DK113" s="4" t="s">
        <v>241</v>
      </c>
      <c r="DL113" s="4" t="s">
        <v>241</v>
      </c>
      <c r="DP113" s="4" t="s">
        <v>241</v>
      </c>
      <c r="DQ113" s="4" t="s">
        <v>241</v>
      </c>
      <c r="DR113" s="4" t="s">
        <v>241</v>
      </c>
      <c r="DS113" s="4" t="s">
        <v>241</v>
      </c>
      <c r="DV113" s="4" t="s">
        <v>5289</v>
      </c>
      <c r="DW113" s="4" t="s">
        <v>267</v>
      </c>
      <c r="HO113" s="4" t="s">
        <v>267</v>
      </c>
    </row>
    <row r="114" spans="1:223" ht="19.5" customHeight="1" x14ac:dyDescent="0.4">
      <c r="A114" s="4">
        <v>1</v>
      </c>
      <c r="B114" s="4" t="s">
        <v>239</v>
      </c>
      <c r="C114" s="4">
        <v>825</v>
      </c>
      <c r="D114" s="4">
        <v>1</v>
      </c>
      <c r="E114" s="4">
        <v>1</v>
      </c>
      <c r="F114" s="4" t="s">
        <v>240</v>
      </c>
      <c r="G114" s="4" t="s">
        <v>241</v>
      </c>
      <c r="H114" s="4" t="s">
        <v>241</v>
      </c>
      <c r="I114" s="4" t="s">
        <v>5286</v>
      </c>
      <c r="J114" s="4" t="s">
        <v>418</v>
      </c>
      <c r="K114" s="4" t="s">
        <v>251</v>
      </c>
      <c r="L114" s="4" t="s">
        <v>5285</v>
      </c>
      <c r="M114" s="5" t="s">
        <v>5287</v>
      </c>
      <c r="N114" s="6">
        <f>762</f>
        <v>762</v>
      </c>
      <c r="O114" s="4" t="s">
        <v>265</v>
      </c>
      <c r="P114" s="6">
        <f>1687830</f>
        <v>1687830</v>
      </c>
      <c r="Q114" s="6">
        <f>0</f>
        <v>0</v>
      </c>
      <c r="S114" s="6">
        <f>0</f>
        <v>0</v>
      </c>
      <c r="T114" s="6">
        <f>1687830</f>
        <v>1687830</v>
      </c>
      <c r="U114" s="5" t="s">
        <v>245</v>
      </c>
      <c r="V114" s="4" t="s">
        <v>270</v>
      </c>
      <c r="W114" s="4" t="s">
        <v>242</v>
      </c>
      <c r="X114" s="4" t="s">
        <v>273</v>
      </c>
      <c r="Y114" s="4" t="s">
        <v>241</v>
      </c>
      <c r="AB114" s="4" t="s">
        <v>241</v>
      </c>
      <c r="AD114" s="5" t="s">
        <v>241</v>
      </c>
      <c r="AG114" s="5" t="s">
        <v>246</v>
      </c>
      <c r="AH114" s="4" t="s">
        <v>241</v>
      </c>
      <c r="AI114" s="4" t="s">
        <v>247</v>
      </c>
      <c r="AJ114" s="4" t="s">
        <v>248</v>
      </c>
      <c r="AZ114" s="4" t="s">
        <v>249</v>
      </c>
      <c r="BA114" s="4" t="s">
        <v>241</v>
      </c>
      <c r="BB114" s="4" t="s">
        <v>250</v>
      </c>
      <c r="BC114" s="4" t="s">
        <v>241</v>
      </c>
      <c r="BD114" s="4" t="s">
        <v>252</v>
      </c>
      <c r="BE114" s="4" t="s">
        <v>241</v>
      </c>
      <c r="BI114" s="4" t="s">
        <v>253</v>
      </c>
      <c r="BJ114" s="5" t="s">
        <v>246</v>
      </c>
      <c r="BK114" s="4" t="s">
        <v>254</v>
      </c>
      <c r="BL114" s="4" t="s">
        <v>255</v>
      </c>
      <c r="BM114" s="4" t="s">
        <v>241</v>
      </c>
      <c r="BN114" s="6">
        <f>0</f>
        <v>0</v>
      </c>
      <c r="BO114" s="6">
        <f>0</f>
        <v>0</v>
      </c>
      <c r="BP114" s="4" t="s">
        <v>256</v>
      </c>
      <c r="BQ114" s="4" t="s">
        <v>257</v>
      </c>
      <c r="CE114" s="4" t="s">
        <v>241</v>
      </c>
      <c r="CF114" s="4" t="s">
        <v>241</v>
      </c>
      <c r="CJ114" s="4" t="s">
        <v>258</v>
      </c>
      <c r="CK114" s="4" t="s">
        <v>259</v>
      </c>
      <c r="CL114" s="4" t="s">
        <v>241</v>
      </c>
      <c r="CO114" s="5" t="s">
        <v>260</v>
      </c>
      <c r="CP114" s="4" t="s">
        <v>241</v>
      </c>
      <c r="CQ114" s="4" t="s">
        <v>261</v>
      </c>
      <c r="CR114" s="4" t="s">
        <v>241</v>
      </c>
      <c r="CS114" s="4" t="s">
        <v>241</v>
      </c>
      <c r="CT114" s="4">
        <v>0</v>
      </c>
      <c r="CU114" s="4" t="s">
        <v>262</v>
      </c>
      <c r="CV114" s="4" t="s">
        <v>263</v>
      </c>
      <c r="CW114" s="4" t="s">
        <v>263</v>
      </c>
      <c r="CX114" s="4" t="s">
        <v>264</v>
      </c>
      <c r="DA114" s="6">
        <f>1687830</f>
        <v>1687830</v>
      </c>
      <c r="DC114" s="4" t="s">
        <v>422</v>
      </c>
      <c r="DD114" s="4" t="s">
        <v>241</v>
      </c>
      <c r="DF114" s="4" t="s">
        <v>422</v>
      </c>
      <c r="DG114" s="6">
        <f>762</f>
        <v>762</v>
      </c>
      <c r="DH114" s="5" t="s">
        <v>5288</v>
      </c>
      <c r="DI114" s="4" t="s">
        <v>414</v>
      </c>
      <c r="DJ114" s="4" t="s">
        <v>241</v>
      </c>
      <c r="DK114" s="4" t="s">
        <v>241</v>
      </c>
      <c r="DL114" s="4" t="s">
        <v>241</v>
      </c>
      <c r="DP114" s="4" t="s">
        <v>241</v>
      </c>
      <c r="DQ114" s="4" t="s">
        <v>241</v>
      </c>
      <c r="DR114" s="4" t="s">
        <v>241</v>
      </c>
      <c r="DS114" s="4" t="s">
        <v>241</v>
      </c>
      <c r="DV114" s="4" t="s">
        <v>5289</v>
      </c>
      <c r="DW114" s="4" t="s">
        <v>416</v>
      </c>
      <c r="HO114" s="4" t="s">
        <v>267</v>
      </c>
    </row>
    <row r="115" spans="1:223" ht="19.5" customHeight="1" x14ac:dyDescent="0.4">
      <c r="A115" s="4">
        <v>1</v>
      </c>
      <c r="B115" s="4" t="s">
        <v>239</v>
      </c>
      <c r="C115" s="4">
        <v>826</v>
      </c>
      <c r="D115" s="4">
        <v>1</v>
      </c>
      <c r="E115" s="4">
        <v>1</v>
      </c>
      <c r="F115" s="4" t="s">
        <v>240</v>
      </c>
      <c r="G115" s="4" t="s">
        <v>241</v>
      </c>
      <c r="H115" s="4" t="s">
        <v>241</v>
      </c>
      <c r="I115" s="4" t="s">
        <v>5281</v>
      </c>
      <c r="J115" s="4" t="s">
        <v>418</v>
      </c>
      <c r="K115" s="4" t="s">
        <v>251</v>
      </c>
      <c r="L115" s="4" t="s">
        <v>5280</v>
      </c>
      <c r="M115" s="5" t="s">
        <v>5540</v>
      </c>
      <c r="N115" s="6">
        <f>1847</f>
        <v>1847</v>
      </c>
      <c r="O115" s="4" t="s">
        <v>265</v>
      </c>
      <c r="P115" s="6">
        <f>4091105</f>
        <v>4091105</v>
      </c>
      <c r="Q115" s="6">
        <f>0</f>
        <v>0</v>
      </c>
      <c r="S115" s="6">
        <f>0</f>
        <v>0</v>
      </c>
      <c r="T115" s="6">
        <f>4091105</f>
        <v>4091105</v>
      </c>
      <c r="U115" s="5" t="s">
        <v>245</v>
      </c>
      <c r="V115" s="4" t="s">
        <v>270</v>
      </c>
      <c r="W115" s="4" t="s">
        <v>242</v>
      </c>
      <c r="X115" s="4" t="s">
        <v>273</v>
      </c>
      <c r="Y115" s="4" t="s">
        <v>241</v>
      </c>
      <c r="AB115" s="4" t="s">
        <v>241</v>
      </c>
      <c r="AD115" s="5" t="s">
        <v>241</v>
      </c>
      <c r="AG115" s="5" t="s">
        <v>246</v>
      </c>
      <c r="AH115" s="4" t="s">
        <v>241</v>
      </c>
      <c r="AI115" s="4" t="s">
        <v>247</v>
      </c>
      <c r="AJ115" s="4" t="s">
        <v>248</v>
      </c>
      <c r="AZ115" s="4" t="s">
        <v>249</v>
      </c>
      <c r="BA115" s="4" t="s">
        <v>241</v>
      </c>
      <c r="BB115" s="4" t="s">
        <v>250</v>
      </c>
      <c r="BC115" s="4" t="s">
        <v>241</v>
      </c>
      <c r="BD115" s="4" t="s">
        <v>252</v>
      </c>
      <c r="BE115" s="4" t="s">
        <v>241</v>
      </c>
      <c r="BG115" s="4" t="s">
        <v>4227</v>
      </c>
      <c r="BI115" s="4" t="s">
        <v>253</v>
      </c>
      <c r="BJ115" s="5" t="s">
        <v>246</v>
      </c>
      <c r="BK115" s="4" t="s">
        <v>254</v>
      </c>
      <c r="BL115" s="4" t="s">
        <v>255</v>
      </c>
      <c r="BM115" s="4" t="s">
        <v>241</v>
      </c>
      <c r="BN115" s="6">
        <f>0</f>
        <v>0</v>
      </c>
      <c r="BO115" s="6">
        <f>0</f>
        <v>0</v>
      </c>
      <c r="BP115" s="4" t="s">
        <v>256</v>
      </c>
      <c r="BQ115" s="4" t="s">
        <v>257</v>
      </c>
      <c r="CE115" s="4" t="s">
        <v>241</v>
      </c>
      <c r="CF115" s="4" t="s">
        <v>241</v>
      </c>
      <c r="CJ115" s="4" t="s">
        <v>258</v>
      </c>
      <c r="CK115" s="4" t="s">
        <v>259</v>
      </c>
      <c r="CL115" s="4" t="s">
        <v>241</v>
      </c>
      <c r="CO115" s="5" t="s">
        <v>260</v>
      </c>
      <c r="CP115" s="4" t="s">
        <v>241</v>
      </c>
      <c r="CQ115" s="4" t="s">
        <v>261</v>
      </c>
      <c r="CR115" s="4" t="s">
        <v>241</v>
      </c>
      <c r="CS115" s="4" t="s">
        <v>241</v>
      </c>
      <c r="CT115" s="4">
        <v>0</v>
      </c>
      <c r="CU115" s="4" t="s">
        <v>262</v>
      </c>
      <c r="CV115" s="4" t="s">
        <v>263</v>
      </c>
      <c r="CW115" s="4" t="s">
        <v>263</v>
      </c>
      <c r="CX115" s="4" t="s">
        <v>264</v>
      </c>
      <c r="DA115" s="6">
        <f>4091105</f>
        <v>4091105</v>
      </c>
      <c r="DC115" s="4" t="s">
        <v>422</v>
      </c>
      <c r="DD115" s="4" t="s">
        <v>241</v>
      </c>
      <c r="DF115" s="4" t="s">
        <v>422</v>
      </c>
      <c r="DG115" s="6">
        <f>1847</f>
        <v>1847</v>
      </c>
      <c r="DH115" s="5" t="s">
        <v>3161</v>
      </c>
      <c r="DI115" s="4" t="s">
        <v>414</v>
      </c>
      <c r="DJ115" s="4" t="s">
        <v>241</v>
      </c>
      <c r="DK115" s="4" t="s">
        <v>241</v>
      </c>
      <c r="DL115" s="4" t="s">
        <v>241</v>
      </c>
      <c r="DP115" s="4" t="s">
        <v>241</v>
      </c>
      <c r="DQ115" s="4" t="s">
        <v>241</v>
      </c>
      <c r="DR115" s="4" t="s">
        <v>241</v>
      </c>
      <c r="DS115" s="4" t="s">
        <v>241</v>
      </c>
      <c r="DV115" s="4" t="s">
        <v>5284</v>
      </c>
      <c r="DW115" s="4" t="s">
        <v>267</v>
      </c>
      <c r="HO115" s="4" t="s">
        <v>267</v>
      </c>
    </row>
    <row r="116" spans="1:223" ht="19.5" customHeight="1" x14ac:dyDescent="0.4">
      <c r="A116" s="4">
        <v>1</v>
      </c>
      <c r="B116" s="4" t="s">
        <v>239</v>
      </c>
      <c r="C116" s="4">
        <v>827</v>
      </c>
      <c r="D116" s="4">
        <v>1</v>
      </c>
      <c r="E116" s="4">
        <v>1</v>
      </c>
      <c r="F116" s="4" t="s">
        <v>240</v>
      </c>
      <c r="G116" s="4" t="s">
        <v>241</v>
      </c>
      <c r="H116" s="4" t="s">
        <v>241</v>
      </c>
      <c r="I116" s="4" t="s">
        <v>5281</v>
      </c>
      <c r="J116" s="4" t="s">
        <v>418</v>
      </c>
      <c r="K116" s="4" t="s">
        <v>251</v>
      </c>
      <c r="L116" s="4" t="s">
        <v>5280</v>
      </c>
      <c r="M116" s="5" t="s">
        <v>5282</v>
      </c>
      <c r="N116" s="6">
        <f>599</f>
        <v>599</v>
      </c>
      <c r="O116" s="4" t="s">
        <v>265</v>
      </c>
      <c r="P116" s="6">
        <f>1326785</f>
        <v>1326785</v>
      </c>
      <c r="Q116" s="6">
        <f>0</f>
        <v>0</v>
      </c>
      <c r="S116" s="6">
        <f>0</f>
        <v>0</v>
      </c>
      <c r="T116" s="6">
        <f>1326785</f>
        <v>1326785</v>
      </c>
      <c r="U116" s="5" t="s">
        <v>245</v>
      </c>
      <c r="V116" s="4" t="s">
        <v>270</v>
      </c>
      <c r="W116" s="4" t="s">
        <v>242</v>
      </c>
      <c r="X116" s="4" t="s">
        <v>273</v>
      </c>
      <c r="Y116" s="4" t="s">
        <v>241</v>
      </c>
      <c r="AB116" s="4" t="s">
        <v>241</v>
      </c>
      <c r="AD116" s="5" t="s">
        <v>241</v>
      </c>
      <c r="AG116" s="5" t="s">
        <v>246</v>
      </c>
      <c r="AH116" s="4" t="s">
        <v>241</v>
      </c>
      <c r="AI116" s="4" t="s">
        <v>247</v>
      </c>
      <c r="AJ116" s="4" t="s">
        <v>248</v>
      </c>
      <c r="AZ116" s="4" t="s">
        <v>249</v>
      </c>
      <c r="BA116" s="4" t="s">
        <v>241</v>
      </c>
      <c r="BB116" s="4" t="s">
        <v>250</v>
      </c>
      <c r="BC116" s="4" t="s">
        <v>241</v>
      </c>
      <c r="BD116" s="4" t="s">
        <v>252</v>
      </c>
      <c r="BE116" s="4" t="s">
        <v>241</v>
      </c>
      <c r="BI116" s="4" t="s">
        <v>253</v>
      </c>
      <c r="BJ116" s="5" t="s">
        <v>246</v>
      </c>
      <c r="BK116" s="4" t="s">
        <v>254</v>
      </c>
      <c r="BL116" s="4" t="s">
        <v>255</v>
      </c>
      <c r="BM116" s="4" t="s">
        <v>241</v>
      </c>
      <c r="BN116" s="6">
        <f>0</f>
        <v>0</v>
      </c>
      <c r="BO116" s="6">
        <f>0</f>
        <v>0</v>
      </c>
      <c r="BP116" s="4" t="s">
        <v>256</v>
      </c>
      <c r="BQ116" s="4" t="s">
        <v>257</v>
      </c>
      <c r="CE116" s="4" t="s">
        <v>241</v>
      </c>
      <c r="CF116" s="4" t="s">
        <v>241</v>
      </c>
      <c r="CJ116" s="4" t="s">
        <v>258</v>
      </c>
      <c r="CK116" s="4" t="s">
        <v>259</v>
      </c>
      <c r="CL116" s="4" t="s">
        <v>241</v>
      </c>
      <c r="CO116" s="5" t="s">
        <v>260</v>
      </c>
      <c r="CP116" s="4" t="s">
        <v>241</v>
      </c>
      <c r="CQ116" s="4" t="s">
        <v>261</v>
      </c>
      <c r="CR116" s="4" t="s">
        <v>241</v>
      </c>
      <c r="CS116" s="4" t="s">
        <v>241</v>
      </c>
      <c r="CT116" s="4">
        <v>0</v>
      </c>
      <c r="CU116" s="4" t="s">
        <v>262</v>
      </c>
      <c r="CV116" s="4" t="s">
        <v>263</v>
      </c>
      <c r="CW116" s="4" t="s">
        <v>263</v>
      </c>
      <c r="CX116" s="4" t="s">
        <v>264</v>
      </c>
      <c r="DA116" s="6">
        <f>1326785</f>
        <v>1326785</v>
      </c>
      <c r="DC116" s="4" t="s">
        <v>422</v>
      </c>
      <c r="DD116" s="4" t="s">
        <v>241</v>
      </c>
      <c r="DF116" s="4" t="s">
        <v>422</v>
      </c>
      <c r="DG116" s="6">
        <f>599</f>
        <v>599</v>
      </c>
      <c r="DH116" s="5" t="s">
        <v>5283</v>
      </c>
      <c r="DI116" s="4" t="s">
        <v>414</v>
      </c>
      <c r="DJ116" s="4" t="s">
        <v>241</v>
      </c>
      <c r="DK116" s="4" t="s">
        <v>241</v>
      </c>
      <c r="DL116" s="4" t="s">
        <v>241</v>
      </c>
      <c r="DP116" s="4" t="s">
        <v>241</v>
      </c>
      <c r="DQ116" s="4" t="s">
        <v>241</v>
      </c>
      <c r="DR116" s="4" t="s">
        <v>241</v>
      </c>
      <c r="DS116" s="4" t="s">
        <v>241</v>
      </c>
      <c r="DV116" s="4" t="s">
        <v>5284</v>
      </c>
      <c r="DW116" s="4" t="s">
        <v>416</v>
      </c>
      <c r="HO116" s="4" t="s">
        <v>267</v>
      </c>
    </row>
    <row r="117" spans="1:223" ht="19.5" customHeight="1" x14ac:dyDescent="0.4">
      <c r="A117" s="4">
        <v>1</v>
      </c>
      <c r="B117" s="4" t="s">
        <v>239</v>
      </c>
      <c r="C117" s="4">
        <v>828</v>
      </c>
      <c r="D117" s="4">
        <v>1</v>
      </c>
      <c r="E117" s="4">
        <v>1</v>
      </c>
      <c r="F117" s="4" t="s">
        <v>240</v>
      </c>
      <c r="G117" s="4" t="s">
        <v>241</v>
      </c>
      <c r="H117" s="4" t="s">
        <v>241</v>
      </c>
      <c r="I117" s="4" t="s">
        <v>5542</v>
      </c>
      <c r="J117" s="4" t="s">
        <v>418</v>
      </c>
      <c r="K117" s="4" t="s">
        <v>251</v>
      </c>
      <c r="L117" s="4" t="s">
        <v>5541</v>
      </c>
      <c r="M117" s="5" t="s">
        <v>5543</v>
      </c>
      <c r="N117" s="6">
        <f>2283</f>
        <v>2283</v>
      </c>
      <c r="O117" s="4" t="s">
        <v>265</v>
      </c>
      <c r="P117" s="6">
        <f>5056845</f>
        <v>5056845</v>
      </c>
      <c r="Q117" s="6">
        <f>0</f>
        <v>0</v>
      </c>
      <c r="S117" s="6">
        <f>0</f>
        <v>0</v>
      </c>
      <c r="T117" s="6">
        <f>5056845</f>
        <v>5056845</v>
      </c>
      <c r="U117" s="5" t="s">
        <v>245</v>
      </c>
      <c r="V117" s="4" t="s">
        <v>270</v>
      </c>
      <c r="W117" s="4" t="s">
        <v>242</v>
      </c>
      <c r="X117" s="4" t="s">
        <v>273</v>
      </c>
      <c r="Y117" s="4" t="s">
        <v>241</v>
      </c>
      <c r="AB117" s="4" t="s">
        <v>241</v>
      </c>
      <c r="AD117" s="5" t="s">
        <v>241</v>
      </c>
      <c r="AG117" s="5" t="s">
        <v>246</v>
      </c>
      <c r="AH117" s="4" t="s">
        <v>241</v>
      </c>
      <c r="AI117" s="4" t="s">
        <v>247</v>
      </c>
      <c r="AJ117" s="4" t="s">
        <v>248</v>
      </c>
      <c r="AZ117" s="4" t="s">
        <v>249</v>
      </c>
      <c r="BA117" s="4" t="s">
        <v>241</v>
      </c>
      <c r="BB117" s="4" t="s">
        <v>250</v>
      </c>
      <c r="BC117" s="4" t="s">
        <v>241</v>
      </c>
      <c r="BD117" s="4" t="s">
        <v>252</v>
      </c>
      <c r="BE117" s="4" t="s">
        <v>241</v>
      </c>
      <c r="BG117" s="4" t="s">
        <v>4227</v>
      </c>
      <c r="BI117" s="4" t="s">
        <v>253</v>
      </c>
      <c r="BJ117" s="5" t="s">
        <v>246</v>
      </c>
      <c r="BK117" s="4" t="s">
        <v>254</v>
      </c>
      <c r="BL117" s="4" t="s">
        <v>255</v>
      </c>
      <c r="BM117" s="4" t="s">
        <v>241</v>
      </c>
      <c r="BN117" s="6">
        <f>0</f>
        <v>0</v>
      </c>
      <c r="BO117" s="6">
        <f>0</f>
        <v>0</v>
      </c>
      <c r="BP117" s="4" t="s">
        <v>256</v>
      </c>
      <c r="BQ117" s="4" t="s">
        <v>257</v>
      </c>
      <c r="CE117" s="4" t="s">
        <v>241</v>
      </c>
      <c r="CF117" s="4" t="s">
        <v>241</v>
      </c>
      <c r="CJ117" s="4" t="s">
        <v>258</v>
      </c>
      <c r="CK117" s="4" t="s">
        <v>259</v>
      </c>
      <c r="CL117" s="4" t="s">
        <v>241</v>
      </c>
      <c r="CO117" s="5" t="s">
        <v>260</v>
      </c>
      <c r="CP117" s="4" t="s">
        <v>241</v>
      </c>
      <c r="CQ117" s="4" t="s">
        <v>261</v>
      </c>
      <c r="CR117" s="4" t="s">
        <v>241</v>
      </c>
      <c r="CS117" s="4" t="s">
        <v>241</v>
      </c>
      <c r="CT117" s="4">
        <v>0</v>
      </c>
      <c r="CU117" s="4" t="s">
        <v>262</v>
      </c>
      <c r="CV117" s="4" t="s">
        <v>263</v>
      </c>
      <c r="CW117" s="4" t="s">
        <v>263</v>
      </c>
      <c r="CX117" s="4" t="s">
        <v>264</v>
      </c>
      <c r="DA117" s="6">
        <f>5056845</f>
        <v>5056845</v>
      </c>
      <c r="DC117" s="4" t="s">
        <v>422</v>
      </c>
      <c r="DD117" s="4" t="s">
        <v>241</v>
      </c>
      <c r="DF117" s="4" t="s">
        <v>422</v>
      </c>
      <c r="DG117" s="6">
        <f>2283</f>
        <v>2283</v>
      </c>
      <c r="DH117" s="5" t="s">
        <v>5544</v>
      </c>
      <c r="DI117" s="4" t="s">
        <v>414</v>
      </c>
      <c r="DJ117" s="4" t="s">
        <v>241</v>
      </c>
      <c r="DK117" s="4" t="s">
        <v>241</v>
      </c>
      <c r="DL117" s="4" t="s">
        <v>241</v>
      </c>
      <c r="DP117" s="4" t="s">
        <v>241</v>
      </c>
      <c r="DQ117" s="4" t="s">
        <v>241</v>
      </c>
      <c r="DR117" s="4" t="s">
        <v>241</v>
      </c>
      <c r="DS117" s="4" t="s">
        <v>241</v>
      </c>
      <c r="DV117" s="4" t="s">
        <v>5545</v>
      </c>
      <c r="DW117" s="4" t="s">
        <v>267</v>
      </c>
      <c r="HO117" s="4" t="s">
        <v>267</v>
      </c>
    </row>
    <row r="118" spans="1:223" ht="19.5" customHeight="1" x14ac:dyDescent="0.4">
      <c r="A118" s="4">
        <v>1</v>
      </c>
      <c r="B118" s="4" t="s">
        <v>239</v>
      </c>
      <c r="C118" s="4">
        <v>829</v>
      </c>
      <c r="D118" s="4">
        <v>1</v>
      </c>
      <c r="E118" s="4">
        <v>1</v>
      </c>
      <c r="F118" s="4" t="s">
        <v>240</v>
      </c>
      <c r="G118" s="4" t="s">
        <v>241</v>
      </c>
      <c r="H118" s="4" t="s">
        <v>241</v>
      </c>
      <c r="I118" s="4" t="s">
        <v>5277</v>
      </c>
      <c r="J118" s="4" t="s">
        <v>418</v>
      </c>
      <c r="K118" s="4" t="s">
        <v>251</v>
      </c>
      <c r="L118" s="4" t="s">
        <v>5276</v>
      </c>
      <c r="M118" s="5" t="s">
        <v>5278</v>
      </c>
      <c r="N118" s="6">
        <f>6540</f>
        <v>6540</v>
      </c>
      <c r="O118" s="4" t="s">
        <v>265</v>
      </c>
      <c r="P118" s="6">
        <f>14486100</f>
        <v>14486100</v>
      </c>
      <c r="Q118" s="6">
        <f>0</f>
        <v>0</v>
      </c>
      <c r="S118" s="6">
        <f>0</f>
        <v>0</v>
      </c>
      <c r="T118" s="6">
        <f>14486100</f>
        <v>14486100</v>
      </c>
      <c r="U118" s="5" t="s">
        <v>245</v>
      </c>
      <c r="V118" s="4" t="s">
        <v>270</v>
      </c>
      <c r="W118" s="4" t="s">
        <v>242</v>
      </c>
      <c r="X118" s="4" t="s">
        <v>273</v>
      </c>
      <c r="Y118" s="4" t="s">
        <v>241</v>
      </c>
      <c r="AB118" s="4" t="s">
        <v>241</v>
      </c>
      <c r="AD118" s="5" t="s">
        <v>241</v>
      </c>
      <c r="AG118" s="5" t="s">
        <v>246</v>
      </c>
      <c r="AH118" s="4" t="s">
        <v>241</v>
      </c>
      <c r="AI118" s="4" t="s">
        <v>247</v>
      </c>
      <c r="AJ118" s="4" t="s">
        <v>248</v>
      </c>
      <c r="AZ118" s="4" t="s">
        <v>249</v>
      </c>
      <c r="BA118" s="4" t="s">
        <v>241</v>
      </c>
      <c r="BB118" s="4" t="s">
        <v>250</v>
      </c>
      <c r="BC118" s="4" t="s">
        <v>241</v>
      </c>
      <c r="BD118" s="4" t="s">
        <v>252</v>
      </c>
      <c r="BE118" s="4" t="s">
        <v>241</v>
      </c>
      <c r="BG118" s="4" t="s">
        <v>4227</v>
      </c>
      <c r="BI118" s="4" t="s">
        <v>253</v>
      </c>
      <c r="BJ118" s="5" t="s">
        <v>246</v>
      </c>
      <c r="BK118" s="4" t="s">
        <v>254</v>
      </c>
      <c r="BL118" s="4" t="s">
        <v>255</v>
      </c>
      <c r="BM118" s="4" t="s">
        <v>241</v>
      </c>
      <c r="BN118" s="6">
        <f>0</f>
        <v>0</v>
      </c>
      <c r="BO118" s="6">
        <f>0</f>
        <v>0</v>
      </c>
      <c r="BP118" s="4" t="s">
        <v>256</v>
      </c>
      <c r="BQ118" s="4" t="s">
        <v>257</v>
      </c>
      <c r="CE118" s="4" t="s">
        <v>241</v>
      </c>
      <c r="CF118" s="4" t="s">
        <v>241</v>
      </c>
      <c r="CJ118" s="4" t="s">
        <v>258</v>
      </c>
      <c r="CK118" s="4" t="s">
        <v>259</v>
      </c>
      <c r="CL118" s="4" t="s">
        <v>241</v>
      </c>
      <c r="CO118" s="5" t="s">
        <v>260</v>
      </c>
      <c r="CP118" s="4" t="s">
        <v>241</v>
      </c>
      <c r="CQ118" s="4" t="s">
        <v>261</v>
      </c>
      <c r="CR118" s="4" t="s">
        <v>241</v>
      </c>
      <c r="CS118" s="4" t="s">
        <v>241</v>
      </c>
      <c r="CT118" s="4">
        <v>0</v>
      </c>
      <c r="CU118" s="4" t="s">
        <v>262</v>
      </c>
      <c r="CV118" s="4" t="s">
        <v>263</v>
      </c>
      <c r="CW118" s="4" t="s">
        <v>263</v>
      </c>
      <c r="CX118" s="4" t="s">
        <v>264</v>
      </c>
      <c r="DA118" s="6">
        <f>14486100</f>
        <v>14486100</v>
      </c>
      <c r="DC118" s="4" t="s">
        <v>422</v>
      </c>
      <c r="DD118" s="4" t="s">
        <v>241</v>
      </c>
      <c r="DF118" s="4" t="s">
        <v>422</v>
      </c>
      <c r="DG118" s="6">
        <f>6540</f>
        <v>6540</v>
      </c>
      <c r="DH118" s="5" t="s">
        <v>5273</v>
      </c>
      <c r="DI118" s="4" t="s">
        <v>414</v>
      </c>
      <c r="DJ118" s="4" t="s">
        <v>241</v>
      </c>
      <c r="DK118" s="4" t="s">
        <v>241</v>
      </c>
      <c r="DL118" s="4" t="s">
        <v>241</v>
      </c>
      <c r="DP118" s="4" t="s">
        <v>241</v>
      </c>
      <c r="DQ118" s="4" t="s">
        <v>241</v>
      </c>
      <c r="DR118" s="4" t="s">
        <v>241</v>
      </c>
      <c r="DS118" s="4" t="s">
        <v>241</v>
      </c>
      <c r="DV118" s="4" t="s">
        <v>5279</v>
      </c>
      <c r="DW118" s="4" t="s">
        <v>267</v>
      </c>
      <c r="HO118" s="4" t="s">
        <v>267</v>
      </c>
    </row>
    <row r="119" spans="1:223" ht="19.5" customHeight="1" x14ac:dyDescent="0.4">
      <c r="A119" s="4">
        <v>1</v>
      </c>
      <c r="B119" s="4" t="s">
        <v>239</v>
      </c>
      <c r="C119" s="4">
        <v>830</v>
      </c>
      <c r="D119" s="4">
        <v>1</v>
      </c>
      <c r="E119" s="4">
        <v>1</v>
      </c>
      <c r="F119" s="4" t="s">
        <v>240</v>
      </c>
      <c r="G119" s="4" t="s">
        <v>241</v>
      </c>
      <c r="H119" s="4" t="s">
        <v>241</v>
      </c>
      <c r="I119" s="4" t="s">
        <v>5271</v>
      </c>
      <c r="J119" s="4" t="s">
        <v>418</v>
      </c>
      <c r="K119" s="4" t="s">
        <v>251</v>
      </c>
      <c r="L119" s="4" t="s">
        <v>5270</v>
      </c>
      <c r="M119" s="5" t="s">
        <v>5546</v>
      </c>
      <c r="N119" s="6">
        <f>74</f>
        <v>74</v>
      </c>
      <c r="O119" s="4" t="s">
        <v>265</v>
      </c>
      <c r="P119" s="6">
        <f>163910</f>
        <v>163910</v>
      </c>
      <c r="Q119" s="6">
        <f>0</f>
        <v>0</v>
      </c>
      <c r="S119" s="6">
        <f>0</f>
        <v>0</v>
      </c>
      <c r="T119" s="6">
        <f>163910</f>
        <v>163910</v>
      </c>
      <c r="U119" s="5" t="s">
        <v>245</v>
      </c>
      <c r="V119" s="4" t="s">
        <v>270</v>
      </c>
      <c r="W119" s="4" t="s">
        <v>242</v>
      </c>
      <c r="X119" s="4" t="s">
        <v>273</v>
      </c>
      <c r="Y119" s="4" t="s">
        <v>241</v>
      </c>
      <c r="AB119" s="4" t="s">
        <v>241</v>
      </c>
      <c r="AD119" s="5" t="s">
        <v>241</v>
      </c>
      <c r="AG119" s="5" t="s">
        <v>246</v>
      </c>
      <c r="AH119" s="4" t="s">
        <v>241</v>
      </c>
      <c r="AI119" s="4" t="s">
        <v>247</v>
      </c>
      <c r="AJ119" s="4" t="s">
        <v>248</v>
      </c>
      <c r="AZ119" s="4" t="s">
        <v>249</v>
      </c>
      <c r="BA119" s="4" t="s">
        <v>241</v>
      </c>
      <c r="BB119" s="4" t="s">
        <v>250</v>
      </c>
      <c r="BC119" s="4" t="s">
        <v>241</v>
      </c>
      <c r="BD119" s="4" t="s">
        <v>252</v>
      </c>
      <c r="BE119" s="4" t="s">
        <v>241</v>
      </c>
      <c r="BG119" s="4" t="s">
        <v>4227</v>
      </c>
      <c r="BI119" s="4" t="s">
        <v>253</v>
      </c>
      <c r="BJ119" s="5" t="s">
        <v>246</v>
      </c>
      <c r="BK119" s="4" t="s">
        <v>254</v>
      </c>
      <c r="BL119" s="4" t="s">
        <v>255</v>
      </c>
      <c r="BM119" s="4" t="s">
        <v>241</v>
      </c>
      <c r="BN119" s="6">
        <f>0</f>
        <v>0</v>
      </c>
      <c r="BO119" s="6">
        <f>0</f>
        <v>0</v>
      </c>
      <c r="BP119" s="4" t="s">
        <v>256</v>
      </c>
      <c r="BQ119" s="4" t="s">
        <v>257</v>
      </c>
      <c r="CE119" s="4" t="s">
        <v>241</v>
      </c>
      <c r="CF119" s="4" t="s">
        <v>241</v>
      </c>
      <c r="CJ119" s="4" t="s">
        <v>258</v>
      </c>
      <c r="CK119" s="4" t="s">
        <v>259</v>
      </c>
      <c r="CL119" s="4" t="s">
        <v>241</v>
      </c>
      <c r="CO119" s="5" t="s">
        <v>260</v>
      </c>
      <c r="CP119" s="4" t="s">
        <v>241</v>
      </c>
      <c r="CQ119" s="4" t="s">
        <v>261</v>
      </c>
      <c r="CR119" s="4" t="s">
        <v>241</v>
      </c>
      <c r="CS119" s="4" t="s">
        <v>241</v>
      </c>
      <c r="CT119" s="4">
        <v>0</v>
      </c>
      <c r="CU119" s="4" t="s">
        <v>262</v>
      </c>
      <c r="CV119" s="4" t="s">
        <v>263</v>
      </c>
      <c r="CW119" s="4" t="s">
        <v>263</v>
      </c>
      <c r="CX119" s="4" t="s">
        <v>264</v>
      </c>
      <c r="DA119" s="6">
        <f>163910</f>
        <v>163910</v>
      </c>
      <c r="DC119" s="4" t="s">
        <v>422</v>
      </c>
      <c r="DD119" s="4" t="s">
        <v>241</v>
      </c>
      <c r="DF119" s="4" t="s">
        <v>422</v>
      </c>
      <c r="DG119" s="6">
        <f>74</f>
        <v>74</v>
      </c>
      <c r="DH119" s="5" t="s">
        <v>5273</v>
      </c>
      <c r="DI119" s="4" t="s">
        <v>414</v>
      </c>
      <c r="DJ119" s="4" t="s">
        <v>241</v>
      </c>
      <c r="DK119" s="4" t="s">
        <v>241</v>
      </c>
      <c r="DL119" s="4" t="s">
        <v>241</v>
      </c>
      <c r="DP119" s="4" t="s">
        <v>241</v>
      </c>
      <c r="DQ119" s="4" t="s">
        <v>241</v>
      </c>
      <c r="DR119" s="4" t="s">
        <v>241</v>
      </c>
      <c r="DS119" s="4" t="s">
        <v>241</v>
      </c>
      <c r="DV119" s="4" t="s">
        <v>5274</v>
      </c>
      <c r="DW119" s="4" t="s">
        <v>267</v>
      </c>
      <c r="HO119" s="4" t="s">
        <v>267</v>
      </c>
    </row>
    <row r="120" spans="1:223" ht="19.5" customHeight="1" x14ac:dyDescent="0.4">
      <c r="A120" s="4">
        <v>1</v>
      </c>
      <c r="B120" s="4" t="s">
        <v>239</v>
      </c>
      <c r="C120" s="4">
        <v>831</v>
      </c>
      <c r="D120" s="4">
        <v>1</v>
      </c>
      <c r="E120" s="4">
        <v>1</v>
      </c>
      <c r="F120" s="4" t="s">
        <v>240</v>
      </c>
      <c r="G120" s="4" t="s">
        <v>241</v>
      </c>
      <c r="H120" s="4" t="s">
        <v>241</v>
      </c>
      <c r="I120" s="4" t="s">
        <v>5271</v>
      </c>
      <c r="J120" s="4" t="s">
        <v>418</v>
      </c>
      <c r="K120" s="4" t="s">
        <v>251</v>
      </c>
      <c r="L120" s="4" t="s">
        <v>5270</v>
      </c>
      <c r="M120" s="5" t="s">
        <v>5272</v>
      </c>
      <c r="N120" s="6">
        <f>7354</f>
        <v>7354</v>
      </c>
      <c r="O120" s="4" t="s">
        <v>265</v>
      </c>
      <c r="P120" s="6">
        <f>16289110</f>
        <v>16289110</v>
      </c>
      <c r="Q120" s="6">
        <f>0</f>
        <v>0</v>
      </c>
      <c r="S120" s="6">
        <f>0</f>
        <v>0</v>
      </c>
      <c r="T120" s="6">
        <f>16289110</f>
        <v>16289110</v>
      </c>
      <c r="U120" s="5" t="s">
        <v>245</v>
      </c>
      <c r="V120" s="4" t="s">
        <v>270</v>
      </c>
      <c r="W120" s="4" t="s">
        <v>242</v>
      </c>
      <c r="X120" s="4" t="s">
        <v>273</v>
      </c>
      <c r="Y120" s="4" t="s">
        <v>241</v>
      </c>
      <c r="AB120" s="4" t="s">
        <v>241</v>
      </c>
      <c r="AD120" s="5" t="s">
        <v>241</v>
      </c>
      <c r="AG120" s="5" t="s">
        <v>246</v>
      </c>
      <c r="AH120" s="4" t="s">
        <v>241</v>
      </c>
      <c r="AI120" s="4" t="s">
        <v>247</v>
      </c>
      <c r="AJ120" s="4" t="s">
        <v>248</v>
      </c>
      <c r="AZ120" s="4" t="s">
        <v>249</v>
      </c>
      <c r="BA120" s="4" t="s">
        <v>241</v>
      </c>
      <c r="BB120" s="4" t="s">
        <v>250</v>
      </c>
      <c r="BC120" s="4" t="s">
        <v>241</v>
      </c>
      <c r="BD120" s="4" t="s">
        <v>252</v>
      </c>
      <c r="BE120" s="4" t="s">
        <v>241</v>
      </c>
      <c r="BI120" s="4" t="s">
        <v>253</v>
      </c>
      <c r="BJ120" s="5" t="s">
        <v>246</v>
      </c>
      <c r="BK120" s="4" t="s">
        <v>254</v>
      </c>
      <c r="BL120" s="4" t="s">
        <v>255</v>
      </c>
      <c r="BM120" s="4" t="s">
        <v>241</v>
      </c>
      <c r="BN120" s="6">
        <f>0</f>
        <v>0</v>
      </c>
      <c r="BO120" s="6">
        <f>0</f>
        <v>0</v>
      </c>
      <c r="BP120" s="4" t="s">
        <v>256</v>
      </c>
      <c r="BQ120" s="4" t="s">
        <v>257</v>
      </c>
      <c r="CE120" s="4" t="s">
        <v>241</v>
      </c>
      <c r="CF120" s="4" t="s">
        <v>241</v>
      </c>
      <c r="CJ120" s="4" t="s">
        <v>258</v>
      </c>
      <c r="CK120" s="4" t="s">
        <v>259</v>
      </c>
      <c r="CL120" s="4" t="s">
        <v>241</v>
      </c>
      <c r="CO120" s="5" t="s">
        <v>260</v>
      </c>
      <c r="CP120" s="4" t="s">
        <v>241</v>
      </c>
      <c r="CQ120" s="4" t="s">
        <v>261</v>
      </c>
      <c r="CR120" s="4" t="s">
        <v>241</v>
      </c>
      <c r="CS120" s="4" t="s">
        <v>241</v>
      </c>
      <c r="CT120" s="4">
        <v>0</v>
      </c>
      <c r="CU120" s="4" t="s">
        <v>262</v>
      </c>
      <c r="CV120" s="4" t="s">
        <v>263</v>
      </c>
      <c r="CW120" s="4" t="s">
        <v>263</v>
      </c>
      <c r="CX120" s="4" t="s">
        <v>264</v>
      </c>
      <c r="DA120" s="6">
        <f>16289110</f>
        <v>16289110</v>
      </c>
      <c r="DC120" s="4" t="s">
        <v>422</v>
      </c>
      <c r="DD120" s="4" t="s">
        <v>241</v>
      </c>
      <c r="DF120" s="4" t="s">
        <v>422</v>
      </c>
      <c r="DG120" s="6">
        <f>7354</f>
        <v>7354</v>
      </c>
      <c r="DH120" s="5" t="s">
        <v>5273</v>
      </c>
      <c r="DI120" s="4" t="s">
        <v>414</v>
      </c>
      <c r="DJ120" s="4" t="s">
        <v>241</v>
      </c>
      <c r="DK120" s="4" t="s">
        <v>241</v>
      </c>
      <c r="DL120" s="4" t="s">
        <v>241</v>
      </c>
      <c r="DP120" s="4" t="s">
        <v>241</v>
      </c>
      <c r="DQ120" s="4" t="s">
        <v>241</v>
      </c>
      <c r="DR120" s="4" t="s">
        <v>241</v>
      </c>
      <c r="DS120" s="4" t="s">
        <v>241</v>
      </c>
      <c r="DV120" s="4" t="s">
        <v>5274</v>
      </c>
      <c r="DW120" s="4" t="s">
        <v>416</v>
      </c>
      <c r="HO120" s="4" t="s">
        <v>267</v>
      </c>
    </row>
    <row r="121" spans="1:223" ht="19.5" customHeight="1" x14ac:dyDescent="0.4">
      <c r="A121" s="4">
        <v>1</v>
      </c>
      <c r="B121" s="4" t="s">
        <v>239</v>
      </c>
      <c r="C121" s="4">
        <v>832</v>
      </c>
      <c r="D121" s="4">
        <v>1</v>
      </c>
      <c r="E121" s="4">
        <v>1</v>
      </c>
      <c r="F121" s="4" t="s">
        <v>240</v>
      </c>
      <c r="G121" s="4" t="s">
        <v>241</v>
      </c>
      <c r="H121" s="4" t="s">
        <v>241</v>
      </c>
      <c r="I121" s="4" t="s">
        <v>5271</v>
      </c>
      <c r="J121" s="4" t="s">
        <v>418</v>
      </c>
      <c r="K121" s="4" t="s">
        <v>251</v>
      </c>
      <c r="L121" s="4" t="s">
        <v>5270</v>
      </c>
      <c r="M121" s="5" t="s">
        <v>5275</v>
      </c>
      <c r="N121" s="6">
        <f>372</f>
        <v>372</v>
      </c>
      <c r="O121" s="4" t="s">
        <v>265</v>
      </c>
      <c r="P121" s="6">
        <f>823980</f>
        <v>823980</v>
      </c>
      <c r="Q121" s="6">
        <f>0</f>
        <v>0</v>
      </c>
      <c r="S121" s="6">
        <f>0</f>
        <v>0</v>
      </c>
      <c r="T121" s="6">
        <f>823980</f>
        <v>823980</v>
      </c>
      <c r="U121" s="5" t="s">
        <v>245</v>
      </c>
      <c r="V121" s="4" t="s">
        <v>270</v>
      </c>
      <c r="W121" s="4" t="s">
        <v>242</v>
      </c>
      <c r="X121" s="4" t="s">
        <v>273</v>
      </c>
      <c r="Y121" s="4" t="s">
        <v>241</v>
      </c>
      <c r="AB121" s="4" t="s">
        <v>241</v>
      </c>
      <c r="AD121" s="5" t="s">
        <v>241</v>
      </c>
      <c r="AG121" s="5" t="s">
        <v>246</v>
      </c>
      <c r="AH121" s="4" t="s">
        <v>241</v>
      </c>
      <c r="AI121" s="4" t="s">
        <v>247</v>
      </c>
      <c r="AJ121" s="4" t="s">
        <v>248</v>
      </c>
      <c r="AZ121" s="4" t="s">
        <v>249</v>
      </c>
      <c r="BA121" s="4" t="s">
        <v>241</v>
      </c>
      <c r="BB121" s="4" t="s">
        <v>250</v>
      </c>
      <c r="BC121" s="4" t="s">
        <v>241</v>
      </c>
      <c r="BD121" s="4" t="s">
        <v>252</v>
      </c>
      <c r="BE121" s="4" t="s">
        <v>241</v>
      </c>
      <c r="BI121" s="4" t="s">
        <v>253</v>
      </c>
      <c r="BJ121" s="5" t="s">
        <v>246</v>
      </c>
      <c r="BK121" s="4" t="s">
        <v>254</v>
      </c>
      <c r="BL121" s="4" t="s">
        <v>255</v>
      </c>
      <c r="BM121" s="4" t="s">
        <v>241</v>
      </c>
      <c r="BN121" s="6">
        <f>0</f>
        <v>0</v>
      </c>
      <c r="BO121" s="6">
        <f>0</f>
        <v>0</v>
      </c>
      <c r="BP121" s="4" t="s">
        <v>256</v>
      </c>
      <c r="BQ121" s="4" t="s">
        <v>257</v>
      </c>
      <c r="CE121" s="4" t="s">
        <v>241</v>
      </c>
      <c r="CF121" s="4" t="s">
        <v>241</v>
      </c>
      <c r="CJ121" s="4" t="s">
        <v>258</v>
      </c>
      <c r="CK121" s="4" t="s">
        <v>259</v>
      </c>
      <c r="CL121" s="4" t="s">
        <v>241</v>
      </c>
      <c r="CO121" s="5" t="s">
        <v>260</v>
      </c>
      <c r="CP121" s="4" t="s">
        <v>241</v>
      </c>
      <c r="CQ121" s="4" t="s">
        <v>261</v>
      </c>
      <c r="CR121" s="4" t="s">
        <v>241</v>
      </c>
      <c r="CS121" s="4" t="s">
        <v>241</v>
      </c>
      <c r="CT121" s="4">
        <v>0</v>
      </c>
      <c r="CU121" s="4" t="s">
        <v>262</v>
      </c>
      <c r="CV121" s="4" t="s">
        <v>263</v>
      </c>
      <c r="CW121" s="4" t="s">
        <v>263</v>
      </c>
      <c r="CX121" s="4" t="s">
        <v>264</v>
      </c>
      <c r="DA121" s="6">
        <f>823980</f>
        <v>823980</v>
      </c>
      <c r="DC121" s="4" t="s">
        <v>422</v>
      </c>
      <c r="DD121" s="4" t="s">
        <v>241</v>
      </c>
      <c r="DF121" s="4" t="s">
        <v>422</v>
      </c>
      <c r="DG121" s="6">
        <f>372</f>
        <v>372</v>
      </c>
      <c r="DI121" s="4" t="s">
        <v>414</v>
      </c>
      <c r="DJ121" s="4" t="s">
        <v>241</v>
      </c>
      <c r="DK121" s="4" t="s">
        <v>241</v>
      </c>
      <c r="DL121" s="4" t="s">
        <v>241</v>
      </c>
      <c r="DP121" s="4" t="s">
        <v>241</v>
      </c>
      <c r="DQ121" s="4" t="s">
        <v>241</v>
      </c>
      <c r="DR121" s="4" t="s">
        <v>241</v>
      </c>
      <c r="DS121" s="4" t="s">
        <v>241</v>
      </c>
      <c r="DV121" s="4" t="s">
        <v>5274</v>
      </c>
      <c r="DW121" s="4" t="s">
        <v>388</v>
      </c>
      <c r="HO121" s="4" t="s">
        <v>267</v>
      </c>
    </row>
    <row r="122" spans="1:223" ht="19.5" customHeight="1" x14ac:dyDescent="0.4">
      <c r="A122" s="4">
        <v>1</v>
      </c>
      <c r="B122" s="4" t="s">
        <v>239</v>
      </c>
      <c r="C122" s="4">
        <v>833</v>
      </c>
      <c r="D122" s="4">
        <v>1</v>
      </c>
      <c r="E122" s="4">
        <v>1</v>
      </c>
      <c r="F122" s="4" t="s">
        <v>240</v>
      </c>
      <c r="G122" s="4" t="s">
        <v>241</v>
      </c>
      <c r="H122" s="4" t="s">
        <v>241</v>
      </c>
      <c r="I122" s="4" t="s">
        <v>5266</v>
      </c>
      <c r="J122" s="4" t="s">
        <v>418</v>
      </c>
      <c r="K122" s="4" t="s">
        <v>251</v>
      </c>
      <c r="L122" s="4" t="s">
        <v>5265</v>
      </c>
      <c r="M122" s="5" t="s">
        <v>5267</v>
      </c>
      <c r="N122" s="6">
        <f>324</f>
        <v>324</v>
      </c>
      <c r="O122" s="4" t="s">
        <v>265</v>
      </c>
      <c r="P122" s="6">
        <f>717660</f>
        <v>717660</v>
      </c>
      <c r="Q122" s="6">
        <f>0</f>
        <v>0</v>
      </c>
      <c r="S122" s="6">
        <f>0</f>
        <v>0</v>
      </c>
      <c r="T122" s="6">
        <f>717660</f>
        <v>717660</v>
      </c>
      <c r="U122" s="5" t="s">
        <v>245</v>
      </c>
      <c r="V122" s="4" t="s">
        <v>270</v>
      </c>
      <c r="W122" s="4" t="s">
        <v>242</v>
      </c>
      <c r="X122" s="4" t="s">
        <v>273</v>
      </c>
      <c r="Y122" s="4" t="s">
        <v>241</v>
      </c>
      <c r="AB122" s="4" t="s">
        <v>241</v>
      </c>
      <c r="AD122" s="5" t="s">
        <v>241</v>
      </c>
      <c r="AG122" s="5" t="s">
        <v>246</v>
      </c>
      <c r="AH122" s="4" t="s">
        <v>4223</v>
      </c>
      <c r="AI122" s="4" t="s">
        <v>247</v>
      </c>
      <c r="AJ122" s="4" t="s">
        <v>248</v>
      </c>
      <c r="AZ122" s="4" t="s">
        <v>249</v>
      </c>
      <c r="BA122" s="4" t="s">
        <v>241</v>
      </c>
      <c r="BB122" s="4" t="s">
        <v>250</v>
      </c>
      <c r="BC122" s="4" t="s">
        <v>241</v>
      </c>
      <c r="BD122" s="4" t="s">
        <v>252</v>
      </c>
      <c r="BE122" s="4" t="s">
        <v>241</v>
      </c>
      <c r="BG122" s="4" t="s">
        <v>4227</v>
      </c>
      <c r="BI122" s="4" t="s">
        <v>253</v>
      </c>
      <c r="BJ122" s="5" t="s">
        <v>246</v>
      </c>
      <c r="BK122" s="4" t="s">
        <v>254</v>
      </c>
      <c r="BL122" s="4" t="s">
        <v>255</v>
      </c>
      <c r="BM122" s="4" t="s">
        <v>241</v>
      </c>
      <c r="BN122" s="6">
        <f>0</f>
        <v>0</v>
      </c>
      <c r="BO122" s="6">
        <f>0</f>
        <v>0</v>
      </c>
      <c r="BP122" s="4" t="s">
        <v>256</v>
      </c>
      <c r="BQ122" s="4" t="s">
        <v>257</v>
      </c>
      <c r="CE122" s="4" t="s">
        <v>241</v>
      </c>
      <c r="CF122" s="4" t="s">
        <v>241</v>
      </c>
      <c r="CJ122" s="4" t="s">
        <v>258</v>
      </c>
      <c r="CK122" s="4" t="s">
        <v>259</v>
      </c>
      <c r="CL122" s="4" t="s">
        <v>241</v>
      </c>
      <c r="CO122" s="5" t="s">
        <v>260</v>
      </c>
      <c r="CP122" s="4" t="s">
        <v>241</v>
      </c>
      <c r="CQ122" s="4" t="s">
        <v>261</v>
      </c>
      <c r="CR122" s="4" t="s">
        <v>241</v>
      </c>
      <c r="CS122" s="4" t="s">
        <v>241</v>
      </c>
      <c r="CT122" s="4">
        <v>0</v>
      </c>
      <c r="CU122" s="4" t="s">
        <v>262</v>
      </c>
      <c r="CV122" s="4" t="s">
        <v>263</v>
      </c>
      <c r="CW122" s="4" t="s">
        <v>263</v>
      </c>
      <c r="CX122" s="4" t="s">
        <v>264</v>
      </c>
      <c r="DA122" s="6">
        <f>717660</f>
        <v>717660</v>
      </c>
      <c r="DC122" s="4" t="s">
        <v>422</v>
      </c>
      <c r="DD122" s="4" t="s">
        <v>241</v>
      </c>
      <c r="DF122" s="4" t="s">
        <v>387</v>
      </c>
      <c r="DG122" s="6">
        <f>324</f>
        <v>324</v>
      </c>
      <c r="DH122" s="5" t="s">
        <v>5268</v>
      </c>
      <c r="DI122" s="4" t="s">
        <v>414</v>
      </c>
      <c r="DJ122" s="4" t="s">
        <v>241</v>
      </c>
      <c r="DK122" s="4" t="s">
        <v>241</v>
      </c>
      <c r="DL122" s="4" t="s">
        <v>241</v>
      </c>
      <c r="DP122" s="4" t="s">
        <v>241</v>
      </c>
      <c r="DQ122" s="4" t="s">
        <v>241</v>
      </c>
      <c r="DR122" s="4" t="s">
        <v>241</v>
      </c>
      <c r="DS122" s="4" t="s">
        <v>241</v>
      </c>
      <c r="DV122" s="4" t="s">
        <v>5269</v>
      </c>
      <c r="DW122" s="4" t="s">
        <v>267</v>
      </c>
      <c r="HO122" s="4" t="s">
        <v>267</v>
      </c>
    </row>
    <row r="123" spans="1:223" ht="19.5" customHeight="1" x14ac:dyDescent="0.4">
      <c r="A123" s="4">
        <v>1</v>
      </c>
      <c r="B123" s="4" t="s">
        <v>239</v>
      </c>
      <c r="C123" s="4">
        <v>834</v>
      </c>
      <c r="D123" s="4">
        <v>1</v>
      </c>
      <c r="E123" s="4">
        <v>1</v>
      </c>
      <c r="F123" s="4" t="s">
        <v>240</v>
      </c>
      <c r="G123" s="4" t="s">
        <v>241</v>
      </c>
      <c r="H123" s="4" t="s">
        <v>241</v>
      </c>
      <c r="I123" s="4" t="s">
        <v>5537</v>
      </c>
      <c r="J123" s="4" t="s">
        <v>418</v>
      </c>
      <c r="K123" s="4" t="s">
        <v>251</v>
      </c>
      <c r="L123" s="4" t="s">
        <v>5536</v>
      </c>
      <c r="M123" s="5" t="s">
        <v>5538</v>
      </c>
      <c r="N123" s="6">
        <f>2482</f>
        <v>2482</v>
      </c>
      <c r="O123" s="4" t="s">
        <v>265</v>
      </c>
      <c r="P123" s="6">
        <f>5497630</f>
        <v>5497630</v>
      </c>
      <c r="Q123" s="6">
        <f>0</f>
        <v>0</v>
      </c>
      <c r="S123" s="6">
        <f>0</f>
        <v>0</v>
      </c>
      <c r="T123" s="6">
        <f>5497630</f>
        <v>5497630</v>
      </c>
      <c r="U123" s="5" t="s">
        <v>245</v>
      </c>
      <c r="V123" s="4" t="s">
        <v>270</v>
      </c>
      <c r="W123" s="4" t="s">
        <v>242</v>
      </c>
      <c r="X123" s="4" t="s">
        <v>273</v>
      </c>
      <c r="Y123" s="4" t="s">
        <v>241</v>
      </c>
      <c r="AB123" s="4" t="s">
        <v>241</v>
      </c>
      <c r="AD123" s="5" t="s">
        <v>241</v>
      </c>
      <c r="AG123" s="5" t="s">
        <v>246</v>
      </c>
      <c r="AH123" s="4" t="s">
        <v>241</v>
      </c>
      <c r="AI123" s="4" t="s">
        <v>247</v>
      </c>
      <c r="AJ123" s="4" t="s">
        <v>248</v>
      </c>
      <c r="AZ123" s="4" t="s">
        <v>249</v>
      </c>
      <c r="BA123" s="4" t="s">
        <v>241</v>
      </c>
      <c r="BB123" s="4" t="s">
        <v>250</v>
      </c>
      <c r="BC123" s="4" t="s">
        <v>241</v>
      </c>
      <c r="BD123" s="4" t="s">
        <v>252</v>
      </c>
      <c r="BE123" s="4" t="s">
        <v>241</v>
      </c>
      <c r="BG123" s="4" t="s">
        <v>4227</v>
      </c>
      <c r="BI123" s="4" t="s">
        <v>253</v>
      </c>
      <c r="BJ123" s="5" t="s">
        <v>246</v>
      </c>
      <c r="BK123" s="4" t="s">
        <v>254</v>
      </c>
      <c r="BL123" s="4" t="s">
        <v>255</v>
      </c>
      <c r="BM123" s="4" t="s">
        <v>241</v>
      </c>
      <c r="BN123" s="6">
        <f>0</f>
        <v>0</v>
      </c>
      <c r="BO123" s="6">
        <f>0</f>
        <v>0</v>
      </c>
      <c r="BP123" s="4" t="s">
        <v>256</v>
      </c>
      <c r="BQ123" s="4" t="s">
        <v>257</v>
      </c>
      <c r="CE123" s="4" t="s">
        <v>241</v>
      </c>
      <c r="CF123" s="4" t="s">
        <v>241</v>
      </c>
      <c r="CJ123" s="4" t="s">
        <v>258</v>
      </c>
      <c r="CK123" s="4" t="s">
        <v>259</v>
      </c>
      <c r="CL123" s="4" t="s">
        <v>241</v>
      </c>
      <c r="CO123" s="5" t="s">
        <v>260</v>
      </c>
      <c r="CP123" s="4" t="s">
        <v>241</v>
      </c>
      <c r="CQ123" s="4" t="s">
        <v>261</v>
      </c>
      <c r="CR123" s="4" t="s">
        <v>241</v>
      </c>
      <c r="CS123" s="4" t="s">
        <v>241</v>
      </c>
      <c r="CT123" s="4">
        <v>0</v>
      </c>
      <c r="CU123" s="4" t="s">
        <v>262</v>
      </c>
      <c r="CV123" s="4" t="s">
        <v>263</v>
      </c>
      <c r="CW123" s="4" t="s">
        <v>263</v>
      </c>
      <c r="CX123" s="4" t="s">
        <v>264</v>
      </c>
      <c r="DA123" s="6">
        <f>5497630</f>
        <v>5497630</v>
      </c>
      <c r="DC123" s="4" t="s">
        <v>422</v>
      </c>
      <c r="DD123" s="4" t="s">
        <v>241</v>
      </c>
      <c r="DF123" s="4" t="s">
        <v>422</v>
      </c>
      <c r="DG123" s="6">
        <f>2482</f>
        <v>2482</v>
      </c>
      <c r="DH123" s="5" t="s">
        <v>5261</v>
      </c>
      <c r="DI123" s="4" t="s">
        <v>414</v>
      </c>
      <c r="DJ123" s="4" t="s">
        <v>241</v>
      </c>
      <c r="DK123" s="4" t="s">
        <v>241</v>
      </c>
      <c r="DL123" s="4" t="s">
        <v>241</v>
      </c>
      <c r="DP123" s="4" t="s">
        <v>241</v>
      </c>
      <c r="DQ123" s="4" t="s">
        <v>241</v>
      </c>
      <c r="DR123" s="4" t="s">
        <v>241</v>
      </c>
      <c r="DS123" s="4" t="s">
        <v>241</v>
      </c>
      <c r="DV123" s="4" t="s">
        <v>5539</v>
      </c>
      <c r="DW123" s="4" t="s">
        <v>267</v>
      </c>
      <c r="HO123" s="4" t="s">
        <v>267</v>
      </c>
    </row>
    <row r="124" spans="1:223" ht="19.5" customHeight="1" x14ac:dyDescent="0.4">
      <c r="A124" s="4">
        <v>1</v>
      </c>
      <c r="B124" s="4" t="s">
        <v>239</v>
      </c>
      <c r="C124" s="4">
        <v>835</v>
      </c>
      <c r="D124" s="4">
        <v>1</v>
      </c>
      <c r="E124" s="4">
        <v>1</v>
      </c>
      <c r="F124" s="4" t="s">
        <v>240</v>
      </c>
      <c r="G124" s="4" t="s">
        <v>241</v>
      </c>
      <c r="H124" s="4" t="s">
        <v>241</v>
      </c>
      <c r="I124" s="4" t="s">
        <v>5259</v>
      </c>
      <c r="J124" s="4" t="s">
        <v>418</v>
      </c>
      <c r="K124" s="4" t="s">
        <v>251</v>
      </c>
      <c r="L124" s="4" t="s">
        <v>5258</v>
      </c>
      <c r="M124" s="5" t="s">
        <v>5260</v>
      </c>
      <c r="N124" s="6">
        <f>1174</f>
        <v>1174</v>
      </c>
      <c r="O124" s="4" t="s">
        <v>265</v>
      </c>
      <c r="P124" s="6">
        <f>2600410</f>
        <v>2600410</v>
      </c>
      <c r="Q124" s="6">
        <f>0</f>
        <v>0</v>
      </c>
      <c r="S124" s="6">
        <f>0</f>
        <v>0</v>
      </c>
      <c r="T124" s="6">
        <f>2600410</f>
        <v>2600410</v>
      </c>
      <c r="U124" s="5" t="s">
        <v>245</v>
      </c>
      <c r="V124" s="4" t="s">
        <v>270</v>
      </c>
      <c r="W124" s="4" t="s">
        <v>242</v>
      </c>
      <c r="X124" s="4" t="s">
        <v>273</v>
      </c>
      <c r="Y124" s="4" t="s">
        <v>241</v>
      </c>
      <c r="AB124" s="4" t="s">
        <v>241</v>
      </c>
      <c r="AD124" s="5" t="s">
        <v>241</v>
      </c>
      <c r="AG124" s="5" t="s">
        <v>246</v>
      </c>
      <c r="AH124" s="4" t="s">
        <v>241</v>
      </c>
      <c r="AI124" s="4" t="s">
        <v>247</v>
      </c>
      <c r="AJ124" s="4" t="s">
        <v>248</v>
      </c>
      <c r="AZ124" s="4" t="s">
        <v>249</v>
      </c>
      <c r="BA124" s="4" t="s">
        <v>241</v>
      </c>
      <c r="BB124" s="4" t="s">
        <v>250</v>
      </c>
      <c r="BC124" s="4" t="s">
        <v>241</v>
      </c>
      <c r="BD124" s="4" t="s">
        <v>252</v>
      </c>
      <c r="BE124" s="4" t="s">
        <v>241</v>
      </c>
      <c r="BG124" s="4" t="s">
        <v>4227</v>
      </c>
      <c r="BI124" s="4" t="s">
        <v>253</v>
      </c>
      <c r="BJ124" s="5" t="s">
        <v>246</v>
      </c>
      <c r="BK124" s="4" t="s">
        <v>254</v>
      </c>
      <c r="BL124" s="4" t="s">
        <v>255</v>
      </c>
      <c r="BM124" s="4" t="s">
        <v>241</v>
      </c>
      <c r="BN124" s="6">
        <f>0</f>
        <v>0</v>
      </c>
      <c r="BO124" s="6">
        <f>0</f>
        <v>0</v>
      </c>
      <c r="BP124" s="4" t="s">
        <v>256</v>
      </c>
      <c r="BQ124" s="4" t="s">
        <v>257</v>
      </c>
      <c r="CE124" s="4" t="s">
        <v>241</v>
      </c>
      <c r="CF124" s="4" t="s">
        <v>241</v>
      </c>
      <c r="CJ124" s="4" t="s">
        <v>258</v>
      </c>
      <c r="CK124" s="4" t="s">
        <v>259</v>
      </c>
      <c r="CL124" s="4" t="s">
        <v>241</v>
      </c>
      <c r="CO124" s="5" t="s">
        <v>260</v>
      </c>
      <c r="CP124" s="4" t="s">
        <v>241</v>
      </c>
      <c r="CQ124" s="4" t="s">
        <v>261</v>
      </c>
      <c r="CR124" s="4" t="s">
        <v>241</v>
      </c>
      <c r="CS124" s="4" t="s">
        <v>241</v>
      </c>
      <c r="CT124" s="4">
        <v>0</v>
      </c>
      <c r="CU124" s="4" t="s">
        <v>262</v>
      </c>
      <c r="CV124" s="4" t="s">
        <v>263</v>
      </c>
      <c r="CW124" s="4" t="s">
        <v>263</v>
      </c>
      <c r="CX124" s="4" t="s">
        <v>264</v>
      </c>
      <c r="DA124" s="6">
        <f>2600410</f>
        <v>2600410</v>
      </c>
      <c r="DC124" s="4" t="s">
        <v>422</v>
      </c>
      <c r="DD124" s="4" t="s">
        <v>241</v>
      </c>
      <c r="DF124" s="4" t="s">
        <v>422</v>
      </c>
      <c r="DG124" s="6">
        <f>1174</f>
        <v>1174</v>
      </c>
      <c r="DH124" s="5" t="s">
        <v>5261</v>
      </c>
      <c r="DI124" s="4" t="s">
        <v>414</v>
      </c>
      <c r="DJ124" s="4" t="s">
        <v>241</v>
      </c>
      <c r="DK124" s="4" t="s">
        <v>241</v>
      </c>
      <c r="DL124" s="4" t="s">
        <v>241</v>
      </c>
      <c r="DP124" s="4" t="s">
        <v>241</v>
      </c>
      <c r="DQ124" s="4" t="s">
        <v>241</v>
      </c>
      <c r="DR124" s="4" t="s">
        <v>241</v>
      </c>
      <c r="DS124" s="4" t="s">
        <v>241</v>
      </c>
      <c r="DV124" s="4" t="s">
        <v>5262</v>
      </c>
      <c r="DW124" s="4" t="s">
        <v>267</v>
      </c>
      <c r="HO124" s="4" t="s">
        <v>267</v>
      </c>
    </row>
    <row r="125" spans="1:223" ht="19.5" customHeight="1" x14ac:dyDescent="0.4">
      <c r="A125" s="4">
        <v>1</v>
      </c>
      <c r="B125" s="4" t="s">
        <v>239</v>
      </c>
      <c r="C125" s="4">
        <v>836</v>
      </c>
      <c r="D125" s="4">
        <v>1</v>
      </c>
      <c r="E125" s="4">
        <v>1</v>
      </c>
      <c r="F125" s="4" t="s">
        <v>240</v>
      </c>
      <c r="G125" s="4" t="s">
        <v>241</v>
      </c>
      <c r="H125" s="4" t="s">
        <v>241</v>
      </c>
      <c r="I125" s="4" t="s">
        <v>5259</v>
      </c>
      <c r="J125" s="4" t="s">
        <v>418</v>
      </c>
      <c r="K125" s="4" t="s">
        <v>251</v>
      </c>
      <c r="L125" s="4" t="s">
        <v>5258</v>
      </c>
      <c r="M125" s="5" t="s">
        <v>5263</v>
      </c>
      <c r="N125" s="6">
        <f>633</f>
        <v>633</v>
      </c>
      <c r="O125" s="4" t="s">
        <v>265</v>
      </c>
      <c r="P125" s="6">
        <f>1402095</f>
        <v>1402095</v>
      </c>
      <c r="Q125" s="6">
        <f>0</f>
        <v>0</v>
      </c>
      <c r="S125" s="6">
        <f>0</f>
        <v>0</v>
      </c>
      <c r="T125" s="6">
        <f>1402095</f>
        <v>1402095</v>
      </c>
      <c r="U125" s="5" t="s">
        <v>245</v>
      </c>
      <c r="V125" s="4" t="s">
        <v>270</v>
      </c>
      <c r="W125" s="4" t="s">
        <v>242</v>
      </c>
      <c r="X125" s="4" t="s">
        <v>273</v>
      </c>
      <c r="Y125" s="4" t="s">
        <v>241</v>
      </c>
      <c r="AB125" s="4" t="s">
        <v>241</v>
      </c>
      <c r="AD125" s="5" t="s">
        <v>241</v>
      </c>
      <c r="AG125" s="5" t="s">
        <v>246</v>
      </c>
      <c r="AH125" s="4" t="s">
        <v>241</v>
      </c>
      <c r="AI125" s="4" t="s">
        <v>247</v>
      </c>
      <c r="AJ125" s="4" t="s">
        <v>248</v>
      </c>
      <c r="AZ125" s="4" t="s">
        <v>249</v>
      </c>
      <c r="BA125" s="4" t="s">
        <v>241</v>
      </c>
      <c r="BB125" s="4" t="s">
        <v>250</v>
      </c>
      <c r="BC125" s="4" t="s">
        <v>241</v>
      </c>
      <c r="BD125" s="4" t="s">
        <v>252</v>
      </c>
      <c r="BE125" s="4" t="s">
        <v>241</v>
      </c>
      <c r="BI125" s="4" t="s">
        <v>253</v>
      </c>
      <c r="BJ125" s="5" t="s">
        <v>246</v>
      </c>
      <c r="BK125" s="4" t="s">
        <v>254</v>
      </c>
      <c r="BL125" s="4" t="s">
        <v>255</v>
      </c>
      <c r="BM125" s="4" t="s">
        <v>241</v>
      </c>
      <c r="BN125" s="6">
        <f>0</f>
        <v>0</v>
      </c>
      <c r="BO125" s="6">
        <f>0</f>
        <v>0</v>
      </c>
      <c r="BP125" s="4" t="s">
        <v>256</v>
      </c>
      <c r="BQ125" s="4" t="s">
        <v>257</v>
      </c>
      <c r="CE125" s="4" t="s">
        <v>241</v>
      </c>
      <c r="CF125" s="4" t="s">
        <v>241</v>
      </c>
      <c r="CJ125" s="4" t="s">
        <v>258</v>
      </c>
      <c r="CK125" s="4" t="s">
        <v>259</v>
      </c>
      <c r="CL125" s="4" t="s">
        <v>241</v>
      </c>
      <c r="CO125" s="5" t="s">
        <v>260</v>
      </c>
      <c r="CP125" s="4" t="s">
        <v>241</v>
      </c>
      <c r="CQ125" s="4" t="s">
        <v>261</v>
      </c>
      <c r="CR125" s="4" t="s">
        <v>241</v>
      </c>
      <c r="CS125" s="4" t="s">
        <v>241</v>
      </c>
      <c r="CT125" s="4">
        <v>0</v>
      </c>
      <c r="CU125" s="4" t="s">
        <v>262</v>
      </c>
      <c r="CV125" s="4" t="s">
        <v>263</v>
      </c>
      <c r="CW125" s="4" t="s">
        <v>263</v>
      </c>
      <c r="CX125" s="4" t="s">
        <v>264</v>
      </c>
      <c r="DA125" s="6">
        <f>1402095</f>
        <v>1402095</v>
      </c>
      <c r="DC125" s="4" t="s">
        <v>422</v>
      </c>
      <c r="DD125" s="4" t="s">
        <v>241</v>
      </c>
      <c r="DF125" s="4" t="s">
        <v>422</v>
      </c>
      <c r="DG125" s="6">
        <f>633</f>
        <v>633</v>
      </c>
      <c r="DH125" s="5" t="s">
        <v>5261</v>
      </c>
      <c r="DI125" s="4" t="s">
        <v>414</v>
      </c>
      <c r="DJ125" s="4" t="s">
        <v>241</v>
      </c>
      <c r="DK125" s="4" t="s">
        <v>241</v>
      </c>
      <c r="DL125" s="4" t="s">
        <v>241</v>
      </c>
      <c r="DP125" s="4" t="s">
        <v>241</v>
      </c>
      <c r="DQ125" s="4" t="s">
        <v>241</v>
      </c>
      <c r="DR125" s="4" t="s">
        <v>241</v>
      </c>
      <c r="DS125" s="4" t="s">
        <v>241</v>
      </c>
      <c r="DV125" s="4" t="s">
        <v>5262</v>
      </c>
      <c r="DW125" s="4" t="s">
        <v>416</v>
      </c>
      <c r="HO125" s="4" t="s">
        <v>267</v>
      </c>
    </row>
    <row r="126" spans="1:223" ht="19.5" customHeight="1" x14ac:dyDescent="0.4">
      <c r="A126" s="4">
        <v>1</v>
      </c>
      <c r="B126" s="4" t="s">
        <v>239</v>
      </c>
      <c r="C126" s="4">
        <v>837</v>
      </c>
      <c r="D126" s="4">
        <v>1</v>
      </c>
      <c r="E126" s="4">
        <v>1</v>
      </c>
      <c r="F126" s="4" t="s">
        <v>240</v>
      </c>
      <c r="G126" s="4" t="s">
        <v>241</v>
      </c>
      <c r="H126" s="4" t="s">
        <v>241</v>
      </c>
      <c r="I126" s="4" t="s">
        <v>5259</v>
      </c>
      <c r="J126" s="4" t="s">
        <v>418</v>
      </c>
      <c r="K126" s="4" t="s">
        <v>251</v>
      </c>
      <c r="L126" s="4" t="s">
        <v>5258</v>
      </c>
      <c r="M126" s="5" t="s">
        <v>5264</v>
      </c>
      <c r="N126" s="6">
        <f>1085</f>
        <v>1085</v>
      </c>
      <c r="O126" s="4" t="s">
        <v>265</v>
      </c>
      <c r="P126" s="6">
        <f>2403275</f>
        <v>2403275</v>
      </c>
      <c r="Q126" s="6">
        <f>0</f>
        <v>0</v>
      </c>
      <c r="S126" s="6">
        <f>0</f>
        <v>0</v>
      </c>
      <c r="T126" s="6">
        <f>2403275</f>
        <v>2403275</v>
      </c>
      <c r="U126" s="5" t="s">
        <v>245</v>
      </c>
      <c r="V126" s="4" t="s">
        <v>270</v>
      </c>
      <c r="W126" s="4" t="s">
        <v>242</v>
      </c>
      <c r="X126" s="4" t="s">
        <v>273</v>
      </c>
      <c r="Y126" s="4" t="s">
        <v>241</v>
      </c>
      <c r="AB126" s="4" t="s">
        <v>241</v>
      </c>
      <c r="AD126" s="5" t="s">
        <v>241</v>
      </c>
      <c r="AG126" s="5" t="s">
        <v>246</v>
      </c>
      <c r="AH126" s="4" t="s">
        <v>241</v>
      </c>
      <c r="AI126" s="4" t="s">
        <v>247</v>
      </c>
      <c r="AJ126" s="4" t="s">
        <v>248</v>
      </c>
      <c r="AZ126" s="4" t="s">
        <v>249</v>
      </c>
      <c r="BA126" s="4" t="s">
        <v>241</v>
      </c>
      <c r="BB126" s="4" t="s">
        <v>250</v>
      </c>
      <c r="BC126" s="4" t="s">
        <v>241</v>
      </c>
      <c r="BD126" s="4" t="s">
        <v>252</v>
      </c>
      <c r="BE126" s="4" t="s">
        <v>241</v>
      </c>
      <c r="BI126" s="4" t="s">
        <v>253</v>
      </c>
      <c r="BJ126" s="5" t="s">
        <v>246</v>
      </c>
      <c r="BK126" s="4" t="s">
        <v>254</v>
      </c>
      <c r="BL126" s="4" t="s">
        <v>255</v>
      </c>
      <c r="BM126" s="4" t="s">
        <v>241</v>
      </c>
      <c r="BN126" s="6">
        <f>0</f>
        <v>0</v>
      </c>
      <c r="BO126" s="6">
        <f>0</f>
        <v>0</v>
      </c>
      <c r="BP126" s="4" t="s">
        <v>256</v>
      </c>
      <c r="BQ126" s="4" t="s">
        <v>257</v>
      </c>
      <c r="CE126" s="4" t="s">
        <v>241</v>
      </c>
      <c r="CF126" s="4" t="s">
        <v>241</v>
      </c>
      <c r="CJ126" s="4" t="s">
        <v>258</v>
      </c>
      <c r="CK126" s="4" t="s">
        <v>259</v>
      </c>
      <c r="CL126" s="4" t="s">
        <v>241</v>
      </c>
      <c r="CO126" s="5" t="s">
        <v>260</v>
      </c>
      <c r="CP126" s="4" t="s">
        <v>241</v>
      </c>
      <c r="CQ126" s="4" t="s">
        <v>261</v>
      </c>
      <c r="CR126" s="4" t="s">
        <v>241</v>
      </c>
      <c r="CS126" s="4" t="s">
        <v>241</v>
      </c>
      <c r="CT126" s="4">
        <v>0</v>
      </c>
      <c r="CU126" s="4" t="s">
        <v>262</v>
      </c>
      <c r="CV126" s="4" t="s">
        <v>263</v>
      </c>
      <c r="CW126" s="4" t="s">
        <v>263</v>
      </c>
      <c r="CX126" s="4" t="s">
        <v>264</v>
      </c>
      <c r="DA126" s="6">
        <f>2403275</f>
        <v>2403275</v>
      </c>
      <c r="DC126" s="4" t="s">
        <v>422</v>
      </c>
      <c r="DD126" s="4" t="s">
        <v>241</v>
      </c>
      <c r="DF126" s="4" t="s">
        <v>422</v>
      </c>
      <c r="DG126" s="6">
        <f>1085</f>
        <v>1085</v>
      </c>
      <c r="DH126" s="5" t="s">
        <v>4220</v>
      </c>
      <c r="DI126" s="4" t="s">
        <v>414</v>
      </c>
      <c r="DJ126" s="4" t="s">
        <v>241</v>
      </c>
      <c r="DK126" s="4" t="s">
        <v>241</v>
      </c>
      <c r="DL126" s="4" t="s">
        <v>241</v>
      </c>
      <c r="DP126" s="4" t="s">
        <v>241</v>
      </c>
      <c r="DQ126" s="4" t="s">
        <v>241</v>
      </c>
      <c r="DR126" s="4" t="s">
        <v>241</v>
      </c>
      <c r="DS126" s="4" t="s">
        <v>241</v>
      </c>
      <c r="DV126" s="4" t="s">
        <v>5262</v>
      </c>
      <c r="DW126" s="4" t="s">
        <v>388</v>
      </c>
      <c r="HO126" s="4" t="s">
        <v>267</v>
      </c>
    </row>
    <row r="127" spans="1:223" ht="19.5" customHeight="1" x14ac:dyDescent="0.4">
      <c r="A127" s="4">
        <v>1</v>
      </c>
      <c r="B127" s="4" t="s">
        <v>239</v>
      </c>
      <c r="C127" s="4">
        <v>838</v>
      </c>
      <c r="D127" s="4">
        <v>1</v>
      </c>
      <c r="E127" s="4">
        <v>1</v>
      </c>
      <c r="F127" s="4" t="s">
        <v>240</v>
      </c>
      <c r="G127" s="4" t="s">
        <v>241</v>
      </c>
      <c r="H127" s="4" t="s">
        <v>241</v>
      </c>
      <c r="I127" s="4" t="s">
        <v>5254</v>
      </c>
      <c r="J127" s="4" t="s">
        <v>418</v>
      </c>
      <c r="K127" s="4" t="s">
        <v>251</v>
      </c>
      <c r="L127" s="4" t="s">
        <v>5253</v>
      </c>
      <c r="M127" s="5" t="s">
        <v>5255</v>
      </c>
      <c r="N127" s="6">
        <f>1836</f>
        <v>1836</v>
      </c>
      <c r="O127" s="4" t="s">
        <v>265</v>
      </c>
      <c r="P127" s="6">
        <f>1966356</f>
        <v>1966356</v>
      </c>
      <c r="Q127" s="6">
        <f>0</f>
        <v>0</v>
      </c>
      <c r="S127" s="6">
        <f>0</f>
        <v>0</v>
      </c>
      <c r="T127" s="6">
        <f>1966356</f>
        <v>1966356</v>
      </c>
      <c r="U127" s="5" t="s">
        <v>4220</v>
      </c>
      <c r="V127" s="4" t="s">
        <v>270</v>
      </c>
      <c r="W127" s="4" t="s">
        <v>242</v>
      </c>
      <c r="X127" s="4" t="s">
        <v>273</v>
      </c>
      <c r="Y127" s="4" t="s">
        <v>241</v>
      </c>
      <c r="AB127" s="4" t="s">
        <v>241</v>
      </c>
      <c r="AD127" s="5" t="s">
        <v>241</v>
      </c>
      <c r="AG127" s="5" t="s">
        <v>246</v>
      </c>
      <c r="AH127" s="4" t="s">
        <v>241</v>
      </c>
      <c r="AI127" s="4" t="s">
        <v>247</v>
      </c>
      <c r="AJ127" s="4" t="s">
        <v>248</v>
      </c>
      <c r="AZ127" s="4" t="s">
        <v>249</v>
      </c>
      <c r="BA127" s="4" t="s">
        <v>241</v>
      </c>
      <c r="BB127" s="4" t="s">
        <v>250</v>
      </c>
      <c r="BC127" s="4" t="s">
        <v>241</v>
      </c>
      <c r="BD127" s="4" t="s">
        <v>252</v>
      </c>
      <c r="BE127" s="4" t="s">
        <v>241</v>
      </c>
      <c r="BG127" s="4" t="s">
        <v>4227</v>
      </c>
      <c r="BI127" s="4" t="s">
        <v>253</v>
      </c>
      <c r="BJ127" s="5" t="s">
        <v>246</v>
      </c>
      <c r="BK127" s="4" t="s">
        <v>254</v>
      </c>
      <c r="BL127" s="4" t="s">
        <v>255</v>
      </c>
      <c r="BM127" s="4" t="s">
        <v>241</v>
      </c>
      <c r="BN127" s="6">
        <f>0</f>
        <v>0</v>
      </c>
      <c r="BO127" s="6">
        <f>0</f>
        <v>0</v>
      </c>
      <c r="BP127" s="4" t="s">
        <v>256</v>
      </c>
      <c r="BQ127" s="4" t="s">
        <v>257</v>
      </c>
      <c r="CE127" s="4" t="s">
        <v>241</v>
      </c>
      <c r="CF127" s="4" t="s">
        <v>241</v>
      </c>
      <c r="CJ127" s="4" t="s">
        <v>286</v>
      </c>
      <c r="CK127" s="4" t="s">
        <v>259</v>
      </c>
      <c r="CL127" s="4" t="s">
        <v>241</v>
      </c>
      <c r="CO127" s="5" t="s">
        <v>260</v>
      </c>
      <c r="CP127" s="4" t="s">
        <v>241</v>
      </c>
      <c r="CQ127" s="4" t="s">
        <v>261</v>
      </c>
      <c r="CR127" s="4" t="s">
        <v>241</v>
      </c>
      <c r="CS127" s="4" t="s">
        <v>241</v>
      </c>
      <c r="CT127" s="4">
        <v>0</v>
      </c>
      <c r="CU127" s="4" t="s">
        <v>262</v>
      </c>
      <c r="CV127" s="4" t="s">
        <v>263</v>
      </c>
      <c r="CW127" s="4" t="s">
        <v>263</v>
      </c>
      <c r="CX127" s="4" t="s">
        <v>264</v>
      </c>
      <c r="DA127" s="6">
        <f>1966356</f>
        <v>1966356</v>
      </c>
      <c r="DC127" s="4" t="s">
        <v>414</v>
      </c>
      <c r="DD127" s="4" t="s">
        <v>241</v>
      </c>
      <c r="DF127" s="4" t="s">
        <v>414</v>
      </c>
      <c r="DG127" s="6">
        <f>1836</f>
        <v>1836</v>
      </c>
      <c r="DH127" s="5" t="s">
        <v>4220</v>
      </c>
      <c r="DI127" s="4" t="s">
        <v>414</v>
      </c>
      <c r="DJ127" s="4" t="s">
        <v>241</v>
      </c>
      <c r="DK127" s="4" t="s">
        <v>241</v>
      </c>
      <c r="DL127" s="4" t="s">
        <v>241</v>
      </c>
      <c r="DP127" s="4" t="s">
        <v>241</v>
      </c>
      <c r="DQ127" s="4" t="s">
        <v>241</v>
      </c>
      <c r="DR127" s="4" t="s">
        <v>241</v>
      </c>
      <c r="DS127" s="4" t="s">
        <v>241</v>
      </c>
      <c r="DV127" s="4" t="s">
        <v>5256</v>
      </c>
      <c r="DW127" s="4" t="s">
        <v>267</v>
      </c>
      <c r="HO127" s="4" t="s">
        <v>267</v>
      </c>
    </row>
    <row r="128" spans="1:223" ht="19.5" customHeight="1" x14ac:dyDescent="0.4">
      <c r="A128" s="4">
        <v>1</v>
      </c>
      <c r="B128" s="4" t="s">
        <v>239</v>
      </c>
      <c r="C128" s="4">
        <v>839</v>
      </c>
      <c r="D128" s="4">
        <v>1</v>
      </c>
      <c r="E128" s="4">
        <v>1</v>
      </c>
      <c r="F128" s="4" t="s">
        <v>240</v>
      </c>
      <c r="G128" s="4" t="s">
        <v>241</v>
      </c>
      <c r="H128" s="4" t="s">
        <v>241</v>
      </c>
      <c r="I128" s="4" t="s">
        <v>5254</v>
      </c>
      <c r="J128" s="4" t="s">
        <v>418</v>
      </c>
      <c r="K128" s="4" t="s">
        <v>251</v>
      </c>
      <c r="L128" s="4" t="s">
        <v>5253</v>
      </c>
      <c r="M128" s="5" t="s">
        <v>5257</v>
      </c>
      <c r="N128" s="6">
        <f>568</f>
        <v>568</v>
      </c>
      <c r="O128" s="4" t="s">
        <v>265</v>
      </c>
      <c r="P128" s="6">
        <f>608328</f>
        <v>608328</v>
      </c>
      <c r="Q128" s="6">
        <f>0</f>
        <v>0</v>
      </c>
      <c r="S128" s="6">
        <f>0</f>
        <v>0</v>
      </c>
      <c r="T128" s="6">
        <f>608328</f>
        <v>608328</v>
      </c>
      <c r="U128" s="5" t="s">
        <v>4220</v>
      </c>
      <c r="V128" s="4" t="s">
        <v>270</v>
      </c>
      <c r="W128" s="4" t="s">
        <v>242</v>
      </c>
      <c r="X128" s="4" t="s">
        <v>273</v>
      </c>
      <c r="Y128" s="4" t="s">
        <v>241</v>
      </c>
      <c r="AB128" s="4" t="s">
        <v>241</v>
      </c>
      <c r="AD128" s="5" t="s">
        <v>241</v>
      </c>
      <c r="AG128" s="5" t="s">
        <v>246</v>
      </c>
      <c r="AH128" s="4" t="s">
        <v>241</v>
      </c>
      <c r="AI128" s="4" t="s">
        <v>247</v>
      </c>
      <c r="AJ128" s="4" t="s">
        <v>248</v>
      </c>
      <c r="AZ128" s="4" t="s">
        <v>249</v>
      </c>
      <c r="BA128" s="4" t="s">
        <v>241</v>
      </c>
      <c r="BB128" s="4" t="s">
        <v>250</v>
      </c>
      <c r="BC128" s="4" t="s">
        <v>241</v>
      </c>
      <c r="BD128" s="4" t="s">
        <v>252</v>
      </c>
      <c r="BE128" s="4" t="s">
        <v>241</v>
      </c>
      <c r="BI128" s="4" t="s">
        <v>253</v>
      </c>
      <c r="BJ128" s="5" t="s">
        <v>246</v>
      </c>
      <c r="BK128" s="4" t="s">
        <v>254</v>
      </c>
      <c r="BL128" s="4" t="s">
        <v>255</v>
      </c>
      <c r="BM128" s="4" t="s">
        <v>241</v>
      </c>
      <c r="BN128" s="6">
        <f>0</f>
        <v>0</v>
      </c>
      <c r="BO128" s="6">
        <f>0</f>
        <v>0</v>
      </c>
      <c r="BP128" s="4" t="s">
        <v>256</v>
      </c>
      <c r="BQ128" s="4" t="s">
        <v>257</v>
      </c>
      <c r="CE128" s="4" t="s">
        <v>241</v>
      </c>
      <c r="CF128" s="4" t="s">
        <v>241</v>
      </c>
      <c r="CJ128" s="4" t="s">
        <v>286</v>
      </c>
      <c r="CK128" s="4" t="s">
        <v>259</v>
      </c>
      <c r="CL128" s="4" t="s">
        <v>241</v>
      </c>
      <c r="CO128" s="5" t="s">
        <v>260</v>
      </c>
      <c r="CP128" s="4" t="s">
        <v>241</v>
      </c>
      <c r="CQ128" s="4" t="s">
        <v>261</v>
      </c>
      <c r="CR128" s="4" t="s">
        <v>241</v>
      </c>
      <c r="CS128" s="4" t="s">
        <v>241</v>
      </c>
      <c r="CT128" s="4">
        <v>0</v>
      </c>
      <c r="CU128" s="4" t="s">
        <v>262</v>
      </c>
      <c r="CV128" s="4" t="s">
        <v>263</v>
      </c>
      <c r="CW128" s="4" t="s">
        <v>263</v>
      </c>
      <c r="CX128" s="4" t="s">
        <v>264</v>
      </c>
      <c r="DA128" s="6">
        <f>608328</f>
        <v>608328</v>
      </c>
      <c r="DC128" s="4" t="s">
        <v>414</v>
      </c>
      <c r="DD128" s="4" t="s">
        <v>241</v>
      </c>
      <c r="DF128" s="4" t="s">
        <v>414</v>
      </c>
      <c r="DG128" s="6">
        <f>568</f>
        <v>568</v>
      </c>
      <c r="DI128" s="4" t="s">
        <v>414</v>
      </c>
      <c r="DJ128" s="4" t="s">
        <v>241</v>
      </c>
      <c r="DK128" s="4" t="s">
        <v>241</v>
      </c>
      <c r="DL128" s="4" t="s">
        <v>241</v>
      </c>
      <c r="DP128" s="4" t="s">
        <v>241</v>
      </c>
      <c r="DQ128" s="4" t="s">
        <v>241</v>
      </c>
      <c r="DR128" s="4" t="s">
        <v>241</v>
      </c>
      <c r="DS128" s="4" t="s">
        <v>241</v>
      </c>
      <c r="DV128" s="4" t="s">
        <v>5256</v>
      </c>
      <c r="DW128" s="4" t="s">
        <v>416</v>
      </c>
      <c r="HO128" s="4" t="s">
        <v>267</v>
      </c>
    </row>
    <row r="129" spans="1:223" ht="19.5" customHeight="1" x14ac:dyDescent="0.4">
      <c r="A129" s="4">
        <v>1</v>
      </c>
      <c r="B129" s="4" t="s">
        <v>239</v>
      </c>
      <c r="C129" s="4">
        <v>840</v>
      </c>
      <c r="D129" s="4">
        <v>1</v>
      </c>
      <c r="E129" s="4">
        <v>1</v>
      </c>
      <c r="F129" s="4" t="s">
        <v>240</v>
      </c>
      <c r="G129" s="4" t="s">
        <v>241</v>
      </c>
      <c r="H129" s="4" t="s">
        <v>241</v>
      </c>
      <c r="I129" s="4" t="s">
        <v>5250</v>
      </c>
      <c r="J129" s="4" t="s">
        <v>418</v>
      </c>
      <c r="K129" s="4" t="s">
        <v>251</v>
      </c>
      <c r="L129" s="4" t="s">
        <v>5249</v>
      </c>
      <c r="M129" s="5" t="s">
        <v>5251</v>
      </c>
      <c r="N129" s="6">
        <f>924</f>
        <v>924</v>
      </c>
      <c r="O129" s="4" t="s">
        <v>265</v>
      </c>
      <c r="P129" s="6">
        <f>2046660</f>
        <v>2046660</v>
      </c>
      <c r="Q129" s="6">
        <f>0</f>
        <v>0</v>
      </c>
      <c r="S129" s="6">
        <f>0</f>
        <v>0</v>
      </c>
      <c r="T129" s="6">
        <f>2046660</f>
        <v>2046660</v>
      </c>
      <c r="U129" s="5" t="s">
        <v>245</v>
      </c>
      <c r="V129" s="4" t="s">
        <v>270</v>
      </c>
      <c r="W129" s="4" t="s">
        <v>242</v>
      </c>
      <c r="X129" s="4" t="s">
        <v>273</v>
      </c>
      <c r="Y129" s="4" t="s">
        <v>241</v>
      </c>
      <c r="AB129" s="4" t="s">
        <v>241</v>
      </c>
      <c r="AD129" s="5" t="s">
        <v>241</v>
      </c>
      <c r="AG129" s="5" t="s">
        <v>246</v>
      </c>
      <c r="AH129" s="4" t="s">
        <v>241</v>
      </c>
      <c r="AI129" s="4" t="s">
        <v>247</v>
      </c>
      <c r="AJ129" s="4" t="s">
        <v>248</v>
      </c>
      <c r="AZ129" s="4" t="s">
        <v>249</v>
      </c>
      <c r="BA129" s="4" t="s">
        <v>241</v>
      </c>
      <c r="BB129" s="4" t="s">
        <v>250</v>
      </c>
      <c r="BC129" s="4" t="s">
        <v>241</v>
      </c>
      <c r="BD129" s="4" t="s">
        <v>252</v>
      </c>
      <c r="BE129" s="4" t="s">
        <v>241</v>
      </c>
      <c r="BG129" s="4" t="s">
        <v>4227</v>
      </c>
      <c r="BI129" s="4" t="s">
        <v>253</v>
      </c>
      <c r="BJ129" s="5" t="s">
        <v>246</v>
      </c>
      <c r="BK129" s="4" t="s">
        <v>254</v>
      </c>
      <c r="BL129" s="4" t="s">
        <v>255</v>
      </c>
      <c r="BM129" s="4" t="s">
        <v>241</v>
      </c>
      <c r="BN129" s="6">
        <f>0</f>
        <v>0</v>
      </c>
      <c r="BO129" s="6">
        <f>0</f>
        <v>0</v>
      </c>
      <c r="BP129" s="4" t="s">
        <v>256</v>
      </c>
      <c r="BQ129" s="4" t="s">
        <v>257</v>
      </c>
      <c r="CE129" s="4" t="s">
        <v>241</v>
      </c>
      <c r="CF129" s="4" t="s">
        <v>241</v>
      </c>
      <c r="CJ129" s="4" t="s">
        <v>258</v>
      </c>
      <c r="CK129" s="4" t="s">
        <v>259</v>
      </c>
      <c r="CL129" s="4" t="s">
        <v>241</v>
      </c>
      <c r="CO129" s="5" t="s">
        <v>260</v>
      </c>
      <c r="CP129" s="4" t="s">
        <v>241</v>
      </c>
      <c r="CQ129" s="4" t="s">
        <v>261</v>
      </c>
      <c r="CR129" s="4" t="s">
        <v>241</v>
      </c>
      <c r="CS129" s="4" t="s">
        <v>241</v>
      </c>
      <c r="CT129" s="4">
        <v>0</v>
      </c>
      <c r="CU129" s="4" t="s">
        <v>262</v>
      </c>
      <c r="CV129" s="4" t="s">
        <v>263</v>
      </c>
      <c r="CW129" s="4" t="s">
        <v>263</v>
      </c>
      <c r="CX129" s="4" t="s">
        <v>264</v>
      </c>
      <c r="DA129" s="6">
        <f>2046660</f>
        <v>2046660</v>
      </c>
      <c r="DC129" s="4" t="s">
        <v>414</v>
      </c>
      <c r="DD129" s="4" t="s">
        <v>241</v>
      </c>
      <c r="DF129" s="4" t="s">
        <v>414</v>
      </c>
      <c r="DG129" s="6">
        <f>924</f>
        <v>924</v>
      </c>
      <c r="DI129" s="4" t="s">
        <v>414</v>
      </c>
      <c r="DJ129" s="4" t="s">
        <v>241</v>
      </c>
      <c r="DK129" s="4" t="s">
        <v>241</v>
      </c>
      <c r="DL129" s="4" t="s">
        <v>241</v>
      </c>
      <c r="DP129" s="4" t="s">
        <v>241</v>
      </c>
      <c r="DQ129" s="4" t="s">
        <v>241</v>
      </c>
      <c r="DR129" s="4" t="s">
        <v>241</v>
      </c>
      <c r="DS129" s="4" t="s">
        <v>241</v>
      </c>
      <c r="DV129" s="4" t="s">
        <v>5252</v>
      </c>
      <c r="DW129" s="4" t="s">
        <v>267</v>
      </c>
      <c r="HO129" s="4" t="s">
        <v>267</v>
      </c>
    </row>
    <row r="130" spans="1:223" ht="19.5" customHeight="1" x14ac:dyDescent="0.4">
      <c r="A130" s="4">
        <v>1</v>
      </c>
      <c r="B130" s="4" t="s">
        <v>239</v>
      </c>
      <c r="C130" s="4">
        <v>841</v>
      </c>
      <c r="D130" s="4">
        <v>1</v>
      </c>
      <c r="E130" s="4">
        <v>1</v>
      </c>
      <c r="F130" s="4" t="s">
        <v>240</v>
      </c>
      <c r="G130" s="4" t="s">
        <v>241</v>
      </c>
      <c r="H130" s="4" t="s">
        <v>241</v>
      </c>
      <c r="I130" s="4" t="s">
        <v>5247</v>
      </c>
      <c r="J130" s="4" t="s">
        <v>418</v>
      </c>
      <c r="K130" s="4" t="s">
        <v>251</v>
      </c>
      <c r="L130" s="4" t="s">
        <v>5246</v>
      </c>
      <c r="M130" s="5" t="s">
        <v>3183</v>
      </c>
      <c r="N130" s="6">
        <f>1000</f>
        <v>1000</v>
      </c>
      <c r="O130" s="4" t="s">
        <v>265</v>
      </c>
      <c r="P130" s="6">
        <f>2400000</f>
        <v>2400000</v>
      </c>
      <c r="Q130" s="6">
        <f>0</f>
        <v>0</v>
      </c>
      <c r="S130" s="6">
        <f>0</f>
        <v>0</v>
      </c>
      <c r="T130" s="6">
        <f>2400000</f>
        <v>2400000</v>
      </c>
      <c r="U130" s="5" t="s">
        <v>245</v>
      </c>
      <c r="V130" s="4" t="s">
        <v>270</v>
      </c>
      <c r="W130" s="4" t="s">
        <v>242</v>
      </c>
      <c r="X130" s="4" t="s">
        <v>273</v>
      </c>
      <c r="Y130" s="4" t="s">
        <v>241</v>
      </c>
      <c r="AB130" s="4" t="s">
        <v>241</v>
      </c>
      <c r="AD130" s="5" t="s">
        <v>241</v>
      </c>
      <c r="AG130" s="5" t="s">
        <v>246</v>
      </c>
      <c r="AH130" s="4" t="s">
        <v>241</v>
      </c>
      <c r="AI130" s="4" t="s">
        <v>247</v>
      </c>
      <c r="AJ130" s="4" t="s">
        <v>248</v>
      </c>
      <c r="AZ130" s="4" t="s">
        <v>249</v>
      </c>
      <c r="BA130" s="4" t="s">
        <v>241</v>
      </c>
      <c r="BB130" s="4" t="s">
        <v>250</v>
      </c>
      <c r="BC130" s="4" t="s">
        <v>241</v>
      </c>
      <c r="BD130" s="4" t="s">
        <v>252</v>
      </c>
      <c r="BE130" s="4" t="s">
        <v>241</v>
      </c>
      <c r="BG130" s="4" t="s">
        <v>4227</v>
      </c>
      <c r="BI130" s="4" t="s">
        <v>284</v>
      </c>
      <c r="BJ130" s="5" t="s">
        <v>5227</v>
      </c>
      <c r="BK130" s="4" t="s">
        <v>254</v>
      </c>
      <c r="BL130" s="4" t="s">
        <v>255</v>
      </c>
      <c r="BM130" s="4" t="s">
        <v>241</v>
      </c>
      <c r="BN130" s="6">
        <f>0</f>
        <v>0</v>
      </c>
      <c r="BO130" s="6">
        <f>0</f>
        <v>0</v>
      </c>
      <c r="BP130" s="4" t="s">
        <v>256</v>
      </c>
      <c r="BQ130" s="4" t="s">
        <v>257</v>
      </c>
      <c r="CE130" s="4" t="s">
        <v>241</v>
      </c>
      <c r="CF130" s="4" t="s">
        <v>241</v>
      </c>
      <c r="CJ130" s="4" t="s">
        <v>258</v>
      </c>
      <c r="CK130" s="4" t="s">
        <v>259</v>
      </c>
      <c r="CL130" s="4" t="s">
        <v>241</v>
      </c>
      <c r="CO130" s="5" t="s">
        <v>260</v>
      </c>
      <c r="CP130" s="4" t="s">
        <v>241</v>
      </c>
      <c r="CQ130" s="4" t="s">
        <v>261</v>
      </c>
      <c r="CR130" s="4" t="s">
        <v>241</v>
      </c>
      <c r="CS130" s="4" t="s">
        <v>241</v>
      </c>
      <c r="CT130" s="4">
        <v>0</v>
      </c>
      <c r="CU130" s="4" t="s">
        <v>262</v>
      </c>
      <c r="CV130" s="4" t="s">
        <v>263</v>
      </c>
      <c r="CW130" s="4" t="s">
        <v>263</v>
      </c>
      <c r="CX130" s="4" t="s">
        <v>264</v>
      </c>
      <c r="DA130" s="6">
        <f>2400000</f>
        <v>2400000</v>
      </c>
      <c r="DC130" s="4" t="s">
        <v>266</v>
      </c>
      <c r="DD130" s="4" t="s">
        <v>241</v>
      </c>
      <c r="DF130" s="4" t="s">
        <v>266</v>
      </c>
      <c r="DG130" s="6">
        <f>1000</f>
        <v>1000</v>
      </c>
      <c r="DI130" s="4" t="s">
        <v>266</v>
      </c>
      <c r="DJ130" s="4" t="s">
        <v>241</v>
      </c>
      <c r="DK130" s="4" t="s">
        <v>241</v>
      </c>
      <c r="DL130" s="4" t="s">
        <v>241</v>
      </c>
      <c r="DP130" s="4" t="s">
        <v>241</v>
      </c>
      <c r="DQ130" s="4" t="s">
        <v>241</v>
      </c>
      <c r="DR130" s="4" t="s">
        <v>241</v>
      </c>
      <c r="DS130" s="4" t="s">
        <v>241</v>
      </c>
      <c r="DV130" s="4" t="s">
        <v>5248</v>
      </c>
      <c r="DW130" s="4" t="s">
        <v>267</v>
      </c>
      <c r="HO130" s="4" t="s">
        <v>267</v>
      </c>
    </row>
    <row r="131" spans="1:223" ht="19.5" customHeight="1" x14ac:dyDescent="0.4">
      <c r="A131" s="4">
        <v>1</v>
      </c>
      <c r="B131" s="4" t="s">
        <v>239</v>
      </c>
      <c r="C131" s="4">
        <v>842</v>
      </c>
      <c r="D131" s="4">
        <v>1</v>
      </c>
      <c r="E131" s="4">
        <v>1</v>
      </c>
      <c r="F131" s="4" t="s">
        <v>240</v>
      </c>
      <c r="G131" s="4" t="s">
        <v>241</v>
      </c>
      <c r="H131" s="4" t="s">
        <v>241</v>
      </c>
      <c r="I131" s="4" t="s">
        <v>5533</v>
      </c>
      <c r="J131" s="4" t="s">
        <v>418</v>
      </c>
      <c r="K131" s="4" t="s">
        <v>251</v>
      </c>
      <c r="L131" s="4" t="s">
        <v>5532</v>
      </c>
      <c r="M131" s="5" t="s">
        <v>5534</v>
      </c>
      <c r="N131" s="6">
        <f>1304.25</f>
        <v>1304.25</v>
      </c>
      <c r="O131" s="4" t="s">
        <v>265</v>
      </c>
      <c r="P131" s="6">
        <f>2888913</f>
        <v>2888913</v>
      </c>
      <c r="Q131" s="6">
        <f>0</f>
        <v>0</v>
      </c>
      <c r="S131" s="6">
        <f>0</f>
        <v>0</v>
      </c>
      <c r="T131" s="6">
        <f>2888913</f>
        <v>2888913</v>
      </c>
      <c r="U131" s="5" t="s">
        <v>245</v>
      </c>
      <c r="V131" s="4" t="s">
        <v>270</v>
      </c>
      <c r="W131" s="4" t="s">
        <v>242</v>
      </c>
      <c r="X131" s="4" t="s">
        <v>273</v>
      </c>
      <c r="Y131" s="4" t="s">
        <v>241</v>
      </c>
      <c r="AB131" s="4" t="s">
        <v>241</v>
      </c>
      <c r="AD131" s="5" t="s">
        <v>241</v>
      </c>
      <c r="AG131" s="5" t="s">
        <v>246</v>
      </c>
      <c r="AH131" s="4" t="s">
        <v>241</v>
      </c>
      <c r="AI131" s="4" t="s">
        <v>247</v>
      </c>
      <c r="AJ131" s="4" t="s">
        <v>248</v>
      </c>
      <c r="AZ131" s="4" t="s">
        <v>249</v>
      </c>
      <c r="BA131" s="4" t="s">
        <v>241</v>
      </c>
      <c r="BB131" s="4" t="s">
        <v>250</v>
      </c>
      <c r="BC131" s="4" t="s">
        <v>241</v>
      </c>
      <c r="BD131" s="4" t="s">
        <v>252</v>
      </c>
      <c r="BE131" s="4" t="s">
        <v>241</v>
      </c>
      <c r="BG131" s="4" t="s">
        <v>4227</v>
      </c>
      <c r="BI131" s="4" t="s">
        <v>284</v>
      </c>
      <c r="BJ131" s="5" t="s">
        <v>5227</v>
      </c>
      <c r="BK131" s="4" t="s">
        <v>254</v>
      </c>
      <c r="BL131" s="4" t="s">
        <v>254</v>
      </c>
      <c r="BM131" s="4" t="s">
        <v>241</v>
      </c>
      <c r="BN131" s="6">
        <f>0</f>
        <v>0</v>
      </c>
      <c r="BO131" s="6">
        <f>0</f>
        <v>0</v>
      </c>
      <c r="BP131" s="4" t="s">
        <v>256</v>
      </c>
      <c r="BQ131" s="4" t="s">
        <v>257</v>
      </c>
      <c r="CE131" s="4" t="s">
        <v>241</v>
      </c>
      <c r="CF131" s="4" t="s">
        <v>241</v>
      </c>
      <c r="CJ131" s="4" t="s">
        <v>258</v>
      </c>
      <c r="CK131" s="4" t="s">
        <v>259</v>
      </c>
      <c r="CL131" s="4" t="s">
        <v>241</v>
      </c>
      <c r="CO131" s="5" t="s">
        <v>260</v>
      </c>
      <c r="CP131" s="4" t="s">
        <v>241</v>
      </c>
      <c r="CQ131" s="4" t="s">
        <v>261</v>
      </c>
      <c r="CR131" s="4" t="s">
        <v>241</v>
      </c>
      <c r="CS131" s="4" t="s">
        <v>241</v>
      </c>
      <c r="CT131" s="4">
        <v>0</v>
      </c>
      <c r="CU131" s="4" t="s">
        <v>262</v>
      </c>
      <c r="CV131" s="4" t="s">
        <v>263</v>
      </c>
      <c r="CW131" s="4" t="s">
        <v>263</v>
      </c>
      <c r="CX131" s="4" t="s">
        <v>264</v>
      </c>
      <c r="DA131" s="6">
        <f>2888913</f>
        <v>2888913</v>
      </c>
      <c r="DC131" s="4" t="s">
        <v>422</v>
      </c>
      <c r="DD131" s="4" t="s">
        <v>241</v>
      </c>
      <c r="DF131" s="4" t="s">
        <v>287</v>
      </c>
      <c r="DG131" s="6">
        <f>0</f>
        <v>0</v>
      </c>
      <c r="DI131" s="4" t="s">
        <v>414</v>
      </c>
      <c r="DJ131" s="4" t="s">
        <v>241</v>
      </c>
      <c r="DK131" s="4" t="s">
        <v>241</v>
      </c>
      <c r="DL131" s="4" t="s">
        <v>241</v>
      </c>
      <c r="DP131" s="4" t="s">
        <v>241</v>
      </c>
      <c r="DQ131" s="4" t="s">
        <v>241</v>
      </c>
      <c r="DR131" s="4" t="s">
        <v>241</v>
      </c>
      <c r="DS131" s="4" t="s">
        <v>241</v>
      </c>
      <c r="DV131" s="4" t="s">
        <v>5535</v>
      </c>
      <c r="DW131" s="4" t="s">
        <v>267</v>
      </c>
      <c r="HO131" s="4" t="s">
        <v>327</v>
      </c>
    </row>
    <row r="132" spans="1:223" ht="19.5" customHeight="1" x14ac:dyDescent="0.4">
      <c r="A132" s="4">
        <v>1</v>
      </c>
      <c r="B132" s="4" t="s">
        <v>239</v>
      </c>
      <c r="C132" s="4">
        <v>843</v>
      </c>
      <c r="D132" s="4">
        <v>1</v>
      </c>
      <c r="E132" s="4">
        <v>1</v>
      </c>
      <c r="F132" s="4" t="s">
        <v>240</v>
      </c>
      <c r="G132" s="4" t="s">
        <v>241</v>
      </c>
      <c r="H132" s="4" t="s">
        <v>241</v>
      </c>
      <c r="I132" s="4" t="s">
        <v>5242</v>
      </c>
      <c r="J132" s="4" t="s">
        <v>418</v>
      </c>
      <c r="K132" s="4" t="s">
        <v>251</v>
      </c>
      <c r="L132" s="4" t="s">
        <v>5241</v>
      </c>
      <c r="M132" s="5" t="s">
        <v>5244</v>
      </c>
      <c r="N132" s="6">
        <f>1223</f>
        <v>1223</v>
      </c>
      <c r="O132" s="4" t="s">
        <v>265</v>
      </c>
      <c r="P132" s="6">
        <f>2708945</f>
        <v>2708945</v>
      </c>
      <c r="Q132" s="6">
        <f>0</f>
        <v>0</v>
      </c>
      <c r="S132" s="6">
        <f>0</f>
        <v>0</v>
      </c>
      <c r="T132" s="6">
        <f>2708945</f>
        <v>2708945</v>
      </c>
      <c r="U132" s="5" t="s">
        <v>245</v>
      </c>
      <c r="V132" s="4" t="s">
        <v>270</v>
      </c>
      <c r="W132" s="4" t="s">
        <v>242</v>
      </c>
      <c r="X132" s="4" t="s">
        <v>273</v>
      </c>
      <c r="Y132" s="4" t="s">
        <v>241</v>
      </c>
      <c r="AB132" s="4" t="s">
        <v>241</v>
      </c>
      <c r="AD132" s="5" t="s">
        <v>241</v>
      </c>
      <c r="AG132" s="5" t="s">
        <v>246</v>
      </c>
      <c r="AH132" s="4" t="s">
        <v>5243</v>
      </c>
      <c r="AI132" s="4" t="s">
        <v>247</v>
      </c>
      <c r="AJ132" s="4" t="s">
        <v>248</v>
      </c>
      <c r="AZ132" s="4" t="s">
        <v>249</v>
      </c>
      <c r="BA132" s="4" t="s">
        <v>241</v>
      </c>
      <c r="BB132" s="4" t="s">
        <v>250</v>
      </c>
      <c r="BC132" s="4" t="s">
        <v>241</v>
      </c>
      <c r="BD132" s="4" t="s">
        <v>252</v>
      </c>
      <c r="BE132" s="4" t="s">
        <v>241</v>
      </c>
      <c r="BG132" s="4" t="s">
        <v>4227</v>
      </c>
      <c r="BI132" s="4" t="s">
        <v>284</v>
      </c>
      <c r="BJ132" s="5" t="s">
        <v>5227</v>
      </c>
      <c r="BK132" s="4" t="s">
        <v>254</v>
      </c>
      <c r="BL132" s="4" t="s">
        <v>3165</v>
      </c>
      <c r="BM132" s="4" t="s">
        <v>241</v>
      </c>
      <c r="BN132" s="6">
        <f>0</f>
        <v>0</v>
      </c>
      <c r="BO132" s="6">
        <f>0</f>
        <v>0</v>
      </c>
      <c r="BP132" s="4" t="s">
        <v>256</v>
      </c>
      <c r="BQ132" s="4" t="s">
        <v>257</v>
      </c>
      <c r="CE132" s="4" t="s">
        <v>241</v>
      </c>
      <c r="CF132" s="4" t="s">
        <v>241</v>
      </c>
      <c r="CJ132" s="4" t="s">
        <v>258</v>
      </c>
      <c r="CK132" s="4" t="s">
        <v>259</v>
      </c>
      <c r="CL132" s="4" t="s">
        <v>241</v>
      </c>
      <c r="CO132" s="5" t="s">
        <v>260</v>
      </c>
      <c r="CP132" s="4" t="s">
        <v>241</v>
      </c>
      <c r="CQ132" s="4" t="s">
        <v>261</v>
      </c>
      <c r="CR132" s="4" t="s">
        <v>241</v>
      </c>
      <c r="CS132" s="4" t="s">
        <v>241</v>
      </c>
      <c r="CT132" s="4">
        <v>0</v>
      </c>
      <c r="CU132" s="4" t="s">
        <v>262</v>
      </c>
      <c r="CV132" s="4" t="s">
        <v>263</v>
      </c>
      <c r="CW132" s="4" t="s">
        <v>263</v>
      </c>
      <c r="CX132" s="4" t="s">
        <v>264</v>
      </c>
      <c r="DA132" s="6">
        <f>2708945</f>
        <v>2708945</v>
      </c>
      <c r="DC132" s="4" t="s">
        <v>422</v>
      </c>
      <c r="DD132" s="4" t="s">
        <v>241</v>
      </c>
      <c r="DF132" s="4" t="s">
        <v>287</v>
      </c>
      <c r="DG132" s="6">
        <f>0</f>
        <v>0</v>
      </c>
      <c r="DI132" s="4" t="s">
        <v>414</v>
      </c>
      <c r="DJ132" s="4" t="s">
        <v>241</v>
      </c>
      <c r="DK132" s="4" t="s">
        <v>241</v>
      </c>
      <c r="DL132" s="4" t="s">
        <v>241</v>
      </c>
      <c r="DP132" s="4" t="s">
        <v>241</v>
      </c>
      <c r="DQ132" s="4" t="s">
        <v>241</v>
      </c>
      <c r="DR132" s="4" t="s">
        <v>241</v>
      </c>
      <c r="DS132" s="4" t="s">
        <v>241</v>
      </c>
      <c r="DV132" s="4" t="s">
        <v>5245</v>
      </c>
      <c r="DW132" s="4" t="s">
        <v>267</v>
      </c>
      <c r="HO132" s="4" t="s">
        <v>327</v>
      </c>
    </row>
    <row r="133" spans="1:223" ht="19.5" customHeight="1" x14ac:dyDescent="0.4">
      <c r="A133" s="4">
        <v>1</v>
      </c>
      <c r="B133" s="4" t="s">
        <v>239</v>
      </c>
      <c r="C133" s="4">
        <v>844</v>
      </c>
      <c r="D133" s="4">
        <v>1</v>
      </c>
      <c r="E133" s="4">
        <v>1</v>
      </c>
      <c r="F133" s="4" t="s">
        <v>240</v>
      </c>
      <c r="G133" s="4" t="s">
        <v>241</v>
      </c>
      <c r="H133" s="4" t="s">
        <v>241</v>
      </c>
      <c r="I133" s="4" t="s">
        <v>5238</v>
      </c>
      <c r="J133" s="4" t="s">
        <v>418</v>
      </c>
      <c r="K133" s="4" t="s">
        <v>251</v>
      </c>
      <c r="L133" s="4" t="s">
        <v>5237</v>
      </c>
      <c r="M133" s="5" t="s">
        <v>5239</v>
      </c>
      <c r="N133" s="6">
        <f>1781</f>
        <v>1781</v>
      </c>
      <c r="O133" s="4" t="s">
        <v>265</v>
      </c>
      <c r="P133" s="6">
        <f>3944915</f>
        <v>3944915</v>
      </c>
      <c r="Q133" s="6">
        <f>0</f>
        <v>0</v>
      </c>
      <c r="S133" s="6">
        <f>0</f>
        <v>0</v>
      </c>
      <c r="T133" s="6">
        <f>3944915</f>
        <v>3944915</v>
      </c>
      <c r="U133" s="5" t="s">
        <v>245</v>
      </c>
      <c r="V133" s="4" t="s">
        <v>270</v>
      </c>
      <c r="W133" s="4" t="s">
        <v>242</v>
      </c>
      <c r="X133" s="4" t="s">
        <v>273</v>
      </c>
      <c r="Y133" s="4" t="s">
        <v>241</v>
      </c>
      <c r="AB133" s="4" t="s">
        <v>241</v>
      </c>
      <c r="AD133" s="5" t="s">
        <v>241</v>
      </c>
      <c r="AG133" s="5" t="s">
        <v>246</v>
      </c>
      <c r="AH133" s="4" t="s">
        <v>241</v>
      </c>
      <c r="AI133" s="4" t="s">
        <v>247</v>
      </c>
      <c r="AJ133" s="4" t="s">
        <v>248</v>
      </c>
      <c r="AZ133" s="4" t="s">
        <v>249</v>
      </c>
      <c r="BA133" s="4" t="s">
        <v>241</v>
      </c>
      <c r="BB133" s="4" t="s">
        <v>250</v>
      </c>
      <c r="BC133" s="4" t="s">
        <v>241</v>
      </c>
      <c r="BD133" s="4" t="s">
        <v>252</v>
      </c>
      <c r="BE133" s="4" t="s">
        <v>241</v>
      </c>
      <c r="BG133" s="4" t="s">
        <v>4227</v>
      </c>
      <c r="BI133" s="4" t="s">
        <v>284</v>
      </c>
      <c r="BJ133" s="5" t="s">
        <v>5227</v>
      </c>
      <c r="BK133" s="4" t="s">
        <v>254</v>
      </c>
      <c r="BL133" s="4" t="s">
        <v>254</v>
      </c>
      <c r="BM133" s="4" t="s">
        <v>241</v>
      </c>
      <c r="BN133" s="6">
        <f>0</f>
        <v>0</v>
      </c>
      <c r="BO133" s="6">
        <f>0</f>
        <v>0</v>
      </c>
      <c r="BP133" s="4" t="s">
        <v>256</v>
      </c>
      <c r="BQ133" s="4" t="s">
        <v>257</v>
      </c>
      <c r="CE133" s="4" t="s">
        <v>241</v>
      </c>
      <c r="CF133" s="4" t="s">
        <v>241</v>
      </c>
      <c r="CJ133" s="4" t="s">
        <v>258</v>
      </c>
      <c r="CK133" s="4" t="s">
        <v>259</v>
      </c>
      <c r="CL133" s="4" t="s">
        <v>241</v>
      </c>
      <c r="CO133" s="5" t="s">
        <v>260</v>
      </c>
      <c r="CP133" s="4" t="s">
        <v>241</v>
      </c>
      <c r="CQ133" s="4" t="s">
        <v>261</v>
      </c>
      <c r="CR133" s="4" t="s">
        <v>241</v>
      </c>
      <c r="CS133" s="4" t="s">
        <v>241</v>
      </c>
      <c r="CT133" s="4">
        <v>0</v>
      </c>
      <c r="CU133" s="4" t="s">
        <v>262</v>
      </c>
      <c r="CV133" s="4" t="s">
        <v>263</v>
      </c>
      <c r="CW133" s="4" t="s">
        <v>263</v>
      </c>
      <c r="CX133" s="4" t="s">
        <v>264</v>
      </c>
      <c r="DA133" s="6">
        <f>3944915</f>
        <v>3944915</v>
      </c>
      <c r="DC133" s="4" t="s">
        <v>422</v>
      </c>
      <c r="DD133" s="4" t="s">
        <v>241</v>
      </c>
      <c r="DF133" s="4" t="s">
        <v>287</v>
      </c>
      <c r="DG133" s="6">
        <f>0</f>
        <v>0</v>
      </c>
      <c r="DI133" s="4" t="s">
        <v>414</v>
      </c>
      <c r="DJ133" s="4" t="s">
        <v>241</v>
      </c>
      <c r="DK133" s="4" t="s">
        <v>241</v>
      </c>
      <c r="DL133" s="4" t="s">
        <v>241</v>
      </c>
      <c r="DP133" s="4" t="s">
        <v>241</v>
      </c>
      <c r="DQ133" s="4" t="s">
        <v>241</v>
      </c>
      <c r="DR133" s="4" t="s">
        <v>241</v>
      </c>
      <c r="DS133" s="4" t="s">
        <v>241</v>
      </c>
      <c r="DV133" s="4" t="s">
        <v>5240</v>
      </c>
      <c r="DW133" s="4" t="s">
        <v>267</v>
      </c>
      <c r="HO133" s="4" t="s">
        <v>327</v>
      </c>
    </row>
    <row r="134" spans="1:223" ht="19.5" customHeight="1" x14ac:dyDescent="0.4">
      <c r="A134" s="4">
        <v>1</v>
      </c>
      <c r="B134" s="4" t="s">
        <v>239</v>
      </c>
      <c r="C134" s="4">
        <v>845</v>
      </c>
      <c r="D134" s="4">
        <v>1</v>
      </c>
      <c r="E134" s="4">
        <v>1</v>
      </c>
      <c r="F134" s="4" t="s">
        <v>240</v>
      </c>
      <c r="G134" s="4" t="s">
        <v>241</v>
      </c>
      <c r="H134" s="4" t="s">
        <v>241</v>
      </c>
      <c r="I134" s="4" t="s">
        <v>5234</v>
      </c>
      <c r="J134" s="4" t="s">
        <v>418</v>
      </c>
      <c r="K134" s="4" t="s">
        <v>251</v>
      </c>
      <c r="L134" s="4" t="s">
        <v>5233</v>
      </c>
      <c r="M134" s="5" t="s">
        <v>5235</v>
      </c>
      <c r="N134" s="6">
        <f>1330</f>
        <v>1330</v>
      </c>
      <c r="O134" s="4" t="s">
        <v>265</v>
      </c>
      <c r="P134" s="6">
        <f>2945950</f>
        <v>2945950</v>
      </c>
      <c r="Q134" s="6">
        <f>0</f>
        <v>0</v>
      </c>
      <c r="S134" s="6">
        <f>0</f>
        <v>0</v>
      </c>
      <c r="T134" s="6">
        <f>2945950</f>
        <v>2945950</v>
      </c>
      <c r="U134" s="5" t="s">
        <v>245</v>
      </c>
      <c r="V134" s="4" t="s">
        <v>270</v>
      </c>
      <c r="W134" s="4" t="s">
        <v>242</v>
      </c>
      <c r="X134" s="4" t="s">
        <v>273</v>
      </c>
      <c r="Y134" s="4" t="s">
        <v>241</v>
      </c>
      <c r="AB134" s="4" t="s">
        <v>241</v>
      </c>
      <c r="AD134" s="5" t="s">
        <v>241</v>
      </c>
      <c r="AG134" s="5" t="s">
        <v>246</v>
      </c>
      <c r="AH134" s="4" t="s">
        <v>241</v>
      </c>
      <c r="AI134" s="4" t="s">
        <v>247</v>
      </c>
      <c r="AJ134" s="4" t="s">
        <v>248</v>
      </c>
      <c r="AZ134" s="4" t="s">
        <v>249</v>
      </c>
      <c r="BA134" s="4" t="s">
        <v>241</v>
      </c>
      <c r="BB134" s="4" t="s">
        <v>250</v>
      </c>
      <c r="BC134" s="4" t="s">
        <v>241</v>
      </c>
      <c r="BD134" s="4" t="s">
        <v>252</v>
      </c>
      <c r="BE134" s="4" t="s">
        <v>241</v>
      </c>
      <c r="BI134" s="4" t="s">
        <v>284</v>
      </c>
      <c r="BJ134" s="5" t="s">
        <v>5227</v>
      </c>
      <c r="BK134" s="4" t="s">
        <v>254</v>
      </c>
      <c r="BL134" s="4" t="s">
        <v>254</v>
      </c>
      <c r="BM134" s="4" t="s">
        <v>241</v>
      </c>
      <c r="BN134" s="6">
        <f>0</f>
        <v>0</v>
      </c>
      <c r="BO134" s="6">
        <f>0</f>
        <v>0</v>
      </c>
      <c r="BP134" s="4" t="s">
        <v>256</v>
      </c>
      <c r="BQ134" s="4" t="s">
        <v>257</v>
      </c>
      <c r="CE134" s="4" t="s">
        <v>241</v>
      </c>
      <c r="CF134" s="4" t="s">
        <v>241</v>
      </c>
      <c r="CJ134" s="4" t="s">
        <v>258</v>
      </c>
      <c r="CK134" s="4" t="s">
        <v>259</v>
      </c>
      <c r="CL134" s="4" t="s">
        <v>241</v>
      </c>
      <c r="CO134" s="5" t="s">
        <v>260</v>
      </c>
      <c r="CP134" s="4" t="s">
        <v>241</v>
      </c>
      <c r="CQ134" s="4" t="s">
        <v>261</v>
      </c>
      <c r="CR134" s="4" t="s">
        <v>241</v>
      </c>
      <c r="CS134" s="4" t="s">
        <v>241</v>
      </c>
      <c r="CT134" s="4">
        <v>0</v>
      </c>
      <c r="CU134" s="4" t="s">
        <v>262</v>
      </c>
      <c r="CV134" s="4" t="s">
        <v>263</v>
      </c>
      <c r="CW134" s="4" t="s">
        <v>263</v>
      </c>
      <c r="CX134" s="4" t="s">
        <v>264</v>
      </c>
      <c r="DA134" s="6">
        <f>2945950</f>
        <v>2945950</v>
      </c>
      <c r="DC134" s="4" t="s">
        <v>414</v>
      </c>
      <c r="DD134" s="4" t="s">
        <v>241</v>
      </c>
      <c r="DF134" s="4" t="s">
        <v>287</v>
      </c>
      <c r="DG134" s="6">
        <f>0</f>
        <v>0</v>
      </c>
      <c r="DI134" s="4" t="s">
        <v>414</v>
      </c>
      <c r="DJ134" s="4" t="s">
        <v>241</v>
      </c>
      <c r="DK134" s="4" t="s">
        <v>241</v>
      </c>
      <c r="DL134" s="4" t="s">
        <v>241</v>
      </c>
      <c r="DP134" s="4" t="s">
        <v>241</v>
      </c>
      <c r="DQ134" s="4" t="s">
        <v>241</v>
      </c>
      <c r="DR134" s="4" t="s">
        <v>241</v>
      </c>
      <c r="DS134" s="4" t="s">
        <v>241</v>
      </c>
      <c r="DV134" s="4" t="s">
        <v>5236</v>
      </c>
      <c r="DW134" s="4" t="s">
        <v>267</v>
      </c>
      <c r="HO134" s="4" t="s">
        <v>327</v>
      </c>
    </row>
    <row r="135" spans="1:223" ht="19.5" customHeight="1" x14ac:dyDescent="0.4">
      <c r="A135" s="4">
        <v>1</v>
      </c>
      <c r="B135" s="4" t="s">
        <v>239</v>
      </c>
      <c r="C135" s="4">
        <v>846</v>
      </c>
      <c r="D135" s="4">
        <v>1</v>
      </c>
      <c r="E135" s="4">
        <v>1</v>
      </c>
      <c r="F135" s="4" t="s">
        <v>240</v>
      </c>
      <c r="G135" s="4" t="s">
        <v>241</v>
      </c>
      <c r="H135" s="4" t="s">
        <v>241</v>
      </c>
      <c r="I135" s="4" t="s">
        <v>5529</v>
      </c>
      <c r="J135" s="4" t="s">
        <v>418</v>
      </c>
      <c r="K135" s="4" t="s">
        <v>251</v>
      </c>
      <c r="L135" s="4" t="s">
        <v>5528</v>
      </c>
      <c r="M135" s="5" t="s">
        <v>5530</v>
      </c>
      <c r="N135" s="6">
        <f>1210</f>
        <v>1210</v>
      </c>
      <c r="O135" s="4" t="s">
        <v>265</v>
      </c>
      <c r="P135" s="6">
        <f>2680150</f>
        <v>2680150</v>
      </c>
      <c r="Q135" s="6">
        <f>0</f>
        <v>0</v>
      </c>
      <c r="S135" s="6">
        <f>0</f>
        <v>0</v>
      </c>
      <c r="T135" s="6">
        <f>2680150</f>
        <v>2680150</v>
      </c>
      <c r="U135" s="5" t="s">
        <v>245</v>
      </c>
      <c r="V135" s="4" t="s">
        <v>270</v>
      </c>
      <c r="W135" s="4" t="s">
        <v>242</v>
      </c>
      <c r="X135" s="4" t="s">
        <v>273</v>
      </c>
      <c r="Y135" s="4" t="s">
        <v>241</v>
      </c>
      <c r="AB135" s="4" t="s">
        <v>241</v>
      </c>
      <c r="AD135" s="5" t="s">
        <v>241</v>
      </c>
      <c r="AG135" s="5" t="s">
        <v>246</v>
      </c>
      <c r="AH135" s="4" t="s">
        <v>241</v>
      </c>
      <c r="AI135" s="4" t="s">
        <v>247</v>
      </c>
      <c r="AJ135" s="4" t="s">
        <v>248</v>
      </c>
      <c r="AZ135" s="4" t="s">
        <v>249</v>
      </c>
      <c r="BA135" s="4" t="s">
        <v>241</v>
      </c>
      <c r="BB135" s="4" t="s">
        <v>250</v>
      </c>
      <c r="BC135" s="4" t="s">
        <v>241</v>
      </c>
      <c r="BD135" s="4" t="s">
        <v>252</v>
      </c>
      <c r="BE135" s="4" t="s">
        <v>241</v>
      </c>
      <c r="BI135" s="4" t="s">
        <v>284</v>
      </c>
      <c r="BJ135" s="5" t="s">
        <v>5227</v>
      </c>
      <c r="BK135" s="4" t="s">
        <v>254</v>
      </c>
      <c r="BL135" s="4" t="s">
        <v>255</v>
      </c>
      <c r="BM135" s="4" t="s">
        <v>241</v>
      </c>
      <c r="BN135" s="6">
        <f>0</f>
        <v>0</v>
      </c>
      <c r="BO135" s="6">
        <f>0</f>
        <v>0</v>
      </c>
      <c r="BP135" s="4" t="s">
        <v>256</v>
      </c>
      <c r="BQ135" s="4" t="s">
        <v>257</v>
      </c>
      <c r="CE135" s="4" t="s">
        <v>241</v>
      </c>
      <c r="CF135" s="4" t="s">
        <v>241</v>
      </c>
      <c r="CJ135" s="4" t="s">
        <v>258</v>
      </c>
      <c r="CK135" s="4" t="s">
        <v>259</v>
      </c>
      <c r="CL135" s="4" t="s">
        <v>241</v>
      </c>
      <c r="CO135" s="5" t="s">
        <v>260</v>
      </c>
      <c r="CP135" s="4" t="s">
        <v>241</v>
      </c>
      <c r="CQ135" s="4" t="s">
        <v>261</v>
      </c>
      <c r="CR135" s="4" t="s">
        <v>241</v>
      </c>
      <c r="CS135" s="4" t="s">
        <v>241</v>
      </c>
      <c r="CT135" s="4">
        <v>0</v>
      </c>
      <c r="CU135" s="4" t="s">
        <v>262</v>
      </c>
      <c r="CV135" s="4" t="s">
        <v>263</v>
      </c>
      <c r="CW135" s="4" t="s">
        <v>263</v>
      </c>
      <c r="CX135" s="4" t="s">
        <v>264</v>
      </c>
      <c r="DA135" s="6">
        <f>2680150</f>
        <v>2680150</v>
      </c>
      <c r="DC135" s="4" t="s">
        <v>422</v>
      </c>
      <c r="DD135" s="4" t="s">
        <v>241</v>
      </c>
      <c r="DF135" s="4" t="s">
        <v>287</v>
      </c>
      <c r="DG135" s="6">
        <f>0</f>
        <v>0</v>
      </c>
      <c r="DI135" s="4" t="s">
        <v>414</v>
      </c>
      <c r="DJ135" s="4" t="s">
        <v>241</v>
      </c>
      <c r="DK135" s="4" t="s">
        <v>241</v>
      </c>
      <c r="DL135" s="4" t="s">
        <v>241</v>
      </c>
      <c r="DP135" s="4" t="s">
        <v>241</v>
      </c>
      <c r="DQ135" s="4" t="s">
        <v>241</v>
      </c>
      <c r="DR135" s="4" t="s">
        <v>241</v>
      </c>
      <c r="DS135" s="4" t="s">
        <v>241</v>
      </c>
      <c r="DV135" s="4" t="s">
        <v>5531</v>
      </c>
      <c r="DW135" s="4" t="s">
        <v>267</v>
      </c>
      <c r="HO135" s="4" t="s">
        <v>267</v>
      </c>
    </row>
    <row r="136" spans="1:223" ht="19.5" customHeight="1" x14ac:dyDescent="0.4">
      <c r="A136" s="4">
        <v>1</v>
      </c>
      <c r="B136" s="4" t="s">
        <v>239</v>
      </c>
      <c r="C136" s="4">
        <v>847</v>
      </c>
      <c r="D136" s="4">
        <v>1</v>
      </c>
      <c r="E136" s="4">
        <v>1</v>
      </c>
      <c r="F136" s="4" t="s">
        <v>240</v>
      </c>
      <c r="G136" s="4" t="s">
        <v>241</v>
      </c>
      <c r="H136" s="4" t="s">
        <v>241</v>
      </c>
      <c r="I136" s="4" t="s">
        <v>5230</v>
      </c>
      <c r="J136" s="4" t="s">
        <v>418</v>
      </c>
      <c r="K136" s="4" t="s">
        <v>251</v>
      </c>
      <c r="L136" s="4" t="s">
        <v>5229</v>
      </c>
      <c r="M136" s="5" t="s">
        <v>5231</v>
      </c>
      <c r="N136" s="6">
        <f>2228</f>
        <v>2228</v>
      </c>
      <c r="O136" s="4" t="s">
        <v>265</v>
      </c>
      <c r="P136" s="6">
        <f>4935020</f>
        <v>4935020</v>
      </c>
      <c r="Q136" s="6">
        <f>0</f>
        <v>0</v>
      </c>
      <c r="S136" s="6">
        <f>0</f>
        <v>0</v>
      </c>
      <c r="T136" s="6">
        <f>4935020</f>
        <v>4935020</v>
      </c>
      <c r="U136" s="5" t="s">
        <v>245</v>
      </c>
      <c r="V136" s="4" t="s">
        <v>270</v>
      </c>
      <c r="W136" s="4" t="s">
        <v>242</v>
      </c>
      <c r="X136" s="4" t="s">
        <v>273</v>
      </c>
      <c r="Y136" s="4" t="s">
        <v>241</v>
      </c>
      <c r="AB136" s="4" t="s">
        <v>241</v>
      </c>
      <c r="AD136" s="5" t="s">
        <v>241</v>
      </c>
      <c r="AG136" s="5" t="s">
        <v>246</v>
      </c>
      <c r="AH136" s="4" t="s">
        <v>241</v>
      </c>
      <c r="AI136" s="4" t="s">
        <v>247</v>
      </c>
      <c r="AJ136" s="4" t="s">
        <v>248</v>
      </c>
      <c r="AZ136" s="4" t="s">
        <v>249</v>
      </c>
      <c r="BA136" s="4" t="s">
        <v>241</v>
      </c>
      <c r="BB136" s="4" t="s">
        <v>250</v>
      </c>
      <c r="BC136" s="4" t="s">
        <v>241</v>
      </c>
      <c r="BD136" s="4" t="s">
        <v>252</v>
      </c>
      <c r="BE136" s="4" t="s">
        <v>241</v>
      </c>
      <c r="BI136" s="4" t="s">
        <v>284</v>
      </c>
      <c r="BJ136" s="5" t="s">
        <v>5227</v>
      </c>
      <c r="BK136" s="4" t="s">
        <v>254</v>
      </c>
      <c r="BL136" s="4" t="s">
        <v>255</v>
      </c>
      <c r="BM136" s="4" t="s">
        <v>241</v>
      </c>
      <c r="BN136" s="6">
        <f>0</f>
        <v>0</v>
      </c>
      <c r="BO136" s="6">
        <f>0</f>
        <v>0</v>
      </c>
      <c r="BP136" s="4" t="s">
        <v>256</v>
      </c>
      <c r="BQ136" s="4" t="s">
        <v>257</v>
      </c>
      <c r="CE136" s="4" t="s">
        <v>241</v>
      </c>
      <c r="CF136" s="4" t="s">
        <v>241</v>
      </c>
      <c r="CJ136" s="4" t="s">
        <v>258</v>
      </c>
      <c r="CK136" s="4" t="s">
        <v>259</v>
      </c>
      <c r="CL136" s="4" t="s">
        <v>241</v>
      </c>
      <c r="CO136" s="5" t="s">
        <v>260</v>
      </c>
      <c r="CP136" s="4" t="s">
        <v>241</v>
      </c>
      <c r="CQ136" s="4" t="s">
        <v>261</v>
      </c>
      <c r="CR136" s="4" t="s">
        <v>241</v>
      </c>
      <c r="CS136" s="4" t="s">
        <v>241</v>
      </c>
      <c r="CT136" s="4">
        <v>0</v>
      </c>
      <c r="CU136" s="4" t="s">
        <v>262</v>
      </c>
      <c r="CV136" s="4" t="s">
        <v>263</v>
      </c>
      <c r="CW136" s="4" t="s">
        <v>263</v>
      </c>
      <c r="CX136" s="4" t="s">
        <v>264</v>
      </c>
      <c r="DA136" s="6">
        <f>4935020</f>
        <v>4935020</v>
      </c>
      <c r="DC136" s="4" t="s">
        <v>422</v>
      </c>
      <c r="DD136" s="4" t="s">
        <v>241</v>
      </c>
      <c r="DF136" s="4" t="s">
        <v>287</v>
      </c>
      <c r="DG136" s="6">
        <f>0</f>
        <v>0</v>
      </c>
      <c r="DI136" s="4" t="s">
        <v>414</v>
      </c>
      <c r="DJ136" s="4" t="s">
        <v>241</v>
      </c>
      <c r="DK136" s="4" t="s">
        <v>241</v>
      </c>
      <c r="DL136" s="4" t="s">
        <v>241</v>
      </c>
      <c r="DP136" s="4" t="s">
        <v>241</v>
      </c>
      <c r="DQ136" s="4" t="s">
        <v>241</v>
      </c>
      <c r="DR136" s="4" t="s">
        <v>241</v>
      </c>
      <c r="DS136" s="4" t="s">
        <v>241</v>
      </c>
      <c r="DV136" s="4" t="s">
        <v>5232</v>
      </c>
      <c r="DW136" s="4" t="s">
        <v>267</v>
      </c>
      <c r="HO136" s="4" t="s">
        <v>267</v>
      </c>
    </row>
    <row r="137" spans="1:223" ht="19.5" customHeight="1" x14ac:dyDescent="0.4">
      <c r="A137" s="4">
        <v>1</v>
      </c>
      <c r="B137" s="4" t="s">
        <v>239</v>
      </c>
      <c r="C137" s="4">
        <v>848</v>
      </c>
      <c r="D137" s="4">
        <v>1</v>
      </c>
      <c r="E137" s="4">
        <v>1</v>
      </c>
      <c r="F137" s="4" t="s">
        <v>240</v>
      </c>
      <c r="G137" s="4" t="s">
        <v>241</v>
      </c>
      <c r="H137" s="4" t="s">
        <v>241</v>
      </c>
      <c r="I137" s="4" t="s">
        <v>5225</v>
      </c>
      <c r="J137" s="4" t="s">
        <v>418</v>
      </c>
      <c r="K137" s="4" t="s">
        <v>251</v>
      </c>
      <c r="L137" s="4" t="s">
        <v>5224</v>
      </c>
      <c r="M137" s="5" t="s">
        <v>5226</v>
      </c>
      <c r="N137" s="6">
        <f>730</f>
        <v>730</v>
      </c>
      <c r="O137" s="4" t="s">
        <v>265</v>
      </c>
      <c r="P137" s="6">
        <f>1616950</f>
        <v>1616950</v>
      </c>
      <c r="Q137" s="6">
        <f>0</f>
        <v>0</v>
      </c>
      <c r="S137" s="6">
        <f>0</f>
        <v>0</v>
      </c>
      <c r="T137" s="6">
        <f>1616950</f>
        <v>1616950</v>
      </c>
      <c r="U137" s="5" t="s">
        <v>245</v>
      </c>
      <c r="V137" s="4" t="s">
        <v>270</v>
      </c>
      <c r="W137" s="4" t="s">
        <v>242</v>
      </c>
      <c r="X137" s="4" t="s">
        <v>273</v>
      </c>
      <c r="Y137" s="4" t="s">
        <v>241</v>
      </c>
      <c r="AB137" s="4" t="s">
        <v>241</v>
      </c>
      <c r="AD137" s="5" t="s">
        <v>241</v>
      </c>
      <c r="AG137" s="5" t="s">
        <v>246</v>
      </c>
      <c r="AH137" s="4" t="s">
        <v>241</v>
      </c>
      <c r="AI137" s="4" t="s">
        <v>247</v>
      </c>
      <c r="AJ137" s="4" t="s">
        <v>248</v>
      </c>
      <c r="AZ137" s="4" t="s">
        <v>249</v>
      </c>
      <c r="BA137" s="4" t="s">
        <v>241</v>
      </c>
      <c r="BB137" s="4" t="s">
        <v>250</v>
      </c>
      <c r="BC137" s="4" t="s">
        <v>241</v>
      </c>
      <c r="BD137" s="4" t="s">
        <v>252</v>
      </c>
      <c r="BE137" s="4" t="s">
        <v>241</v>
      </c>
      <c r="BG137" s="4" t="s">
        <v>4227</v>
      </c>
      <c r="BI137" s="4" t="s">
        <v>284</v>
      </c>
      <c r="BJ137" s="5" t="s">
        <v>5227</v>
      </c>
      <c r="BK137" s="4" t="s">
        <v>254</v>
      </c>
      <c r="BL137" s="4" t="s">
        <v>255</v>
      </c>
      <c r="BM137" s="4" t="s">
        <v>241</v>
      </c>
      <c r="BN137" s="6">
        <f>0</f>
        <v>0</v>
      </c>
      <c r="BO137" s="6">
        <f>0</f>
        <v>0</v>
      </c>
      <c r="BP137" s="4" t="s">
        <v>256</v>
      </c>
      <c r="BQ137" s="4" t="s">
        <v>257</v>
      </c>
      <c r="CE137" s="4" t="s">
        <v>241</v>
      </c>
      <c r="CF137" s="4" t="s">
        <v>241</v>
      </c>
      <c r="CJ137" s="4" t="s">
        <v>258</v>
      </c>
      <c r="CK137" s="4" t="s">
        <v>259</v>
      </c>
      <c r="CL137" s="4" t="s">
        <v>241</v>
      </c>
      <c r="CO137" s="5" t="s">
        <v>260</v>
      </c>
      <c r="CP137" s="4" t="s">
        <v>241</v>
      </c>
      <c r="CQ137" s="4" t="s">
        <v>261</v>
      </c>
      <c r="CR137" s="4" t="s">
        <v>241</v>
      </c>
      <c r="CS137" s="4" t="s">
        <v>241</v>
      </c>
      <c r="CT137" s="4">
        <v>0</v>
      </c>
      <c r="CU137" s="4" t="s">
        <v>262</v>
      </c>
      <c r="CV137" s="4" t="s">
        <v>263</v>
      </c>
      <c r="CW137" s="4" t="s">
        <v>263</v>
      </c>
      <c r="CX137" s="4" t="s">
        <v>264</v>
      </c>
      <c r="DA137" s="6">
        <f>1616950</f>
        <v>1616950</v>
      </c>
      <c r="DC137" s="4" t="s">
        <v>422</v>
      </c>
      <c r="DD137" s="4" t="s">
        <v>241</v>
      </c>
      <c r="DF137" s="4" t="s">
        <v>287</v>
      </c>
      <c r="DG137" s="6">
        <f>0</f>
        <v>0</v>
      </c>
      <c r="DI137" s="4" t="s">
        <v>414</v>
      </c>
      <c r="DJ137" s="4" t="s">
        <v>241</v>
      </c>
      <c r="DK137" s="4" t="s">
        <v>241</v>
      </c>
      <c r="DL137" s="4" t="s">
        <v>241</v>
      </c>
      <c r="DP137" s="4" t="s">
        <v>241</v>
      </c>
      <c r="DQ137" s="4" t="s">
        <v>241</v>
      </c>
      <c r="DR137" s="4" t="s">
        <v>241</v>
      </c>
      <c r="DS137" s="4" t="s">
        <v>241</v>
      </c>
      <c r="DV137" s="4" t="s">
        <v>5228</v>
      </c>
      <c r="DW137" s="4" t="s">
        <v>267</v>
      </c>
      <c r="HO137" s="4" t="s">
        <v>267</v>
      </c>
    </row>
    <row r="138" spans="1:223" ht="19.5" customHeight="1" x14ac:dyDescent="0.4">
      <c r="A138" s="4">
        <v>1</v>
      </c>
      <c r="B138" s="4" t="s">
        <v>239</v>
      </c>
      <c r="C138" s="4">
        <v>849</v>
      </c>
      <c r="D138" s="4">
        <v>1</v>
      </c>
      <c r="E138" s="4">
        <v>1</v>
      </c>
      <c r="F138" s="4" t="s">
        <v>240</v>
      </c>
      <c r="G138" s="4" t="s">
        <v>241</v>
      </c>
      <c r="H138" s="4" t="s">
        <v>241</v>
      </c>
      <c r="I138" s="4" t="s">
        <v>5221</v>
      </c>
      <c r="J138" s="4" t="s">
        <v>418</v>
      </c>
      <c r="K138" s="4" t="s">
        <v>251</v>
      </c>
      <c r="L138" s="4" t="s">
        <v>5220</v>
      </c>
      <c r="M138" s="5" t="s">
        <v>5222</v>
      </c>
      <c r="N138" s="6">
        <f>2578</f>
        <v>2578</v>
      </c>
      <c r="O138" s="4" t="s">
        <v>265</v>
      </c>
      <c r="P138" s="6">
        <f>5710270</f>
        <v>5710270</v>
      </c>
      <c r="Q138" s="6">
        <f>0</f>
        <v>0</v>
      </c>
      <c r="S138" s="6">
        <f>0</f>
        <v>0</v>
      </c>
      <c r="T138" s="6">
        <f>5710270</f>
        <v>5710270</v>
      </c>
      <c r="U138" s="5" t="s">
        <v>245</v>
      </c>
      <c r="V138" s="4" t="s">
        <v>270</v>
      </c>
      <c r="W138" s="4" t="s">
        <v>242</v>
      </c>
      <c r="X138" s="4" t="s">
        <v>273</v>
      </c>
      <c r="Y138" s="4" t="s">
        <v>241</v>
      </c>
      <c r="AB138" s="4" t="s">
        <v>241</v>
      </c>
      <c r="AD138" s="5" t="s">
        <v>241</v>
      </c>
      <c r="AG138" s="5" t="s">
        <v>246</v>
      </c>
      <c r="AH138" s="4" t="s">
        <v>241</v>
      </c>
      <c r="AI138" s="4" t="s">
        <v>247</v>
      </c>
      <c r="AJ138" s="4" t="s">
        <v>248</v>
      </c>
      <c r="AZ138" s="4" t="s">
        <v>249</v>
      </c>
      <c r="BA138" s="4" t="s">
        <v>241</v>
      </c>
      <c r="BB138" s="4" t="s">
        <v>250</v>
      </c>
      <c r="BC138" s="4" t="s">
        <v>241</v>
      </c>
      <c r="BD138" s="4" t="s">
        <v>252</v>
      </c>
      <c r="BE138" s="4" t="s">
        <v>241</v>
      </c>
      <c r="BI138" s="4" t="s">
        <v>253</v>
      </c>
      <c r="BJ138" s="5" t="s">
        <v>246</v>
      </c>
      <c r="BK138" s="4" t="s">
        <v>254</v>
      </c>
      <c r="BL138" s="4" t="s">
        <v>255</v>
      </c>
      <c r="BM138" s="4" t="s">
        <v>241</v>
      </c>
      <c r="BN138" s="6">
        <f>0</f>
        <v>0</v>
      </c>
      <c r="BO138" s="6">
        <f>0</f>
        <v>0</v>
      </c>
      <c r="BP138" s="4" t="s">
        <v>256</v>
      </c>
      <c r="BQ138" s="4" t="s">
        <v>257</v>
      </c>
      <c r="CE138" s="4" t="s">
        <v>241</v>
      </c>
      <c r="CF138" s="4" t="s">
        <v>241</v>
      </c>
      <c r="CJ138" s="4" t="s">
        <v>258</v>
      </c>
      <c r="CK138" s="4" t="s">
        <v>259</v>
      </c>
      <c r="CL138" s="4" t="s">
        <v>241</v>
      </c>
      <c r="CO138" s="5" t="s">
        <v>260</v>
      </c>
      <c r="CP138" s="4" t="s">
        <v>241</v>
      </c>
      <c r="CQ138" s="4" t="s">
        <v>261</v>
      </c>
      <c r="CR138" s="4" t="s">
        <v>241</v>
      </c>
      <c r="CS138" s="4" t="s">
        <v>241</v>
      </c>
      <c r="CT138" s="4">
        <v>0</v>
      </c>
      <c r="CU138" s="4" t="s">
        <v>262</v>
      </c>
      <c r="CV138" s="4" t="s">
        <v>263</v>
      </c>
      <c r="CW138" s="4" t="s">
        <v>263</v>
      </c>
      <c r="CX138" s="4" t="s">
        <v>264</v>
      </c>
      <c r="DA138" s="6">
        <f>5710270</f>
        <v>5710270</v>
      </c>
      <c r="DC138" s="4" t="s">
        <v>422</v>
      </c>
      <c r="DD138" s="4" t="s">
        <v>241</v>
      </c>
      <c r="DF138" s="4" t="s">
        <v>287</v>
      </c>
      <c r="DG138" s="6">
        <f>0</f>
        <v>0</v>
      </c>
      <c r="DI138" s="4" t="s">
        <v>414</v>
      </c>
      <c r="DJ138" s="4" t="s">
        <v>241</v>
      </c>
      <c r="DK138" s="4" t="s">
        <v>241</v>
      </c>
      <c r="DL138" s="4" t="s">
        <v>241</v>
      </c>
      <c r="DP138" s="4" t="s">
        <v>241</v>
      </c>
      <c r="DQ138" s="4" t="s">
        <v>241</v>
      </c>
      <c r="DR138" s="4" t="s">
        <v>241</v>
      </c>
      <c r="DS138" s="4" t="s">
        <v>241</v>
      </c>
      <c r="DV138" s="4" t="s">
        <v>5223</v>
      </c>
      <c r="DW138" s="4" t="s">
        <v>267</v>
      </c>
      <c r="HO138" s="4" t="s">
        <v>267</v>
      </c>
    </row>
    <row r="139" spans="1:223" ht="19.5" customHeight="1" x14ac:dyDescent="0.4">
      <c r="A139" s="4">
        <v>1</v>
      </c>
      <c r="B139" s="4" t="s">
        <v>239</v>
      </c>
      <c r="C139" s="4">
        <v>850</v>
      </c>
      <c r="D139" s="4">
        <v>1</v>
      </c>
      <c r="E139" s="4">
        <v>1</v>
      </c>
      <c r="F139" s="4" t="s">
        <v>240</v>
      </c>
      <c r="G139" s="4" t="s">
        <v>241</v>
      </c>
      <c r="H139" s="4" t="s">
        <v>241</v>
      </c>
      <c r="I139" s="4" t="s">
        <v>5217</v>
      </c>
      <c r="J139" s="4" t="s">
        <v>418</v>
      </c>
      <c r="K139" s="4" t="s">
        <v>251</v>
      </c>
      <c r="L139" s="4" t="s">
        <v>5216</v>
      </c>
      <c r="M139" s="5" t="s">
        <v>4315</v>
      </c>
      <c r="N139" s="6">
        <f>365</f>
        <v>365</v>
      </c>
      <c r="O139" s="4" t="s">
        <v>265</v>
      </c>
      <c r="P139" s="6">
        <f>2372500</f>
        <v>2372500</v>
      </c>
      <c r="Q139" s="6">
        <f>0</f>
        <v>0</v>
      </c>
      <c r="S139" s="6">
        <f>0</f>
        <v>0</v>
      </c>
      <c r="T139" s="6">
        <f>2372500</f>
        <v>2372500</v>
      </c>
      <c r="U139" s="5" t="s">
        <v>245</v>
      </c>
      <c r="V139" s="4" t="s">
        <v>270</v>
      </c>
      <c r="W139" s="4" t="s">
        <v>242</v>
      </c>
      <c r="X139" s="4" t="s">
        <v>273</v>
      </c>
      <c r="Y139" s="4" t="s">
        <v>241</v>
      </c>
      <c r="AB139" s="4" t="s">
        <v>241</v>
      </c>
      <c r="AD139" s="5" t="s">
        <v>241</v>
      </c>
      <c r="AG139" s="5" t="s">
        <v>246</v>
      </c>
      <c r="AH139" s="4" t="s">
        <v>241</v>
      </c>
      <c r="AI139" s="4" t="s">
        <v>247</v>
      </c>
      <c r="AJ139" s="4" t="s">
        <v>248</v>
      </c>
      <c r="AZ139" s="4" t="s">
        <v>249</v>
      </c>
      <c r="BA139" s="4" t="s">
        <v>241</v>
      </c>
      <c r="BB139" s="4" t="s">
        <v>250</v>
      </c>
      <c r="BC139" s="4" t="s">
        <v>241</v>
      </c>
      <c r="BD139" s="4" t="s">
        <v>252</v>
      </c>
      <c r="BE139" s="4" t="s">
        <v>241</v>
      </c>
      <c r="BG139" s="4" t="s">
        <v>4227</v>
      </c>
      <c r="BI139" s="4" t="s">
        <v>253</v>
      </c>
      <c r="BJ139" s="5" t="s">
        <v>246</v>
      </c>
      <c r="BK139" s="4" t="s">
        <v>254</v>
      </c>
      <c r="BL139" s="4" t="s">
        <v>255</v>
      </c>
      <c r="BM139" s="4" t="s">
        <v>241</v>
      </c>
      <c r="BN139" s="6">
        <f>0</f>
        <v>0</v>
      </c>
      <c r="BO139" s="6">
        <f>0</f>
        <v>0</v>
      </c>
      <c r="BP139" s="4" t="s">
        <v>256</v>
      </c>
      <c r="BQ139" s="4" t="s">
        <v>257</v>
      </c>
      <c r="CE139" s="4" t="s">
        <v>241</v>
      </c>
      <c r="CF139" s="4" t="s">
        <v>241</v>
      </c>
      <c r="CJ139" s="4" t="s">
        <v>258</v>
      </c>
      <c r="CK139" s="4" t="s">
        <v>259</v>
      </c>
      <c r="CL139" s="4" t="s">
        <v>241</v>
      </c>
      <c r="CO139" s="5" t="s">
        <v>260</v>
      </c>
      <c r="CP139" s="4" t="s">
        <v>241</v>
      </c>
      <c r="CQ139" s="4" t="s">
        <v>261</v>
      </c>
      <c r="CR139" s="4" t="s">
        <v>241</v>
      </c>
      <c r="CS139" s="4" t="s">
        <v>241</v>
      </c>
      <c r="CT139" s="4">
        <v>0</v>
      </c>
      <c r="CU139" s="4" t="s">
        <v>262</v>
      </c>
      <c r="CV139" s="4" t="s">
        <v>263</v>
      </c>
      <c r="CW139" s="4" t="s">
        <v>263</v>
      </c>
      <c r="CX139" s="4" t="s">
        <v>264</v>
      </c>
      <c r="DA139" s="6">
        <f>2372500</f>
        <v>2372500</v>
      </c>
      <c r="DC139" s="4" t="s">
        <v>266</v>
      </c>
      <c r="DD139" s="4" t="s">
        <v>241</v>
      </c>
      <c r="DF139" s="4" t="s">
        <v>287</v>
      </c>
      <c r="DG139" s="6">
        <f>0</f>
        <v>0</v>
      </c>
      <c r="DI139" s="4" t="s">
        <v>266</v>
      </c>
      <c r="DJ139" s="4" t="s">
        <v>241</v>
      </c>
      <c r="DK139" s="4" t="s">
        <v>241</v>
      </c>
      <c r="DL139" s="4" t="s">
        <v>241</v>
      </c>
      <c r="DP139" s="4" t="s">
        <v>241</v>
      </c>
      <c r="DQ139" s="4" t="s">
        <v>241</v>
      </c>
      <c r="DR139" s="4" t="s">
        <v>241</v>
      </c>
      <c r="DS139" s="4" t="s">
        <v>241</v>
      </c>
      <c r="DV139" s="4" t="s">
        <v>5218</v>
      </c>
      <c r="DW139" s="4" t="s">
        <v>267</v>
      </c>
      <c r="HO139" s="4" t="s">
        <v>267</v>
      </c>
    </row>
    <row r="140" spans="1:223" ht="19.5" customHeight="1" x14ac:dyDescent="0.4">
      <c r="A140" s="4">
        <v>1</v>
      </c>
      <c r="B140" s="4" t="s">
        <v>239</v>
      </c>
      <c r="C140" s="4">
        <v>851</v>
      </c>
      <c r="D140" s="4">
        <v>1</v>
      </c>
      <c r="E140" s="4">
        <v>1</v>
      </c>
      <c r="F140" s="4" t="s">
        <v>240</v>
      </c>
      <c r="G140" s="4" t="s">
        <v>241</v>
      </c>
      <c r="H140" s="4" t="s">
        <v>241</v>
      </c>
      <c r="I140" s="4" t="s">
        <v>5217</v>
      </c>
      <c r="J140" s="4" t="s">
        <v>418</v>
      </c>
      <c r="K140" s="4" t="s">
        <v>251</v>
      </c>
      <c r="L140" s="4" t="s">
        <v>5216</v>
      </c>
      <c r="M140" s="5" t="s">
        <v>5219</v>
      </c>
      <c r="N140" s="6">
        <f>268</f>
        <v>268</v>
      </c>
      <c r="O140" s="4" t="s">
        <v>265</v>
      </c>
      <c r="P140" s="6">
        <f>593620</f>
        <v>593620</v>
      </c>
      <c r="Q140" s="6">
        <f>0</f>
        <v>0</v>
      </c>
      <c r="S140" s="6">
        <f>0</f>
        <v>0</v>
      </c>
      <c r="T140" s="6">
        <f>593620</f>
        <v>593620</v>
      </c>
      <c r="U140" s="5" t="s">
        <v>245</v>
      </c>
      <c r="V140" s="4" t="s">
        <v>270</v>
      </c>
      <c r="W140" s="4" t="s">
        <v>242</v>
      </c>
      <c r="X140" s="4" t="s">
        <v>273</v>
      </c>
      <c r="Y140" s="4" t="s">
        <v>241</v>
      </c>
      <c r="AB140" s="4" t="s">
        <v>241</v>
      </c>
      <c r="AD140" s="5" t="s">
        <v>241</v>
      </c>
      <c r="AG140" s="5" t="s">
        <v>246</v>
      </c>
      <c r="AH140" s="4" t="s">
        <v>241</v>
      </c>
      <c r="AI140" s="4" t="s">
        <v>247</v>
      </c>
      <c r="AJ140" s="4" t="s">
        <v>248</v>
      </c>
      <c r="AZ140" s="4" t="s">
        <v>249</v>
      </c>
      <c r="BA140" s="4" t="s">
        <v>241</v>
      </c>
      <c r="BB140" s="4" t="s">
        <v>250</v>
      </c>
      <c r="BC140" s="4" t="s">
        <v>241</v>
      </c>
      <c r="BD140" s="4" t="s">
        <v>252</v>
      </c>
      <c r="BE140" s="4" t="s">
        <v>241</v>
      </c>
      <c r="BI140" s="4" t="s">
        <v>253</v>
      </c>
      <c r="BJ140" s="5" t="s">
        <v>246</v>
      </c>
      <c r="BK140" s="4" t="s">
        <v>254</v>
      </c>
      <c r="BL140" s="4" t="s">
        <v>255</v>
      </c>
      <c r="BM140" s="4" t="s">
        <v>241</v>
      </c>
      <c r="BN140" s="6">
        <f>0</f>
        <v>0</v>
      </c>
      <c r="BO140" s="6">
        <f>0</f>
        <v>0</v>
      </c>
      <c r="BP140" s="4" t="s">
        <v>256</v>
      </c>
      <c r="BQ140" s="4" t="s">
        <v>257</v>
      </c>
      <c r="CE140" s="4" t="s">
        <v>241</v>
      </c>
      <c r="CF140" s="4" t="s">
        <v>241</v>
      </c>
      <c r="CJ140" s="4" t="s">
        <v>258</v>
      </c>
      <c r="CK140" s="4" t="s">
        <v>259</v>
      </c>
      <c r="CL140" s="4" t="s">
        <v>241</v>
      </c>
      <c r="CO140" s="5" t="s">
        <v>260</v>
      </c>
      <c r="CP140" s="4" t="s">
        <v>241</v>
      </c>
      <c r="CQ140" s="4" t="s">
        <v>261</v>
      </c>
      <c r="CR140" s="4" t="s">
        <v>241</v>
      </c>
      <c r="CS140" s="4" t="s">
        <v>241</v>
      </c>
      <c r="CT140" s="4">
        <v>0</v>
      </c>
      <c r="CU140" s="4" t="s">
        <v>262</v>
      </c>
      <c r="CV140" s="4" t="s">
        <v>263</v>
      </c>
      <c r="CW140" s="4" t="s">
        <v>263</v>
      </c>
      <c r="CX140" s="4" t="s">
        <v>264</v>
      </c>
      <c r="DA140" s="6">
        <f>593620</f>
        <v>593620</v>
      </c>
      <c r="DC140" s="4" t="s">
        <v>414</v>
      </c>
      <c r="DD140" s="4" t="s">
        <v>241</v>
      </c>
      <c r="DF140" s="4" t="s">
        <v>287</v>
      </c>
      <c r="DG140" s="6">
        <f>0</f>
        <v>0</v>
      </c>
      <c r="DI140" s="4" t="s">
        <v>414</v>
      </c>
      <c r="DJ140" s="4" t="s">
        <v>241</v>
      </c>
      <c r="DK140" s="4" t="s">
        <v>241</v>
      </c>
      <c r="DL140" s="4" t="s">
        <v>241</v>
      </c>
      <c r="DP140" s="4" t="s">
        <v>241</v>
      </c>
      <c r="DQ140" s="4" t="s">
        <v>241</v>
      </c>
      <c r="DR140" s="4" t="s">
        <v>241</v>
      </c>
      <c r="DS140" s="4" t="s">
        <v>241</v>
      </c>
      <c r="DV140" s="4" t="s">
        <v>5218</v>
      </c>
      <c r="DW140" s="4" t="s">
        <v>416</v>
      </c>
      <c r="HO140" s="4" t="s">
        <v>267</v>
      </c>
    </row>
    <row r="141" spans="1:223" ht="19.5" customHeight="1" x14ac:dyDescent="0.4">
      <c r="A141" s="4">
        <v>1</v>
      </c>
      <c r="B141" s="4" t="s">
        <v>239</v>
      </c>
      <c r="C141" s="4">
        <v>852</v>
      </c>
      <c r="D141" s="4">
        <v>1</v>
      </c>
      <c r="E141" s="4">
        <v>1</v>
      </c>
      <c r="F141" s="4" t="s">
        <v>240</v>
      </c>
      <c r="G141" s="4" t="s">
        <v>241</v>
      </c>
      <c r="H141" s="4" t="s">
        <v>241</v>
      </c>
      <c r="I141" s="4" t="s">
        <v>5217</v>
      </c>
      <c r="J141" s="4" t="s">
        <v>418</v>
      </c>
      <c r="K141" s="4" t="s">
        <v>251</v>
      </c>
      <c r="L141" s="4" t="s">
        <v>5216</v>
      </c>
      <c r="M141" s="5" t="s">
        <v>5527</v>
      </c>
      <c r="N141" s="6">
        <f>701</f>
        <v>701</v>
      </c>
      <c r="O141" s="4" t="s">
        <v>265</v>
      </c>
      <c r="P141" s="6">
        <f>1552715</f>
        <v>1552715</v>
      </c>
      <c r="Q141" s="6">
        <f>0</f>
        <v>0</v>
      </c>
      <c r="S141" s="6">
        <f>0</f>
        <v>0</v>
      </c>
      <c r="T141" s="6">
        <f>1552715</f>
        <v>1552715</v>
      </c>
      <c r="U141" s="5" t="s">
        <v>245</v>
      </c>
      <c r="V141" s="4" t="s">
        <v>270</v>
      </c>
      <c r="W141" s="4" t="s">
        <v>242</v>
      </c>
      <c r="X141" s="4" t="s">
        <v>273</v>
      </c>
      <c r="Y141" s="4" t="s">
        <v>241</v>
      </c>
      <c r="AB141" s="4" t="s">
        <v>241</v>
      </c>
      <c r="AD141" s="5" t="s">
        <v>241</v>
      </c>
      <c r="AG141" s="5" t="s">
        <v>246</v>
      </c>
      <c r="AH141" s="4" t="s">
        <v>241</v>
      </c>
      <c r="AI141" s="4" t="s">
        <v>247</v>
      </c>
      <c r="AJ141" s="4" t="s">
        <v>248</v>
      </c>
      <c r="AZ141" s="4" t="s">
        <v>249</v>
      </c>
      <c r="BA141" s="4" t="s">
        <v>241</v>
      </c>
      <c r="BB141" s="4" t="s">
        <v>250</v>
      </c>
      <c r="BC141" s="4" t="s">
        <v>241</v>
      </c>
      <c r="BD141" s="4" t="s">
        <v>252</v>
      </c>
      <c r="BE141" s="4" t="s">
        <v>241</v>
      </c>
      <c r="BI141" s="4" t="s">
        <v>253</v>
      </c>
      <c r="BJ141" s="5" t="s">
        <v>246</v>
      </c>
      <c r="BK141" s="4" t="s">
        <v>254</v>
      </c>
      <c r="BL141" s="4" t="s">
        <v>255</v>
      </c>
      <c r="BM141" s="4" t="s">
        <v>241</v>
      </c>
      <c r="BN141" s="6">
        <f>0</f>
        <v>0</v>
      </c>
      <c r="BO141" s="6">
        <f>0</f>
        <v>0</v>
      </c>
      <c r="BP141" s="4" t="s">
        <v>256</v>
      </c>
      <c r="BQ141" s="4" t="s">
        <v>257</v>
      </c>
      <c r="CE141" s="4" t="s">
        <v>241</v>
      </c>
      <c r="CF141" s="4" t="s">
        <v>241</v>
      </c>
      <c r="CJ141" s="4" t="s">
        <v>258</v>
      </c>
      <c r="CK141" s="4" t="s">
        <v>259</v>
      </c>
      <c r="CL141" s="4" t="s">
        <v>241</v>
      </c>
      <c r="CO141" s="5" t="s">
        <v>260</v>
      </c>
      <c r="CP141" s="4" t="s">
        <v>241</v>
      </c>
      <c r="CQ141" s="4" t="s">
        <v>261</v>
      </c>
      <c r="CR141" s="4" t="s">
        <v>241</v>
      </c>
      <c r="CS141" s="4" t="s">
        <v>241</v>
      </c>
      <c r="CT141" s="4">
        <v>0</v>
      </c>
      <c r="CU141" s="4" t="s">
        <v>262</v>
      </c>
      <c r="CV141" s="4" t="s">
        <v>263</v>
      </c>
      <c r="CW141" s="4" t="s">
        <v>263</v>
      </c>
      <c r="CX141" s="4" t="s">
        <v>264</v>
      </c>
      <c r="DA141" s="6">
        <f>1552715</f>
        <v>1552715</v>
      </c>
      <c r="DC141" s="4" t="s">
        <v>414</v>
      </c>
      <c r="DD141" s="4" t="s">
        <v>241</v>
      </c>
      <c r="DF141" s="4" t="s">
        <v>287</v>
      </c>
      <c r="DG141" s="6">
        <f>0</f>
        <v>0</v>
      </c>
      <c r="DI141" s="4" t="s">
        <v>414</v>
      </c>
      <c r="DJ141" s="4" t="s">
        <v>241</v>
      </c>
      <c r="DK141" s="4" t="s">
        <v>241</v>
      </c>
      <c r="DL141" s="4" t="s">
        <v>241</v>
      </c>
      <c r="DP141" s="4" t="s">
        <v>241</v>
      </c>
      <c r="DQ141" s="4" t="s">
        <v>241</v>
      </c>
      <c r="DR141" s="4" t="s">
        <v>241</v>
      </c>
      <c r="DS141" s="4" t="s">
        <v>241</v>
      </c>
      <c r="DV141" s="4" t="s">
        <v>5218</v>
      </c>
      <c r="DW141" s="4" t="s">
        <v>388</v>
      </c>
      <c r="HO141" s="4" t="s">
        <v>267</v>
      </c>
    </row>
    <row r="142" spans="1:223" ht="19.5" customHeight="1" x14ac:dyDescent="0.4">
      <c r="A142" s="4">
        <v>1</v>
      </c>
      <c r="B142" s="4" t="s">
        <v>239</v>
      </c>
      <c r="C142" s="4">
        <v>853</v>
      </c>
      <c r="D142" s="4">
        <v>1</v>
      </c>
      <c r="E142" s="4">
        <v>1</v>
      </c>
      <c r="F142" s="4" t="s">
        <v>240</v>
      </c>
      <c r="G142" s="4" t="s">
        <v>241</v>
      </c>
      <c r="H142" s="4" t="s">
        <v>241</v>
      </c>
      <c r="I142" s="4" t="s">
        <v>5217</v>
      </c>
      <c r="J142" s="4" t="s">
        <v>418</v>
      </c>
      <c r="K142" s="4" t="s">
        <v>251</v>
      </c>
      <c r="L142" s="4" t="s">
        <v>5216</v>
      </c>
      <c r="M142" s="5" t="s">
        <v>4306</v>
      </c>
      <c r="N142" s="6">
        <f>1365</f>
        <v>1365</v>
      </c>
      <c r="O142" s="4" t="s">
        <v>265</v>
      </c>
      <c r="P142" s="6">
        <f>3023475</f>
        <v>3023475</v>
      </c>
      <c r="Q142" s="6">
        <f>0</f>
        <v>0</v>
      </c>
      <c r="S142" s="6">
        <f>0</f>
        <v>0</v>
      </c>
      <c r="T142" s="6">
        <f>3023475</f>
        <v>3023475</v>
      </c>
      <c r="U142" s="5" t="s">
        <v>245</v>
      </c>
      <c r="V142" s="4" t="s">
        <v>270</v>
      </c>
      <c r="W142" s="4" t="s">
        <v>242</v>
      </c>
      <c r="X142" s="4" t="s">
        <v>273</v>
      </c>
      <c r="Y142" s="4" t="s">
        <v>241</v>
      </c>
      <c r="AB142" s="4" t="s">
        <v>241</v>
      </c>
      <c r="AD142" s="5" t="s">
        <v>241</v>
      </c>
      <c r="AG142" s="5" t="s">
        <v>246</v>
      </c>
      <c r="AH142" s="4" t="s">
        <v>241</v>
      </c>
      <c r="AI142" s="4" t="s">
        <v>247</v>
      </c>
      <c r="AJ142" s="4" t="s">
        <v>248</v>
      </c>
      <c r="AZ142" s="4" t="s">
        <v>249</v>
      </c>
      <c r="BA142" s="4" t="s">
        <v>241</v>
      </c>
      <c r="BB142" s="4" t="s">
        <v>250</v>
      </c>
      <c r="BC142" s="4" t="s">
        <v>241</v>
      </c>
      <c r="BD142" s="4" t="s">
        <v>252</v>
      </c>
      <c r="BE142" s="4" t="s">
        <v>241</v>
      </c>
      <c r="BI142" s="4" t="s">
        <v>253</v>
      </c>
      <c r="BJ142" s="5" t="s">
        <v>246</v>
      </c>
      <c r="BK142" s="4" t="s">
        <v>254</v>
      </c>
      <c r="BL142" s="4" t="s">
        <v>255</v>
      </c>
      <c r="BM142" s="4" t="s">
        <v>241</v>
      </c>
      <c r="BN142" s="6">
        <f>0</f>
        <v>0</v>
      </c>
      <c r="BO142" s="6">
        <f>0</f>
        <v>0</v>
      </c>
      <c r="BP142" s="4" t="s">
        <v>256</v>
      </c>
      <c r="BQ142" s="4" t="s">
        <v>257</v>
      </c>
      <c r="CE142" s="4" t="s">
        <v>241</v>
      </c>
      <c r="CF142" s="4" t="s">
        <v>241</v>
      </c>
      <c r="CJ142" s="4" t="s">
        <v>258</v>
      </c>
      <c r="CK142" s="4" t="s">
        <v>259</v>
      </c>
      <c r="CL142" s="4" t="s">
        <v>241</v>
      </c>
      <c r="CO142" s="5" t="s">
        <v>260</v>
      </c>
      <c r="CP142" s="4" t="s">
        <v>241</v>
      </c>
      <c r="CQ142" s="4" t="s">
        <v>261</v>
      </c>
      <c r="CR142" s="4" t="s">
        <v>241</v>
      </c>
      <c r="CS142" s="4" t="s">
        <v>241</v>
      </c>
      <c r="CT142" s="4">
        <v>0</v>
      </c>
      <c r="CU142" s="4" t="s">
        <v>262</v>
      </c>
      <c r="CV142" s="4" t="s">
        <v>263</v>
      </c>
      <c r="CW142" s="4" t="s">
        <v>263</v>
      </c>
      <c r="CX142" s="4" t="s">
        <v>264</v>
      </c>
      <c r="DA142" s="6">
        <f>3023475</f>
        <v>3023475</v>
      </c>
      <c r="DC142" s="4" t="s">
        <v>414</v>
      </c>
      <c r="DD142" s="4" t="s">
        <v>241</v>
      </c>
      <c r="DF142" s="4" t="s">
        <v>287</v>
      </c>
      <c r="DG142" s="6">
        <f>0</f>
        <v>0</v>
      </c>
      <c r="DI142" s="4" t="s">
        <v>414</v>
      </c>
      <c r="DJ142" s="4" t="s">
        <v>241</v>
      </c>
      <c r="DK142" s="4" t="s">
        <v>241</v>
      </c>
      <c r="DL142" s="4" t="s">
        <v>241</v>
      </c>
      <c r="DP142" s="4" t="s">
        <v>241</v>
      </c>
      <c r="DQ142" s="4" t="s">
        <v>241</v>
      </c>
      <c r="DR142" s="4" t="s">
        <v>241</v>
      </c>
      <c r="DS142" s="4" t="s">
        <v>241</v>
      </c>
      <c r="DV142" s="4" t="s">
        <v>5218</v>
      </c>
      <c r="DW142" s="4" t="s">
        <v>327</v>
      </c>
      <c r="HO142" s="4" t="s">
        <v>267</v>
      </c>
    </row>
    <row r="143" spans="1:223" ht="19.5" customHeight="1" x14ac:dyDescent="0.4">
      <c r="A143" s="4">
        <v>1</v>
      </c>
      <c r="B143" s="4" t="s">
        <v>239</v>
      </c>
      <c r="C143" s="4">
        <v>854</v>
      </c>
      <c r="D143" s="4">
        <v>1</v>
      </c>
      <c r="E143" s="4">
        <v>1</v>
      </c>
      <c r="F143" s="4" t="s">
        <v>240</v>
      </c>
      <c r="G143" s="4" t="s">
        <v>241</v>
      </c>
      <c r="H143" s="4" t="s">
        <v>241</v>
      </c>
      <c r="I143" s="4" t="s">
        <v>5217</v>
      </c>
      <c r="J143" s="4" t="s">
        <v>418</v>
      </c>
      <c r="K143" s="4" t="s">
        <v>251</v>
      </c>
      <c r="L143" s="4" t="s">
        <v>5216</v>
      </c>
      <c r="M143" s="5" t="s">
        <v>4291</v>
      </c>
      <c r="N143" s="6">
        <f>542</f>
        <v>542</v>
      </c>
      <c r="O143" s="4" t="s">
        <v>265</v>
      </c>
      <c r="P143" s="6">
        <f>1200530</f>
        <v>1200530</v>
      </c>
      <c r="Q143" s="6">
        <f>0</f>
        <v>0</v>
      </c>
      <c r="S143" s="6">
        <f>0</f>
        <v>0</v>
      </c>
      <c r="T143" s="6">
        <f>1200530</f>
        <v>1200530</v>
      </c>
      <c r="U143" s="5" t="s">
        <v>245</v>
      </c>
      <c r="V143" s="4" t="s">
        <v>270</v>
      </c>
      <c r="W143" s="4" t="s">
        <v>242</v>
      </c>
      <c r="X143" s="4" t="s">
        <v>273</v>
      </c>
      <c r="Y143" s="4" t="s">
        <v>241</v>
      </c>
      <c r="AB143" s="4" t="s">
        <v>241</v>
      </c>
      <c r="AD143" s="5" t="s">
        <v>241</v>
      </c>
      <c r="AG143" s="5" t="s">
        <v>246</v>
      </c>
      <c r="AH143" s="4" t="s">
        <v>241</v>
      </c>
      <c r="AI143" s="4" t="s">
        <v>247</v>
      </c>
      <c r="AJ143" s="4" t="s">
        <v>248</v>
      </c>
      <c r="AZ143" s="4" t="s">
        <v>249</v>
      </c>
      <c r="BA143" s="4" t="s">
        <v>241</v>
      </c>
      <c r="BB143" s="4" t="s">
        <v>250</v>
      </c>
      <c r="BC143" s="4" t="s">
        <v>241</v>
      </c>
      <c r="BD143" s="4" t="s">
        <v>252</v>
      </c>
      <c r="BE143" s="4" t="s">
        <v>241</v>
      </c>
      <c r="BI143" s="4" t="s">
        <v>253</v>
      </c>
      <c r="BJ143" s="5" t="s">
        <v>246</v>
      </c>
      <c r="BK143" s="4" t="s">
        <v>254</v>
      </c>
      <c r="BL143" s="4" t="s">
        <v>255</v>
      </c>
      <c r="BM143" s="4" t="s">
        <v>241</v>
      </c>
      <c r="BN143" s="6">
        <f>0</f>
        <v>0</v>
      </c>
      <c r="BO143" s="6">
        <f>0</f>
        <v>0</v>
      </c>
      <c r="BP143" s="4" t="s">
        <v>256</v>
      </c>
      <c r="BQ143" s="4" t="s">
        <v>257</v>
      </c>
      <c r="CE143" s="4" t="s">
        <v>241</v>
      </c>
      <c r="CF143" s="4" t="s">
        <v>241</v>
      </c>
      <c r="CJ143" s="4" t="s">
        <v>258</v>
      </c>
      <c r="CK143" s="4" t="s">
        <v>259</v>
      </c>
      <c r="CL143" s="4" t="s">
        <v>241</v>
      </c>
      <c r="CO143" s="5" t="s">
        <v>260</v>
      </c>
      <c r="CP143" s="4" t="s">
        <v>241</v>
      </c>
      <c r="CQ143" s="4" t="s">
        <v>261</v>
      </c>
      <c r="CR143" s="4" t="s">
        <v>241</v>
      </c>
      <c r="CS143" s="4" t="s">
        <v>241</v>
      </c>
      <c r="CT143" s="4">
        <v>0</v>
      </c>
      <c r="CU143" s="4" t="s">
        <v>262</v>
      </c>
      <c r="CV143" s="4" t="s">
        <v>263</v>
      </c>
      <c r="CW143" s="4" t="s">
        <v>263</v>
      </c>
      <c r="CX143" s="4" t="s">
        <v>264</v>
      </c>
      <c r="DA143" s="6">
        <f>1200530</f>
        <v>1200530</v>
      </c>
      <c r="DC143" s="4" t="s">
        <v>414</v>
      </c>
      <c r="DD143" s="4" t="s">
        <v>241</v>
      </c>
      <c r="DF143" s="4" t="s">
        <v>287</v>
      </c>
      <c r="DG143" s="6">
        <f>0</f>
        <v>0</v>
      </c>
      <c r="DI143" s="4" t="s">
        <v>414</v>
      </c>
      <c r="DJ143" s="4" t="s">
        <v>241</v>
      </c>
      <c r="DK143" s="4" t="s">
        <v>241</v>
      </c>
      <c r="DL143" s="4" t="s">
        <v>241</v>
      </c>
      <c r="DP143" s="4" t="s">
        <v>241</v>
      </c>
      <c r="DQ143" s="4" t="s">
        <v>241</v>
      </c>
      <c r="DR143" s="4" t="s">
        <v>241</v>
      </c>
      <c r="DS143" s="4" t="s">
        <v>241</v>
      </c>
      <c r="DV143" s="4" t="s">
        <v>5218</v>
      </c>
      <c r="DW143" s="4" t="s">
        <v>748</v>
      </c>
      <c r="HO143" s="4" t="s">
        <v>267</v>
      </c>
    </row>
    <row r="144" spans="1:223" ht="19.5" customHeight="1" x14ac:dyDescent="0.4">
      <c r="A144" s="4">
        <v>1</v>
      </c>
      <c r="B144" s="4" t="s">
        <v>239</v>
      </c>
      <c r="C144" s="4">
        <v>855</v>
      </c>
      <c r="D144" s="4">
        <v>1</v>
      </c>
      <c r="E144" s="4">
        <v>1</v>
      </c>
      <c r="F144" s="4" t="s">
        <v>240</v>
      </c>
      <c r="G144" s="4" t="s">
        <v>241</v>
      </c>
      <c r="H144" s="4" t="s">
        <v>241</v>
      </c>
      <c r="I144" s="4" t="s">
        <v>5217</v>
      </c>
      <c r="J144" s="4" t="s">
        <v>418</v>
      </c>
      <c r="K144" s="4" t="s">
        <v>251</v>
      </c>
      <c r="L144" s="4" t="s">
        <v>5216</v>
      </c>
      <c r="M144" s="5" t="s">
        <v>4174</v>
      </c>
      <c r="N144" s="6">
        <f>344</f>
        <v>344</v>
      </c>
      <c r="O144" s="4" t="s">
        <v>265</v>
      </c>
      <c r="P144" s="6">
        <f>2236000</f>
        <v>2236000</v>
      </c>
      <c r="Q144" s="6">
        <f>0</f>
        <v>0</v>
      </c>
      <c r="S144" s="6">
        <f>0</f>
        <v>0</v>
      </c>
      <c r="T144" s="6">
        <f>2236000</f>
        <v>2236000</v>
      </c>
      <c r="U144" s="5" t="s">
        <v>245</v>
      </c>
      <c r="V144" s="4" t="s">
        <v>270</v>
      </c>
      <c r="W144" s="4" t="s">
        <v>242</v>
      </c>
      <c r="X144" s="4" t="s">
        <v>273</v>
      </c>
      <c r="Y144" s="4" t="s">
        <v>241</v>
      </c>
      <c r="AB144" s="4" t="s">
        <v>241</v>
      </c>
      <c r="AD144" s="5" t="s">
        <v>241</v>
      </c>
      <c r="AG144" s="5" t="s">
        <v>246</v>
      </c>
      <c r="AH144" s="4" t="s">
        <v>241</v>
      </c>
      <c r="AI144" s="4" t="s">
        <v>247</v>
      </c>
      <c r="AJ144" s="4" t="s">
        <v>248</v>
      </c>
      <c r="AZ144" s="4" t="s">
        <v>249</v>
      </c>
      <c r="BA144" s="4" t="s">
        <v>241</v>
      </c>
      <c r="BB144" s="4" t="s">
        <v>250</v>
      </c>
      <c r="BC144" s="4" t="s">
        <v>241</v>
      </c>
      <c r="BD144" s="4" t="s">
        <v>252</v>
      </c>
      <c r="BE144" s="4" t="s">
        <v>241</v>
      </c>
      <c r="BI144" s="4" t="s">
        <v>253</v>
      </c>
      <c r="BJ144" s="5" t="s">
        <v>246</v>
      </c>
      <c r="BK144" s="4" t="s">
        <v>254</v>
      </c>
      <c r="BL144" s="4" t="s">
        <v>255</v>
      </c>
      <c r="BM144" s="4" t="s">
        <v>241</v>
      </c>
      <c r="BN144" s="6">
        <f>0</f>
        <v>0</v>
      </c>
      <c r="BO144" s="6">
        <f>0</f>
        <v>0</v>
      </c>
      <c r="BP144" s="4" t="s">
        <v>256</v>
      </c>
      <c r="BQ144" s="4" t="s">
        <v>257</v>
      </c>
      <c r="CE144" s="4" t="s">
        <v>241</v>
      </c>
      <c r="CF144" s="4" t="s">
        <v>241</v>
      </c>
      <c r="CJ144" s="4" t="s">
        <v>258</v>
      </c>
      <c r="CK144" s="4" t="s">
        <v>259</v>
      </c>
      <c r="CL144" s="4" t="s">
        <v>241</v>
      </c>
      <c r="CO144" s="5" t="s">
        <v>260</v>
      </c>
      <c r="CP144" s="4" t="s">
        <v>241</v>
      </c>
      <c r="CQ144" s="4" t="s">
        <v>261</v>
      </c>
      <c r="CR144" s="4" t="s">
        <v>241</v>
      </c>
      <c r="CS144" s="4" t="s">
        <v>241</v>
      </c>
      <c r="CT144" s="4">
        <v>0</v>
      </c>
      <c r="CU144" s="4" t="s">
        <v>262</v>
      </c>
      <c r="CV144" s="4" t="s">
        <v>263</v>
      </c>
      <c r="CW144" s="4" t="s">
        <v>263</v>
      </c>
      <c r="CX144" s="4" t="s">
        <v>264</v>
      </c>
      <c r="DA144" s="6">
        <f>2236000</f>
        <v>2236000</v>
      </c>
      <c r="DC144" s="4" t="s">
        <v>266</v>
      </c>
      <c r="DD144" s="4" t="s">
        <v>241</v>
      </c>
      <c r="DF144" s="4" t="s">
        <v>287</v>
      </c>
      <c r="DG144" s="6">
        <f>0</f>
        <v>0</v>
      </c>
      <c r="DI144" s="4" t="s">
        <v>266</v>
      </c>
      <c r="DJ144" s="4" t="s">
        <v>241</v>
      </c>
      <c r="DK144" s="4" t="s">
        <v>241</v>
      </c>
      <c r="DL144" s="4" t="s">
        <v>241</v>
      </c>
      <c r="DP144" s="4" t="s">
        <v>241</v>
      </c>
      <c r="DQ144" s="4" t="s">
        <v>241</v>
      </c>
      <c r="DR144" s="4" t="s">
        <v>241</v>
      </c>
      <c r="DS144" s="4" t="s">
        <v>241</v>
      </c>
      <c r="DV144" s="4" t="s">
        <v>5218</v>
      </c>
      <c r="DW144" s="4" t="s">
        <v>719</v>
      </c>
      <c r="HO144" s="4" t="s">
        <v>267</v>
      </c>
    </row>
    <row r="145" spans="1:223" ht="19.5" customHeight="1" x14ac:dyDescent="0.4">
      <c r="A145" s="4">
        <v>1</v>
      </c>
      <c r="B145" s="4" t="s">
        <v>239</v>
      </c>
      <c r="C145" s="4">
        <v>856</v>
      </c>
      <c r="D145" s="4">
        <v>1</v>
      </c>
      <c r="E145" s="4">
        <v>1</v>
      </c>
      <c r="F145" s="4" t="s">
        <v>240</v>
      </c>
      <c r="G145" s="4" t="s">
        <v>241</v>
      </c>
      <c r="H145" s="4" t="s">
        <v>241</v>
      </c>
      <c r="I145" s="4" t="s">
        <v>5212</v>
      </c>
      <c r="J145" s="4" t="s">
        <v>418</v>
      </c>
      <c r="K145" s="4" t="s">
        <v>251</v>
      </c>
      <c r="L145" s="4" t="s">
        <v>5211</v>
      </c>
      <c r="M145" s="5" t="s">
        <v>5214</v>
      </c>
      <c r="N145" s="6">
        <f>689</f>
        <v>689</v>
      </c>
      <c r="O145" s="4" t="s">
        <v>265</v>
      </c>
      <c r="P145" s="6">
        <f>1526135</f>
        <v>1526135</v>
      </c>
      <c r="Q145" s="6">
        <f>0</f>
        <v>0</v>
      </c>
      <c r="S145" s="6">
        <f>0</f>
        <v>0</v>
      </c>
      <c r="T145" s="6">
        <f>1526135</f>
        <v>1526135</v>
      </c>
      <c r="U145" s="5" t="s">
        <v>5213</v>
      </c>
      <c r="V145" s="4" t="s">
        <v>270</v>
      </c>
      <c r="W145" s="4" t="s">
        <v>242</v>
      </c>
      <c r="X145" s="4" t="s">
        <v>273</v>
      </c>
      <c r="Y145" s="4" t="s">
        <v>241</v>
      </c>
      <c r="AB145" s="4" t="s">
        <v>241</v>
      </c>
      <c r="AD145" s="5" t="s">
        <v>241</v>
      </c>
      <c r="AG145" s="5" t="s">
        <v>246</v>
      </c>
      <c r="AH145" s="4" t="s">
        <v>241</v>
      </c>
      <c r="AI145" s="4" t="s">
        <v>247</v>
      </c>
      <c r="AJ145" s="4" t="s">
        <v>248</v>
      </c>
      <c r="AZ145" s="4" t="s">
        <v>249</v>
      </c>
      <c r="BA145" s="4" t="s">
        <v>241</v>
      </c>
      <c r="BB145" s="4" t="s">
        <v>250</v>
      </c>
      <c r="BC145" s="4" t="s">
        <v>241</v>
      </c>
      <c r="BD145" s="4" t="s">
        <v>252</v>
      </c>
      <c r="BE145" s="4" t="s">
        <v>241</v>
      </c>
      <c r="BG145" s="4" t="s">
        <v>4227</v>
      </c>
      <c r="BI145" s="4" t="s">
        <v>253</v>
      </c>
      <c r="BJ145" s="5" t="s">
        <v>246</v>
      </c>
      <c r="BK145" s="4" t="s">
        <v>254</v>
      </c>
      <c r="BL145" s="4" t="s">
        <v>255</v>
      </c>
      <c r="BM145" s="4" t="s">
        <v>241</v>
      </c>
      <c r="BN145" s="6">
        <f>0</f>
        <v>0</v>
      </c>
      <c r="BO145" s="6">
        <f>0</f>
        <v>0</v>
      </c>
      <c r="BP145" s="4" t="s">
        <v>256</v>
      </c>
      <c r="BQ145" s="4" t="s">
        <v>257</v>
      </c>
      <c r="CE145" s="4" t="s">
        <v>241</v>
      </c>
      <c r="CF145" s="4" t="s">
        <v>241</v>
      </c>
      <c r="CJ145" s="4" t="s">
        <v>258</v>
      </c>
      <c r="CK145" s="4" t="s">
        <v>259</v>
      </c>
      <c r="CL145" s="4" t="s">
        <v>241</v>
      </c>
      <c r="CO145" s="5" t="s">
        <v>260</v>
      </c>
      <c r="CP145" s="4" t="s">
        <v>241</v>
      </c>
      <c r="CQ145" s="4" t="s">
        <v>261</v>
      </c>
      <c r="CR145" s="4" t="s">
        <v>241</v>
      </c>
      <c r="CS145" s="4" t="s">
        <v>241</v>
      </c>
      <c r="CT145" s="4">
        <v>0</v>
      </c>
      <c r="CU145" s="4" t="s">
        <v>262</v>
      </c>
      <c r="CV145" s="4" t="s">
        <v>263</v>
      </c>
      <c r="CW145" s="4" t="s">
        <v>263</v>
      </c>
      <c r="CX145" s="4" t="s">
        <v>264</v>
      </c>
      <c r="DA145" s="6">
        <f>1526135</f>
        <v>1526135</v>
      </c>
      <c r="DC145" s="4" t="s">
        <v>414</v>
      </c>
      <c r="DD145" s="4" t="s">
        <v>241</v>
      </c>
      <c r="DF145" s="4" t="s">
        <v>414</v>
      </c>
      <c r="DG145" s="6">
        <f>689</f>
        <v>689</v>
      </c>
      <c r="DI145" s="4" t="s">
        <v>414</v>
      </c>
      <c r="DJ145" s="4" t="s">
        <v>241</v>
      </c>
      <c r="DK145" s="4" t="s">
        <v>241</v>
      </c>
      <c r="DL145" s="4" t="s">
        <v>241</v>
      </c>
      <c r="DP145" s="4" t="s">
        <v>241</v>
      </c>
      <c r="DQ145" s="4" t="s">
        <v>241</v>
      </c>
      <c r="DR145" s="4" t="s">
        <v>241</v>
      </c>
      <c r="DS145" s="4" t="s">
        <v>241</v>
      </c>
      <c r="DV145" s="4" t="s">
        <v>5215</v>
      </c>
      <c r="DW145" s="4" t="s">
        <v>267</v>
      </c>
      <c r="HO145" s="4" t="s">
        <v>267</v>
      </c>
    </row>
    <row r="146" spans="1:223" ht="19.5" customHeight="1" x14ac:dyDescent="0.4">
      <c r="A146" s="4">
        <v>1</v>
      </c>
      <c r="B146" s="4" t="s">
        <v>239</v>
      </c>
      <c r="C146" s="4">
        <v>857</v>
      </c>
      <c r="D146" s="4">
        <v>1</v>
      </c>
      <c r="E146" s="4">
        <v>1</v>
      </c>
      <c r="F146" s="4" t="s">
        <v>240</v>
      </c>
      <c r="G146" s="4" t="s">
        <v>241</v>
      </c>
      <c r="H146" s="4" t="s">
        <v>241</v>
      </c>
      <c r="I146" s="4" t="s">
        <v>5208</v>
      </c>
      <c r="J146" s="4" t="s">
        <v>418</v>
      </c>
      <c r="K146" s="4" t="s">
        <v>251</v>
      </c>
      <c r="L146" s="4" t="s">
        <v>5207</v>
      </c>
      <c r="M146" s="5" t="s">
        <v>5526</v>
      </c>
      <c r="N146" s="6">
        <f>80</f>
        <v>80</v>
      </c>
      <c r="O146" s="4" t="s">
        <v>265</v>
      </c>
      <c r="P146" s="6">
        <f>177200</f>
        <v>177200</v>
      </c>
      <c r="Q146" s="6">
        <f>0</f>
        <v>0</v>
      </c>
      <c r="S146" s="6">
        <f>0</f>
        <v>0</v>
      </c>
      <c r="T146" s="6">
        <f>177200</f>
        <v>177200</v>
      </c>
      <c r="U146" s="5" t="s">
        <v>245</v>
      </c>
      <c r="V146" s="4" t="s">
        <v>270</v>
      </c>
      <c r="W146" s="4" t="s">
        <v>242</v>
      </c>
      <c r="X146" s="4" t="s">
        <v>273</v>
      </c>
      <c r="Y146" s="4" t="s">
        <v>241</v>
      </c>
      <c r="AB146" s="4" t="s">
        <v>241</v>
      </c>
      <c r="AD146" s="5" t="s">
        <v>241</v>
      </c>
      <c r="AG146" s="5" t="s">
        <v>246</v>
      </c>
      <c r="AH146" s="4" t="s">
        <v>241</v>
      </c>
      <c r="AI146" s="4" t="s">
        <v>247</v>
      </c>
      <c r="AJ146" s="4" t="s">
        <v>248</v>
      </c>
      <c r="AZ146" s="4" t="s">
        <v>249</v>
      </c>
      <c r="BA146" s="4" t="s">
        <v>241</v>
      </c>
      <c r="BB146" s="4" t="s">
        <v>250</v>
      </c>
      <c r="BC146" s="4" t="s">
        <v>241</v>
      </c>
      <c r="BD146" s="4" t="s">
        <v>252</v>
      </c>
      <c r="BE146" s="4" t="s">
        <v>241</v>
      </c>
      <c r="BG146" s="4" t="s">
        <v>4227</v>
      </c>
      <c r="BI146" s="4" t="s">
        <v>253</v>
      </c>
      <c r="BJ146" s="5" t="s">
        <v>246</v>
      </c>
      <c r="BK146" s="4" t="s">
        <v>254</v>
      </c>
      <c r="BL146" s="4" t="s">
        <v>255</v>
      </c>
      <c r="BM146" s="4" t="s">
        <v>241</v>
      </c>
      <c r="BN146" s="6">
        <f>0</f>
        <v>0</v>
      </c>
      <c r="BO146" s="6">
        <f>0</f>
        <v>0</v>
      </c>
      <c r="BP146" s="4" t="s">
        <v>256</v>
      </c>
      <c r="BQ146" s="4" t="s">
        <v>257</v>
      </c>
      <c r="CE146" s="4" t="s">
        <v>241</v>
      </c>
      <c r="CF146" s="4" t="s">
        <v>241</v>
      </c>
      <c r="CJ146" s="4" t="s">
        <v>258</v>
      </c>
      <c r="CK146" s="4" t="s">
        <v>259</v>
      </c>
      <c r="CL146" s="4" t="s">
        <v>241</v>
      </c>
      <c r="CO146" s="5" t="s">
        <v>260</v>
      </c>
      <c r="CP146" s="4" t="s">
        <v>241</v>
      </c>
      <c r="CQ146" s="4" t="s">
        <v>261</v>
      </c>
      <c r="CR146" s="4" t="s">
        <v>241</v>
      </c>
      <c r="CS146" s="4" t="s">
        <v>241</v>
      </c>
      <c r="CT146" s="4">
        <v>0</v>
      </c>
      <c r="CU146" s="4" t="s">
        <v>262</v>
      </c>
      <c r="CV146" s="4" t="s">
        <v>263</v>
      </c>
      <c r="CW146" s="4" t="s">
        <v>263</v>
      </c>
      <c r="CX146" s="4" t="s">
        <v>264</v>
      </c>
      <c r="DA146" s="6">
        <f>177200</f>
        <v>177200</v>
      </c>
      <c r="DC146" s="4" t="s">
        <v>414</v>
      </c>
      <c r="DD146" s="4" t="s">
        <v>241</v>
      </c>
      <c r="DF146" s="4" t="s">
        <v>287</v>
      </c>
      <c r="DG146" s="6">
        <f>0</f>
        <v>0</v>
      </c>
      <c r="DI146" s="4" t="s">
        <v>414</v>
      </c>
      <c r="DJ146" s="4" t="s">
        <v>241</v>
      </c>
      <c r="DK146" s="4" t="s">
        <v>241</v>
      </c>
      <c r="DL146" s="4" t="s">
        <v>241</v>
      </c>
      <c r="DP146" s="4" t="s">
        <v>241</v>
      </c>
      <c r="DQ146" s="4" t="s">
        <v>241</v>
      </c>
      <c r="DR146" s="4" t="s">
        <v>241</v>
      </c>
      <c r="DS146" s="4" t="s">
        <v>241</v>
      </c>
      <c r="DV146" s="4" t="s">
        <v>5210</v>
      </c>
      <c r="DW146" s="4" t="s">
        <v>267</v>
      </c>
      <c r="HO146" s="4" t="s">
        <v>267</v>
      </c>
    </row>
    <row r="147" spans="1:223" ht="19.5" customHeight="1" x14ac:dyDescent="0.4">
      <c r="A147" s="4">
        <v>1</v>
      </c>
      <c r="B147" s="4" t="s">
        <v>239</v>
      </c>
      <c r="C147" s="4">
        <v>858</v>
      </c>
      <c r="D147" s="4">
        <v>1</v>
      </c>
      <c r="E147" s="4">
        <v>1</v>
      </c>
      <c r="F147" s="4" t="s">
        <v>240</v>
      </c>
      <c r="G147" s="4" t="s">
        <v>241</v>
      </c>
      <c r="H147" s="4" t="s">
        <v>241</v>
      </c>
      <c r="I147" s="4" t="s">
        <v>5208</v>
      </c>
      <c r="J147" s="4" t="s">
        <v>418</v>
      </c>
      <c r="K147" s="4" t="s">
        <v>251</v>
      </c>
      <c r="L147" s="4" t="s">
        <v>5207</v>
      </c>
      <c r="M147" s="5" t="s">
        <v>5209</v>
      </c>
      <c r="N147" s="6">
        <f>1673</f>
        <v>1673</v>
      </c>
      <c r="O147" s="4" t="s">
        <v>265</v>
      </c>
      <c r="P147" s="6">
        <f>3705695</f>
        <v>3705695</v>
      </c>
      <c r="Q147" s="6">
        <f>0</f>
        <v>0</v>
      </c>
      <c r="S147" s="6">
        <f>0</f>
        <v>0</v>
      </c>
      <c r="T147" s="6">
        <f>3705695</f>
        <v>3705695</v>
      </c>
      <c r="U147" s="5" t="s">
        <v>245</v>
      </c>
      <c r="V147" s="4" t="s">
        <v>270</v>
      </c>
      <c r="W147" s="4" t="s">
        <v>242</v>
      </c>
      <c r="X147" s="4" t="s">
        <v>273</v>
      </c>
      <c r="Y147" s="4" t="s">
        <v>241</v>
      </c>
      <c r="AB147" s="4" t="s">
        <v>241</v>
      </c>
      <c r="AD147" s="5" t="s">
        <v>241</v>
      </c>
      <c r="AG147" s="5" t="s">
        <v>246</v>
      </c>
      <c r="AH147" s="4" t="s">
        <v>241</v>
      </c>
      <c r="AI147" s="4" t="s">
        <v>247</v>
      </c>
      <c r="AJ147" s="4" t="s">
        <v>248</v>
      </c>
      <c r="AZ147" s="4" t="s">
        <v>249</v>
      </c>
      <c r="BA147" s="4" t="s">
        <v>241</v>
      </c>
      <c r="BB147" s="4" t="s">
        <v>250</v>
      </c>
      <c r="BC147" s="4" t="s">
        <v>241</v>
      </c>
      <c r="BD147" s="4" t="s">
        <v>252</v>
      </c>
      <c r="BE147" s="4" t="s">
        <v>241</v>
      </c>
      <c r="BI147" s="4" t="s">
        <v>253</v>
      </c>
      <c r="BJ147" s="5" t="s">
        <v>246</v>
      </c>
      <c r="BK147" s="4" t="s">
        <v>254</v>
      </c>
      <c r="BL147" s="4" t="s">
        <v>255</v>
      </c>
      <c r="BM147" s="4" t="s">
        <v>241</v>
      </c>
      <c r="BN147" s="6">
        <f>0</f>
        <v>0</v>
      </c>
      <c r="BO147" s="6">
        <f>0</f>
        <v>0</v>
      </c>
      <c r="BP147" s="4" t="s">
        <v>256</v>
      </c>
      <c r="BQ147" s="4" t="s">
        <v>257</v>
      </c>
      <c r="CE147" s="4" t="s">
        <v>241</v>
      </c>
      <c r="CF147" s="4" t="s">
        <v>241</v>
      </c>
      <c r="CJ147" s="4" t="s">
        <v>258</v>
      </c>
      <c r="CK147" s="4" t="s">
        <v>259</v>
      </c>
      <c r="CL147" s="4" t="s">
        <v>241</v>
      </c>
      <c r="CO147" s="5" t="s">
        <v>260</v>
      </c>
      <c r="CP147" s="4" t="s">
        <v>241</v>
      </c>
      <c r="CQ147" s="4" t="s">
        <v>261</v>
      </c>
      <c r="CR147" s="4" t="s">
        <v>241</v>
      </c>
      <c r="CS147" s="4" t="s">
        <v>241</v>
      </c>
      <c r="CT147" s="4">
        <v>0</v>
      </c>
      <c r="CU147" s="4" t="s">
        <v>262</v>
      </c>
      <c r="CV147" s="4" t="s">
        <v>263</v>
      </c>
      <c r="CW147" s="4" t="s">
        <v>263</v>
      </c>
      <c r="CX147" s="4" t="s">
        <v>264</v>
      </c>
      <c r="DA147" s="6">
        <f>3705695</f>
        <v>3705695</v>
      </c>
      <c r="DC147" s="4" t="s">
        <v>287</v>
      </c>
      <c r="DD147" s="4" t="s">
        <v>241</v>
      </c>
      <c r="DF147" s="4" t="s">
        <v>287</v>
      </c>
      <c r="DG147" s="6">
        <f>1673</f>
        <v>1673</v>
      </c>
      <c r="DI147" s="4" t="s">
        <v>414</v>
      </c>
      <c r="DJ147" s="4" t="s">
        <v>241</v>
      </c>
      <c r="DK147" s="4" t="s">
        <v>241</v>
      </c>
      <c r="DL147" s="4" t="s">
        <v>241</v>
      </c>
      <c r="DP147" s="4" t="s">
        <v>241</v>
      </c>
      <c r="DQ147" s="4" t="s">
        <v>241</v>
      </c>
      <c r="DR147" s="4" t="s">
        <v>241</v>
      </c>
      <c r="DS147" s="4" t="s">
        <v>241</v>
      </c>
      <c r="DV147" s="4" t="s">
        <v>5210</v>
      </c>
      <c r="DW147" s="4" t="s">
        <v>416</v>
      </c>
      <c r="HO147" s="4" t="s">
        <v>267</v>
      </c>
    </row>
    <row r="148" spans="1:223" ht="19.5" customHeight="1" x14ac:dyDescent="0.4">
      <c r="A148" s="4">
        <v>1</v>
      </c>
      <c r="B148" s="4" t="s">
        <v>239</v>
      </c>
      <c r="C148" s="4">
        <v>859</v>
      </c>
      <c r="D148" s="4">
        <v>1</v>
      </c>
      <c r="E148" s="4">
        <v>1</v>
      </c>
      <c r="F148" s="4" t="s">
        <v>240</v>
      </c>
      <c r="G148" s="4" t="s">
        <v>241</v>
      </c>
      <c r="H148" s="4" t="s">
        <v>241</v>
      </c>
      <c r="I148" s="4" t="s">
        <v>5203</v>
      </c>
      <c r="J148" s="4" t="s">
        <v>418</v>
      </c>
      <c r="K148" s="4" t="s">
        <v>251</v>
      </c>
      <c r="L148" s="4" t="s">
        <v>5202</v>
      </c>
      <c r="M148" s="5" t="s">
        <v>5204</v>
      </c>
      <c r="N148" s="6">
        <f>1884</f>
        <v>1884</v>
      </c>
      <c r="O148" s="4" t="s">
        <v>265</v>
      </c>
      <c r="P148" s="6">
        <f>4173060</f>
        <v>4173060</v>
      </c>
      <c r="Q148" s="6">
        <f>0</f>
        <v>0</v>
      </c>
      <c r="S148" s="6">
        <f>0</f>
        <v>0</v>
      </c>
      <c r="T148" s="6">
        <f>4173060</f>
        <v>4173060</v>
      </c>
      <c r="U148" s="5" t="s">
        <v>245</v>
      </c>
      <c r="V148" s="4" t="s">
        <v>270</v>
      </c>
      <c r="W148" s="4" t="s">
        <v>242</v>
      </c>
      <c r="X148" s="4" t="s">
        <v>273</v>
      </c>
      <c r="Y148" s="4" t="s">
        <v>241</v>
      </c>
      <c r="AB148" s="4" t="s">
        <v>241</v>
      </c>
      <c r="AD148" s="5" t="s">
        <v>241</v>
      </c>
      <c r="AG148" s="5" t="s">
        <v>246</v>
      </c>
      <c r="AH148" s="4" t="s">
        <v>241</v>
      </c>
      <c r="AI148" s="4" t="s">
        <v>247</v>
      </c>
      <c r="AJ148" s="4" t="s">
        <v>248</v>
      </c>
      <c r="AZ148" s="4" t="s">
        <v>249</v>
      </c>
      <c r="BA148" s="4" t="s">
        <v>241</v>
      </c>
      <c r="BB148" s="4" t="s">
        <v>250</v>
      </c>
      <c r="BC148" s="4" t="s">
        <v>241</v>
      </c>
      <c r="BD148" s="4" t="s">
        <v>252</v>
      </c>
      <c r="BE148" s="4" t="s">
        <v>241</v>
      </c>
      <c r="BG148" s="4" t="s">
        <v>4227</v>
      </c>
      <c r="BI148" s="4" t="s">
        <v>253</v>
      </c>
      <c r="BJ148" s="5" t="s">
        <v>246</v>
      </c>
      <c r="BK148" s="4" t="s">
        <v>254</v>
      </c>
      <c r="BL148" s="4" t="s">
        <v>255</v>
      </c>
      <c r="BM148" s="4" t="s">
        <v>241</v>
      </c>
      <c r="BN148" s="6">
        <f>0</f>
        <v>0</v>
      </c>
      <c r="BO148" s="6">
        <f>0</f>
        <v>0</v>
      </c>
      <c r="BP148" s="4" t="s">
        <v>256</v>
      </c>
      <c r="BQ148" s="4" t="s">
        <v>257</v>
      </c>
      <c r="CE148" s="4" t="s">
        <v>241</v>
      </c>
      <c r="CF148" s="4" t="s">
        <v>241</v>
      </c>
      <c r="CJ148" s="4" t="s">
        <v>258</v>
      </c>
      <c r="CK148" s="4" t="s">
        <v>259</v>
      </c>
      <c r="CL148" s="4" t="s">
        <v>241</v>
      </c>
      <c r="CO148" s="5" t="s">
        <v>260</v>
      </c>
      <c r="CP148" s="4" t="s">
        <v>241</v>
      </c>
      <c r="CQ148" s="4" t="s">
        <v>261</v>
      </c>
      <c r="CR148" s="4" t="s">
        <v>241</v>
      </c>
      <c r="CS148" s="4" t="s">
        <v>241</v>
      </c>
      <c r="CT148" s="4">
        <v>0</v>
      </c>
      <c r="CU148" s="4" t="s">
        <v>262</v>
      </c>
      <c r="CV148" s="4" t="s">
        <v>263</v>
      </c>
      <c r="CW148" s="4" t="s">
        <v>263</v>
      </c>
      <c r="CX148" s="4" t="s">
        <v>264</v>
      </c>
      <c r="DA148" s="6">
        <f>4173060</f>
        <v>4173060</v>
      </c>
      <c r="DC148" s="4" t="s">
        <v>422</v>
      </c>
      <c r="DD148" s="4" t="s">
        <v>241</v>
      </c>
      <c r="DF148" s="4" t="s">
        <v>287</v>
      </c>
      <c r="DG148" s="6">
        <f>0</f>
        <v>0</v>
      </c>
      <c r="DH148" s="5" t="s">
        <v>5205</v>
      </c>
      <c r="DI148" s="4" t="s">
        <v>414</v>
      </c>
      <c r="DJ148" s="4" t="s">
        <v>241</v>
      </c>
      <c r="DK148" s="4" t="s">
        <v>241</v>
      </c>
      <c r="DL148" s="4" t="s">
        <v>241</v>
      </c>
      <c r="DP148" s="4" t="s">
        <v>241</v>
      </c>
      <c r="DQ148" s="4" t="s">
        <v>241</v>
      </c>
      <c r="DR148" s="4" t="s">
        <v>241</v>
      </c>
      <c r="DS148" s="4" t="s">
        <v>241</v>
      </c>
      <c r="DV148" s="4" t="s">
        <v>5206</v>
      </c>
      <c r="DW148" s="4" t="s">
        <v>267</v>
      </c>
      <c r="HO148" s="4" t="s">
        <v>267</v>
      </c>
    </row>
    <row r="149" spans="1:223" ht="19.5" customHeight="1" x14ac:dyDescent="0.4">
      <c r="A149" s="4">
        <v>1</v>
      </c>
      <c r="B149" s="4" t="s">
        <v>239</v>
      </c>
      <c r="C149" s="4">
        <v>860</v>
      </c>
      <c r="D149" s="4">
        <v>1</v>
      </c>
      <c r="E149" s="4">
        <v>1</v>
      </c>
      <c r="F149" s="4" t="s">
        <v>240</v>
      </c>
      <c r="G149" s="4" t="s">
        <v>241</v>
      </c>
      <c r="H149" s="4" t="s">
        <v>241</v>
      </c>
      <c r="I149" s="4" t="s">
        <v>5524</v>
      </c>
      <c r="J149" s="4" t="s">
        <v>418</v>
      </c>
      <c r="K149" s="4" t="s">
        <v>251</v>
      </c>
      <c r="L149" s="4" t="s">
        <v>5523</v>
      </c>
      <c r="M149" s="5" t="s">
        <v>5468</v>
      </c>
      <c r="N149" s="6">
        <f>1626</f>
        <v>1626</v>
      </c>
      <c r="O149" s="4" t="s">
        <v>265</v>
      </c>
      <c r="P149" s="6">
        <f>3601590</f>
        <v>3601590</v>
      </c>
      <c r="Q149" s="6">
        <f>0</f>
        <v>0</v>
      </c>
      <c r="S149" s="6">
        <f>0</f>
        <v>0</v>
      </c>
      <c r="T149" s="6">
        <f>3601590</f>
        <v>3601590</v>
      </c>
      <c r="U149" s="5" t="s">
        <v>245</v>
      </c>
      <c r="V149" s="4" t="s">
        <v>270</v>
      </c>
      <c r="W149" s="4" t="s">
        <v>242</v>
      </c>
      <c r="X149" s="4" t="s">
        <v>273</v>
      </c>
      <c r="Y149" s="4" t="s">
        <v>241</v>
      </c>
      <c r="AB149" s="4" t="s">
        <v>241</v>
      </c>
      <c r="AD149" s="5" t="s">
        <v>241</v>
      </c>
      <c r="AG149" s="5" t="s">
        <v>246</v>
      </c>
      <c r="AH149" s="4" t="s">
        <v>241</v>
      </c>
      <c r="AI149" s="4" t="s">
        <v>247</v>
      </c>
      <c r="AJ149" s="4" t="s">
        <v>248</v>
      </c>
      <c r="AZ149" s="4" t="s">
        <v>249</v>
      </c>
      <c r="BA149" s="4" t="s">
        <v>241</v>
      </c>
      <c r="BB149" s="4" t="s">
        <v>250</v>
      </c>
      <c r="BC149" s="4" t="s">
        <v>241</v>
      </c>
      <c r="BD149" s="4" t="s">
        <v>252</v>
      </c>
      <c r="BE149" s="4" t="s">
        <v>241</v>
      </c>
      <c r="BG149" s="4" t="s">
        <v>4227</v>
      </c>
      <c r="BI149" s="4" t="s">
        <v>253</v>
      </c>
      <c r="BJ149" s="5" t="s">
        <v>246</v>
      </c>
      <c r="BK149" s="4" t="s">
        <v>254</v>
      </c>
      <c r="BL149" s="4" t="s">
        <v>255</v>
      </c>
      <c r="BM149" s="4" t="s">
        <v>241</v>
      </c>
      <c r="BN149" s="6">
        <f>0</f>
        <v>0</v>
      </c>
      <c r="BO149" s="6">
        <f>0</f>
        <v>0</v>
      </c>
      <c r="BP149" s="4" t="s">
        <v>256</v>
      </c>
      <c r="BQ149" s="4" t="s">
        <v>257</v>
      </c>
      <c r="CE149" s="4" t="s">
        <v>241</v>
      </c>
      <c r="CF149" s="4" t="s">
        <v>241</v>
      </c>
      <c r="CJ149" s="4" t="s">
        <v>258</v>
      </c>
      <c r="CK149" s="4" t="s">
        <v>259</v>
      </c>
      <c r="CL149" s="4" t="s">
        <v>241</v>
      </c>
      <c r="CO149" s="5" t="s">
        <v>260</v>
      </c>
      <c r="CP149" s="4" t="s">
        <v>241</v>
      </c>
      <c r="CQ149" s="4" t="s">
        <v>261</v>
      </c>
      <c r="CR149" s="4" t="s">
        <v>241</v>
      </c>
      <c r="CS149" s="4" t="s">
        <v>241</v>
      </c>
      <c r="CT149" s="4">
        <v>0</v>
      </c>
      <c r="CU149" s="4" t="s">
        <v>262</v>
      </c>
      <c r="CV149" s="4" t="s">
        <v>263</v>
      </c>
      <c r="CW149" s="4" t="s">
        <v>263</v>
      </c>
      <c r="CX149" s="4" t="s">
        <v>264</v>
      </c>
      <c r="DA149" s="6">
        <f>3601590</f>
        <v>3601590</v>
      </c>
      <c r="DC149" s="4" t="s">
        <v>422</v>
      </c>
      <c r="DD149" s="4" t="s">
        <v>241</v>
      </c>
      <c r="DF149" s="4" t="s">
        <v>287</v>
      </c>
      <c r="DG149" s="6">
        <f>0</f>
        <v>0</v>
      </c>
      <c r="DI149" s="4" t="s">
        <v>414</v>
      </c>
      <c r="DJ149" s="4" t="s">
        <v>241</v>
      </c>
      <c r="DK149" s="4" t="s">
        <v>241</v>
      </c>
      <c r="DL149" s="4" t="s">
        <v>241</v>
      </c>
      <c r="DP149" s="4" t="s">
        <v>241</v>
      </c>
      <c r="DQ149" s="4" t="s">
        <v>241</v>
      </c>
      <c r="DR149" s="4" t="s">
        <v>241</v>
      </c>
      <c r="DS149" s="4" t="s">
        <v>241</v>
      </c>
      <c r="DV149" s="4" t="s">
        <v>5525</v>
      </c>
      <c r="DW149" s="4" t="s">
        <v>267</v>
      </c>
      <c r="HO149" s="4" t="s">
        <v>267</v>
      </c>
    </row>
    <row r="150" spans="1:223" ht="19.5" customHeight="1" x14ac:dyDescent="0.4">
      <c r="A150" s="4">
        <v>1</v>
      </c>
      <c r="B150" s="4" t="s">
        <v>239</v>
      </c>
      <c r="C150" s="4">
        <v>861</v>
      </c>
      <c r="D150" s="4">
        <v>1</v>
      </c>
      <c r="E150" s="4">
        <v>1</v>
      </c>
      <c r="F150" s="4" t="s">
        <v>240</v>
      </c>
      <c r="G150" s="4" t="s">
        <v>241</v>
      </c>
      <c r="H150" s="4" t="s">
        <v>241</v>
      </c>
      <c r="I150" s="4" t="s">
        <v>5197</v>
      </c>
      <c r="J150" s="4" t="s">
        <v>418</v>
      </c>
      <c r="K150" s="4" t="s">
        <v>251</v>
      </c>
      <c r="L150" s="4" t="s">
        <v>5196</v>
      </c>
      <c r="M150" s="5" t="s">
        <v>5201</v>
      </c>
      <c r="N150" s="6">
        <f>305</f>
        <v>305</v>
      </c>
      <c r="O150" s="4" t="s">
        <v>265</v>
      </c>
      <c r="P150" s="6">
        <f>675575</f>
        <v>675575</v>
      </c>
      <c r="Q150" s="6">
        <f>0</f>
        <v>0</v>
      </c>
      <c r="S150" s="6">
        <f>0</f>
        <v>0</v>
      </c>
      <c r="T150" s="6">
        <f>675575</f>
        <v>675575</v>
      </c>
      <c r="U150" s="5" t="s">
        <v>245</v>
      </c>
      <c r="V150" s="4" t="s">
        <v>270</v>
      </c>
      <c r="W150" s="4" t="s">
        <v>242</v>
      </c>
      <c r="X150" s="4" t="s">
        <v>273</v>
      </c>
      <c r="Y150" s="4" t="s">
        <v>241</v>
      </c>
      <c r="AB150" s="4" t="s">
        <v>241</v>
      </c>
      <c r="AD150" s="5" t="s">
        <v>241</v>
      </c>
      <c r="AG150" s="5" t="s">
        <v>246</v>
      </c>
      <c r="AH150" s="4" t="s">
        <v>241</v>
      </c>
      <c r="AI150" s="4" t="s">
        <v>247</v>
      </c>
      <c r="AJ150" s="4" t="s">
        <v>248</v>
      </c>
      <c r="AZ150" s="4" t="s">
        <v>249</v>
      </c>
      <c r="BA150" s="4" t="s">
        <v>241</v>
      </c>
      <c r="BB150" s="4" t="s">
        <v>250</v>
      </c>
      <c r="BC150" s="4" t="s">
        <v>241</v>
      </c>
      <c r="BD150" s="4" t="s">
        <v>252</v>
      </c>
      <c r="BE150" s="4" t="s">
        <v>241</v>
      </c>
      <c r="BG150" s="4" t="s">
        <v>4227</v>
      </c>
      <c r="BI150" s="4" t="s">
        <v>253</v>
      </c>
      <c r="BJ150" s="5" t="s">
        <v>246</v>
      </c>
      <c r="BK150" s="4" t="s">
        <v>254</v>
      </c>
      <c r="BL150" s="4" t="s">
        <v>255</v>
      </c>
      <c r="BM150" s="4" t="s">
        <v>241</v>
      </c>
      <c r="BN150" s="6">
        <f>0</f>
        <v>0</v>
      </c>
      <c r="BO150" s="6">
        <f>0</f>
        <v>0</v>
      </c>
      <c r="BP150" s="4" t="s">
        <v>256</v>
      </c>
      <c r="BQ150" s="4" t="s">
        <v>257</v>
      </c>
      <c r="CE150" s="4" t="s">
        <v>241</v>
      </c>
      <c r="CF150" s="4" t="s">
        <v>241</v>
      </c>
      <c r="CJ150" s="4" t="s">
        <v>258</v>
      </c>
      <c r="CK150" s="4" t="s">
        <v>259</v>
      </c>
      <c r="CL150" s="4" t="s">
        <v>241</v>
      </c>
      <c r="CO150" s="5" t="s">
        <v>260</v>
      </c>
      <c r="CP150" s="4" t="s">
        <v>241</v>
      </c>
      <c r="CQ150" s="4" t="s">
        <v>261</v>
      </c>
      <c r="CR150" s="4" t="s">
        <v>241</v>
      </c>
      <c r="CS150" s="4" t="s">
        <v>241</v>
      </c>
      <c r="CT150" s="4">
        <v>0</v>
      </c>
      <c r="CU150" s="4" t="s">
        <v>262</v>
      </c>
      <c r="CV150" s="4" t="s">
        <v>263</v>
      </c>
      <c r="CW150" s="4" t="s">
        <v>263</v>
      </c>
      <c r="CX150" s="4" t="s">
        <v>264</v>
      </c>
      <c r="DA150" s="6">
        <f>675575</f>
        <v>675575</v>
      </c>
      <c r="DC150" s="4" t="s">
        <v>422</v>
      </c>
      <c r="DD150" s="4" t="s">
        <v>241</v>
      </c>
      <c r="DF150" s="4" t="s">
        <v>287</v>
      </c>
      <c r="DG150" s="6">
        <f>0</f>
        <v>0</v>
      </c>
      <c r="DI150" s="4" t="s">
        <v>414</v>
      </c>
      <c r="DJ150" s="4" t="s">
        <v>241</v>
      </c>
      <c r="DK150" s="4" t="s">
        <v>241</v>
      </c>
      <c r="DL150" s="4" t="s">
        <v>241</v>
      </c>
      <c r="DP150" s="4" t="s">
        <v>241</v>
      </c>
      <c r="DQ150" s="4" t="s">
        <v>241</v>
      </c>
      <c r="DR150" s="4" t="s">
        <v>241</v>
      </c>
      <c r="DS150" s="4" t="s">
        <v>241</v>
      </c>
      <c r="DV150" s="4" t="s">
        <v>5199</v>
      </c>
      <c r="DW150" s="4" t="s">
        <v>267</v>
      </c>
      <c r="HO150" s="4" t="s">
        <v>267</v>
      </c>
    </row>
    <row r="151" spans="1:223" ht="19.5" customHeight="1" x14ac:dyDescent="0.4">
      <c r="A151" s="4">
        <v>1</v>
      </c>
      <c r="B151" s="4" t="s">
        <v>239</v>
      </c>
      <c r="C151" s="4">
        <v>862</v>
      </c>
      <c r="D151" s="4">
        <v>1</v>
      </c>
      <c r="E151" s="4">
        <v>1</v>
      </c>
      <c r="F151" s="4" t="s">
        <v>240</v>
      </c>
      <c r="G151" s="4" t="s">
        <v>241</v>
      </c>
      <c r="H151" s="4" t="s">
        <v>241</v>
      </c>
      <c r="I151" s="4" t="s">
        <v>5197</v>
      </c>
      <c r="J151" s="4" t="s">
        <v>418</v>
      </c>
      <c r="K151" s="4" t="s">
        <v>251</v>
      </c>
      <c r="L151" s="4" t="s">
        <v>5196</v>
      </c>
      <c r="M151" s="5" t="s">
        <v>5200</v>
      </c>
      <c r="N151" s="6">
        <f>440</f>
        <v>440</v>
      </c>
      <c r="O151" s="4" t="s">
        <v>265</v>
      </c>
      <c r="P151" s="6">
        <f>974600</f>
        <v>974600</v>
      </c>
      <c r="Q151" s="6">
        <f>0</f>
        <v>0</v>
      </c>
      <c r="S151" s="6">
        <f>0</f>
        <v>0</v>
      </c>
      <c r="T151" s="6">
        <f>974600</f>
        <v>974600</v>
      </c>
      <c r="U151" s="5" t="s">
        <v>245</v>
      </c>
      <c r="V151" s="4" t="s">
        <v>270</v>
      </c>
      <c r="W151" s="4" t="s">
        <v>242</v>
      </c>
      <c r="X151" s="4" t="s">
        <v>273</v>
      </c>
      <c r="Y151" s="4" t="s">
        <v>241</v>
      </c>
      <c r="AB151" s="4" t="s">
        <v>241</v>
      </c>
      <c r="AD151" s="5" t="s">
        <v>241</v>
      </c>
      <c r="AG151" s="5" t="s">
        <v>246</v>
      </c>
      <c r="AH151" s="4" t="s">
        <v>241</v>
      </c>
      <c r="AI151" s="4" t="s">
        <v>247</v>
      </c>
      <c r="AJ151" s="4" t="s">
        <v>248</v>
      </c>
      <c r="AZ151" s="4" t="s">
        <v>249</v>
      </c>
      <c r="BA151" s="4" t="s">
        <v>241</v>
      </c>
      <c r="BB151" s="4" t="s">
        <v>250</v>
      </c>
      <c r="BC151" s="4" t="s">
        <v>241</v>
      </c>
      <c r="BD151" s="4" t="s">
        <v>252</v>
      </c>
      <c r="BE151" s="4" t="s">
        <v>241</v>
      </c>
      <c r="BI151" s="4" t="s">
        <v>253</v>
      </c>
      <c r="BJ151" s="5" t="s">
        <v>246</v>
      </c>
      <c r="BK151" s="4" t="s">
        <v>254</v>
      </c>
      <c r="BL151" s="4" t="s">
        <v>255</v>
      </c>
      <c r="BM151" s="4" t="s">
        <v>241</v>
      </c>
      <c r="BN151" s="6">
        <f>0</f>
        <v>0</v>
      </c>
      <c r="BO151" s="6">
        <f>0</f>
        <v>0</v>
      </c>
      <c r="BP151" s="4" t="s">
        <v>256</v>
      </c>
      <c r="BQ151" s="4" t="s">
        <v>257</v>
      </c>
      <c r="CE151" s="4" t="s">
        <v>241</v>
      </c>
      <c r="CF151" s="4" t="s">
        <v>241</v>
      </c>
      <c r="CJ151" s="4" t="s">
        <v>258</v>
      </c>
      <c r="CK151" s="4" t="s">
        <v>259</v>
      </c>
      <c r="CL151" s="4" t="s">
        <v>241</v>
      </c>
      <c r="CO151" s="5" t="s">
        <v>260</v>
      </c>
      <c r="CP151" s="4" t="s">
        <v>241</v>
      </c>
      <c r="CQ151" s="4" t="s">
        <v>261</v>
      </c>
      <c r="CR151" s="4" t="s">
        <v>241</v>
      </c>
      <c r="CS151" s="4" t="s">
        <v>241</v>
      </c>
      <c r="CT151" s="4">
        <v>0</v>
      </c>
      <c r="CU151" s="4" t="s">
        <v>262</v>
      </c>
      <c r="CV151" s="4" t="s">
        <v>263</v>
      </c>
      <c r="CW151" s="4" t="s">
        <v>263</v>
      </c>
      <c r="CX151" s="4" t="s">
        <v>264</v>
      </c>
      <c r="DA151" s="6">
        <f>974600</f>
        <v>974600</v>
      </c>
      <c r="DC151" s="4" t="s">
        <v>422</v>
      </c>
      <c r="DD151" s="4" t="s">
        <v>241</v>
      </c>
      <c r="DF151" s="4" t="s">
        <v>287</v>
      </c>
      <c r="DG151" s="6">
        <f>0</f>
        <v>0</v>
      </c>
      <c r="DI151" s="4" t="s">
        <v>414</v>
      </c>
      <c r="DJ151" s="4" t="s">
        <v>241</v>
      </c>
      <c r="DK151" s="4" t="s">
        <v>241</v>
      </c>
      <c r="DL151" s="4" t="s">
        <v>241</v>
      </c>
      <c r="DP151" s="4" t="s">
        <v>241</v>
      </c>
      <c r="DQ151" s="4" t="s">
        <v>241</v>
      </c>
      <c r="DR151" s="4" t="s">
        <v>241</v>
      </c>
      <c r="DS151" s="4" t="s">
        <v>241</v>
      </c>
      <c r="DV151" s="4" t="s">
        <v>5199</v>
      </c>
      <c r="DW151" s="4" t="s">
        <v>416</v>
      </c>
      <c r="HO151" s="4" t="s">
        <v>267</v>
      </c>
    </row>
    <row r="152" spans="1:223" ht="19.5" customHeight="1" x14ac:dyDescent="0.4">
      <c r="A152" s="4">
        <v>1</v>
      </c>
      <c r="B152" s="4" t="s">
        <v>239</v>
      </c>
      <c r="C152" s="4">
        <v>863</v>
      </c>
      <c r="D152" s="4">
        <v>1</v>
      </c>
      <c r="E152" s="4">
        <v>1</v>
      </c>
      <c r="F152" s="4" t="s">
        <v>240</v>
      </c>
      <c r="G152" s="4" t="s">
        <v>241</v>
      </c>
      <c r="H152" s="4" t="s">
        <v>241</v>
      </c>
      <c r="I152" s="4" t="s">
        <v>5197</v>
      </c>
      <c r="J152" s="4" t="s">
        <v>418</v>
      </c>
      <c r="K152" s="4" t="s">
        <v>251</v>
      </c>
      <c r="L152" s="4" t="s">
        <v>5196</v>
      </c>
      <c r="M152" s="5" t="s">
        <v>5198</v>
      </c>
      <c r="N152" s="6">
        <f>288</f>
        <v>288</v>
      </c>
      <c r="O152" s="4" t="s">
        <v>265</v>
      </c>
      <c r="P152" s="6">
        <f>637920</f>
        <v>637920</v>
      </c>
      <c r="Q152" s="6">
        <f>0</f>
        <v>0</v>
      </c>
      <c r="S152" s="6">
        <f>0</f>
        <v>0</v>
      </c>
      <c r="T152" s="6">
        <f>637920</f>
        <v>637920</v>
      </c>
      <c r="U152" s="5" t="s">
        <v>245</v>
      </c>
      <c r="V152" s="4" t="s">
        <v>270</v>
      </c>
      <c r="W152" s="4" t="s">
        <v>242</v>
      </c>
      <c r="X152" s="4" t="s">
        <v>273</v>
      </c>
      <c r="Y152" s="4" t="s">
        <v>241</v>
      </c>
      <c r="AB152" s="4" t="s">
        <v>241</v>
      </c>
      <c r="AD152" s="5" t="s">
        <v>241</v>
      </c>
      <c r="AG152" s="5" t="s">
        <v>246</v>
      </c>
      <c r="AH152" s="4" t="s">
        <v>241</v>
      </c>
      <c r="AI152" s="4" t="s">
        <v>247</v>
      </c>
      <c r="AJ152" s="4" t="s">
        <v>248</v>
      </c>
      <c r="AZ152" s="4" t="s">
        <v>249</v>
      </c>
      <c r="BA152" s="4" t="s">
        <v>241</v>
      </c>
      <c r="BB152" s="4" t="s">
        <v>250</v>
      </c>
      <c r="BC152" s="4" t="s">
        <v>241</v>
      </c>
      <c r="BD152" s="4" t="s">
        <v>252</v>
      </c>
      <c r="BE152" s="4" t="s">
        <v>241</v>
      </c>
      <c r="BI152" s="4" t="s">
        <v>253</v>
      </c>
      <c r="BJ152" s="5" t="s">
        <v>246</v>
      </c>
      <c r="BK152" s="4" t="s">
        <v>254</v>
      </c>
      <c r="BL152" s="4" t="s">
        <v>255</v>
      </c>
      <c r="BM152" s="4" t="s">
        <v>241</v>
      </c>
      <c r="BN152" s="6">
        <f>0</f>
        <v>0</v>
      </c>
      <c r="BO152" s="6">
        <f>0</f>
        <v>0</v>
      </c>
      <c r="BP152" s="4" t="s">
        <v>256</v>
      </c>
      <c r="BQ152" s="4" t="s">
        <v>257</v>
      </c>
      <c r="CE152" s="4" t="s">
        <v>241</v>
      </c>
      <c r="CF152" s="4" t="s">
        <v>241</v>
      </c>
      <c r="CJ152" s="4" t="s">
        <v>258</v>
      </c>
      <c r="CK152" s="4" t="s">
        <v>259</v>
      </c>
      <c r="CL152" s="4" t="s">
        <v>241</v>
      </c>
      <c r="CO152" s="5" t="s">
        <v>260</v>
      </c>
      <c r="CP152" s="4" t="s">
        <v>241</v>
      </c>
      <c r="CQ152" s="4" t="s">
        <v>261</v>
      </c>
      <c r="CR152" s="4" t="s">
        <v>241</v>
      </c>
      <c r="CS152" s="4" t="s">
        <v>241</v>
      </c>
      <c r="CT152" s="4">
        <v>0</v>
      </c>
      <c r="CU152" s="4" t="s">
        <v>262</v>
      </c>
      <c r="CV152" s="4" t="s">
        <v>263</v>
      </c>
      <c r="CW152" s="4" t="s">
        <v>263</v>
      </c>
      <c r="CX152" s="4" t="s">
        <v>264</v>
      </c>
      <c r="DA152" s="6">
        <f>637920</f>
        <v>637920</v>
      </c>
      <c r="DC152" s="4" t="s">
        <v>422</v>
      </c>
      <c r="DD152" s="4" t="s">
        <v>241</v>
      </c>
      <c r="DF152" s="4" t="s">
        <v>287</v>
      </c>
      <c r="DG152" s="6">
        <f>0</f>
        <v>0</v>
      </c>
      <c r="DI152" s="4" t="s">
        <v>414</v>
      </c>
      <c r="DJ152" s="4" t="s">
        <v>241</v>
      </c>
      <c r="DK152" s="4" t="s">
        <v>241</v>
      </c>
      <c r="DL152" s="4" t="s">
        <v>241</v>
      </c>
      <c r="DP152" s="4" t="s">
        <v>241</v>
      </c>
      <c r="DQ152" s="4" t="s">
        <v>241</v>
      </c>
      <c r="DR152" s="4" t="s">
        <v>241</v>
      </c>
      <c r="DS152" s="4" t="s">
        <v>241</v>
      </c>
      <c r="DV152" s="4" t="s">
        <v>5199</v>
      </c>
      <c r="DW152" s="4" t="s">
        <v>388</v>
      </c>
      <c r="HO152" s="4" t="s">
        <v>267</v>
      </c>
    </row>
    <row r="153" spans="1:223" ht="19.5" customHeight="1" x14ac:dyDescent="0.4">
      <c r="A153" s="4">
        <v>1</v>
      </c>
      <c r="B153" s="4" t="s">
        <v>239</v>
      </c>
      <c r="C153" s="4">
        <v>864</v>
      </c>
      <c r="D153" s="4">
        <v>1</v>
      </c>
      <c r="E153" s="4">
        <v>1</v>
      </c>
      <c r="F153" s="4" t="s">
        <v>240</v>
      </c>
      <c r="G153" s="4" t="s">
        <v>241</v>
      </c>
      <c r="H153" s="4" t="s">
        <v>241</v>
      </c>
      <c r="I153" s="4" t="s">
        <v>5197</v>
      </c>
      <c r="J153" s="4" t="s">
        <v>418</v>
      </c>
      <c r="K153" s="4" t="s">
        <v>251</v>
      </c>
      <c r="L153" s="4" t="s">
        <v>5196</v>
      </c>
      <c r="M153" s="5" t="s">
        <v>5522</v>
      </c>
      <c r="N153" s="6">
        <f>501</f>
        <v>501</v>
      </c>
      <c r="O153" s="4" t="s">
        <v>265</v>
      </c>
      <c r="P153" s="6">
        <f>1109715</f>
        <v>1109715</v>
      </c>
      <c r="Q153" s="6">
        <f>0</f>
        <v>0</v>
      </c>
      <c r="S153" s="6">
        <f>0</f>
        <v>0</v>
      </c>
      <c r="T153" s="6">
        <f>1109715</f>
        <v>1109715</v>
      </c>
      <c r="U153" s="5" t="s">
        <v>245</v>
      </c>
      <c r="V153" s="4" t="s">
        <v>270</v>
      </c>
      <c r="W153" s="4" t="s">
        <v>242</v>
      </c>
      <c r="X153" s="4" t="s">
        <v>273</v>
      </c>
      <c r="Y153" s="4" t="s">
        <v>241</v>
      </c>
      <c r="AB153" s="4" t="s">
        <v>241</v>
      </c>
      <c r="AD153" s="5" t="s">
        <v>241</v>
      </c>
      <c r="AG153" s="5" t="s">
        <v>246</v>
      </c>
      <c r="AH153" s="4" t="s">
        <v>241</v>
      </c>
      <c r="AI153" s="4" t="s">
        <v>247</v>
      </c>
      <c r="AJ153" s="4" t="s">
        <v>248</v>
      </c>
      <c r="AZ153" s="4" t="s">
        <v>249</v>
      </c>
      <c r="BA153" s="4" t="s">
        <v>241</v>
      </c>
      <c r="BB153" s="4" t="s">
        <v>250</v>
      </c>
      <c r="BC153" s="4" t="s">
        <v>241</v>
      </c>
      <c r="BD153" s="4" t="s">
        <v>252</v>
      </c>
      <c r="BE153" s="4" t="s">
        <v>241</v>
      </c>
      <c r="BI153" s="4" t="s">
        <v>253</v>
      </c>
      <c r="BJ153" s="5" t="s">
        <v>246</v>
      </c>
      <c r="BK153" s="4" t="s">
        <v>254</v>
      </c>
      <c r="BL153" s="4" t="s">
        <v>255</v>
      </c>
      <c r="BM153" s="4" t="s">
        <v>241</v>
      </c>
      <c r="BN153" s="6">
        <f>0</f>
        <v>0</v>
      </c>
      <c r="BO153" s="6">
        <f>0</f>
        <v>0</v>
      </c>
      <c r="BP153" s="4" t="s">
        <v>256</v>
      </c>
      <c r="BQ153" s="4" t="s">
        <v>257</v>
      </c>
      <c r="CE153" s="4" t="s">
        <v>241</v>
      </c>
      <c r="CF153" s="4" t="s">
        <v>241</v>
      </c>
      <c r="CJ153" s="4" t="s">
        <v>258</v>
      </c>
      <c r="CK153" s="4" t="s">
        <v>259</v>
      </c>
      <c r="CL153" s="4" t="s">
        <v>241</v>
      </c>
      <c r="CO153" s="5" t="s">
        <v>260</v>
      </c>
      <c r="CP153" s="4" t="s">
        <v>241</v>
      </c>
      <c r="CQ153" s="4" t="s">
        <v>261</v>
      </c>
      <c r="CR153" s="4" t="s">
        <v>241</v>
      </c>
      <c r="CS153" s="4" t="s">
        <v>241</v>
      </c>
      <c r="CT153" s="4">
        <v>0</v>
      </c>
      <c r="CU153" s="4" t="s">
        <v>262</v>
      </c>
      <c r="CV153" s="4" t="s">
        <v>263</v>
      </c>
      <c r="CW153" s="4" t="s">
        <v>263</v>
      </c>
      <c r="CX153" s="4" t="s">
        <v>264</v>
      </c>
      <c r="DA153" s="6">
        <f>1109715</f>
        <v>1109715</v>
      </c>
      <c r="DC153" s="4" t="s">
        <v>422</v>
      </c>
      <c r="DD153" s="4" t="s">
        <v>241</v>
      </c>
      <c r="DF153" s="4" t="s">
        <v>287</v>
      </c>
      <c r="DG153" s="6">
        <f>0</f>
        <v>0</v>
      </c>
      <c r="DI153" s="4" t="s">
        <v>414</v>
      </c>
      <c r="DJ153" s="4" t="s">
        <v>241</v>
      </c>
      <c r="DK153" s="4" t="s">
        <v>241</v>
      </c>
      <c r="DL153" s="4" t="s">
        <v>241</v>
      </c>
      <c r="DP153" s="4" t="s">
        <v>241</v>
      </c>
      <c r="DQ153" s="4" t="s">
        <v>241</v>
      </c>
      <c r="DR153" s="4" t="s">
        <v>241</v>
      </c>
      <c r="DS153" s="4" t="s">
        <v>241</v>
      </c>
      <c r="DV153" s="4" t="s">
        <v>5199</v>
      </c>
      <c r="DW153" s="4" t="s">
        <v>327</v>
      </c>
      <c r="HO153" s="4" t="s">
        <v>267</v>
      </c>
    </row>
    <row r="154" spans="1:223" ht="19.5" customHeight="1" x14ac:dyDescent="0.4">
      <c r="A154" s="4">
        <v>1</v>
      </c>
      <c r="B154" s="4" t="s">
        <v>239</v>
      </c>
      <c r="C154" s="4">
        <v>865</v>
      </c>
      <c r="D154" s="4">
        <v>1</v>
      </c>
      <c r="E154" s="4">
        <v>1</v>
      </c>
      <c r="F154" s="4" t="s">
        <v>240</v>
      </c>
      <c r="G154" s="4" t="s">
        <v>241</v>
      </c>
      <c r="H154" s="4" t="s">
        <v>241</v>
      </c>
      <c r="I154" s="4" t="s">
        <v>5193</v>
      </c>
      <c r="J154" s="4" t="s">
        <v>418</v>
      </c>
      <c r="K154" s="4" t="s">
        <v>251</v>
      </c>
      <c r="L154" s="4" t="s">
        <v>5192</v>
      </c>
      <c r="M154" s="5" t="s">
        <v>5194</v>
      </c>
      <c r="N154" s="6">
        <f>1632</f>
        <v>1632</v>
      </c>
      <c r="O154" s="4" t="s">
        <v>265</v>
      </c>
      <c r="P154" s="6">
        <f>3614880</f>
        <v>3614880</v>
      </c>
      <c r="Q154" s="6">
        <f>0</f>
        <v>0</v>
      </c>
      <c r="S154" s="6">
        <f>0</f>
        <v>0</v>
      </c>
      <c r="T154" s="6">
        <f>3614880</f>
        <v>3614880</v>
      </c>
      <c r="U154" s="5" t="s">
        <v>245</v>
      </c>
      <c r="V154" s="4" t="s">
        <v>270</v>
      </c>
      <c r="W154" s="4" t="s">
        <v>242</v>
      </c>
      <c r="X154" s="4" t="s">
        <v>273</v>
      </c>
      <c r="Y154" s="4" t="s">
        <v>241</v>
      </c>
      <c r="AB154" s="4" t="s">
        <v>241</v>
      </c>
      <c r="AD154" s="5" t="s">
        <v>241</v>
      </c>
      <c r="AG154" s="5" t="s">
        <v>246</v>
      </c>
      <c r="AH154" s="4" t="s">
        <v>241</v>
      </c>
      <c r="AI154" s="4" t="s">
        <v>247</v>
      </c>
      <c r="AJ154" s="4" t="s">
        <v>248</v>
      </c>
      <c r="AZ154" s="4" t="s">
        <v>249</v>
      </c>
      <c r="BA154" s="4" t="s">
        <v>241</v>
      </c>
      <c r="BB154" s="4" t="s">
        <v>250</v>
      </c>
      <c r="BC154" s="4" t="s">
        <v>241</v>
      </c>
      <c r="BD154" s="4" t="s">
        <v>252</v>
      </c>
      <c r="BE154" s="4" t="s">
        <v>241</v>
      </c>
      <c r="BG154" s="4" t="s">
        <v>4227</v>
      </c>
      <c r="BI154" s="4" t="s">
        <v>253</v>
      </c>
      <c r="BJ154" s="5" t="s">
        <v>246</v>
      </c>
      <c r="BK154" s="4" t="s">
        <v>254</v>
      </c>
      <c r="BL154" s="4" t="s">
        <v>255</v>
      </c>
      <c r="BM154" s="4" t="s">
        <v>241</v>
      </c>
      <c r="BN154" s="6">
        <f>0</f>
        <v>0</v>
      </c>
      <c r="BO154" s="6">
        <f>0</f>
        <v>0</v>
      </c>
      <c r="BP154" s="4" t="s">
        <v>256</v>
      </c>
      <c r="BQ154" s="4" t="s">
        <v>257</v>
      </c>
      <c r="CE154" s="4" t="s">
        <v>241</v>
      </c>
      <c r="CF154" s="4" t="s">
        <v>241</v>
      </c>
      <c r="CJ154" s="4" t="s">
        <v>258</v>
      </c>
      <c r="CK154" s="4" t="s">
        <v>259</v>
      </c>
      <c r="CL154" s="4" t="s">
        <v>241</v>
      </c>
      <c r="CO154" s="5" t="s">
        <v>260</v>
      </c>
      <c r="CP154" s="4" t="s">
        <v>241</v>
      </c>
      <c r="CQ154" s="4" t="s">
        <v>261</v>
      </c>
      <c r="CR154" s="4" t="s">
        <v>241</v>
      </c>
      <c r="CS154" s="4" t="s">
        <v>241</v>
      </c>
      <c r="CT154" s="4">
        <v>0</v>
      </c>
      <c r="CU154" s="4" t="s">
        <v>262</v>
      </c>
      <c r="CV154" s="4" t="s">
        <v>263</v>
      </c>
      <c r="CW154" s="4" t="s">
        <v>263</v>
      </c>
      <c r="CX154" s="4" t="s">
        <v>264</v>
      </c>
      <c r="DA154" s="6">
        <f>3614880</f>
        <v>3614880</v>
      </c>
      <c r="DC154" s="4" t="s">
        <v>422</v>
      </c>
      <c r="DD154" s="4" t="s">
        <v>241</v>
      </c>
      <c r="DF154" s="4" t="s">
        <v>287</v>
      </c>
      <c r="DG154" s="6">
        <f>0</f>
        <v>0</v>
      </c>
      <c r="DI154" s="4" t="s">
        <v>414</v>
      </c>
      <c r="DJ154" s="4" t="s">
        <v>241</v>
      </c>
      <c r="DK154" s="4" t="s">
        <v>241</v>
      </c>
      <c r="DL154" s="4" t="s">
        <v>241</v>
      </c>
      <c r="DP154" s="4" t="s">
        <v>241</v>
      </c>
      <c r="DQ154" s="4" t="s">
        <v>241</v>
      </c>
      <c r="DR154" s="4" t="s">
        <v>241</v>
      </c>
      <c r="DS154" s="4" t="s">
        <v>241</v>
      </c>
      <c r="DV154" s="4" t="s">
        <v>5195</v>
      </c>
      <c r="DW154" s="4" t="s">
        <v>267</v>
      </c>
      <c r="HO154" s="4" t="s">
        <v>267</v>
      </c>
    </row>
    <row r="155" spans="1:223" ht="19.5" customHeight="1" x14ac:dyDescent="0.4">
      <c r="A155" s="4">
        <v>1</v>
      </c>
      <c r="B155" s="4" t="s">
        <v>239</v>
      </c>
      <c r="C155" s="4">
        <v>866</v>
      </c>
      <c r="D155" s="4">
        <v>1</v>
      </c>
      <c r="E155" s="4">
        <v>1</v>
      </c>
      <c r="F155" s="4" t="s">
        <v>240</v>
      </c>
      <c r="G155" s="4" t="s">
        <v>241</v>
      </c>
      <c r="H155" s="4" t="s">
        <v>241</v>
      </c>
      <c r="I155" s="4" t="s">
        <v>5189</v>
      </c>
      <c r="J155" s="4" t="s">
        <v>418</v>
      </c>
      <c r="K155" s="4" t="s">
        <v>251</v>
      </c>
      <c r="L155" s="4" t="s">
        <v>5188</v>
      </c>
      <c r="M155" s="5" t="s">
        <v>5190</v>
      </c>
      <c r="N155" s="6">
        <f>520</f>
        <v>520</v>
      </c>
      <c r="O155" s="4" t="s">
        <v>265</v>
      </c>
      <c r="P155" s="6">
        <f>1151800</f>
        <v>1151800</v>
      </c>
      <c r="Q155" s="6">
        <f>0</f>
        <v>0</v>
      </c>
      <c r="S155" s="6">
        <f>0</f>
        <v>0</v>
      </c>
      <c r="T155" s="6">
        <f>1151800</f>
        <v>1151800</v>
      </c>
      <c r="U155" s="5" t="s">
        <v>245</v>
      </c>
      <c r="V155" s="4" t="s">
        <v>270</v>
      </c>
      <c r="W155" s="4" t="s">
        <v>242</v>
      </c>
      <c r="X155" s="4" t="s">
        <v>273</v>
      </c>
      <c r="Y155" s="4" t="s">
        <v>241</v>
      </c>
      <c r="AB155" s="4" t="s">
        <v>241</v>
      </c>
      <c r="AD155" s="5" t="s">
        <v>241</v>
      </c>
      <c r="AG155" s="5" t="s">
        <v>246</v>
      </c>
      <c r="AH155" s="4" t="s">
        <v>241</v>
      </c>
      <c r="AI155" s="4" t="s">
        <v>247</v>
      </c>
      <c r="AJ155" s="4" t="s">
        <v>248</v>
      </c>
      <c r="AZ155" s="4" t="s">
        <v>249</v>
      </c>
      <c r="BA155" s="4" t="s">
        <v>241</v>
      </c>
      <c r="BB155" s="4" t="s">
        <v>250</v>
      </c>
      <c r="BC155" s="4" t="s">
        <v>241</v>
      </c>
      <c r="BD155" s="4" t="s">
        <v>252</v>
      </c>
      <c r="BE155" s="4" t="s">
        <v>241</v>
      </c>
      <c r="BG155" s="4" t="s">
        <v>4227</v>
      </c>
      <c r="BI155" s="4" t="s">
        <v>253</v>
      </c>
      <c r="BJ155" s="5" t="s">
        <v>246</v>
      </c>
      <c r="BK155" s="4" t="s">
        <v>254</v>
      </c>
      <c r="BL155" s="4" t="s">
        <v>255</v>
      </c>
      <c r="BM155" s="4" t="s">
        <v>241</v>
      </c>
      <c r="BN155" s="6">
        <f>0</f>
        <v>0</v>
      </c>
      <c r="BO155" s="6">
        <f>0</f>
        <v>0</v>
      </c>
      <c r="BP155" s="4" t="s">
        <v>256</v>
      </c>
      <c r="BQ155" s="4" t="s">
        <v>257</v>
      </c>
      <c r="CE155" s="4" t="s">
        <v>241</v>
      </c>
      <c r="CF155" s="4" t="s">
        <v>241</v>
      </c>
      <c r="CJ155" s="4" t="s">
        <v>258</v>
      </c>
      <c r="CK155" s="4" t="s">
        <v>259</v>
      </c>
      <c r="CL155" s="4" t="s">
        <v>241</v>
      </c>
      <c r="CO155" s="5" t="s">
        <v>260</v>
      </c>
      <c r="CP155" s="4" t="s">
        <v>241</v>
      </c>
      <c r="CQ155" s="4" t="s">
        <v>261</v>
      </c>
      <c r="CR155" s="4" t="s">
        <v>241</v>
      </c>
      <c r="CS155" s="4" t="s">
        <v>241</v>
      </c>
      <c r="CT155" s="4">
        <v>0</v>
      </c>
      <c r="CU155" s="4" t="s">
        <v>262</v>
      </c>
      <c r="CV155" s="4" t="s">
        <v>263</v>
      </c>
      <c r="CW155" s="4" t="s">
        <v>263</v>
      </c>
      <c r="CX155" s="4" t="s">
        <v>264</v>
      </c>
      <c r="DA155" s="6">
        <f>1151800</f>
        <v>1151800</v>
      </c>
      <c r="DC155" s="4" t="s">
        <v>422</v>
      </c>
      <c r="DD155" s="4" t="s">
        <v>241</v>
      </c>
      <c r="DF155" s="4" t="s">
        <v>287</v>
      </c>
      <c r="DG155" s="6">
        <f>0</f>
        <v>0</v>
      </c>
      <c r="DI155" s="4" t="s">
        <v>414</v>
      </c>
      <c r="DJ155" s="4" t="s">
        <v>241</v>
      </c>
      <c r="DK155" s="4" t="s">
        <v>241</v>
      </c>
      <c r="DL155" s="4" t="s">
        <v>241</v>
      </c>
      <c r="DP155" s="4" t="s">
        <v>241</v>
      </c>
      <c r="DQ155" s="4" t="s">
        <v>241</v>
      </c>
      <c r="DR155" s="4" t="s">
        <v>241</v>
      </c>
      <c r="DS155" s="4" t="s">
        <v>241</v>
      </c>
      <c r="DV155" s="4" t="s">
        <v>5191</v>
      </c>
      <c r="DW155" s="4" t="s">
        <v>267</v>
      </c>
      <c r="HO155" s="4" t="s">
        <v>267</v>
      </c>
    </row>
    <row r="156" spans="1:223" ht="19.5" customHeight="1" x14ac:dyDescent="0.4">
      <c r="A156" s="4">
        <v>1</v>
      </c>
      <c r="B156" s="4" t="s">
        <v>239</v>
      </c>
      <c r="C156" s="4">
        <v>867</v>
      </c>
      <c r="D156" s="4">
        <v>1</v>
      </c>
      <c r="E156" s="4">
        <v>1</v>
      </c>
      <c r="F156" s="4" t="s">
        <v>240</v>
      </c>
      <c r="G156" s="4" t="s">
        <v>241</v>
      </c>
      <c r="H156" s="4" t="s">
        <v>241</v>
      </c>
      <c r="I156" s="4" t="s">
        <v>5189</v>
      </c>
      <c r="J156" s="4" t="s">
        <v>418</v>
      </c>
      <c r="K156" s="4" t="s">
        <v>251</v>
      </c>
      <c r="L156" s="4" t="s">
        <v>5188</v>
      </c>
      <c r="M156" s="5" t="s">
        <v>5521</v>
      </c>
      <c r="N156" s="6">
        <f>412</f>
        <v>412</v>
      </c>
      <c r="O156" s="4" t="s">
        <v>265</v>
      </c>
      <c r="P156" s="6">
        <f>912580</f>
        <v>912580</v>
      </c>
      <c r="Q156" s="6">
        <f>0</f>
        <v>0</v>
      </c>
      <c r="S156" s="6">
        <f>0</f>
        <v>0</v>
      </c>
      <c r="T156" s="6">
        <f>912580</f>
        <v>912580</v>
      </c>
      <c r="U156" s="5" t="s">
        <v>245</v>
      </c>
      <c r="V156" s="4" t="s">
        <v>270</v>
      </c>
      <c r="W156" s="4" t="s">
        <v>242</v>
      </c>
      <c r="X156" s="4" t="s">
        <v>273</v>
      </c>
      <c r="Y156" s="4" t="s">
        <v>241</v>
      </c>
      <c r="AB156" s="4" t="s">
        <v>241</v>
      </c>
      <c r="AD156" s="5" t="s">
        <v>241</v>
      </c>
      <c r="AG156" s="5" t="s">
        <v>246</v>
      </c>
      <c r="AH156" s="4" t="s">
        <v>241</v>
      </c>
      <c r="AI156" s="4" t="s">
        <v>247</v>
      </c>
      <c r="AJ156" s="4" t="s">
        <v>248</v>
      </c>
      <c r="AZ156" s="4" t="s">
        <v>249</v>
      </c>
      <c r="BA156" s="4" t="s">
        <v>241</v>
      </c>
      <c r="BB156" s="4" t="s">
        <v>250</v>
      </c>
      <c r="BC156" s="4" t="s">
        <v>241</v>
      </c>
      <c r="BD156" s="4" t="s">
        <v>252</v>
      </c>
      <c r="BE156" s="4" t="s">
        <v>241</v>
      </c>
      <c r="BI156" s="4" t="s">
        <v>253</v>
      </c>
      <c r="BJ156" s="5" t="s">
        <v>246</v>
      </c>
      <c r="BK156" s="4" t="s">
        <v>254</v>
      </c>
      <c r="BL156" s="4" t="s">
        <v>255</v>
      </c>
      <c r="BM156" s="4" t="s">
        <v>241</v>
      </c>
      <c r="BN156" s="6">
        <f>0</f>
        <v>0</v>
      </c>
      <c r="BO156" s="6">
        <f>0</f>
        <v>0</v>
      </c>
      <c r="BP156" s="4" t="s">
        <v>256</v>
      </c>
      <c r="BQ156" s="4" t="s">
        <v>257</v>
      </c>
      <c r="CE156" s="4" t="s">
        <v>241</v>
      </c>
      <c r="CF156" s="4" t="s">
        <v>241</v>
      </c>
      <c r="CJ156" s="4" t="s">
        <v>258</v>
      </c>
      <c r="CK156" s="4" t="s">
        <v>259</v>
      </c>
      <c r="CL156" s="4" t="s">
        <v>241</v>
      </c>
      <c r="CO156" s="5" t="s">
        <v>260</v>
      </c>
      <c r="CP156" s="4" t="s">
        <v>241</v>
      </c>
      <c r="CQ156" s="4" t="s">
        <v>261</v>
      </c>
      <c r="CR156" s="4" t="s">
        <v>241</v>
      </c>
      <c r="CS156" s="4" t="s">
        <v>241</v>
      </c>
      <c r="CT156" s="4">
        <v>0</v>
      </c>
      <c r="CU156" s="4" t="s">
        <v>262</v>
      </c>
      <c r="CV156" s="4" t="s">
        <v>263</v>
      </c>
      <c r="CW156" s="4" t="s">
        <v>263</v>
      </c>
      <c r="CX156" s="4" t="s">
        <v>264</v>
      </c>
      <c r="DA156" s="6">
        <f>912580</f>
        <v>912580</v>
      </c>
      <c r="DC156" s="4" t="s">
        <v>422</v>
      </c>
      <c r="DD156" s="4" t="s">
        <v>241</v>
      </c>
      <c r="DF156" s="4" t="s">
        <v>287</v>
      </c>
      <c r="DG156" s="6">
        <f>0</f>
        <v>0</v>
      </c>
      <c r="DI156" s="4" t="s">
        <v>414</v>
      </c>
      <c r="DJ156" s="4" t="s">
        <v>241</v>
      </c>
      <c r="DK156" s="4" t="s">
        <v>241</v>
      </c>
      <c r="DL156" s="4" t="s">
        <v>241</v>
      </c>
      <c r="DP156" s="4" t="s">
        <v>241</v>
      </c>
      <c r="DQ156" s="4" t="s">
        <v>241</v>
      </c>
      <c r="DR156" s="4" t="s">
        <v>241</v>
      </c>
      <c r="DS156" s="4" t="s">
        <v>241</v>
      </c>
      <c r="DV156" s="4" t="s">
        <v>5191</v>
      </c>
      <c r="DW156" s="4" t="s">
        <v>416</v>
      </c>
      <c r="HO156" s="4" t="s">
        <v>267</v>
      </c>
    </row>
    <row r="157" spans="1:223" ht="19.5" customHeight="1" x14ac:dyDescent="0.4">
      <c r="A157" s="4">
        <v>1</v>
      </c>
      <c r="B157" s="4" t="s">
        <v>239</v>
      </c>
      <c r="C157" s="4">
        <v>868</v>
      </c>
      <c r="D157" s="4">
        <v>1</v>
      </c>
      <c r="E157" s="4">
        <v>1</v>
      </c>
      <c r="F157" s="4" t="s">
        <v>240</v>
      </c>
      <c r="G157" s="4" t="s">
        <v>241</v>
      </c>
      <c r="H157" s="4" t="s">
        <v>241</v>
      </c>
      <c r="I157" s="4" t="s">
        <v>5185</v>
      </c>
      <c r="J157" s="4" t="s">
        <v>418</v>
      </c>
      <c r="K157" s="4" t="s">
        <v>251</v>
      </c>
      <c r="L157" s="4" t="s">
        <v>5184</v>
      </c>
      <c r="M157" s="5" t="s">
        <v>5186</v>
      </c>
      <c r="N157" s="6">
        <f>284</f>
        <v>284</v>
      </c>
      <c r="O157" s="4" t="s">
        <v>265</v>
      </c>
      <c r="P157" s="6">
        <f>139160</f>
        <v>139160</v>
      </c>
      <c r="Q157" s="6">
        <f>0</f>
        <v>0</v>
      </c>
      <c r="S157" s="6">
        <f>0</f>
        <v>0</v>
      </c>
      <c r="T157" s="6">
        <f>139160</f>
        <v>139160</v>
      </c>
      <c r="U157" s="5" t="s">
        <v>245</v>
      </c>
      <c r="V157" s="4" t="s">
        <v>270</v>
      </c>
      <c r="W157" s="4" t="s">
        <v>271</v>
      </c>
      <c r="X157" s="4" t="s">
        <v>273</v>
      </c>
      <c r="Y157" s="4" t="s">
        <v>241</v>
      </c>
      <c r="AB157" s="4" t="s">
        <v>241</v>
      </c>
      <c r="AD157" s="5" t="s">
        <v>241</v>
      </c>
      <c r="AG157" s="5" t="s">
        <v>246</v>
      </c>
      <c r="AH157" s="4" t="s">
        <v>241</v>
      </c>
      <c r="AI157" s="4" t="s">
        <v>247</v>
      </c>
      <c r="AJ157" s="4" t="s">
        <v>248</v>
      </c>
      <c r="AZ157" s="4" t="s">
        <v>249</v>
      </c>
      <c r="BA157" s="4" t="s">
        <v>241</v>
      </c>
      <c r="BB157" s="4" t="s">
        <v>250</v>
      </c>
      <c r="BC157" s="4" t="s">
        <v>241</v>
      </c>
      <c r="BD157" s="4" t="s">
        <v>252</v>
      </c>
      <c r="BE157" s="4" t="s">
        <v>241</v>
      </c>
      <c r="BG157" s="4" t="s">
        <v>4227</v>
      </c>
      <c r="BI157" s="4" t="s">
        <v>253</v>
      </c>
      <c r="BJ157" s="5" t="s">
        <v>246</v>
      </c>
      <c r="BK157" s="4" t="s">
        <v>254</v>
      </c>
      <c r="BL157" s="4" t="s">
        <v>255</v>
      </c>
      <c r="BM157" s="4" t="s">
        <v>241</v>
      </c>
      <c r="BN157" s="6">
        <f>0</f>
        <v>0</v>
      </c>
      <c r="BO157" s="6">
        <f>0</f>
        <v>0</v>
      </c>
      <c r="BP157" s="4" t="s">
        <v>256</v>
      </c>
      <c r="BQ157" s="4" t="s">
        <v>257</v>
      </c>
      <c r="CE157" s="4" t="s">
        <v>241</v>
      </c>
      <c r="CF157" s="4" t="s">
        <v>241</v>
      </c>
      <c r="CJ157" s="4" t="s">
        <v>258</v>
      </c>
      <c r="CK157" s="4" t="s">
        <v>259</v>
      </c>
      <c r="CL157" s="4" t="s">
        <v>241</v>
      </c>
      <c r="CO157" s="5" t="s">
        <v>260</v>
      </c>
      <c r="CP157" s="4" t="s">
        <v>241</v>
      </c>
      <c r="CQ157" s="4" t="s">
        <v>261</v>
      </c>
      <c r="CR157" s="4" t="s">
        <v>241</v>
      </c>
      <c r="CS157" s="4" t="s">
        <v>241</v>
      </c>
      <c r="CT157" s="4">
        <v>0</v>
      </c>
      <c r="CU157" s="4" t="s">
        <v>262</v>
      </c>
      <c r="CV157" s="4" t="s">
        <v>263</v>
      </c>
      <c r="CW157" s="4" t="s">
        <v>263</v>
      </c>
      <c r="CX157" s="4" t="s">
        <v>264</v>
      </c>
      <c r="DA157" s="6">
        <f>139160</f>
        <v>139160</v>
      </c>
      <c r="DC157" s="4" t="s">
        <v>277</v>
      </c>
      <c r="DD157" s="4" t="s">
        <v>241</v>
      </c>
      <c r="DF157" s="4" t="s">
        <v>387</v>
      </c>
      <c r="DG157" s="6">
        <f>400</f>
        <v>400</v>
      </c>
      <c r="DI157" s="4" t="s">
        <v>287</v>
      </c>
      <c r="DJ157" s="4" t="s">
        <v>241</v>
      </c>
      <c r="DK157" s="4" t="s">
        <v>241</v>
      </c>
      <c r="DL157" s="4" t="s">
        <v>241</v>
      </c>
      <c r="DP157" s="4" t="s">
        <v>241</v>
      </c>
      <c r="DQ157" s="4" t="s">
        <v>241</v>
      </c>
      <c r="DR157" s="4" t="s">
        <v>241</v>
      </c>
      <c r="DS157" s="4" t="s">
        <v>241</v>
      </c>
      <c r="DV157" s="4" t="s">
        <v>5187</v>
      </c>
      <c r="DW157" s="4" t="s">
        <v>267</v>
      </c>
      <c r="HO157" s="4" t="s">
        <v>267</v>
      </c>
    </row>
    <row r="158" spans="1:223" ht="19.5" customHeight="1" x14ac:dyDescent="0.4">
      <c r="A158" s="4">
        <v>1</v>
      </c>
      <c r="B158" s="4" t="s">
        <v>239</v>
      </c>
      <c r="C158" s="4">
        <v>869</v>
      </c>
      <c r="D158" s="4">
        <v>1</v>
      </c>
      <c r="E158" s="4">
        <v>1</v>
      </c>
      <c r="F158" s="4" t="s">
        <v>240</v>
      </c>
      <c r="G158" s="4" t="s">
        <v>241</v>
      </c>
      <c r="H158" s="4" t="s">
        <v>241</v>
      </c>
      <c r="I158" s="4" t="s">
        <v>5182</v>
      </c>
      <c r="J158" s="4" t="s">
        <v>418</v>
      </c>
      <c r="K158" s="4" t="s">
        <v>251</v>
      </c>
      <c r="L158" s="4" t="s">
        <v>5181</v>
      </c>
      <c r="M158" s="5" t="s">
        <v>3189</v>
      </c>
      <c r="N158" s="6">
        <f>1700</f>
        <v>1700</v>
      </c>
      <c r="O158" s="4" t="s">
        <v>265</v>
      </c>
      <c r="P158" s="6">
        <f>4590000</f>
        <v>4590000</v>
      </c>
      <c r="Q158" s="6">
        <f>0</f>
        <v>0</v>
      </c>
      <c r="S158" s="6">
        <f>0</f>
        <v>0</v>
      </c>
      <c r="T158" s="6">
        <f>4590000</f>
        <v>4590000</v>
      </c>
      <c r="U158" s="5" t="s">
        <v>245</v>
      </c>
      <c r="V158" s="4" t="s">
        <v>270</v>
      </c>
      <c r="W158" s="4" t="s">
        <v>242</v>
      </c>
      <c r="X158" s="4" t="s">
        <v>273</v>
      </c>
      <c r="Y158" s="4" t="s">
        <v>241</v>
      </c>
      <c r="AB158" s="4" t="s">
        <v>241</v>
      </c>
      <c r="AD158" s="5" t="s">
        <v>241</v>
      </c>
      <c r="AG158" s="5" t="s">
        <v>246</v>
      </c>
      <c r="AH158" s="4" t="s">
        <v>3188</v>
      </c>
      <c r="AI158" s="4" t="s">
        <v>247</v>
      </c>
      <c r="AJ158" s="4" t="s">
        <v>248</v>
      </c>
      <c r="AZ158" s="4" t="s">
        <v>249</v>
      </c>
      <c r="BA158" s="4" t="s">
        <v>241</v>
      </c>
      <c r="BB158" s="4" t="s">
        <v>250</v>
      </c>
      <c r="BC158" s="4" t="s">
        <v>241</v>
      </c>
      <c r="BD158" s="4" t="s">
        <v>252</v>
      </c>
      <c r="BE158" s="4" t="s">
        <v>241</v>
      </c>
      <c r="BG158" s="4" t="s">
        <v>4227</v>
      </c>
      <c r="BI158" s="4" t="s">
        <v>253</v>
      </c>
      <c r="BJ158" s="5" t="s">
        <v>246</v>
      </c>
      <c r="BK158" s="4" t="s">
        <v>254</v>
      </c>
      <c r="BL158" s="4" t="s">
        <v>255</v>
      </c>
      <c r="BM158" s="4" t="s">
        <v>241</v>
      </c>
      <c r="BN158" s="6">
        <f>0</f>
        <v>0</v>
      </c>
      <c r="BO158" s="6">
        <f>0</f>
        <v>0</v>
      </c>
      <c r="BP158" s="4" t="s">
        <v>256</v>
      </c>
      <c r="BQ158" s="4" t="s">
        <v>257</v>
      </c>
      <c r="CE158" s="4" t="s">
        <v>241</v>
      </c>
      <c r="CF158" s="4" t="s">
        <v>241</v>
      </c>
      <c r="CJ158" s="4" t="s">
        <v>258</v>
      </c>
      <c r="CK158" s="4" t="s">
        <v>259</v>
      </c>
      <c r="CL158" s="4" t="s">
        <v>241</v>
      </c>
      <c r="CO158" s="5" t="s">
        <v>260</v>
      </c>
      <c r="CP158" s="4" t="s">
        <v>241</v>
      </c>
      <c r="CQ158" s="4" t="s">
        <v>261</v>
      </c>
      <c r="CR158" s="4" t="s">
        <v>241</v>
      </c>
      <c r="CS158" s="4" t="s">
        <v>241</v>
      </c>
      <c r="CT158" s="4">
        <v>0</v>
      </c>
      <c r="CU158" s="4" t="s">
        <v>262</v>
      </c>
      <c r="CV158" s="4" t="s">
        <v>263</v>
      </c>
      <c r="CW158" s="4" t="s">
        <v>263</v>
      </c>
      <c r="CX158" s="4" t="s">
        <v>264</v>
      </c>
      <c r="DA158" s="6">
        <f>4590000</f>
        <v>4590000</v>
      </c>
      <c r="DC158" s="4" t="s">
        <v>266</v>
      </c>
      <c r="DD158" s="4" t="s">
        <v>241</v>
      </c>
      <c r="DF158" s="4" t="s">
        <v>266</v>
      </c>
      <c r="DG158" s="6">
        <f>2213</f>
        <v>2213</v>
      </c>
      <c r="DI158" s="4" t="s">
        <v>266</v>
      </c>
      <c r="DJ158" s="4" t="s">
        <v>241</v>
      </c>
      <c r="DK158" s="4" t="s">
        <v>241</v>
      </c>
      <c r="DL158" s="4" t="s">
        <v>241</v>
      </c>
      <c r="DP158" s="4" t="s">
        <v>241</v>
      </c>
      <c r="DQ158" s="4" t="s">
        <v>241</v>
      </c>
      <c r="DR158" s="4" t="s">
        <v>241</v>
      </c>
      <c r="DS158" s="4" t="s">
        <v>241</v>
      </c>
      <c r="DV158" s="4" t="s">
        <v>5183</v>
      </c>
      <c r="DW158" s="4" t="s">
        <v>267</v>
      </c>
      <c r="HO158" s="4" t="s">
        <v>267</v>
      </c>
    </row>
    <row r="159" spans="1:223" ht="19.5" customHeight="1" x14ac:dyDescent="0.4">
      <c r="A159" s="4">
        <v>1</v>
      </c>
      <c r="B159" s="4" t="s">
        <v>239</v>
      </c>
      <c r="C159" s="4">
        <v>870</v>
      </c>
      <c r="D159" s="4">
        <v>1</v>
      </c>
      <c r="E159" s="4">
        <v>1</v>
      </c>
      <c r="F159" s="4" t="s">
        <v>240</v>
      </c>
      <c r="G159" s="4" t="s">
        <v>241</v>
      </c>
      <c r="H159" s="4" t="s">
        <v>241</v>
      </c>
      <c r="I159" s="4" t="s">
        <v>5518</v>
      </c>
      <c r="J159" s="4" t="s">
        <v>418</v>
      </c>
      <c r="K159" s="4" t="s">
        <v>251</v>
      </c>
      <c r="L159" s="4" t="s">
        <v>5517</v>
      </c>
      <c r="M159" s="5" t="s">
        <v>5519</v>
      </c>
      <c r="N159" s="6">
        <f>575</f>
        <v>575</v>
      </c>
      <c r="O159" s="4" t="s">
        <v>265</v>
      </c>
      <c r="P159" s="6">
        <f>1273625</f>
        <v>1273625</v>
      </c>
      <c r="Q159" s="6">
        <f>0</f>
        <v>0</v>
      </c>
      <c r="S159" s="6">
        <f>0</f>
        <v>0</v>
      </c>
      <c r="T159" s="6">
        <f>1273625</f>
        <v>1273625</v>
      </c>
      <c r="U159" s="5" t="s">
        <v>245</v>
      </c>
      <c r="V159" s="4" t="s">
        <v>270</v>
      </c>
      <c r="W159" s="4" t="s">
        <v>242</v>
      </c>
      <c r="X159" s="4" t="s">
        <v>273</v>
      </c>
      <c r="Y159" s="4" t="s">
        <v>241</v>
      </c>
      <c r="AB159" s="4" t="s">
        <v>241</v>
      </c>
      <c r="AD159" s="5" t="s">
        <v>241</v>
      </c>
      <c r="AG159" s="5" t="s">
        <v>246</v>
      </c>
      <c r="AH159" s="4" t="s">
        <v>241</v>
      </c>
      <c r="AI159" s="4" t="s">
        <v>247</v>
      </c>
      <c r="AJ159" s="4" t="s">
        <v>248</v>
      </c>
      <c r="AZ159" s="4" t="s">
        <v>249</v>
      </c>
      <c r="BA159" s="4" t="s">
        <v>241</v>
      </c>
      <c r="BB159" s="4" t="s">
        <v>250</v>
      </c>
      <c r="BC159" s="4" t="s">
        <v>241</v>
      </c>
      <c r="BD159" s="4" t="s">
        <v>252</v>
      </c>
      <c r="BE159" s="4" t="s">
        <v>241</v>
      </c>
      <c r="BG159" s="4" t="s">
        <v>4227</v>
      </c>
      <c r="BI159" s="4" t="s">
        <v>253</v>
      </c>
      <c r="BJ159" s="5" t="s">
        <v>246</v>
      </c>
      <c r="BK159" s="4" t="s">
        <v>254</v>
      </c>
      <c r="BL159" s="4" t="s">
        <v>255</v>
      </c>
      <c r="BM159" s="4" t="s">
        <v>241</v>
      </c>
      <c r="BN159" s="6">
        <f>0</f>
        <v>0</v>
      </c>
      <c r="BO159" s="6">
        <f>0</f>
        <v>0</v>
      </c>
      <c r="BP159" s="4" t="s">
        <v>256</v>
      </c>
      <c r="BQ159" s="4" t="s">
        <v>257</v>
      </c>
      <c r="CE159" s="4" t="s">
        <v>241</v>
      </c>
      <c r="CF159" s="4" t="s">
        <v>241</v>
      </c>
      <c r="CJ159" s="4" t="s">
        <v>258</v>
      </c>
      <c r="CK159" s="4" t="s">
        <v>259</v>
      </c>
      <c r="CL159" s="4" t="s">
        <v>241</v>
      </c>
      <c r="CO159" s="5" t="s">
        <v>260</v>
      </c>
      <c r="CP159" s="4" t="s">
        <v>241</v>
      </c>
      <c r="CQ159" s="4" t="s">
        <v>261</v>
      </c>
      <c r="CR159" s="4" t="s">
        <v>241</v>
      </c>
      <c r="CS159" s="4" t="s">
        <v>241</v>
      </c>
      <c r="CT159" s="4">
        <v>0</v>
      </c>
      <c r="CU159" s="4" t="s">
        <v>262</v>
      </c>
      <c r="CV159" s="4" t="s">
        <v>263</v>
      </c>
      <c r="CW159" s="4" t="s">
        <v>263</v>
      </c>
      <c r="CX159" s="4" t="s">
        <v>264</v>
      </c>
      <c r="DA159" s="6">
        <f>1273625</f>
        <v>1273625</v>
      </c>
      <c r="DC159" s="4" t="s">
        <v>414</v>
      </c>
      <c r="DD159" s="4" t="s">
        <v>241</v>
      </c>
      <c r="DF159" s="4" t="s">
        <v>287</v>
      </c>
      <c r="DG159" s="6">
        <f>0</f>
        <v>0</v>
      </c>
      <c r="DI159" s="4" t="s">
        <v>414</v>
      </c>
      <c r="DJ159" s="4" t="s">
        <v>241</v>
      </c>
      <c r="DK159" s="4" t="s">
        <v>241</v>
      </c>
      <c r="DL159" s="4" t="s">
        <v>241</v>
      </c>
      <c r="DP159" s="4" t="s">
        <v>241</v>
      </c>
      <c r="DQ159" s="4" t="s">
        <v>241</v>
      </c>
      <c r="DR159" s="4" t="s">
        <v>241</v>
      </c>
      <c r="DS159" s="4" t="s">
        <v>241</v>
      </c>
      <c r="DV159" s="4" t="s">
        <v>5520</v>
      </c>
      <c r="DW159" s="4" t="s">
        <v>267</v>
      </c>
      <c r="HO159" s="4" t="s">
        <v>267</v>
      </c>
    </row>
    <row r="160" spans="1:223" ht="19.5" customHeight="1" x14ac:dyDescent="0.4">
      <c r="A160" s="4">
        <v>1</v>
      </c>
      <c r="B160" s="4" t="s">
        <v>239</v>
      </c>
      <c r="C160" s="4">
        <v>871</v>
      </c>
      <c r="D160" s="4">
        <v>1</v>
      </c>
      <c r="E160" s="4">
        <v>1</v>
      </c>
      <c r="F160" s="4" t="s">
        <v>240</v>
      </c>
      <c r="G160" s="4" t="s">
        <v>241</v>
      </c>
      <c r="H160" s="4" t="s">
        <v>241</v>
      </c>
      <c r="I160" s="4" t="s">
        <v>5171</v>
      </c>
      <c r="J160" s="4" t="s">
        <v>418</v>
      </c>
      <c r="K160" s="4" t="s">
        <v>251</v>
      </c>
      <c r="L160" s="4" t="s">
        <v>5170</v>
      </c>
      <c r="M160" s="5" t="s">
        <v>5174</v>
      </c>
      <c r="N160" s="6">
        <f>379</f>
        <v>379</v>
      </c>
      <c r="O160" s="4" t="s">
        <v>265</v>
      </c>
      <c r="P160" s="6">
        <f>985400</f>
        <v>985400</v>
      </c>
      <c r="Q160" s="6">
        <f>0</f>
        <v>0</v>
      </c>
      <c r="S160" s="6">
        <f>0</f>
        <v>0</v>
      </c>
      <c r="T160" s="6">
        <f>985400</f>
        <v>985400</v>
      </c>
      <c r="U160" s="5" t="s">
        <v>245</v>
      </c>
      <c r="V160" s="4" t="s">
        <v>270</v>
      </c>
      <c r="W160" s="4" t="s">
        <v>242</v>
      </c>
      <c r="X160" s="4" t="s">
        <v>273</v>
      </c>
      <c r="Y160" s="4" t="s">
        <v>241</v>
      </c>
      <c r="AB160" s="4" t="s">
        <v>241</v>
      </c>
      <c r="AD160" s="5" t="s">
        <v>241</v>
      </c>
      <c r="AG160" s="5" t="s">
        <v>246</v>
      </c>
      <c r="AH160" s="4" t="s">
        <v>241</v>
      </c>
      <c r="AI160" s="4" t="s">
        <v>247</v>
      </c>
      <c r="AJ160" s="4" t="s">
        <v>248</v>
      </c>
      <c r="AZ160" s="4" t="s">
        <v>249</v>
      </c>
      <c r="BA160" s="4" t="s">
        <v>241</v>
      </c>
      <c r="BB160" s="4" t="s">
        <v>250</v>
      </c>
      <c r="BC160" s="4" t="s">
        <v>241</v>
      </c>
      <c r="BD160" s="4" t="s">
        <v>252</v>
      </c>
      <c r="BE160" s="4" t="s">
        <v>241</v>
      </c>
      <c r="BG160" s="4" t="s">
        <v>4227</v>
      </c>
      <c r="BI160" s="4" t="s">
        <v>253</v>
      </c>
      <c r="BJ160" s="5" t="s">
        <v>246</v>
      </c>
      <c r="BK160" s="4" t="s">
        <v>254</v>
      </c>
      <c r="BL160" s="4" t="s">
        <v>255</v>
      </c>
      <c r="BM160" s="4" t="s">
        <v>241</v>
      </c>
      <c r="BN160" s="6">
        <f>0</f>
        <v>0</v>
      </c>
      <c r="BO160" s="6">
        <f>0</f>
        <v>0</v>
      </c>
      <c r="BP160" s="4" t="s">
        <v>256</v>
      </c>
      <c r="BQ160" s="4" t="s">
        <v>257</v>
      </c>
      <c r="CE160" s="4" t="s">
        <v>241</v>
      </c>
      <c r="CF160" s="4" t="s">
        <v>241</v>
      </c>
      <c r="CJ160" s="4" t="s">
        <v>258</v>
      </c>
      <c r="CK160" s="4" t="s">
        <v>259</v>
      </c>
      <c r="CL160" s="4" t="s">
        <v>241</v>
      </c>
      <c r="CO160" s="5" t="s">
        <v>260</v>
      </c>
      <c r="CP160" s="4" t="s">
        <v>241</v>
      </c>
      <c r="CQ160" s="4" t="s">
        <v>261</v>
      </c>
      <c r="CR160" s="4" t="s">
        <v>241</v>
      </c>
      <c r="CS160" s="4" t="s">
        <v>241</v>
      </c>
      <c r="CT160" s="4">
        <v>0</v>
      </c>
      <c r="CU160" s="4" t="s">
        <v>262</v>
      </c>
      <c r="CV160" s="4" t="s">
        <v>263</v>
      </c>
      <c r="CW160" s="4" t="s">
        <v>263</v>
      </c>
      <c r="CX160" s="4" t="s">
        <v>264</v>
      </c>
      <c r="DA160" s="6">
        <f>985400</f>
        <v>985400</v>
      </c>
      <c r="DC160" s="4" t="s">
        <v>3148</v>
      </c>
      <c r="DD160" s="4" t="s">
        <v>241</v>
      </c>
      <c r="DF160" s="4" t="s">
        <v>287</v>
      </c>
      <c r="DG160" s="6">
        <f>0</f>
        <v>0</v>
      </c>
      <c r="DI160" s="4" t="s">
        <v>266</v>
      </c>
      <c r="DJ160" s="4" t="s">
        <v>241</v>
      </c>
      <c r="DK160" s="4" t="s">
        <v>241</v>
      </c>
      <c r="DL160" s="4" t="s">
        <v>241</v>
      </c>
      <c r="DP160" s="4" t="s">
        <v>241</v>
      </c>
      <c r="DQ160" s="4" t="s">
        <v>241</v>
      </c>
      <c r="DR160" s="4" t="s">
        <v>241</v>
      </c>
      <c r="DS160" s="4" t="s">
        <v>241</v>
      </c>
      <c r="DV160" s="4" t="s">
        <v>5173</v>
      </c>
      <c r="DW160" s="4" t="s">
        <v>267</v>
      </c>
      <c r="HO160" s="4" t="s">
        <v>267</v>
      </c>
    </row>
    <row r="161" spans="1:223" ht="19.5" customHeight="1" x14ac:dyDescent="0.4">
      <c r="A161" s="4">
        <v>1</v>
      </c>
      <c r="B161" s="4" t="s">
        <v>239</v>
      </c>
      <c r="C161" s="4">
        <v>872</v>
      </c>
      <c r="D161" s="4">
        <v>1</v>
      </c>
      <c r="E161" s="4">
        <v>1</v>
      </c>
      <c r="F161" s="4" t="s">
        <v>240</v>
      </c>
      <c r="G161" s="4" t="s">
        <v>241</v>
      </c>
      <c r="H161" s="4" t="s">
        <v>241</v>
      </c>
      <c r="I161" s="4" t="s">
        <v>5171</v>
      </c>
      <c r="J161" s="4" t="s">
        <v>418</v>
      </c>
      <c r="K161" s="4" t="s">
        <v>251</v>
      </c>
      <c r="L161" s="4" t="s">
        <v>5170</v>
      </c>
      <c r="M161" s="5" t="s">
        <v>5179</v>
      </c>
      <c r="N161" s="6">
        <f>44</f>
        <v>44</v>
      </c>
      <c r="O161" s="4" t="s">
        <v>265</v>
      </c>
      <c r="P161" s="6">
        <f>114400</f>
        <v>114400</v>
      </c>
      <c r="Q161" s="6">
        <f>0</f>
        <v>0</v>
      </c>
      <c r="S161" s="6">
        <f>0</f>
        <v>0</v>
      </c>
      <c r="T161" s="6">
        <f>114400</f>
        <v>114400</v>
      </c>
      <c r="U161" s="5" t="s">
        <v>245</v>
      </c>
      <c r="V161" s="4" t="s">
        <v>270</v>
      </c>
      <c r="W161" s="4" t="s">
        <v>242</v>
      </c>
      <c r="X161" s="4" t="s">
        <v>273</v>
      </c>
      <c r="Y161" s="4" t="s">
        <v>241</v>
      </c>
      <c r="AB161" s="4" t="s">
        <v>241</v>
      </c>
      <c r="AD161" s="5" t="s">
        <v>241</v>
      </c>
      <c r="AG161" s="5" t="s">
        <v>246</v>
      </c>
      <c r="AH161" s="4" t="s">
        <v>241</v>
      </c>
      <c r="AI161" s="4" t="s">
        <v>247</v>
      </c>
      <c r="AJ161" s="4" t="s">
        <v>248</v>
      </c>
      <c r="AZ161" s="4" t="s">
        <v>249</v>
      </c>
      <c r="BA161" s="4" t="s">
        <v>241</v>
      </c>
      <c r="BB161" s="4" t="s">
        <v>250</v>
      </c>
      <c r="BC161" s="4" t="s">
        <v>241</v>
      </c>
      <c r="BD161" s="4" t="s">
        <v>252</v>
      </c>
      <c r="BE161" s="4" t="s">
        <v>241</v>
      </c>
      <c r="BI161" s="4" t="s">
        <v>253</v>
      </c>
      <c r="BJ161" s="5" t="s">
        <v>246</v>
      </c>
      <c r="BK161" s="4" t="s">
        <v>254</v>
      </c>
      <c r="BL161" s="4" t="s">
        <v>255</v>
      </c>
      <c r="BM161" s="4" t="s">
        <v>241</v>
      </c>
      <c r="BN161" s="6">
        <f>0</f>
        <v>0</v>
      </c>
      <c r="BO161" s="6">
        <f>0</f>
        <v>0</v>
      </c>
      <c r="BP161" s="4" t="s">
        <v>256</v>
      </c>
      <c r="BQ161" s="4" t="s">
        <v>257</v>
      </c>
      <c r="CE161" s="4" t="s">
        <v>241</v>
      </c>
      <c r="CF161" s="4" t="s">
        <v>241</v>
      </c>
      <c r="CJ161" s="4" t="s">
        <v>258</v>
      </c>
      <c r="CK161" s="4" t="s">
        <v>259</v>
      </c>
      <c r="CL161" s="4" t="s">
        <v>241</v>
      </c>
      <c r="CO161" s="5" t="s">
        <v>260</v>
      </c>
      <c r="CP161" s="4" t="s">
        <v>241</v>
      </c>
      <c r="CQ161" s="4" t="s">
        <v>261</v>
      </c>
      <c r="CR161" s="4" t="s">
        <v>241</v>
      </c>
      <c r="CS161" s="4" t="s">
        <v>241</v>
      </c>
      <c r="CT161" s="4">
        <v>0</v>
      </c>
      <c r="CU161" s="4" t="s">
        <v>262</v>
      </c>
      <c r="CV161" s="4" t="s">
        <v>263</v>
      </c>
      <c r="CW161" s="4" t="s">
        <v>263</v>
      </c>
      <c r="CX161" s="4" t="s">
        <v>264</v>
      </c>
      <c r="DA161" s="6">
        <f>114400</f>
        <v>114400</v>
      </c>
      <c r="DC161" s="4" t="s">
        <v>3148</v>
      </c>
      <c r="DD161" s="4" t="s">
        <v>241</v>
      </c>
      <c r="DF161" s="4" t="s">
        <v>287</v>
      </c>
      <c r="DG161" s="6">
        <f>0</f>
        <v>0</v>
      </c>
      <c r="DI161" s="4" t="s">
        <v>266</v>
      </c>
      <c r="DJ161" s="4" t="s">
        <v>241</v>
      </c>
      <c r="DK161" s="4" t="s">
        <v>241</v>
      </c>
      <c r="DL161" s="4" t="s">
        <v>241</v>
      </c>
      <c r="DP161" s="4" t="s">
        <v>241</v>
      </c>
      <c r="DQ161" s="4" t="s">
        <v>241</v>
      </c>
      <c r="DR161" s="4" t="s">
        <v>241</v>
      </c>
      <c r="DS161" s="4" t="s">
        <v>241</v>
      </c>
      <c r="DV161" s="4" t="s">
        <v>5173</v>
      </c>
      <c r="DW161" s="4" t="s">
        <v>416</v>
      </c>
      <c r="HO161" s="4" t="s">
        <v>267</v>
      </c>
    </row>
    <row r="162" spans="1:223" ht="19.5" customHeight="1" x14ac:dyDescent="0.4">
      <c r="A162" s="4">
        <v>1</v>
      </c>
      <c r="B162" s="4" t="s">
        <v>239</v>
      </c>
      <c r="C162" s="4">
        <v>873</v>
      </c>
      <c r="D162" s="4">
        <v>1</v>
      </c>
      <c r="E162" s="4">
        <v>1</v>
      </c>
      <c r="F162" s="4" t="s">
        <v>240</v>
      </c>
      <c r="G162" s="4" t="s">
        <v>241</v>
      </c>
      <c r="H162" s="4" t="s">
        <v>241</v>
      </c>
      <c r="I162" s="4" t="s">
        <v>5171</v>
      </c>
      <c r="J162" s="4" t="s">
        <v>418</v>
      </c>
      <c r="K162" s="4" t="s">
        <v>251</v>
      </c>
      <c r="L162" s="4" t="s">
        <v>5170</v>
      </c>
      <c r="M162" s="5" t="s">
        <v>5516</v>
      </c>
      <c r="N162" s="6">
        <f>83</f>
        <v>83</v>
      </c>
      <c r="O162" s="4" t="s">
        <v>265</v>
      </c>
      <c r="P162" s="6">
        <f>3569</f>
        <v>3569</v>
      </c>
      <c r="Q162" s="6">
        <f>0</f>
        <v>0</v>
      </c>
      <c r="S162" s="6">
        <f>0</f>
        <v>0</v>
      </c>
      <c r="T162" s="6">
        <f>3569</f>
        <v>3569</v>
      </c>
      <c r="U162" s="5" t="s">
        <v>245</v>
      </c>
      <c r="V162" s="4" t="s">
        <v>270</v>
      </c>
      <c r="W162" s="4" t="s">
        <v>242</v>
      </c>
      <c r="X162" s="4" t="s">
        <v>273</v>
      </c>
      <c r="Y162" s="4" t="s">
        <v>241</v>
      </c>
      <c r="AB162" s="4" t="s">
        <v>241</v>
      </c>
      <c r="AD162" s="5" t="s">
        <v>241</v>
      </c>
      <c r="AG162" s="5" t="s">
        <v>246</v>
      </c>
      <c r="AH162" s="4" t="s">
        <v>241</v>
      </c>
      <c r="AI162" s="4" t="s">
        <v>247</v>
      </c>
      <c r="AJ162" s="4" t="s">
        <v>248</v>
      </c>
      <c r="AZ162" s="4" t="s">
        <v>249</v>
      </c>
      <c r="BA162" s="4" t="s">
        <v>241</v>
      </c>
      <c r="BB162" s="4" t="s">
        <v>250</v>
      </c>
      <c r="BC162" s="4" t="s">
        <v>241</v>
      </c>
      <c r="BD162" s="4" t="s">
        <v>252</v>
      </c>
      <c r="BE162" s="4" t="s">
        <v>241</v>
      </c>
      <c r="BI162" s="4" t="s">
        <v>253</v>
      </c>
      <c r="BJ162" s="5" t="s">
        <v>246</v>
      </c>
      <c r="BK162" s="4" t="s">
        <v>254</v>
      </c>
      <c r="BL162" s="4" t="s">
        <v>255</v>
      </c>
      <c r="BM162" s="4" t="s">
        <v>241</v>
      </c>
      <c r="BN162" s="6">
        <f>0</f>
        <v>0</v>
      </c>
      <c r="BO162" s="6">
        <f>0</f>
        <v>0</v>
      </c>
      <c r="BP162" s="4" t="s">
        <v>256</v>
      </c>
      <c r="BQ162" s="4" t="s">
        <v>257</v>
      </c>
      <c r="CE162" s="4" t="s">
        <v>241</v>
      </c>
      <c r="CF162" s="4" t="s">
        <v>241</v>
      </c>
      <c r="CJ162" s="4" t="s">
        <v>258</v>
      </c>
      <c r="CK162" s="4" t="s">
        <v>259</v>
      </c>
      <c r="CL162" s="4" t="s">
        <v>241</v>
      </c>
      <c r="CO162" s="5" t="s">
        <v>260</v>
      </c>
      <c r="CP162" s="4" t="s">
        <v>241</v>
      </c>
      <c r="CQ162" s="4" t="s">
        <v>261</v>
      </c>
      <c r="CR162" s="4" t="s">
        <v>241</v>
      </c>
      <c r="CS162" s="4" t="s">
        <v>241</v>
      </c>
      <c r="CT162" s="4">
        <v>0</v>
      </c>
      <c r="CU162" s="4" t="s">
        <v>262</v>
      </c>
      <c r="CV162" s="4" t="s">
        <v>263</v>
      </c>
      <c r="CW162" s="4" t="s">
        <v>263</v>
      </c>
      <c r="CX162" s="4" t="s">
        <v>264</v>
      </c>
      <c r="DA162" s="6">
        <f>3569</f>
        <v>3569</v>
      </c>
      <c r="DC162" s="4" t="s">
        <v>348</v>
      </c>
      <c r="DD162" s="4" t="s">
        <v>241</v>
      </c>
      <c r="DF162" s="4" t="s">
        <v>287</v>
      </c>
      <c r="DG162" s="6">
        <f>0</f>
        <v>0</v>
      </c>
      <c r="DI162" s="4" t="s">
        <v>348</v>
      </c>
      <c r="DJ162" s="4" t="s">
        <v>241</v>
      </c>
      <c r="DK162" s="4" t="s">
        <v>241</v>
      </c>
      <c r="DL162" s="4" t="s">
        <v>241</v>
      </c>
      <c r="DP162" s="4" t="s">
        <v>241</v>
      </c>
      <c r="DQ162" s="4" t="s">
        <v>241</v>
      </c>
      <c r="DR162" s="4" t="s">
        <v>241</v>
      </c>
      <c r="DS162" s="4" t="s">
        <v>241</v>
      </c>
      <c r="DV162" s="4" t="s">
        <v>5173</v>
      </c>
      <c r="DW162" s="4" t="s">
        <v>388</v>
      </c>
      <c r="HO162" s="4" t="s">
        <v>267</v>
      </c>
    </row>
    <row r="163" spans="1:223" ht="19.5" customHeight="1" x14ac:dyDescent="0.4">
      <c r="A163" s="4">
        <v>1</v>
      </c>
      <c r="B163" s="4" t="s">
        <v>239</v>
      </c>
      <c r="C163" s="4">
        <v>874</v>
      </c>
      <c r="D163" s="4">
        <v>1</v>
      </c>
      <c r="E163" s="4">
        <v>1</v>
      </c>
      <c r="F163" s="4" t="s">
        <v>240</v>
      </c>
      <c r="G163" s="4" t="s">
        <v>241</v>
      </c>
      <c r="H163" s="4" t="s">
        <v>241</v>
      </c>
      <c r="I163" s="4" t="s">
        <v>5171</v>
      </c>
      <c r="J163" s="4" t="s">
        <v>418</v>
      </c>
      <c r="K163" s="4" t="s">
        <v>251</v>
      </c>
      <c r="L163" s="4" t="s">
        <v>5170</v>
      </c>
      <c r="M163" s="5" t="s">
        <v>5175</v>
      </c>
      <c r="N163" s="6">
        <f>127</f>
        <v>127</v>
      </c>
      <c r="O163" s="4" t="s">
        <v>265</v>
      </c>
      <c r="P163" s="6">
        <f>5461</f>
        <v>5461</v>
      </c>
      <c r="Q163" s="6">
        <f>0</f>
        <v>0</v>
      </c>
      <c r="S163" s="6">
        <f>0</f>
        <v>0</v>
      </c>
      <c r="T163" s="6">
        <f>5461</f>
        <v>5461</v>
      </c>
      <c r="U163" s="5" t="s">
        <v>245</v>
      </c>
      <c r="V163" s="4" t="s">
        <v>270</v>
      </c>
      <c r="W163" s="4" t="s">
        <v>242</v>
      </c>
      <c r="X163" s="4" t="s">
        <v>273</v>
      </c>
      <c r="Y163" s="4" t="s">
        <v>241</v>
      </c>
      <c r="AB163" s="4" t="s">
        <v>241</v>
      </c>
      <c r="AD163" s="5" t="s">
        <v>241</v>
      </c>
      <c r="AG163" s="5" t="s">
        <v>246</v>
      </c>
      <c r="AH163" s="4" t="s">
        <v>241</v>
      </c>
      <c r="AI163" s="4" t="s">
        <v>247</v>
      </c>
      <c r="AJ163" s="4" t="s">
        <v>248</v>
      </c>
      <c r="AZ163" s="4" t="s">
        <v>249</v>
      </c>
      <c r="BA163" s="4" t="s">
        <v>241</v>
      </c>
      <c r="BB163" s="4" t="s">
        <v>250</v>
      </c>
      <c r="BC163" s="4" t="s">
        <v>241</v>
      </c>
      <c r="BD163" s="4" t="s">
        <v>252</v>
      </c>
      <c r="BE163" s="4" t="s">
        <v>241</v>
      </c>
      <c r="BI163" s="4" t="s">
        <v>253</v>
      </c>
      <c r="BJ163" s="5" t="s">
        <v>246</v>
      </c>
      <c r="BK163" s="4" t="s">
        <v>254</v>
      </c>
      <c r="BL163" s="4" t="s">
        <v>255</v>
      </c>
      <c r="BM163" s="4" t="s">
        <v>241</v>
      </c>
      <c r="BN163" s="6">
        <f>0</f>
        <v>0</v>
      </c>
      <c r="BO163" s="6">
        <f>0</f>
        <v>0</v>
      </c>
      <c r="BP163" s="4" t="s">
        <v>256</v>
      </c>
      <c r="BQ163" s="4" t="s">
        <v>257</v>
      </c>
      <c r="CE163" s="4" t="s">
        <v>241</v>
      </c>
      <c r="CF163" s="4" t="s">
        <v>241</v>
      </c>
      <c r="CJ163" s="4" t="s">
        <v>258</v>
      </c>
      <c r="CK163" s="4" t="s">
        <v>259</v>
      </c>
      <c r="CL163" s="4" t="s">
        <v>241</v>
      </c>
      <c r="CO163" s="5" t="s">
        <v>260</v>
      </c>
      <c r="CP163" s="4" t="s">
        <v>241</v>
      </c>
      <c r="CQ163" s="4" t="s">
        <v>261</v>
      </c>
      <c r="CR163" s="4" t="s">
        <v>241</v>
      </c>
      <c r="CS163" s="4" t="s">
        <v>241</v>
      </c>
      <c r="CT163" s="4">
        <v>0</v>
      </c>
      <c r="CU163" s="4" t="s">
        <v>262</v>
      </c>
      <c r="CV163" s="4" t="s">
        <v>263</v>
      </c>
      <c r="CW163" s="4" t="s">
        <v>263</v>
      </c>
      <c r="CX163" s="4" t="s">
        <v>264</v>
      </c>
      <c r="DA163" s="6">
        <f>5461</f>
        <v>5461</v>
      </c>
      <c r="DC163" s="4" t="s">
        <v>348</v>
      </c>
      <c r="DD163" s="4" t="s">
        <v>241</v>
      </c>
      <c r="DF163" s="4" t="s">
        <v>287</v>
      </c>
      <c r="DG163" s="6">
        <f>0</f>
        <v>0</v>
      </c>
      <c r="DI163" s="4" t="s">
        <v>348</v>
      </c>
      <c r="DJ163" s="4" t="s">
        <v>241</v>
      </c>
      <c r="DK163" s="4" t="s">
        <v>241</v>
      </c>
      <c r="DL163" s="4" t="s">
        <v>241</v>
      </c>
      <c r="DP163" s="4" t="s">
        <v>241</v>
      </c>
      <c r="DQ163" s="4" t="s">
        <v>241</v>
      </c>
      <c r="DR163" s="4" t="s">
        <v>241</v>
      </c>
      <c r="DS163" s="4" t="s">
        <v>241</v>
      </c>
      <c r="DV163" s="4" t="s">
        <v>5173</v>
      </c>
      <c r="DW163" s="4" t="s">
        <v>327</v>
      </c>
      <c r="HO163" s="4" t="s">
        <v>267</v>
      </c>
    </row>
    <row r="164" spans="1:223" ht="19.5" customHeight="1" x14ac:dyDescent="0.4">
      <c r="A164" s="4">
        <v>1</v>
      </c>
      <c r="B164" s="4" t="s">
        <v>239</v>
      </c>
      <c r="C164" s="4">
        <v>875</v>
      </c>
      <c r="D164" s="4">
        <v>1</v>
      </c>
      <c r="E164" s="4">
        <v>1</v>
      </c>
      <c r="F164" s="4" t="s">
        <v>240</v>
      </c>
      <c r="G164" s="4" t="s">
        <v>241</v>
      </c>
      <c r="H164" s="4" t="s">
        <v>241</v>
      </c>
      <c r="I164" s="4" t="s">
        <v>5171</v>
      </c>
      <c r="J164" s="4" t="s">
        <v>418</v>
      </c>
      <c r="K164" s="4" t="s">
        <v>251</v>
      </c>
      <c r="L164" s="4" t="s">
        <v>5170</v>
      </c>
      <c r="M164" s="5" t="s">
        <v>5172</v>
      </c>
      <c r="N164" s="6">
        <f>113</f>
        <v>113</v>
      </c>
      <c r="O164" s="4" t="s">
        <v>265</v>
      </c>
      <c r="P164" s="6">
        <f>4859</f>
        <v>4859</v>
      </c>
      <c r="Q164" s="6">
        <f>0</f>
        <v>0</v>
      </c>
      <c r="S164" s="6">
        <f>0</f>
        <v>0</v>
      </c>
      <c r="T164" s="6">
        <f>4859</f>
        <v>4859</v>
      </c>
      <c r="U164" s="5" t="s">
        <v>245</v>
      </c>
      <c r="V164" s="4" t="s">
        <v>270</v>
      </c>
      <c r="W164" s="4" t="s">
        <v>242</v>
      </c>
      <c r="X164" s="4" t="s">
        <v>273</v>
      </c>
      <c r="Y164" s="4" t="s">
        <v>241</v>
      </c>
      <c r="AB164" s="4" t="s">
        <v>241</v>
      </c>
      <c r="AD164" s="5" t="s">
        <v>241</v>
      </c>
      <c r="AG164" s="5" t="s">
        <v>246</v>
      </c>
      <c r="AH164" s="4" t="s">
        <v>241</v>
      </c>
      <c r="AI164" s="4" t="s">
        <v>247</v>
      </c>
      <c r="AJ164" s="4" t="s">
        <v>248</v>
      </c>
      <c r="AZ164" s="4" t="s">
        <v>249</v>
      </c>
      <c r="BA164" s="4" t="s">
        <v>241</v>
      </c>
      <c r="BB164" s="4" t="s">
        <v>250</v>
      </c>
      <c r="BC164" s="4" t="s">
        <v>241</v>
      </c>
      <c r="BD164" s="4" t="s">
        <v>252</v>
      </c>
      <c r="BE164" s="4" t="s">
        <v>241</v>
      </c>
      <c r="BI164" s="4" t="s">
        <v>253</v>
      </c>
      <c r="BJ164" s="5" t="s">
        <v>246</v>
      </c>
      <c r="BK164" s="4" t="s">
        <v>254</v>
      </c>
      <c r="BL164" s="4" t="s">
        <v>255</v>
      </c>
      <c r="BM164" s="4" t="s">
        <v>241</v>
      </c>
      <c r="BN164" s="6">
        <f>0</f>
        <v>0</v>
      </c>
      <c r="BO164" s="6">
        <f>0</f>
        <v>0</v>
      </c>
      <c r="BP164" s="4" t="s">
        <v>256</v>
      </c>
      <c r="BQ164" s="4" t="s">
        <v>257</v>
      </c>
      <c r="CE164" s="4" t="s">
        <v>241</v>
      </c>
      <c r="CF164" s="4" t="s">
        <v>241</v>
      </c>
      <c r="CJ164" s="4" t="s">
        <v>258</v>
      </c>
      <c r="CK164" s="4" t="s">
        <v>259</v>
      </c>
      <c r="CL164" s="4" t="s">
        <v>241</v>
      </c>
      <c r="CO164" s="5" t="s">
        <v>260</v>
      </c>
      <c r="CP164" s="4" t="s">
        <v>241</v>
      </c>
      <c r="CQ164" s="4" t="s">
        <v>261</v>
      </c>
      <c r="CR164" s="4" t="s">
        <v>241</v>
      </c>
      <c r="CS164" s="4" t="s">
        <v>241</v>
      </c>
      <c r="CT164" s="4">
        <v>0</v>
      </c>
      <c r="CU164" s="4" t="s">
        <v>262</v>
      </c>
      <c r="CV164" s="4" t="s">
        <v>263</v>
      </c>
      <c r="CW164" s="4" t="s">
        <v>263</v>
      </c>
      <c r="CX164" s="4" t="s">
        <v>264</v>
      </c>
      <c r="DA164" s="6">
        <f>4859</f>
        <v>4859</v>
      </c>
      <c r="DC164" s="4" t="s">
        <v>348</v>
      </c>
      <c r="DD164" s="4" t="s">
        <v>241</v>
      </c>
      <c r="DF164" s="4" t="s">
        <v>287</v>
      </c>
      <c r="DG164" s="6">
        <f>0</f>
        <v>0</v>
      </c>
      <c r="DI164" s="4" t="s">
        <v>348</v>
      </c>
      <c r="DJ164" s="4" t="s">
        <v>241</v>
      </c>
      <c r="DK164" s="4" t="s">
        <v>241</v>
      </c>
      <c r="DL164" s="4" t="s">
        <v>241</v>
      </c>
      <c r="DP164" s="4" t="s">
        <v>241</v>
      </c>
      <c r="DQ164" s="4" t="s">
        <v>241</v>
      </c>
      <c r="DR164" s="4" t="s">
        <v>241</v>
      </c>
      <c r="DS164" s="4" t="s">
        <v>241</v>
      </c>
      <c r="DV164" s="4" t="s">
        <v>5173</v>
      </c>
      <c r="DW164" s="4" t="s">
        <v>748</v>
      </c>
      <c r="HO164" s="4" t="s">
        <v>267</v>
      </c>
    </row>
    <row r="165" spans="1:223" ht="19.5" customHeight="1" x14ac:dyDescent="0.4">
      <c r="A165" s="4">
        <v>1</v>
      </c>
      <c r="B165" s="4" t="s">
        <v>239</v>
      </c>
      <c r="C165" s="4">
        <v>876</v>
      </c>
      <c r="D165" s="4">
        <v>1</v>
      </c>
      <c r="E165" s="4">
        <v>1</v>
      </c>
      <c r="F165" s="4" t="s">
        <v>240</v>
      </c>
      <c r="G165" s="4" t="s">
        <v>241</v>
      </c>
      <c r="H165" s="4" t="s">
        <v>241</v>
      </c>
      <c r="I165" s="4" t="s">
        <v>5171</v>
      </c>
      <c r="J165" s="4" t="s">
        <v>418</v>
      </c>
      <c r="K165" s="4" t="s">
        <v>251</v>
      </c>
      <c r="L165" s="4" t="s">
        <v>5170</v>
      </c>
      <c r="M165" s="5" t="s">
        <v>5177</v>
      </c>
      <c r="N165" s="6">
        <f>63</f>
        <v>63</v>
      </c>
      <c r="O165" s="4" t="s">
        <v>265</v>
      </c>
      <c r="P165" s="6">
        <f>163800</f>
        <v>163800</v>
      </c>
      <c r="Q165" s="6">
        <f>0</f>
        <v>0</v>
      </c>
      <c r="S165" s="6">
        <f>0</f>
        <v>0</v>
      </c>
      <c r="T165" s="6">
        <f>163800</f>
        <v>163800</v>
      </c>
      <c r="U165" s="5" t="s">
        <v>245</v>
      </c>
      <c r="V165" s="4" t="s">
        <v>270</v>
      </c>
      <c r="W165" s="4" t="s">
        <v>242</v>
      </c>
      <c r="X165" s="4" t="s">
        <v>273</v>
      </c>
      <c r="Y165" s="4" t="s">
        <v>241</v>
      </c>
      <c r="AB165" s="4" t="s">
        <v>241</v>
      </c>
      <c r="AD165" s="5" t="s">
        <v>241</v>
      </c>
      <c r="AG165" s="5" t="s">
        <v>246</v>
      </c>
      <c r="AH165" s="4" t="s">
        <v>241</v>
      </c>
      <c r="AI165" s="4" t="s">
        <v>247</v>
      </c>
      <c r="AJ165" s="4" t="s">
        <v>248</v>
      </c>
      <c r="AZ165" s="4" t="s">
        <v>249</v>
      </c>
      <c r="BA165" s="4" t="s">
        <v>241</v>
      </c>
      <c r="BB165" s="4" t="s">
        <v>250</v>
      </c>
      <c r="BC165" s="4" t="s">
        <v>241</v>
      </c>
      <c r="BD165" s="4" t="s">
        <v>252</v>
      </c>
      <c r="BE165" s="4" t="s">
        <v>241</v>
      </c>
      <c r="BI165" s="4" t="s">
        <v>253</v>
      </c>
      <c r="BJ165" s="5" t="s">
        <v>246</v>
      </c>
      <c r="BK165" s="4" t="s">
        <v>254</v>
      </c>
      <c r="BL165" s="4" t="s">
        <v>255</v>
      </c>
      <c r="BM165" s="4" t="s">
        <v>241</v>
      </c>
      <c r="BN165" s="6">
        <f>0</f>
        <v>0</v>
      </c>
      <c r="BO165" s="6">
        <f>0</f>
        <v>0</v>
      </c>
      <c r="BP165" s="4" t="s">
        <v>256</v>
      </c>
      <c r="BQ165" s="4" t="s">
        <v>257</v>
      </c>
      <c r="CE165" s="4" t="s">
        <v>241</v>
      </c>
      <c r="CF165" s="4" t="s">
        <v>241</v>
      </c>
      <c r="CJ165" s="4" t="s">
        <v>258</v>
      </c>
      <c r="CK165" s="4" t="s">
        <v>259</v>
      </c>
      <c r="CL165" s="4" t="s">
        <v>241</v>
      </c>
      <c r="CO165" s="5" t="s">
        <v>260</v>
      </c>
      <c r="CP165" s="4" t="s">
        <v>241</v>
      </c>
      <c r="CQ165" s="4" t="s">
        <v>261</v>
      </c>
      <c r="CR165" s="4" t="s">
        <v>241</v>
      </c>
      <c r="CS165" s="4" t="s">
        <v>241</v>
      </c>
      <c r="CT165" s="4">
        <v>0</v>
      </c>
      <c r="CU165" s="4" t="s">
        <v>262</v>
      </c>
      <c r="CV165" s="4" t="s">
        <v>263</v>
      </c>
      <c r="CW165" s="4" t="s">
        <v>263</v>
      </c>
      <c r="CX165" s="4" t="s">
        <v>264</v>
      </c>
      <c r="DA165" s="6">
        <f>163800</f>
        <v>163800</v>
      </c>
      <c r="DC165" s="4" t="s">
        <v>3148</v>
      </c>
      <c r="DD165" s="4" t="s">
        <v>241</v>
      </c>
      <c r="DF165" s="4" t="s">
        <v>287</v>
      </c>
      <c r="DG165" s="6">
        <f>0</f>
        <v>0</v>
      </c>
      <c r="DI165" s="4" t="s">
        <v>266</v>
      </c>
      <c r="DJ165" s="4" t="s">
        <v>241</v>
      </c>
      <c r="DK165" s="4" t="s">
        <v>241</v>
      </c>
      <c r="DL165" s="4" t="s">
        <v>241</v>
      </c>
      <c r="DP165" s="4" t="s">
        <v>241</v>
      </c>
      <c r="DQ165" s="4" t="s">
        <v>241</v>
      </c>
      <c r="DR165" s="4" t="s">
        <v>241</v>
      </c>
      <c r="DS165" s="4" t="s">
        <v>241</v>
      </c>
      <c r="DV165" s="4" t="s">
        <v>5173</v>
      </c>
      <c r="DW165" s="4" t="s">
        <v>719</v>
      </c>
      <c r="HO165" s="4" t="s">
        <v>267</v>
      </c>
    </row>
    <row r="166" spans="1:223" ht="19.5" customHeight="1" x14ac:dyDescent="0.4">
      <c r="A166" s="4">
        <v>1</v>
      </c>
      <c r="B166" s="4" t="s">
        <v>239</v>
      </c>
      <c r="C166" s="4">
        <v>877</v>
      </c>
      <c r="D166" s="4">
        <v>1</v>
      </c>
      <c r="E166" s="4">
        <v>1</v>
      </c>
      <c r="F166" s="4" t="s">
        <v>240</v>
      </c>
      <c r="G166" s="4" t="s">
        <v>241</v>
      </c>
      <c r="H166" s="4" t="s">
        <v>241</v>
      </c>
      <c r="I166" s="4" t="s">
        <v>5171</v>
      </c>
      <c r="J166" s="4" t="s">
        <v>418</v>
      </c>
      <c r="K166" s="4" t="s">
        <v>251</v>
      </c>
      <c r="L166" s="4" t="s">
        <v>5170</v>
      </c>
      <c r="M166" s="5" t="s">
        <v>5180</v>
      </c>
      <c r="N166" s="6">
        <f>553</f>
        <v>553</v>
      </c>
      <c r="O166" s="4" t="s">
        <v>265</v>
      </c>
      <c r="P166" s="6">
        <f>1437800</f>
        <v>1437800</v>
      </c>
      <c r="Q166" s="6">
        <f>0</f>
        <v>0</v>
      </c>
      <c r="S166" s="6">
        <f>0</f>
        <v>0</v>
      </c>
      <c r="T166" s="6">
        <f>1437800</f>
        <v>1437800</v>
      </c>
      <c r="U166" s="5" t="s">
        <v>245</v>
      </c>
      <c r="V166" s="4" t="s">
        <v>270</v>
      </c>
      <c r="W166" s="4" t="s">
        <v>242</v>
      </c>
      <c r="X166" s="4" t="s">
        <v>273</v>
      </c>
      <c r="Y166" s="4" t="s">
        <v>241</v>
      </c>
      <c r="AB166" s="4" t="s">
        <v>241</v>
      </c>
      <c r="AD166" s="5" t="s">
        <v>241</v>
      </c>
      <c r="AG166" s="5" t="s">
        <v>246</v>
      </c>
      <c r="AH166" s="4" t="s">
        <v>241</v>
      </c>
      <c r="AI166" s="4" t="s">
        <v>247</v>
      </c>
      <c r="AJ166" s="4" t="s">
        <v>248</v>
      </c>
      <c r="AZ166" s="4" t="s">
        <v>249</v>
      </c>
      <c r="BA166" s="4" t="s">
        <v>241</v>
      </c>
      <c r="BB166" s="4" t="s">
        <v>250</v>
      </c>
      <c r="BC166" s="4" t="s">
        <v>241</v>
      </c>
      <c r="BD166" s="4" t="s">
        <v>252</v>
      </c>
      <c r="BE166" s="4" t="s">
        <v>241</v>
      </c>
      <c r="BI166" s="4" t="s">
        <v>253</v>
      </c>
      <c r="BJ166" s="5" t="s">
        <v>246</v>
      </c>
      <c r="BK166" s="4" t="s">
        <v>254</v>
      </c>
      <c r="BL166" s="4" t="s">
        <v>255</v>
      </c>
      <c r="BM166" s="4" t="s">
        <v>241</v>
      </c>
      <c r="BN166" s="6">
        <f>0</f>
        <v>0</v>
      </c>
      <c r="BO166" s="6">
        <f>0</f>
        <v>0</v>
      </c>
      <c r="BP166" s="4" t="s">
        <v>256</v>
      </c>
      <c r="BQ166" s="4" t="s">
        <v>257</v>
      </c>
      <c r="CE166" s="4" t="s">
        <v>241</v>
      </c>
      <c r="CF166" s="4" t="s">
        <v>241</v>
      </c>
      <c r="CJ166" s="4" t="s">
        <v>258</v>
      </c>
      <c r="CK166" s="4" t="s">
        <v>259</v>
      </c>
      <c r="CL166" s="4" t="s">
        <v>241</v>
      </c>
      <c r="CO166" s="5" t="s">
        <v>260</v>
      </c>
      <c r="CP166" s="4" t="s">
        <v>241</v>
      </c>
      <c r="CQ166" s="4" t="s">
        <v>261</v>
      </c>
      <c r="CR166" s="4" t="s">
        <v>241</v>
      </c>
      <c r="CS166" s="4" t="s">
        <v>241</v>
      </c>
      <c r="CT166" s="4">
        <v>0</v>
      </c>
      <c r="CU166" s="4" t="s">
        <v>262</v>
      </c>
      <c r="CV166" s="4" t="s">
        <v>263</v>
      </c>
      <c r="CW166" s="4" t="s">
        <v>263</v>
      </c>
      <c r="CX166" s="4" t="s">
        <v>264</v>
      </c>
      <c r="DA166" s="6">
        <f>1437800</f>
        <v>1437800</v>
      </c>
      <c r="DC166" s="4" t="s">
        <v>3148</v>
      </c>
      <c r="DD166" s="4" t="s">
        <v>241</v>
      </c>
      <c r="DF166" s="4" t="s">
        <v>287</v>
      </c>
      <c r="DG166" s="6">
        <f>0</f>
        <v>0</v>
      </c>
      <c r="DI166" s="4" t="s">
        <v>266</v>
      </c>
      <c r="DJ166" s="4" t="s">
        <v>241</v>
      </c>
      <c r="DK166" s="4" t="s">
        <v>241</v>
      </c>
      <c r="DL166" s="4" t="s">
        <v>241</v>
      </c>
      <c r="DP166" s="4" t="s">
        <v>241</v>
      </c>
      <c r="DQ166" s="4" t="s">
        <v>241</v>
      </c>
      <c r="DR166" s="4" t="s">
        <v>241</v>
      </c>
      <c r="DS166" s="4" t="s">
        <v>241</v>
      </c>
      <c r="DV166" s="4" t="s">
        <v>5173</v>
      </c>
      <c r="DW166" s="4" t="s">
        <v>690</v>
      </c>
      <c r="HO166" s="4" t="s">
        <v>267</v>
      </c>
    </row>
    <row r="167" spans="1:223" ht="19.5" customHeight="1" x14ac:dyDescent="0.4">
      <c r="A167" s="4">
        <v>1</v>
      </c>
      <c r="B167" s="4" t="s">
        <v>239</v>
      </c>
      <c r="C167" s="4">
        <v>878</v>
      </c>
      <c r="D167" s="4">
        <v>1</v>
      </c>
      <c r="E167" s="4">
        <v>1</v>
      </c>
      <c r="F167" s="4" t="s">
        <v>240</v>
      </c>
      <c r="G167" s="4" t="s">
        <v>241</v>
      </c>
      <c r="H167" s="4" t="s">
        <v>241</v>
      </c>
      <c r="I167" s="4" t="s">
        <v>5171</v>
      </c>
      <c r="J167" s="4" t="s">
        <v>418</v>
      </c>
      <c r="K167" s="4" t="s">
        <v>251</v>
      </c>
      <c r="L167" s="4" t="s">
        <v>5170</v>
      </c>
      <c r="M167" s="5" t="s">
        <v>5178</v>
      </c>
      <c r="N167" s="6">
        <f>27</f>
        <v>27</v>
      </c>
      <c r="O167" s="4" t="s">
        <v>265</v>
      </c>
      <c r="P167" s="6">
        <f>70200</f>
        <v>70200</v>
      </c>
      <c r="Q167" s="6">
        <f>0</f>
        <v>0</v>
      </c>
      <c r="S167" s="6">
        <f>0</f>
        <v>0</v>
      </c>
      <c r="T167" s="6">
        <f>70200</f>
        <v>70200</v>
      </c>
      <c r="U167" s="5" t="s">
        <v>245</v>
      </c>
      <c r="V167" s="4" t="s">
        <v>270</v>
      </c>
      <c r="W167" s="4" t="s">
        <v>242</v>
      </c>
      <c r="X167" s="4" t="s">
        <v>273</v>
      </c>
      <c r="Y167" s="4" t="s">
        <v>241</v>
      </c>
      <c r="AB167" s="4" t="s">
        <v>241</v>
      </c>
      <c r="AD167" s="5" t="s">
        <v>241</v>
      </c>
      <c r="AG167" s="5" t="s">
        <v>246</v>
      </c>
      <c r="AH167" s="4" t="s">
        <v>241</v>
      </c>
      <c r="AI167" s="4" t="s">
        <v>247</v>
      </c>
      <c r="AJ167" s="4" t="s">
        <v>248</v>
      </c>
      <c r="AZ167" s="4" t="s">
        <v>249</v>
      </c>
      <c r="BA167" s="4" t="s">
        <v>241</v>
      </c>
      <c r="BB167" s="4" t="s">
        <v>250</v>
      </c>
      <c r="BC167" s="4" t="s">
        <v>241</v>
      </c>
      <c r="BD167" s="4" t="s">
        <v>252</v>
      </c>
      <c r="BE167" s="4" t="s">
        <v>241</v>
      </c>
      <c r="BI167" s="4" t="s">
        <v>253</v>
      </c>
      <c r="BJ167" s="5" t="s">
        <v>246</v>
      </c>
      <c r="BK167" s="4" t="s">
        <v>254</v>
      </c>
      <c r="BL167" s="4" t="s">
        <v>255</v>
      </c>
      <c r="BM167" s="4" t="s">
        <v>241</v>
      </c>
      <c r="BN167" s="6">
        <f>0</f>
        <v>0</v>
      </c>
      <c r="BO167" s="6">
        <f>0</f>
        <v>0</v>
      </c>
      <c r="BP167" s="4" t="s">
        <v>256</v>
      </c>
      <c r="BQ167" s="4" t="s">
        <v>257</v>
      </c>
      <c r="CE167" s="4" t="s">
        <v>241</v>
      </c>
      <c r="CF167" s="4" t="s">
        <v>241</v>
      </c>
      <c r="CJ167" s="4" t="s">
        <v>258</v>
      </c>
      <c r="CK167" s="4" t="s">
        <v>259</v>
      </c>
      <c r="CL167" s="4" t="s">
        <v>241</v>
      </c>
      <c r="CO167" s="5" t="s">
        <v>260</v>
      </c>
      <c r="CP167" s="4" t="s">
        <v>241</v>
      </c>
      <c r="CQ167" s="4" t="s">
        <v>261</v>
      </c>
      <c r="CR167" s="4" t="s">
        <v>241</v>
      </c>
      <c r="CS167" s="4" t="s">
        <v>241</v>
      </c>
      <c r="CT167" s="4">
        <v>0</v>
      </c>
      <c r="CU167" s="4" t="s">
        <v>262</v>
      </c>
      <c r="CV167" s="4" t="s">
        <v>263</v>
      </c>
      <c r="CW167" s="4" t="s">
        <v>263</v>
      </c>
      <c r="CX167" s="4" t="s">
        <v>264</v>
      </c>
      <c r="DA167" s="6">
        <f>70200</f>
        <v>70200</v>
      </c>
      <c r="DC167" s="4" t="s">
        <v>3148</v>
      </c>
      <c r="DD167" s="4" t="s">
        <v>241</v>
      </c>
      <c r="DF167" s="4" t="s">
        <v>287</v>
      </c>
      <c r="DG167" s="6">
        <f>0</f>
        <v>0</v>
      </c>
      <c r="DI167" s="4" t="s">
        <v>266</v>
      </c>
      <c r="DJ167" s="4" t="s">
        <v>241</v>
      </c>
      <c r="DK167" s="4" t="s">
        <v>241</v>
      </c>
      <c r="DL167" s="4" t="s">
        <v>241</v>
      </c>
      <c r="DP167" s="4" t="s">
        <v>241</v>
      </c>
      <c r="DQ167" s="4" t="s">
        <v>241</v>
      </c>
      <c r="DR167" s="4" t="s">
        <v>241</v>
      </c>
      <c r="DS167" s="4" t="s">
        <v>241</v>
      </c>
      <c r="DV167" s="4" t="s">
        <v>5173</v>
      </c>
      <c r="DW167" s="4" t="s">
        <v>628</v>
      </c>
      <c r="HO167" s="4" t="s">
        <v>267</v>
      </c>
    </row>
    <row r="168" spans="1:223" ht="19.5" customHeight="1" x14ac:dyDescent="0.4">
      <c r="A168" s="4">
        <v>1</v>
      </c>
      <c r="B168" s="4" t="s">
        <v>239</v>
      </c>
      <c r="C168" s="4">
        <v>879</v>
      </c>
      <c r="D168" s="4">
        <v>1</v>
      </c>
      <c r="E168" s="4">
        <v>1</v>
      </c>
      <c r="F168" s="4" t="s">
        <v>240</v>
      </c>
      <c r="G168" s="4" t="s">
        <v>241</v>
      </c>
      <c r="H168" s="4" t="s">
        <v>241</v>
      </c>
      <c r="I168" s="4" t="s">
        <v>5171</v>
      </c>
      <c r="J168" s="4" t="s">
        <v>418</v>
      </c>
      <c r="K168" s="4" t="s">
        <v>251</v>
      </c>
      <c r="L168" s="4" t="s">
        <v>5170</v>
      </c>
      <c r="M168" s="5" t="s">
        <v>5515</v>
      </c>
      <c r="N168" s="6">
        <f>218.79</f>
        <v>218.79</v>
      </c>
      <c r="O168" s="4" t="s">
        <v>265</v>
      </c>
      <c r="P168" s="6">
        <f>568854</f>
        <v>568854</v>
      </c>
      <c r="Q168" s="6">
        <f>0</f>
        <v>0</v>
      </c>
      <c r="S168" s="6">
        <f>0</f>
        <v>0</v>
      </c>
      <c r="T168" s="6">
        <f>568854</f>
        <v>568854</v>
      </c>
      <c r="U168" s="5" t="s">
        <v>245</v>
      </c>
      <c r="V168" s="4" t="s">
        <v>270</v>
      </c>
      <c r="W168" s="4" t="s">
        <v>242</v>
      </c>
      <c r="X168" s="4" t="s">
        <v>273</v>
      </c>
      <c r="Y168" s="4" t="s">
        <v>241</v>
      </c>
      <c r="AB168" s="4" t="s">
        <v>241</v>
      </c>
      <c r="AD168" s="5" t="s">
        <v>241</v>
      </c>
      <c r="AG168" s="5" t="s">
        <v>246</v>
      </c>
      <c r="AH168" s="4" t="s">
        <v>241</v>
      </c>
      <c r="AI168" s="4" t="s">
        <v>247</v>
      </c>
      <c r="AJ168" s="4" t="s">
        <v>248</v>
      </c>
      <c r="AZ168" s="4" t="s">
        <v>249</v>
      </c>
      <c r="BA168" s="4" t="s">
        <v>241</v>
      </c>
      <c r="BB168" s="4" t="s">
        <v>250</v>
      </c>
      <c r="BC168" s="4" t="s">
        <v>241</v>
      </c>
      <c r="BD168" s="4" t="s">
        <v>252</v>
      </c>
      <c r="BE168" s="4" t="s">
        <v>241</v>
      </c>
      <c r="BI168" s="4" t="s">
        <v>253</v>
      </c>
      <c r="BJ168" s="5" t="s">
        <v>246</v>
      </c>
      <c r="BK168" s="4" t="s">
        <v>254</v>
      </c>
      <c r="BL168" s="4" t="s">
        <v>255</v>
      </c>
      <c r="BM168" s="4" t="s">
        <v>241</v>
      </c>
      <c r="BN168" s="6">
        <f>0</f>
        <v>0</v>
      </c>
      <c r="BO168" s="6">
        <f>0</f>
        <v>0</v>
      </c>
      <c r="BP168" s="4" t="s">
        <v>256</v>
      </c>
      <c r="BQ168" s="4" t="s">
        <v>257</v>
      </c>
      <c r="CE168" s="4" t="s">
        <v>241</v>
      </c>
      <c r="CF168" s="4" t="s">
        <v>241</v>
      </c>
      <c r="CJ168" s="4" t="s">
        <v>258</v>
      </c>
      <c r="CK168" s="4" t="s">
        <v>259</v>
      </c>
      <c r="CL168" s="4" t="s">
        <v>241</v>
      </c>
      <c r="CO168" s="5" t="s">
        <v>260</v>
      </c>
      <c r="CP168" s="4" t="s">
        <v>241</v>
      </c>
      <c r="CQ168" s="4" t="s">
        <v>261</v>
      </c>
      <c r="CR168" s="4" t="s">
        <v>241</v>
      </c>
      <c r="CS168" s="4" t="s">
        <v>241</v>
      </c>
      <c r="CT168" s="4">
        <v>0</v>
      </c>
      <c r="CU168" s="4" t="s">
        <v>262</v>
      </c>
      <c r="CV168" s="4" t="s">
        <v>263</v>
      </c>
      <c r="CW168" s="4" t="s">
        <v>263</v>
      </c>
      <c r="CX168" s="4" t="s">
        <v>264</v>
      </c>
      <c r="DA168" s="6">
        <f>568854</f>
        <v>568854</v>
      </c>
      <c r="DC168" s="4" t="s">
        <v>266</v>
      </c>
      <c r="DD168" s="4" t="s">
        <v>241</v>
      </c>
      <c r="DF168" s="4" t="s">
        <v>287</v>
      </c>
      <c r="DG168" s="6">
        <f>0</f>
        <v>0</v>
      </c>
      <c r="DI168" s="4" t="s">
        <v>266</v>
      </c>
      <c r="DJ168" s="4" t="s">
        <v>241</v>
      </c>
      <c r="DK168" s="4" t="s">
        <v>241</v>
      </c>
      <c r="DL168" s="4" t="s">
        <v>241</v>
      </c>
      <c r="DP168" s="4" t="s">
        <v>241</v>
      </c>
      <c r="DQ168" s="4" t="s">
        <v>241</v>
      </c>
      <c r="DR168" s="4" t="s">
        <v>241</v>
      </c>
      <c r="DS168" s="4" t="s">
        <v>241</v>
      </c>
      <c r="DV168" s="4" t="s">
        <v>5173</v>
      </c>
      <c r="DW168" s="4" t="s">
        <v>597</v>
      </c>
      <c r="HO168" s="4" t="s">
        <v>267</v>
      </c>
    </row>
    <row r="169" spans="1:223" ht="19.5" customHeight="1" x14ac:dyDescent="0.4">
      <c r="A169" s="4">
        <v>1</v>
      </c>
      <c r="B169" s="4" t="s">
        <v>239</v>
      </c>
      <c r="C169" s="4">
        <v>880</v>
      </c>
      <c r="D169" s="4">
        <v>1</v>
      </c>
      <c r="E169" s="4">
        <v>1</v>
      </c>
      <c r="F169" s="4" t="s">
        <v>240</v>
      </c>
      <c r="G169" s="4" t="s">
        <v>241</v>
      </c>
      <c r="H169" s="4" t="s">
        <v>241</v>
      </c>
      <c r="I169" s="4" t="s">
        <v>5171</v>
      </c>
      <c r="J169" s="4" t="s">
        <v>418</v>
      </c>
      <c r="K169" s="4" t="s">
        <v>251</v>
      </c>
      <c r="L169" s="4" t="s">
        <v>5170</v>
      </c>
      <c r="M169" s="5" t="s">
        <v>5176</v>
      </c>
      <c r="N169" s="6">
        <f>217</f>
        <v>217</v>
      </c>
      <c r="O169" s="4" t="s">
        <v>265</v>
      </c>
      <c r="P169" s="6">
        <f>480655</f>
        <v>480655</v>
      </c>
      <c r="Q169" s="6">
        <f>0</f>
        <v>0</v>
      </c>
      <c r="S169" s="6">
        <f>0</f>
        <v>0</v>
      </c>
      <c r="T169" s="6">
        <f>480655</f>
        <v>480655</v>
      </c>
      <c r="U169" s="5" t="s">
        <v>245</v>
      </c>
      <c r="V169" s="4" t="s">
        <v>270</v>
      </c>
      <c r="W169" s="4" t="s">
        <v>242</v>
      </c>
      <c r="X169" s="4" t="s">
        <v>273</v>
      </c>
      <c r="Y169" s="4" t="s">
        <v>241</v>
      </c>
      <c r="AB169" s="4" t="s">
        <v>241</v>
      </c>
      <c r="AD169" s="5" t="s">
        <v>241</v>
      </c>
      <c r="AG169" s="5" t="s">
        <v>246</v>
      </c>
      <c r="AH169" s="4" t="s">
        <v>241</v>
      </c>
      <c r="AI169" s="4" t="s">
        <v>247</v>
      </c>
      <c r="AJ169" s="4" t="s">
        <v>248</v>
      </c>
      <c r="AZ169" s="4" t="s">
        <v>249</v>
      </c>
      <c r="BA169" s="4" t="s">
        <v>241</v>
      </c>
      <c r="BB169" s="4" t="s">
        <v>250</v>
      </c>
      <c r="BC169" s="4" t="s">
        <v>241</v>
      </c>
      <c r="BD169" s="4" t="s">
        <v>252</v>
      </c>
      <c r="BE169" s="4" t="s">
        <v>241</v>
      </c>
      <c r="BI169" s="4" t="s">
        <v>253</v>
      </c>
      <c r="BJ169" s="5" t="s">
        <v>246</v>
      </c>
      <c r="BK169" s="4" t="s">
        <v>254</v>
      </c>
      <c r="BL169" s="4" t="s">
        <v>255</v>
      </c>
      <c r="BM169" s="4" t="s">
        <v>241</v>
      </c>
      <c r="BN169" s="6">
        <f>0</f>
        <v>0</v>
      </c>
      <c r="BO169" s="6">
        <f>0</f>
        <v>0</v>
      </c>
      <c r="BP169" s="4" t="s">
        <v>256</v>
      </c>
      <c r="BQ169" s="4" t="s">
        <v>257</v>
      </c>
      <c r="CE169" s="4" t="s">
        <v>241</v>
      </c>
      <c r="CF169" s="4" t="s">
        <v>241</v>
      </c>
      <c r="CJ169" s="4" t="s">
        <v>258</v>
      </c>
      <c r="CK169" s="4" t="s">
        <v>259</v>
      </c>
      <c r="CL169" s="4" t="s">
        <v>241</v>
      </c>
      <c r="CO169" s="5" t="s">
        <v>260</v>
      </c>
      <c r="CP169" s="4" t="s">
        <v>241</v>
      </c>
      <c r="CQ169" s="4" t="s">
        <v>261</v>
      </c>
      <c r="CR169" s="4" t="s">
        <v>241</v>
      </c>
      <c r="CS169" s="4" t="s">
        <v>241</v>
      </c>
      <c r="CT169" s="4">
        <v>0</v>
      </c>
      <c r="CU169" s="4" t="s">
        <v>262</v>
      </c>
      <c r="CV169" s="4" t="s">
        <v>263</v>
      </c>
      <c r="CW169" s="4" t="s">
        <v>263</v>
      </c>
      <c r="CX169" s="4" t="s">
        <v>264</v>
      </c>
      <c r="DA169" s="6">
        <f>480655</f>
        <v>480655</v>
      </c>
      <c r="DC169" s="4" t="s">
        <v>414</v>
      </c>
      <c r="DD169" s="4" t="s">
        <v>241</v>
      </c>
      <c r="DF169" s="4" t="s">
        <v>287</v>
      </c>
      <c r="DG169" s="6">
        <f>0</f>
        <v>0</v>
      </c>
      <c r="DI169" s="4" t="s">
        <v>414</v>
      </c>
      <c r="DJ169" s="4" t="s">
        <v>241</v>
      </c>
      <c r="DK169" s="4" t="s">
        <v>241</v>
      </c>
      <c r="DL169" s="4" t="s">
        <v>241</v>
      </c>
      <c r="DP169" s="4" t="s">
        <v>241</v>
      </c>
      <c r="DQ169" s="4" t="s">
        <v>241</v>
      </c>
      <c r="DR169" s="4" t="s">
        <v>241</v>
      </c>
      <c r="DS169" s="4" t="s">
        <v>241</v>
      </c>
      <c r="DV169" s="4" t="s">
        <v>5173</v>
      </c>
      <c r="DW169" s="4" t="s">
        <v>1792</v>
      </c>
      <c r="HO169" s="4" t="s">
        <v>267</v>
      </c>
    </row>
    <row r="170" spans="1:223" ht="19.5" customHeight="1" x14ac:dyDescent="0.4">
      <c r="A170" s="4">
        <v>1</v>
      </c>
      <c r="B170" s="4" t="s">
        <v>239</v>
      </c>
      <c r="C170" s="4">
        <v>881</v>
      </c>
      <c r="D170" s="4">
        <v>1</v>
      </c>
      <c r="E170" s="4">
        <v>1</v>
      </c>
      <c r="F170" s="4" t="s">
        <v>240</v>
      </c>
      <c r="G170" s="4" t="s">
        <v>241</v>
      </c>
      <c r="H170" s="4" t="s">
        <v>241</v>
      </c>
      <c r="I170" s="4" t="s">
        <v>5167</v>
      </c>
      <c r="J170" s="4" t="s">
        <v>418</v>
      </c>
      <c r="K170" s="4" t="s">
        <v>251</v>
      </c>
      <c r="L170" s="4" t="s">
        <v>5166</v>
      </c>
      <c r="M170" s="5" t="s">
        <v>5168</v>
      </c>
      <c r="N170" s="6">
        <f>2934</f>
        <v>2934</v>
      </c>
      <c r="O170" s="4" t="s">
        <v>265</v>
      </c>
      <c r="P170" s="6">
        <f>6498810</f>
        <v>6498810</v>
      </c>
      <c r="Q170" s="6">
        <f>0</f>
        <v>0</v>
      </c>
      <c r="S170" s="6">
        <f>0</f>
        <v>0</v>
      </c>
      <c r="T170" s="6">
        <f>6498810</f>
        <v>6498810</v>
      </c>
      <c r="U170" s="5" t="s">
        <v>245</v>
      </c>
      <c r="V170" s="4" t="s">
        <v>270</v>
      </c>
      <c r="W170" s="4" t="s">
        <v>242</v>
      </c>
      <c r="X170" s="4" t="s">
        <v>273</v>
      </c>
      <c r="Y170" s="4" t="s">
        <v>241</v>
      </c>
      <c r="AB170" s="4" t="s">
        <v>241</v>
      </c>
      <c r="AD170" s="5" t="s">
        <v>241</v>
      </c>
      <c r="AG170" s="5" t="s">
        <v>246</v>
      </c>
      <c r="AH170" s="4" t="s">
        <v>241</v>
      </c>
      <c r="AI170" s="4" t="s">
        <v>247</v>
      </c>
      <c r="AJ170" s="4" t="s">
        <v>248</v>
      </c>
      <c r="AZ170" s="4" t="s">
        <v>249</v>
      </c>
      <c r="BA170" s="4" t="s">
        <v>241</v>
      </c>
      <c r="BB170" s="4" t="s">
        <v>250</v>
      </c>
      <c r="BC170" s="4" t="s">
        <v>241</v>
      </c>
      <c r="BD170" s="4" t="s">
        <v>252</v>
      </c>
      <c r="BE170" s="4" t="s">
        <v>241</v>
      </c>
      <c r="BG170" s="4" t="s">
        <v>4227</v>
      </c>
      <c r="BI170" s="4" t="s">
        <v>253</v>
      </c>
      <c r="BJ170" s="5" t="s">
        <v>246</v>
      </c>
      <c r="BK170" s="4" t="s">
        <v>254</v>
      </c>
      <c r="BL170" s="4" t="s">
        <v>255</v>
      </c>
      <c r="BM170" s="4" t="s">
        <v>241</v>
      </c>
      <c r="BN170" s="6">
        <f>0</f>
        <v>0</v>
      </c>
      <c r="BO170" s="6">
        <f>0</f>
        <v>0</v>
      </c>
      <c r="BP170" s="4" t="s">
        <v>256</v>
      </c>
      <c r="BQ170" s="4" t="s">
        <v>257</v>
      </c>
      <c r="CE170" s="4" t="s">
        <v>241</v>
      </c>
      <c r="CF170" s="4" t="s">
        <v>241</v>
      </c>
      <c r="CJ170" s="4" t="s">
        <v>258</v>
      </c>
      <c r="CK170" s="4" t="s">
        <v>259</v>
      </c>
      <c r="CL170" s="4" t="s">
        <v>241</v>
      </c>
      <c r="CO170" s="5" t="s">
        <v>260</v>
      </c>
      <c r="CP170" s="4" t="s">
        <v>241</v>
      </c>
      <c r="CQ170" s="4" t="s">
        <v>261</v>
      </c>
      <c r="CR170" s="4" t="s">
        <v>241</v>
      </c>
      <c r="CS170" s="4" t="s">
        <v>241</v>
      </c>
      <c r="CT170" s="4">
        <v>0</v>
      </c>
      <c r="CU170" s="4" t="s">
        <v>262</v>
      </c>
      <c r="CV170" s="4" t="s">
        <v>263</v>
      </c>
      <c r="CW170" s="4" t="s">
        <v>263</v>
      </c>
      <c r="CX170" s="4" t="s">
        <v>264</v>
      </c>
      <c r="DA170" s="6">
        <f>6498810</f>
        <v>6498810</v>
      </c>
      <c r="DC170" s="4" t="s">
        <v>414</v>
      </c>
      <c r="DD170" s="4" t="s">
        <v>241</v>
      </c>
      <c r="DF170" s="4" t="s">
        <v>287</v>
      </c>
      <c r="DG170" s="6">
        <f>0</f>
        <v>0</v>
      </c>
      <c r="DI170" s="4" t="s">
        <v>414</v>
      </c>
      <c r="DJ170" s="4" t="s">
        <v>241</v>
      </c>
      <c r="DK170" s="4" t="s">
        <v>241</v>
      </c>
      <c r="DL170" s="4" t="s">
        <v>241</v>
      </c>
      <c r="DP170" s="4" t="s">
        <v>241</v>
      </c>
      <c r="DQ170" s="4" t="s">
        <v>241</v>
      </c>
      <c r="DR170" s="4" t="s">
        <v>241</v>
      </c>
      <c r="DS170" s="4" t="s">
        <v>241</v>
      </c>
      <c r="DV170" s="4" t="s">
        <v>5169</v>
      </c>
      <c r="DW170" s="4" t="s">
        <v>267</v>
      </c>
      <c r="HO170" s="4" t="s">
        <v>267</v>
      </c>
    </row>
    <row r="171" spans="1:223" ht="19.5" customHeight="1" x14ac:dyDescent="0.4">
      <c r="A171" s="4">
        <v>1</v>
      </c>
      <c r="B171" s="4" t="s">
        <v>239</v>
      </c>
      <c r="C171" s="4">
        <v>882</v>
      </c>
      <c r="D171" s="4">
        <v>1</v>
      </c>
      <c r="E171" s="4">
        <v>1</v>
      </c>
      <c r="F171" s="4" t="s">
        <v>240</v>
      </c>
      <c r="G171" s="4" t="s">
        <v>241</v>
      </c>
      <c r="H171" s="4" t="s">
        <v>241</v>
      </c>
      <c r="I171" s="4" t="s">
        <v>5512</v>
      </c>
      <c r="J171" s="4" t="s">
        <v>418</v>
      </c>
      <c r="K171" s="4" t="s">
        <v>251</v>
      </c>
      <c r="L171" s="4" t="s">
        <v>5511</v>
      </c>
      <c r="M171" s="5" t="s">
        <v>5513</v>
      </c>
      <c r="N171" s="6">
        <f>781.11</f>
        <v>781.11</v>
      </c>
      <c r="O171" s="4" t="s">
        <v>265</v>
      </c>
      <c r="P171" s="6">
        <f>4920993</f>
        <v>4920993</v>
      </c>
      <c r="Q171" s="6">
        <f>0</f>
        <v>0</v>
      </c>
      <c r="S171" s="6">
        <f>0</f>
        <v>0</v>
      </c>
      <c r="T171" s="6">
        <f>4920993</f>
        <v>4920993</v>
      </c>
      <c r="U171" s="5" t="s">
        <v>245</v>
      </c>
      <c r="V171" s="4" t="s">
        <v>270</v>
      </c>
      <c r="W171" s="4" t="s">
        <v>242</v>
      </c>
      <c r="X171" s="4" t="s">
        <v>273</v>
      </c>
      <c r="Y171" s="4" t="s">
        <v>241</v>
      </c>
      <c r="AB171" s="4" t="s">
        <v>241</v>
      </c>
      <c r="AD171" s="5" t="s">
        <v>241</v>
      </c>
      <c r="AG171" s="5" t="s">
        <v>246</v>
      </c>
      <c r="AH171" s="4" t="s">
        <v>241</v>
      </c>
      <c r="AI171" s="4" t="s">
        <v>247</v>
      </c>
      <c r="AJ171" s="4" t="s">
        <v>248</v>
      </c>
      <c r="AZ171" s="4" t="s">
        <v>249</v>
      </c>
      <c r="BA171" s="4" t="s">
        <v>241</v>
      </c>
      <c r="BB171" s="4" t="s">
        <v>250</v>
      </c>
      <c r="BC171" s="4" t="s">
        <v>241</v>
      </c>
      <c r="BD171" s="4" t="s">
        <v>252</v>
      </c>
      <c r="BE171" s="4" t="s">
        <v>241</v>
      </c>
      <c r="BG171" s="4" t="s">
        <v>4227</v>
      </c>
      <c r="BI171" s="4" t="s">
        <v>253</v>
      </c>
      <c r="BJ171" s="5" t="s">
        <v>246</v>
      </c>
      <c r="BK171" s="4" t="s">
        <v>254</v>
      </c>
      <c r="BL171" s="4" t="s">
        <v>255</v>
      </c>
      <c r="BM171" s="4" t="s">
        <v>241</v>
      </c>
      <c r="BN171" s="6">
        <f>0</f>
        <v>0</v>
      </c>
      <c r="BO171" s="6">
        <f>0</f>
        <v>0</v>
      </c>
      <c r="BP171" s="4" t="s">
        <v>256</v>
      </c>
      <c r="BQ171" s="4" t="s">
        <v>257</v>
      </c>
      <c r="CE171" s="4" t="s">
        <v>241</v>
      </c>
      <c r="CF171" s="4" t="s">
        <v>241</v>
      </c>
      <c r="CJ171" s="4" t="s">
        <v>258</v>
      </c>
      <c r="CK171" s="4" t="s">
        <v>259</v>
      </c>
      <c r="CL171" s="4" t="s">
        <v>241</v>
      </c>
      <c r="CO171" s="5" t="s">
        <v>260</v>
      </c>
      <c r="CP171" s="4" t="s">
        <v>241</v>
      </c>
      <c r="CQ171" s="4" t="s">
        <v>261</v>
      </c>
      <c r="CR171" s="4" t="s">
        <v>241</v>
      </c>
      <c r="CS171" s="4" t="s">
        <v>241</v>
      </c>
      <c r="CT171" s="4">
        <v>0</v>
      </c>
      <c r="CU171" s="4" t="s">
        <v>262</v>
      </c>
      <c r="CV171" s="4" t="s">
        <v>263</v>
      </c>
      <c r="CW171" s="4" t="s">
        <v>263</v>
      </c>
      <c r="CX171" s="4" t="s">
        <v>264</v>
      </c>
      <c r="DA171" s="6">
        <f>4920993</f>
        <v>4920993</v>
      </c>
      <c r="DC171" s="4" t="s">
        <v>266</v>
      </c>
      <c r="DD171" s="4" t="s">
        <v>241</v>
      </c>
      <c r="DF171" s="4" t="s">
        <v>266</v>
      </c>
      <c r="DG171" s="6">
        <f>781.11</f>
        <v>781.11</v>
      </c>
      <c r="DI171" s="4" t="s">
        <v>266</v>
      </c>
      <c r="DJ171" s="4" t="s">
        <v>241</v>
      </c>
      <c r="DK171" s="4" t="s">
        <v>241</v>
      </c>
      <c r="DL171" s="4" t="s">
        <v>241</v>
      </c>
      <c r="DP171" s="4" t="s">
        <v>241</v>
      </c>
      <c r="DQ171" s="4" t="s">
        <v>241</v>
      </c>
      <c r="DR171" s="4" t="s">
        <v>241</v>
      </c>
      <c r="DS171" s="4" t="s">
        <v>241</v>
      </c>
      <c r="DV171" s="4" t="s">
        <v>5514</v>
      </c>
      <c r="DW171" s="4" t="s">
        <v>267</v>
      </c>
      <c r="HO171" s="4" t="s">
        <v>267</v>
      </c>
    </row>
    <row r="172" spans="1:223" ht="19.5" customHeight="1" x14ac:dyDescent="0.4">
      <c r="A172" s="4">
        <v>1</v>
      </c>
      <c r="B172" s="4" t="s">
        <v>239</v>
      </c>
      <c r="C172" s="4">
        <v>883</v>
      </c>
      <c r="D172" s="4">
        <v>1</v>
      </c>
      <c r="E172" s="4">
        <v>1</v>
      </c>
      <c r="F172" s="4" t="s">
        <v>240</v>
      </c>
      <c r="G172" s="4" t="s">
        <v>241</v>
      </c>
      <c r="H172" s="4" t="s">
        <v>241</v>
      </c>
      <c r="I172" s="4" t="s">
        <v>5160</v>
      </c>
      <c r="J172" s="4" t="s">
        <v>3152</v>
      </c>
      <c r="K172" s="4" t="s">
        <v>251</v>
      </c>
      <c r="L172" s="4" t="s">
        <v>5159</v>
      </c>
      <c r="M172" s="5" t="s">
        <v>5163</v>
      </c>
      <c r="N172" s="6">
        <f>3007</f>
        <v>3007</v>
      </c>
      <c r="O172" s="4" t="s">
        <v>265</v>
      </c>
      <c r="P172" s="6">
        <f>24356700</f>
        <v>24356700</v>
      </c>
      <c r="Q172" s="6">
        <f>0</f>
        <v>0</v>
      </c>
      <c r="S172" s="6">
        <f>0</f>
        <v>0</v>
      </c>
      <c r="T172" s="6">
        <f>24356700</f>
        <v>24356700</v>
      </c>
      <c r="U172" s="5" t="s">
        <v>245</v>
      </c>
      <c r="V172" s="4" t="s">
        <v>270</v>
      </c>
      <c r="W172" s="4" t="s">
        <v>242</v>
      </c>
      <c r="X172" s="4" t="s">
        <v>273</v>
      </c>
      <c r="Y172" s="4" t="s">
        <v>241</v>
      </c>
      <c r="AB172" s="4" t="s">
        <v>241</v>
      </c>
      <c r="AD172" s="5" t="s">
        <v>241</v>
      </c>
      <c r="AG172" s="5" t="s">
        <v>246</v>
      </c>
      <c r="AH172" s="4" t="s">
        <v>241</v>
      </c>
      <c r="AI172" s="4" t="s">
        <v>247</v>
      </c>
      <c r="AJ172" s="4" t="s">
        <v>248</v>
      </c>
      <c r="AZ172" s="4" t="s">
        <v>249</v>
      </c>
      <c r="BA172" s="4" t="s">
        <v>241</v>
      </c>
      <c r="BB172" s="4" t="s">
        <v>250</v>
      </c>
      <c r="BC172" s="4" t="s">
        <v>241</v>
      </c>
      <c r="BD172" s="4" t="s">
        <v>252</v>
      </c>
      <c r="BE172" s="4" t="s">
        <v>241</v>
      </c>
      <c r="BG172" s="4" t="s">
        <v>4227</v>
      </c>
      <c r="BI172" s="4" t="s">
        <v>253</v>
      </c>
      <c r="BJ172" s="5" t="s">
        <v>246</v>
      </c>
      <c r="BK172" s="4" t="s">
        <v>254</v>
      </c>
      <c r="BL172" s="4" t="s">
        <v>255</v>
      </c>
      <c r="BM172" s="4" t="s">
        <v>241</v>
      </c>
      <c r="BN172" s="6">
        <f>0</f>
        <v>0</v>
      </c>
      <c r="BO172" s="6">
        <f>0</f>
        <v>0</v>
      </c>
      <c r="BP172" s="4" t="s">
        <v>256</v>
      </c>
      <c r="BQ172" s="4" t="s">
        <v>257</v>
      </c>
      <c r="CE172" s="4" t="s">
        <v>241</v>
      </c>
      <c r="CF172" s="4" t="s">
        <v>241</v>
      </c>
      <c r="CJ172" s="4" t="s">
        <v>258</v>
      </c>
      <c r="CK172" s="4" t="s">
        <v>259</v>
      </c>
      <c r="CL172" s="4" t="s">
        <v>241</v>
      </c>
      <c r="CO172" s="5" t="s">
        <v>260</v>
      </c>
      <c r="CP172" s="4" t="s">
        <v>241</v>
      </c>
      <c r="CQ172" s="4" t="s">
        <v>261</v>
      </c>
      <c r="CR172" s="4" t="s">
        <v>241</v>
      </c>
      <c r="CS172" s="4" t="s">
        <v>241</v>
      </c>
      <c r="CT172" s="4">
        <v>0</v>
      </c>
      <c r="CU172" s="4" t="s">
        <v>262</v>
      </c>
      <c r="CV172" s="4" t="s">
        <v>263</v>
      </c>
      <c r="CW172" s="4" t="s">
        <v>263</v>
      </c>
      <c r="CX172" s="4" t="s">
        <v>264</v>
      </c>
      <c r="DA172" s="6">
        <f>24356700</f>
        <v>24356700</v>
      </c>
      <c r="DC172" s="4" t="s">
        <v>266</v>
      </c>
      <c r="DD172" s="4" t="s">
        <v>241</v>
      </c>
      <c r="DF172" s="4" t="s">
        <v>266</v>
      </c>
      <c r="DG172" s="6">
        <f>0</f>
        <v>0</v>
      </c>
      <c r="DI172" s="4" t="s">
        <v>266</v>
      </c>
      <c r="DJ172" s="4" t="s">
        <v>241</v>
      </c>
      <c r="DK172" s="4" t="s">
        <v>241</v>
      </c>
      <c r="DL172" s="4" t="s">
        <v>241</v>
      </c>
      <c r="DP172" s="4" t="s">
        <v>241</v>
      </c>
      <c r="DQ172" s="4" t="s">
        <v>241</v>
      </c>
      <c r="DR172" s="4" t="s">
        <v>241</v>
      </c>
      <c r="DS172" s="4" t="s">
        <v>241</v>
      </c>
      <c r="DV172" s="4" t="s">
        <v>5162</v>
      </c>
      <c r="DW172" s="4" t="s">
        <v>267</v>
      </c>
      <c r="HO172" s="4" t="s">
        <v>267</v>
      </c>
    </row>
    <row r="173" spans="1:223" ht="19.5" customHeight="1" x14ac:dyDescent="0.4">
      <c r="A173" s="4">
        <v>1</v>
      </c>
      <c r="B173" s="4" t="s">
        <v>239</v>
      </c>
      <c r="C173" s="4">
        <v>884</v>
      </c>
      <c r="D173" s="4">
        <v>1</v>
      </c>
      <c r="E173" s="4">
        <v>1</v>
      </c>
      <c r="F173" s="4" t="s">
        <v>240</v>
      </c>
      <c r="G173" s="4" t="s">
        <v>241</v>
      </c>
      <c r="H173" s="4" t="s">
        <v>241</v>
      </c>
      <c r="I173" s="4" t="s">
        <v>5160</v>
      </c>
      <c r="J173" s="4" t="s">
        <v>3152</v>
      </c>
      <c r="K173" s="4" t="s">
        <v>251</v>
      </c>
      <c r="L173" s="4" t="s">
        <v>5159</v>
      </c>
      <c r="M173" s="5" t="s">
        <v>5161</v>
      </c>
      <c r="N173" s="6">
        <f>2656</f>
        <v>2656</v>
      </c>
      <c r="O173" s="4" t="s">
        <v>265</v>
      </c>
      <c r="P173" s="6">
        <f>21513600</f>
        <v>21513600</v>
      </c>
      <c r="Q173" s="6">
        <f>0</f>
        <v>0</v>
      </c>
      <c r="S173" s="6">
        <f>0</f>
        <v>0</v>
      </c>
      <c r="T173" s="6">
        <f>21513600</f>
        <v>21513600</v>
      </c>
      <c r="U173" s="5" t="s">
        <v>245</v>
      </c>
      <c r="V173" s="4" t="s">
        <v>270</v>
      </c>
      <c r="W173" s="4" t="s">
        <v>242</v>
      </c>
      <c r="X173" s="4" t="s">
        <v>273</v>
      </c>
      <c r="Y173" s="4" t="s">
        <v>241</v>
      </c>
      <c r="AB173" s="4" t="s">
        <v>241</v>
      </c>
      <c r="AD173" s="5" t="s">
        <v>241</v>
      </c>
      <c r="AG173" s="5" t="s">
        <v>246</v>
      </c>
      <c r="AH173" s="4" t="s">
        <v>241</v>
      </c>
      <c r="AI173" s="4" t="s">
        <v>247</v>
      </c>
      <c r="AJ173" s="4" t="s">
        <v>248</v>
      </c>
      <c r="AZ173" s="4" t="s">
        <v>249</v>
      </c>
      <c r="BA173" s="4" t="s">
        <v>241</v>
      </c>
      <c r="BB173" s="4" t="s">
        <v>250</v>
      </c>
      <c r="BC173" s="4" t="s">
        <v>241</v>
      </c>
      <c r="BD173" s="4" t="s">
        <v>252</v>
      </c>
      <c r="BE173" s="4" t="s">
        <v>241</v>
      </c>
      <c r="BI173" s="4" t="s">
        <v>253</v>
      </c>
      <c r="BJ173" s="5" t="s">
        <v>246</v>
      </c>
      <c r="BK173" s="4" t="s">
        <v>254</v>
      </c>
      <c r="BL173" s="4" t="s">
        <v>255</v>
      </c>
      <c r="BM173" s="4" t="s">
        <v>241</v>
      </c>
      <c r="BN173" s="6">
        <f>0</f>
        <v>0</v>
      </c>
      <c r="BO173" s="6">
        <f>0</f>
        <v>0</v>
      </c>
      <c r="BP173" s="4" t="s">
        <v>256</v>
      </c>
      <c r="BQ173" s="4" t="s">
        <v>257</v>
      </c>
      <c r="CE173" s="4" t="s">
        <v>241</v>
      </c>
      <c r="CF173" s="4" t="s">
        <v>241</v>
      </c>
      <c r="CJ173" s="4" t="s">
        <v>258</v>
      </c>
      <c r="CK173" s="4" t="s">
        <v>259</v>
      </c>
      <c r="CL173" s="4" t="s">
        <v>241</v>
      </c>
      <c r="CO173" s="5" t="s">
        <v>260</v>
      </c>
      <c r="CP173" s="4" t="s">
        <v>241</v>
      </c>
      <c r="CQ173" s="4" t="s">
        <v>261</v>
      </c>
      <c r="CR173" s="4" t="s">
        <v>241</v>
      </c>
      <c r="CS173" s="4" t="s">
        <v>241</v>
      </c>
      <c r="CT173" s="4">
        <v>0</v>
      </c>
      <c r="CU173" s="4" t="s">
        <v>262</v>
      </c>
      <c r="CV173" s="4" t="s">
        <v>263</v>
      </c>
      <c r="CW173" s="4" t="s">
        <v>263</v>
      </c>
      <c r="CX173" s="4" t="s">
        <v>264</v>
      </c>
      <c r="DA173" s="6">
        <f>21513600</f>
        <v>21513600</v>
      </c>
      <c r="DC173" s="4" t="s">
        <v>266</v>
      </c>
      <c r="DD173" s="4" t="s">
        <v>241</v>
      </c>
      <c r="DF173" s="4" t="s">
        <v>266</v>
      </c>
      <c r="DG173" s="6">
        <f>0</f>
        <v>0</v>
      </c>
      <c r="DI173" s="4" t="s">
        <v>266</v>
      </c>
      <c r="DJ173" s="4" t="s">
        <v>241</v>
      </c>
      <c r="DK173" s="4" t="s">
        <v>241</v>
      </c>
      <c r="DL173" s="4" t="s">
        <v>241</v>
      </c>
      <c r="DP173" s="4" t="s">
        <v>241</v>
      </c>
      <c r="DQ173" s="4" t="s">
        <v>241</v>
      </c>
      <c r="DR173" s="4" t="s">
        <v>241</v>
      </c>
      <c r="DS173" s="4" t="s">
        <v>241</v>
      </c>
      <c r="DV173" s="4" t="s">
        <v>5162</v>
      </c>
      <c r="DW173" s="4" t="s">
        <v>416</v>
      </c>
      <c r="HO173" s="4" t="s">
        <v>267</v>
      </c>
    </row>
    <row r="174" spans="1:223" ht="19.5" customHeight="1" x14ac:dyDescent="0.4">
      <c r="A174" s="4">
        <v>1</v>
      </c>
      <c r="B174" s="4" t="s">
        <v>239</v>
      </c>
      <c r="C174" s="4">
        <v>885</v>
      </c>
      <c r="D174" s="4">
        <v>1</v>
      </c>
      <c r="E174" s="4">
        <v>1</v>
      </c>
      <c r="F174" s="4" t="s">
        <v>240</v>
      </c>
      <c r="G174" s="4" t="s">
        <v>241</v>
      </c>
      <c r="H174" s="4" t="s">
        <v>241</v>
      </c>
      <c r="I174" s="4" t="s">
        <v>5160</v>
      </c>
      <c r="J174" s="4" t="s">
        <v>3152</v>
      </c>
      <c r="K174" s="4" t="s">
        <v>251</v>
      </c>
      <c r="L174" s="4" t="s">
        <v>5159</v>
      </c>
      <c r="M174" s="5" t="s">
        <v>5164</v>
      </c>
      <c r="N174" s="6">
        <f>1155</f>
        <v>1155</v>
      </c>
      <c r="O174" s="4" t="s">
        <v>265</v>
      </c>
      <c r="P174" s="6">
        <f>9355500</f>
        <v>9355500</v>
      </c>
      <c r="Q174" s="6">
        <f>0</f>
        <v>0</v>
      </c>
      <c r="S174" s="6">
        <f>0</f>
        <v>0</v>
      </c>
      <c r="T174" s="6">
        <f>9355500</f>
        <v>9355500</v>
      </c>
      <c r="U174" s="5" t="s">
        <v>245</v>
      </c>
      <c r="V174" s="4" t="s">
        <v>270</v>
      </c>
      <c r="W174" s="4" t="s">
        <v>242</v>
      </c>
      <c r="X174" s="4" t="s">
        <v>273</v>
      </c>
      <c r="Y174" s="4" t="s">
        <v>241</v>
      </c>
      <c r="AB174" s="4" t="s">
        <v>241</v>
      </c>
      <c r="AD174" s="5" t="s">
        <v>241</v>
      </c>
      <c r="AG174" s="5" t="s">
        <v>246</v>
      </c>
      <c r="AH174" s="4" t="s">
        <v>241</v>
      </c>
      <c r="AI174" s="4" t="s">
        <v>247</v>
      </c>
      <c r="AJ174" s="4" t="s">
        <v>248</v>
      </c>
      <c r="AZ174" s="4" t="s">
        <v>249</v>
      </c>
      <c r="BA174" s="4" t="s">
        <v>241</v>
      </c>
      <c r="BB174" s="4" t="s">
        <v>250</v>
      </c>
      <c r="BC174" s="4" t="s">
        <v>241</v>
      </c>
      <c r="BD174" s="4" t="s">
        <v>252</v>
      </c>
      <c r="BE174" s="4" t="s">
        <v>241</v>
      </c>
      <c r="BI174" s="4" t="s">
        <v>253</v>
      </c>
      <c r="BJ174" s="5" t="s">
        <v>246</v>
      </c>
      <c r="BK174" s="4" t="s">
        <v>254</v>
      </c>
      <c r="BL174" s="4" t="s">
        <v>255</v>
      </c>
      <c r="BM174" s="4" t="s">
        <v>241</v>
      </c>
      <c r="BN174" s="6">
        <f>0</f>
        <v>0</v>
      </c>
      <c r="BO174" s="6">
        <f>0</f>
        <v>0</v>
      </c>
      <c r="BP174" s="4" t="s">
        <v>256</v>
      </c>
      <c r="BQ174" s="4" t="s">
        <v>257</v>
      </c>
      <c r="CE174" s="4" t="s">
        <v>241</v>
      </c>
      <c r="CF174" s="4" t="s">
        <v>241</v>
      </c>
      <c r="CJ174" s="4" t="s">
        <v>258</v>
      </c>
      <c r="CK174" s="4" t="s">
        <v>259</v>
      </c>
      <c r="CL174" s="4" t="s">
        <v>241</v>
      </c>
      <c r="CO174" s="5" t="s">
        <v>260</v>
      </c>
      <c r="CP174" s="4" t="s">
        <v>241</v>
      </c>
      <c r="CQ174" s="4" t="s">
        <v>261</v>
      </c>
      <c r="CR174" s="4" t="s">
        <v>241</v>
      </c>
      <c r="CS174" s="4" t="s">
        <v>241</v>
      </c>
      <c r="CT174" s="4">
        <v>0</v>
      </c>
      <c r="CU174" s="4" t="s">
        <v>262</v>
      </c>
      <c r="CV174" s="4" t="s">
        <v>263</v>
      </c>
      <c r="CW174" s="4" t="s">
        <v>263</v>
      </c>
      <c r="CX174" s="4" t="s">
        <v>264</v>
      </c>
      <c r="DA174" s="6">
        <f>9355500</f>
        <v>9355500</v>
      </c>
      <c r="DC174" s="4" t="s">
        <v>266</v>
      </c>
      <c r="DD174" s="4" t="s">
        <v>241</v>
      </c>
      <c r="DF174" s="4" t="s">
        <v>266</v>
      </c>
      <c r="DG174" s="6">
        <f>0</f>
        <v>0</v>
      </c>
      <c r="DH174" s="5" t="s">
        <v>5165</v>
      </c>
      <c r="DI174" s="4" t="s">
        <v>266</v>
      </c>
      <c r="DJ174" s="4" t="s">
        <v>241</v>
      </c>
      <c r="DK174" s="4" t="s">
        <v>241</v>
      </c>
      <c r="DL174" s="4" t="s">
        <v>241</v>
      </c>
      <c r="DP174" s="4" t="s">
        <v>241</v>
      </c>
      <c r="DQ174" s="4" t="s">
        <v>241</v>
      </c>
      <c r="DR174" s="4" t="s">
        <v>241</v>
      </c>
      <c r="DS174" s="4" t="s">
        <v>241</v>
      </c>
      <c r="DV174" s="4" t="s">
        <v>5162</v>
      </c>
      <c r="DW174" s="4" t="s">
        <v>388</v>
      </c>
      <c r="HO174" s="4" t="s">
        <v>267</v>
      </c>
    </row>
    <row r="175" spans="1:223" ht="19.5" customHeight="1" x14ac:dyDescent="0.4">
      <c r="A175" s="4">
        <v>1</v>
      </c>
      <c r="B175" s="4" t="s">
        <v>239</v>
      </c>
      <c r="C175" s="4">
        <v>886</v>
      </c>
      <c r="D175" s="4">
        <v>1</v>
      </c>
      <c r="E175" s="4">
        <v>1</v>
      </c>
      <c r="F175" s="4" t="s">
        <v>240</v>
      </c>
      <c r="G175" s="4" t="s">
        <v>241</v>
      </c>
      <c r="H175" s="4" t="s">
        <v>241</v>
      </c>
      <c r="I175" s="4" t="s">
        <v>5157</v>
      </c>
      <c r="J175" s="4" t="s">
        <v>3158</v>
      </c>
      <c r="K175" s="4" t="s">
        <v>251</v>
      </c>
      <c r="L175" s="4" t="s">
        <v>5156</v>
      </c>
      <c r="M175" s="5" t="s">
        <v>3178</v>
      </c>
      <c r="N175" s="6">
        <f>36685.75</f>
        <v>36685.75</v>
      </c>
      <c r="O175" s="4" t="s">
        <v>265</v>
      </c>
      <c r="P175" s="6">
        <f>1027201</f>
        <v>1027201</v>
      </c>
      <c r="Q175" s="6">
        <f>0</f>
        <v>0</v>
      </c>
      <c r="S175" s="6">
        <f>0</f>
        <v>0</v>
      </c>
      <c r="T175" s="6">
        <f>1027201</f>
        <v>1027201</v>
      </c>
      <c r="U175" s="5" t="s">
        <v>245</v>
      </c>
      <c r="V175" s="4" t="s">
        <v>270</v>
      </c>
      <c r="W175" s="4" t="s">
        <v>242</v>
      </c>
      <c r="X175" s="4" t="s">
        <v>273</v>
      </c>
      <c r="Y175" s="4" t="s">
        <v>241</v>
      </c>
      <c r="AB175" s="4" t="s">
        <v>241</v>
      </c>
      <c r="AD175" s="5" t="s">
        <v>241</v>
      </c>
      <c r="AG175" s="5" t="s">
        <v>246</v>
      </c>
      <c r="AH175" s="4" t="s">
        <v>241</v>
      </c>
      <c r="AI175" s="4" t="s">
        <v>247</v>
      </c>
      <c r="AJ175" s="4" t="s">
        <v>248</v>
      </c>
      <c r="AZ175" s="4" t="s">
        <v>249</v>
      </c>
      <c r="BA175" s="4" t="s">
        <v>241</v>
      </c>
      <c r="BB175" s="4" t="s">
        <v>250</v>
      </c>
      <c r="BC175" s="4" t="s">
        <v>241</v>
      </c>
      <c r="BD175" s="4" t="s">
        <v>252</v>
      </c>
      <c r="BE175" s="4" t="s">
        <v>241</v>
      </c>
      <c r="BG175" s="4" t="s">
        <v>4227</v>
      </c>
      <c r="BI175" s="4" t="s">
        <v>253</v>
      </c>
      <c r="BJ175" s="5" t="s">
        <v>246</v>
      </c>
      <c r="BK175" s="4" t="s">
        <v>254</v>
      </c>
      <c r="BL175" s="4" t="s">
        <v>255</v>
      </c>
      <c r="BM175" s="4" t="s">
        <v>241</v>
      </c>
      <c r="BN175" s="6">
        <f>0</f>
        <v>0</v>
      </c>
      <c r="BO175" s="6">
        <f>0</f>
        <v>0</v>
      </c>
      <c r="BP175" s="4" t="s">
        <v>256</v>
      </c>
      <c r="BQ175" s="4" t="s">
        <v>257</v>
      </c>
      <c r="CE175" s="4" t="s">
        <v>241</v>
      </c>
      <c r="CF175" s="4" t="s">
        <v>241</v>
      </c>
      <c r="CJ175" s="4" t="s">
        <v>258</v>
      </c>
      <c r="CK175" s="4" t="s">
        <v>259</v>
      </c>
      <c r="CL175" s="4" t="s">
        <v>241</v>
      </c>
      <c r="CO175" s="5" t="s">
        <v>260</v>
      </c>
      <c r="CP175" s="4" t="s">
        <v>241</v>
      </c>
      <c r="CQ175" s="4" t="s">
        <v>261</v>
      </c>
      <c r="CR175" s="4" t="s">
        <v>241</v>
      </c>
      <c r="CS175" s="4" t="s">
        <v>241</v>
      </c>
      <c r="CT175" s="4">
        <v>0</v>
      </c>
      <c r="CU175" s="4" t="s">
        <v>262</v>
      </c>
      <c r="CV175" s="4" t="s">
        <v>263</v>
      </c>
      <c r="CW175" s="4" t="s">
        <v>263</v>
      </c>
      <c r="CX175" s="4" t="s">
        <v>264</v>
      </c>
      <c r="DA175" s="6">
        <f>1027201</f>
        <v>1027201</v>
      </c>
      <c r="DC175" s="4" t="s">
        <v>3176</v>
      </c>
      <c r="DD175" s="4" t="s">
        <v>241</v>
      </c>
      <c r="DF175" s="4" t="s">
        <v>287</v>
      </c>
      <c r="DG175" s="6">
        <f>0</f>
        <v>0</v>
      </c>
      <c r="DI175" s="4" t="s">
        <v>324</v>
      </c>
      <c r="DJ175" s="4" t="s">
        <v>241</v>
      </c>
      <c r="DK175" s="4" t="s">
        <v>241</v>
      </c>
      <c r="DL175" s="4" t="s">
        <v>241</v>
      </c>
      <c r="DP175" s="4" t="s">
        <v>241</v>
      </c>
      <c r="DQ175" s="4" t="s">
        <v>241</v>
      </c>
      <c r="DR175" s="4" t="s">
        <v>241</v>
      </c>
      <c r="DS175" s="4" t="s">
        <v>241</v>
      </c>
      <c r="DV175" s="4" t="s">
        <v>5158</v>
      </c>
      <c r="DW175" s="4" t="s">
        <v>267</v>
      </c>
      <c r="HO175" s="4" t="s">
        <v>267</v>
      </c>
    </row>
    <row r="176" spans="1:223" ht="19.5" customHeight="1" x14ac:dyDescent="0.4">
      <c r="A176" s="4">
        <v>1</v>
      </c>
      <c r="B176" s="4" t="s">
        <v>239</v>
      </c>
      <c r="C176" s="4">
        <v>887</v>
      </c>
      <c r="D176" s="4">
        <v>1</v>
      </c>
      <c r="E176" s="4">
        <v>1</v>
      </c>
      <c r="F176" s="4" t="s">
        <v>240</v>
      </c>
      <c r="G176" s="4" t="s">
        <v>241</v>
      </c>
      <c r="H176" s="4" t="s">
        <v>241</v>
      </c>
      <c r="I176" s="4" t="s">
        <v>5151</v>
      </c>
      <c r="J176" s="4" t="s">
        <v>3158</v>
      </c>
      <c r="K176" s="4" t="s">
        <v>251</v>
      </c>
      <c r="L176" s="4" t="s">
        <v>5150</v>
      </c>
      <c r="M176" s="5" t="s">
        <v>5154</v>
      </c>
      <c r="N176" s="6">
        <f>29773</f>
        <v>29773</v>
      </c>
      <c r="O176" s="4" t="s">
        <v>265</v>
      </c>
      <c r="P176" s="6">
        <f>65947195</f>
        <v>65947195</v>
      </c>
      <c r="Q176" s="6">
        <f>0</f>
        <v>0</v>
      </c>
      <c r="S176" s="6">
        <f>0</f>
        <v>0</v>
      </c>
      <c r="T176" s="6">
        <f>65947195</f>
        <v>65947195</v>
      </c>
      <c r="U176" s="5" t="s">
        <v>245</v>
      </c>
      <c r="V176" s="4" t="s">
        <v>270</v>
      </c>
      <c r="W176" s="4" t="s">
        <v>242</v>
      </c>
      <c r="X176" s="4" t="s">
        <v>273</v>
      </c>
      <c r="Y176" s="4" t="s">
        <v>241</v>
      </c>
      <c r="AB176" s="4" t="s">
        <v>241</v>
      </c>
      <c r="AD176" s="5" t="s">
        <v>241</v>
      </c>
      <c r="AG176" s="5" t="s">
        <v>246</v>
      </c>
      <c r="AH176" s="4" t="s">
        <v>241</v>
      </c>
      <c r="AI176" s="4" t="s">
        <v>247</v>
      </c>
      <c r="AJ176" s="4" t="s">
        <v>248</v>
      </c>
      <c r="AZ176" s="4" t="s">
        <v>249</v>
      </c>
      <c r="BA176" s="4" t="s">
        <v>241</v>
      </c>
      <c r="BB176" s="4" t="s">
        <v>250</v>
      </c>
      <c r="BC176" s="4" t="s">
        <v>241</v>
      </c>
      <c r="BD176" s="4" t="s">
        <v>252</v>
      </c>
      <c r="BE176" s="4" t="s">
        <v>241</v>
      </c>
      <c r="BG176" s="4" t="s">
        <v>4227</v>
      </c>
      <c r="BI176" s="4" t="s">
        <v>253</v>
      </c>
      <c r="BJ176" s="5" t="s">
        <v>246</v>
      </c>
      <c r="BK176" s="4" t="s">
        <v>254</v>
      </c>
      <c r="BL176" s="4" t="s">
        <v>255</v>
      </c>
      <c r="BM176" s="4" t="s">
        <v>241</v>
      </c>
      <c r="BN176" s="6">
        <f>0</f>
        <v>0</v>
      </c>
      <c r="BO176" s="6">
        <f>0</f>
        <v>0</v>
      </c>
      <c r="BP176" s="4" t="s">
        <v>256</v>
      </c>
      <c r="BQ176" s="4" t="s">
        <v>257</v>
      </c>
      <c r="CE176" s="4" t="s">
        <v>241</v>
      </c>
      <c r="CF176" s="4" t="s">
        <v>241</v>
      </c>
      <c r="CJ176" s="4" t="s">
        <v>258</v>
      </c>
      <c r="CK176" s="4" t="s">
        <v>259</v>
      </c>
      <c r="CL176" s="4" t="s">
        <v>241</v>
      </c>
      <c r="CO176" s="5" t="s">
        <v>260</v>
      </c>
      <c r="CP176" s="4" t="s">
        <v>241</v>
      </c>
      <c r="CQ176" s="4" t="s">
        <v>261</v>
      </c>
      <c r="CR176" s="4" t="s">
        <v>241</v>
      </c>
      <c r="CS176" s="4" t="s">
        <v>241</v>
      </c>
      <c r="CT176" s="4">
        <v>0</v>
      </c>
      <c r="CU176" s="4" t="s">
        <v>262</v>
      </c>
      <c r="CV176" s="4" t="s">
        <v>263</v>
      </c>
      <c r="CW176" s="4" t="s">
        <v>263</v>
      </c>
      <c r="CX176" s="4" t="s">
        <v>264</v>
      </c>
      <c r="DA176" s="6">
        <f>65947195</f>
        <v>65947195</v>
      </c>
      <c r="DC176" s="4" t="s">
        <v>422</v>
      </c>
      <c r="DD176" s="4" t="s">
        <v>241</v>
      </c>
      <c r="DF176" s="4" t="s">
        <v>287</v>
      </c>
      <c r="DG176" s="6">
        <f>0</f>
        <v>0</v>
      </c>
      <c r="DI176" s="4" t="s">
        <v>414</v>
      </c>
      <c r="DJ176" s="4" t="s">
        <v>241</v>
      </c>
      <c r="DK176" s="4" t="s">
        <v>241</v>
      </c>
      <c r="DL176" s="4" t="s">
        <v>241</v>
      </c>
      <c r="DP176" s="4" t="s">
        <v>241</v>
      </c>
      <c r="DQ176" s="4" t="s">
        <v>241</v>
      </c>
      <c r="DR176" s="4" t="s">
        <v>241</v>
      </c>
      <c r="DS176" s="4" t="s">
        <v>241</v>
      </c>
      <c r="DV176" s="4" t="s">
        <v>5153</v>
      </c>
      <c r="DW176" s="4" t="s">
        <v>267</v>
      </c>
      <c r="HO176" s="4" t="s">
        <v>267</v>
      </c>
    </row>
    <row r="177" spans="1:223" ht="19.5" customHeight="1" x14ac:dyDescent="0.4">
      <c r="A177" s="4">
        <v>1</v>
      </c>
      <c r="B177" s="4" t="s">
        <v>239</v>
      </c>
      <c r="C177" s="4">
        <v>888</v>
      </c>
      <c r="D177" s="4">
        <v>1</v>
      </c>
      <c r="E177" s="4">
        <v>1</v>
      </c>
      <c r="F177" s="4" t="s">
        <v>240</v>
      </c>
      <c r="G177" s="4" t="s">
        <v>241</v>
      </c>
      <c r="H177" s="4" t="s">
        <v>241</v>
      </c>
      <c r="I177" s="4" t="s">
        <v>5151</v>
      </c>
      <c r="J177" s="4" t="s">
        <v>3158</v>
      </c>
      <c r="K177" s="4" t="s">
        <v>251</v>
      </c>
      <c r="L177" s="4" t="s">
        <v>5150</v>
      </c>
      <c r="M177" s="5" t="s">
        <v>5510</v>
      </c>
      <c r="N177" s="6">
        <f>23436</f>
        <v>23436</v>
      </c>
      <c r="O177" s="4" t="s">
        <v>265</v>
      </c>
      <c r="P177" s="6">
        <f>51910740</f>
        <v>51910740</v>
      </c>
      <c r="Q177" s="6">
        <f>0</f>
        <v>0</v>
      </c>
      <c r="S177" s="6">
        <f>0</f>
        <v>0</v>
      </c>
      <c r="T177" s="6">
        <f>51910740</f>
        <v>51910740</v>
      </c>
      <c r="U177" s="5" t="s">
        <v>245</v>
      </c>
      <c r="V177" s="4" t="s">
        <v>270</v>
      </c>
      <c r="W177" s="4" t="s">
        <v>242</v>
      </c>
      <c r="X177" s="4" t="s">
        <v>273</v>
      </c>
      <c r="Y177" s="4" t="s">
        <v>241</v>
      </c>
      <c r="AB177" s="4" t="s">
        <v>241</v>
      </c>
      <c r="AD177" s="5" t="s">
        <v>241</v>
      </c>
      <c r="AG177" s="5" t="s">
        <v>246</v>
      </c>
      <c r="AH177" s="4" t="s">
        <v>241</v>
      </c>
      <c r="AI177" s="4" t="s">
        <v>247</v>
      </c>
      <c r="AJ177" s="4" t="s">
        <v>248</v>
      </c>
      <c r="AZ177" s="4" t="s">
        <v>249</v>
      </c>
      <c r="BA177" s="4" t="s">
        <v>241</v>
      </c>
      <c r="BB177" s="4" t="s">
        <v>250</v>
      </c>
      <c r="BC177" s="4" t="s">
        <v>241</v>
      </c>
      <c r="BD177" s="4" t="s">
        <v>252</v>
      </c>
      <c r="BE177" s="4" t="s">
        <v>241</v>
      </c>
      <c r="BI177" s="4" t="s">
        <v>253</v>
      </c>
      <c r="BJ177" s="5" t="s">
        <v>246</v>
      </c>
      <c r="BK177" s="4" t="s">
        <v>254</v>
      </c>
      <c r="BL177" s="4" t="s">
        <v>255</v>
      </c>
      <c r="BM177" s="4" t="s">
        <v>241</v>
      </c>
      <c r="BN177" s="6">
        <f>0</f>
        <v>0</v>
      </c>
      <c r="BO177" s="6">
        <f>0</f>
        <v>0</v>
      </c>
      <c r="BP177" s="4" t="s">
        <v>256</v>
      </c>
      <c r="BQ177" s="4" t="s">
        <v>257</v>
      </c>
      <c r="CE177" s="4" t="s">
        <v>241</v>
      </c>
      <c r="CF177" s="4" t="s">
        <v>241</v>
      </c>
      <c r="CJ177" s="4" t="s">
        <v>258</v>
      </c>
      <c r="CK177" s="4" t="s">
        <v>259</v>
      </c>
      <c r="CL177" s="4" t="s">
        <v>241</v>
      </c>
      <c r="CO177" s="5" t="s">
        <v>260</v>
      </c>
      <c r="CP177" s="4" t="s">
        <v>241</v>
      </c>
      <c r="CQ177" s="4" t="s">
        <v>261</v>
      </c>
      <c r="CR177" s="4" t="s">
        <v>241</v>
      </c>
      <c r="CS177" s="4" t="s">
        <v>241</v>
      </c>
      <c r="CT177" s="4">
        <v>0</v>
      </c>
      <c r="CU177" s="4" t="s">
        <v>262</v>
      </c>
      <c r="CV177" s="4" t="s">
        <v>263</v>
      </c>
      <c r="CW177" s="4" t="s">
        <v>263</v>
      </c>
      <c r="CX177" s="4" t="s">
        <v>264</v>
      </c>
      <c r="DA177" s="6">
        <f>51910740</f>
        <v>51910740</v>
      </c>
      <c r="DC177" s="4" t="s">
        <v>422</v>
      </c>
      <c r="DD177" s="4" t="s">
        <v>241</v>
      </c>
      <c r="DF177" s="4" t="s">
        <v>287</v>
      </c>
      <c r="DG177" s="6">
        <f>0</f>
        <v>0</v>
      </c>
      <c r="DI177" s="4" t="s">
        <v>414</v>
      </c>
      <c r="DJ177" s="4" t="s">
        <v>241</v>
      </c>
      <c r="DK177" s="4" t="s">
        <v>241</v>
      </c>
      <c r="DL177" s="4" t="s">
        <v>241</v>
      </c>
      <c r="DP177" s="4" t="s">
        <v>241</v>
      </c>
      <c r="DQ177" s="4" t="s">
        <v>241</v>
      </c>
      <c r="DR177" s="4" t="s">
        <v>241</v>
      </c>
      <c r="DS177" s="4" t="s">
        <v>241</v>
      </c>
      <c r="DV177" s="4" t="s">
        <v>5153</v>
      </c>
      <c r="DW177" s="4" t="s">
        <v>416</v>
      </c>
      <c r="HO177" s="4" t="s">
        <v>267</v>
      </c>
    </row>
    <row r="178" spans="1:223" ht="19.5" customHeight="1" x14ac:dyDescent="0.4">
      <c r="A178" s="4">
        <v>1</v>
      </c>
      <c r="B178" s="4" t="s">
        <v>239</v>
      </c>
      <c r="C178" s="4">
        <v>889</v>
      </c>
      <c r="D178" s="4">
        <v>1</v>
      </c>
      <c r="E178" s="4">
        <v>1</v>
      </c>
      <c r="F178" s="4" t="s">
        <v>240</v>
      </c>
      <c r="G178" s="4" t="s">
        <v>241</v>
      </c>
      <c r="H178" s="4" t="s">
        <v>241</v>
      </c>
      <c r="I178" s="4" t="s">
        <v>5151</v>
      </c>
      <c r="J178" s="4" t="s">
        <v>3158</v>
      </c>
      <c r="K178" s="4" t="s">
        <v>251</v>
      </c>
      <c r="L178" s="4" t="s">
        <v>5150</v>
      </c>
      <c r="M178" s="5" t="s">
        <v>5155</v>
      </c>
      <c r="N178" s="6">
        <f>82822</f>
        <v>82822</v>
      </c>
      <c r="O178" s="4" t="s">
        <v>265</v>
      </c>
      <c r="P178" s="6">
        <f>183450730</f>
        <v>183450730</v>
      </c>
      <c r="Q178" s="6">
        <f>0</f>
        <v>0</v>
      </c>
      <c r="S178" s="6">
        <f>0</f>
        <v>0</v>
      </c>
      <c r="T178" s="6">
        <f>183450730</f>
        <v>183450730</v>
      </c>
      <c r="U178" s="5" t="s">
        <v>245</v>
      </c>
      <c r="V178" s="4" t="s">
        <v>270</v>
      </c>
      <c r="W178" s="4" t="s">
        <v>242</v>
      </c>
      <c r="X178" s="4" t="s">
        <v>273</v>
      </c>
      <c r="Y178" s="4" t="s">
        <v>241</v>
      </c>
      <c r="AB178" s="4" t="s">
        <v>241</v>
      </c>
      <c r="AD178" s="5" t="s">
        <v>241</v>
      </c>
      <c r="AG178" s="5" t="s">
        <v>246</v>
      </c>
      <c r="AH178" s="4" t="s">
        <v>241</v>
      </c>
      <c r="AI178" s="4" t="s">
        <v>247</v>
      </c>
      <c r="AJ178" s="4" t="s">
        <v>248</v>
      </c>
      <c r="AZ178" s="4" t="s">
        <v>249</v>
      </c>
      <c r="BA178" s="4" t="s">
        <v>241</v>
      </c>
      <c r="BB178" s="4" t="s">
        <v>250</v>
      </c>
      <c r="BC178" s="4" t="s">
        <v>241</v>
      </c>
      <c r="BD178" s="4" t="s">
        <v>252</v>
      </c>
      <c r="BE178" s="4" t="s">
        <v>241</v>
      </c>
      <c r="BI178" s="4" t="s">
        <v>253</v>
      </c>
      <c r="BJ178" s="5" t="s">
        <v>246</v>
      </c>
      <c r="BK178" s="4" t="s">
        <v>254</v>
      </c>
      <c r="BL178" s="4" t="s">
        <v>255</v>
      </c>
      <c r="BM178" s="4" t="s">
        <v>241</v>
      </c>
      <c r="BN178" s="6">
        <f>0</f>
        <v>0</v>
      </c>
      <c r="BO178" s="6">
        <f>0</f>
        <v>0</v>
      </c>
      <c r="BP178" s="4" t="s">
        <v>256</v>
      </c>
      <c r="BQ178" s="4" t="s">
        <v>257</v>
      </c>
      <c r="CE178" s="4" t="s">
        <v>241</v>
      </c>
      <c r="CF178" s="4" t="s">
        <v>241</v>
      </c>
      <c r="CJ178" s="4" t="s">
        <v>258</v>
      </c>
      <c r="CK178" s="4" t="s">
        <v>259</v>
      </c>
      <c r="CL178" s="4" t="s">
        <v>241</v>
      </c>
      <c r="CO178" s="5" t="s">
        <v>260</v>
      </c>
      <c r="CP178" s="4" t="s">
        <v>241</v>
      </c>
      <c r="CQ178" s="4" t="s">
        <v>261</v>
      </c>
      <c r="CR178" s="4" t="s">
        <v>241</v>
      </c>
      <c r="CS178" s="4" t="s">
        <v>241</v>
      </c>
      <c r="CT178" s="4">
        <v>0</v>
      </c>
      <c r="CU178" s="4" t="s">
        <v>262</v>
      </c>
      <c r="CV178" s="4" t="s">
        <v>263</v>
      </c>
      <c r="CW178" s="4" t="s">
        <v>263</v>
      </c>
      <c r="CX178" s="4" t="s">
        <v>264</v>
      </c>
      <c r="DA178" s="6">
        <f>183450730</f>
        <v>183450730</v>
      </c>
      <c r="DC178" s="4" t="s">
        <v>422</v>
      </c>
      <c r="DD178" s="4" t="s">
        <v>241</v>
      </c>
      <c r="DF178" s="4" t="s">
        <v>287</v>
      </c>
      <c r="DG178" s="6">
        <f>0</f>
        <v>0</v>
      </c>
      <c r="DI178" s="4" t="s">
        <v>414</v>
      </c>
      <c r="DJ178" s="4" t="s">
        <v>241</v>
      </c>
      <c r="DK178" s="4" t="s">
        <v>241</v>
      </c>
      <c r="DL178" s="4" t="s">
        <v>241</v>
      </c>
      <c r="DP178" s="4" t="s">
        <v>241</v>
      </c>
      <c r="DQ178" s="4" t="s">
        <v>241</v>
      </c>
      <c r="DR178" s="4" t="s">
        <v>241</v>
      </c>
      <c r="DS178" s="4" t="s">
        <v>241</v>
      </c>
      <c r="DV178" s="4" t="s">
        <v>5153</v>
      </c>
      <c r="DW178" s="4" t="s">
        <v>388</v>
      </c>
      <c r="HO178" s="4" t="s">
        <v>267</v>
      </c>
    </row>
    <row r="179" spans="1:223" ht="19.5" customHeight="1" x14ac:dyDescent="0.4">
      <c r="A179" s="4">
        <v>1</v>
      </c>
      <c r="B179" s="4" t="s">
        <v>239</v>
      </c>
      <c r="C179" s="4">
        <v>890</v>
      </c>
      <c r="D179" s="4">
        <v>1</v>
      </c>
      <c r="E179" s="4">
        <v>1</v>
      </c>
      <c r="F179" s="4" t="s">
        <v>240</v>
      </c>
      <c r="G179" s="4" t="s">
        <v>241</v>
      </c>
      <c r="H179" s="4" t="s">
        <v>241</v>
      </c>
      <c r="I179" s="4" t="s">
        <v>5151</v>
      </c>
      <c r="J179" s="4" t="s">
        <v>3158</v>
      </c>
      <c r="K179" s="4" t="s">
        <v>251</v>
      </c>
      <c r="L179" s="4" t="s">
        <v>5150</v>
      </c>
      <c r="M179" s="5" t="s">
        <v>5152</v>
      </c>
      <c r="N179" s="6">
        <f>2643</f>
        <v>2643</v>
      </c>
      <c r="O179" s="4" t="s">
        <v>265</v>
      </c>
      <c r="P179" s="6">
        <f>5854245</f>
        <v>5854245</v>
      </c>
      <c r="Q179" s="6">
        <f>0</f>
        <v>0</v>
      </c>
      <c r="S179" s="6">
        <f>0</f>
        <v>0</v>
      </c>
      <c r="T179" s="6">
        <f>5854245</f>
        <v>5854245</v>
      </c>
      <c r="U179" s="5" t="s">
        <v>245</v>
      </c>
      <c r="V179" s="4" t="s">
        <v>270</v>
      </c>
      <c r="W179" s="4" t="s">
        <v>242</v>
      </c>
      <c r="X179" s="4" t="s">
        <v>273</v>
      </c>
      <c r="Y179" s="4" t="s">
        <v>241</v>
      </c>
      <c r="AB179" s="4" t="s">
        <v>241</v>
      </c>
      <c r="AD179" s="5" t="s">
        <v>241</v>
      </c>
      <c r="AG179" s="5" t="s">
        <v>246</v>
      </c>
      <c r="AH179" s="4" t="s">
        <v>241</v>
      </c>
      <c r="AI179" s="4" t="s">
        <v>247</v>
      </c>
      <c r="AJ179" s="4" t="s">
        <v>248</v>
      </c>
      <c r="AZ179" s="4" t="s">
        <v>249</v>
      </c>
      <c r="BA179" s="4" t="s">
        <v>241</v>
      </c>
      <c r="BB179" s="4" t="s">
        <v>250</v>
      </c>
      <c r="BC179" s="4" t="s">
        <v>241</v>
      </c>
      <c r="BD179" s="4" t="s">
        <v>252</v>
      </c>
      <c r="BE179" s="4" t="s">
        <v>241</v>
      </c>
      <c r="BI179" s="4" t="s">
        <v>253</v>
      </c>
      <c r="BJ179" s="5" t="s">
        <v>246</v>
      </c>
      <c r="BK179" s="4" t="s">
        <v>254</v>
      </c>
      <c r="BL179" s="4" t="s">
        <v>255</v>
      </c>
      <c r="BM179" s="4" t="s">
        <v>241</v>
      </c>
      <c r="BN179" s="6">
        <f>0</f>
        <v>0</v>
      </c>
      <c r="BO179" s="6">
        <f>0</f>
        <v>0</v>
      </c>
      <c r="BP179" s="4" t="s">
        <v>256</v>
      </c>
      <c r="BQ179" s="4" t="s">
        <v>257</v>
      </c>
      <c r="CE179" s="4" t="s">
        <v>241</v>
      </c>
      <c r="CF179" s="4" t="s">
        <v>241</v>
      </c>
      <c r="CJ179" s="4" t="s">
        <v>258</v>
      </c>
      <c r="CK179" s="4" t="s">
        <v>259</v>
      </c>
      <c r="CL179" s="4" t="s">
        <v>241</v>
      </c>
      <c r="CO179" s="5" t="s">
        <v>260</v>
      </c>
      <c r="CP179" s="4" t="s">
        <v>241</v>
      </c>
      <c r="CQ179" s="4" t="s">
        <v>261</v>
      </c>
      <c r="CR179" s="4" t="s">
        <v>241</v>
      </c>
      <c r="CS179" s="4" t="s">
        <v>241</v>
      </c>
      <c r="CT179" s="4">
        <v>0</v>
      </c>
      <c r="CU179" s="4" t="s">
        <v>262</v>
      </c>
      <c r="CV179" s="4" t="s">
        <v>263</v>
      </c>
      <c r="CW179" s="4" t="s">
        <v>263</v>
      </c>
      <c r="CX179" s="4" t="s">
        <v>264</v>
      </c>
      <c r="DA179" s="6">
        <f>5854245</f>
        <v>5854245</v>
      </c>
      <c r="DC179" s="4" t="s">
        <v>422</v>
      </c>
      <c r="DD179" s="4" t="s">
        <v>241</v>
      </c>
      <c r="DF179" s="4" t="s">
        <v>287</v>
      </c>
      <c r="DG179" s="6">
        <f>0</f>
        <v>0</v>
      </c>
      <c r="DI179" s="4" t="s">
        <v>414</v>
      </c>
      <c r="DJ179" s="4" t="s">
        <v>241</v>
      </c>
      <c r="DK179" s="4" t="s">
        <v>241</v>
      </c>
      <c r="DL179" s="4" t="s">
        <v>241</v>
      </c>
      <c r="DP179" s="4" t="s">
        <v>241</v>
      </c>
      <c r="DQ179" s="4" t="s">
        <v>241</v>
      </c>
      <c r="DR179" s="4" t="s">
        <v>241</v>
      </c>
      <c r="DS179" s="4" t="s">
        <v>241</v>
      </c>
      <c r="DV179" s="4" t="s">
        <v>5153</v>
      </c>
      <c r="DW179" s="4" t="s">
        <v>327</v>
      </c>
      <c r="HO179" s="4" t="s">
        <v>267</v>
      </c>
    </row>
    <row r="180" spans="1:223" ht="19.5" customHeight="1" x14ac:dyDescent="0.4">
      <c r="A180" s="4">
        <v>1</v>
      </c>
      <c r="B180" s="4" t="s">
        <v>239</v>
      </c>
      <c r="C180" s="4">
        <v>891</v>
      </c>
      <c r="D180" s="4">
        <v>1</v>
      </c>
      <c r="E180" s="4">
        <v>1</v>
      </c>
      <c r="F180" s="4" t="s">
        <v>240</v>
      </c>
      <c r="G180" s="4" t="s">
        <v>241</v>
      </c>
      <c r="H180" s="4" t="s">
        <v>241</v>
      </c>
      <c r="I180" s="4" t="s">
        <v>5147</v>
      </c>
      <c r="J180" s="4" t="s">
        <v>4219</v>
      </c>
      <c r="K180" s="4" t="s">
        <v>251</v>
      </c>
      <c r="L180" s="4" t="s">
        <v>5146</v>
      </c>
      <c r="M180" s="5" t="s">
        <v>5148</v>
      </c>
      <c r="N180" s="6">
        <f>26203</f>
        <v>26203</v>
      </c>
      <c r="O180" s="4" t="s">
        <v>265</v>
      </c>
      <c r="P180" s="6">
        <f>58039645</f>
        <v>58039645</v>
      </c>
      <c r="Q180" s="6">
        <f>0</f>
        <v>0</v>
      </c>
      <c r="S180" s="6">
        <f>0</f>
        <v>0</v>
      </c>
      <c r="T180" s="6">
        <f>58039645</f>
        <v>58039645</v>
      </c>
      <c r="U180" s="5" t="s">
        <v>245</v>
      </c>
      <c r="V180" s="4" t="s">
        <v>270</v>
      </c>
      <c r="W180" s="4" t="s">
        <v>242</v>
      </c>
      <c r="X180" s="4" t="s">
        <v>273</v>
      </c>
      <c r="Y180" s="4" t="s">
        <v>241</v>
      </c>
      <c r="AB180" s="4" t="s">
        <v>241</v>
      </c>
      <c r="AD180" s="5" t="s">
        <v>241</v>
      </c>
      <c r="AG180" s="5" t="s">
        <v>246</v>
      </c>
      <c r="AH180" s="4" t="s">
        <v>241</v>
      </c>
      <c r="AI180" s="4" t="s">
        <v>247</v>
      </c>
      <c r="AJ180" s="4" t="s">
        <v>248</v>
      </c>
      <c r="AZ180" s="4" t="s">
        <v>249</v>
      </c>
      <c r="BA180" s="4" t="s">
        <v>241</v>
      </c>
      <c r="BB180" s="4" t="s">
        <v>250</v>
      </c>
      <c r="BC180" s="4" t="s">
        <v>241</v>
      </c>
      <c r="BD180" s="4" t="s">
        <v>252</v>
      </c>
      <c r="BE180" s="4" t="s">
        <v>241</v>
      </c>
      <c r="BG180" s="4" t="s">
        <v>4227</v>
      </c>
      <c r="BI180" s="4" t="s">
        <v>253</v>
      </c>
      <c r="BJ180" s="5" t="s">
        <v>246</v>
      </c>
      <c r="BK180" s="4" t="s">
        <v>254</v>
      </c>
      <c r="BL180" s="4" t="s">
        <v>255</v>
      </c>
      <c r="BM180" s="4" t="s">
        <v>241</v>
      </c>
      <c r="BN180" s="6">
        <f>0</f>
        <v>0</v>
      </c>
      <c r="BO180" s="6">
        <f>0</f>
        <v>0</v>
      </c>
      <c r="BP180" s="4" t="s">
        <v>256</v>
      </c>
      <c r="BQ180" s="4" t="s">
        <v>257</v>
      </c>
      <c r="CE180" s="4" t="s">
        <v>241</v>
      </c>
      <c r="CF180" s="4" t="s">
        <v>241</v>
      </c>
      <c r="CJ180" s="4" t="s">
        <v>258</v>
      </c>
      <c r="CK180" s="4" t="s">
        <v>259</v>
      </c>
      <c r="CL180" s="4" t="s">
        <v>241</v>
      </c>
      <c r="CO180" s="5" t="s">
        <v>260</v>
      </c>
      <c r="CP180" s="4" t="s">
        <v>241</v>
      </c>
      <c r="CQ180" s="4" t="s">
        <v>261</v>
      </c>
      <c r="CR180" s="4" t="s">
        <v>241</v>
      </c>
      <c r="CS180" s="4" t="s">
        <v>241</v>
      </c>
      <c r="CT180" s="4">
        <v>0</v>
      </c>
      <c r="CU180" s="4" t="s">
        <v>262</v>
      </c>
      <c r="CV180" s="4" t="s">
        <v>263</v>
      </c>
      <c r="CW180" s="4" t="s">
        <v>263</v>
      </c>
      <c r="CX180" s="4" t="s">
        <v>264</v>
      </c>
      <c r="DA180" s="6">
        <f>58039645</f>
        <v>58039645</v>
      </c>
      <c r="DC180" s="4" t="s">
        <v>422</v>
      </c>
      <c r="DD180" s="4" t="s">
        <v>241</v>
      </c>
      <c r="DF180" s="4" t="s">
        <v>422</v>
      </c>
      <c r="DG180" s="6">
        <f>26203</f>
        <v>26203</v>
      </c>
      <c r="DI180" s="4" t="s">
        <v>414</v>
      </c>
      <c r="DJ180" s="4" t="s">
        <v>241</v>
      </c>
      <c r="DK180" s="4" t="s">
        <v>241</v>
      </c>
      <c r="DL180" s="4" t="s">
        <v>241</v>
      </c>
      <c r="DP180" s="4" t="s">
        <v>241</v>
      </c>
      <c r="DQ180" s="4" t="s">
        <v>241</v>
      </c>
      <c r="DR180" s="4" t="s">
        <v>241</v>
      </c>
      <c r="DS180" s="4" t="s">
        <v>241</v>
      </c>
      <c r="DV180" s="4" t="s">
        <v>5149</v>
      </c>
      <c r="DW180" s="4" t="s">
        <v>267</v>
      </c>
      <c r="HO180" s="4" t="s">
        <v>267</v>
      </c>
    </row>
    <row r="181" spans="1:223" ht="19.5" customHeight="1" x14ac:dyDescent="0.4">
      <c r="A181" s="4">
        <v>1</v>
      </c>
      <c r="B181" s="4" t="s">
        <v>239</v>
      </c>
      <c r="C181" s="4">
        <v>892</v>
      </c>
      <c r="D181" s="4">
        <v>1</v>
      </c>
      <c r="E181" s="4">
        <v>1</v>
      </c>
      <c r="F181" s="4" t="s">
        <v>240</v>
      </c>
      <c r="G181" s="4" t="s">
        <v>241</v>
      </c>
      <c r="H181" s="4" t="s">
        <v>241</v>
      </c>
      <c r="I181" s="4" t="s">
        <v>5129</v>
      </c>
      <c r="J181" s="4" t="s">
        <v>4219</v>
      </c>
      <c r="K181" s="4" t="s">
        <v>251</v>
      </c>
      <c r="L181" s="4" t="s">
        <v>5128</v>
      </c>
      <c r="M181" s="5" t="s">
        <v>3182</v>
      </c>
      <c r="N181" s="6">
        <f>21155.1</f>
        <v>21155.1</v>
      </c>
      <c r="O181" s="4" t="s">
        <v>265</v>
      </c>
      <c r="P181" s="6">
        <f>46858545</f>
        <v>46858545</v>
      </c>
      <c r="Q181" s="6">
        <f>0</f>
        <v>0</v>
      </c>
      <c r="S181" s="6">
        <f>0</f>
        <v>0</v>
      </c>
      <c r="T181" s="6">
        <f>46858545</f>
        <v>46858545</v>
      </c>
      <c r="U181" s="5" t="s">
        <v>245</v>
      </c>
      <c r="V181" s="4" t="s">
        <v>270</v>
      </c>
      <c r="W181" s="4" t="s">
        <v>242</v>
      </c>
      <c r="X181" s="4" t="s">
        <v>273</v>
      </c>
      <c r="Y181" s="4" t="s">
        <v>241</v>
      </c>
      <c r="AB181" s="4" t="s">
        <v>241</v>
      </c>
      <c r="AD181" s="5" t="s">
        <v>241</v>
      </c>
      <c r="AG181" s="5" t="s">
        <v>246</v>
      </c>
      <c r="AH181" s="4" t="s">
        <v>241</v>
      </c>
      <c r="AI181" s="4" t="s">
        <v>247</v>
      </c>
      <c r="AJ181" s="4" t="s">
        <v>248</v>
      </c>
      <c r="AZ181" s="4" t="s">
        <v>249</v>
      </c>
      <c r="BA181" s="4" t="s">
        <v>241</v>
      </c>
      <c r="BB181" s="4" t="s">
        <v>250</v>
      </c>
      <c r="BC181" s="4" t="s">
        <v>241</v>
      </c>
      <c r="BD181" s="4" t="s">
        <v>252</v>
      </c>
      <c r="BE181" s="4" t="s">
        <v>241</v>
      </c>
      <c r="BG181" s="4" t="s">
        <v>4227</v>
      </c>
      <c r="BI181" s="4" t="s">
        <v>253</v>
      </c>
      <c r="BJ181" s="5" t="s">
        <v>246</v>
      </c>
      <c r="BK181" s="4" t="s">
        <v>254</v>
      </c>
      <c r="BL181" s="4" t="s">
        <v>3181</v>
      </c>
      <c r="BM181" s="4" t="s">
        <v>241</v>
      </c>
      <c r="BN181" s="6">
        <f>0</f>
        <v>0</v>
      </c>
      <c r="BO181" s="6">
        <f>0</f>
        <v>0</v>
      </c>
      <c r="BP181" s="4" t="s">
        <v>256</v>
      </c>
      <c r="BQ181" s="4" t="s">
        <v>257</v>
      </c>
      <c r="CE181" s="4" t="s">
        <v>241</v>
      </c>
      <c r="CF181" s="4" t="s">
        <v>241</v>
      </c>
      <c r="CJ181" s="4" t="s">
        <v>258</v>
      </c>
      <c r="CK181" s="4" t="s">
        <v>259</v>
      </c>
      <c r="CL181" s="4" t="s">
        <v>241</v>
      </c>
      <c r="CO181" s="5" t="s">
        <v>260</v>
      </c>
      <c r="CP181" s="4" t="s">
        <v>241</v>
      </c>
      <c r="CQ181" s="4" t="s">
        <v>261</v>
      </c>
      <c r="CR181" s="4" t="s">
        <v>241</v>
      </c>
      <c r="CS181" s="4" t="s">
        <v>241</v>
      </c>
      <c r="CT181" s="4">
        <v>0</v>
      </c>
      <c r="CU181" s="4" t="s">
        <v>262</v>
      </c>
      <c r="CV181" s="4" t="s">
        <v>263</v>
      </c>
      <c r="CW181" s="4" t="s">
        <v>263</v>
      </c>
      <c r="CX181" s="4" t="s">
        <v>264</v>
      </c>
      <c r="DA181" s="6">
        <f>46858545</f>
        <v>46858545</v>
      </c>
      <c r="DC181" s="4" t="s">
        <v>287</v>
      </c>
      <c r="DD181" s="4" t="s">
        <v>241</v>
      </c>
      <c r="DF181" s="4" t="s">
        <v>287</v>
      </c>
      <c r="DG181" s="6">
        <f>0</f>
        <v>0</v>
      </c>
      <c r="DI181" s="4" t="s">
        <v>414</v>
      </c>
      <c r="DJ181" s="4" t="s">
        <v>241</v>
      </c>
      <c r="DK181" s="4" t="s">
        <v>241</v>
      </c>
      <c r="DL181" s="4" t="s">
        <v>241</v>
      </c>
      <c r="DP181" s="4" t="s">
        <v>241</v>
      </c>
      <c r="DQ181" s="4" t="s">
        <v>241</v>
      </c>
      <c r="DR181" s="4" t="s">
        <v>241</v>
      </c>
      <c r="DS181" s="4" t="s">
        <v>241</v>
      </c>
      <c r="DV181" s="4" t="s">
        <v>5131</v>
      </c>
      <c r="DW181" s="4" t="s">
        <v>267</v>
      </c>
      <c r="HO181" s="4" t="s">
        <v>416</v>
      </c>
    </row>
    <row r="182" spans="1:223" ht="19.5" customHeight="1" x14ac:dyDescent="0.4">
      <c r="A182" s="4">
        <v>1</v>
      </c>
      <c r="B182" s="4" t="s">
        <v>239</v>
      </c>
      <c r="C182" s="4">
        <v>893</v>
      </c>
      <c r="D182" s="4">
        <v>1</v>
      </c>
      <c r="E182" s="4">
        <v>1</v>
      </c>
      <c r="F182" s="4" t="s">
        <v>240</v>
      </c>
      <c r="G182" s="4" t="s">
        <v>241</v>
      </c>
      <c r="H182" s="4" t="s">
        <v>241</v>
      </c>
      <c r="I182" s="4" t="s">
        <v>5129</v>
      </c>
      <c r="J182" s="4" t="s">
        <v>4219</v>
      </c>
      <c r="K182" s="4" t="s">
        <v>251</v>
      </c>
      <c r="L182" s="4" t="s">
        <v>5128</v>
      </c>
      <c r="M182" s="5" t="s">
        <v>5130</v>
      </c>
      <c r="N182" s="6">
        <f>2495</f>
        <v>2495</v>
      </c>
      <c r="O182" s="4" t="s">
        <v>265</v>
      </c>
      <c r="P182" s="6">
        <f>5526425</f>
        <v>5526425</v>
      </c>
      <c r="Q182" s="6">
        <f>0</f>
        <v>0</v>
      </c>
      <c r="S182" s="6">
        <f>0</f>
        <v>0</v>
      </c>
      <c r="T182" s="6">
        <f>5526425</f>
        <v>5526425</v>
      </c>
      <c r="U182" s="5" t="s">
        <v>245</v>
      </c>
      <c r="V182" s="4" t="s">
        <v>270</v>
      </c>
      <c r="W182" s="4" t="s">
        <v>242</v>
      </c>
      <c r="X182" s="4" t="s">
        <v>273</v>
      </c>
      <c r="Y182" s="4" t="s">
        <v>241</v>
      </c>
      <c r="AB182" s="4" t="s">
        <v>241</v>
      </c>
      <c r="AD182" s="5" t="s">
        <v>241</v>
      </c>
      <c r="AG182" s="5" t="s">
        <v>246</v>
      </c>
      <c r="AH182" s="4" t="s">
        <v>241</v>
      </c>
      <c r="AI182" s="4" t="s">
        <v>247</v>
      </c>
      <c r="AJ182" s="4" t="s">
        <v>248</v>
      </c>
      <c r="AZ182" s="4" t="s">
        <v>249</v>
      </c>
      <c r="BA182" s="4" t="s">
        <v>241</v>
      </c>
      <c r="BB182" s="4" t="s">
        <v>250</v>
      </c>
      <c r="BC182" s="4" t="s">
        <v>241</v>
      </c>
      <c r="BD182" s="4" t="s">
        <v>252</v>
      </c>
      <c r="BE182" s="4" t="s">
        <v>241</v>
      </c>
      <c r="BI182" s="4" t="s">
        <v>253</v>
      </c>
      <c r="BJ182" s="5" t="s">
        <v>246</v>
      </c>
      <c r="BK182" s="4" t="s">
        <v>254</v>
      </c>
      <c r="BL182" s="4" t="s">
        <v>255</v>
      </c>
      <c r="BM182" s="4" t="s">
        <v>241</v>
      </c>
      <c r="BN182" s="6">
        <f>0</f>
        <v>0</v>
      </c>
      <c r="BO182" s="6">
        <f>0</f>
        <v>0</v>
      </c>
      <c r="BP182" s="4" t="s">
        <v>256</v>
      </c>
      <c r="BQ182" s="4" t="s">
        <v>257</v>
      </c>
      <c r="CE182" s="4" t="s">
        <v>241</v>
      </c>
      <c r="CF182" s="4" t="s">
        <v>241</v>
      </c>
      <c r="CJ182" s="4" t="s">
        <v>258</v>
      </c>
      <c r="CK182" s="4" t="s">
        <v>259</v>
      </c>
      <c r="CL182" s="4" t="s">
        <v>241</v>
      </c>
      <c r="CO182" s="5" t="s">
        <v>260</v>
      </c>
      <c r="CP182" s="4" t="s">
        <v>241</v>
      </c>
      <c r="CQ182" s="4" t="s">
        <v>261</v>
      </c>
      <c r="CR182" s="4" t="s">
        <v>241</v>
      </c>
      <c r="CS182" s="4" t="s">
        <v>241</v>
      </c>
      <c r="CT182" s="4">
        <v>0</v>
      </c>
      <c r="CU182" s="4" t="s">
        <v>262</v>
      </c>
      <c r="CV182" s="4" t="s">
        <v>263</v>
      </c>
      <c r="CW182" s="4" t="s">
        <v>263</v>
      </c>
      <c r="CX182" s="4" t="s">
        <v>264</v>
      </c>
      <c r="DA182" s="6">
        <f>5526425</f>
        <v>5526425</v>
      </c>
      <c r="DC182" s="4" t="s">
        <v>287</v>
      </c>
      <c r="DD182" s="4" t="s">
        <v>241</v>
      </c>
      <c r="DF182" s="4" t="s">
        <v>287</v>
      </c>
      <c r="DG182" s="6">
        <f>0</f>
        <v>0</v>
      </c>
      <c r="DI182" s="4" t="s">
        <v>414</v>
      </c>
      <c r="DJ182" s="4" t="s">
        <v>241</v>
      </c>
      <c r="DK182" s="4" t="s">
        <v>241</v>
      </c>
      <c r="DL182" s="4" t="s">
        <v>241</v>
      </c>
      <c r="DP182" s="4" t="s">
        <v>241</v>
      </c>
      <c r="DQ182" s="4" t="s">
        <v>241</v>
      </c>
      <c r="DR182" s="4" t="s">
        <v>241</v>
      </c>
      <c r="DS182" s="4" t="s">
        <v>241</v>
      </c>
      <c r="DV182" s="4" t="s">
        <v>5131</v>
      </c>
      <c r="DW182" s="4" t="s">
        <v>416</v>
      </c>
      <c r="HO182" s="4" t="s">
        <v>267</v>
      </c>
    </row>
    <row r="183" spans="1:223" ht="19.5" customHeight="1" x14ac:dyDescent="0.4">
      <c r="A183" s="4">
        <v>1</v>
      </c>
      <c r="B183" s="4" t="s">
        <v>239</v>
      </c>
      <c r="C183" s="4">
        <v>894</v>
      </c>
      <c r="D183" s="4">
        <v>1</v>
      </c>
      <c r="E183" s="4">
        <v>1</v>
      </c>
      <c r="F183" s="4" t="s">
        <v>240</v>
      </c>
      <c r="G183" s="4" t="s">
        <v>241</v>
      </c>
      <c r="H183" s="4" t="s">
        <v>241</v>
      </c>
      <c r="I183" s="4" t="s">
        <v>5129</v>
      </c>
      <c r="J183" s="4" t="s">
        <v>4219</v>
      </c>
      <c r="K183" s="4" t="s">
        <v>251</v>
      </c>
      <c r="L183" s="4" t="s">
        <v>5128</v>
      </c>
      <c r="M183" s="5" t="s">
        <v>5132</v>
      </c>
      <c r="N183" s="6">
        <f>2957</f>
        <v>2957</v>
      </c>
      <c r="O183" s="4" t="s">
        <v>265</v>
      </c>
      <c r="P183" s="6">
        <f>6549755</f>
        <v>6549755</v>
      </c>
      <c r="Q183" s="6">
        <f>0</f>
        <v>0</v>
      </c>
      <c r="S183" s="6">
        <f>0</f>
        <v>0</v>
      </c>
      <c r="T183" s="6">
        <f>6549755</f>
        <v>6549755</v>
      </c>
      <c r="U183" s="5" t="s">
        <v>245</v>
      </c>
      <c r="V183" s="4" t="s">
        <v>270</v>
      </c>
      <c r="W183" s="4" t="s">
        <v>242</v>
      </c>
      <c r="X183" s="4" t="s">
        <v>273</v>
      </c>
      <c r="Y183" s="4" t="s">
        <v>241</v>
      </c>
      <c r="AB183" s="4" t="s">
        <v>241</v>
      </c>
      <c r="AD183" s="5" t="s">
        <v>241</v>
      </c>
      <c r="AG183" s="5" t="s">
        <v>246</v>
      </c>
      <c r="AH183" s="4" t="s">
        <v>241</v>
      </c>
      <c r="AI183" s="4" t="s">
        <v>247</v>
      </c>
      <c r="AJ183" s="4" t="s">
        <v>248</v>
      </c>
      <c r="AZ183" s="4" t="s">
        <v>249</v>
      </c>
      <c r="BA183" s="4" t="s">
        <v>241</v>
      </c>
      <c r="BB183" s="4" t="s">
        <v>250</v>
      </c>
      <c r="BC183" s="4" t="s">
        <v>241</v>
      </c>
      <c r="BD183" s="4" t="s">
        <v>252</v>
      </c>
      <c r="BE183" s="4" t="s">
        <v>241</v>
      </c>
      <c r="BI183" s="4" t="s">
        <v>253</v>
      </c>
      <c r="BJ183" s="5" t="s">
        <v>246</v>
      </c>
      <c r="BK183" s="4" t="s">
        <v>254</v>
      </c>
      <c r="BL183" s="4" t="s">
        <v>255</v>
      </c>
      <c r="BM183" s="4" t="s">
        <v>241</v>
      </c>
      <c r="BN183" s="6">
        <f>0</f>
        <v>0</v>
      </c>
      <c r="BO183" s="6">
        <f>0</f>
        <v>0</v>
      </c>
      <c r="BP183" s="4" t="s">
        <v>256</v>
      </c>
      <c r="BQ183" s="4" t="s">
        <v>257</v>
      </c>
      <c r="CE183" s="4" t="s">
        <v>241</v>
      </c>
      <c r="CF183" s="4" t="s">
        <v>241</v>
      </c>
      <c r="CJ183" s="4" t="s">
        <v>258</v>
      </c>
      <c r="CK183" s="4" t="s">
        <v>259</v>
      </c>
      <c r="CL183" s="4" t="s">
        <v>241</v>
      </c>
      <c r="CO183" s="5" t="s">
        <v>260</v>
      </c>
      <c r="CP183" s="4" t="s">
        <v>241</v>
      </c>
      <c r="CQ183" s="4" t="s">
        <v>261</v>
      </c>
      <c r="CR183" s="4" t="s">
        <v>241</v>
      </c>
      <c r="CS183" s="4" t="s">
        <v>241</v>
      </c>
      <c r="CT183" s="4">
        <v>0</v>
      </c>
      <c r="CU183" s="4" t="s">
        <v>262</v>
      </c>
      <c r="CV183" s="4" t="s">
        <v>263</v>
      </c>
      <c r="CW183" s="4" t="s">
        <v>263</v>
      </c>
      <c r="CX183" s="4" t="s">
        <v>264</v>
      </c>
      <c r="DA183" s="6">
        <f>6549755</f>
        <v>6549755</v>
      </c>
      <c r="DC183" s="4" t="s">
        <v>287</v>
      </c>
      <c r="DD183" s="4" t="s">
        <v>241</v>
      </c>
      <c r="DF183" s="4" t="s">
        <v>287</v>
      </c>
      <c r="DG183" s="6">
        <f>0</f>
        <v>0</v>
      </c>
      <c r="DH183" s="5" t="s">
        <v>3177</v>
      </c>
      <c r="DI183" s="4" t="s">
        <v>414</v>
      </c>
      <c r="DJ183" s="4" t="s">
        <v>241</v>
      </c>
      <c r="DK183" s="4" t="s">
        <v>241</v>
      </c>
      <c r="DL183" s="4" t="s">
        <v>241</v>
      </c>
      <c r="DP183" s="4" t="s">
        <v>241</v>
      </c>
      <c r="DQ183" s="4" t="s">
        <v>241</v>
      </c>
      <c r="DR183" s="4" t="s">
        <v>241</v>
      </c>
      <c r="DS183" s="4" t="s">
        <v>241</v>
      </c>
      <c r="DV183" s="4" t="s">
        <v>5131</v>
      </c>
      <c r="DW183" s="4" t="s">
        <v>388</v>
      </c>
      <c r="HO183" s="4" t="s">
        <v>267</v>
      </c>
    </row>
    <row r="184" spans="1:223" ht="19.5" customHeight="1" x14ac:dyDescent="0.4">
      <c r="A184" s="4">
        <v>1</v>
      </c>
      <c r="B184" s="4" t="s">
        <v>239</v>
      </c>
      <c r="C184" s="4">
        <v>895</v>
      </c>
      <c r="D184" s="4">
        <v>1</v>
      </c>
      <c r="E184" s="4">
        <v>1</v>
      </c>
      <c r="F184" s="4" t="s">
        <v>240</v>
      </c>
      <c r="G184" s="4" t="s">
        <v>241</v>
      </c>
      <c r="H184" s="4" t="s">
        <v>241</v>
      </c>
      <c r="I184" s="4" t="s">
        <v>5129</v>
      </c>
      <c r="J184" s="4" t="s">
        <v>4219</v>
      </c>
      <c r="K184" s="4" t="s">
        <v>251</v>
      </c>
      <c r="L184" s="4" t="s">
        <v>5128</v>
      </c>
      <c r="M184" s="5" t="s">
        <v>5133</v>
      </c>
      <c r="N184" s="6">
        <f>43871</f>
        <v>43871</v>
      </c>
      <c r="O184" s="4" t="s">
        <v>265</v>
      </c>
      <c r="P184" s="6">
        <f>97174265</f>
        <v>97174265</v>
      </c>
      <c r="Q184" s="6">
        <f>0</f>
        <v>0</v>
      </c>
      <c r="S184" s="6">
        <f>0</f>
        <v>0</v>
      </c>
      <c r="T184" s="6">
        <f>97174265</f>
        <v>97174265</v>
      </c>
      <c r="U184" s="5" t="s">
        <v>245</v>
      </c>
      <c r="V184" s="4" t="s">
        <v>270</v>
      </c>
      <c r="W184" s="4" t="s">
        <v>242</v>
      </c>
      <c r="X184" s="4" t="s">
        <v>273</v>
      </c>
      <c r="Y184" s="4" t="s">
        <v>241</v>
      </c>
      <c r="AB184" s="4" t="s">
        <v>241</v>
      </c>
      <c r="AD184" s="5" t="s">
        <v>241</v>
      </c>
      <c r="AG184" s="5" t="s">
        <v>246</v>
      </c>
      <c r="AH184" s="4" t="s">
        <v>241</v>
      </c>
      <c r="AI184" s="4" t="s">
        <v>247</v>
      </c>
      <c r="AJ184" s="4" t="s">
        <v>248</v>
      </c>
      <c r="AZ184" s="4" t="s">
        <v>249</v>
      </c>
      <c r="BA184" s="4" t="s">
        <v>241</v>
      </c>
      <c r="BB184" s="4" t="s">
        <v>250</v>
      </c>
      <c r="BC184" s="4" t="s">
        <v>241</v>
      </c>
      <c r="BD184" s="4" t="s">
        <v>252</v>
      </c>
      <c r="BE184" s="4" t="s">
        <v>241</v>
      </c>
      <c r="BI184" s="4" t="s">
        <v>253</v>
      </c>
      <c r="BJ184" s="5" t="s">
        <v>246</v>
      </c>
      <c r="BK184" s="4" t="s">
        <v>254</v>
      </c>
      <c r="BL184" s="4" t="s">
        <v>255</v>
      </c>
      <c r="BM184" s="4" t="s">
        <v>241</v>
      </c>
      <c r="BN184" s="6">
        <f>0</f>
        <v>0</v>
      </c>
      <c r="BO184" s="6">
        <f>0</f>
        <v>0</v>
      </c>
      <c r="BP184" s="4" t="s">
        <v>256</v>
      </c>
      <c r="BQ184" s="4" t="s">
        <v>257</v>
      </c>
      <c r="CE184" s="4" t="s">
        <v>241</v>
      </c>
      <c r="CF184" s="4" t="s">
        <v>241</v>
      </c>
      <c r="CJ184" s="4" t="s">
        <v>258</v>
      </c>
      <c r="CK184" s="4" t="s">
        <v>259</v>
      </c>
      <c r="CL184" s="4" t="s">
        <v>241</v>
      </c>
      <c r="CO184" s="5" t="s">
        <v>260</v>
      </c>
      <c r="CP184" s="4" t="s">
        <v>241</v>
      </c>
      <c r="CQ184" s="4" t="s">
        <v>261</v>
      </c>
      <c r="CR184" s="4" t="s">
        <v>241</v>
      </c>
      <c r="CS184" s="4" t="s">
        <v>241</v>
      </c>
      <c r="CT184" s="4">
        <v>0</v>
      </c>
      <c r="CU184" s="4" t="s">
        <v>262</v>
      </c>
      <c r="CV184" s="4" t="s">
        <v>263</v>
      </c>
      <c r="CW184" s="4" t="s">
        <v>263</v>
      </c>
      <c r="CX184" s="4" t="s">
        <v>264</v>
      </c>
      <c r="DA184" s="6">
        <f>97174265</f>
        <v>97174265</v>
      </c>
      <c r="DC184" s="4" t="s">
        <v>287</v>
      </c>
      <c r="DD184" s="4" t="s">
        <v>241</v>
      </c>
      <c r="DF184" s="4" t="s">
        <v>287</v>
      </c>
      <c r="DG184" s="6">
        <f>0</f>
        <v>0</v>
      </c>
      <c r="DI184" s="4" t="s">
        <v>414</v>
      </c>
      <c r="DJ184" s="4" t="s">
        <v>241</v>
      </c>
      <c r="DK184" s="4" t="s">
        <v>241</v>
      </c>
      <c r="DL184" s="4" t="s">
        <v>241</v>
      </c>
      <c r="DP184" s="4" t="s">
        <v>241</v>
      </c>
      <c r="DQ184" s="4" t="s">
        <v>241</v>
      </c>
      <c r="DR184" s="4" t="s">
        <v>241</v>
      </c>
      <c r="DS184" s="4" t="s">
        <v>241</v>
      </c>
      <c r="DV184" s="4" t="s">
        <v>5131</v>
      </c>
      <c r="DW184" s="4" t="s">
        <v>327</v>
      </c>
      <c r="HO184" s="4" t="s">
        <v>267</v>
      </c>
    </row>
    <row r="185" spans="1:223" ht="19.5" customHeight="1" x14ac:dyDescent="0.4">
      <c r="A185" s="4">
        <v>1</v>
      </c>
      <c r="B185" s="4" t="s">
        <v>239</v>
      </c>
      <c r="C185" s="4">
        <v>896</v>
      </c>
      <c r="D185" s="4">
        <v>1</v>
      </c>
      <c r="E185" s="4">
        <v>1</v>
      </c>
      <c r="F185" s="4" t="s">
        <v>240</v>
      </c>
      <c r="G185" s="4" t="s">
        <v>241</v>
      </c>
      <c r="H185" s="4" t="s">
        <v>241</v>
      </c>
      <c r="I185" s="4" t="s">
        <v>5129</v>
      </c>
      <c r="J185" s="4" t="s">
        <v>4219</v>
      </c>
      <c r="K185" s="4" t="s">
        <v>251</v>
      </c>
      <c r="L185" s="4" t="s">
        <v>5128</v>
      </c>
      <c r="M185" s="5" t="s">
        <v>5507</v>
      </c>
      <c r="N185" s="6">
        <f>513.19</f>
        <v>513.19000000000005</v>
      </c>
      <c r="O185" s="4" t="s">
        <v>265</v>
      </c>
      <c r="P185" s="6">
        <f>1898803</f>
        <v>1898803</v>
      </c>
      <c r="Q185" s="6">
        <f>0</f>
        <v>0</v>
      </c>
      <c r="S185" s="6">
        <f>0</f>
        <v>0</v>
      </c>
      <c r="T185" s="6">
        <f>1898803</f>
        <v>1898803</v>
      </c>
      <c r="U185" s="5" t="s">
        <v>245</v>
      </c>
      <c r="V185" s="4" t="s">
        <v>270</v>
      </c>
      <c r="W185" s="4" t="s">
        <v>242</v>
      </c>
      <c r="X185" s="4" t="s">
        <v>273</v>
      </c>
      <c r="Y185" s="4" t="s">
        <v>241</v>
      </c>
      <c r="AB185" s="4" t="s">
        <v>241</v>
      </c>
      <c r="AD185" s="5" t="s">
        <v>241</v>
      </c>
      <c r="AG185" s="5" t="s">
        <v>246</v>
      </c>
      <c r="AH185" s="4" t="s">
        <v>241</v>
      </c>
      <c r="AI185" s="4" t="s">
        <v>247</v>
      </c>
      <c r="AJ185" s="4" t="s">
        <v>248</v>
      </c>
      <c r="AZ185" s="4" t="s">
        <v>249</v>
      </c>
      <c r="BA185" s="4" t="s">
        <v>241</v>
      </c>
      <c r="BB185" s="4" t="s">
        <v>250</v>
      </c>
      <c r="BC185" s="4" t="s">
        <v>241</v>
      </c>
      <c r="BD185" s="4" t="s">
        <v>252</v>
      </c>
      <c r="BE185" s="4" t="s">
        <v>241</v>
      </c>
      <c r="BI185" s="4" t="s">
        <v>295</v>
      </c>
      <c r="BJ185" s="5" t="s">
        <v>3166</v>
      </c>
      <c r="BK185" s="4" t="s">
        <v>254</v>
      </c>
      <c r="BL185" s="4" t="s">
        <v>255</v>
      </c>
      <c r="BM185" s="4" t="s">
        <v>241</v>
      </c>
      <c r="BN185" s="6">
        <f>0</f>
        <v>0</v>
      </c>
      <c r="BO185" s="6">
        <f>0</f>
        <v>0</v>
      </c>
      <c r="BP185" s="4" t="s">
        <v>256</v>
      </c>
      <c r="BQ185" s="4" t="s">
        <v>257</v>
      </c>
      <c r="CE185" s="4" t="s">
        <v>241</v>
      </c>
      <c r="CF185" s="4" t="s">
        <v>241</v>
      </c>
      <c r="CJ185" s="4" t="s">
        <v>258</v>
      </c>
      <c r="CK185" s="4" t="s">
        <v>259</v>
      </c>
      <c r="CL185" s="4" t="s">
        <v>241</v>
      </c>
      <c r="CO185" s="5" t="s">
        <v>260</v>
      </c>
      <c r="CP185" s="4" t="s">
        <v>241</v>
      </c>
      <c r="CQ185" s="4" t="s">
        <v>261</v>
      </c>
      <c r="CR185" s="4" t="s">
        <v>241</v>
      </c>
      <c r="CS185" s="4" t="s">
        <v>241</v>
      </c>
      <c r="CT185" s="4">
        <v>0</v>
      </c>
      <c r="CU185" s="4" t="s">
        <v>262</v>
      </c>
      <c r="CV185" s="4" t="s">
        <v>263</v>
      </c>
      <c r="CW185" s="4" t="s">
        <v>263</v>
      </c>
      <c r="CX185" s="4" t="s">
        <v>264</v>
      </c>
      <c r="DA185" s="6">
        <f>1898803</f>
        <v>1898803</v>
      </c>
      <c r="DC185" s="4" t="s">
        <v>266</v>
      </c>
      <c r="DD185" s="4" t="s">
        <v>241</v>
      </c>
      <c r="DF185" s="4" t="s">
        <v>287</v>
      </c>
      <c r="DG185" s="6">
        <f>0</f>
        <v>0</v>
      </c>
      <c r="DI185" s="4" t="s">
        <v>266</v>
      </c>
      <c r="DJ185" s="4" t="s">
        <v>241</v>
      </c>
      <c r="DK185" s="4" t="s">
        <v>241</v>
      </c>
      <c r="DL185" s="4" t="s">
        <v>241</v>
      </c>
      <c r="DP185" s="4" t="s">
        <v>241</v>
      </c>
      <c r="DQ185" s="4" t="s">
        <v>241</v>
      </c>
      <c r="DR185" s="4" t="s">
        <v>241</v>
      </c>
      <c r="DS185" s="4" t="s">
        <v>241</v>
      </c>
      <c r="DV185" s="4" t="s">
        <v>5131</v>
      </c>
      <c r="DW185" s="4" t="s">
        <v>748</v>
      </c>
      <c r="HO185" s="4" t="s">
        <v>267</v>
      </c>
    </row>
    <row r="186" spans="1:223" ht="19.5" customHeight="1" x14ac:dyDescent="0.4">
      <c r="A186" s="4">
        <v>1</v>
      </c>
      <c r="B186" s="4" t="s">
        <v>239</v>
      </c>
      <c r="C186" s="4">
        <v>897</v>
      </c>
      <c r="D186" s="4">
        <v>1</v>
      </c>
      <c r="E186" s="4">
        <v>1</v>
      </c>
      <c r="F186" s="4" t="s">
        <v>240</v>
      </c>
      <c r="G186" s="4" t="s">
        <v>241</v>
      </c>
      <c r="H186" s="4" t="s">
        <v>241</v>
      </c>
      <c r="I186" s="4" t="s">
        <v>5129</v>
      </c>
      <c r="J186" s="4" t="s">
        <v>4219</v>
      </c>
      <c r="K186" s="4" t="s">
        <v>251</v>
      </c>
      <c r="L186" s="4" t="s">
        <v>5128</v>
      </c>
      <c r="M186" s="5" t="s">
        <v>5134</v>
      </c>
      <c r="N186" s="6">
        <f>490.16</f>
        <v>490.16</v>
      </c>
      <c r="O186" s="4" t="s">
        <v>265</v>
      </c>
      <c r="P186" s="6">
        <f>1813592</f>
        <v>1813592</v>
      </c>
      <c r="Q186" s="6">
        <f>0</f>
        <v>0</v>
      </c>
      <c r="S186" s="6">
        <f>0</f>
        <v>0</v>
      </c>
      <c r="T186" s="6">
        <f>1813592</f>
        <v>1813592</v>
      </c>
      <c r="U186" s="5" t="s">
        <v>245</v>
      </c>
      <c r="V186" s="4" t="s">
        <v>270</v>
      </c>
      <c r="W186" s="4" t="s">
        <v>242</v>
      </c>
      <c r="X186" s="4" t="s">
        <v>273</v>
      </c>
      <c r="Y186" s="4" t="s">
        <v>241</v>
      </c>
      <c r="AB186" s="4" t="s">
        <v>241</v>
      </c>
      <c r="AD186" s="5" t="s">
        <v>241</v>
      </c>
      <c r="AG186" s="5" t="s">
        <v>246</v>
      </c>
      <c r="AH186" s="4" t="s">
        <v>241</v>
      </c>
      <c r="AI186" s="4" t="s">
        <v>247</v>
      </c>
      <c r="AJ186" s="4" t="s">
        <v>248</v>
      </c>
      <c r="AZ186" s="4" t="s">
        <v>249</v>
      </c>
      <c r="BA186" s="4" t="s">
        <v>241</v>
      </c>
      <c r="BB186" s="4" t="s">
        <v>250</v>
      </c>
      <c r="BC186" s="4" t="s">
        <v>241</v>
      </c>
      <c r="BD186" s="4" t="s">
        <v>252</v>
      </c>
      <c r="BE186" s="4" t="s">
        <v>241</v>
      </c>
      <c r="BI186" s="4" t="s">
        <v>253</v>
      </c>
      <c r="BJ186" s="5" t="s">
        <v>246</v>
      </c>
      <c r="BK186" s="4" t="s">
        <v>254</v>
      </c>
      <c r="BL186" s="4" t="s">
        <v>255</v>
      </c>
      <c r="BM186" s="4" t="s">
        <v>241</v>
      </c>
      <c r="BN186" s="6">
        <f>0</f>
        <v>0</v>
      </c>
      <c r="BO186" s="6">
        <f>0</f>
        <v>0</v>
      </c>
      <c r="BP186" s="4" t="s">
        <v>256</v>
      </c>
      <c r="BQ186" s="4" t="s">
        <v>257</v>
      </c>
      <c r="CE186" s="4" t="s">
        <v>241</v>
      </c>
      <c r="CF186" s="4" t="s">
        <v>241</v>
      </c>
      <c r="CJ186" s="4" t="s">
        <v>258</v>
      </c>
      <c r="CK186" s="4" t="s">
        <v>259</v>
      </c>
      <c r="CL186" s="4" t="s">
        <v>241</v>
      </c>
      <c r="CO186" s="5" t="s">
        <v>260</v>
      </c>
      <c r="CP186" s="4" t="s">
        <v>241</v>
      </c>
      <c r="CQ186" s="4" t="s">
        <v>261</v>
      </c>
      <c r="CR186" s="4" t="s">
        <v>241</v>
      </c>
      <c r="CS186" s="4" t="s">
        <v>241</v>
      </c>
      <c r="CT186" s="4">
        <v>0</v>
      </c>
      <c r="CU186" s="4" t="s">
        <v>262</v>
      </c>
      <c r="CV186" s="4" t="s">
        <v>263</v>
      </c>
      <c r="CW186" s="4" t="s">
        <v>263</v>
      </c>
      <c r="CX186" s="4" t="s">
        <v>264</v>
      </c>
      <c r="DA186" s="6">
        <f>1813592</f>
        <v>1813592</v>
      </c>
      <c r="DC186" s="4" t="s">
        <v>266</v>
      </c>
      <c r="DD186" s="4" t="s">
        <v>241</v>
      </c>
      <c r="DF186" s="4" t="s">
        <v>287</v>
      </c>
      <c r="DG186" s="6">
        <f>0</f>
        <v>0</v>
      </c>
      <c r="DI186" s="4" t="s">
        <v>266</v>
      </c>
      <c r="DJ186" s="4" t="s">
        <v>241</v>
      </c>
      <c r="DK186" s="4" t="s">
        <v>241</v>
      </c>
      <c r="DL186" s="4" t="s">
        <v>241</v>
      </c>
      <c r="DP186" s="4" t="s">
        <v>241</v>
      </c>
      <c r="DQ186" s="4" t="s">
        <v>241</v>
      </c>
      <c r="DR186" s="4" t="s">
        <v>241</v>
      </c>
      <c r="DS186" s="4" t="s">
        <v>241</v>
      </c>
      <c r="DV186" s="4" t="s">
        <v>5131</v>
      </c>
      <c r="DW186" s="4" t="s">
        <v>719</v>
      </c>
      <c r="HO186" s="4" t="s">
        <v>267</v>
      </c>
    </row>
    <row r="187" spans="1:223" ht="19.5" customHeight="1" x14ac:dyDescent="0.4">
      <c r="A187" s="4">
        <v>1</v>
      </c>
      <c r="B187" s="4" t="s">
        <v>239</v>
      </c>
      <c r="C187" s="4">
        <v>898</v>
      </c>
      <c r="D187" s="4">
        <v>1</v>
      </c>
      <c r="E187" s="4">
        <v>1</v>
      </c>
      <c r="F187" s="4" t="s">
        <v>240</v>
      </c>
      <c r="G187" s="4" t="s">
        <v>241</v>
      </c>
      <c r="H187" s="4" t="s">
        <v>241</v>
      </c>
      <c r="I187" s="4" t="s">
        <v>5129</v>
      </c>
      <c r="J187" s="4" t="s">
        <v>4219</v>
      </c>
      <c r="K187" s="4" t="s">
        <v>251</v>
      </c>
      <c r="L187" s="4" t="s">
        <v>5128</v>
      </c>
      <c r="M187" s="5" t="s">
        <v>5135</v>
      </c>
      <c r="N187" s="6">
        <f>419</f>
        <v>419</v>
      </c>
      <c r="O187" s="4" t="s">
        <v>265</v>
      </c>
      <c r="P187" s="6">
        <f>928085</f>
        <v>928085</v>
      </c>
      <c r="Q187" s="6">
        <f>0</f>
        <v>0</v>
      </c>
      <c r="S187" s="6">
        <f>0</f>
        <v>0</v>
      </c>
      <c r="T187" s="6">
        <f>928085</f>
        <v>928085</v>
      </c>
      <c r="U187" s="5" t="s">
        <v>245</v>
      </c>
      <c r="V187" s="4" t="s">
        <v>270</v>
      </c>
      <c r="W187" s="4" t="s">
        <v>242</v>
      </c>
      <c r="X187" s="4" t="s">
        <v>273</v>
      </c>
      <c r="Y187" s="4" t="s">
        <v>241</v>
      </c>
      <c r="AB187" s="4" t="s">
        <v>241</v>
      </c>
      <c r="AD187" s="5" t="s">
        <v>241</v>
      </c>
      <c r="AG187" s="5" t="s">
        <v>246</v>
      </c>
      <c r="AH187" s="4" t="s">
        <v>241</v>
      </c>
      <c r="AI187" s="4" t="s">
        <v>247</v>
      </c>
      <c r="AJ187" s="4" t="s">
        <v>248</v>
      </c>
      <c r="AZ187" s="4" t="s">
        <v>249</v>
      </c>
      <c r="BA187" s="4" t="s">
        <v>241</v>
      </c>
      <c r="BB187" s="4" t="s">
        <v>250</v>
      </c>
      <c r="BC187" s="4" t="s">
        <v>241</v>
      </c>
      <c r="BD187" s="4" t="s">
        <v>252</v>
      </c>
      <c r="BE187" s="4" t="s">
        <v>241</v>
      </c>
      <c r="BI187" s="4" t="s">
        <v>253</v>
      </c>
      <c r="BJ187" s="5" t="s">
        <v>246</v>
      </c>
      <c r="BK187" s="4" t="s">
        <v>254</v>
      </c>
      <c r="BL187" s="4" t="s">
        <v>255</v>
      </c>
      <c r="BM187" s="4" t="s">
        <v>241</v>
      </c>
      <c r="BN187" s="6">
        <f>0</f>
        <v>0</v>
      </c>
      <c r="BO187" s="6">
        <f>0</f>
        <v>0</v>
      </c>
      <c r="BP187" s="4" t="s">
        <v>256</v>
      </c>
      <c r="BQ187" s="4" t="s">
        <v>257</v>
      </c>
      <c r="CE187" s="4" t="s">
        <v>241</v>
      </c>
      <c r="CF187" s="4" t="s">
        <v>241</v>
      </c>
      <c r="CJ187" s="4" t="s">
        <v>258</v>
      </c>
      <c r="CK187" s="4" t="s">
        <v>259</v>
      </c>
      <c r="CL187" s="4" t="s">
        <v>241</v>
      </c>
      <c r="CO187" s="5" t="s">
        <v>260</v>
      </c>
      <c r="CP187" s="4" t="s">
        <v>241</v>
      </c>
      <c r="CQ187" s="4" t="s">
        <v>261</v>
      </c>
      <c r="CR187" s="4" t="s">
        <v>241</v>
      </c>
      <c r="CS187" s="4" t="s">
        <v>241</v>
      </c>
      <c r="CT187" s="4">
        <v>0</v>
      </c>
      <c r="CU187" s="4" t="s">
        <v>262</v>
      </c>
      <c r="CV187" s="4" t="s">
        <v>263</v>
      </c>
      <c r="CW187" s="4" t="s">
        <v>263</v>
      </c>
      <c r="CX187" s="4" t="s">
        <v>264</v>
      </c>
      <c r="DA187" s="6">
        <f>928085</f>
        <v>928085</v>
      </c>
      <c r="DC187" s="4" t="s">
        <v>287</v>
      </c>
      <c r="DD187" s="4" t="s">
        <v>241</v>
      </c>
      <c r="DF187" s="4" t="s">
        <v>287</v>
      </c>
      <c r="DG187" s="6">
        <f>0</f>
        <v>0</v>
      </c>
      <c r="DI187" s="4" t="s">
        <v>414</v>
      </c>
      <c r="DJ187" s="4" t="s">
        <v>241</v>
      </c>
      <c r="DK187" s="4" t="s">
        <v>241</v>
      </c>
      <c r="DL187" s="4" t="s">
        <v>241</v>
      </c>
      <c r="DP187" s="4" t="s">
        <v>241</v>
      </c>
      <c r="DQ187" s="4" t="s">
        <v>241</v>
      </c>
      <c r="DR187" s="4" t="s">
        <v>241</v>
      </c>
      <c r="DS187" s="4" t="s">
        <v>241</v>
      </c>
      <c r="DV187" s="4" t="s">
        <v>5131</v>
      </c>
      <c r="DW187" s="4" t="s">
        <v>690</v>
      </c>
      <c r="HO187" s="4" t="s">
        <v>267</v>
      </c>
    </row>
    <row r="188" spans="1:223" ht="19.5" customHeight="1" x14ac:dyDescent="0.4">
      <c r="A188" s="4">
        <v>1</v>
      </c>
      <c r="B188" s="4" t="s">
        <v>239</v>
      </c>
      <c r="C188" s="4">
        <v>899</v>
      </c>
      <c r="D188" s="4">
        <v>1</v>
      </c>
      <c r="E188" s="4">
        <v>1</v>
      </c>
      <c r="F188" s="4" t="s">
        <v>240</v>
      </c>
      <c r="G188" s="4" t="s">
        <v>241</v>
      </c>
      <c r="H188" s="4" t="s">
        <v>241</v>
      </c>
      <c r="I188" s="4" t="s">
        <v>5129</v>
      </c>
      <c r="J188" s="4" t="s">
        <v>4219</v>
      </c>
      <c r="K188" s="4" t="s">
        <v>251</v>
      </c>
      <c r="L188" s="4" t="s">
        <v>5128</v>
      </c>
      <c r="M188" s="5" t="s">
        <v>5136</v>
      </c>
      <c r="N188" s="6">
        <f>140</f>
        <v>140</v>
      </c>
      <c r="O188" s="4" t="s">
        <v>265</v>
      </c>
      <c r="P188" s="6">
        <f>310100</f>
        <v>310100</v>
      </c>
      <c r="Q188" s="6">
        <f>0</f>
        <v>0</v>
      </c>
      <c r="S188" s="6">
        <f>0</f>
        <v>0</v>
      </c>
      <c r="T188" s="6">
        <f>310100</f>
        <v>310100</v>
      </c>
      <c r="U188" s="5" t="s">
        <v>245</v>
      </c>
      <c r="V188" s="4" t="s">
        <v>270</v>
      </c>
      <c r="W188" s="4" t="s">
        <v>242</v>
      </c>
      <c r="X188" s="4" t="s">
        <v>273</v>
      </c>
      <c r="Y188" s="4" t="s">
        <v>241</v>
      </c>
      <c r="AB188" s="4" t="s">
        <v>241</v>
      </c>
      <c r="AD188" s="5" t="s">
        <v>241</v>
      </c>
      <c r="AG188" s="5" t="s">
        <v>246</v>
      </c>
      <c r="AH188" s="4" t="s">
        <v>241</v>
      </c>
      <c r="AI188" s="4" t="s">
        <v>247</v>
      </c>
      <c r="AJ188" s="4" t="s">
        <v>248</v>
      </c>
      <c r="AZ188" s="4" t="s">
        <v>249</v>
      </c>
      <c r="BA188" s="4" t="s">
        <v>241</v>
      </c>
      <c r="BB188" s="4" t="s">
        <v>250</v>
      </c>
      <c r="BC188" s="4" t="s">
        <v>241</v>
      </c>
      <c r="BD188" s="4" t="s">
        <v>252</v>
      </c>
      <c r="BE188" s="4" t="s">
        <v>241</v>
      </c>
      <c r="BI188" s="4" t="s">
        <v>253</v>
      </c>
      <c r="BJ188" s="5" t="s">
        <v>246</v>
      </c>
      <c r="BK188" s="4" t="s">
        <v>254</v>
      </c>
      <c r="BL188" s="4" t="s">
        <v>255</v>
      </c>
      <c r="BM188" s="4" t="s">
        <v>241</v>
      </c>
      <c r="BN188" s="6">
        <f>0</f>
        <v>0</v>
      </c>
      <c r="BO188" s="6">
        <f>0</f>
        <v>0</v>
      </c>
      <c r="BP188" s="4" t="s">
        <v>256</v>
      </c>
      <c r="BQ188" s="4" t="s">
        <v>257</v>
      </c>
      <c r="CE188" s="4" t="s">
        <v>241</v>
      </c>
      <c r="CF188" s="4" t="s">
        <v>241</v>
      </c>
      <c r="CJ188" s="4" t="s">
        <v>258</v>
      </c>
      <c r="CK188" s="4" t="s">
        <v>259</v>
      </c>
      <c r="CL188" s="4" t="s">
        <v>241</v>
      </c>
      <c r="CO188" s="5" t="s">
        <v>260</v>
      </c>
      <c r="CP188" s="4" t="s">
        <v>241</v>
      </c>
      <c r="CQ188" s="4" t="s">
        <v>261</v>
      </c>
      <c r="CR188" s="4" t="s">
        <v>241</v>
      </c>
      <c r="CS188" s="4" t="s">
        <v>241</v>
      </c>
      <c r="CT188" s="4">
        <v>0</v>
      </c>
      <c r="CU188" s="4" t="s">
        <v>262</v>
      </c>
      <c r="CV188" s="4" t="s">
        <v>263</v>
      </c>
      <c r="CW188" s="4" t="s">
        <v>263</v>
      </c>
      <c r="CX188" s="4" t="s">
        <v>264</v>
      </c>
      <c r="DA188" s="6">
        <f>310100</f>
        <v>310100</v>
      </c>
      <c r="DC188" s="4" t="s">
        <v>414</v>
      </c>
      <c r="DD188" s="4" t="s">
        <v>241</v>
      </c>
      <c r="DF188" s="4" t="s">
        <v>287</v>
      </c>
      <c r="DG188" s="6">
        <f>0</f>
        <v>0</v>
      </c>
      <c r="DI188" s="4" t="s">
        <v>414</v>
      </c>
      <c r="DJ188" s="4" t="s">
        <v>241</v>
      </c>
      <c r="DK188" s="4" t="s">
        <v>241</v>
      </c>
      <c r="DL188" s="4" t="s">
        <v>241</v>
      </c>
      <c r="DP188" s="4" t="s">
        <v>241</v>
      </c>
      <c r="DQ188" s="4" t="s">
        <v>241</v>
      </c>
      <c r="DR188" s="4" t="s">
        <v>241</v>
      </c>
      <c r="DS188" s="4" t="s">
        <v>241</v>
      </c>
      <c r="DV188" s="4" t="s">
        <v>5131</v>
      </c>
      <c r="DW188" s="4" t="s">
        <v>628</v>
      </c>
      <c r="HO188" s="4" t="s">
        <v>267</v>
      </c>
    </row>
    <row r="189" spans="1:223" ht="19.5" customHeight="1" x14ac:dyDescent="0.4">
      <c r="A189" s="4">
        <v>1</v>
      </c>
      <c r="B189" s="4" t="s">
        <v>239</v>
      </c>
      <c r="C189" s="4">
        <v>900</v>
      </c>
      <c r="D189" s="4">
        <v>1</v>
      </c>
      <c r="E189" s="4">
        <v>1</v>
      </c>
      <c r="F189" s="4" t="s">
        <v>240</v>
      </c>
      <c r="G189" s="4" t="s">
        <v>241</v>
      </c>
      <c r="H189" s="4" t="s">
        <v>241</v>
      </c>
      <c r="I189" s="4" t="s">
        <v>5129</v>
      </c>
      <c r="J189" s="4" t="s">
        <v>4219</v>
      </c>
      <c r="K189" s="4" t="s">
        <v>251</v>
      </c>
      <c r="L189" s="4" t="s">
        <v>5128</v>
      </c>
      <c r="M189" s="5" t="s">
        <v>5137</v>
      </c>
      <c r="N189" s="6">
        <f>610</f>
        <v>610</v>
      </c>
      <c r="O189" s="4" t="s">
        <v>265</v>
      </c>
      <c r="P189" s="6">
        <f>1351150</f>
        <v>1351150</v>
      </c>
      <c r="Q189" s="6">
        <f>0</f>
        <v>0</v>
      </c>
      <c r="S189" s="6">
        <f>0</f>
        <v>0</v>
      </c>
      <c r="T189" s="6">
        <f>1351150</f>
        <v>1351150</v>
      </c>
      <c r="U189" s="5" t="s">
        <v>245</v>
      </c>
      <c r="V189" s="4" t="s">
        <v>270</v>
      </c>
      <c r="W189" s="4" t="s">
        <v>242</v>
      </c>
      <c r="X189" s="4" t="s">
        <v>273</v>
      </c>
      <c r="Y189" s="4" t="s">
        <v>241</v>
      </c>
      <c r="AB189" s="4" t="s">
        <v>241</v>
      </c>
      <c r="AD189" s="5" t="s">
        <v>241</v>
      </c>
      <c r="AG189" s="5" t="s">
        <v>246</v>
      </c>
      <c r="AH189" s="4" t="s">
        <v>241</v>
      </c>
      <c r="AI189" s="4" t="s">
        <v>247</v>
      </c>
      <c r="AJ189" s="4" t="s">
        <v>248</v>
      </c>
      <c r="AZ189" s="4" t="s">
        <v>249</v>
      </c>
      <c r="BA189" s="4" t="s">
        <v>241</v>
      </c>
      <c r="BB189" s="4" t="s">
        <v>250</v>
      </c>
      <c r="BC189" s="4" t="s">
        <v>241</v>
      </c>
      <c r="BD189" s="4" t="s">
        <v>252</v>
      </c>
      <c r="BE189" s="4" t="s">
        <v>241</v>
      </c>
      <c r="BI189" s="4" t="s">
        <v>253</v>
      </c>
      <c r="BJ189" s="5" t="s">
        <v>246</v>
      </c>
      <c r="BK189" s="4" t="s">
        <v>254</v>
      </c>
      <c r="BL189" s="4" t="s">
        <v>255</v>
      </c>
      <c r="BM189" s="4" t="s">
        <v>241</v>
      </c>
      <c r="BN189" s="6">
        <f>0</f>
        <v>0</v>
      </c>
      <c r="BO189" s="6">
        <f>0</f>
        <v>0</v>
      </c>
      <c r="BP189" s="4" t="s">
        <v>256</v>
      </c>
      <c r="BQ189" s="4" t="s">
        <v>257</v>
      </c>
      <c r="CE189" s="4" t="s">
        <v>241</v>
      </c>
      <c r="CF189" s="4" t="s">
        <v>241</v>
      </c>
      <c r="CJ189" s="4" t="s">
        <v>258</v>
      </c>
      <c r="CK189" s="4" t="s">
        <v>259</v>
      </c>
      <c r="CL189" s="4" t="s">
        <v>241</v>
      </c>
      <c r="CO189" s="5" t="s">
        <v>260</v>
      </c>
      <c r="CP189" s="4" t="s">
        <v>241</v>
      </c>
      <c r="CQ189" s="4" t="s">
        <v>261</v>
      </c>
      <c r="CR189" s="4" t="s">
        <v>241</v>
      </c>
      <c r="CS189" s="4" t="s">
        <v>241</v>
      </c>
      <c r="CT189" s="4">
        <v>0</v>
      </c>
      <c r="CU189" s="4" t="s">
        <v>262</v>
      </c>
      <c r="CV189" s="4" t="s">
        <v>263</v>
      </c>
      <c r="CW189" s="4" t="s">
        <v>263</v>
      </c>
      <c r="CX189" s="4" t="s">
        <v>264</v>
      </c>
      <c r="DA189" s="6">
        <f>1351150</f>
        <v>1351150</v>
      </c>
      <c r="DC189" s="4" t="s">
        <v>414</v>
      </c>
      <c r="DD189" s="4" t="s">
        <v>241</v>
      </c>
      <c r="DF189" s="4" t="s">
        <v>287</v>
      </c>
      <c r="DG189" s="6">
        <f>0</f>
        <v>0</v>
      </c>
      <c r="DI189" s="4" t="s">
        <v>414</v>
      </c>
      <c r="DJ189" s="4" t="s">
        <v>241</v>
      </c>
      <c r="DK189" s="4" t="s">
        <v>241</v>
      </c>
      <c r="DL189" s="4" t="s">
        <v>241</v>
      </c>
      <c r="DP189" s="4" t="s">
        <v>241</v>
      </c>
      <c r="DQ189" s="4" t="s">
        <v>241</v>
      </c>
      <c r="DR189" s="4" t="s">
        <v>241</v>
      </c>
      <c r="DS189" s="4" t="s">
        <v>241</v>
      </c>
      <c r="DV189" s="4" t="s">
        <v>5131</v>
      </c>
      <c r="DW189" s="4" t="s">
        <v>597</v>
      </c>
      <c r="HO189" s="4" t="s">
        <v>267</v>
      </c>
    </row>
    <row r="190" spans="1:223" ht="19.5" customHeight="1" x14ac:dyDescent="0.4">
      <c r="A190" s="4">
        <v>1</v>
      </c>
      <c r="B190" s="4" t="s">
        <v>239</v>
      </c>
      <c r="C190" s="4">
        <v>901</v>
      </c>
      <c r="D190" s="4">
        <v>1</v>
      </c>
      <c r="E190" s="4">
        <v>1</v>
      </c>
      <c r="F190" s="4" t="s">
        <v>240</v>
      </c>
      <c r="G190" s="4" t="s">
        <v>241</v>
      </c>
      <c r="H190" s="4" t="s">
        <v>241</v>
      </c>
      <c r="I190" s="4" t="s">
        <v>5129</v>
      </c>
      <c r="J190" s="4" t="s">
        <v>4219</v>
      </c>
      <c r="K190" s="4" t="s">
        <v>251</v>
      </c>
      <c r="L190" s="4" t="s">
        <v>5128</v>
      </c>
      <c r="M190" s="5" t="s">
        <v>5138</v>
      </c>
      <c r="N190" s="6">
        <f>15018</f>
        <v>15018</v>
      </c>
      <c r="O190" s="4" t="s">
        <v>265</v>
      </c>
      <c r="P190" s="6">
        <f>33264870</f>
        <v>33264870</v>
      </c>
      <c r="Q190" s="6">
        <f>0</f>
        <v>0</v>
      </c>
      <c r="S190" s="6">
        <f>0</f>
        <v>0</v>
      </c>
      <c r="T190" s="6">
        <f>33264870</f>
        <v>33264870</v>
      </c>
      <c r="U190" s="5" t="s">
        <v>245</v>
      </c>
      <c r="V190" s="4" t="s">
        <v>270</v>
      </c>
      <c r="W190" s="4" t="s">
        <v>242</v>
      </c>
      <c r="X190" s="4" t="s">
        <v>273</v>
      </c>
      <c r="Y190" s="4" t="s">
        <v>241</v>
      </c>
      <c r="AB190" s="4" t="s">
        <v>241</v>
      </c>
      <c r="AD190" s="5" t="s">
        <v>241</v>
      </c>
      <c r="AG190" s="5" t="s">
        <v>246</v>
      </c>
      <c r="AH190" s="4" t="s">
        <v>241</v>
      </c>
      <c r="AI190" s="4" t="s">
        <v>247</v>
      </c>
      <c r="AJ190" s="4" t="s">
        <v>248</v>
      </c>
      <c r="AZ190" s="4" t="s">
        <v>249</v>
      </c>
      <c r="BA190" s="4" t="s">
        <v>241</v>
      </c>
      <c r="BB190" s="4" t="s">
        <v>250</v>
      </c>
      <c r="BC190" s="4" t="s">
        <v>241</v>
      </c>
      <c r="BD190" s="4" t="s">
        <v>252</v>
      </c>
      <c r="BE190" s="4" t="s">
        <v>241</v>
      </c>
      <c r="BI190" s="4" t="s">
        <v>253</v>
      </c>
      <c r="BJ190" s="5" t="s">
        <v>246</v>
      </c>
      <c r="BK190" s="4" t="s">
        <v>254</v>
      </c>
      <c r="BL190" s="4" t="s">
        <v>255</v>
      </c>
      <c r="BM190" s="4" t="s">
        <v>241</v>
      </c>
      <c r="BN190" s="6">
        <f>0</f>
        <v>0</v>
      </c>
      <c r="BO190" s="6">
        <f>0</f>
        <v>0</v>
      </c>
      <c r="BP190" s="4" t="s">
        <v>256</v>
      </c>
      <c r="BQ190" s="4" t="s">
        <v>257</v>
      </c>
      <c r="CE190" s="4" t="s">
        <v>241</v>
      </c>
      <c r="CF190" s="4" t="s">
        <v>241</v>
      </c>
      <c r="CJ190" s="4" t="s">
        <v>258</v>
      </c>
      <c r="CK190" s="4" t="s">
        <v>259</v>
      </c>
      <c r="CL190" s="4" t="s">
        <v>241</v>
      </c>
      <c r="CO190" s="5" t="s">
        <v>260</v>
      </c>
      <c r="CP190" s="4" t="s">
        <v>241</v>
      </c>
      <c r="CQ190" s="4" t="s">
        <v>261</v>
      </c>
      <c r="CR190" s="4" t="s">
        <v>241</v>
      </c>
      <c r="CS190" s="4" t="s">
        <v>241</v>
      </c>
      <c r="CT190" s="4">
        <v>0</v>
      </c>
      <c r="CU190" s="4" t="s">
        <v>262</v>
      </c>
      <c r="CV190" s="4" t="s">
        <v>263</v>
      </c>
      <c r="CW190" s="4" t="s">
        <v>263</v>
      </c>
      <c r="CX190" s="4" t="s">
        <v>264</v>
      </c>
      <c r="DA190" s="6">
        <f>33264870</f>
        <v>33264870</v>
      </c>
      <c r="DC190" s="4" t="s">
        <v>287</v>
      </c>
      <c r="DD190" s="4" t="s">
        <v>241</v>
      </c>
      <c r="DF190" s="4" t="s">
        <v>287</v>
      </c>
      <c r="DG190" s="6">
        <f>0</f>
        <v>0</v>
      </c>
      <c r="DI190" s="4" t="s">
        <v>414</v>
      </c>
      <c r="DJ190" s="4" t="s">
        <v>241</v>
      </c>
      <c r="DK190" s="4" t="s">
        <v>241</v>
      </c>
      <c r="DL190" s="4" t="s">
        <v>241</v>
      </c>
      <c r="DP190" s="4" t="s">
        <v>241</v>
      </c>
      <c r="DQ190" s="4" t="s">
        <v>241</v>
      </c>
      <c r="DR190" s="4" t="s">
        <v>241</v>
      </c>
      <c r="DS190" s="4" t="s">
        <v>241</v>
      </c>
      <c r="DV190" s="4" t="s">
        <v>5131</v>
      </c>
      <c r="DW190" s="4" t="s">
        <v>1792</v>
      </c>
      <c r="HO190" s="4" t="s">
        <v>267</v>
      </c>
    </row>
    <row r="191" spans="1:223" ht="19.5" customHeight="1" x14ac:dyDescent="0.4">
      <c r="A191" s="4">
        <v>1</v>
      </c>
      <c r="B191" s="4" t="s">
        <v>239</v>
      </c>
      <c r="C191" s="4">
        <v>902</v>
      </c>
      <c r="D191" s="4">
        <v>1</v>
      </c>
      <c r="E191" s="4">
        <v>1</v>
      </c>
      <c r="F191" s="4" t="s">
        <v>240</v>
      </c>
      <c r="G191" s="4" t="s">
        <v>241</v>
      </c>
      <c r="H191" s="4" t="s">
        <v>241</v>
      </c>
      <c r="I191" s="4" t="s">
        <v>5129</v>
      </c>
      <c r="J191" s="4" t="s">
        <v>4219</v>
      </c>
      <c r="K191" s="4" t="s">
        <v>251</v>
      </c>
      <c r="L191" s="4" t="s">
        <v>5128</v>
      </c>
      <c r="M191" s="5" t="s">
        <v>5509</v>
      </c>
      <c r="N191" s="6">
        <f>21066.66</f>
        <v>21066.66</v>
      </c>
      <c r="O191" s="4" t="s">
        <v>265</v>
      </c>
      <c r="P191" s="6">
        <f>46662652</f>
        <v>46662652</v>
      </c>
      <c r="Q191" s="6">
        <f>0</f>
        <v>0</v>
      </c>
      <c r="S191" s="6">
        <f>0</f>
        <v>0</v>
      </c>
      <c r="T191" s="6">
        <f>46662652</f>
        <v>46662652</v>
      </c>
      <c r="U191" s="5" t="s">
        <v>245</v>
      </c>
      <c r="V191" s="4" t="s">
        <v>270</v>
      </c>
      <c r="W191" s="4" t="s">
        <v>242</v>
      </c>
      <c r="X191" s="4" t="s">
        <v>273</v>
      </c>
      <c r="Y191" s="4" t="s">
        <v>241</v>
      </c>
      <c r="AB191" s="4" t="s">
        <v>241</v>
      </c>
      <c r="AD191" s="5" t="s">
        <v>241</v>
      </c>
      <c r="AG191" s="5" t="s">
        <v>246</v>
      </c>
      <c r="AH191" s="4" t="s">
        <v>241</v>
      </c>
      <c r="AI191" s="4" t="s">
        <v>247</v>
      </c>
      <c r="AJ191" s="4" t="s">
        <v>248</v>
      </c>
      <c r="AZ191" s="4" t="s">
        <v>249</v>
      </c>
      <c r="BA191" s="4" t="s">
        <v>241</v>
      </c>
      <c r="BB191" s="4" t="s">
        <v>250</v>
      </c>
      <c r="BC191" s="4" t="s">
        <v>241</v>
      </c>
      <c r="BD191" s="4" t="s">
        <v>252</v>
      </c>
      <c r="BE191" s="4" t="s">
        <v>241</v>
      </c>
      <c r="BI191" s="4" t="s">
        <v>253</v>
      </c>
      <c r="BJ191" s="5" t="s">
        <v>246</v>
      </c>
      <c r="BK191" s="4" t="s">
        <v>254</v>
      </c>
      <c r="BL191" s="4" t="s">
        <v>3172</v>
      </c>
      <c r="BM191" s="4" t="s">
        <v>241</v>
      </c>
      <c r="BN191" s="6">
        <f>0</f>
        <v>0</v>
      </c>
      <c r="BO191" s="6">
        <f>0</f>
        <v>0</v>
      </c>
      <c r="BP191" s="4" t="s">
        <v>256</v>
      </c>
      <c r="BQ191" s="4" t="s">
        <v>257</v>
      </c>
      <c r="CE191" s="4" t="s">
        <v>241</v>
      </c>
      <c r="CF191" s="4" t="s">
        <v>241</v>
      </c>
      <c r="CJ191" s="4" t="s">
        <v>258</v>
      </c>
      <c r="CK191" s="4" t="s">
        <v>259</v>
      </c>
      <c r="CL191" s="4" t="s">
        <v>241</v>
      </c>
      <c r="CO191" s="5" t="s">
        <v>260</v>
      </c>
      <c r="CP191" s="4" t="s">
        <v>241</v>
      </c>
      <c r="CQ191" s="4" t="s">
        <v>261</v>
      </c>
      <c r="CR191" s="4" t="s">
        <v>241</v>
      </c>
      <c r="CS191" s="4" t="s">
        <v>241</v>
      </c>
      <c r="CT191" s="4">
        <v>0</v>
      </c>
      <c r="CU191" s="4" t="s">
        <v>262</v>
      </c>
      <c r="CV191" s="4" t="s">
        <v>263</v>
      </c>
      <c r="CW191" s="4" t="s">
        <v>263</v>
      </c>
      <c r="CX191" s="4" t="s">
        <v>264</v>
      </c>
      <c r="DA191" s="6">
        <f>46662652</f>
        <v>46662652</v>
      </c>
      <c r="DC191" s="4" t="s">
        <v>287</v>
      </c>
      <c r="DD191" s="4" t="s">
        <v>241</v>
      </c>
      <c r="DF191" s="4" t="s">
        <v>287</v>
      </c>
      <c r="DG191" s="6">
        <f>0</f>
        <v>0</v>
      </c>
      <c r="DI191" s="4" t="s">
        <v>414</v>
      </c>
      <c r="DJ191" s="4" t="s">
        <v>241</v>
      </c>
      <c r="DK191" s="4" t="s">
        <v>241</v>
      </c>
      <c r="DL191" s="4" t="s">
        <v>241</v>
      </c>
      <c r="DP191" s="4" t="s">
        <v>241</v>
      </c>
      <c r="DQ191" s="4" t="s">
        <v>241</v>
      </c>
      <c r="DR191" s="4" t="s">
        <v>241</v>
      </c>
      <c r="DS191" s="4" t="s">
        <v>241</v>
      </c>
      <c r="DV191" s="4" t="s">
        <v>5131</v>
      </c>
      <c r="DW191" s="4" t="s">
        <v>1789</v>
      </c>
      <c r="HO191" s="4" t="s">
        <v>416</v>
      </c>
    </row>
    <row r="192" spans="1:223" ht="19.5" customHeight="1" x14ac:dyDescent="0.4">
      <c r="A192" s="4">
        <v>1</v>
      </c>
      <c r="B192" s="4" t="s">
        <v>239</v>
      </c>
      <c r="C192" s="4">
        <v>903</v>
      </c>
      <c r="D192" s="4">
        <v>1</v>
      </c>
      <c r="E192" s="4">
        <v>1</v>
      </c>
      <c r="F192" s="4" t="s">
        <v>240</v>
      </c>
      <c r="G192" s="4" t="s">
        <v>241</v>
      </c>
      <c r="H192" s="4" t="s">
        <v>241</v>
      </c>
      <c r="I192" s="4" t="s">
        <v>5129</v>
      </c>
      <c r="J192" s="4" t="s">
        <v>4219</v>
      </c>
      <c r="K192" s="4" t="s">
        <v>251</v>
      </c>
      <c r="L192" s="4" t="s">
        <v>5128</v>
      </c>
      <c r="M192" s="5" t="s">
        <v>5145</v>
      </c>
      <c r="N192" s="6">
        <f>1232.13</f>
        <v>1232.1300000000001</v>
      </c>
      <c r="O192" s="4" t="s">
        <v>265</v>
      </c>
      <c r="P192" s="6">
        <f>4558881</f>
        <v>4558881</v>
      </c>
      <c r="Q192" s="6">
        <f>0</f>
        <v>0</v>
      </c>
      <c r="S192" s="6">
        <f>0</f>
        <v>0</v>
      </c>
      <c r="T192" s="6">
        <f>4558881</f>
        <v>4558881</v>
      </c>
      <c r="U192" s="5" t="s">
        <v>245</v>
      </c>
      <c r="V192" s="4" t="s">
        <v>270</v>
      </c>
      <c r="W192" s="4" t="s">
        <v>242</v>
      </c>
      <c r="X192" s="4" t="s">
        <v>273</v>
      </c>
      <c r="Y192" s="4" t="s">
        <v>241</v>
      </c>
      <c r="AB192" s="4" t="s">
        <v>241</v>
      </c>
      <c r="AD192" s="5" t="s">
        <v>241</v>
      </c>
      <c r="AG192" s="5" t="s">
        <v>246</v>
      </c>
      <c r="AH192" s="4" t="s">
        <v>241</v>
      </c>
      <c r="AI192" s="4" t="s">
        <v>247</v>
      </c>
      <c r="AJ192" s="4" t="s">
        <v>248</v>
      </c>
      <c r="AZ192" s="4" t="s">
        <v>249</v>
      </c>
      <c r="BA192" s="4" t="s">
        <v>241</v>
      </c>
      <c r="BB192" s="4" t="s">
        <v>250</v>
      </c>
      <c r="BC192" s="4" t="s">
        <v>241</v>
      </c>
      <c r="BD192" s="4" t="s">
        <v>252</v>
      </c>
      <c r="BE192" s="4" t="s">
        <v>241</v>
      </c>
      <c r="BI192" s="4" t="s">
        <v>253</v>
      </c>
      <c r="BJ192" s="5" t="s">
        <v>246</v>
      </c>
      <c r="BK192" s="4" t="s">
        <v>254</v>
      </c>
      <c r="BL192" s="4" t="s">
        <v>255</v>
      </c>
      <c r="BM192" s="4" t="s">
        <v>241</v>
      </c>
      <c r="BN192" s="6">
        <f>0</f>
        <v>0</v>
      </c>
      <c r="BO192" s="6">
        <f>0</f>
        <v>0</v>
      </c>
      <c r="BP192" s="4" t="s">
        <v>256</v>
      </c>
      <c r="BQ192" s="4" t="s">
        <v>257</v>
      </c>
      <c r="CE192" s="4" t="s">
        <v>241</v>
      </c>
      <c r="CF192" s="4" t="s">
        <v>241</v>
      </c>
      <c r="CJ192" s="4" t="s">
        <v>258</v>
      </c>
      <c r="CK192" s="4" t="s">
        <v>259</v>
      </c>
      <c r="CL192" s="4" t="s">
        <v>241</v>
      </c>
      <c r="CO192" s="5" t="s">
        <v>260</v>
      </c>
      <c r="CP192" s="4" t="s">
        <v>241</v>
      </c>
      <c r="CQ192" s="4" t="s">
        <v>261</v>
      </c>
      <c r="CR192" s="4" t="s">
        <v>241</v>
      </c>
      <c r="CS192" s="4" t="s">
        <v>241</v>
      </c>
      <c r="CT192" s="4">
        <v>0</v>
      </c>
      <c r="CU192" s="4" t="s">
        <v>262</v>
      </c>
      <c r="CV192" s="4" t="s">
        <v>263</v>
      </c>
      <c r="CW192" s="4" t="s">
        <v>263</v>
      </c>
      <c r="CX192" s="4" t="s">
        <v>264</v>
      </c>
      <c r="DA192" s="6">
        <f>4558881</f>
        <v>4558881</v>
      </c>
      <c r="DC192" s="4" t="s">
        <v>266</v>
      </c>
      <c r="DD192" s="4" t="s">
        <v>241</v>
      </c>
      <c r="DF192" s="4" t="s">
        <v>287</v>
      </c>
      <c r="DG192" s="6">
        <f>0</f>
        <v>0</v>
      </c>
      <c r="DI192" s="4" t="s">
        <v>266</v>
      </c>
      <c r="DJ192" s="4" t="s">
        <v>241</v>
      </c>
      <c r="DK192" s="4" t="s">
        <v>241</v>
      </c>
      <c r="DL192" s="4" t="s">
        <v>241</v>
      </c>
      <c r="DP192" s="4" t="s">
        <v>241</v>
      </c>
      <c r="DQ192" s="4" t="s">
        <v>241</v>
      </c>
      <c r="DR192" s="4" t="s">
        <v>241</v>
      </c>
      <c r="DS192" s="4" t="s">
        <v>241</v>
      </c>
      <c r="DV192" s="4" t="s">
        <v>5131</v>
      </c>
      <c r="DW192" s="4" t="s">
        <v>1787</v>
      </c>
      <c r="HO192" s="4" t="s">
        <v>267</v>
      </c>
    </row>
    <row r="193" spans="1:223" ht="19.5" customHeight="1" x14ac:dyDescent="0.4">
      <c r="A193" s="4">
        <v>1</v>
      </c>
      <c r="B193" s="4" t="s">
        <v>239</v>
      </c>
      <c r="C193" s="4">
        <v>904</v>
      </c>
      <c r="D193" s="4">
        <v>1</v>
      </c>
      <c r="E193" s="4">
        <v>1</v>
      </c>
      <c r="F193" s="4" t="s">
        <v>240</v>
      </c>
      <c r="G193" s="4" t="s">
        <v>241</v>
      </c>
      <c r="H193" s="4" t="s">
        <v>241</v>
      </c>
      <c r="I193" s="4" t="s">
        <v>5129</v>
      </c>
      <c r="J193" s="4" t="s">
        <v>4219</v>
      </c>
      <c r="K193" s="4" t="s">
        <v>251</v>
      </c>
      <c r="L193" s="4" t="s">
        <v>5128</v>
      </c>
      <c r="M193" s="5" t="s">
        <v>5139</v>
      </c>
      <c r="N193" s="6">
        <f>226.31</f>
        <v>226.31</v>
      </c>
      <c r="O193" s="4" t="s">
        <v>265</v>
      </c>
      <c r="P193" s="6">
        <f>837347</f>
        <v>837347</v>
      </c>
      <c r="Q193" s="6">
        <f>0</f>
        <v>0</v>
      </c>
      <c r="S193" s="6">
        <f>0</f>
        <v>0</v>
      </c>
      <c r="T193" s="6">
        <f>837347</f>
        <v>837347</v>
      </c>
      <c r="U193" s="5" t="s">
        <v>245</v>
      </c>
      <c r="V193" s="4" t="s">
        <v>270</v>
      </c>
      <c r="W193" s="4" t="s">
        <v>242</v>
      </c>
      <c r="X193" s="4" t="s">
        <v>273</v>
      </c>
      <c r="Y193" s="4" t="s">
        <v>241</v>
      </c>
      <c r="AB193" s="4" t="s">
        <v>241</v>
      </c>
      <c r="AD193" s="5" t="s">
        <v>241</v>
      </c>
      <c r="AG193" s="5" t="s">
        <v>246</v>
      </c>
      <c r="AH193" s="4" t="s">
        <v>241</v>
      </c>
      <c r="AI193" s="4" t="s">
        <v>247</v>
      </c>
      <c r="AJ193" s="4" t="s">
        <v>248</v>
      </c>
      <c r="AZ193" s="4" t="s">
        <v>249</v>
      </c>
      <c r="BA193" s="4" t="s">
        <v>241</v>
      </c>
      <c r="BB193" s="4" t="s">
        <v>250</v>
      </c>
      <c r="BC193" s="4" t="s">
        <v>241</v>
      </c>
      <c r="BD193" s="4" t="s">
        <v>252</v>
      </c>
      <c r="BE193" s="4" t="s">
        <v>241</v>
      </c>
      <c r="BI193" s="4" t="s">
        <v>253</v>
      </c>
      <c r="BJ193" s="5" t="s">
        <v>246</v>
      </c>
      <c r="BK193" s="4" t="s">
        <v>254</v>
      </c>
      <c r="BL193" s="4" t="s">
        <v>255</v>
      </c>
      <c r="BM193" s="4" t="s">
        <v>241</v>
      </c>
      <c r="BN193" s="6">
        <f>0</f>
        <v>0</v>
      </c>
      <c r="BO193" s="6">
        <f>0</f>
        <v>0</v>
      </c>
      <c r="BP193" s="4" t="s">
        <v>256</v>
      </c>
      <c r="BQ193" s="4" t="s">
        <v>257</v>
      </c>
      <c r="CE193" s="4" t="s">
        <v>241</v>
      </c>
      <c r="CF193" s="4" t="s">
        <v>241</v>
      </c>
      <c r="CJ193" s="4" t="s">
        <v>258</v>
      </c>
      <c r="CK193" s="4" t="s">
        <v>259</v>
      </c>
      <c r="CL193" s="4" t="s">
        <v>241</v>
      </c>
      <c r="CO193" s="5" t="s">
        <v>260</v>
      </c>
      <c r="CP193" s="4" t="s">
        <v>241</v>
      </c>
      <c r="CQ193" s="4" t="s">
        <v>261</v>
      </c>
      <c r="CR193" s="4" t="s">
        <v>241</v>
      </c>
      <c r="CS193" s="4" t="s">
        <v>241</v>
      </c>
      <c r="CT193" s="4">
        <v>0</v>
      </c>
      <c r="CU193" s="4" t="s">
        <v>262</v>
      </c>
      <c r="CV193" s="4" t="s">
        <v>263</v>
      </c>
      <c r="CW193" s="4" t="s">
        <v>263</v>
      </c>
      <c r="CX193" s="4" t="s">
        <v>264</v>
      </c>
      <c r="DA193" s="6">
        <f>837347</f>
        <v>837347</v>
      </c>
      <c r="DC193" s="4" t="s">
        <v>266</v>
      </c>
      <c r="DD193" s="4" t="s">
        <v>241</v>
      </c>
      <c r="DF193" s="4" t="s">
        <v>287</v>
      </c>
      <c r="DG193" s="6">
        <f>0</f>
        <v>0</v>
      </c>
      <c r="DI193" s="4" t="s">
        <v>266</v>
      </c>
      <c r="DJ193" s="4" t="s">
        <v>241</v>
      </c>
      <c r="DK193" s="4" t="s">
        <v>241</v>
      </c>
      <c r="DL193" s="4" t="s">
        <v>241</v>
      </c>
      <c r="DP193" s="4" t="s">
        <v>241</v>
      </c>
      <c r="DQ193" s="4" t="s">
        <v>241</v>
      </c>
      <c r="DR193" s="4" t="s">
        <v>241</v>
      </c>
      <c r="DS193" s="4" t="s">
        <v>241</v>
      </c>
      <c r="DV193" s="4" t="s">
        <v>5131</v>
      </c>
      <c r="DW193" s="4" t="s">
        <v>1785</v>
      </c>
      <c r="HO193" s="4" t="s">
        <v>267</v>
      </c>
    </row>
    <row r="194" spans="1:223" ht="19.5" customHeight="1" x14ac:dyDescent="0.4">
      <c r="A194" s="4">
        <v>1</v>
      </c>
      <c r="B194" s="4" t="s">
        <v>239</v>
      </c>
      <c r="C194" s="4">
        <v>905</v>
      </c>
      <c r="D194" s="4">
        <v>1</v>
      </c>
      <c r="E194" s="4">
        <v>1</v>
      </c>
      <c r="F194" s="4" t="s">
        <v>240</v>
      </c>
      <c r="G194" s="4" t="s">
        <v>241</v>
      </c>
      <c r="H194" s="4" t="s">
        <v>241</v>
      </c>
      <c r="I194" s="4" t="s">
        <v>5129</v>
      </c>
      <c r="J194" s="4" t="s">
        <v>4219</v>
      </c>
      <c r="K194" s="4" t="s">
        <v>251</v>
      </c>
      <c r="L194" s="4" t="s">
        <v>5128</v>
      </c>
      <c r="M194" s="5" t="s">
        <v>5140</v>
      </c>
      <c r="N194" s="6">
        <f>2954</f>
        <v>2954</v>
      </c>
      <c r="O194" s="4" t="s">
        <v>265</v>
      </c>
      <c r="P194" s="6">
        <f>6543110</f>
        <v>6543110</v>
      </c>
      <c r="Q194" s="6">
        <f>0</f>
        <v>0</v>
      </c>
      <c r="S194" s="6">
        <f>0</f>
        <v>0</v>
      </c>
      <c r="T194" s="6">
        <f>6543110</f>
        <v>6543110</v>
      </c>
      <c r="U194" s="5" t="s">
        <v>245</v>
      </c>
      <c r="V194" s="4" t="s">
        <v>270</v>
      </c>
      <c r="W194" s="4" t="s">
        <v>242</v>
      </c>
      <c r="X194" s="4" t="s">
        <v>273</v>
      </c>
      <c r="Y194" s="4" t="s">
        <v>241</v>
      </c>
      <c r="AB194" s="4" t="s">
        <v>241</v>
      </c>
      <c r="AD194" s="5" t="s">
        <v>241</v>
      </c>
      <c r="AG194" s="5" t="s">
        <v>246</v>
      </c>
      <c r="AH194" s="4" t="s">
        <v>241</v>
      </c>
      <c r="AI194" s="4" t="s">
        <v>247</v>
      </c>
      <c r="AJ194" s="4" t="s">
        <v>248</v>
      </c>
      <c r="AZ194" s="4" t="s">
        <v>249</v>
      </c>
      <c r="BA194" s="4" t="s">
        <v>241</v>
      </c>
      <c r="BB194" s="4" t="s">
        <v>250</v>
      </c>
      <c r="BC194" s="4" t="s">
        <v>241</v>
      </c>
      <c r="BD194" s="4" t="s">
        <v>252</v>
      </c>
      <c r="BE194" s="4" t="s">
        <v>241</v>
      </c>
      <c r="BI194" s="4" t="s">
        <v>253</v>
      </c>
      <c r="BJ194" s="5" t="s">
        <v>246</v>
      </c>
      <c r="BK194" s="4" t="s">
        <v>254</v>
      </c>
      <c r="BL194" s="4" t="s">
        <v>255</v>
      </c>
      <c r="BM194" s="4" t="s">
        <v>241</v>
      </c>
      <c r="BN194" s="6">
        <f>0</f>
        <v>0</v>
      </c>
      <c r="BO194" s="6">
        <f>0</f>
        <v>0</v>
      </c>
      <c r="BP194" s="4" t="s">
        <v>256</v>
      </c>
      <c r="BQ194" s="4" t="s">
        <v>257</v>
      </c>
      <c r="CE194" s="4" t="s">
        <v>241</v>
      </c>
      <c r="CF194" s="4" t="s">
        <v>241</v>
      </c>
      <c r="CJ194" s="4" t="s">
        <v>258</v>
      </c>
      <c r="CK194" s="4" t="s">
        <v>259</v>
      </c>
      <c r="CL194" s="4" t="s">
        <v>241</v>
      </c>
      <c r="CO194" s="5" t="s">
        <v>260</v>
      </c>
      <c r="CP194" s="4" t="s">
        <v>241</v>
      </c>
      <c r="CQ194" s="4" t="s">
        <v>261</v>
      </c>
      <c r="CR194" s="4" t="s">
        <v>241</v>
      </c>
      <c r="CS194" s="4" t="s">
        <v>241</v>
      </c>
      <c r="CT194" s="4">
        <v>0</v>
      </c>
      <c r="CU194" s="4" t="s">
        <v>262</v>
      </c>
      <c r="CV194" s="4" t="s">
        <v>263</v>
      </c>
      <c r="CW194" s="4" t="s">
        <v>263</v>
      </c>
      <c r="CX194" s="4" t="s">
        <v>264</v>
      </c>
      <c r="DA194" s="6">
        <f>6543110</f>
        <v>6543110</v>
      </c>
      <c r="DC194" s="4" t="s">
        <v>287</v>
      </c>
      <c r="DD194" s="4" t="s">
        <v>241</v>
      </c>
      <c r="DF194" s="4" t="s">
        <v>287</v>
      </c>
      <c r="DG194" s="6">
        <f>0</f>
        <v>0</v>
      </c>
      <c r="DI194" s="4" t="s">
        <v>414</v>
      </c>
      <c r="DJ194" s="4" t="s">
        <v>241</v>
      </c>
      <c r="DK194" s="4" t="s">
        <v>241</v>
      </c>
      <c r="DL194" s="4" t="s">
        <v>241</v>
      </c>
      <c r="DP194" s="4" t="s">
        <v>241</v>
      </c>
      <c r="DQ194" s="4" t="s">
        <v>241</v>
      </c>
      <c r="DR194" s="4" t="s">
        <v>241</v>
      </c>
      <c r="DS194" s="4" t="s">
        <v>241</v>
      </c>
      <c r="DV194" s="4" t="s">
        <v>5131</v>
      </c>
      <c r="DW194" s="4" t="s">
        <v>1781</v>
      </c>
      <c r="HO194" s="4" t="s">
        <v>267</v>
      </c>
    </row>
    <row r="195" spans="1:223" ht="19.5" customHeight="1" x14ac:dyDescent="0.4">
      <c r="A195" s="4">
        <v>1</v>
      </c>
      <c r="B195" s="4" t="s">
        <v>239</v>
      </c>
      <c r="C195" s="4">
        <v>906</v>
      </c>
      <c r="D195" s="4">
        <v>1</v>
      </c>
      <c r="E195" s="4">
        <v>1</v>
      </c>
      <c r="F195" s="4" t="s">
        <v>240</v>
      </c>
      <c r="G195" s="4" t="s">
        <v>241</v>
      </c>
      <c r="H195" s="4" t="s">
        <v>241</v>
      </c>
      <c r="I195" s="4" t="s">
        <v>5129</v>
      </c>
      <c r="J195" s="4" t="s">
        <v>4219</v>
      </c>
      <c r="K195" s="4" t="s">
        <v>251</v>
      </c>
      <c r="L195" s="4" t="s">
        <v>5128</v>
      </c>
      <c r="M195" s="5" t="s">
        <v>5508</v>
      </c>
      <c r="N195" s="6">
        <f>383</f>
        <v>383</v>
      </c>
      <c r="O195" s="4" t="s">
        <v>265</v>
      </c>
      <c r="P195" s="6">
        <f>848345</f>
        <v>848345</v>
      </c>
      <c r="Q195" s="6">
        <f>0</f>
        <v>0</v>
      </c>
      <c r="S195" s="6">
        <f>0</f>
        <v>0</v>
      </c>
      <c r="T195" s="6">
        <f>848345</f>
        <v>848345</v>
      </c>
      <c r="U195" s="5" t="s">
        <v>245</v>
      </c>
      <c r="V195" s="4" t="s">
        <v>270</v>
      </c>
      <c r="W195" s="4" t="s">
        <v>242</v>
      </c>
      <c r="X195" s="4" t="s">
        <v>273</v>
      </c>
      <c r="Y195" s="4" t="s">
        <v>241</v>
      </c>
      <c r="AB195" s="4" t="s">
        <v>241</v>
      </c>
      <c r="AD195" s="5" t="s">
        <v>241</v>
      </c>
      <c r="AG195" s="5" t="s">
        <v>246</v>
      </c>
      <c r="AH195" s="4" t="s">
        <v>241</v>
      </c>
      <c r="AI195" s="4" t="s">
        <v>247</v>
      </c>
      <c r="AJ195" s="4" t="s">
        <v>248</v>
      </c>
      <c r="AZ195" s="4" t="s">
        <v>249</v>
      </c>
      <c r="BA195" s="4" t="s">
        <v>241</v>
      </c>
      <c r="BB195" s="4" t="s">
        <v>250</v>
      </c>
      <c r="BC195" s="4" t="s">
        <v>241</v>
      </c>
      <c r="BD195" s="4" t="s">
        <v>252</v>
      </c>
      <c r="BE195" s="4" t="s">
        <v>241</v>
      </c>
      <c r="BI195" s="4" t="s">
        <v>253</v>
      </c>
      <c r="BJ195" s="5" t="s">
        <v>246</v>
      </c>
      <c r="BK195" s="4" t="s">
        <v>254</v>
      </c>
      <c r="BL195" s="4" t="s">
        <v>255</v>
      </c>
      <c r="BM195" s="4" t="s">
        <v>241</v>
      </c>
      <c r="BN195" s="6">
        <f>0</f>
        <v>0</v>
      </c>
      <c r="BO195" s="6">
        <f>0</f>
        <v>0</v>
      </c>
      <c r="BP195" s="4" t="s">
        <v>256</v>
      </c>
      <c r="BQ195" s="4" t="s">
        <v>257</v>
      </c>
      <c r="CE195" s="4" t="s">
        <v>241</v>
      </c>
      <c r="CF195" s="4" t="s">
        <v>241</v>
      </c>
      <c r="CJ195" s="4" t="s">
        <v>258</v>
      </c>
      <c r="CK195" s="4" t="s">
        <v>259</v>
      </c>
      <c r="CL195" s="4" t="s">
        <v>241</v>
      </c>
      <c r="CO195" s="5" t="s">
        <v>260</v>
      </c>
      <c r="CP195" s="4" t="s">
        <v>241</v>
      </c>
      <c r="CQ195" s="4" t="s">
        <v>261</v>
      </c>
      <c r="CR195" s="4" t="s">
        <v>241</v>
      </c>
      <c r="CS195" s="4" t="s">
        <v>241</v>
      </c>
      <c r="CT195" s="4">
        <v>0</v>
      </c>
      <c r="CU195" s="4" t="s">
        <v>262</v>
      </c>
      <c r="CV195" s="4" t="s">
        <v>263</v>
      </c>
      <c r="CW195" s="4" t="s">
        <v>263</v>
      </c>
      <c r="CX195" s="4" t="s">
        <v>264</v>
      </c>
      <c r="DA195" s="6">
        <f>848345</f>
        <v>848345</v>
      </c>
      <c r="DC195" s="4" t="s">
        <v>287</v>
      </c>
      <c r="DD195" s="4" t="s">
        <v>241</v>
      </c>
      <c r="DF195" s="4" t="s">
        <v>287</v>
      </c>
      <c r="DG195" s="6">
        <f>0</f>
        <v>0</v>
      </c>
      <c r="DI195" s="4" t="s">
        <v>414</v>
      </c>
      <c r="DJ195" s="4" t="s">
        <v>241</v>
      </c>
      <c r="DK195" s="4" t="s">
        <v>241</v>
      </c>
      <c r="DL195" s="4" t="s">
        <v>241</v>
      </c>
      <c r="DP195" s="4" t="s">
        <v>241</v>
      </c>
      <c r="DQ195" s="4" t="s">
        <v>241</v>
      </c>
      <c r="DR195" s="4" t="s">
        <v>241</v>
      </c>
      <c r="DS195" s="4" t="s">
        <v>241</v>
      </c>
      <c r="DV195" s="4" t="s">
        <v>5131</v>
      </c>
      <c r="DW195" s="4" t="s">
        <v>2564</v>
      </c>
      <c r="HO195" s="4" t="s">
        <v>267</v>
      </c>
    </row>
    <row r="196" spans="1:223" ht="19.5" customHeight="1" x14ac:dyDescent="0.4">
      <c r="A196" s="4">
        <v>1</v>
      </c>
      <c r="B196" s="4" t="s">
        <v>239</v>
      </c>
      <c r="C196" s="4">
        <v>907</v>
      </c>
      <c r="D196" s="4">
        <v>1</v>
      </c>
      <c r="E196" s="4">
        <v>1</v>
      </c>
      <c r="F196" s="4" t="s">
        <v>240</v>
      </c>
      <c r="G196" s="4" t="s">
        <v>241</v>
      </c>
      <c r="H196" s="4" t="s">
        <v>241</v>
      </c>
      <c r="I196" s="4" t="s">
        <v>5129</v>
      </c>
      <c r="J196" s="4" t="s">
        <v>4219</v>
      </c>
      <c r="K196" s="4" t="s">
        <v>251</v>
      </c>
      <c r="L196" s="4" t="s">
        <v>5128</v>
      </c>
      <c r="M196" s="5" t="s">
        <v>5141</v>
      </c>
      <c r="N196" s="6">
        <f>1505</f>
        <v>1505</v>
      </c>
      <c r="O196" s="4" t="s">
        <v>265</v>
      </c>
      <c r="P196" s="6">
        <f>3333575</f>
        <v>3333575</v>
      </c>
      <c r="Q196" s="6">
        <f>0</f>
        <v>0</v>
      </c>
      <c r="S196" s="6">
        <f>0</f>
        <v>0</v>
      </c>
      <c r="T196" s="6">
        <f>3333575</f>
        <v>3333575</v>
      </c>
      <c r="U196" s="5" t="s">
        <v>245</v>
      </c>
      <c r="V196" s="4" t="s">
        <v>270</v>
      </c>
      <c r="W196" s="4" t="s">
        <v>242</v>
      </c>
      <c r="X196" s="4" t="s">
        <v>273</v>
      </c>
      <c r="Y196" s="4" t="s">
        <v>241</v>
      </c>
      <c r="AB196" s="4" t="s">
        <v>241</v>
      </c>
      <c r="AD196" s="5" t="s">
        <v>241</v>
      </c>
      <c r="AG196" s="5" t="s">
        <v>246</v>
      </c>
      <c r="AH196" s="4" t="s">
        <v>241</v>
      </c>
      <c r="AI196" s="4" t="s">
        <v>247</v>
      </c>
      <c r="AJ196" s="4" t="s">
        <v>248</v>
      </c>
      <c r="AZ196" s="4" t="s">
        <v>249</v>
      </c>
      <c r="BA196" s="4" t="s">
        <v>241</v>
      </c>
      <c r="BB196" s="4" t="s">
        <v>250</v>
      </c>
      <c r="BC196" s="4" t="s">
        <v>241</v>
      </c>
      <c r="BD196" s="4" t="s">
        <v>252</v>
      </c>
      <c r="BE196" s="4" t="s">
        <v>241</v>
      </c>
      <c r="BI196" s="4" t="s">
        <v>253</v>
      </c>
      <c r="BJ196" s="5" t="s">
        <v>246</v>
      </c>
      <c r="BK196" s="4" t="s">
        <v>254</v>
      </c>
      <c r="BL196" s="4" t="s">
        <v>255</v>
      </c>
      <c r="BM196" s="4" t="s">
        <v>241</v>
      </c>
      <c r="BN196" s="6">
        <f>0</f>
        <v>0</v>
      </c>
      <c r="BO196" s="6">
        <f>0</f>
        <v>0</v>
      </c>
      <c r="BP196" s="4" t="s">
        <v>256</v>
      </c>
      <c r="BQ196" s="4" t="s">
        <v>257</v>
      </c>
      <c r="CE196" s="4" t="s">
        <v>241</v>
      </c>
      <c r="CF196" s="4" t="s">
        <v>241</v>
      </c>
      <c r="CJ196" s="4" t="s">
        <v>258</v>
      </c>
      <c r="CK196" s="4" t="s">
        <v>259</v>
      </c>
      <c r="CL196" s="4" t="s">
        <v>241</v>
      </c>
      <c r="CO196" s="5" t="s">
        <v>260</v>
      </c>
      <c r="CP196" s="4" t="s">
        <v>241</v>
      </c>
      <c r="CQ196" s="4" t="s">
        <v>261</v>
      </c>
      <c r="CR196" s="4" t="s">
        <v>241</v>
      </c>
      <c r="CS196" s="4" t="s">
        <v>241</v>
      </c>
      <c r="CT196" s="4">
        <v>0</v>
      </c>
      <c r="CU196" s="4" t="s">
        <v>262</v>
      </c>
      <c r="CV196" s="4" t="s">
        <v>263</v>
      </c>
      <c r="CW196" s="4" t="s">
        <v>263</v>
      </c>
      <c r="CX196" s="4" t="s">
        <v>264</v>
      </c>
      <c r="DA196" s="6">
        <f>3333575</f>
        <v>3333575</v>
      </c>
      <c r="DC196" s="4" t="s">
        <v>287</v>
      </c>
      <c r="DD196" s="4" t="s">
        <v>241</v>
      </c>
      <c r="DF196" s="4" t="s">
        <v>287</v>
      </c>
      <c r="DG196" s="6">
        <f>0</f>
        <v>0</v>
      </c>
      <c r="DI196" s="4" t="s">
        <v>414</v>
      </c>
      <c r="DJ196" s="4" t="s">
        <v>241</v>
      </c>
      <c r="DK196" s="4" t="s">
        <v>241</v>
      </c>
      <c r="DL196" s="4" t="s">
        <v>241</v>
      </c>
      <c r="DP196" s="4" t="s">
        <v>241</v>
      </c>
      <c r="DQ196" s="4" t="s">
        <v>241</v>
      </c>
      <c r="DR196" s="4" t="s">
        <v>241</v>
      </c>
      <c r="DS196" s="4" t="s">
        <v>241</v>
      </c>
      <c r="DV196" s="4" t="s">
        <v>5131</v>
      </c>
      <c r="DW196" s="4" t="s">
        <v>1779</v>
      </c>
      <c r="HO196" s="4" t="s">
        <v>267</v>
      </c>
    </row>
    <row r="197" spans="1:223" ht="19.5" customHeight="1" x14ac:dyDescent="0.4">
      <c r="A197" s="4">
        <v>1</v>
      </c>
      <c r="B197" s="4" t="s">
        <v>239</v>
      </c>
      <c r="C197" s="4">
        <v>908</v>
      </c>
      <c r="D197" s="4">
        <v>1</v>
      </c>
      <c r="E197" s="4">
        <v>1</v>
      </c>
      <c r="F197" s="4" t="s">
        <v>240</v>
      </c>
      <c r="G197" s="4" t="s">
        <v>241</v>
      </c>
      <c r="H197" s="4" t="s">
        <v>241</v>
      </c>
      <c r="I197" s="4" t="s">
        <v>5129</v>
      </c>
      <c r="J197" s="4" t="s">
        <v>4219</v>
      </c>
      <c r="K197" s="4" t="s">
        <v>251</v>
      </c>
      <c r="L197" s="4" t="s">
        <v>5128</v>
      </c>
      <c r="M197" s="5" t="s">
        <v>5142</v>
      </c>
      <c r="N197" s="6">
        <f>14</f>
        <v>14</v>
      </c>
      <c r="O197" s="4" t="s">
        <v>265</v>
      </c>
      <c r="P197" s="6">
        <f>31010</f>
        <v>31010</v>
      </c>
      <c r="Q197" s="6">
        <f>0</f>
        <v>0</v>
      </c>
      <c r="S197" s="6">
        <f>0</f>
        <v>0</v>
      </c>
      <c r="T197" s="6">
        <f>31010</f>
        <v>31010</v>
      </c>
      <c r="U197" s="5" t="s">
        <v>245</v>
      </c>
      <c r="V197" s="4" t="s">
        <v>270</v>
      </c>
      <c r="W197" s="4" t="s">
        <v>242</v>
      </c>
      <c r="X197" s="4" t="s">
        <v>273</v>
      </c>
      <c r="Y197" s="4" t="s">
        <v>241</v>
      </c>
      <c r="AB197" s="4" t="s">
        <v>241</v>
      </c>
      <c r="AD197" s="5" t="s">
        <v>241</v>
      </c>
      <c r="AG197" s="5" t="s">
        <v>246</v>
      </c>
      <c r="AH197" s="4" t="s">
        <v>241</v>
      </c>
      <c r="AI197" s="4" t="s">
        <v>247</v>
      </c>
      <c r="AJ197" s="4" t="s">
        <v>248</v>
      </c>
      <c r="AZ197" s="4" t="s">
        <v>249</v>
      </c>
      <c r="BA197" s="4" t="s">
        <v>241</v>
      </c>
      <c r="BB197" s="4" t="s">
        <v>250</v>
      </c>
      <c r="BC197" s="4" t="s">
        <v>241</v>
      </c>
      <c r="BD197" s="4" t="s">
        <v>252</v>
      </c>
      <c r="BE197" s="4" t="s">
        <v>241</v>
      </c>
      <c r="BI197" s="4" t="s">
        <v>253</v>
      </c>
      <c r="BJ197" s="5" t="s">
        <v>246</v>
      </c>
      <c r="BK197" s="4" t="s">
        <v>254</v>
      </c>
      <c r="BL197" s="4" t="s">
        <v>255</v>
      </c>
      <c r="BM197" s="4" t="s">
        <v>241</v>
      </c>
      <c r="BN197" s="6">
        <f>0</f>
        <v>0</v>
      </c>
      <c r="BO197" s="6">
        <f>0</f>
        <v>0</v>
      </c>
      <c r="BP197" s="4" t="s">
        <v>256</v>
      </c>
      <c r="BQ197" s="4" t="s">
        <v>257</v>
      </c>
      <c r="CE197" s="4" t="s">
        <v>241</v>
      </c>
      <c r="CF197" s="4" t="s">
        <v>241</v>
      </c>
      <c r="CJ197" s="4" t="s">
        <v>258</v>
      </c>
      <c r="CK197" s="4" t="s">
        <v>259</v>
      </c>
      <c r="CL197" s="4" t="s">
        <v>241</v>
      </c>
      <c r="CO197" s="5" t="s">
        <v>260</v>
      </c>
      <c r="CP197" s="4" t="s">
        <v>241</v>
      </c>
      <c r="CQ197" s="4" t="s">
        <v>261</v>
      </c>
      <c r="CR197" s="4" t="s">
        <v>241</v>
      </c>
      <c r="CS197" s="4" t="s">
        <v>241</v>
      </c>
      <c r="CT197" s="4">
        <v>0</v>
      </c>
      <c r="CU197" s="4" t="s">
        <v>262</v>
      </c>
      <c r="CV197" s="4" t="s">
        <v>263</v>
      </c>
      <c r="CW197" s="4" t="s">
        <v>263</v>
      </c>
      <c r="CX197" s="4" t="s">
        <v>264</v>
      </c>
      <c r="DA197" s="6">
        <f>31010</f>
        <v>31010</v>
      </c>
      <c r="DC197" s="4" t="s">
        <v>287</v>
      </c>
      <c r="DD197" s="4" t="s">
        <v>241</v>
      </c>
      <c r="DF197" s="4" t="s">
        <v>287</v>
      </c>
      <c r="DG197" s="6">
        <f>0</f>
        <v>0</v>
      </c>
      <c r="DI197" s="4" t="s">
        <v>414</v>
      </c>
      <c r="DJ197" s="4" t="s">
        <v>241</v>
      </c>
      <c r="DK197" s="4" t="s">
        <v>241</v>
      </c>
      <c r="DL197" s="4" t="s">
        <v>241</v>
      </c>
      <c r="DP197" s="4" t="s">
        <v>241</v>
      </c>
      <c r="DQ197" s="4" t="s">
        <v>241</v>
      </c>
      <c r="DR197" s="4" t="s">
        <v>241</v>
      </c>
      <c r="DS197" s="4" t="s">
        <v>241</v>
      </c>
      <c r="DV197" s="4" t="s">
        <v>5131</v>
      </c>
      <c r="DW197" s="4" t="s">
        <v>1803</v>
      </c>
      <c r="HO197" s="4" t="s">
        <v>267</v>
      </c>
    </row>
    <row r="198" spans="1:223" ht="19.5" customHeight="1" x14ac:dyDescent="0.4">
      <c r="A198" s="4">
        <v>1</v>
      </c>
      <c r="B198" s="4" t="s">
        <v>239</v>
      </c>
      <c r="C198" s="4">
        <v>909</v>
      </c>
      <c r="D198" s="4">
        <v>1</v>
      </c>
      <c r="E198" s="4">
        <v>1</v>
      </c>
      <c r="F198" s="4" t="s">
        <v>240</v>
      </c>
      <c r="G198" s="4" t="s">
        <v>241</v>
      </c>
      <c r="H198" s="4" t="s">
        <v>241</v>
      </c>
      <c r="I198" s="4" t="s">
        <v>5129</v>
      </c>
      <c r="J198" s="4" t="s">
        <v>4219</v>
      </c>
      <c r="K198" s="4" t="s">
        <v>251</v>
      </c>
      <c r="L198" s="4" t="s">
        <v>5128</v>
      </c>
      <c r="M198" s="5" t="s">
        <v>5144</v>
      </c>
      <c r="N198" s="6">
        <f>419</f>
        <v>419</v>
      </c>
      <c r="O198" s="4" t="s">
        <v>265</v>
      </c>
      <c r="P198" s="6">
        <f>1975166</f>
        <v>1975166</v>
      </c>
      <c r="Q198" s="6">
        <f>0</f>
        <v>0</v>
      </c>
      <c r="S198" s="6">
        <f>0</f>
        <v>0</v>
      </c>
      <c r="T198" s="6">
        <f>1975166</f>
        <v>1975166</v>
      </c>
      <c r="U198" s="5" t="s">
        <v>5143</v>
      </c>
      <c r="V198" s="4" t="s">
        <v>270</v>
      </c>
      <c r="W198" s="4" t="s">
        <v>242</v>
      </c>
      <c r="X198" s="4" t="s">
        <v>273</v>
      </c>
      <c r="Y198" s="4" t="s">
        <v>241</v>
      </c>
      <c r="AB198" s="4" t="s">
        <v>241</v>
      </c>
      <c r="AD198" s="5" t="s">
        <v>241</v>
      </c>
      <c r="AG198" s="5" t="s">
        <v>246</v>
      </c>
      <c r="AH198" s="4" t="s">
        <v>241</v>
      </c>
      <c r="AI198" s="4" t="s">
        <v>247</v>
      </c>
      <c r="AJ198" s="4" t="s">
        <v>248</v>
      </c>
      <c r="AZ198" s="4" t="s">
        <v>249</v>
      </c>
      <c r="BA198" s="4" t="s">
        <v>241</v>
      </c>
      <c r="BB198" s="4" t="s">
        <v>250</v>
      </c>
      <c r="BC198" s="4" t="s">
        <v>241</v>
      </c>
      <c r="BD198" s="4" t="s">
        <v>252</v>
      </c>
      <c r="BE198" s="4" t="s">
        <v>241</v>
      </c>
      <c r="BI198" s="4" t="s">
        <v>253</v>
      </c>
      <c r="BJ198" s="5" t="s">
        <v>246</v>
      </c>
      <c r="BK198" s="4" t="s">
        <v>254</v>
      </c>
      <c r="BL198" s="4" t="s">
        <v>255</v>
      </c>
      <c r="BM198" s="4" t="s">
        <v>241</v>
      </c>
      <c r="BN198" s="6">
        <f>0</f>
        <v>0</v>
      </c>
      <c r="BO198" s="6">
        <f>0</f>
        <v>0</v>
      </c>
      <c r="BP198" s="4" t="s">
        <v>256</v>
      </c>
      <c r="BQ198" s="4" t="s">
        <v>257</v>
      </c>
      <c r="CE198" s="4" t="s">
        <v>241</v>
      </c>
      <c r="CF198" s="4" t="s">
        <v>241</v>
      </c>
      <c r="CJ198" s="4" t="s">
        <v>286</v>
      </c>
      <c r="CK198" s="4" t="s">
        <v>259</v>
      </c>
      <c r="CL198" s="4" t="s">
        <v>241</v>
      </c>
      <c r="CO198" s="5" t="s">
        <v>260</v>
      </c>
      <c r="CP198" s="4" t="s">
        <v>241</v>
      </c>
      <c r="CQ198" s="4" t="s">
        <v>261</v>
      </c>
      <c r="CR198" s="4" t="s">
        <v>241</v>
      </c>
      <c r="CS198" s="4" t="s">
        <v>241</v>
      </c>
      <c r="CT198" s="4">
        <v>0</v>
      </c>
      <c r="CU198" s="4" t="s">
        <v>262</v>
      </c>
      <c r="CV198" s="4" t="s">
        <v>263</v>
      </c>
      <c r="CW198" s="4" t="s">
        <v>263</v>
      </c>
      <c r="CX198" s="4" t="s">
        <v>264</v>
      </c>
      <c r="DA198" s="6">
        <f>1975166</f>
        <v>1975166</v>
      </c>
      <c r="DC198" s="4" t="s">
        <v>414</v>
      </c>
      <c r="DD198" s="4" t="s">
        <v>241</v>
      </c>
      <c r="DF198" s="4" t="s">
        <v>414</v>
      </c>
      <c r="DG198" s="6">
        <f>419</f>
        <v>419</v>
      </c>
      <c r="DI198" s="4" t="s">
        <v>414</v>
      </c>
      <c r="DJ198" s="4" t="s">
        <v>241</v>
      </c>
      <c r="DK198" s="4" t="s">
        <v>241</v>
      </c>
      <c r="DL198" s="4" t="s">
        <v>241</v>
      </c>
      <c r="DP198" s="4" t="s">
        <v>241</v>
      </c>
      <c r="DQ198" s="4" t="s">
        <v>241</v>
      </c>
      <c r="DR198" s="4" t="s">
        <v>241</v>
      </c>
      <c r="DS198" s="4" t="s">
        <v>241</v>
      </c>
      <c r="DV198" s="4" t="s">
        <v>5131</v>
      </c>
      <c r="DW198" s="4" t="s">
        <v>1777</v>
      </c>
      <c r="HO198" s="4" t="s">
        <v>267</v>
      </c>
    </row>
    <row r="199" spans="1:223" ht="19.5" customHeight="1" x14ac:dyDescent="0.4">
      <c r="A199" s="4">
        <v>1</v>
      </c>
      <c r="B199" s="4" t="s">
        <v>239</v>
      </c>
      <c r="C199" s="4">
        <v>910</v>
      </c>
      <c r="D199" s="4">
        <v>1</v>
      </c>
      <c r="E199" s="4">
        <v>1</v>
      </c>
      <c r="F199" s="4" t="s">
        <v>240</v>
      </c>
      <c r="G199" s="4" t="s">
        <v>241</v>
      </c>
      <c r="H199" s="4" t="s">
        <v>241</v>
      </c>
      <c r="I199" s="4" t="s">
        <v>5125</v>
      </c>
      <c r="J199" s="4" t="s">
        <v>4219</v>
      </c>
      <c r="K199" s="4" t="s">
        <v>251</v>
      </c>
      <c r="L199" s="4" t="s">
        <v>5124</v>
      </c>
      <c r="M199" s="5" t="s">
        <v>5126</v>
      </c>
      <c r="N199" s="6">
        <f>18083</f>
        <v>18083</v>
      </c>
      <c r="O199" s="4" t="s">
        <v>265</v>
      </c>
      <c r="P199" s="6">
        <f>343577</f>
        <v>343577</v>
      </c>
      <c r="Q199" s="6">
        <f>0</f>
        <v>0</v>
      </c>
      <c r="S199" s="6">
        <f>0</f>
        <v>0</v>
      </c>
      <c r="T199" s="6">
        <f>343577</f>
        <v>343577</v>
      </c>
      <c r="U199" s="5" t="s">
        <v>245</v>
      </c>
      <c r="V199" s="4" t="s">
        <v>270</v>
      </c>
      <c r="W199" s="4" t="s">
        <v>242</v>
      </c>
      <c r="X199" s="4" t="s">
        <v>273</v>
      </c>
      <c r="Y199" s="4" t="s">
        <v>241</v>
      </c>
      <c r="AB199" s="4" t="s">
        <v>241</v>
      </c>
      <c r="AD199" s="5" t="s">
        <v>241</v>
      </c>
      <c r="AG199" s="5" t="s">
        <v>246</v>
      </c>
      <c r="AH199" s="4" t="s">
        <v>241</v>
      </c>
      <c r="AI199" s="4" t="s">
        <v>247</v>
      </c>
      <c r="AJ199" s="4" t="s">
        <v>248</v>
      </c>
      <c r="AZ199" s="4" t="s">
        <v>249</v>
      </c>
      <c r="BA199" s="4" t="s">
        <v>241</v>
      </c>
      <c r="BB199" s="4" t="s">
        <v>250</v>
      </c>
      <c r="BC199" s="4" t="s">
        <v>241</v>
      </c>
      <c r="BD199" s="4" t="s">
        <v>252</v>
      </c>
      <c r="BE199" s="4" t="s">
        <v>241</v>
      </c>
      <c r="BG199" s="4" t="s">
        <v>4227</v>
      </c>
      <c r="BI199" s="4" t="s">
        <v>253</v>
      </c>
      <c r="BJ199" s="5" t="s">
        <v>246</v>
      </c>
      <c r="BK199" s="4" t="s">
        <v>254</v>
      </c>
      <c r="BL199" s="4" t="s">
        <v>255</v>
      </c>
      <c r="BM199" s="4" t="s">
        <v>241</v>
      </c>
      <c r="BN199" s="6">
        <f>0</f>
        <v>0</v>
      </c>
      <c r="BO199" s="6">
        <f>0</f>
        <v>0</v>
      </c>
      <c r="BP199" s="4" t="s">
        <v>256</v>
      </c>
      <c r="BQ199" s="4" t="s">
        <v>257</v>
      </c>
      <c r="CE199" s="4" t="s">
        <v>241</v>
      </c>
      <c r="CF199" s="4" t="s">
        <v>241</v>
      </c>
      <c r="CJ199" s="4" t="s">
        <v>258</v>
      </c>
      <c r="CK199" s="4" t="s">
        <v>259</v>
      </c>
      <c r="CL199" s="4" t="s">
        <v>241</v>
      </c>
      <c r="CO199" s="5" t="s">
        <v>260</v>
      </c>
      <c r="CP199" s="4" t="s">
        <v>241</v>
      </c>
      <c r="CQ199" s="4" t="s">
        <v>261</v>
      </c>
      <c r="CR199" s="4" t="s">
        <v>241</v>
      </c>
      <c r="CS199" s="4" t="s">
        <v>241</v>
      </c>
      <c r="CT199" s="4">
        <v>0</v>
      </c>
      <c r="CU199" s="4" t="s">
        <v>262</v>
      </c>
      <c r="CV199" s="4" t="s">
        <v>263</v>
      </c>
      <c r="CW199" s="4" t="s">
        <v>263</v>
      </c>
      <c r="CX199" s="4" t="s">
        <v>264</v>
      </c>
      <c r="DA199" s="6">
        <f>343577</f>
        <v>343577</v>
      </c>
      <c r="DC199" s="4" t="s">
        <v>970</v>
      </c>
      <c r="DD199" s="4" t="s">
        <v>241</v>
      </c>
      <c r="DF199" s="4" t="s">
        <v>287</v>
      </c>
      <c r="DG199" s="6">
        <f>0</f>
        <v>0</v>
      </c>
      <c r="DI199" s="4" t="s">
        <v>970</v>
      </c>
      <c r="DJ199" s="4" t="s">
        <v>241</v>
      </c>
      <c r="DK199" s="4" t="s">
        <v>241</v>
      </c>
      <c r="DL199" s="4" t="s">
        <v>241</v>
      </c>
      <c r="DP199" s="4" t="s">
        <v>241</v>
      </c>
      <c r="DQ199" s="4" t="s">
        <v>241</v>
      </c>
      <c r="DR199" s="4" t="s">
        <v>241</v>
      </c>
      <c r="DS199" s="4" t="s">
        <v>241</v>
      </c>
      <c r="DV199" s="4" t="s">
        <v>5127</v>
      </c>
      <c r="DW199" s="4" t="s">
        <v>267</v>
      </c>
      <c r="HO199" s="4" t="s">
        <v>267</v>
      </c>
    </row>
    <row r="200" spans="1:223" ht="19.5" customHeight="1" x14ac:dyDescent="0.4">
      <c r="A200" s="4">
        <v>1</v>
      </c>
      <c r="B200" s="4" t="s">
        <v>239</v>
      </c>
      <c r="C200" s="4">
        <v>911</v>
      </c>
      <c r="D200" s="4">
        <v>1</v>
      </c>
      <c r="E200" s="4">
        <v>1</v>
      </c>
      <c r="F200" s="4" t="s">
        <v>240</v>
      </c>
      <c r="G200" s="4" t="s">
        <v>241</v>
      </c>
      <c r="H200" s="4" t="s">
        <v>241</v>
      </c>
      <c r="I200" s="4" t="s">
        <v>5125</v>
      </c>
      <c r="J200" s="4" t="s">
        <v>4219</v>
      </c>
      <c r="K200" s="4" t="s">
        <v>251</v>
      </c>
      <c r="L200" s="4" t="s">
        <v>5124</v>
      </c>
      <c r="M200" s="5" t="s">
        <v>5506</v>
      </c>
      <c r="N200" s="6">
        <f>13</f>
        <v>13</v>
      </c>
      <c r="O200" s="4" t="s">
        <v>265</v>
      </c>
      <c r="P200" s="6">
        <f>364</f>
        <v>364</v>
      </c>
      <c r="Q200" s="6">
        <f>0</f>
        <v>0</v>
      </c>
      <c r="S200" s="6">
        <f>0</f>
        <v>0</v>
      </c>
      <c r="T200" s="6">
        <f>364</f>
        <v>364</v>
      </c>
      <c r="U200" s="5" t="s">
        <v>245</v>
      </c>
      <c r="V200" s="4" t="s">
        <v>270</v>
      </c>
      <c r="W200" s="4" t="s">
        <v>242</v>
      </c>
      <c r="X200" s="4" t="s">
        <v>273</v>
      </c>
      <c r="Y200" s="4" t="s">
        <v>241</v>
      </c>
      <c r="AB200" s="4" t="s">
        <v>241</v>
      </c>
      <c r="AD200" s="5" t="s">
        <v>241</v>
      </c>
      <c r="AG200" s="5" t="s">
        <v>246</v>
      </c>
      <c r="AH200" s="4" t="s">
        <v>241</v>
      </c>
      <c r="AI200" s="4" t="s">
        <v>247</v>
      </c>
      <c r="AJ200" s="4" t="s">
        <v>248</v>
      </c>
      <c r="AZ200" s="4" t="s">
        <v>249</v>
      </c>
      <c r="BA200" s="4" t="s">
        <v>241</v>
      </c>
      <c r="BB200" s="4" t="s">
        <v>250</v>
      </c>
      <c r="BC200" s="4" t="s">
        <v>241</v>
      </c>
      <c r="BD200" s="4" t="s">
        <v>252</v>
      </c>
      <c r="BE200" s="4" t="s">
        <v>241</v>
      </c>
      <c r="BI200" s="4" t="s">
        <v>253</v>
      </c>
      <c r="BJ200" s="5" t="s">
        <v>246</v>
      </c>
      <c r="BK200" s="4" t="s">
        <v>254</v>
      </c>
      <c r="BL200" s="4" t="s">
        <v>255</v>
      </c>
      <c r="BM200" s="4" t="s">
        <v>241</v>
      </c>
      <c r="BN200" s="6">
        <f>0</f>
        <v>0</v>
      </c>
      <c r="BO200" s="6">
        <f>0</f>
        <v>0</v>
      </c>
      <c r="BP200" s="4" t="s">
        <v>256</v>
      </c>
      <c r="BQ200" s="4" t="s">
        <v>257</v>
      </c>
      <c r="CE200" s="4" t="s">
        <v>241</v>
      </c>
      <c r="CF200" s="4" t="s">
        <v>241</v>
      </c>
      <c r="CJ200" s="4" t="s">
        <v>258</v>
      </c>
      <c r="CK200" s="4" t="s">
        <v>259</v>
      </c>
      <c r="CL200" s="4" t="s">
        <v>241</v>
      </c>
      <c r="CO200" s="5" t="s">
        <v>260</v>
      </c>
      <c r="CP200" s="4" t="s">
        <v>241</v>
      </c>
      <c r="CQ200" s="4" t="s">
        <v>261</v>
      </c>
      <c r="CR200" s="4" t="s">
        <v>241</v>
      </c>
      <c r="CS200" s="4" t="s">
        <v>241</v>
      </c>
      <c r="CT200" s="4">
        <v>0</v>
      </c>
      <c r="CU200" s="4" t="s">
        <v>262</v>
      </c>
      <c r="CV200" s="4" t="s">
        <v>263</v>
      </c>
      <c r="CW200" s="4" t="s">
        <v>263</v>
      </c>
      <c r="CX200" s="4" t="s">
        <v>264</v>
      </c>
      <c r="DA200" s="6">
        <f>364</f>
        <v>364</v>
      </c>
      <c r="DC200" s="4" t="s">
        <v>324</v>
      </c>
      <c r="DD200" s="4" t="s">
        <v>241</v>
      </c>
      <c r="DF200" s="4" t="s">
        <v>287</v>
      </c>
      <c r="DG200" s="6">
        <f>0</f>
        <v>0</v>
      </c>
      <c r="DI200" s="4" t="s">
        <v>324</v>
      </c>
      <c r="DJ200" s="4" t="s">
        <v>241</v>
      </c>
      <c r="DK200" s="4" t="s">
        <v>241</v>
      </c>
      <c r="DL200" s="4" t="s">
        <v>241</v>
      </c>
      <c r="DP200" s="4" t="s">
        <v>241</v>
      </c>
      <c r="DQ200" s="4" t="s">
        <v>241</v>
      </c>
      <c r="DR200" s="4" t="s">
        <v>241</v>
      </c>
      <c r="DS200" s="4" t="s">
        <v>241</v>
      </c>
      <c r="DV200" s="4" t="s">
        <v>5127</v>
      </c>
      <c r="DW200" s="4" t="s">
        <v>416</v>
      </c>
      <c r="HO200" s="4" t="s">
        <v>267</v>
      </c>
    </row>
    <row r="201" spans="1:223" ht="19.5" customHeight="1" x14ac:dyDescent="0.4">
      <c r="A201" s="4">
        <v>1</v>
      </c>
      <c r="B201" s="4" t="s">
        <v>239</v>
      </c>
      <c r="C201" s="4">
        <v>912</v>
      </c>
      <c r="D201" s="4">
        <v>1</v>
      </c>
      <c r="E201" s="4">
        <v>1</v>
      </c>
      <c r="F201" s="4" t="s">
        <v>240</v>
      </c>
      <c r="G201" s="4" t="s">
        <v>241</v>
      </c>
      <c r="H201" s="4" t="s">
        <v>241</v>
      </c>
      <c r="I201" s="4" t="s">
        <v>5118</v>
      </c>
      <c r="J201" s="4" t="s">
        <v>3152</v>
      </c>
      <c r="K201" s="4" t="s">
        <v>251</v>
      </c>
      <c r="L201" s="4" t="s">
        <v>5117</v>
      </c>
      <c r="M201" s="5" t="s">
        <v>5119</v>
      </c>
      <c r="N201" s="6">
        <f>2441.32</f>
        <v>2441.3200000000002</v>
      </c>
      <c r="O201" s="4" t="s">
        <v>265</v>
      </c>
      <c r="P201" s="6">
        <f>22216012</f>
        <v>22216012</v>
      </c>
      <c r="Q201" s="6">
        <f>0</f>
        <v>0</v>
      </c>
      <c r="S201" s="6">
        <f>0</f>
        <v>0</v>
      </c>
      <c r="T201" s="6">
        <f>22216012</f>
        <v>22216012</v>
      </c>
      <c r="U201" s="5" t="s">
        <v>245</v>
      </c>
      <c r="V201" s="4" t="s">
        <v>270</v>
      </c>
      <c r="W201" s="4" t="s">
        <v>242</v>
      </c>
      <c r="X201" s="4" t="s">
        <v>273</v>
      </c>
      <c r="Y201" s="4" t="s">
        <v>241</v>
      </c>
      <c r="AB201" s="4" t="s">
        <v>241</v>
      </c>
      <c r="AD201" s="5" t="s">
        <v>241</v>
      </c>
      <c r="AG201" s="5" t="s">
        <v>246</v>
      </c>
      <c r="AH201" s="4" t="s">
        <v>241</v>
      </c>
      <c r="AI201" s="4" t="s">
        <v>247</v>
      </c>
      <c r="AJ201" s="4" t="s">
        <v>248</v>
      </c>
      <c r="AZ201" s="4" t="s">
        <v>249</v>
      </c>
      <c r="BA201" s="4" t="s">
        <v>241</v>
      </c>
      <c r="BB201" s="4" t="s">
        <v>250</v>
      </c>
      <c r="BC201" s="4" t="s">
        <v>241</v>
      </c>
      <c r="BD201" s="4" t="s">
        <v>252</v>
      </c>
      <c r="BE201" s="4" t="s">
        <v>241</v>
      </c>
      <c r="BG201" s="4" t="s">
        <v>4227</v>
      </c>
      <c r="BI201" s="4" t="s">
        <v>253</v>
      </c>
      <c r="BJ201" s="5" t="s">
        <v>246</v>
      </c>
      <c r="BK201" s="4" t="s">
        <v>254</v>
      </c>
      <c r="BL201" s="4" t="s">
        <v>255</v>
      </c>
      <c r="BM201" s="4" t="s">
        <v>241</v>
      </c>
      <c r="BN201" s="6">
        <f>0</f>
        <v>0</v>
      </c>
      <c r="BO201" s="6">
        <f>0</f>
        <v>0</v>
      </c>
      <c r="BP201" s="4" t="s">
        <v>256</v>
      </c>
      <c r="BQ201" s="4" t="s">
        <v>257</v>
      </c>
      <c r="CE201" s="4" t="s">
        <v>241</v>
      </c>
      <c r="CF201" s="4" t="s">
        <v>241</v>
      </c>
      <c r="CJ201" s="4" t="s">
        <v>258</v>
      </c>
      <c r="CK201" s="4" t="s">
        <v>259</v>
      </c>
      <c r="CL201" s="4" t="s">
        <v>241</v>
      </c>
      <c r="CO201" s="5" t="s">
        <v>260</v>
      </c>
      <c r="CP201" s="4" t="s">
        <v>241</v>
      </c>
      <c r="CQ201" s="4" t="s">
        <v>261</v>
      </c>
      <c r="CR201" s="4" t="s">
        <v>241</v>
      </c>
      <c r="CS201" s="4" t="s">
        <v>241</v>
      </c>
      <c r="CT201" s="4">
        <v>0</v>
      </c>
      <c r="CU201" s="4" t="s">
        <v>262</v>
      </c>
      <c r="CV201" s="4" t="s">
        <v>263</v>
      </c>
      <c r="CW201" s="4" t="s">
        <v>263</v>
      </c>
      <c r="CX201" s="4" t="s">
        <v>264</v>
      </c>
      <c r="DA201" s="6">
        <f>22216012</f>
        <v>22216012</v>
      </c>
      <c r="DC201" s="4" t="s">
        <v>266</v>
      </c>
      <c r="DD201" s="4" t="s">
        <v>241</v>
      </c>
      <c r="DF201" s="4" t="s">
        <v>287</v>
      </c>
      <c r="DG201" s="6">
        <f>0</f>
        <v>0</v>
      </c>
      <c r="DI201" s="4" t="s">
        <v>266</v>
      </c>
      <c r="DJ201" s="4" t="s">
        <v>241</v>
      </c>
      <c r="DK201" s="4" t="s">
        <v>241</v>
      </c>
      <c r="DL201" s="4" t="s">
        <v>241</v>
      </c>
      <c r="DP201" s="4" t="s">
        <v>241</v>
      </c>
      <c r="DQ201" s="4" t="s">
        <v>241</v>
      </c>
      <c r="DR201" s="4" t="s">
        <v>241</v>
      </c>
      <c r="DS201" s="4" t="s">
        <v>241</v>
      </c>
      <c r="DV201" s="4" t="s">
        <v>5120</v>
      </c>
      <c r="DW201" s="4" t="s">
        <v>267</v>
      </c>
      <c r="HO201" s="4" t="s">
        <v>267</v>
      </c>
    </row>
    <row r="202" spans="1:223" ht="19.5" customHeight="1" x14ac:dyDescent="0.4">
      <c r="A202" s="4">
        <v>1</v>
      </c>
      <c r="B202" s="4" t="s">
        <v>239</v>
      </c>
      <c r="C202" s="4">
        <v>913</v>
      </c>
      <c r="D202" s="4">
        <v>1</v>
      </c>
      <c r="E202" s="4">
        <v>1</v>
      </c>
      <c r="F202" s="4" t="s">
        <v>240</v>
      </c>
      <c r="G202" s="4" t="s">
        <v>241</v>
      </c>
      <c r="H202" s="4" t="s">
        <v>241</v>
      </c>
      <c r="I202" s="4" t="s">
        <v>5118</v>
      </c>
      <c r="J202" s="4" t="s">
        <v>3152</v>
      </c>
      <c r="K202" s="4" t="s">
        <v>251</v>
      </c>
      <c r="L202" s="4" t="s">
        <v>5117</v>
      </c>
      <c r="M202" s="5" t="s">
        <v>5121</v>
      </c>
      <c r="N202" s="6">
        <f>1181.34</f>
        <v>1181.3399999999999</v>
      </c>
      <c r="O202" s="4" t="s">
        <v>265</v>
      </c>
      <c r="P202" s="6">
        <f>10750194</f>
        <v>10750194</v>
      </c>
      <c r="Q202" s="6">
        <f>0</f>
        <v>0</v>
      </c>
      <c r="S202" s="6">
        <f>0</f>
        <v>0</v>
      </c>
      <c r="T202" s="6">
        <f>10750194</f>
        <v>10750194</v>
      </c>
      <c r="U202" s="5" t="s">
        <v>245</v>
      </c>
      <c r="V202" s="4" t="s">
        <v>270</v>
      </c>
      <c r="W202" s="4" t="s">
        <v>242</v>
      </c>
      <c r="X202" s="4" t="s">
        <v>273</v>
      </c>
      <c r="Y202" s="4" t="s">
        <v>241</v>
      </c>
      <c r="AB202" s="4" t="s">
        <v>241</v>
      </c>
      <c r="AD202" s="5" t="s">
        <v>241</v>
      </c>
      <c r="AG202" s="5" t="s">
        <v>246</v>
      </c>
      <c r="AH202" s="4" t="s">
        <v>241</v>
      </c>
      <c r="AI202" s="4" t="s">
        <v>247</v>
      </c>
      <c r="AJ202" s="4" t="s">
        <v>248</v>
      </c>
      <c r="AZ202" s="4" t="s">
        <v>249</v>
      </c>
      <c r="BA202" s="4" t="s">
        <v>241</v>
      </c>
      <c r="BB202" s="4" t="s">
        <v>250</v>
      </c>
      <c r="BC202" s="4" t="s">
        <v>241</v>
      </c>
      <c r="BD202" s="4" t="s">
        <v>252</v>
      </c>
      <c r="BE202" s="4" t="s">
        <v>241</v>
      </c>
      <c r="BI202" s="4" t="s">
        <v>253</v>
      </c>
      <c r="BJ202" s="5" t="s">
        <v>246</v>
      </c>
      <c r="BK202" s="4" t="s">
        <v>254</v>
      </c>
      <c r="BL202" s="4" t="s">
        <v>255</v>
      </c>
      <c r="BM202" s="4" t="s">
        <v>241</v>
      </c>
      <c r="BN202" s="6">
        <f>0</f>
        <v>0</v>
      </c>
      <c r="BO202" s="6">
        <f>0</f>
        <v>0</v>
      </c>
      <c r="BP202" s="4" t="s">
        <v>256</v>
      </c>
      <c r="BQ202" s="4" t="s">
        <v>257</v>
      </c>
      <c r="CE202" s="4" t="s">
        <v>241</v>
      </c>
      <c r="CF202" s="4" t="s">
        <v>241</v>
      </c>
      <c r="CJ202" s="4" t="s">
        <v>258</v>
      </c>
      <c r="CK202" s="4" t="s">
        <v>259</v>
      </c>
      <c r="CL202" s="4" t="s">
        <v>241</v>
      </c>
      <c r="CO202" s="5" t="s">
        <v>260</v>
      </c>
      <c r="CP202" s="4" t="s">
        <v>241</v>
      </c>
      <c r="CQ202" s="4" t="s">
        <v>261</v>
      </c>
      <c r="CR202" s="4" t="s">
        <v>241</v>
      </c>
      <c r="CS202" s="4" t="s">
        <v>241</v>
      </c>
      <c r="CT202" s="4">
        <v>0</v>
      </c>
      <c r="CU202" s="4" t="s">
        <v>262</v>
      </c>
      <c r="CV202" s="4" t="s">
        <v>263</v>
      </c>
      <c r="CW202" s="4" t="s">
        <v>263</v>
      </c>
      <c r="CX202" s="4" t="s">
        <v>264</v>
      </c>
      <c r="DA202" s="6">
        <f>10750194</f>
        <v>10750194</v>
      </c>
      <c r="DC202" s="4" t="s">
        <v>266</v>
      </c>
      <c r="DD202" s="4" t="s">
        <v>241</v>
      </c>
      <c r="DF202" s="4" t="s">
        <v>287</v>
      </c>
      <c r="DG202" s="6">
        <f>0</f>
        <v>0</v>
      </c>
      <c r="DH202" s="5" t="s">
        <v>5122</v>
      </c>
      <c r="DI202" s="4" t="s">
        <v>266</v>
      </c>
      <c r="DJ202" s="4" t="s">
        <v>241</v>
      </c>
      <c r="DK202" s="4" t="s">
        <v>241</v>
      </c>
      <c r="DL202" s="4" t="s">
        <v>241</v>
      </c>
      <c r="DP202" s="4" t="s">
        <v>241</v>
      </c>
      <c r="DQ202" s="4" t="s">
        <v>241</v>
      </c>
      <c r="DR202" s="4" t="s">
        <v>241</v>
      </c>
      <c r="DS202" s="4" t="s">
        <v>241</v>
      </c>
      <c r="DV202" s="4" t="s">
        <v>5120</v>
      </c>
      <c r="DW202" s="4" t="s">
        <v>416</v>
      </c>
      <c r="HO202" s="4" t="s">
        <v>267</v>
      </c>
    </row>
    <row r="203" spans="1:223" ht="19.5" customHeight="1" x14ac:dyDescent="0.4">
      <c r="A203" s="4">
        <v>1</v>
      </c>
      <c r="B203" s="4" t="s">
        <v>239</v>
      </c>
      <c r="C203" s="4">
        <v>914</v>
      </c>
      <c r="D203" s="4">
        <v>1</v>
      </c>
      <c r="E203" s="4">
        <v>1</v>
      </c>
      <c r="F203" s="4" t="s">
        <v>240</v>
      </c>
      <c r="G203" s="4" t="s">
        <v>241</v>
      </c>
      <c r="H203" s="4" t="s">
        <v>241</v>
      </c>
      <c r="I203" s="4" t="s">
        <v>5118</v>
      </c>
      <c r="J203" s="4" t="s">
        <v>3152</v>
      </c>
      <c r="K203" s="4" t="s">
        <v>251</v>
      </c>
      <c r="L203" s="4" t="s">
        <v>5117</v>
      </c>
      <c r="M203" s="5" t="s">
        <v>5123</v>
      </c>
      <c r="N203" s="6">
        <f>702.13</f>
        <v>702.13</v>
      </c>
      <c r="O203" s="4" t="s">
        <v>265</v>
      </c>
      <c r="P203" s="6">
        <f>6389383</f>
        <v>6389383</v>
      </c>
      <c r="Q203" s="6">
        <f>0</f>
        <v>0</v>
      </c>
      <c r="S203" s="6">
        <f>0</f>
        <v>0</v>
      </c>
      <c r="T203" s="6">
        <f>6389383</f>
        <v>6389383</v>
      </c>
      <c r="U203" s="5" t="s">
        <v>245</v>
      </c>
      <c r="V203" s="4" t="s">
        <v>270</v>
      </c>
      <c r="W203" s="4" t="s">
        <v>242</v>
      </c>
      <c r="X203" s="4" t="s">
        <v>273</v>
      </c>
      <c r="Y203" s="4" t="s">
        <v>241</v>
      </c>
      <c r="AB203" s="4" t="s">
        <v>241</v>
      </c>
      <c r="AD203" s="5" t="s">
        <v>241</v>
      </c>
      <c r="AG203" s="5" t="s">
        <v>246</v>
      </c>
      <c r="AH203" s="4" t="s">
        <v>241</v>
      </c>
      <c r="AI203" s="4" t="s">
        <v>247</v>
      </c>
      <c r="AJ203" s="4" t="s">
        <v>248</v>
      </c>
      <c r="AZ203" s="4" t="s">
        <v>249</v>
      </c>
      <c r="BA203" s="4" t="s">
        <v>241</v>
      </c>
      <c r="BB203" s="4" t="s">
        <v>250</v>
      </c>
      <c r="BC203" s="4" t="s">
        <v>241</v>
      </c>
      <c r="BD203" s="4" t="s">
        <v>252</v>
      </c>
      <c r="BE203" s="4" t="s">
        <v>241</v>
      </c>
      <c r="BI203" s="4" t="s">
        <v>253</v>
      </c>
      <c r="BJ203" s="5" t="s">
        <v>246</v>
      </c>
      <c r="BK203" s="4" t="s">
        <v>254</v>
      </c>
      <c r="BL203" s="4" t="s">
        <v>255</v>
      </c>
      <c r="BM203" s="4" t="s">
        <v>241</v>
      </c>
      <c r="BN203" s="6">
        <f>0</f>
        <v>0</v>
      </c>
      <c r="BO203" s="6">
        <f>0</f>
        <v>0</v>
      </c>
      <c r="BP203" s="4" t="s">
        <v>256</v>
      </c>
      <c r="BQ203" s="4" t="s">
        <v>257</v>
      </c>
      <c r="CE203" s="4" t="s">
        <v>241</v>
      </c>
      <c r="CF203" s="4" t="s">
        <v>241</v>
      </c>
      <c r="CJ203" s="4" t="s">
        <v>258</v>
      </c>
      <c r="CK203" s="4" t="s">
        <v>259</v>
      </c>
      <c r="CL203" s="4" t="s">
        <v>241</v>
      </c>
      <c r="CO203" s="5" t="s">
        <v>260</v>
      </c>
      <c r="CP203" s="4" t="s">
        <v>241</v>
      </c>
      <c r="CQ203" s="4" t="s">
        <v>261</v>
      </c>
      <c r="CR203" s="4" t="s">
        <v>241</v>
      </c>
      <c r="CS203" s="4" t="s">
        <v>241</v>
      </c>
      <c r="CT203" s="4">
        <v>0</v>
      </c>
      <c r="CU203" s="4" t="s">
        <v>262</v>
      </c>
      <c r="CV203" s="4" t="s">
        <v>263</v>
      </c>
      <c r="CW203" s="4" t="s">
        <v>263</v>
      </c>
      <c r="CX203" s="4" t="s">
        <v>264</v>
      </c>
      <c r="DA203" s="6">
        <f>6389383</f>
        <v>6389383</v>
      </c>
      <c r="DC203" s="4" t="s">
        <v>266</v>
      </c>
      <c r="DD203" s="4" t="s">
        <v>241</v>
      </c>
      <c r="DF203" s="4" t="s">
        <v>287</v>
      </c>
      <c r="DG203" s="6">
        <f>0</f>
        <v>0</v>
      </c>
      <c r="DI203" s="4" t="s">
        <v>266</v>
      </c>
      <c r="DJ203" s="4" t="s">
        <v>241</v>
      </c>
      <c r="DK203" s="4" t="s">
        <v>241</v>
      </c>
      <c r="DL203" s="4" t="s">
        <v>241</v>
      </c>
      <c r="DP203" s="4" t="s">
        <v>241</v>
      </c>
      <c r="DQ203" s="4" t="s">
        <v>241</v>
      </c>
      <c r="DR203" s="4" t="s">
        <v>241</v>
      </c>
      <c r="DS203" s="4" t="s">
        <v>241</v>
      </c>
      <c r="DV203" s="4" t="s">
        <v>5120</v>
      </c>
      <c r="DW203" s="4" t="s">
        <v>388</v>
      </c>
      <c r="HO203" s="4" t="s">
        <v>267</v>
      </c>
    </row>
    <row r="204" spans="1:223" ht="19.5" customHeight="1" x14ac:dyDescent="0.4">
      <c r="A204" s="4">
        <v>1</v>
      </c>
      <c r="B204" s="4" t="s">
        <v>239</v>
      </c>
      <c r="C204" s="4">
        <v>915</v>
      </c>
      <c r="D204" s="4">
        <v>1</v>
      </c>
      <c r="E204" s="4">
        <v>1</v>
      </c>
      <c r="F204" s="4" t="s">
        <v>240</v>
      </c>
      <c r="G204" s="4" t="s">
        <v>241</v>
      </c>
      <c r="H204" s="4" t="s">
        <v>241</v>
      </c>
      <c r="I204" s="4" t="s">
        <v>5118</v>
      </c>
      <c r="J204" s="4" t="s">
        <v>3152</v>
      </c>
      <c r="K204" s="4" t="s">
        <v>251</v>
      </c>
      <c r="L204" s="4" t="s">
        <v>5117</v>
      </c>
      <c r="M204" s="5" t="s">
        <v>5505</v>
      </c>
      <c r="N204" s="6">
        <f>427.47</f>
        <v>427.47</v>
      </c>
      <c r="O204" s="4" t="s">
        <v>265</v>
      </c>
      <c r="P204" s="6">
        <f>3889977</f>
        <v>3889977</v>
      </c>
      <c r="Q204" s="6">
        <f>0</f>
        <v>0</v>
      </c>
      <c r="S204" s="6">
        <f>0</f>
        <v>0</v>
      </c>
      <c r="T204" s="6">
        <f>3889977</f>
        <v>3889977</v>
      </c>
      <c r="U204" s="5" t="s">
        <v>245</v>
      </c>
      <c r="V204" s="4" t="s">
        <v>270</v>
      </c>
      <c r="W204" s="4" t="s">
        <v>242</v>
      </c>
      <c r="X204" s="4" t="s">
        <v>273</v>
      </c>
      <c r="Y204" s="4" t="s">
        <v>241</v>
      </c>
      <c r="AB204" s="4" t="s">
        <v>241</v>
      </c>
      <c r="AD204" s="5" t="s">
        <v>241</v>
      </c>
      <c r="AG204" s="5" t="s">
        <v>246</v>
      </c>
      <c r="AH204" s="4" t="s">
        <v>241</v>
      </c>
      <c r="AI204" s="4" t="s">
        <v>247</v>
      </c>
      <c r="AJ204" s="4" t="s">
        <v>248</v>
      </c>
      <c r="AZ204" s="4" t="s">
        <v>249</v>
      </c>
      <c r="BA204" s="4" t="s">
        <v>241</v>
      </c>
      <c r="BB204" s="4" t="s">
        <v>250</v>
      </c>
      <c r="BC204" s="4" t="s">
        <v>241</v>
      </c>
      <c r="BD204" s="4" t="s">
        <v>252</v>
      </c>
      <c r="BE204" s="4" t="s">
        <v>241</v>
      </c>
      <c r="BI204" s="4" t="s">
        <v>253</v>
      </c>
      <c r="BJ204" s="5" t="s">
        <v>246</v>
      </c>
      <c r="BK204" s="4" t="s">
        <v>254</v>
      </c>
      <c r="BL204" s="4" t="s">
        <v>255</v>
      </c>
      <c r="BM204" s="4" t="s">
        <v>241</v>
      </c>
      <c r="BN204" s="6">
        <f>0</f>
        <v>0</v>
      </c>
      <c r="BO204" s="6">
        <f>0</f>
        <v>0</v>
      </c>
      <c r="BP204" s="4" t="s">
        <v>256</v>
      </c>
      <c r="BQ204" s="4" t="s">
        <v>257</v>
      </c>
      <c r="CE204" s="4" t="s">
        <v>241</v>
      </c>
      <c r="CF204" s="4" t="s">
        <v>241</v>
      </c>
      <c r="CJ204" s="4" t="s">
        <v>258</v>
      </c>
      <c r="CK204" s="4" t="s">
        <v>259</v>
      </c>
      <c r="CL204" s="4" t="s">
        <v>241</v>
      </c>
      <c r="CO204" s="5" t="s">
        <v>260</v>
      </c>
      <c r="CP204" s="4" t="s">
        <v>241</v>
      </c>
      <c r="CQ204" s="4" t="s">
        <v>261</v>
      </c>
      <c r="CR204" s="4" t="s">
        <v>241</v>
      </c>
      <c r="CS204" s="4" t="s">
        <v>241</v>
      </c>
      <c r="CT204" s="4">
        <v>0</v>
      </c>
      <c r="CU204" s="4" t="s">
        <v>262</v>
      </c>
      <c r="CV204" s="4" t="s">
        <v>263</v>
      </c>
      <c r="CW204" s="4" t="s">
        <v>263</v>
      </c>
      <c r="CX204" s="4" t="s">
        <v>264</v>
      </c>
      <c r="DA204" s="6">
        <f>3889977</f>
        <v>3889977</v>
      </c>
      <c r="DC204" s="4" t="s">
        <v>266</v>
      </c>
      <c r="DD204" s="4" t="s">
        <v>241</v>
      </c>
      <c r="DF204" s="4" t="s">
        <v>287</v>
      </c>
      <c r="DG204" s="6">
        <f>0</f>
        <v>0</v>
      </c>
      <c r="DI204" s="4" t="s">
        <v>266</v>
      </c>
      <c r="DJ204" s="4" t="s">
        <v>241</v>
      </c>
      <c r="DK204" s="4" t="s">
        <v>241</v>
      </c>
      <c r="DL204" s="4" t="s">
        <v>241</v>
      </c>
      <c r="DP204" s="4" t="s">
        <v>241</v>
      </c>
      <c r="DQ204" s="4" t="s">
        <v>241</v>
      </c>
      <c r="DR204" s="4" t="s">
        <v>241</v>
      </c>
      <c r="DS204" s="4" t="s">
        <v>241</v>
      </c>
      <c r="DV204" s="4" t="s">
        <v>5120</v>
      </c>
      <c r="DW204" s="4" t="s">
        <v>327</v>
      </c>
      <c r="HO204" s="4" t="s">
        <v>267</v>
      </c>
    </row>
    <row r="205" spans="1:223" ht="19.5" customHeight="1" x14ac:dyDescent="0.4">
      <c r="A205" s="4">
        <v>1</v>
      </c>
      <c r="B205" s="4" t="s">
        <v>239</v>
      </c>
      <c r="C205" s="4">
        <v>916</v>
      </c>
      <c r="D205" s="4">
        <v>1</v>
      </c>
      <c r="E205" s="4">
        <v>1</v>
      </c>
      <c r="F205" s="4" t="s">
        <v>240</v>
      </c>
      <c r="G205" s="4" t="s">
        <v>241</v>
      </c>
      <c r="H205" s="4" t="s">
        <v>241</v>
      </c>
      <c r="I205" s="4" t="s">
        <v>5113</v>
      </c>
      <c r="J205" s="4" t="s">
        <v>3152</v>
      </c>
      <c r="K205" s="4" t="s">
        <v>251</v>
      </c>
      <c r="L205" s="4" t="s">
        <v>5112</v>
      </c>
      <c r="M205" s="5" t="s">
        <v>5114</v>
      </c>
      <c r="N205" s="6">
        <f>279.29</f>
        <v>279.29000000000002</v>
      </c>
      <c r="O205" s="4" t="s">
        <v>265</v>
      </c>
      <c r="P205" s="6">
        <f>3379409</f>
        <v>3379409</v>
      </c>
      <c r="Q205" s="6">
        <f>0</f>
        <v>0</v>
      </c>
      <c r="S205" s="6">
        <f>0</f>
        <v>0</v>
      </c>
      <c r="T205" s="6">
        <f>3379409</f>
        <v>3379409</v>
      </c>
      <c r="U205" s="5" t="s">
        <v>245</v>
      </c>
      <c r="V205" s="4" t="s">
        <v>270</v>
      </c>
      <c r="W205" s="4" t="s">
        <v>242</v>
      </c>
      <c r="X205" s="4" t="s">
        <v>273</v>
      </c>
      <c r="Y205" s="4" t="s">
        <v>241</v>
      </c>
      <c r="AB205" s="4" t="s">
        <v>241</v>
      </c>
      <c r="AD205" s="5" t="s">
        <v>241</v>
      </c>
      <c r="AG205" s="5" t="s">
        <v>246</v>
      </c>
      <c r="AH205" s="4" t="s">
        <v>241</v>
      </c>
      <c r="AI205" s="4" t="s">
        <v>247</v>
      </c>
      <c r="AJ205" s="4" t="s">
        <v>248</v>
      </c>
      <c r="AZ205" s="4" t="s">
        <v>249</v>
      </c>
      <c r="BA205" s="4" t="s">
        <v>241</v>
      </c>
      <c r="BB205" s="4" t="s">
        <v>250</v>
      </c>
      <c r="BC205" s="4" t="s">
        <v>241</v>
      </c>
      <c r="BD205" s="4" t="s">
        <v>252</v>
      </c>
      <c r="BE205" s="4" t="s">
        <v>241</v>
      </c>
      <c r="BG205" s="4" t="s">
        <v>4227</v>
      </c>
      <c r="BI205" s="4" t="s">
        <v>253</v>
      </c>
      <c r="BJ205" s="5" t="s">
        <v>246</v>
      </c>
      <c r="BK205" s="4" t="s">
        <v>254</v>
      </c>
      <c r="BL205" s="4" t="s">
        <v>255</v>
      </c>
      <c r="BM205" s="4" t="s">
        <v>241</v>
      </c>
      <c r="BN205" s="6">
        <f>0</f>
        <v>0</v>
      </c>
      <c r="BO205" s="6">
        <f>0</f>
        <v>0</v>
      </c>
      <c r="BP205" s="4" t="s">
        <v>256</v>
      </c>
      <c r="BQ205" s="4" t="s">
        <v>257</v>
      </c>
      <c r="CE205" s="4" t="s">
        <v>241</v>
      </c>
      <c r="CF205" s="4" t="s">
        <v>241</v>
      </c>
      <c r="CJ205" s="4" t="s">
        <v>258</v>
      </c>
      <c r="CK205" s="4" t="s">
        <v>259</v>
      </c>
      <c r="CL205" s="4" t="s">
        <v>241</v>
      </c>
      <c r="CO205" s="5" t="s">
        <v>260</v>
      </c>
      <c r="CP205" s="4" t="s">
        <v>241</v>
      </c>
      <c r="CQ205" s="4" t="s">
        <v>261</v>
      </c>
      <c r="CR205" s="4" t="s">
        <v>241</v>
      </c>
      <c r="CS205" s="4" t="s">
        <v>241</v>
      </c>
      <c r="CT205" s="4">
        <v>0</v>
      </c>
      <c r="CU205" s="4" t="s">
        <v>262</v>
      </c>
      <c r="CV205" s="4" t="s">
        <v>263</v>
      </c>
      <c r="CW205" s="4" t="s">
        <v>263</v>
      </c>
      <c r="CX205" s="4" t="s">
        <v>264</v>
      </c>
      <c r="DA205" s="6">
        <f>3379409</f>
        <v>3379409</v>
      </c>
      <c r="DC205" s="4" t="s">
        <v>266</v>
      </c>
      <c r="DD205" s="4" t="s">
        <v>241</v>
      </c>
      <c r="DF205" s="4" t="s">
        <v>266</v>
      </c>
      <c r="DG205" s="6">
        <f>279.29</f>
        <v>279.29000000000002</v>
      </c>
      <c r="DI205" s="4" t="s">
        <v>266</v>
      </c>
      <c r="DJ205" s="4" t="s">
        <v>241</v>
      </c>
      <c r="DK205" s="4" t="s">
        <v>241</v>
      </c>
      <c r="DL205" s="4" t="s">
        <v>241</v>
      </c>
      <c r="DP205" s="4" t="s">
        <v>241</v>
      </c>
      <c r="DQ205" s="4" t="s">
        <v>241</v>
      </c>
      <c r="DR205" s="4" t="s">
        <v>241</v>
      </c>
      <c r="DS205" s="4" t="s">
        <v>241</v>
      </c>
      <c r="DV205" s="4" t="s">
        <v>5115</v>
      </c>
      <c r="DW205" s="4" t="s">
        <v>267</v>
      </c>
      <c r="HO205" s="4" t="s">
        <v>267</v>
      </c>
    </row>
    <row r="206" spans="1:223" ht="19.5" customHeight="1" x14ac:dyDescent="0.4">
      <c r="A206" s="4">
        <v>1</v>
      </c>
      <c r="B206" s="4" t="s">
        <v>239</v>
      </c>
      <c r="C206" s="4">
        <v>917</v>
      </c>
      <c r="D206" s="4">
        <v>1</v>
      </c>
      <c r="E206" s="4">
        <v>1</v>
      </c>
      <c r="F206" s="4" t="s">
        <v>240</v>
      </c>
      <c r="G206" s="4" t="s">
        <v>241</v>
      </c>
      <c r="H206" s="4" t="s">
        <v>241</v>
      </c>
      <c r="I206" s="4" t="s">
        <v>5113</v>
      </c>
      <c r="J206" s="4" t="s">
        <v>3152</v>
      </c>
      <c r="K206" s="4" t="s">
        <v>251</v>
      </c>
      <c r="L206" s="4" t="s">
        <v>5112</v>
      </c>
      <c r="M206" s="5" t="s">
        <v>5116</v>
      </c>
      <c r="N206" s="6">
        <f>93.21</f>
        <v>93.21</v>
      </c>
      <c r="O206" s="4" t="s">
        <v>265</v>
      </c>
      <c r="P206" s="6">
        <f>1127841</f>
        <v>1127841</v>
      </c>
      <c r="Q206" s="6">
        <f>0</f>
        <v>0</v>
      </c>
      <c r="S206" s="6">
        <f>0</f>
        <v>0</v>
      </c>
      <c r="T206" s="6">
        <f>1127841</f>
        <v>1127841</v>
      </c>
      <c r="U206" s="5" t="s">
        <v>245</v>
      </c>
      <c r="V206" s="4" t="s">
        <v>270</v>
      </c>
      <c r="W206" s="4" t="s">
        <v>242</v>
      </c>
      <c r="X206" s="4" t="s">
        <v>273</v>
      </c>
      <c r="Y206" s="4" t="s">
        <v>241</v>
      </c>
      <c r="AB206" s="4" t="s">
        <v>241</v>
      </c>
      <c r="AD206" s="5" t="s">
        <v>241</v>
      </c>
      <c r="AG206" s="5" t="s">
        <v>246</v>
      </c>
      <c r="AH206" s="4" t="s">
        <v>241</v>
      </c>
      <c r="AI206" s="4" t="s">
        <v>247</v>
      </c>
      <c r="AJ206" s="4" t="s">
        <v>248</v>
      </c>
      <c r="AZ206" s="4" t="s">
        <v>249</v>
      </c>
      <c r="BA206" s="4" t="s">
        <v>241</v>
      </c>
      <c r="BB206" s="4" t="s">
        <v>250</v>
      </c>
      <c r="BC206" s="4" t="s">
        <v>241</v>
      </c>
      <c r="BD206" s="4" t="s">
        <v>252</v>
      </c>
      <c r="BE206" s="4" t="s">
        <v>241</v>
      </c>
      <c r="BI206" s="4" t="s">
        <v>253</v>
      </c>
      <c r="BJ206" s="5" t="s">
        <v>246</v>
      </c>
      <c r="BK206" s="4" t="s">
        <v>254</v>
      </c>
      <c r="BL206" s="4" t="s">
        <v>255</v>
      </c>
      <c r="BM206" s="4" t="s">
        <v>241</v>
      </c>
      <c r="BN206" s="6">
        <f>0</f>
        <v>0</v>
      </c>
      <c r="BO206" s="6">
        <f>0</f>
        <v>0</v>
      </c>
      <c r="BP206" s="4" t="s">
        <v>256</v>
      </c>
      <c r="BQ206" s="4" t="s">
        <v>257</v>
      </c>
      <c r="CE206" s="4" t="s">
        <v>241</v>
      </c>
      <c r="CF206" s="4" t="s">
        <v>241</v>
      </c>
      <c r="CJ206" s="4" t="s">
        <v>258</v>
      </c>
      <c r="CK206" s="4" t="s">
        <v>259</v>
      </c>
      <c r="CL206" s="4" t="s">
        <v>241</v>
      </c>
      <c r="CO206" s="5" t="s">
        <v>260</v>
      </c>
      <c r="CP206" s="4" t="s">
        <v>241</v>
      </c>
      <c r="CQ206" s="4" t="s">
        <v>261</v>
      </c>
      <c r="CR206" s="4" t="s">
        <v>241</v>
      </c>
      <c r="CS206" s="4" t="s">
        <v>241</v>
      </c>
      <c r="CT206" s="4">
        <v>0</v>
      </c>
      <c r="CU206" s="4" t="s">
        <v>262</v>
      </c>
      <c r="CV206" s="4" t="s">
        <v>263</v>
      </c>
      <c r="CW206" s="4" t="s">
        <v>263</v>
      </c>
      <c r="CX206" s="4" t="s">
        <v>264</v>
      </c>
      <c r="DA206" s="6">
        <f>1127841</f>
        <v>1127841</v>
      </c>
      <c r="DC206" s="4" t="s">
        <v>266</v>
      </c>
      <c r="DD206" s="4" t="s">
        <v>241</v>
      </c>
      <c r="DF206" s="4" t="s">
        <v>266</v>
      </c>
      <c r="DG206" s="6">
        <f>93.21</f>
        <v>93.21</v>
      </c>
      <c r="DI206" s="4" t="s">
        <v>266</v>
      </c>
      <c r="DJ206" s="4" t="s">
        <v>241</v>
      </c>
      <c r="DK206" s="4" t="s">
        <v>241</v>
      </c>
      <c r="DL206" s="4" t="s">
        <v>241</v>
      </c>
      <c r="DP206" s="4" t="s">
        <v>241</v>
      </c>
      <c r="DQ206" s="4" t="s">
        <v>241</v>
      </c>
      <c r="DR206" s="4" t="s">
        <v>241</v>
      </c>
      <c r="DS206" s="4" t="s">
        <v>241</v>
      </c>
      <c r="DV206" s="4" t="s">
        <v>5115</v>
      </c>
      <c r="DW206" s="4" t="s">
        <v>416</v>
      </c>
      <c r="HO206" s="4" t="s">
        <v>267</v>
      </c>
    </row>
    <row r="207" spans="1:223" ht="19.5" customHeight="1" x14ac:dyDescent="0.4">
      <c r="A207" s="4">
        <v>1</v>
      </c>
      <c r="B207" s="4" t="s">
        <v>239</v>
      </c>
      <c r="C207" s="4">
        <v>918</v>
      </c>
      <c r="D207" s="4">
        <v>1</v>
      </c>
      <c r="E207" s="4">
        <v>1</v>
      </c>
      <c r="F207" s="4" t="s">
        <v>240</v>
      </c>
      <c r="G207" s="4" t="s">
        <v>241</v>
      </c>
      <c r="H207" s="4" t="s">
        <v>241</v>
      </c>
      <c r="I207" s="4" t="s">
        <v>5108</v>
      </c>
      <c r="J207" s="4" t="s">
        <v>4219</v>
      </c>
      <c r="K207" s="4" t="s">
        <v>251</v>
      </c>
      <c r="L207" s="4" t="s">
        <v>5107</v>
      </c>
      <c r="M207" s="5" t="s">
        <v>5110</v>
      </c>
      <c r="N207" s="6">
        <f>1721</f>
        <v>1721</v>
      </c>
      <c r="O207" s="4" t="s">
        <v>265</v>
      </c>
      <c r="P207" s="6">
        <f>3812015</f>
        <v>3812015</v>
      </c>
      <c r="Q207" s="6">
        <f>0</f>
        <v>0</v>
      </c>
      <c r="S207" s="6">
        <f>0</f>
        <v>0</v>
      </c>
      <c r="T207" s="6">
        <f>3812015</f>
        <v>3812015</v>
      </c>
      <c r="U207" s="5" t="s">
        <v>245</v>
      </c>
      <c r="V207" s="4" t="s">
        <v>270</v>
      </c>
      <c r="W207" s="4" t="s">
        <v>242</v>
      </c>
      <c r="X207" s="4" t="s">
        <v>273</v>
      </c>
      <c r="Y207" s="4" t="s">
        <v>241</v>
      </c>
      <c r="AB207" s="4" t="s">
        <v>241</v>
      </c>
      <c r="AD207" s="5" t="s">
        <v>241</v>
      </c>
      <c r="AG207" s="5" t="s">
        <v>246</v>
      </c>
      <c r="AH207" s="4" t="s">
        <v>5109</v>
      </c>
      <c r="AI207" s="4" t="s">
        <v>247</v>
      </c>
      <c r="AJ207" s="4" t="s">
        <v>248</v>
      </c>
      <c r="AZ207" s="4" t="s">
        <v>249</v>
      </c>
      <c r="BA207" s="4" t="s">
        <v>241</v>
      </c>
      <c r="BB207" s="4" t="s">
        <v>250</v>
      </c>
      <c r="BC207" s="4" t="s">
        <v>241</v>
      </c>
      <c r="BD207" s="4" t="s">
        <v>252</v>
      </c>
      <c r="BE207" s="4" t="s">
        <v>241</v>
      </c>
      <c r="BG207" s="4" t="s">
        <v>4227</v>
      </c>
      <c r="BI207" s="4" t="s">
        <v>253</v>
      </c>
      <c r="BJ207" s="5" t="s">
        <v>246</v>
      </c>
      <c r="BK207" s="4" t="s">
        <v>254</v>
      </c>
      <c r="BL207" s="4" t="s">
        <v>255</v>
      </c>
      <c r="BM207" s="4" t="s">
        <v>241</v>
      </c>
      <c r="BN207" s="6">
        <f>0</f>
        <v>0</v>
      </c>
      <c r="BO207" s="6">
        <f>0</f>
        <v>0</v>
      </c>
      <c r="BP207" s="4" t="s">
        <v>256</v>
      </c>
      <c r="BQ207" s="4" t="s">
        <v>257</v>
      </c>
      <c r="CE207" s="4" t="s">
        <v>241</v>
      </c>
      <c r="CF207" s="4" t="s">
        <v>241</v>
      </c>
      <c r="CJ207" s="4" t="s">
        <v>258</v>
      </c>
      <c r="CK207" s="4" t="s">
        <v>259</v>
      </c>
      <c r="CL207" s="4" t="s">
        <v>241</v>
      </c>
      <c r="CO207" s="5" t="s">
        <v>260</v>
      </c>
      <c r="CP207" s="4" t="s">
        <v>241</v>
      </c>
      <c r="CQ207" s="4" t="s">
        <v>261</v>
      </c>
      <c r="CR207" s="4" t="s">
        <v>241</v>
      </c>
      <c r="CS207" s="4" t="s">
        <v>241</v>
      </c>
      <c r="CT207" s="4">
        <v>0</v>
      </c>
      <c r="CU207" s="4" t="s">
        <v>262</v>
      </c>
      <c r="CV207" s="4" t="s">
        <v>263</v>
      </c>
      <c r="CW207" s="4" t="s">
        <v>263</v>
      </c>
      <c r="CX207" s="4" t="s">
        <v>264</v>
      </c>
      <c r="DA207" s="6">
        <f>3812015</f>
        <v>3812015</v>
      </c>
      <c r="DC207" s="4" t="s">
        <v>422</v>
      </c>
      <c r="DD207" s="4" t="s">
        <v>241</v>
      </c>
      <c r="DF207" s="4" t="s">
        <v>287</v>
      </c>
      <c r="DG207" s="6">
        <f>0</f>
        <v>0</v>
      </c>
      <c r="DI207" s="4" t="s">
        <v>414</v>
      </c>
      <c r="DJ207" s="4" t="s">
        <v>241</v>
      </c>
      <c r="DK207" s="4" t="s">
        <v>241</v>
      </c>
      <c r="DL207" s="4" t="s">
        <v>241</v>
      </c>
      <c r="DP207" s="4" t="s">
        <v>241</v>
      </c>
      <c r="DQ207" s="4" t="s">
        <v>241</v>
      </c>
      <c r="DR207" s="4" t="s">
        <v>241</v>
      </c>
      <c r="DS207" s="4" t="s">
        <v>241</v>
      </c>
      <c r="DV207" s="4" t="s">
        <v>5111</v>
      </c>
      <c r="DW207" s="4" t="s">
        <v>267</v>
      </c>
      <c r="HO207" s="4" t="s">
        <v>267</v>
      </c>
    </row>
    <row r="208" spans="1:223" ht="19.5" customHeight="1" x14ac:dyDescent="0.4">
      <c r="A208" s="4">
        <v>1</v>
      </c>
      <c r="B208" s="4" t="s">
        <v>239</v>
      </c>
      <c r="C208" s="4">
        <v>919</v>
      </c>
      <c r="D208" s="4">
        <v>1</v>
      </c>
      <c r="E208" s="4">
        <v>1</v>
      </c>
      <c r="F208" s="4" t="s">
        <v>240</v>
      </c>
      <c r="G208" s="4" t="s">
        <v>241</v>
      </c>
      <c r="H208" s="4" t="s">
        <v>241</v>
      </c>
      <c r="I208" s="4" t="s">
        <v>5100</v>
      </c>
      <c r="J208" s="4" t="s">
        <v>4219</v>
      </c>
      <c r="K208" s="4" t="s">
        <v>251</v>
      </c>
      <c r="L208" s="4" t="s">
        <v>5099</v>
      </c>
      <c r="M208" s="5" t="s">
        <v>5104</v>
      </c>
      <c r="N208" s="6">
        <f>963</f>
        <v>963</v>
      </c>
      <c r="O208" s="4" t="s">
        <v>265</v>
      </c>
      <c r="P208" s="6">
        <f>2133045</f>
        <v>2133045</v>
      </c>
      <c r="Q208" s="6">
        <f>0</f>
        <v>0</v>
      </c>
      <c r="S208" s="6">
        <f>0</f>
        <v>0</v>
      </c>
      <c r="T208" s="6">
        <f>2133045</f>
        <v>2133045</v>
      </c>
      <c r="U208" s="5" t="s">
        <v>245</v>
      </c>
      <c r="V208" s="4" t="s">
        <v>270</v>
      </c>
      <c r="W208" s="4" t="s">
        <v>242</v>
      </c>
      <c r="X208" s="4" t="s">
        <v>273</v>
      </c>
      <c r="Y208" s="4" t="s">
        <v>241</v>
      </c>
      <c r="AB208" s="4" t="s">
        <v>241</v>
      </c>
      <c r="AD208" s="5" t="s">
        <v>241</v>
      </c>
      <c r="AG208" s="5" t="s">
        <v>246</v>
      </c>
      <c r="AH208" s="4" t="s">
        <v>241</v>
      </c>
      <c r="AI208" s="4" t="s">
        <v>247</v>
      </c>
      <c r="AJ208" s="4" t="s">
        <v>248</v>
      </c>
      <c r="AZ208" s="4" t="s">
        <v>249</v>
      </c>
      <c r="BA208" s="4" t="s">
        <v>241</v>
      </c>
      <c r="BB208" s="4" t="s">
        <v>250</v>
      </c>
      <c r="BC208" s="4" t="s">
        <v>241</v>
      </c>
      <c r="BD208" s="4" t="s">
        <v>252</v>
      </c>
      <c r="BE208" s="4" t="s">
        <v>241</v>
      </c>
      <c r="BG208" s="4" t="s">
        <v>4227</v>
      </c>
      <c r="BI208" s="4" t="s">
        <v>253</v>
      </c>
      <c r="BJ208" s="5" t="s">
        <v>246</v>
      </c>
      <c r="BK208" s="4" t="s">
        <v>254</v>
      </c>
      <c r="BL208" s="4" t="s">
        <v>255</v>
      </c>
      <c r="BM208" s="4" t="s">
        <v>241</v>
      </c>
      <c r="BN208" s="6">
        <f>0</f>
        <v>0</v>
      </c>
      <c r="BO208" s="6">
        <f>0</f>
        <v>0</v>
      </c>
      <c r="BP208" s="4" t="s">
        <v>256</v>
      </c>
      <c r="BQ208" s="4" t="s">
        <v>257</v>
      </c>
      <c r="CE208" s="4" t="s">
        <v>241</v>
      </c>
      <c r="CF208" s="4" t="s">
        <v>241</v>
      </c>
      <c r="CJ208" s="4" t="s">
        <v>258</v>
      </c>
      <c r="CK208" s="4" t="s">
        <v>259</v>
      </c>
      <c r="CL208" s="4" t="s">
        <v>241</v>
      </c>
      <c r="CO208" s="5" t="s">
        <v>260</v>
      </c>
      <c r="CP208" s="4" t="s">
        <v>241</v>
      </c>
      <c r="CQ208" s="4" t="s">
        <v>261</v>
      </c>
      <c r="CR208" s="4" t="s">
        <v>241</v>
      </c>
      <c r="CS208" s="4" t="s">
        <v>241</v>
      </c>
      <c r="CT208" s="4">
        <v>0</v>
      </c>
      <c r="CU208" s="4" t="s">
        <v>262</v>
      </c>
      <c r="CV208" s="4" t="s">
        <v>263</v>
      </c>
      <c r="CW208" s="4" t="s">
        <v>263</v>
      </c>
      <c r="CX208" s="4" t="s">
        <v>264</v>
      </c>
      <c r="DA208" s="6">
        <f>2133045</f>
        <v>2133045</v>
      </c>
      <c r="DC208" s="4" t="s">
        <v>422</v>
      </c>
      <c r="DD208" s="4" t="s">
        <v>241</v>
      </c>
      <c r="DF208" s="4" t="s">
        <v>287</v>
      </c>
      <c r="DG208" s="6">
        <f>0</f>
        <v>0</v>
      </c>
      <c r="DI208" s="4" t="s">
        <v>414</v>
      </c>
      <c r="DJ208" s="4" t="s">
        <v>241</v>
      </c>
      <c r="DK208" s="4" t="s">
        <v>241</v>
      </c>
      <c r="DL208" s="4" t="s">
        <v>241</v>
      </c>
      <c r="DP208" s="4" t="s">
        <v>241</v>
      </c>
      <c r="DQ208" s="4" t="s">
        <v>241</v>
      </c>
      <c r="DR208" s="4" t="s">
        <v>241</v>
      </c>
      <c r="DS208" s="4" t="s">
        <v>241</v>
      </c>
      <c r="DV208" s="4" t="s">
        <v>5102</v>
      </c>
      <c r="DW208" s="4" t="s">
        <v>267</v>
      </c>
      <c r="HO208" s="4" t="s">
        <v>267</v>
      </c>
    </row>
    <row r="209" spans="1:223" ht="19.5" customHeight="1" x14ac:dyDescent="0.4">
      <c r="A209" s="4">
        <v>1</v>
      </c>
      <c r="B209" s="4" t="s">
        <v>239</v>
      </c>
      <c r="C209" s="4">
        <v>920</v>
      </c>
      <c r="D209" s="4">
        <v>1</v>
      </c>
      <c r="E209" s="4">
        <v>1</v>
      </c>
      <c r="F209" s="4" t="s">
        <v>240</v>
      </c>
      <c r="G209" s="4" t="s">
        <v>241</v>
      </c>
      <c r="H209" s="4" t="s">
        <v>241</v>
      </c>
      <c r="I209" s="4" t="s">
        <v>5100</v>
      </c>
      <c r="J209" s="4" t="s">
        <v>4219</v>
      </c>
      <c r="K209" s="4" t="s">
        <v>251</v>
      </c>
      <c r="L209" s="4" t="s">
        <v>5099</v>
      </c>
      <c r="M209" s="5" t="s">
        <v>5504</v>
      </c>
      <c r="N209" s="6">
        <f>13285</f>
        <v>13285</v>
      </c>
      <c r="O209" s="4" t="s">
        <v>265</v>
      </c>
      <c r="P209" s="6">
        <f>29426275</f>
        <v>29426275</v>
      </c>
      <c r="Q209" s="6">
        <f>0</f>
        <v>0</v>
      </c>
      <c r="S209" s="6">
        <f>0</f>
        <v>0</v>
      </c>
      <c r="T209" s="6">
        <f>29426275</f>
        <v>29426275</v>
      </c>
      <c r="U209" s="5" t="s">
        <v>245</v>
      </c>
      <c r="V209" s="4" t="s">
        <v>270</v>
      </c>
      <c r="W209" s="4" t="s">
        <v>242</v>
      </c>
      <c r="X209" s="4" t="s">
        <v>273</v>
      </c>
      <c r="Y209" s="4" t="s">
        <v>241</v>
      </c>
      <c r="AB209" s="4" t="s">
        <v>241</v>
      </c>
      <c r="AD209" s="5" t="s">
        <v>241</v>
      </c>
      <c r="AG209" s="5" t="s">
        <v>246</v>
      </c>
      <c r="AH209" s="4" t="s">
        <v>241</v>
      </c>
      <c r="AI209" s="4" t="s">
        <v>247</v>
      </c>
      <c r="AJ209" s="4" t="s">
        <v>248</v>
      </c>
      <c r="AZ209" s="4" t="s">
        <v>249</v>
      </c>
      <c r="BA209" s="4" t="s">
        <v>241</v>
      </c>
      <c r="BB209" s="4" t="s">
        <v>250</v>
      </c>
      <c r="BC209" s="4" t="s">
        <v>241</v>
      </c>
      <c r="BD209" s="4" t="s">
        <v>252</v>
      </c>
      <c r="BE209" s="4" t="s">
        <v>241</v>
      </c>
      <c r="BI209" s="4" t="s">
        <v>253</v>
      </c>
      <c r="BJ209" s="5" t="s">
        <v>246</v>
      </c>
      <c r="BK209" s="4" t="s">
        <v>254</v>
      </c>
      <c r="BL209" s="4" t="s">
        <v>255</v>
      </c>
      <c r="BM209" s="4" t="s">
        <v>241</v>
      </c>
      <c r="BN209" s="6">
        <f>0</f>
        <v>0</v>
      </c>
      <c r="BO209" s="6">
        <f>0</f>
        <v>0</v>
      </c>
      <c r="BP209" s="4" t="s">
        <v>256</v>
      </c>
      <c r="BQ209" s="4" t="s">
        <v>257</v>
      </c>
      <c r="CE209" s="4" t="s">
        <v>241</v>
      </c>
      <c r="CF209" s="4" t="s">
        <v>241</v>
      </c>
      <c r="CJ209" s="4" t="s">
        <v>258</v>
      </c>
      <c r="CK209" s="4" t="s">
        <v>259</v>
      </c>
      <c r="CL209" s="4" t="s">
        <v>241</v>
      </c>
      <c r="CO209" s="5" t="s">
        <v>260</v>
      </c>
      <c r="CP209" s="4" t="s">
        <v>241</v>
      </c>
      <c r="CQ209" s="4" t="s">
        <v>261</v>
      </c>
      <c r="CR209" s="4" t="s">
        <v>241</v>
      </c>
      <c r="CS209" s="4" t="s">
        <v>241</v>
      </c>
      <c r="CT209" s="4">
        <v>0</v>
      </c>
      <c r="CU209" s="4" t="s">
        <v>262</v>
      </c>
      <c r="CV209" s="4" t="s">
        <v>263</v>
      </c>
      <c r="CW209" s="4" t="s">
        <v>263</v>
      </c>
      <c r="CX209" s="4" t="s">
        <v>264</v>
      </c>
      <c r="DA209" s="6">
        <f>29426275</f>
        <v>29426275</v>
      </c>
      <c r="DC209" s="4" t="s">
        <v>422</v>
      </c>
      <c r="DD209" s="4" t="s">
        <v>241</v>
      </c>
      <c r="DF209" s="4" t="s">
        <v>287</v>
      </c>
      <c r="DG209" s="6">
        <f>0</f>
        <v>0</v>
      </c>
      <c r="DI209" s="4" t="s">
        <v>414</v>
      </c>
      <c r="DJ209" s="4" t="s">
        <v>241</v>
      </c>
      <c r="DK209" s="4" t="s">
        <v>241</v>
      </c>
      <c r="DL209" s="4" t="s">
        <v>241</v>
      </c>
      <c r="DP209" s="4" t="s">
        <v>241</v>
      </c>
      <c r="DQ209" s="4" t="s">
        <v>241</v>
      </c>
      <c r="DR209" s="4" t="s">
        <v>241</v>
      </c>
      <c r="DS209" s="4" t="s">
        <v>241</v>
      </c>
      <c r="DV209" s="4" t="s">
        <v>5102</v>
      </c>
      <c r="DW209" s="4" t="s">
        <v>416</v>
      </c>
      <c r="HO209" s="4" t="s">
        <v>267</v>
      </c>
    </row>
    <row r="210" spans="1:223" ht="19.5" customHeight="1" x14ac:dyDescent="0.4">
      <c r="A210" s="4">
        <v>1</v>
      </c>
      <c r="B210" s="4" t="s">
        <v>239</v>
      </c>
      <c r="C210" s="4">
        <v>921</v>
      </c>
      <c r="D210" s="4">
        <v>1</v>
      </c>
      <c r="E210" s="4">
        <v>1</v>
      </c>
      <c r="F210" s="4" t="s">
        <v>240</v>
      </c>
      <c r="G210" s="4" t="s">
        <v>241</v>
      </c>
      <c r="H210" s="4" t="s">
        <v>241</v>
      </c>
      <c r="I210" s="4" t="s">
        <v>5100</v>
      </c>
      <c r="J210" s="4" t="s">
        <v>4219</v>
      </c>
      <c r="K210" s="4" t="s">
        <v>251</v>
      </c>
      <c r="L210" s="4" t="s">
        <v>5099</v>
      </c>
      <c r="M210" s="5" t="s">
        <v>5101</v>
      </c>
      <c r="N210" s="6">
        <f>5446</f>
        <v>5446</v>
      </c>
      <c r="O210" s="4" t="s">
        <v>265</v>
      </c>
      <c r="P210" s="6">
        <f>12062890</f>
        <v>12062890</v>
      </c>
      <c r="Q210" s="6">
        <f>0</f>
        <v>0</v>
      </c>
      <c r="S210" s="6">
        <f>0</f>
        <v>0</v>
      </c>
      <c r="T210" s="6">
        <f>12062890</f>
        <v>12062890</v>
      </c>
      <c r="U210" s="5" t="s">
        <v>245</v>
      </c>
      <c r="V210" s="4" t="s">
        <v>270</v>
      </c>
      <c r="W210" s="4" t="s">
        <v>242</v>
      </c>
      <c r="X210" s="4" t="s">
        <v>273</v>
      </c>
      <c r="Y210" s="4" t="s">
        <v>241</v>
      </c>
      <c r="AB210" s="4" t="s">
        <v>241</v>
      </c>
      <c r="AD210" s="5" t="s">
        <v>241</v>
      </c>
      <c r="AG210" s="5" t="s">
        <v>246</v>
      </c>
      <c r="AH210" s="4" t="s">
        <v>241</v>
      </c>
      <c r="AI210" s="4" t="s">
        <v>247</v>
      </c>
      <c r="AJ210" s="4" t="s">
        <v>248</v>
      </c>
      <c r="AZ210" s="4" t="s">
        <v>249</v>
      </c>
      <c r="BA210" s="4" t="s">
        <v>241</v>
      </c>
      <c r="BB210" s="4" t="s">
        <v>250</v>
      </c>
      <c r="BC210" s="4" t="s">
        <v>241</v>
      </c>
      <c r="BD210" s="4" t="s">
        <v>252</v>
      </c>
      <c r="BE210" s="4" t="s">
        <v>241</v>
      </c>
      <c r="BI210" s="4" t="s">
        <v>253</v>
      </c>
      <c r="BJ210" s="5" t="s">
        <v>246</v>
      </c>
      <c r="BK210" s="4" t="s">
        <v>254</v>
      </c>
      <c r="BL210" s="4" t="s">
        <v>255</v>
      </c>
      <c r="BM210" s="4" t="s">
        <v>241</v>
      </c>
      <c r="BN210" s="6">
        <f>0</f>
        <v>0</v>
      </c>
      <c r="BO210" s="6">
        <f>0</f>
        <v>0</v>
      </c>
      <c r="BP210" s="4" t="s">
        <v>256</v>
      </c>
      <c r="BQ210" s="4" t="s">
        <v>257</v>
      </c>
      <c r="CE210" s="4" t="s">
        <v>241</v>
      </c>
      <c r="CF210" s="4" t="s">
        <v>241</v>
      </c>
      <c r="CJ210" s="4" t="s">
        <v>258</v>
      </c>
      <c r="CK210" s="4" t="s">
        <v>259</v>
      </c>
      <c r="CL210" s="4" t="s">
        <v>241</v>
      </c>
      <c r="CO210" s="5" t="s">
        <v>260</v>
      </c>
      <c r="CP210" s="4" t="s">
        <v>241</v>
      </c>
      <c r="CQ210" s="4" t="s">
        <v>261</v>
      </c>
      <c r="CR210" s="4" t="s">
        <v>241</v>
      </c>
      <c r="CS210" s="4" t="s">
        <v>241</v>
      </c>
      <c r="CT210" s="4">
        <v>0</v>
      </c>
      <c r="CU210" s="4" t="s">
        <v>262</v>
      </c>
      <c r="CV210" s="4" t="s">
        <v>263</v>
      </c>
      <c r="CW210" s="4" t="s">
        <v>263</v>
      </c>
      <c r="CX210" s="4" t="s">
        <v>264</v>
      </c>
      <c r="DA210" s="6">
        <f>12062890</f>
        <v>12062890</v>
      </c>
      <c r="DC210" s="4" t="s">
        <v>422</v>
      </c>
      <c r="DD210" s="4" t="s">
        <v>241</v>
      </c>
      <c r="DF210" s="4" t="s">
        <v>287</v>
      </c>
      <c r="DG210" s="6">
        <f>0</f>
        <v>0</v>
      </c>
      <c r="DI210" s="4" t="s">
        <v>414</v>
      </c>
      <c r="DJ210" s="4" t="s">
        <v>241</v>
      </c>
      <c r="DK210" s="4" t="s">
        <v>241</v>
      </c>
      <c r="DL210" s="4" t="s">
        <v>241</v>
      </c>
      <c r="DP210" s="4" t="s">
        <v>241</v>
      </c>
      <c r="DQ210" s="4" t="s">
        <v>241</v>
      </c>
      <c r="DR210" s="4" t="s">
        <v>241</v>
      </c>
      <c r="DS210" s="4" t="s">
        <v>241</v>
      </c>
      <c r="DV210" s="4" t="s">
        <v>5102</v>
      </c>
      <c r="DW210" s="4" t="s">
        <v>388</v>
      </c>
      <c r="HO210" s="4" t="s">
        <v>267</v>
      </c>
    </row>
    <row r="211" spans="1:223" ht="19.5" customHeight="1" x14ac:dyDescent="0.4">
      <c r="A211" s="4">
        <v>1</v>
      </c>
      <c r="B211" s="4" t="s">
        <v>239</v>
      </c>
      <c r="C211" s="4">
        <v>922</v>
      </c>
      <c r="D211" s="4">
        <v>1</v>
      </c>
      <c r="E211" s="4">
        <v>1</v>
      </c>
      <c r="F211" s="4" t="s">
        <v>240</v>
      </c>
      <c r="G211" s="4" t="s">
        <v>241</v>
      </c>
      <c r="H211" s="4" t="s">
        <v>241</v>
      </c>
      <c r="I211" s="4" t="s">
        <v>5100</v>
      </c>
      <c r="J211" s="4" t="s">
        <v>4219</v>
      </c>
      <c r="K211" s="4" t="s">
        <v>251</v>
      </c>
      <c r="L211" s="4" t="s">
        <v>5099</v>
      </c>
      <c r="M211" s="5" t="s">
        <v>5106</v>
      </c>
      <c r="N211" s="6">
        <f>1562</f>
        <v>1562</v>
      </c>
      <c r="O211" s="4" t="s">
        <v>265</v>
      </c>
      <c r="P211" s="6">
        <f>3459830</f>
        <v>3459830</v>
      </c>
      <c r="Q211" s="6">
        <f>0</f>
        <v>0</v>
      </c>
      <c r="S211" s="6">
        <f>0</f>
        <v>0</v>
      </c>
      <c r="T211" s="6">
        <f>3459830</f>
        <v>3459830</v>
      </c>
      <c r="U211" s="5" t="s">
        <v>245</v>
      </c>
      <c r="V211" s="4" t="s">
        <v>270</v>
      </c>
      <c r="W211" s="4" t="s">
        <v>242</v>
      </c>
      <c r="X211" s="4" t="s">
        <v>273</v>
      </c>
      <c r="Y211" s="4" t="s">
        <v>241</v>
      </c>
      <c r="AB211" s="4" t="s">
        <v>241</v>
      </c>
      <c r="AD211" s="5" t="s">
        <v>241</v>
      </c>
      <c r="AG211" s="5" t="s">
        <v>246</v>
      </c>
      <c r="AH211" s="4" t="s">
        <v>241</v>
      </c>
      <c r="AI211" s="4" t="s">
        <v>247</v>
      </c>
      <c r="AJ211" s="4" t="s">
        <v>248</v>
      </c>
      <c r="AZ211" s="4" t="s">
        <v>249</v>
      </c>
      <c r="BA211" s="4" t="s">
        <v>241</v>
      </c>
      <c r="BB211" s="4" t="s">
        <v>250</v>
      </c>
      <c r="BC211" s="4" t="s">
        <v>241</v>
      </c>
      <c r="BD211" s="4" t="s">
        <v>252</v>
      </c>
      <c r="BE211" s="4" t="s">
        <v>241</v>
      </c>
      <c r="BI211" s="4" t="s">
        <v>253</v>
      </c>
      <c r="BJ211" s="5" t="s">
        <v>246</v>
      </c>
      <c r="BK211" s="4" t="s">
        <v>254</v>
      </c>
      <c r="BL211" s="4" t="s">
        <v>255</v>
      </c>
      <c r="BM211" s="4" t="s">
        <v>241</v>
      </c>
      <c r="BN211" s="6">
        <f>0</f>
        <v>0</v>
      </c>
      <c r="BO211" s="6">
        <f>0</f>
        <v>0</v>
      </c>
      <c r="BP211" s="4" t="s">
        <v>256</v>
      </c>
      <c r="BQ211" s="4" t="s">
        <v>257</v>
      </c>
      <c r="CE211" s="4" t="s">
        <v>241</v>
      </c>
      <c r="CF211" s="4" t="s">
        <v>241</v>
      </c>
      <c r="CJ211" s="4" t="s">
        <v>258</v>
      </c>
      <c r="CK211" s="4" t="s">
        <v>259</v>
      </c>
      <c r="CL211" s="4" t="s">
        <v>241</v>
      </c>
      <c r="CO211" s="5" t="s">
        <v>260</v>
      </c>
      <c r="CP211" s="4" t="s">
        <v>241</v>
      </c>
      <c r="CQ211" s="4" t="s">
        <v>261</v>
      </c>
      <c r="CR211" s="4" t="s">
        <v>241</v>
      </c>
      <c r="CS211" s="4" t="s">
        <v>241</v>
      </c>
      <c r="CT211" s="4">
        <v>0</v>
      </c>
      <c r="CU211" s="4" t="s">
        <v>262</v>
      </c>
      <c r="CV211" s="4" t="s">
        <v>263</v>
      </c>
      <c r="CW211" s="4" t="s">
        <v>263</v>
      </c>
      <c r="CX211" s="4" t="s">
        <v>264</v>
      </c>
      <c r="DA211" s="6">
        <f>3459830</f>
        <v>3459830</v>
      </c>
      <c r="DC211" s="4" t="s">
        <v>422</v>
      </c>
      <c r="DD211" s="4" t="s">
        <v>241</v>
      </c>
      <c r="DF211" s="4" t="s">
        <v>287</v>
      </c>
      <c r="DG211" s="6">
        <f>0</f>
        <v>0</v>
      </c>
      <c r="DI211" s="4" t="s">
        <v>414</v>
      </c>
      <c r="DJ211" s="4" t="s">
        <v>241</v>
      </c>
      <c r="DK211" s="4" t="s">
        <v>241</v>
      </c>
      <c r="DL211" s="4" t="s">
        <v>241</v>
      </c>
      <c r="DP211" s="4" t="s">
        <v>241</v>
      </c>
      <c r="DQ211" s="4" t="s">
        <v>241</v>
      </c>
      <c r="DR211" s="4" t="s">
        <v>241</v>
      </c>
      <c r="DS211" s="4" t="s">
        <v>241</v>
      </c>
      <c r="DV211" s="4" t="s">
        <v>5102</v>
      </c>
      <c r="DW211" s="4" t="s">
        <v>327</v>
      </c>
      <c r="HO211" s="4" t="s">
        <v>267</v>
      </c>
    </row>
    <row r="212" spans="1:223" ht="19.5" customHeight="1" x14ac:dyDescent="0.4">
      <c r="A212" s="4">
        <v>1</v>
      </c>
      <c r="B212" s="4" t="s">
        <v>239</v>
      </c>
      <c r="C212" s="4">
        <v>923</v>
      </c>
      <c r="D212" s="4">
        <v>1</v>
      </c>
      <c r="E212" s="4">
        <v>1</v>
      </c>
      <c r="F212" s="4" t="s">
        <v>240</v>
      </c>
      <c r="G212" s="4" t="s">
        <v>241</v>
      </c>
      <c r="H212" s="4" t="s">
        <v>241</v>
      </c>
      <c r="I212" s="4" t="s">
        <v>5100</v>
      </c>
      <c r="J212" s="4" t="s">
        <v>4219</v>
      </c>
      <c r="K212" s="4" t="s">
        <v>251</v>
      </c>
      <c r="L212" s="4" t="s">
        <v>5099</v>
      </c>
      <c r="M212" s="5" t="s">
        <v>5103</v>
      </c>
      <c r="N212" s="6">
        <f>6888</f>
        <v>6888</v>
      </c>
      <c r="O212" s="4" t="s">
        <v>265</v>
      </c>
      <c r="P212" s="6">
        <f>15256920</f>
        <v>15256920</v>
      </c>
      <c r="Q212" s="6">
        <f>0</f>
        <v>0</v>
      </c>
      <c r="S212" s="6">
        <f>0</f>
        <v>0</v>
      </c>
      <c r="T212" s="6">
        <f>15256920</f>
        <v>15256920</v>
      </c>
      <c r="U212" s="5" t="s">
        <v>245</v>
      </c>
      <c r="V212" s="4" t="s">
        <v>270</v>
      </c>
      <c r="W212" s="4" t="s">
        <v>242</v>
      </c>
      <c r="X212" s="4" t="s">
        <v>273</v>
      </c>
      <c r="Y212" s="4" t="s">
        <v>241</v>
      </c>
      <c r="AB212" s="4" t="s">
        <v>241</v>
      </c>
      <c r="AD212" s="5" t="s">
        <v>241</v>
      </c>
      <c r="AG212" s="5" t="s">
        <v>246</v>
      </c>
      <c r="AH212" s="4" t="s">
        <v>241</v>
      </c>
      <c r="AI212" s="4" t="s">
        <v>247</v>
      </c>
      <c r="AJ212" s="4" t="s">
        <v>248</v>
      </c>
      <c r="AZ212" s="4" t="s">
        <v>249</v>
      </c>
      <c r="BA212" s="4" t="s">
        <v>241</v>
      </c>
      <c r="BB212" s="4" t="s">
        <v>250</v>
      </c>
      <c r="BC212" s="4" t="s">
        <v>241</v>
      </c>
      <c r="BD212" s="4" t="s">
        <v>252</v>
      </c>
      <c r="BE212" s="4" t="s">
        <v>241</v>
      </c>
      <c r="BI212" s="4" t="s">
        <v>253</v>
      </c>
      <c r="BJ212" s="5" t="s">
        <v>246</v>
      </c>
      <c r="BK212" s="4" t="s">
        <v>254</v>
      </c>
      <c r="BL212" s="4" t="s">
        <v>255</v>
      </c>
      <c r="BM212" s="4" t="s">
        <v>241</v>
      </c>
      <c r="BN212" s="6">
        <f>0</f>
        <v>0</v>
      </c>
      <c r="BO212" s="6">
        <f>0</f>
        <v>0</v>
      </c>
      <c r="BP212" s="4" t="s">
        <v>256</v>
      </c>
      <c r="BQ212" s="4" t="s">
        <v>257</v>
      </c>
      <c r="CE212" s="4" t="s">
        <v>241</v>
      </c>
      <c r="CF212" s="4" t="s">
        <v>241</v>
      </c>
      <c r="CJ212" s="4" t="s">
        <v>258</v>
      </c>
      <c r="CK212" s="4" t="s">
        <v>259</v>
      </c>
      <c r="CL212" s="4" t="s">
        <v>241</v>
      </c>
      <c r="CO212" s="5" t="s">
        <v>260</v>
      </c>
      <c r="CP212" s="4" t="s">
        <v>241</v>
      </c>
      <c r="CQ212" s="4" t="s">
        <v>261</v>
      </c>
      <c r="CR212" s="4" t="s">
        <v>241</v>
      </c>
      <c r="CS212" s="4" t="s">
        <v>241</v>
      </c>
      <c r="CT212" s="4">
        <v>0</v>
      </c>
      <c r="CU212" s="4" t="s">
        <v>262</v>
      </c>
      <c r="CV212" s="4" t="s">
        <v>263</v>
      </c>
      <c r="CW212" s="4" t="s">
        <v>263</v>
      </c>
      <c r="CX212" s="4" t="s">
        <v>264</v>
      </c>
      <c r="DA212" s="6">
        <f>15256920</f>
        <v>15256920</v>
      </c>
      <c r="DC212" s="4" t="s">
        <v>422</v>
      </c>
      <c r="DD212" s="4" t="s">
        <v>241</v>
      </c>
      <c r="DF212" s="4" t="s">
        <v>287</v>
      </c>
      <c r="DG212" s="6">
        <f>0</f>
        <v>0</v>
      </c>
      <c r="DI212" s="4" t="s">
        <v>414</v>
      </c>
      <c r="DJ212" s="4" t="s">
        <v>241</v>
      </c>
      <c r="DK212" s="4" t="s">
        <v>241</v>
      </c>
      <c r="DL212" s="4" t="s">
        <v>241</v>
      </c>
      <c r="DP212" s="4" t="s">
        <v>241</v>
      </c>
      <c r="DQ212" s="4" t="s">
        <v>241</v>
      </c>
      <c r="DR212" s="4" t="s">
        <v>241</v>
      </c>
      <c r="DS212" s="4" t="s">
        <v>241</v>
      </c>
      <c r="DV212" s="4" t="s">
        <v>5102</v>
      </c>
      <c r="DW212" s="4" t="s">
        <v>748</v>
      </c>
      <c r="HO212" s="4" t="s">
        <v>267</v>
      </c>
    </row>
    <row r="213" spans="1:223" ht="19.5" customHeight="1" x14ac:dyDescent="0.4">
      <c r="A213" s="4">
        <v>1</v>
      </c>
      <c r="B213" s="4" t="s">
        <v>239</v>
      </c>
      <c r="C213" s="4">
        <v>924</v>
      </c>
      <c r="D213" s="4">
        <v>1</v>
      </c>
      <c r="E213" s="4">
        <v>1</v>
      </c>
      <c r="F213" s="4" t="s">
        <v>240</v>
      </c>
      <c r="G213" s="4" t="s">
        <v>241</v>
      </c>
      <c r="H213" s="4" t="s">
        <v>241</v>
      </c>
      <c r="I213" s="4" t="s">
        <v>5100</v>
      </c>
      <c r="J213" s="4" t="s">
        <v>4219</v>
      </c>
      <c r="K213" s="4" t="s">
        <v>251</v>
      </c>
      <c r="L213" s="4" t="s">
        <v>5099</v>
      </c>
      <c r="M213" s="5" t="s">
        <v>5105</v>
      </c>
      <c r="N213" s="6">
        <f>13367</f>
        <v>13367</v>
      </c>
      <c r="O213" s="4" t="s">
        <v>265</v>
      </c>
      <c r="P213" s="6">
        <f>29607905</f>
        <v>29607905</v>
      </c>
      <c r="Q213" s="6">
        <f>0</f>
        <v>0</v>
      </c>
      <c r="S213" s="6">
        <f>0</f>
        <v>0</v>
      </c>
      <c r="T213" s="6">
        <f>29607905</f>
        <v>29607905</v>
      </c>
      <c r="U213" s="5" t="s">
        <v>245</v>
      </c>
      <c r="V213" s="4" t="s">
        <v>270</v>
      </c>
      <c r="W213" s="4" t="s">
        <v>242</v>
      </c>
      <c r="X213" s="4" t="s">
        <v>273</v>
      </c>
      <c r="Y213" s="4" t="s">
        <v>241</v>
      </c>
      <c r="AB213" s="4" t="s">
        <v>241</v>
      </c>
      <c r="AD213" s="5" t="s">
        <v>241</v>
      </c>
      <c r="AG213" s="5" t="s">
        <v>246</v>
      </c>
      <c r="AH213" s="4" t="s">
        <v>241</v>
      </c>
      <c r="AI213" s="4" t="s">
        <v>247</v>
      </c>
      <c r="AJ213" s="4" t="s">
        <v>248</v>
      </c>
      <c r="AZ213" s="4" t="s">
        <v>249</v>
      </c>
      <c r="BA213" s="4" t="s">
        <v>241</v>
      </c>
      <c r="BB213" s="4" t="s">
        <v>250</v>
      </c>
      <c r="BC213" s="4" t="s">
        <v>241</v>
      </c>
      <c r="BD213" s="4" t="s">
        <v>252</v>
      </c>
      <c r="BE213" s="4" t="s">
        <v>241</v>
      </c>
      <c r="BI213" s="4" t="s">
        <v>253</v>
      </c>
      <c r="BJ213" s="5" t="s">
        <v>246</v>
      </c>
      <c r="BK213" s="4" t="s">
        <v>254</v>
      </c>
      <c r="BL213" s="4" t="s">
        <v>255</v>
      </c>
      <c r="BM213" s="4" t="s">
        <v>241</v>
      </c>
      <c r="BN213" s="6">
        <f>0</f>
        <v>0</v>
      </c>
      <c r="BO213" s="6">
        <f>0</f>
        <v>0</v>
      </c>
      <c r="BP213" s="4" t="s">
        <v>256</v>
      </c>
      <c r="BQ213" s="4" t="s">
        <v>257</v>
      </c>
      <c r="CE213" s="4" t="s">
        <v>241</v>
      </c>
      <c r="CF213" s="4" t="s">
        <v>241</v>
      </c>
      <c r="CJ213" s="4" t="s">
        <v>258</v>
      </c>
      <c r="CK213" s="4" t="s">
        <v>259</v>
      </c>
      <c r="CL213" s="4" t="s">
        <v>241</v>
      </c>
      <c r="CO213" s="5" t="s">
        <v>260</v>
      </c>
      <c r="CP213" s="4" t="s">
        <v>241</v>
      </c>
      <c r="CQ213" s="4" t="s">
        <v>261</v>
      </c>
      <c r="CR213" s="4" t="s">
        <v>241</v>
      </c>
      <c r="CS213" s="4" t="s">
        <v>241</v>
      </c>
      <c r="CT213" s="4">
        <v>0</v>
      </c>
      <c r="CU213" s="4" t="s">
        <v>262</v>
      </c>
      <c r="CV213" s="4" t="s">
        <v>263</v>
      </c>
      <c r="CW213" s="4" t="s">
        <v>263</v>
      </c>
      <c r="CX213" s="4" t="s">
        <v>264</v>
      </c>
      <c r="DA213" s="6">
        <f>29607905</f>
        <v>29607905</v>
      </c>
      <c r="DC213" s="4" t="s">
        <v>422</v>
      </c>
      <c r="DD213" s="4" t="s">
        <v>241</v>
      </c>
      <c r="DF213" s="4" t="s">
        <v>287</v>
      </c>
      <c r="DG213" s="6">
        <f>0</f>
        <v>0</v>
      </c>
      <c r="DI213" s="4" t="s">
        <v>414</v>
      </c>
      <c r="DJ213" s="4" t="s">
        <v>241</v>
      </c>
      <c r="DK213" s="4" t="s">
        <v>241</v>
      </c>
      <c r="DL213" s="4" t="s">
        <v>241</v>
      </c>
      <c r="DP213" s="4" t="s">
        <v>241</v>
      </c>
      <c r="DQ213" s="4" t="s">
        <v>241</v>
      </c>
      <c r="DR213" s="4" t="s">
        <v>241</v>
      </c>
      <c r="DS213" s="4" t="s">
        <v>241</v>
      </c>
      <c r="DV213" s="4" t="s">
        <v>5102</v>
      </c>
      <c r="DW213" s="4" t="s">
        <v>719</v>
      </c>
      <c r="HO213" s="4" t="s">
        <v>267</v>
      </c>
    </row>
    <row r="214" spans="1:223" ht="19.5" customHeight="1" x14ac:dyDescent="0.4">
      <c r="A214" s="4">
        <v>1</v>
      </c>
      <c r="B214" s="4" t="s">
        <v>239</v>
      </c>
      <c r="C214" s="4">
        <v>925</v>
      </c>
      <c r="D214" s="4">
        <v>1</v>
      </c>
      <c r="E214" s="4">
        <v>1</v>
      </c>
      <c r="F214" s="4" t="s">
        <v>240</v>
      </c>
      <c r="G214" s="4" t="s">
        <v>241</v>
      </c>
      <c r="H214" s="4" t="s">
        <v>241</v>
      </c>
      <c r="I214" s="4" t="s">
        <v>5100</v>
      </c>
      <c r="J214" s="4" t="s">
        <v>4219</v>
      </c>
      <c r="K214" s="4" t="s">
        <v>251</v>
      </c>
      <c r="L214" s="4" t="s">
        <v>5099</v>
      </c>
      <c r="M214" s="5" t="s">
        <v>5503</v>
      </c>
      <c r="N214" s="6">
        <f>2358</f>
        <v>2358</v>
      </c>
      <c r="O214" s="4" t="s">
        <v>265</v>
      </c>
      <c r="P214" s="6">
        <f>5222970</f>
        <v>5222970</v>
      </c>
      <c r="Q214" s="6">
        <f>0</f>
        <v>0</v>
      </c>
      <c r="S214" s="6">
        <f>0</f>
        <v>0</v>
      </c>
      <c r="T214" s="6">
        <f>5222970</f>
        <v>5222970</v>
      </c>
      <c r="U214" s="5" t="s">
        <v>245</v>
      </c>
      <c r="V214" s="4" t="s">
        <v>270</v>
      </c>
      <c r="W214" s="4" t="s">
        <v>242</v>
      </c>
      <c r="X214" s="4" t="s">
        <v>273</v>
      </c>
      <c r="Y214" s="4" t="s">
        <v>241</v>
      </c>
      <c r="AB214" s="4" t="s">
        <v>241</v>
      </c>
      <c r="AD214" s="5" t="s">
        <v>241</v>
      </c>
      <c r="AG214" s="5" t="s">
        <v>246</v>
      </c>
      <c r="AH214" s="4" t="s">
        <v>241</v>
      </c>
      <c r="AI214" s="4" t="s">
        <v>247</v>
      </c>
      <c r="AJ214" s="4" t="s">
        <v>248</v>
      </c>
      <c r="AZ214" s="4" t="s">
        <v>249</v>
      </c>
      <c r="BA214" s="4" t="s">
        <v>241</v>
      </c>
      <c r="BB214" s="4" t="s">
        <v>250</v>
      </c>
      <c r="BC214" s="4" t="s">
        <v>241</v>
      </c>
      <c r="BD214" s="4" t="s">
        <v>252</v>
      </c>
      <c r="BE214" s="4" t="s">
        <v>241</v>
      </c>
      <c r="BI214" s="4" t="s">
        <v>253</v>
      </c>
      <c r="BJ214" s="5" t="s">
        <v>246</v>
      </c>
      <c r="BK214" s="4" t="s">
        <v>254</v>
      </c>
      <c r="BL214" s="4" t="s">
        <v>255</v>
      </c>
      <c r="BM214" s="4" t="s">
        <v>241</v>
      </c>
      <c r="BN214" s="6">
        <f>0</f>
        <v>0</v>
      </c>
      <c r="BO214" s="6">
        <f>0</f>
        <v>0</v>
      </c>
      <c r="BP214" s="4" t="s">
        <v>256</v>
      </c>
      <c r="BQ214" s="4" t="s">
        <v>257</v>
      </c>
      <c r="CE214" s="4" t="s">
        <v>241</v>
      </c>
      <c r="CF214" s="4" t="s">
        <v>241</v>
      </c>
      <c r="CJ214" s="4" t="s">
        <v>258</v>
      </c>
      <c r="CK214" s="4" t="s">
        <v>259</v>
      </c>
      <c r="CL214" s="4" t="s">
        <v>241</v>
      </c>
      <c r="CO214" s="5" t="s">
        <v>260</v>
      </c>
      <c r="CP214" s="4" t="s">
        <v>241</v>
      </c>
      <c r="CQ214" s="4" t="s">
        <v>261</v>
      </c>
      <c r="CR214" s="4" t="s">
        <v>241</v>
      </c>
      <c r="CS214" s="4" t="s">
        <v>241</v>
      </c>
      <c r="CT214" s="4">
        <v>0</v>
      </c>
      <c r="CU214" s="4" t="s">
        <v>262</v>
      </c>
      <c r="CV214" s="4" t="s">
        <v>263</v>
      </c>
      <c r="CW214" s="4" t="s">
        <v>263</v>
      </c>
      <c r="CX214" s="4" t="s">
        <v>264</v>
      </c>
      <c r="DA214" s="6">
        <f>5222970</f>
        <v>5222970</v>
      </c>
      <c r="DC214" s="4" t="s">
        <v>422</v>
      </c>
      <c r="DD214" s="4" t="s">
        <v>241</v>
      </c>
      <c r="DF214" s="4" t="s">
        <v>287</v>
      </c>
      <c r="DG214" s="6">
        <f>0</f>
        <v>0</v>
      </c>
      <c r="DI214" s="4" t="s">
        <v>414</v>
      </c>
      <c r="DJ214" s="4" t="s">
        <v>241</v>
      </c>
      <c r="DK214" s="4" t="s">
        <v>241</v>
      </c>
      <c r="DL214" s="4" t="s">
        <v>241</v>
      </c>
      <c r="DP214" s="4" t="s">
        <v>241</v>
      </c>
      <c r="DQ214" s="4" t="s">
        <v>241</v>
      </c>
      <c r="DR214" s="4" t="s">
        <v>241</v>
      </c>
      <c r="DS214" s="4" t="s">
        <v>241</v>
      </c>
      <c r="DV214" s="4" t="s">
        <v>5102</v>
      </c>
      <c r="DW214" s="4" t="s">
        <v>690</v>
      </c>
      <c r="HO214" s="4" t="s">
        <v>267</v>
      </c>
    </row>
    <row r="215" spans="1:223" ht="19.5" customHeight="1" x14ac:dyDescent="0.4">
      <c r="A215" s="4">
        <v>1</v>
      </c>
      <c r="B215" s="4" t="s">
        <v>239</v>
      </c>
      <c r="C215" s="4">
        <v>926</v>
      </c>
      <c r="D215" s="4">
        <v>1</v>
      </c>
      <c r="E215" s="4">
        <v>1</v>
      </c>
      <c r="F215" s="4" t="s">
        <v>240</v>
      </c>
      <c r="G215" s="4" t="s">
        <v>241</v>
      </c>
      <c r="H215" s="4" t="s">
        <v>241</v>
      </c>
      <c r="I215" s="4" t="s">
        <v>5501</v>
      </c>
      <c r="J215" s="4" t="s">
        <v>4219</v>
      </c>
      <c r="K215" s="4" t="s">
        <v>251</v>
      </c>
      <c r="L215" s="4" t="s">
        <v>5500</v>
      </c>
      <c r="M215" s="5" t="s">
        <v>3185</v>
      </c>
      <c r="N215" s="6">
        <f>3239</f>
        <v>3239</v>
      </c>
      <c r="O215" s="4" t="s">
        <v>265</v>
      </c>
      <c r="P215" s="6">
        <f>7174385</f>
        <v>7174385</v>
      </c>
      <c r="Q215" s="6">
        <f>0</f>
        <v>0</v>
      </c>
      <c r="S215" s="6">
        <f>0</f>
        <v>0</v>
      </c>
      <c r="T215" s="6">
        <f>7174385</f>
        <v>7174385</v>
      </c>
      <c r="U215" s="5" t="s">
        <v>245</v>
      </c>
      <c r="V215" s="4" t="s">
        <v>270</v>
      </c>
      <c r="W215" s="4" t="s">
        <v>242</v>
      </c>
      <c r="X215" s="4" t="s">
        <v>273</v>
      </c>
      <c r="Y215" s="4" t="s">
        <v>241</v>
      </c>
      <c r="AB215" s="4" t="s">
        <v>241</v>
      </c>
      <c r="AD215" s="5" t="s">
        <v>241</v>
      </c>
      <c r="AG215" s="5" t="s">
        <v>246</v>
      </c>
      <c r="AH215" s="4" t="s">
        <v>241</v>
      </c>
      <c r="AI215" s="4" t="s">
        <v>247</v>
      </c>
      <c r="AJ215" s="4" t="s">
        <v>248</v>
      </c>
      <c r="AZ215" s="4" t="s">
        <v>249</v>
      </c>
      <c r="BA215" s="4" t="s">
        <v>241</v>
      </c>
      <c r="BB215" s="4" t="s">
        <v>250</v>
      </c>
      <c r="BC215" s="4" t="s">
        <v>241</v>
      </c>
      <c r="BD215" s="4" t="s">
        <v>252</v>
      </c>
      <c r="BE215" s="4" t="s">
        <v>241</v>
      </c>
      <c r="BG215" s="4" t="s">
        <v>4227</v>
      </c>
      <c r="BI215" s="4" t="s">
        <v>253</v>
      </c>
      <c r="BJ215" s="5" t="s">
        <v>246</v>
      </c>
      <c r="BK215" s="4" t="s">
        <v>254</v>
      </c>
      <c r="BL215" s="4" t="s">
        <v>255</v>
      </c>
      <c r="BM215" s="4" t="s">
        <v>241</v>
      </c>
      <c r="BN215" s="6">
        <f>0</f>
        <v>0</v>
      </c>
      <c r="BO215" s="6">
        <f>0</f>
        <v>0</v>
      </c>
      <c r="BP215" s="4" t="s">
        <v>256</v>
      </c>
      <c r="BQ215" s="4" t="s">
        <v>257</v>
      </c>
      <c r="CE215" s="4" t="s">
        <v>241</v>
      </c>
      <c r="CF215" s="4" t="s">
        <v>241</v>
      </c>
      <c r="CJ215" s="4" t="s">
        <v>258</v>
      </c>
      <c r="CK215" s="4" t="s">
        <v>259</v>
      </c>
      <c r="CL215" s="4" t="s">
        <v>241</v>
      </c>
      <c r="CO215" s="5" t="s">
        <v>260</v>
      </c>
      <c r="CP215" s="4" t="s">
        <v>241</v>
      </c>
      <c r="CQ215" s="4" t="s">
        <v>261</v>
      </c>
      <c r="CR215" s="4" t="s">
        <v>241</v>
      </c>
      <c r="CS215" s="4" t="s">
        <v>241</v>
      </c>
      <c r="CT215" s="4">
        <v>0</v>
      </c>
      <c r="CU215" s="4" t="s">
        <v>262</v>
      </c>
      <c r="CV215" s="4" t="s">
        <v>263</v>
      </c>
      <c r="CW215" s="4" t="s">
        <v>263</v>
      </c>
      <c r="CX215" s="4" t="s">
        <v>264</v>
      </c>
      <c r="DA215" s="6">
        <f>7174385</f>
        <v>7174385</v>
      </c>
      <c r="DC215" s="4" t="s">
        <v>422</v>
      </c>
      <c r="DD215" s="4" t="s">
        <v>241</v>
      </c>
      <c r="DF215" s="4" t="s">
        <v>287</v>
      </c>
      <c r="DG215" s="6">
        <f>0</f>
        <v>0</v>
      </c>
      <c r="DI215" s="4" t="s">
        <v>414</v>
      </c>
      <c r="DJ215" s="4" t="s">
        <v>241</v>
      </c>
      <c r="DK215" s="4" t="s">
        <v>241</v>
      </c>
      <c r="DL215" s="4" t="s">
        <v>241</v>
      </c>
      <c r="DP215" s="4" t="s">
        <v>241</v>
      </c>
      <c r="DQ215" s="4" t="s">
        <v>241</v>
      </c>
      <c r="DR215" s="4" t="s">
        <v>241</v>
      </c>
      <c r="DS215" s="4" t="s">
        <v>241</v>
      </c>
      <c r="DV215" s="4" t="s">
        <v>5502</v>
      </c>
      <c r="DW215" s="4" t="s">
        <v>267</v>
      </c>
      <c r="HO215" s="4" t="s">
        <v>267</v>
      </c>
    </row>
    <row r="216" spans="1:223" ht="19.5" customHeight="1" x14ac:dyDescent="0.4">
      <c r="A216" s="4">
        <v>1</v>
      </c>
      <c r="B216" s="4" t="s">
        <v>239</v>
      </c>
      <c r="C216" s="4">
        <v>927</v>
      </c>
      <c r="D216" s="4">
        <v>1</v>
      </c>
      <c r="E216" s="4">
        <v>1</v>
      </c>
      <c r="F216" s="4" t="s">
        <v>240</v>
      </c>
      <c r="G216" s="4" t="s">
        <v>241</v>
      </c>
      <c r="H216" s="4" t="s">
        <v>241</v>
      </c>
      <c r="I216" s="4" t="s">
        <v>5096</v>
      </c>
      <c r="J216" s="4" t="s">
        <v>4219</v>
      </c>
      <c r="K216" s="4" t="s">
        <v>251</v>
      </c>
      <c r="L216" s="4" t="s">
        <v>5095</v>
      </c>
      <c r="M216" s="5" t="s">
        <v>5097</v>
      </c>
      <c r="N216" s="6">
        <f>5903</f>
        <v>5903</v>
      </c>
      <c r="O216" s="4" t="s">
        <v>265</v>
      </c>
      <c r="P216" s="6">
        <f>13075145</f>
        <v>13075145</v>
      </c>
      <c r="Q216" s="6">
        <f>0</f>
        <v>0</v>
      </c>
      <c r="S216" s="6">
        <f>0</f>
        <v>0</v>
      </c>
      <c r="T216" s="6">
        <f>13075145</f>
        <v>13075145</v>
      </c>
      <c r="U216" s="5" t="s">
        <v>245</v>
      </c>
      <c r="V216" s="4" t="s">
        <v>270</v>
      </c>
      <c r="W216" s="4" t="s">
        <v>242</v>
      </c>
      <c r="X216" s="4" t="s">
        <v>273</v>
      </c>
      <c r="Y216" s="4" t="s">
        <v>241</v>
      </c>
      <c r="AB216" s="4" t="s">
        <v>241</v>
      </c>
      <c r="AD216" s="5" t="s">
        <v>241</v>
      </c>
      <c r="AG216" s="5" t="s">
        <v>246</v>
      </c>
      <c r="AH216" s="4" t="s">
        <v>241</v>
      </c>
      <c r="AI216" s="4" t="s">
        <v>247</v>
      </c>
      <c r="AJ216" s="4" t="s">
        <v>248</v>
      </c>
      <c r="AZ216" s="4" t="s">
        <v>249</v>
      </c>
      <c r="BA216" s="4" t="s">
        <v>241</v>
      </c>
      <c r="BB216" s="4" t="s">
        <v>250</v>
      </c>
      <c r="BC216" s="4" t="s">
        <v>241</v>
      </c>
      <c r="BD216" s="4" t="s">
        <v>252</v>
      </c>
      <c r="BE216" s="4" t="s">
        <v>241</v>
      </c>
      <c r="BG216" s="4" t="s">
        <v>4227</v>
      </c>
      <c r="BI216" s="4" t="s">
        <v>253</v>
      </c>
      <c r="BJ216" s="5" t="s">
        <v>246</v>
      </c>
      <c r="BK216" s="4" t="s">
        <v>254</v>
      </c>
      <c r="BL216" s="4" t="s">
        <v>255</v>
      </c>
      <c r="BM216" s="4" t="s">
        <v>241</v>
      </c>
      <c r="BN216" s="6">
        <f>0</f>
        <v>0</v>
      </c>
      <c r="BO216" s="6">
        <f>0</f>
        <v>0</v>
      </c>
      <c r="BP216" s="4" t="s">
        <v>256</v>
      </c>
      <c r="BQ216" s="4" t="s">
        <v>257</v>
      </c>
      <c r="CE216" s="4" t="s">
        <v>241</v>
      </c>
      <c r="CF216" s="4" t="s">
        <v>241</v>
      </c>
      <c r="CJ216" s="4" t="s">
        <v>258</v>
      </c>
      <c r="CK216" s="4" t="s">
        <v>259</v>
      </c>
      <c r="CL216" s="4" t="s">
        <v>241</v>
      </c>
      <c r="CO216" s="5" t="s">
        <v>260</v>
      </c>
      <c r="CP216" s="4" t="s">
        <v>241</v>
      </c>
      <c r="CQ216" s="4" t="s">
        <v>261</v>
      </c>
      <c r="CR216" s="4" t="s">
        <v>241</v>
      </c>
      <c r="CS216" s="4" t="s">
        <v>241</v>
      </c>
      <c r="CT216" s="4">
        <v>0</v>
      </c>
      <c r="CU216" s="4" t="s">
        <v>262</v>
      </c>
      <c r="CV216" s="4" t="s">
        <v>263</v>
      </c>
      <c r="CW216" s="4" t="s">
        <v>263</v>
      </c>
      <c r="CX216" s="4" t="s">
        <v>264</v>
      </c>
      <c r="DA216" s="6">
        <f>13075145</f>
        <v>13075145</v>
      </c>
      <c r="DC216" s="4" t="s">
        <v>422</v>
      </c>
      <c r="DD216" s="4" t="s">
        <v>241</v>
      </c>
      <c r="DF216" s="4" t="s">
        <v>422</v>
      </c>
      <c r="DG216" s="6">
        <f>5903</f>
        <v>5903</v>
      </c>
      <c r="DI216" s="4" t="s">
        <v>414</v>
      </c>
      <c r="DJ216" s="4" t="s">
        <v>241</v>
      </c>
      <c r="DK216" s="4" t="s">
        <v>241</v>
      </c>
      <c r="DL216" s="4" t="s">
        <v>241</v>
      </c>
      <c r="DP216" s="4" t="s">
        <v>241</v>
      </c>
      <c r="DQ216" s="4" t="s">
        <v>241</v>
      </c>
      <c r="DR216" s="4" t="s">
        <v>241</v>
      </c>
      <c r="DS216" s="4" t="s">
        <v>241</v>
      </c>
      <c r="DV216" s="4" t="s">
        <v>5098</v>
      </c>
      <c r="DW216" s="4" t="s">
        <v>267</v>
      </c>
      <c r="HO216" s="4" t="s">
        <v>267</v>
      </c>
    </row>
    <row r="217" spans="1:223" ht="19.5" customHeight="1" x14ac:dyDescent="0.4">
      <c r="A217" s="4">
        <v>1</v>
      </c>
      <c r="B217" s="4" t="s">
        <v>239</v>
      </c>
      <c r="C217" s="4">
        <v>928</v>
      </c>
      <c r="D217" s="4">
        <v>1</v>
      </c>
      <c r="E217" s="4">
        <v>1</v>
      </c>
      <c r="F217" s="4" t="s">
        <v>240</v>
      </c>
      <c r="G217" s="4" t="s">
        <v>241</v>
      </c>
      <c r="H217" s="4" t="s">
        <v>241</v>
      </c>
      <c r="I217" s="4" t="s">
        <v>5091</v>
      </c>
      <c r="J217" s="4" t="s">
        <v>4219</v>
      </c>
      <c r="K217" s="4" t="s">
        <v>251</v>
      </c>
      <c r="L217" s="4" t="s">
        <v>5090</v>
      </c>
      <c r="M217" s="5" t="s">
        <v>5499</v>
      </c>
      <c r="N217" s="6">
        <f>6360</f>
        <v>6360</v>
      </c>
      <c r="O217" s="4" t="s">
        <v>265</v>
      </c>
      <c r="P217" s="6">
        <f>14087400</f>
        <v>14087400</v>
      </c>
      <c r="Q217" s="6">
        <f>0</f>
        <v>0</v>
      </c>
      <c r="S217" s="6">
        <f>0</f>
        <v>0</v>
      </c>
      <c r="T217" s="6">
        <f>14087400</f>
        <v>14087400</v>
      </c>
      <c r="U217" s="5" t="s">
        <v>245</v>
      </c>
      <c r="V217" s="4" t="s">
        <v>270</v>
      </c>
      <c r="W217" s="4" t="s">
        <v>242</v>
      </c>
      <c r="X217" s="4" t="s">
        <v>273</v>
      </c>
      <c r="Y217" s="4" t="s">
        <v>241</v>
      </c>
      <c r="AB217" s="4" t="s">
        <v>241</v>
      </c>
      <c r="AD217" s="5" t="s">
        <v>241</v>
      </c>
      <c r="AG217" s="5" t="s">
        <v>246</v>
      </c>
      <c r="AH217" s="4" t="s">
        <v>241</v>
      </c>
      <c r="AI217" s="4" t="s">
        <v>247</v>
      </c>
      <c r="AJ217" s="4" t="s">
        <v>248</v>
      </c>
      <c r="AZ217" s="4" t="s">
        <v>249</v>
      </c>
      <c r="BA217" s="4" t="s">
        <v>241</v>
      </c>
      <c r="BB217" s="4" t="s">
        <v>250</v>
      </c>
      <c r="BC217" s="4" t="s">
        <v>241</v>
      </c>
      <c r="BD217" s="4" t="s">
        <v>252</v>
      </c>
      <c r="BE217" s="4" t="s">
        <v>241</v>
      </c>
      <c r="BG217" s="4" t="s">
        <v>4227</v>
      </c>
      <c r="BI217" s="4" t="s">
        <v>253</v>
      </c>
      <c r="BJ217" s="5" t="s">
        <v>246</v>
      </c>
      <c r="BK217" s="4" t="s">
        <v>254</v>
      </c>
      <c r="BL217" s="4" t="s">
        <v>255</v>
      </c>
      <c r="BM217" s="4" t="s">
        <v>241</v>
      </c>
      <c r="BN217" s="6">
        <f>0</f>
        <v>0</v>
      </c>
      <c r="BO217" s="6">
        <f>0</f>
        <v>0</v>
      </c>
      <c r="BP217" s="4" t="s">
        <v>256</v>
      </c>
      <c r="BQ217" s="4" t="s">
        <v>257</v>
      </c>
      <c r="CE217" s="4" t="s">
        <v>241</v>
      </c>
      <c r="CF217" s="4" t="s">
        <v>241</v>
      </c>
      <c r="CJ217" s="4" t="s">
        <v>258</v>
      </c>
      <c r="CK217" s="4" t="s">
        <v>259</v>
      </c>
      <c r="CL217" s="4" t="s">
        <v>241</v>
      </c>
      <c r="CO217" s="5" t="s">
        <v>260</v>
      </c>
      <c r="CP217" s="4" t="s">
        <v>241</v>
      </c>
      <c r="CQ217" s="4" t="s">
        <v>261</v>
      </c>
      <c r="CR217" s="4" t="s">
        <v>241</v>
      </c>
      <c r="CS217" s="4" t="s">
        <v>241</v>
      </c>
      <c r="CT217" s="4">
        <v>0</v>
      </c>
      <c r="CU217" s="4" t="s">
        <v>262</v>
      </c>
      <c r="CV217" s="4" t="s">
        <v>263</v>
      </c>
      <c r="CW217" s="4" t="s">
        <v>263</v>
      </c>
      <c r="CX217" s="4" t="s">
        <v>264</v>
      </c>
      <c r="DA217" s="6">
        <f>14087400</f>
        <v>14087400</v>
      </c>
      <c r="DC217" s="4" t="s">
        <v>422</v>
      </c>
      <c r="DD217" s="4" t="s">
        <v>241</v>
      </c>
      <c r="DF217" s="4" t="s">
        <v>422</v>
      </c>
      <c r="DG217" s="6">
        <f>6360</f>
        <v>6360</v>
      </c>
      <c r="DI217" s="4" t="s">
        <v>414</v>
      </c>
      <c r="DJ217" s="4" t="s">
        <v>241</v>
      </c>
      <c r="DK217" s="4" t="s">
        <v>241</v>
      </c>
      <c r="DL217" s="4" t="s">
        <v>241</v>
      </c>
      <c r="DP217" s="4" t="s">
        <v>241</v>
      </c>
      <c r="DQ217" s="4" t="s">
        <v>241</v>
      </c>
      <c r="DR217" s="4" t="s">
        <v>241</v>
      </c>
      <c r="DS217" s="4" t="s">
        <v>241</v>
      </c>
      <c r="DV217" s="4" t="s">
        <v>5093</v>
      </c>
      <c r="DW217" s="4" t="s">
        <v>267</v>
      </c>
      <c r="HO217" s="4" t="s">
        <v>267</v>
      </c>
    </row>
    <row r="218" spans="1:223" ht="19.5" customHeight="1" x14ac:dyDescent="0.4">
      <c r="A218" s="4">
        <v>1</v>
      </c>
      <c r="B218" s="4" t="s">
        <v>239</v>
      </c>
      <c r="C218" s="4">
        <v>929</v>
      </c>
      <c r="D218" s="4">
        <v>1</v>
      </c>
      <c r="E218" s="4">
        <v>1</v>
      </c>
      <c r="F218" s="4" t="s">
        <v>240</v>
      </c>
      <c r="G218" s="4" t="s">
        <v>241</v>
      </c>
      <c r="H218" s="4" t="s">
        <v>241</v>
      </c>
      <c r="I218" s="4" t="s">
        <v>5091</v>
      </c>
      <c r="J218" s="4" t="s">
        <v>4219</v>
      </c>
      <c r="K218" s="4" t="s">
        <v>251</v>
      </c>
      <c r="L218" s="4" t="s">
        <v>5090</v>
      </c>
      <c r="M218" s="5" t="s">
        <v>5094</v>
      </c>
      <c r="N218" s="6">
        <f>888</f>
        <v>888</v>
      </c>
      <c r="O218" s="4" t="s">
        <v>265</v>
      </c>
      <c r="P218" s="6">
        <f>1966920</f>
        <v>1966920</v>
      </c>
      <c r="Q218" s="6">
        <f>0</f>
        <v>0</v>
      </c>
      <c r="S218" s="6">
        <f>0</f>
        <v>0</v>
      </c>
      <c r="T218" s="6">
        <f>1966920</f>
        <v>1966920</v>
      </c>
      <c r="U218" s="5" t="s">
        <v>245</v>
      </c>
      <c r="V218" s="4" t="s">
        <v>270</v>
      </c>
      <c r="W218" s="4" t="s">
        <v>242</v>
      </c>
      <c r="X218" s="4" t="s">
        <v>273</v>
      </c>
      <c r="Y218" s="4" t="s">
        <v>241</v>
      </c>
      <c r="AB218" s="4" t="s">
        <v>241</v>
      </c>
      <c r="AD218" s="5" t="s">
        <v>241</v>
      </c>
      <c r="AG218" s="5" t="s">
        <v>246</v>
      </c>
      <c r="AH218" s="4" t="s">
        <v>241</v>
      </c>
      <c r="AI218" s="4" t="s">
        <v>247</v>
      </c>
      <c r="AJ218" s="4" t="s">
        <v>248</v>
      </c>
      <c r="AZ218" s="4" t="s">
        <v>249</v>
      </c>
      <c r="BA218" s="4" t="s">
        <v>241</v>
      </c>
      <c r="BB218" s="4" t="s">
        <v>250</v>
      </c>
      <c r="BC218" s="4" t="s">
        <v>241</v>
      </c>
      <c r="BD218" s="4" t="s">
        <v>252</v>
      </c>
      <c r="BE218" s="4" t="s">
        <v>241</v>
      </c>
      <c r="BI218" s="4" t="s">
        <v>253</v>
      </c>
      <c r="BJ218" s="5" t="s">
        <v>246</v>
      </c>
      <c r="BK218" s="4" t="s">
        <v>254</v>
      </c>
      <c r="BL218" s="4" t="s">
        <v>255</v>
      </c>
      <c r="BM218" s="4" t="s">
        <v>241</v>
      </c>
      <c r="BN218" s="6">
        <f>0</f>
        <v>0</v>
      </c>
      <c r="BO218" s="6">
        <f>0</f>
        <v>0</v>
      </c>
      <c r="BP218" s="4" t="s">
        <v>256</v>
      </c>
      <c r="BQ218" s="4" t="s">
        <v>257</v>
      </c>
      <c r="CE218" s="4" t="s">
        <v>241</v>
      </c>
      <c r="CF218" s="4" t="s">
        <v>241</v>
      </c>
      <c r="CJ218" s="4" t="s">
        <v>258</v>
      </c>
      <c r="CK218" s="4" t="s">
        <v>259</v>
      </c>
      <c r="CL218" s="4" t="s">
        <v>241</v>
      </c>
      <c r="CO218" s="5" t="s">
        <v>260</v>
      </c>
      <c r="CP218" s="4" t="s">
        <v>241</v>
      </c>
      <c r="CQ218" s="4" t="s">
        <v>261</v>
      </c>
      <c r="CR218" s="4" t="s">
        <v>241</v>
      </c>
      <c r="CS218" s="4" t="s">
        <v>241</v>
      </c>
      <c r="CT218" s="4">
        <v>0</v>
      </c>
      <c r="CU218" s="4" t="s">
        <v>262</v>
      </c>
      <c r="CV218" s="4" t="s">
        <v>263</v>
      </c>
      <c r="CW218" s="4" t="s">
        <v>263</v>
      </c>
      <c r="CX218" s="4" t="s">
        <v>264</v>
      </c>
      <c r="DA218" s="6">
        <f>1966920</f>
        <v>1966920</v>
      </c>
      <c r="DC218" s="4" t="s">
        <v>422</v>
      </c>
      <c r="DD218" s="4" t="s">
        <v>241</v>
      </c>
      <c r="DF218" s="4" t="s">
        <v>422</v>
      </c>
      <c r="DG218" s="6">
        <f>888</f>
        <v>888</v>
      </c>
      <c r="DI218" s="4" t="s">
        <v>414</v>
      </c>
      <c r="DJ218" s="4" t="s">
        <v>241</v>
      </c>
      <c r="DK218" s="4" t="s">
        <v>241</v>
      </c>
      <c r="DL218" s="4" t="s">
        <v>241</v>
      </c>
      <c r="DP218" s="4" t="s">
        <v>241</v>
      </c>
      <c r="DQ218" s="4" t="s">
        <v>241</v>
      </c>
      <c r="DR218" s="4" t="s">
        <v>241</v>
      </c>
      <c r="DS218" s="4" t="s">
        <v>241</v>
      </c>
      <c r="DV218" s="4" t="s">
        <v>5093</v>
      </c>
      <c r="DW218" s="4" t="s">
        <v>416</v>
      </c>
      <c r="HO218" s="4" t="s">
        <v>267</v>
      </c>
    </row>
    <row r="219" spans="1:223" ht="19.5" customHeight="1" x14ac:dyDescent="0.4">
      <c r="A219" s="4">
        <v>1</v>
      </c>
      <c r="B219" s="4" t="s">
        <v>239</v>
      </c>
      <c r="C219" s="4">
        <v>930</v>
      </c>
      <c r="D219" s="4">
        <v>1</v>
      </c>
      <c r="E219" s="4">
        <v>1</v>
      </c>
      <c r="F219" s="4" t="s">
        <v>240</v>
      </c>
      <c r="G219" s="4" t="s">
        <v>241</v>
      </c>
      <c r="H219" s="4" t="s">
        <v>241</v>
      </c>
      <c r="I219" s="4" t="s">
        <v>5091</v>
      </c>
      <c r="J219" s="4" t="s">
        <v>4219</v>
      </c>
      <c r="K219" s="4" t="s">
        <v>251</v>
      </c>
      <c r="L219" s="4" t="s">
        <v>5090</v>
      </c>
      <c r="M219" s="5" t="s">
        <v>5092</v>
      </c>
      <c r="N219" s="6">
        <f>4532</f>
        <v>4532</v>
      </c>
      <c r="O219" s="4" t="s">
        <v>265</v>
      </c>
      <c r="P219" s="6">
        <f>10038380</f>
        <v>10038380</v>
      </c>
      <c r="Q219" s="6">
        <f>0</f>
        <v>0</v>
      </c>
      <c r="S219" s="6">
        <f>0</f>
        <v>0</v>
      </c>
      <c r="T219" s="6">
        <f>10038380</f>
        <v>10038380</v>
      </c>
      <c r="U219" s="5" t="s">
        <v>245</v>
      </c>
      <c r="V219" s="4" t="s">
        <v>270</v>
      </c>
      <c r="W219" s="4" t="s">
        <v>242</v>
      </c>
      <c r="X219" s="4" t="s">
        <v>273</v>
      </c>
      <c r="Y219" s="4" t="s">
        <v>241</v>
      </c>
      <c r="AB219" s="4" t="s">
        <v>241</v>
      </c>
      <c r="AD219" s="5" t="s">
        <v>241</v>
      </c>
      <c r="AG219" s="5" t="s">
        <v>246</v>
      </c>
      <c r="AH219" s="4" t="s">
        <v>241</v>
      </c>
      <c r="AI219" s="4" t="s">
        <v>247</v>
      </c>
      <c r="AJ219" s="4" t="s">
        <v>248</v>
      </c>
      <c r="AZ219" s="4" t="s">
        <v>249</v>
      </c>
      <c r="BA219" s="4" t="s">
        <v>241</v>
      </c>
      <c r="BB219" s="4" t="s">
        <v>250</v>
      </c>
      <c r="BC219" s="4" t="s">
        <v>241</v>
      </c>
      <c r="BD219" s="4" t="s">
        <v>252</v>
      </c>
      <c r="BE219" s="4" t="s">
        <v>241</v>
      </c>
      <c r="BI219" s="4" t="s">
        <v>253</v>
      </c>
      <c r="BJ219" s="5" t="s">
        <v>246</v>
      </c>
      <c r="BK219" s="4" t="s">
        <v>254</v>
      </c>
      <c r="BL219" s="4" t="s">
        <v>255</v>
      </c>
      <c r="BM219" s="4" t="s">
        <v>241</v>
      </c>
      <c r="BN219" s="6">
        <f>0</f>
        <v>0</v>
      </c>
      <c r="BO219" s="6">
        <f>0</f>
        <v>0</v>
      </c>
      <c r="BP219" s="4" t="s">
        <v>256</v>
      </c>
      <c r="BQ219" s="4" t="s">
        <v>257</v>
      </c>
      <c r="CE219" s="4" t="s">
        <v>241</v>
      </c>
      <c r="CF219" s="4" t="s">
        <v>241</v>
      </c>
      <c r="CJ219" s="4" t="s">
        <v>258</v>
      </c>
      <c r="CK219" s="4" t="s">
        <v>259</v>
      </c>
      <c r="CL219" s="4" t="s">
        <v>241</v>
      </c>
      <c r="CO219" s="5" t="s">
        <v>260</v>
      </c>
      <c r="CP219" s="4" t="s">
        <v>241</v>
      </c>
      <c r="CQ219" s="4" t="s">
        <v>261</v>
      </c>
      <c r="CR219" s="4" t="s">
        <v>241</v>
      </c>
      <c r="CS219" s="4" t="s">
        <v>241</v>
      </c>
      <c r="CT219" s="4">
        <v>0</v>
      </c>
      <c r="CU219" s="4" t="s">
        <v>262</v>
      </c>
      <c r="CV219" s="4" t="s">
        <v>263</v>
      </c>
      <c r="CW219" s="4" t="s">
        <v>263</v>
      </c>
      <c r="CX219" s="4" t="s">
        <v>264</v>
      </c>
      <c r="DA219" s="6">
        <f>10038380</f>
        <v>10038380</v>
      </c>
      <c r="DC219" s="4" t="s">
        <v>422</v>
      </c>
      <c r="DD219" s="4" t="s">
        <v>241</v>
      </c>
      <c r="DF219" s="4" t="s">
        <v>422</v>
      </c>
      <c r="DG219" s="6">
        <f>4532</f>
        <v>4532</v>
      </c>
      <c r="DI219" s="4" t="s">
        <v>414</v>
      </c>
      <c r="DJ219" s="4" t="s">
        <v>241</v>
      </c>
      <c r="DK219" s="4" t="s">
        <v>241</v>
      </c>
      <c r="DL219" s="4" t="s">
        <v>241</v>
      </c>
      <c r="DP219" s="4" t="s">
        <v>241</v>
      </c>
      <c r="DQ219" s="4" t="s">
        <v>241</v>
      </c>
      <c r="DR219" s="4" t="s">
        <v>241</v>
      </c>
      <c r="DS219" s="4" t="s">
        <v>241</v>
      </c>
      <c r="DV219" s="4" t="s">
        <v>5093</v>
      </c>
      <c r="DW219" s="4" t="s">
        <v>388</v>
      </c>
      <c r="HO219" s="4" t="s">
        <v>267</v>
      </c>
    </row>
    <row r="220" spans="1:223" ht="19.5" customHeight="1" x14ac:dyDescent="0.4">
      <c r="A220" s="4">
        <v>1</v>
      </c>
      <c r="B220" s="4" t="s">
        <v>239</v>
      </c>
      <c r="C220" s="4">
        <v>931</v>
      </c>
      <c r="D220" s="4">
        <v>1</v>
      </c>
      <c r="E220" s="4">
        <v>1</v>
      </c>
      <c r="F220" s="4" t="s">
        <v>240</v>
      </c>
      <c r="G220" s="4" t="s">
        <v>241</v>
      </c>
      <c r="H220" s="4" t="s">
        <v>241</v>
      </c>
      <c r="I220" s="4" t="s">
        <v>5088</v>
      </c>
      <c r="J220" s="4" t="s">
        <v>299</v>
      </c>
      <c r="K220" s="4" t="s">
        <v>251</v>
      </c>
      <c r="L220" s="4" t="s">
        <v>5087</v>
      </c>
      <c r="M220" s="5" t="s">
        <v>300</v>
      </c>
      <c r="N220" s="6">
        <f>5188</f>
        <v>5188</v>
      </c>
      <c r="O220" s="4" t="s">
        <v>265</v>
      </c>
      <c r="P220" s="6">
        <f>40985200</f>
        <v>40985200</v>
      </c>
      <c r="Q220" s="6">
        <f>0</f>
        <v>0</v>
      </c>
      <c r="S220" s="6">
        <f>0</f>
        <v>0</v>
      </c>
      <c r="T220" s="6">
        <f>40985200</f>
        <v>40985200</v>
      </c>
      <c r="U220" s="5" t="s">
        <v>245</v>
      </c>
      <c r="V220" s="4" t="s">
        <v>270</v>
      </c>
      <c r="W220" s="4" t="s">
        <v>242</v>
      </c>
      <c r="X220" s="4" t="s">
        <v>273</v>
      </c>
      <c r="Y220" s="4" t="s">
        <v>241</v>
      </c>
      <c r="AB220" s="4" t="s">
        <v>241</v>
      </c>
      <c r="AD220" s="5" t="s">
        <v>241</v>
      </c>
      <c r="AG220" s="5" t="s">
        <v>246</v>
      </c>
      <c r="AH220" s="4" t="s">
        <v>241</v>
      </c>
      <c r="AI220" s="4" t="s">
        <v>247</v>
      </c>
      <c r="AJ220" s="4" t="s">
        <v>248</v>
      </c>
      <c r="AZ220" s="4" t="s">
        <v>249</v>
      </c>
      <c r="BA220" s="4" t="s">
        <v>241</v>
      </c>
      <c r="BB220" s="4" t="s">
        <v>250</v>
      </c>
      <c r="BC220" s="4" t="s">
        <v>241</v>
      </c>
      <c r="BD220" s="4" t="s">
        <v>252</v>
      </c>
      <c r="BE220" s="4" t="s">
        <v>241</v>
      </c>
      <c r="BG220" s="4" t="s">
        <v>4227</v>
      </c>
      <c r="BI220" s="4" t="s">
        <v>253</v>
      </c>
      <c r="BJ220" s="5" t="s">
        <v>246</v>
      </c>
      <c r="BK220" s="4" t="s">
        <v>254</v>
      </c>
      <c r="BL220" s="4" t="s">
        <v>255</v>
      </c>
      <c r="BM220" s="4" t="s">
        <v>241</v>
      </c>
      <c r="BN220" s="6">
        <f>0</f>
        <v>0</v>
      </c>
      <c r="BO220" s="6">
        <f>0</f>
        <v>0</v>
      </c>
      <c r="BP220" s="4" t="s">
        <v>256</v>
      </c>
      <c r="BQ220" s="4" t="s">
        <v>257</v>
      </c>
      <c r="CE220" s="4" t="s">
        <v>241</v>
      </c>
      <c r="CF220" s="4" t="s">
        <v>241</v>
      </c>
      <c r="CJ220" s="4" t="s">
        <v>258</v>
      </c>
      <c r="CK220" s="4" t="s">
        <v>259</v>
      </c>
      <c r="CL220" s="4" t="s">
        <v>241</v>
      </c>
      <c r="CO220" s="5" t="s">
        <v>260</v>
      </c>
      <c r="CP220" s="4" t="s">
        <v>241</v>
      </c>
      <c r="CQ220" s="4" t="s">
        <v>261</v>
      </c>
      <c r="CR220" s="4" t="s">
        <v>241</v>
      </c>
      <c r="CS220" s="4" t="s">
        <v>241</v>
      </c>
      <c r="CT220" s="4">
        <v>0</v>
      </c>
      <c r="CU220" s="4" t="s">
        <v>262</v>
      </c>
      <c r="CV220" s="4" t="s">
        <v>263</v>
      </c>
      <c r="CW220" s="4" t="s">
        <v>263</v>
      </c>
      <c r="CX220" s="4" t="s">
        <v>264</v>
      </c>
      <c r="DA220" s="6">
        <f>40985200</f>
        <v>40985200</v>
      </c>
      <c r="DC220" s="4" t="s">
        <v>266</v>
      </c>
      <c r="DD220" s="4" t="s">
        <v>241</v>
      </c>
      <c r="DF220" s="4" t="s">
        <v>266</v>
      </c>
      <c r="DG220" s="6">
        <f>0</f>
        <v>0</v>
      </c>
      <c r="DH220" s="5" t="s">
        <v>3168</v>
      </c>
      <c r="DI220" s="4" t="s">
        <v>266</v>
      </c>
      <c r="DJ220" s="4" t="s">
        <v>241</v>
      </c>
      <c r="DK220" s="4" t="s">
        <v>241</v>
      </c>
      <c r="DL220" s="4" t="s">
        <v>241</v>
      </c>
      <c r="DP220" s="4" t="s">
        <v>241</v>
      </c>
      <c r="DQ220" s="4" t="s">
        <v>241</v>
      </c>
      <c r="DR220" s="4" t="s">
        <v>241</v>
      </c>
      <c r="DS220" s="4" t="s">
        <v>241</v>
      </c>
      <c r="DV220" s="4" t="s">
        <v>5089</v>
      </c>
      <c r="DW220" s="4" t="s">
        <v>267</v>
      </c>
      <c r="HO220" s="4" t="s">
        <v>267</v>
      </c>
    </row>
    <row r="221" spans="1:223" ht="19.5" customHeight="1" x14ac:dyDescent="0.4">
      <c r="A221" s="4">
        <v>1</v>
      </c>
      <c r="B221" s="4" t="s">
        <v>239</v>
      </c>
      <c r="C221" s="4">
        <v>932</v>
      </c>
      <c r="D221" s="4">
        <v>1</v>
      </c>
      <c r="E221" s="4">
        <v>1</v>
      </c>
      <c r="F221" s="4" t="s">
        <v>240</v>
      </c>
      <c r="G221" s="4" t="s">
        <v>241</v>
      </c>
      <c r="H221" s="4" t="s">
        <v>241</v>
      </c>
      <c r="I221" s="4" t="s">
        <v>5079</v>
      </c>
      <c r="J221" s="4" t="s">
        <v>4219</v>
      </c>
      <c r="K221" s="4" t="s">
        <v>251</v>
      </c>
      <c r="L221" s="4" t="s">
        <v>5078</v>
      </c>
      <c r="M221" s="5" t="s">
        <v>5085</v>
      </c>
      <c r="N221" s="6">
        <f>1100</f>
        <v>1100</v>
      </c>
      <c r="O221" s="4" t="s">
        <v>265</v>
      </c>
      <c r="P221" s="6">
        <f>2436500</f>
        <v>2436500</v>
      </c>
      <c r="Q221" s="6">
        <f>0</f>
        <v>0</v>
      </c>
      <c r="S221" s="6">
        <f>0</f>
        <v>0</v>
      </c>
      <c r="T221" s="6">
        <f>2436500</f>
        <v>2436500</v>
      </c>
      <c r="U221" s="5" t="s">
        <v>245</v>
      </c>
      <c r="V221" s="4" t="s">
        <v>270</v>
      </c>
      <c r="W221" s="4" t="s">
        <v>242</v>
      </c>
      <c r="X221" s="4" t="s">
        <v>273</v>
      </c>
      <c r="Y221" s="4" t="s">
        <v>241</v>
      </c>
      <c r="AB221" s="4" t="s">
        <v>241</v>
      </c>
      <c r="AD221" s="5" t="s">
        <v>241</v>
      </c>
      <c r="AG221" s="5" t="s">
        <v>246</v>
      </c>
      <c r="AH221" s="4" t="s">
        <v>241</v>
      </c>
      <c r="AI221" s="4" t="s">
        <v>247</v>
      </c>
      <c r="AJ221" s="4" t="s">
        <v>248</v>
      </c>
      <c r="AZ221" s="4" t="s">
        <v>249</v>
      </c>
      <c r="BA221" s="4" t="s">
        <v>241</v>
      </c>
      <c r="BB221" s="4" t="s">
        <v>250</v>
      </c>
      <c r="BC221" s="4" t="s">
        <v>241</v>
      </c>
      <c r="BD221" s="4" t="s">
        <v>252</v>
      </c>
      <c r="BE221" s="4" t="s">
        <v>241</v>
      </c>
      <c r="BG221" s="4" t="s">
        <v>4227</v>
      </c>
      <c r="BI221" s="4" t="s">
        <v>253</v>
      </c>
      <c r="BJ221" s="5" t="s">
        <v>246</v>
      </c>
      <c r="BK221" s="4" t="s">
        <v>254</v>
      </c>
      <c r="BL221" s="4" t="s">
        <v>255</v>
      </c>
      <c r="BM221" s="4" t="s">
        <v>241</v>
      </c>
      <c r="BN221" s="6">
        <f>0</f>
        <v>0</v>
      </c>
      <c r="BO221" s="6">
        <f>0</f>
        <v>0</v>
      </c>
      <c r="BP221" s="4" t="s">
        <v>256</v>
      </c>
      <c r="BQ221" s="4" t="s">
        <v>257</v>
      </c>
      <c r="CE221" s="4" t="s">
        <v>241</v>
      </c>
      <c r="CF221" s="4" t="s">
        <v>241</v>
      </c>
      <c r="CJ221" s="4" t="s">
        <v>258</v>
      </c>
      <c r="CK221" s="4" t="s">
        <v>259</v>
      </c>
      <c r="CL221" s="4" t="s">
        <v>241</v>
      </c>
      <c r="CO221" s="5" t="s">
        <v>260</v>
      </c>
      <c r="CP221" s="4" t="s">
        <v>241</v>
      </c>
      <c r="CQ221" s="4" t="s">
        <v>261</v>
      </c>
      <c r="CR221" s="4" t="s">
        <v>241</v>
      </c>
      <c r="CS221" s="4" t="s">
        <v>241</v>
      </c>
      <c r="CT221" s="4">
        <v>0</v>
      </c>
      <c r="CU221" s="4" t="s">
        <v>262</v>
      </c>
      <c r="CV221" s="4" t="s">
        <v>263</v>
      </c>
      <c r="CW221" s="4" t="s">
        <v>263</v>
      </c>
      <c r="CX221" s="4" t="s">
        <v>264</v>
      </c>
      <c r="DA221" s="6">
        <f>2436500</f>
        <v>2436500</v>
      </c>
      <c r="DC221" s="4" t="s">
        <v>422</v>
      </c>
      <c r="DD221" s="4" t="s">
        <v>241</v>
      </c>
      <c r="DF221" s="4" t="s">
        <v>422</v>
      </c>
      <c r="DG221" s="6">
        <f>1100</f>
        <v>1100</v>
      </c>
      <c r="DH221" s="5" t="s">
        <v>5086</v>
      </c>
      <c r="DI221" s="4" t="s">
        <v>414</v>
      </c>
      <c r="DJ221" s="4" t="s">
        <v>241</v>
      </c>
      <c r="DK221" s="4" t="s">
        <v>241</v>
      </c>
      <c r="DL221" s="4" t="s">
        <v>241</v>
      </c>
      <c r="DP221" s="4" t="s">
        <v>241</v>
      </c>
      <c r="DQ221" s="4" t="s">
        <v>241</v>
      </c>
      <c r="DR221" s="4" t="s">
        <v>241</v>
      </c>
      <c r="DS221" s="4" t="s">
        <v>241</v>
      </c>
      <c r="DV221" s="4" t="s">
        <v>5082</v>
      </c>
      <c r="DW221" s="4" t="s">
        <v>267</v>
      </c>
      <c r="HO221" s="4" t="s">
        <v>267</v>
      </c>
    </row>
    <row r="222" spans="1:223" ht="19.5" customHeight="1" x14ac:dyDescent="0.4">
      <c r="A222" s="4">
        <v>1</v>
      </c>
      <c r="B222" s="4" t="s">
        <v>239</v>
      </c>
      <c r="C222" s="4">
        <v>933</v>
      </c>
      <c r="D222" s="4">
        <v>1</v>
      </c>
      <c r="E222" s="4">
        <v>1</v>
      </c>
      <c r="F222" s="4" t="s">
        <v>240</v>
      </c>
      <c r="G222" s="4" t="s">
        <v>241</v>
      </c>
      <c r="H222" s="4" t="s">
        <v>241</v>
      </c>
      <c r="I222" s="4" t="s">
        <v>5079</v>
      </c>
      <c r="J222" s="4" t="s">
        <v>4219</v>
      </c>
      <c r="K222" s="4" t="s">
        <v>251</v>
      </c>
      <c r="L222" s="4" t="s">
        <v>5078</v>
      </c>
      <c r="M222" s="5" t="s">
        <v>5080</v>
      </c>
      <c r="N222" s="6">
        <f>3221</f>
        <v>3221</v>
      </c>
      <c r="O222" s="4" t="s">
        <v>265</v>
      </c>
      <c r="P222" s="6">
        <f>7134515</f>
        <v>7134515</v>
      </c>
      <c r="Q222" s="6">
        <f>0</f>
        <v>0</v>
      </c>
      <c r="S222" s="6">
        <f>0</f>
        <v>0</v>
      </c>
      <c r="T222" s="6">
        <f>7134515</f>
        <v>7134515</v>
      </c>
      <c r="U222" s="5" t="s">
        <v>245</v>
      </c>
      <c r="V222" s="4" t="s">
        <v>270</v>
      </c>
      <c r="W222" s="4" t="s">
        <v>242</v>
      </c>
      <c r="X222" s="4" t="s">
        <v>273</v>
      </c>
      <c r="Y222" s="4" t="s">
        <v>241</v>
      </c>
      <c r="AB222" s="4" t="s">
        <v>241</v>
      </c>
      <c r="AD222" s="5" t="s">
        <v>241</v>
      </c>
      <c r="AG222" s="5" t="s">
        <v>246</v>
      </c>
      <c r="AH222" s="4" t="s">
        <v>241</v>
      </c>
      <c r="AI222" s="4" t="s">
        <v>247</v>
      </c>
      <c r="AJ222" s="4" t="s">
        <v>248</v>
      </c>
      <c r="AZ222" s="4" t="s">
        <v>249</v>
      </c>
      <c r="BA222" s="4" t="s">
        <v>241</v>
      </c>
      <c r="BB222" s="4" t="s">
        <v>250</v>
      </c>
      <c r="BC222" s="4" t="s">
        <v>241</v>
      </c>
      <c r="BD222" s="4" t="s">
        <v>252</v>
      </c>
      <c r="BE222" s="4" t="s">
        <v>241</v>
      </c>
      <c r="BI222" s="4" t="s">
        <v>253</v>
      </c>
      <c r="BJ222" s="5" t="s">
        <v>246</v>
      </c>
      <c r="BK222" s="4" t="s">
        <v>254</v>
      </c>
      <c r="BL222" s="4" t="s">
        <v>255</v>
      </c>
      <c r="BM222" s="4" t="s">
        <v>241</v>
      </c>
      <c r="BN222" s="6">
        <f>0</f>
        <v>0</v>
      </c>
      <c r="BO222" s="6">
        <f>0</f>
        <v>0</v>
      </c>
      <c r="BP222" s="4" t="s">
        <v>256</v>
      </c>
      <c r="BQ222" s="4" t="s">
        <v>257</v>
      </c>
      <c r="CE222" s="4" t="s">
        <v>241</v>
      </c>
      <c r="CF222" s="4" t="s">
        <v>241</v>
      </c>
      <c r="CJ222" s="4" t="s">
        <v>258</v>
      </c>
      <c r="CK222" s="4" t="s">
        <v>259</v>
      </c>
      <c r="CL222" s="4" t="s">
        <v>241</v>
      </c>
      <c r="CO222" s="5" t="s">
        <v>260</v>
      </c>
      <c r="CP222" s="4" t="s">
        <v>241</v>
      </c>
      <c r="CQ222" s="4" t="s">
        <v>261</v>
      </c>
      <c r="CR222" s="4" t="s">
        <v>241</v>
      </c>
      <c r="CS222" s="4" t="s">
        <v>241</v>
      </c>
      <c r="CT222" s="4">
        <v>0</v>
      </c>
      <c r="CU222" s="4" t="s">
        <v>262</v>
      </c>
      <c r="CV222" s="4" t="s">
        <v>263</v>
      </c>
      <c r="CW222" s="4" t="s">
        <v>263</v>
      </c>
      <c r="CX222" s="4" t="s">
        <v>264</v>
      </c>
      <c r="DA222" s="6">
        <f>7134515</f>
        <v>7134515</v>
      </c>
      <c r="DC222" s="4" t="s">
        <v>422</v>
      </c>
      <c r="DD222" s="4" t="s">
        <v>241</v>
      </c>
      <c r="DF222" s="4" t="s">
        <v>422</v>
      </c>
      <c r="DG222" s="6">
        <f>3221</f>
        <v>3221</v>
      </c>
      <c r="DH222" s="5" t="s">
        <v>5081</v>
      </c>
      <c r="DI222" s="4" t="s">
        <v>414</v>
      </c>
      <c r="DJ222" s="4" t="s">
        <v>241</v>
      </c>
      <c r="DK222" s="4" t="s">
        <v>241</v>
      </c>
      <c r="DL222" s="4" t="s">
        <v>241</v>
      </c>
      <c r="DP222" s="4" t="s">
        <v>241</v>
      </c>
      <c r="DQ222" s="4" t="s">
        <v>241</v>
      </c>
      <c r="DR222" s="4" t="s">
        <v>241</v>
      </c>
      <c r="DS222" s="4" t="s">
        <v>241</v>
      </c>
      <c r="DV222" s="4" t="s">
        <v>5082</v>
      </c>
      <c r="DW222" s="4" t="s">
        <v>416</v>
      </c>
      <c r="HO222" s="4" t="s">
        <v>267</v>
      </c>
    </row>
    <row r="223" spans="1:223" ht="19.5" customHeight="1" x14ac:dyDescent="0.4">
      <c r="A223" s="4">
        <v>1</v>
      </c>
      <c r="B223" s="4" t="s">
        <v>239</v>
      </c>
      <c r="C223" s="4">
        <v>934</v>
      </c>
      <c r="D223" s="4">
        <v>1</v>
      </c>
      <c r="E223" s="4">
        <v>1</v>
      </c>
      <c r="F223" s="4" t="s">
        <v>240</v>
      </c>
      <c r="G223" s="4" t="s">
        <v>241</v>
      </c>
      <c r="H223" s="4" t="s">
        <v>241</v>
      </c>
      <c r="I223" s="4" t="s">
        <v>5079</v>
      </c>
      <c r="J223" s="4" t="s">
        <v>4219</v>
      </c>
      <c r="K223" s="4" t="s">
        <v>251</v>
      </c>
      <c r="L223" s="4" t="s">
        <v>5078</v>
      </c>
      <c r="M223" s="5" t="s">
        <v>5083</v>
      </c>
      <c r="N223" s="6">
        <f>234</f>
        <v>234</v>
      </c>
      <c r="O223" s="4" t="s">
        <v>265</v>
      </c>
      <c r="P223" s="6">
        <f>518310</f>
        <v>518310</v>
      </c>
      <c r="Q223" s="6">
        <f>0</f>
        <v>0</v>
      </c>
      <c r="S223" s="6">
        <f>0</f>
        <v>0</v>
      </c>
      <c r="T223" s="6">
        <f>518310</f>
        <v>518310</v>
      </c>
      <c r="U223" s="5" t="s">
        <v>245</v>
      </c>
      <c r="V223" s="4" t="s">
        <v>270</v>
      </c>
      <c r="W223" s="4" t="s">
        <v>242</v>
      </c>
      <c r="X223" s="4" t="s">
        <v>273</v>
      </c>
      <c r="Y223" s="4" t="s">
        <v>241</v>
      </c>
      <c r="AB223" s="4" t="s">
        <v>241</v>
      </c>
      <c r="AD223" s="5" t="s">
        <v>241</v>
      </c>
      <c r="AG223" s="5" t="s">
        <v>246</v>
      </c>
      <c r="AH223" s="4" t="s">
        <v>241</v>
      </c>
      <c r="AI223" s="4" t="s">
        <v>247</v>
      </c>
      <c r="AJ223" s="4" t="s">
        <v>248</v>
      </c>
      <c r="AZ223" s="4" t="s">
        <v>249</v>
      </c>
      <c r="BA223" s="4" t="s">
        <v>241</v>
      </c>
      <c r="BB223" s="4" t="s">
        <v>250</v>
      </c>
      <c r="BC223" s="4" t="s">
        <v>241</v>
      </c>
      <c r="BD223" s="4" t="s">
        <v>252</v>
      </c>
      <c r="BE223" s="4" t="s">
        <v>241</v>
      </c>
      <c r="BI223" s="4" t="s">
        <v>253</v>
      </c>
      <c r="BJ223" s="5" t="s">
        <v>246</v>
      </c>
      <c r="BK223" s="4" t="s">
        <v>254</v>
      </c>
      <c r="BL223" s="4" t="s">
        <v>255</v>
      </c>
      <c r="BM223" s="4" t="s">
        <v>241</v>
      </c>
      <c r="BN223" s="6">
        <f>0</f>
        <v>0</v>
      </c>
      <c r="BO223" s="6">
        <f>0</f>
        <v>0</v>
      </c>
      <c r="BP223" s="4" t="s">
        <v>256</v>
      </c>
      <c r="BQ223" s="4" t="s">
        <v>257</v>
      </c>
      <c r="CE223" s="4" t="s">
        <v>241</v>
      </c>
      <c r="CF223" s="4" t="s">
        <v>241</v>
      </c>
      <c r="CJ223" s="4" t="s">
        <v>258</v>
      </c>
      <c r="CK223" s="4" t="s">
        <v>259</v>
      </c>
      <c r="CL223" s="4" t="s">
        <v>241</v>
      </c>
      <c r="CO223" s="5" t="s">
        <v>260</v>
      </c>
      <c r="CP223" s="4" t="s">
        <v>241</v>
      </c>
      <c r="CQ223" s="4" t="s">
        <v>261</v>
      </c>
      <c r="CR223" s="4" t="s">
        <v>241</v>
      </c>
      <c r="CS223" s="4" t="s">
        <v>241</v>
      </c>
      <c r="CT223" s="4">
        <v>0</v>
      </c>
      <c r="CU223" s="4" t="s">
        <v>262</v>
      </c>
      <c r="CV223" s="4" t="s">
        <v>263</v>
      </c>
      <c r="CW223" s="4" t="s">
        <v>263</v>
      </c>
      <c r="CX223" s="4" t="s">
        <v>264</v>
      </c>
      <c r="DA223" s="6">
        <f>518310</f>
        <v>518310</v>
      </c>
      <c r="DC223" s="4" t="s">
        <v>422</v>
      </c>
      <c r="DD223" s="4" t="s">
        <v>241</v>
      </c>
      <c r="DF223" s="4" t="s">
        <v>422</v>
      </c>
      <c r="DG223" s="6">
        <f>234</f>
        <v>234</v>
      </c>
      <c r="DH223" s="5" t="s">
        <v>3169</v>
      </c>
      <c r="DI223" s="4" t="s">
        <v>414</v>
      </c>
      <c r="DJ223" s="4" t="s">
        <v>241</v>
      </c>
      <c r="DK223" s="4" t="s">
        <v>241</v>
      </c>
      <c r="DL223" s="4" t="s">
        <v>241</v>
      </c>
      <c r="DP223" s="4" t="s">
        <v>241</v>
      </c>
      <c r="DQ223" s="4" t="s">
        <v>241</v>
      </c>
      <c r="DR223" s="4" t="s">
        <v>241</v>
      </c>
      <c r="DS223" s="4" t="s">
        <v>241</v>
      </c>
      <c r="DV223" s="4" t="s">
        <v>5082</v>
      </c>
      <c r="DW223" s="4" t="s">
        <v>388</v>
      </c>
      <c r="HO223" s="4" t="s">
        <v>267</v>
      </c>
    </row>
    <row r="224" spans="1:223" ht="19.5" customHeight="1" x14ac:dyDescent="0.4">
      <c r="A224" s="4">
        <v>1</v>
      </c>
      <c r="B224" s="4" t="s">
        <v>239</v>
      </c>
      <c r="C224" s="4">
        <v>935</v>
      </c>
      <c r="D224" s="4">
        <v>1</v>
      </c>
      <c r="E224" s="4">
        <v>1</v>
      </c>
      <c r="F224" s="4" t="s">
        <v>240</v>
      </c>
      <c r="G224" s="4" t="s">
        <v>241</v>
      </c>
      <c r="H224" s="4" t="s">
        <v>241</v>
      </c>
      <c r="I224" s="4" t="s">
        <v>5079</v>
      </c>
      <c r="J224" s="4" t="s">
        <v>4219</v>
      </c>
      <c r="K224" s="4" t="s">
        <v>251</v>
      </c>
      <c r="L224" s="4" t="s">
        <v>5078</v>
      </c>
      <c r="M224" s="5" t="s">
        <v>5084</v>
      </c>
      <c r="N224" s="6">
        <f>196</f>
        <v>196</v>
      </c>
      <c r="O224" s="4" t="s">
        <v>265</v>
      </c>
      <c r="P224" s="6">
        <f>434140</f>
        <v>434140</v>
      </c>
      <c r="Q224" s="6">
        <f>0</f>
        <v>0</v>
      </c>
      <c r="S224" s="6">
        <f>0</f>
        <v>0</v>
      </c>
      <c r="T224" s="6">
        <f>434140</f>
        <v>434140</v>
      </c>
      <c r="U224" s="5" t="s">
        <v>245</v>
      </c>
      <c r="V224" s="4" t="s">
        <v>270</v>
      </c>
      <c r="W224" s="4" t="s">
        <v>242</v>
      </c>
      <c r="X224" s="4" t="s">
        <v>273</v>
      </c>
      <c r="Y224" s="4" t="s">
        <v>241</v>
      </c>
      <c r="AB224" s="4" t="s">
        <v>241</v>
      </c>
      <c r="AD224" s="5" t="s">
        <v>241</v>
      </c>
      <c r="AG224" s="5" t="s">
        <v>246</v>
      </c>
      <c r="AH224" s="4" t="s">
        <v>241</v>
      </c>
      <c r="AI224" s="4" t="s">
        <v>247</v>
      </c>
      <c r="AJ224" s="4" t="s">
        <v>248</v>
      </c>
      <c r="AZ224" s="4" t="s">
        <v>249</v>
      </c>
      <c r="BA224" s="4" t="s">
        <v>241</v>
      </c>
      <c r="BB224" s="4" t="s">
        <v>250</v>
      </c>
      <c r="BC224" s="4" t="s">
        <v>241</v>
      </c>
      <c r="BD224" s="4" t="s">
        <v>252</v>
      </c>
      <c r="BE224" s="4" t="s">
        <v>241</v>
      </c>
      <c r="BI224" s="4" t="s">
        <v>253</v>
      </c>
      <c r="BJ224" s="5" t="s">
        <v>246</v>
      </c>
      <c r="BK224" s="4" t="s">
        <v>254</v>
      </c>
      <c r="BL224" s="4" t="s">
        <v>255</v>
      </c>
      <c r="BM224" s="4" t="s">
        <v>241</v>
      </c>
      <c r="BN224" s="6">
        <f>0</f>
        <v>0</v>
      </c>
      <c r="BO224" s="6">
        <f>0</f>
        <v>0</v>
      </c>
      <c r="BP224" s="4" t="s">
        <v>256</v>
      </c>
      <c r="BQ224" s="4" t="s">
        <v>257</v>
      </c>
      <c r="CE224" s="4" t="s">
        <v>241</v>
      </c>
      <c r="CF224" s="4" t="s">
        <v>241</v>
      </c>
      <c r="CJ224" s="4" t="s">
        <v>258</v>
      </c>
      <c r="CK224" s="4" t="s">
        <v>259</v>
      </c>
      <c r="CL224" s="4" t="s">
        <v>241</v>
      </c>
      <c r="CO224" s="5" t="s">
        <v>260</v>
      </c>
      <c r="CP224" s="4" t="s">
        <v>241</v>
      </c>
      <c r="CQ224" s="4" t="s">
        <v>261</v>
      </c>
      <c r="CR224" s="4" t="s">
        <v>241</v>
      </c>
      <c r="CS224" s="4" t="s">
        <v>241</v>
      </c>
      <c r="CT224" s="4">
        <v>0</v>
      </c>
      <c r="CU224" s="4" t="s">
        <v>262</v>
      </c>
      <c r="CV224" s="4" t="s">
        <v>263</v>
      </c>
      <c r="CW224" s="4" t="s">
        <v>263</v>
      </c>
      <c r="CX224" s="4" t="s">
        <v>264</v>
      </c>
      <c r="DA224" s="6">
        <f>434140</f>
        <v>434140</v>
      </c>
      <c r="DC224" s="4" t="s">
        <v>422</v>
      </c>
      <c r="DD224" s="4" t="s">
        <v>241</v>
      </c>
      <c r="DF224" s="4" t="s">
        <v>422</v>
      </c>
      <c r="DG224" s="6">
        <f>196</f>
        <v>196</v>
      </c>
      <c r="DI224" s="4" t="s">
        <v>414</v>
      </c>
      <c r="DJ224" s="4" t="s">
        <v>241</v>
      </c>
      <c r="DK224" s="4" t="s">
        <v>241</v>
      </c>
      <c r="DL224" s="4" t="s">
        <v>241</v>
      </c>
      <c r="DP224" s="4" t="s">
        <v>241</v>
      </c>
      <c r="DQ224" s="4" t="s">
        <v>241</v>
      </c>
      <c r="DR224" s="4" t="s">
        <v>241</v>
      </c>
      <c r="DS224" s="4" t="s">
        <v>241</v>
      </c>
      <c r="DV224" s="4" t="s">
        <v>5082</v>
      </c>
      <c r="DW224" s="4" t="s">
        <v>327</v>
      </c>
      <c r="HO224" s="4" t="s">
        <v>267</v>
      </c>
    </row>
    <row r="225" spans="1:223" ht="19.5" customHeight="1" x14ac:dyDescent="0.4">
      <c r="A225" s="4">
        <v>1</v>
      </c>
      <c r="B225" s="4" t="s">
        <v>239</v>
      </c>
      <c r="C225" s="4">
        <v>936</v>
      </c>
      <c r="D225" s="4">
        <v>1</v>
      </c>
      <c r="E225" s="4">
        <v>1</v>
      </c>
      <c r="F225" s="4" t="s">
        <v>240</v>
      </c>
      <c r="G225" s="4" t="s">
        <v>241</v>
      </c>
      <c r="H225" s="4" t="s">
        <v>241</v>
      </c>
      <c r="I225" s="4" t="s">
        <v>5062</v>
      </c>
      <c r="J225" s="4" t="s">
        <v>4219</v>
      </c>
      <c r="K225" s="4" t="s">
        <v>251</v>
      </c>
      <c r="L225" s="4" t="s">
        <v>5061</v>
      </c>
      <c r="M225" s="5" t="s">
        <v>5066</v>
      </c>
      <c r="N225" s="6">
        <f>306</f>
        <v>306</v>
      </c>
      <c r="O225" s="4" t="s">
        <v>265</v>
      </c>
      <c r="P225" s="6">
        <f>677790</f>
        <v>677790</v>
      </c>
      <c r="Q225" s="6">
        <f>0</f>
        <v>0</v>
      </c>
      <c r="S225" s="6">
        <f>0</f>
        <v>0</v>
      </c>
      <c r="T225" s="6">
        <f>677790</f>
        <v>677790</v>
      </c>
      <c r="U225" s="5" t="s">
        <v>245</v>
      </c>
      <c r="V225" s="4" t="s">
        <v>270</v>
      </c>
      <c r="W225" s="4" t="s">
        <v>242</v>
      </c>
      <c r="X225" s="4" t="s">
        <v>273</v>
      </c>
      <c r="Y225" s="4" t="s">
        <v>241</v>
      </c>
      <c r="AB225" s="4" t="s">
        <v>241</v>
      </c>
      <c r="AD225" s="5" t="s">
        <v>241</v>
      </c>
      <c r="AG225" s="5" t="s">
        <v>246</v>
      </c>
      <c r="AH225" s="4" t="s">
        <v>241</v>
      </c>
      <c r="AI225" s="4" t="s">
        <v>247</v>
      </c>
      <c r="AJ225" s="4" t="s">
        <v>248</v>
      </c>
      <c r="AZ225" s="4" t="s">
        <v>249</v>
      </c>
      <c r="BA225" s="4" t="s">
        <v>241</v>
      </c>
      <c r="BB225" s="4" t="s">
        <v>250</v>
      </c>
      <c r="BC225" s="4" t="s">
        <v>241</v>
      </c>
      <c r="BD225" s="4" t="s">
        <v>252</v>
      </c>
      <c r="BE225" s="4" t="s">
        <v>241</v>
      </c>
      <c r="BG225" s="4" t="s">
        <v>4227</v>
      </c>
      <c r="BI225" s="4" t="s">
        <v>253</v>
      </c>
      <c r="BJ225" s="5" t="s">
        <v>246</v>
      </c>
      <c r="BK225" s="4" t="s">
        <v>254</v>
      </c>
      <c r="BL225" s="4" t="s">
        <v>255</v>
      </c>
      <c r="BM225" s="4" t="s">
        <v>241</v>
      </c>
      <c r="BN225" s="6">
        <f>0</f>
        <v>0</v>
      </c>
      <c r="BO225" s="6">
        <f>0</f>
        <v>0</v>
      </c>
      <c r="BP225" s="4" t="s">
        <v>256</v>
      </c>
      <c r="BQ225" s="4" t="s">
        <v>257</v>
      </c>
      <c r="CE225" s="4" t="s">
        <v>241</v>
      </c>
      <c r="CF225" s="4" t="s">
        <v>241</v>
      </c>
      <c r="CJ225" s="4" t="s">
        <v>258</v>
      </c>
      <c r="CK225" s="4" t="s">
        <v>259</v>
      </c>
      <c r="CL225" s="4" t="s">
        <v>241</v>
      </c>
      <c r="CO225" s="5" t="s">
        <v>260</v>
      </c>
      <c r="CP225" s="4" t="s">
        <v>241</v>
      </c>
      <c r="CQ225" s="4" t="s">
        <v>261</v>
      </c>
      <c r="CR225" s="4" t="s">
        <v>241</v>
      </c>
      <c r="CS225" s="4" t="s">
        <v>241</v>
      </c>
      <c r="CT225" s="4">
        <v>0</v>
      </c>
      <c r="CU225" s="4" t="s">
        <v>262</v>
      </c>
      <c r="CV225" s="4" t="s">
        <v>263</v>
      </c>
      <c r="CW225" s="4" t="s">
        <v>263</v>
      </c>
      <c r="CX225" s="4" t="s">
        <v>264</v>
      </c>
      <c r="DA225" s="6">
        <f>677790</f>
        <v>677790</v>
      </c>
      <c r="DC225" s="4" t="s">
        <v>422</v>
      </c>
      <c r="DD225" s="4" t="s">
        <v>241</v>
      </c>
      <c r="DF225" s="4" t="s">
        <v>422</v>
      </c>
      <c r="DG225" s="6">
        <f>306</f>
        <v>306</v>
      </c>
      <c r="DH225" s="5" t="s">
        <v>5067</v>
      </c>
      <c r="DI225" s="4" t="s">
        <v>414</v>
      </c>
      <c r="DJ225" s="4" t="s">
        <v>241</v>
      </c>
      <c r="DK225" s="4" t="s">
        <v>241</v>
      </c>
      <c r="DL225" s="4" t="s">
        <v>241</v>
      </c>
      <c r="DP225" s="4" t="s">
        <v>241</v>
      </c>
      <c r="DQ225" s="4" t="s">
        <v>241</v>
      </c>
      <c r="DR225" s="4" t="s">
        <v>241</v>
      </c>
      <c r="DS225" s="4" t="s">
        <v>241</v>
      </c>
      <c r="DV225" s="4" t="s">
        <v>5064</v>
      </c>
      <c r="DW225" s="4" t="s">
        <v>267</v>
      </c>
      <c r="HO225" s="4" t="s">
        <v>267</v>
      </c>
    </row>
    <row r="226" spans="1:223" ht="19.5" customHeight="1" x14ac:dyDescent="0.4">
      <c r="A226" s="4">
        <v>1</v>
      </c>
      <c r="B226" s="4" t="s">
        <v>239</v>
      </c>
      <c r="C226" s="4">
        <v>937</v>
      </c>
      <c r="D226" s="4">
        <v>1</v>
      </c>
      <c r="E226" s="4">
        <v>1</v>
      </c>
      <c r="F226" s="4" t="s">
        <v>240</v>
      </c>
      <c r="G226" s="4" t="s">
        <v>241</v>
      </c>
      <c r="H226" s="4" t="s">
        <v>241</v>
      </c>
      <c r="I226" s="4" t="s">
        <v>5062</v>
      </c>
      <c r="J226" s="4" t="s">
        <v>4219</v>
      </c>
      <c r="K226" s="4" t="s">
        <v>251</v>
      </c>
      <c r="L226" s="4" t="s">
        <v>5061</v>
      </c>
      <c r="M226" s="5" t="s">
        <v>5496</v>
      </c>
      <c r="N226" s="6">
        <f>343</f>
        <v>343</v>
      </c>
      <c r="O226" s="4" t="s">
        <v>265</v>
      </c>
      <c r="P226" s="6">
        <f>759745</f>
        <v>759745</v>
      </c>
      <c r="Q226" s="6">
        <f>0</f>
        <v>0</v>
      </c>
      <c r="S226" s="6">
        <f>0</f>
        <v>0</v>
      </c>
      <c r="T226" s="6">
        <f>759745</f>
        <v>759745</v>
      </c>
      <c r="U226" s="5" t="s">
        <v>245</v>
      </c>
      <c r="V226" s="4" t="s">
        <v>270</v>
      </c>
      <c r="W226" s="4" t="s">
        <v>242</v>
      </c>
      <c r="X226" s="4" t="s">
        <v>273</v>
      </c>
      <c r="Y226" s="4" t="s">
        <v>241</v>
      </c>
      <c r="AB226" s="4" t="s">
        <v>241</v>
      </c>
      <c r="AD226" s="5" t="s">
        <v>241</v>
      </c>
      <c r="AG226" s="5" t="s">
        <v>246</v>
      </c>
      <c r="AH226" s="4" t="s">
        <v>241</v>
      </c>
      <c r="AI226" s="4" t="s">
        <v>247</v>
      </c>
      <c r="AJ226" s="4" t="s">
        <v>248</v>
      </c>
      <c r="AZ226" s="4" t="s">
        <v>249</v>
      </c>
      <c r="BA226" s="4" t="s">
        <v>241</v>
      </c>
      <c r="BB226" s="4" t="s">
        <v>250</v>
      </c>
      <c r="BC226" s="4" t="s">
        <v>241</v>
      </c>
      <c r="BD226" s="4" t="s">
        <v>252</v>
      </c>
      <c r="BE226" s="4" t="s">
        <v>241</v>
      </c>
      <c r="BI226" s="4" t="s">
        <v>253</v>
      </c>
      <c r="BJ226" s="5" t="s">
        <v>246</v>
      </c>
      <c r="BK226" s="4" t="s">
        <v>254</v>
      </c>
      <c r="BL226" s="4" t="s">
        <v>255</v>
      </c>
      <c r="BM226" s="4" t="s">
        <v>241</v>
      </c>
      <c r="BN226" s="6">
        <f>0</f>
        <v>0</v>
      </c>
      <c r="BO226" s="6">
        <f>0</f>
        <v>0</v>
      </c>
      <c r="BP226" s="4" t="s">
        <v>256</v>
      </c>
      <c r="BQ226" s="4" t="s">
        <v>257</v>
      </c>
      <c r="CE226" s="4" t="s">
        <v>241</v>
      </c>
      <c r="CF226" s="4" t="s">
        <v>241</v>
      </c>
      <c r="CJ226" s="4" t="s">
        <v>258</v>
      </c>
      <c r="CK226" s="4" t="s">
        <v>259</v>
      </c>
      <c r="CL226" s="4" t="s">
        <v>241</v>
      </c>
      <c r="CO226" s="5" t="s">
        <v>260</v>
      </c>
      <c r="CP226" s="4" t="s">
        <v>241</v>
      </c>
      <c r="CQ226" s="4" t="s">
        <v>261</v>
      </c>
      <c r="CR226" s="4" t="s">
        <v>241</v>
      </c>
      <c r="CS226" s="4" t="s">
        <v>241</v>
      </c>
      <c r="CT226" s="4">
        <v>0</v>
      </c>
      <c r="CU226" s="4" t="s">
        <v>262</v>
      </c>
      <c r="CV226" s="4" t="s">
        <v>263</v>
      </c>
      <c r="CW226" s="4" t="s">
        <v>263</v>
      </c>
      <c r="CX226" s="4" t="s">
        <v>264</v>
      </c>
      <c r="DA226" s="6">
        <f>759745</f>
        <v>759745</v>
      </c>
      <c r="DC226" s="4" t="s">
        <v>422</v>
      </c>
      <c r="DD226" s="4" t="s">
        <v>241</v>
      </c>
      <c r="DF226" s="4" t="s">
        <v>422</v>
      </c>
      <c r="DG226" s="6">
        <f>343</f>
        <v>343</v>
      </c>
      <c r="DH226" s="5" t="s">
        <v>5067</v>
      </c>
      <c r="DI226" s="4" t="s">
        <v>414</v>
      </c>
      <c r="DJ226" s="4" t="s">
        <v>241</v>
      </c>
      <c r="DK226" s="4" t="s">
        <v>241</v>
      </c>
      <c r="DL226" s="4" t="s">
        <v>241</v>
      </c>
      <c r="DP226" s="4" t="s">
        <v>241</v>
      </c>
      <c r="DQ226" s="4" t="s">
        <v>241</v>
      </c>
      <c r="DR226" s="4" t="s">
        <v>241</v>
      </c>
      <c r="DS226" s="4" t="s">
        <v>241</v>
      </c>
      <c r="DV226" s="4" t="s">
        <v>5064</v>
      </c>
      <c r="DW226" s="4" t="s">
        <v>416</v>
      </c>
      <c r="HO226" s="4" t="s">
        <v>267</v>
      </c>
    </row>
    <row r="227" spans="1:223" ht="19.5" customHeight="1" x14ac:dyDescent="0.4">
      <c r="A227" s="4">
        <v>1</v>
      </c>
      <c r="B227" s="4" t="s">
        <v>239</v>
      </c>
      <c r="C227" s="4">
        <v>938</v>
      </c>
      <c r="D227" s="4">
        <v>1</v>
      </c>
      <c r="E227" s="4">
        <v>1</v>
      </c>
      <c r="F227" s="4" t="s">
        <v>240</v>
      </c>
      <c r="G227" s="4" t="s">
        <v>241</v>
      </c>
      <c r="H227" s="4" t="s">
        <v>241</v>
      </c>
      <c r="I227" s="4" t="s">
        <v>5062</v>
      </c>
      <c r="J227" s="4" t="s">
        <v>4219</v>
      </c>
      <c r="K227" s="4" t="s">
        <v>251</v>
      </c>
      <c r="L227" s="4" t="s">
        <v>5061</v>
      </c>
      <c r="M227" s="5" t="s">
        <v>5069</v>
      </c>
      <c r="N227" s="6">
        <f>496</f>
        <v>496</v>
      </c>
      <c r="O227" s="4" t="s">
        <v>265</v>
      </c>
      <c r="P227" s="6">
        <f>1098640</f>
        <v>1098640</v>
      </c>
      <c r="Q227" s="6">
        <f>0</f>
        <v>0</v>
      </c>
      <c r="S227" s="6">
        <f>0</f>
        <v>0</v>
      </c>
      <c r="T227" s="6">
        <f>1098640</f>
        <v>1098640</v>
      </c>
      <c r="U227" s="5" t="s">
        <v>245</v>
      </c>
      <c r="V227" s="4" t="s">
        <v>270</v>
      </c>
      <c r="W227" s="4" t="s">
        <v>242</v>
      </c>
      <c r="X227" s="4" t="s">
        <v>273</v>
      </c>
      <c r="Y227" s="4" t="s">
        <v>241</v>
      </c>
      <c r="AB227" s="4" t="s">
        <v>241</v>
      </c>
      <c r="AD227" s="5" t="s">
        <v>241</v>
      </c>
      <c r="AG227" s="5" t="s">
        <v>246</v>
      </c>
      <c r="AH227" s="4" t="s">
        <v>241</v>
      </c>
      <c r="AI227" s="4" t="s">
        <v>247</v>
      </c>
      <c r="AJ227" s="4" t="s">
        <v>248</v>
      </c>
      <c r="AZ227" s="4" t="s">
        <v>249</v>
      </c>
      <c r="BA227" s="4" t="s">
        <v>241</v>
      </c>
      <c r="BB227" s="4" t="s">
        <v>250</v>
      </c>
      <c r="BC227" s="4" t="s">
        <v>241</v>
      </c>
      <c r="BD227" s="4" t="s">
        <v>252</v>
      </c>
      <c r="BE227" s="4" t="s">
        <v>241</v>
      </c>
      <c r="BI227" s="4" t="s">
        <v>253</v>
      </c>
      <c r="BJ227" s="5" t="s">
        <v>246</v>
      </c>
      <c r="BK227" s="4" t="s">
        <v>254</v>
      </c>
      <c r="BL227" s="4" t="s">
        <v>255</v>
      </c>
      <c r="BM227" s="4" t="s">
        <v>241</v>
      </c>
      <c r="BN227" s="6">
        <f>0</f>
        <v>0</v>
      </c>
      <c r="BO227" s="6">
        <f>0</f>
        <v>0</v>
      </c>
      <c r="BP227" s="4" t="s">
        <v>256</v>
      </c>
      <c r="BQ227" s="4" t="s">
        <v>257</v>
      </c>
      <c r="CE227" s="4" t="s">
        <v>241</v>
      </c>
      <c r="CF227" s="4" t="s">
        <v>241</v>
      </c>
      <c r="CJ227" s="4" t="s">
        <v>258</v>
      </c>
      <c r="CK227" s="4" t="s">
        <v>259</v>
      </c>
      <c r="CL227" s="4" t="s">
        <v>241</v>
      </c>
      <c r="CO227" s="5" t="s">
        <v>260</v>
      </c>
      <c r="CP227" s="4" t="s">
        <v>241</v>
      </c>
      <c r="CQ227" s="4" t="s">
        <v>261</v>
      </c>
      <c r="CR227" s="4" t="s">
        <v>241</v>
      </c>
      <c r="CS227" s="4" t="s">
        <v>241</v>
      </c>
      <c r="CT227" s="4">
        <v>0</v>
      </c>
      <c r="CU227" s="4" t="s">
        <v>262</v>
      </c>
      <c r="CV227" s="4" t="s">
        <v>263</v>
      </c>
      <c r="CW227" s="4" t="s">
        <v>263</v>
      </c>
      <c r="CX227" s="4" t="s">
        <v>264</v>
      </c>
      <c r="DA227" s="6">
        <f>1098640</f>
        <v>1098640</v>
      </c>
      <c r="DC227" s="4" t="s">
        <v>422</v>
      </c>
      <c r="DD227" s="4" t="s">
        <v>241</v>
      </c>
      <c r="DF227" s="4" t="s">
        <v>422</v>
      </c>
      <c r="DG227" s="6">
        <f>496</f>
        <v>496</v>
      </c>
      <c r="DH227" s="5" t="s">
        <v>5067</v>
      </c>
      <c r="DI227" s="4" t="s">
        <v>414</v>
      </c>
      <c r="DJ227" s="4" t="s">
        <v>241</v>
      </c>
      <c r="DK227" s="4" t="s">
        <v>241</v>
      </c>
      <c r="DL227" s="4" t="s">
        <v>241</v>
      </c>
      <c r="DP227" s="4" t="s">
        <v>241</v>
      </c>
      <c r="DQ227" s="4" t="s">
        <v>241</v>
      </c>
      <c r="DR227" s="4" t="s">
        <v>241</v>
      </c>
      <c r="DS227" s="4" t="s">
        <v>241</v>
      </c>
      <c r="DV227" s="4" t="s">
        <v>5064</v>
      </c>
      <c r="DW227" s="4" t="s">
        <v>388</v>
      </c>
      <c r="HO227" s="4" t="s">
        <v>267</v>
      </c>
    </row>
    <row r="228" spans="1:223" ht="19.5" customHeight="1" x14ac:dyDescent="0.4">
      <c r="A228" s="4">
        <v>1</v>
      </c>
      <c r="B228" s="4" t="s">
        <v>239</v>
      </c>
      <c r="C228" s="4">
        <v>939</v>
      </c>
      <c r="D228" s="4">
        <v>1</v>
      </c>
      <c r="E228" s="4">
        <v>1</v>
      </c>
      <c r="F228" s="4" t="s">
        <v>240</v>
      </c>
      <c r="G228" s="4" t="s">
        <v>241</v>
      </c>
      <c r="H228" s="4" t="s">
        <v>241</v>
      </c>
      <c r="I228" s="4" t="s">
        <v>5062</v>
      </c>
      <c r="J228" s="4" t="s">
        <v>4219</v>
      </c>
      <c r="K228" s="4" t="s">
        <v>251</v>
      </c>
      <c r="L228" s="4" t="s">
        <v>5061</v>
      </c>
      <c r="M228" s="5" t="s">
        <v>5070</v>
      </c>
      <c r="N228" s="6">
        <f>96</f>
        <v>96</v>
      </c>
      <c r="O228" s="4" t="s">
        <v>265</v>
      </c>
      <c r="P228" s="6">
        <f>212640</f>
        <v>212640</v>
      </c>
      <c r="Q228" s="6">
        <f>0</f>
        <v>0</v>
      </c>
      <c r="S228" s="6">
        <f>0</f>
        <v>0</v>
      </c>
      <c r="T228" s="6">
        <f>212640</f>
        <v>212640</v>
      </c>
      <c r="U228" s="5" t="s">
        <v>245</v>
      </c>
      <c r="V228" s="4" t="s">
        <v>270</v>
      </c>
      <c r="W228" s="4" t="s">
        <v>242</v>
      </c>
      <c r="X228" s="4" t="s">
        <v>273</v>
      </c>
      <c r="Y228" s="4" t="s">
        <v>241</v>
      </c>
      <c r="AB228" s="4" t="s">
        <v>241</v>
      </c>
      <c r="AD228" s="5" t="s">
        <v>241</v>
      </c>
      <c r="AG228" s="5" t="s">
        <v>246</v>
      </c>
      <c r="AH228" s="4" t="s">
        <v>241</v>
      </c>
      <c r="AI228" s="4" t="s">
        <v>247</v>
      </c>
      <c r="AJ228" s="4" t="s">
        <v>248</v>
      </c>
      <c r="AZ228" s="4" t="s">
        <v>249</v>
      </c>
      <c r="BA228" s="4" t="s">
        <v>241</v>
      </c>
      <c r="BB228" s="4" t="s">
        <v>250</v>
      </c>
      <c r="BC228" s="4" t="s">
        <v>241</v>
      </c>
      <c r="BD228" s="4" t="s">
        <v>252</v>
      </c>
      <c r="BE228" s="4" t="s">
        <v>241</v>
      </c>
      <c r="BI228" s="4" t="s">
        <v>253</v>
      </c>
      <c r="BJ228" s="5" t="s">
        <v>246</v>
      </c>
      <c r="BK228" s="4" t="s">
        <v>254</v>
      </c>
      <c r="BL228" s="4" t="s">
        <v>255</v>
      </c>
      <c r="BM228" s="4" t="s">
        <v>241</v>
      </c>
      <c r="BN228" s="6">
        <f>0</f>
        <v>0</v>
      </c>
      <c r="BO228" s="6">
        <f>0</f>
        <v>0</v>
      </c>
      <c r="BP228" s="4" t="s">
        <v>256</v>
      </c>
      <c r="BQ228" s="4" t="s">
        <v>257</v>
      </c>
      <c r="CE228" s="4" t="s">
        <v>241</v>
      </c>
      <c r="CF228" s="4" t="s">
        <v>241</v>
      </c>
      <c r="CJ228" s="4" t="s">
        <v>258</v>
      </c>
      <c r="CK228" s="4" t="s">
        <v>259</v>
      </c>
      <c r="CL228" s="4" t="s">
        <v>241</v>
      </c>
      <c r="CO228" s="5" t="s">
        <v>260</v>
      </c>
      <c r="CP228" s="4" t="s">
        <v>241</v>
      </c>
      <c r="CQ228" s="4" t="s">
        <v>261</v>
      </c>
      <c r="CR228" s="4" t="s">
        <v>241</v>
      </c>
      <c r="CS228" s="4" t="s">
        <v>241</v>
      </c>
      <c r="CT228" s="4">
        <v>0</v>
      </c>
      <c r="CU228" s="4" t="s">
        <v>262</v>
      </c>
      <c r="CV228" s="4" t="s">
        <v>263</v>
      </c>
      <c r="CW228" s="4" t="s">
        <v>263</v>
      </c>
      <c r="CX228" s="4" t="s">
        <v>264</v>
      </c>
      <c r="DA228" s="6">
        <f>212640</f>
        <v>212640</v>
      </c>
      <c r="DC228" s="4" t="s">
        <v>422</v>
      </c>
      <c r="DD228" s="4" t="s">
        <v>241</v>
      </c>
      <c r="DF228" s="4" t="s">
        <v>422</v>
      </c>
      <c r="DG228" s="6">
        <f>96</f>
        <v>96</v>
      </c>
      <c r="DH228" s="5" t="s">
        <v>5067</v>
      </c>
      <c r="DI228" s="4" t="s">
        <v>414</v>
      </c>
      <c r="DJ228" s="4" t="s">
        <v>241</v>
      </c>
      <c r="DK228" s="4" t="s">
        <v>241</v>
      </c>
      <c r="DL228" s="4" t="s">
        <v>241</v>
      </c>
      <c r="DP228" s="4" t="s">
        <v>241</v>
      </c>
      <c r="DQ228" s="4" t="s">
        <v>241</v>
      </c>
      <c r="DR228" s="4" t="s">
        <v>241</v>
      </c>
      <c r="DS228" s="4" t="s">
        <v>241</v>
      </c>
      <c r="DV228" s="4" t="s">
        <v>5064</v>
      </c>
      <c r="DW228" s="4" t="s">
        <v>327</v>
      </c>
      <c r="HO228" s="4" t="s">
        <v>267</v>
      </c>
    </row>
    <row r="229" spans="1:223" ht="19.5" customHeight="1" x14ac:dyDescent="0.4">
      <c r="A229" s="4">
        <v>1</v>
      </c>
      <c r="B229" s="4" t="s">
        <v>239</v>
      </c>
      <c r="C229" s="4">
        <v>940</v>
      </c>
      <c r="D229" s="4">
        <v>1</v>
      </c>
      <c r="E229" s="4">
        <v>1</v>
      </c>
      <c r="F229" s="4" t="s">
        <v>240</v>
      </c>
      <c r="G229" s="4" t="s">
        <v>241</v>
      </c>
      <c r="H229" s="4" t="s">
        <v>241</v>
      </c>
      <c r="I229" s="4" t="s">
        <v>5062</v>
      </c>
      <c r="J229" s="4" t="s">
        <v>4219</v>
      </c>
      <c r="K229" s="4" t="s">
        <v>251</v>
      </c>
      <c r="L229" s="4" t="s">
        <v>5061</v>
      </c>
      <c r="M229" s="5" t="s">
        <v>5071</v>
      </c>
      <c r="N229" s="6">
        <f>317</f>
        <v>317</v>
      </c>
      <c r="O229" s="4" t="s">
        <v>265</v>
      </c>
      <c r="P229" s="6">
        <f>702155</f>
        <v>702155</v>
      </c>
      <c r="Q229" s="6">
        <f>0</f>
        <v>0</v>
      </c>
      <c r="S229" s="6">
        <f>0</f>
        <v>0</v>
      </c>
      <c r="T229" s="6">
        <f>702155</f>
        <v>702155</v>
      </c>
      <c r="U229" s="5" t="s">
        <v>245</v>
      </c>
      <c r="V229" s="4" t="s">
        <v>270</v>
      </c>
      <c r="W229" s="4" t="s">
        <v>242</v>
      </c>
      <c r="X229" s="4" t="s">
        <v>273</v>
      </c>
      <c r="Y229" s="4" t="s">
        <v>241</v>
      </c>
      <c r="AB229" s="4" t="s">
        <v>241</v>
      </c>
      <c r="AD229" s="5" t="s">
        <v>241</v>
      </c>
      <c r="AG229" s="5" t="s">
        <v>246</v>
      </c>
      <c r="AH229" s="4" t="s">
        <v>241</v>
      </c>
      <c r="AI229" s="4" t="s">
        <v>247</v>
      </c>
      <c r="AJ229" s="4" t="s">
        <v>248</v>
      </c>
      <c r="AZ229" s="4" t="s">
        <v>249</v>
      </c>
      <c r="BA229" s="4" t="s">
        <v>241</v>
      </c>
      <c r="BB229" s="4" t="s">
        <v>250</v>
      </c>
      <c r="BC229" s="4" t="s">
        <v>241</v>
      </c>
      <c r="BD229" s="4" t="s">
        <v>252</v>
      </c>
      <c r="BE229" s="4" t="s">
        <v>241</v>
      </c>
      <c r="BI229" s="4" t="s">
        <v>253</v>
      </c>
      <c r="BJ229" s="5" t="s">
        <v>246</v>
      </c>
      <c r="BK229" s="4" t="s">
        <v>254</v>
      </c>
      <c r="BL229" s="4" t="s">
        <v>255</v>
      </c>
      <c r="BM229" s="4" t="s">
        <v>241</v>
      </c>
      <c r="BN229" s="6">
        <f>0</f>
        <v>0</v>
      </c>
      <c r="BO229" s="6">
        <f>0</f>
        <v>0</v>
      </c>
      <c r="BP229" s="4" t="s">
        <v>256</v>
      </c>
      <c r="BQ229" s="4" t="s">
        <v>257</v>
      </c>
      <c r="CE229" s="4" t="s">
        <v>241</v>
      </c>
      <c r="CF229" s="4" t="s">
        <v>241</v>
      </c>
      <c r="CJ229" s="4" t="s">
        <v>258</v>
      </c>
      <c r="CK229" s="4" t="s">
        <v>259</v>
      </c>
      <c r="CL229" s="4" t="s">
        <v>241</v>
      </c>
      <c r="CO229" s="5" t="s">
        <v>260</v>
      </c>
      <c r="CP229" s="4" t="s">
        <v>241</v>
      </c>
      <c r="CQ229" s="4" t="s">
        <v>261</v>
      </c>
      <c r="CR229" s="4" t="s">
        <v>241</v>
      </c>
      <c r="CS229" s="4" t="s">
        <v>241</v>
      </c>
      <c r="CT229" s="4">
        <v>0</v>
      </c>
      <c r="CU229" s="4" t="s">
        <v>262</v>
      </c>
      <c r="CV229" s="4" t="s">
        <v>263</v>
      </c>
      <c r="CW229" s="4" t="s">
        <v>263</v>
      </c>
      <c r="CX229" s="4" t="s">
        <v>264</v>
      </c>
      <c r="DA229" s="6">
        <f>702155</f>
        <v>702155</v>
      </c>
      <c r="DC229" s="4" t="s">
        <v>422</v>
      </c>
      <c r="DD229" s="4" t="s">
        <v>241</v>
      </c>
      <c r="DF229" s="4" t="s">
        <v>422</v>
      </c>
      <c r="DG229" s="6">
        <f>317</f>
        <v>317</v>
      </c>
      <c r="DH229" s="5" t="s">
        <v>5035</v>
      </c>
      <c r="DI229" s="4" t="s">
        <v>414</v>
      </c>
      <c r="DJ229" s="4" t="s">
        <v>241</v>
      </c>
      <c r="DK229" s="4" t="s">
        <v>241</v>
      </c>
      <c r="DL229" s="4" t="s">
        <v>241</v>
      </c>
      <c r="DP229" s="4" t="s">
        <v>241</v>
      </c>
      <c r="DQ229" s="4" t="s">
        <v>241</v>
      </c>
      <c r="DR229" s="4" t="s">
        <v>241</v>
      </c>
      <c r="DS229" s="4" t="s">
        <v>241</v>
      </c>
      <c r="DV229" s="4" t="s">
        <v>5064</v>
      </c>
      <c r="DW229" s="4" t="s">
        <v>748</v>
      </c>
      <c r="HO229" s="4" t="s">
        <v>267</v>
      </c>
    </row>
    <row r="230" spans="1:223" ht="19.5" customHeight="1" x14ac:dyDescent="0.4">
      <c r="A230" s="4">
        <v>1</v>
      </c>
      <c r="B230" s="4" t="s">
        <v>239</v>
      </c>
      <c r="C230" s="4">
        <v>941</v>
      </c>
      <c r="D230" s="4">
        <v>1</v>
      </c>
      <c r="E230" s="4">
        <v>1</v>
      </c>
      <c r="F230" s="4" t="s">
        <v>240</v>
      </c>
      <c r="G230" s="4" t="s">
        <v>241</v>
      </c>
      <c r="H230" s="4" t="s">
        <v>241</v>
      </c>
      <c r="I230" s="4" t="s">
        <v>5062</v>
      </c>
      <c r="J230" s="4" t="s">
        <v>4219</v>
      </c>
      <c r="K230" s="4" t="s">
        <v>251</v>
      </c>
      <c r="L230" s="4" t="s">
        <v>5061</v>
      </c>
      <c r="M230" s="5" t="s">
        <v>5497</v>
      </c>
      <c r="N230" s="6">
        <f>143</f>
        <v>143</v>
      </c>
      <c r="O230" s="4" t="s">
        <v>265</v>
      </c>
      <c r="P230" s="6">
        <f>316745</f>
        <v>316745</v>
      </c>
      <c r="Q230" s="6">
        <f>0</f>
        <v>0</v>
      </c>
      <c r="S230" s="6">
        <f>0</f>
        <v>0</v>
      </c>
      <c r="T230" s="6">
        <f>316745</f>
        <v>316745</v>
      </c>
      <c r="U230" s="5" t="s">
        <v>245</v>
      </c>
      <c r="V230" s="4" t="s">
        <v>270</v>
      </c>
      <c r="W230" s="4" t="s">
        <v>242</v>
      </c>
      <c r="X230" s="4" t="s">
        <v>273</v>
      </c>
      <c r="Y230" s="4" t="s">
        <v>241</v>
      </c>
      <c r="AB230" s="4" t="s">
        <v>241</v>
      </c>
      <c r="AD230" s="5" t="s">
        <v>241</v>
      </c>
      <c r="AG230" s="5" t="s">
        <v>246</v>
      </c>
      <c r="AH230" s="4" t="s">
        <v>241</v>
      </c>
      <c r="AI230" s="4" t="s">
        <v>247</v>
      </c>
      <c r="AJ230" s="4" t="s">
        <v>248</v>
      </c>
      <c r="AZ230" s="4" t="s">
        <v>249</v>
      </c>
      <c r="BA230" s="4" t="s">
        <v>241</v>
      </c>
      <c r="BB230" s="4" t="s">
        <v>250</v>
      </c>
      <c r="BC230" s="4" t="s">
        <v>241</v>
      </c>
      <c r="BD230" s="4" t="s">
        <v>252</v>
      </c>
      <c r="BE230" s="4" t="s">
        <v>241</v>
      </c>
      <c r="BI230" s="4" t="s">
        <v>253</v>
      </c>
      <c r="BJ230" s="5" t="s">
        <v>246</v>
      </c>
      <c r="BK230" s="4" t="s">
        <v>254</v>
      </c>
      <c r="BL230" s="4" t="s">
        <v>255</v>
      </c>
      <c r="BM230" s="4" t="s">
        <v>241</v>
      </c>
      <c r="BN230" s="6">
        <f>0</f>
        <v>0</v>
      </c>
      <c r="BO230" s="6">
        <f>0</f>
        <v>0</v>
      </c>
      <c r="BP230" s="4" t="s">
        <v>256</v>
      </c>
      <c r="BQ230" s="4" t="s">
        <v>257</v>
      </c>
      <c r="CE230" s="4" t="s">
        <v>241</v>
      </c>
      <c r="CF230" s="4" t="s">
        <v>241</v>
      </c>
      <c r="CJ230" s="4" t="s">
        <v>258</v>
      </c>
      <c r="CK230" s="4" t="s">
        <v>259</v>
      </c>
      <c r="CL230" s="4" t="s">
        <v>241</v>
      </c>
      <c r="CO230" s="5" t="s">
        <v>260</v>
      </c>
      <c r="CP230" s="4" t="s">
        <v>241</v>
      </c>
      <c r="CQ230" s="4" t="s">
        <v>261</v>
      </c>
      <c r="CR230" s="4" t="s">
        <v>241</v>
      </c>
      <c r="CS230" s="4" t="s">
        <v>241</v>
      </c>
      <c r="CT230" s="4">
        <v>0</v>
      </c>
      <c r="CU230" s="4" t="s">
        <v>262</v>
      </c>
      <c r="CV230" s="4" t="s">
        <v>263</v>
      </c>
      <c r="CW230" s="4" t="s">
        <v>263</v>
      </c>
      <c r="CX230" s="4" t="s">
        <v>264</v>
      </c>
      <c r="DA230" s="6">
        <f>316745</f>
        <v>316745</v>
      </c>
      <c r="DC230" s="4" t="s">
        <v>422</v>
      </c>
      <c r="DD230" s="4" t="s">
        <v>241</v>
      </c>
      <c r="DF230" s="4" t="s">
        <v>422</v>
      </c>
      <c r="DG230" s="6">
        <f>143</f>
        <v>143</v>
      </c>
      <c r="DH230" s="5" t="s">
        <v>5035</v>
      </c>
      <c r="DI230" s="4" t="s">
        <v>414</v>
      </c>
      <c r="DJ230" s="4" t="s">
        <v>241</v>
      </c>
      <c r="DK230" s="4" t="s">
        <v>241</v>
      </c>
      <c r="DL230" s="4" t="s">
        <v>241</v>
      </c>
      <c r="DP230" s="4" t="s">
        <v>241</v>
      </c>
      <c r="DQ230" s="4" t="s">
        <v>241</v>
      </c>
      <c r="DR230" s="4" t="s">
        <v>241</v>
      </c>
      <c r="DS230" s="4" t="s">
        <v>241</v>
      </c>
      <c r="DV230" s="4" t="s">
        <v>5064</v>
      </c>
      <c r="DW230" s="4" t="s">
        <v>719</v>
      </c>
      <c r="HO230" s="4" t="s">
        <v>267</v>
      </c>
    </row>
    <row r="231" spans="1:223" ht="19.5" customHeight="1" x14ac:dyDescent="0.4">
      <c r="A231" s="4">
        <v>1</v>
      </c>
      <c r="B231" s="4" t="s">
        <v>239</v>
      </c>
      <c r="C231" s="4">
        <v>942</v>
      </c>
      <c r="D231" s="4">
        <v>1</v>
      </c>
      <c r="E231" s="4">
        <v>1</v>
      </c>
      <c r="F231" s="4" t="s">
        <v>240</v>
      </c>
      <c r="G231" s="4" t="s">
        <v>241</v>
      </c>
      <c r="H231" s="4" t="s">
        <v>241</v>
      </c>
      <c r="I231" s="4" t="s">
        <v>5062</v>
      </c>
      <c r="J231" s="4" t="s">
        <v>4219</v>
      </c>
      <c r="K231" s="4" t="s">
        <v>251</v>
      </c>
      <c r="L231" s="4" t="s">
        <v>5061</v>
      </c>
      <c r="M231" s="5" t="s">
        <v>5073</v>
      </c>
      <c r="N231" s="6">
        <f>198</f>
        <v>198</v>
      </c>
      <c r="O231" s="4" t="s">
        <v>265</v>
      </c>
      <c r="P231" s="6">
        <f>438570</f>
        <v>438570</v>
      </c>
      <c r="Q231" s="6">
        <f>0</f>
        <v>0</v>
      </c>
      <c r="S231" s="6">
        <f>0</f>
        <v>0</v>
      </c>
      <c r="T231" s="6">
        <f>438570</f>
        <v>438570</v>
      </c>
      <c r="U231" s="5" t="s">
        <v>245</v>
      </c>
      <c r="V231" s="4" t="s">
        <v>270</v>
      </c>
      <c r="W231" s="4" t="s">
        <v>242</v>
      </c>
      <c r="X231" s="4" t="s">
        <v>273</v>
      </c>
      <c r="Y231" s="4" t="s">
        <v>241</v>
      </c>
      <c r="AB231" s="4" t="s">
        <v>241</v>
      </c>
      <c r="AD231" s="5" t="s">
        <v>241</v>
      </c>
      <c r="AG231" s="5" t="s">
        <v>246</v>
      </c>
      <c r="AH231" s="4" t="s">
        <v>241</v>
      </c>
      <c r="AI231" s="4" t="s">
        <v>247</v>
      </c>
      <c r="AJ231" s="4" t="s">
        <v>248</v>
      </c>
      <c r="AZ231" s="4" t="s">
        <v>249</v>
      </c>
      <c r="BA231" s="4" t="s">
        <v>241</v>
      </c>
      <c r="BB231" s="4" t="s">
        <v>250</v>
      </c>
      <c r="BC231" s="4" t="s">
        <v>241</v>
      </c>
      <c r="BD231" s="4" t="s">
        <v>252</v>
      </c>
      <c r="BE231" s="4" t="s">
        <v>241</v>
      </c>
      <c r="BI231" s="4" t="s">
        <v>253</v>
      </c>
      <c r="BJ231" s="5" t="s">
        <v>246</v>
      </c>
      <c r="BK231" s="4" t="s">
        <v>254</v>
      </c>
      <c r="BL231" s="4" t="s">
        <v>255</v>
      </c>
      <c r="BM231" s="4" t="s">
        <v>241</v>
      </c>
      <c r="BN231" s="6">
        <f>0</f>
        <v>0</v>
      </c>
      <c r="BO231" s="6">
        <f>0</f>
        <v>0</v>
      </c>
      <c r="BP231" s="4" t="s">
        <v>256</v>
      </c>
      <c r="BQ231" s="4" t="s">
        <v>257</v>
      </c>
      <c r="CE231" s="4" t="s">
        <v>241</v>
      </c>
      <c r="CF231" s="4" t="s">
        <v>241</v>
      </c>
      <c r="CJ231" s="4" t="s">
        <v>258</v>
      </c>
      <c r="CK231" s="4" t="s">
        <v>259</v>
      </c>
      <c r="CL231" s="4" t="s">
        <v>241</v>
      </c>
      <c r="CO231" s="5" t="s">
        <v>260</v>
      </c>
      <c r="CP231" s="4" t="s">
        <v>241</v>
      </c>
      <c r="CQ231" s="4" t="s">
        <v>261</v>
      </c>
      <c r="CR231" s="4" t="s">
        <v>241</v>
      </c>
      <c r="CS231" s="4" t="s">
        <v>241</v>
      </c>
      <c r="CT231" s="4">
        <v>0</v>
      </c>
      <c r="CU231" s="4" t="s">
        <v>262</v>
      </c>
      <c r="CV231" s="4" t="s">
        <v>263</v>
      </c>
      <c r="CW231" s="4" t="s">
        <v>263</v>
      </c>
      <c r="CX231" s="4" t="s">
        <v>264</v>
      </c>
      <c r="DA231" s="6">
        <f>438570</f>
        <v>438570</v>
      </c>
      <c r="DC231" s="4" t="s">
        <v>422</v>
      </c>
      <c r="DD231" s="4" t="s">
        <v>241</v>
      </c>
      <c r="DF231" s="4" t="s">
        <v>422</v>
      </c>
      <c r="DG231" s="6">
        <f>198</f>
        <v>198</v>
      </c>
      <c r="DH231" s="5" t="s">
        <v>5035</v>
      </c>
      <c r="DI231" s="4" t="s">
        <v>414</v>
      </c>
      <c r="DJ231" s="4" t="s">
        <v>241</v>
      </c>
      <c r="DK231" s="4" t="s">
        <v>241</v>
      </c>
      <c r="DL231" s="4" t="s">
        <v>241</v>
      </c>
      <c r="DP231" s="4" t="s">
        <v>241</v>
      </c>
      <c r="DQ231" s="4" t="s">
        <v>241</v>
      </c>
      <c r="DR231" s="4" t="s">
        <v>241</v>
      </c>
      <c r="DS231" s="4" t="s">
        <v>241</v>
      </c>
      <c r="DV231" s="4" t="s">
        <v>5064</v>
      </c>
      <c r="DW231" s="4" t="s">
        <v>690</v>
      </c>
      <c r="HO231" s="4" t="s">
        <v>267</v>
      </c>
    </row>
    <row r="232" spans="1:223" ht="19.5" customHeight="1" x14ac:dyDescent="0.4">
      <c r="A232" s="4">
        <v>1</v>
      </c>
      <c r="B232" s="4" t="s">
        <v>239</v>
      </c>
      <c r="C232" s="4">
        <v>943</v>
      </c>
      <c r="D232" s="4">
        <v>1</v>
      </c>
      <c r="E232" s="4">
        <v>1</v>
      </c>
      <c r="F232" s="4" t="s">
        <v>240</v>
      </c>
      <c r="G232" s="4" t="s">
        <v>241</v>
      </c>
      <c r="H232" s="4" t="s">
        <v>241</v>
      </c>
      <c r="I232" s="4" t="s">
        <v>5062</v>
      </c>
      <c r="J232" s="4" t="s">
        <v>4219</v>
      </c>
      <c r="K232" s="4" t="s">
        <v>251</v>
      </c>
      <c r="L232" s="4" t="s">
        <v>5061</v>
      </c>
      <c r="M232" s="5" t="s">
        <v>5074</v>
      </c>
      <c r="N232" s="6">
        <f>705</f>
        <v>705</v>
      </c>
      <c r="O232" s="4" t="s">
        <v>265</v>
      </c>
      <c r="P232" s="6">
        <f>1561575</f>
        <v>1561575</v>
      </c>
      <c r="Q232" s="6">
        <f>0</f>
        <v>0</v>
      </c>
      <c r="S232" s="6">
        <f>0</f>
        <v>0</v>
      </c>
      <c r="T232" s="6">
        <f>1561575</f>
        <v>1561575</v>
      </c>
      <c r="U232" s="5" t="s">
        <v>245</v>
      </c>
      <c r="V232" s="4" t="s">
        <v>270</v>
      </c>
      <c r="W232" s="4" t="s">
        <v>242</v>
      </c>
      <c r="X232" s="4" t="s">
        <v>273</v>
      </c>
      <c r="Y232" s="4" t="s">
        <v>241</v>
      </c>
      <c r="AB232" s="4" t="s">
        <v>241</v>
      </c>
      <c r="AD232" s="5" t="s">
        <v>241</v>
      </c>
      <c r="AG232" s="5" t="s">
        <v>246</v>
      </c>
      <c r="AH232" s="4" t="s">
        <v>241</v>
      </c>
      <c r="AI232" s="4" t="s">
        <v>247</v>
      </c>
      <c r="AJ232" s="4" t="s">
        <v>248</v>
      </c>
      <c r="AZ232" s="4" t="s">
        <v>249</v>
      </c>
      <c r="BA232" s="4" t="s">
        <v>241</v>
      </c>
      <c r="BB232" s="4" t="s">
        <v>250</v>
      </c>
      <c r="BC232" s="4" t="s">
        <v>241</v>
      </c>
      <c r="BD232" s="4" t="s">
        <v>252</v>
      </c>
      <c r="BE232" s="4" t="s">
        <v>241</v>
      </c>
      <c r="BI232" s="4" t="s">
        <v>253</v>
      </c>
      <c r="BJ232" s="5" t="s">
        <v>246</v>
      </c>
      <c r="BK232" s="4" t="s">
        <v>254</v>
      </c>
      <c r="BL232" s="4" t="s">
        <v>255</v>
      </c>
      <c r="BM232" s="4" t="s">
        <v>241</v>
      </c>
      <c r="BN232" s="6">
        <f>0</f>
        <v>0</v>
      </c>
      <c r="BO232" s="6">
        <f>0</f>
        <v>0</v>
      </c>
      <c r="BP232" s="4" t="s">
        <v>256</v>
      </c>
      <c r="BQ232" s="4" t="s">
        <v>257</v>
      </c>
      <c r="CE232" s="4" t="s">
        <v>241</v>
      </c>
      <c r="CF232" s="4" t="s">
        <v>241</v>
      </c>
      <c r="CJ232" s="4" t="s">
        <v>258</v>
      </c>
      <c r="CK232" s="4" t="s">
        <v>259</v>
      </c>
      <c r="CL232" s="4" t="s">
        <v>241</v>
      </c>
      <c r="CO232" s="5" t="s">
        <v>260</v>
      </c>
      <c r="CP232" s="4" t="s">
        <v>241</v>
      </c>
      <c r="CQ232" s="4" t="s">
        <v>261</v>
      </c>
      <c r="CR232" s="4" t="s">
        <v>241</v>
      </c>
      <c r="CS232" s="4" t="s">
        <v>241</v>
      </c>
      <c r="CT232" s="4">
        <v>0</v>
      </c>
      <c r="CU232" s="4" t="s">
        <v>262</v>
      </c>
      <c r="CV232" s="4" t="s">
        <v>263</v>
      </c>
      <c r="CW232" s="4" t="s">
        <v>263</v>
      </c>
      <c r="CX232" s="4" t="s">
        <v>264</v>
      </c>
      <c r="DA232" s="6">
        <f>1561575</f>
        <v>1561575</v>
      </c>
      <c r="DC232" s="4" t="s">
        <v>422</v>
      </c>
      <c r="DD232" s="4" t="s">
        <v>241</v>
      </c>
      <c r="DF232" s="4" t="s">
        <v>422</v>
      </c>
      <c r="DG232" s="6">
        <f>705</f>
        <v>705</v>
      </c>
      <c r="DH232" s="5" t="s">
        <v>5035</v>
      </c>
      <c r="DI232" s="4" t="s">
        <v>414</v>
      </c>
      <c r="DJ232" s="4" t="s">
        <v>241</v>
      </c>
      <c r="DK232" s="4" t="s">
        <v>241</v>
      </c>
      <c r="DL232" s="4" t="s">
        <v>241</v>
      </c>
      <c r="DP232" s="4" t="s">
        <v>241</v>
      </c>
      <c r="DQ232" s="4" t="s">
        <v>241</v>
      </c>
      <c r="DR232" s="4" t="s">
        <v>241</v>
      </c>
      <c r="DS232" s="4" t="s">
        <v>241</v>
      </c>
      <c r="DV232" s="4" t="s">
        <v>5064</v>
      </c>
      <c r="DW232" s="4" t="s">
        <v>628</v>
      </c>
      <c r="HO232" s="4" t="s">
        <v>267</v>
      </c>
    </row>
    <row r="233" spans="1:223" ht="19.5" customHeight="1" x14ac:dyDescent="0.4">
      <c r="A233" s="4">
        <v>1</v>
      </c>
      <c r="B233" s="4" t="s">
        <v>239</v>
      </c>
      <c r="C233" s="4">
        <v>944</v>
      </c>
      <c r="D233" s="4">
        <v>1</v>
      </c>
      <c r="E233" s="4">
        <v>1</v>
      </c>
      <c r="F233" s="4" t="s">
        <v>240</v>
      </c>
      <c r="G233" s="4" t="s">
        <v>241</v>
      </c>
      <c r="H233" s="4" t="s">
        <v>241</v>
      </c>
      <c r="I233" s="4" t="s">
        <v>5062</v>
      </c>
      <c r="J233" s="4" t="s">
        <v>4219</v>
      </c>
      <c r="K233" s="4" t="s">
        <v>251</v>
      </c>
      <c r="L233" s="4" t="s">
        <v>5061</v>
      </c>
      <c r="M233" s="5" t="s">
        <v>5075</v>
      </c>
      <c r="N233" s="6">
        <f>55</f>
        <v>55</v>
      </c>
      <c r="O233" s="4" t="s">
        <v>265</v>
      </c>
      <c r="P233" s="6">
        <f>121825</f>
        <v>121825</v>
      </c>
      <c r="Q233" s="6">
        <f>0</f>
        <v>0</v>
      </c>
      <c r="S233" s="6">
        <f>0</f>
        <v>0</v>
      </c>
      <c r="T233" s="6">
        <f>121825</f>
        <v>121825</v>
      </c>
      <c r="U233" s="5" t="s">
        <v>245</v>
      </c>
      <c r="V233" s="4" t="s">
        <v>270</v>
      </c>
      <c r="W233" s="4" t="s">
        <v>242</v>
      </c>
      <c r="X233" s="4" t="s">
        <v>273</v>
      </c>
      <c r="Y233" s="4" t="s">
        <v>241</v>
      </c>
      <c r="AB233" s="4" t="s">
        <v>241</v>
      </c>
      <c r="AD233" s="5" t="s">
        <v>241</v>
      </c>
      <c r="AG233" s="5" t="s">
        <v>246</v>
      </c>
      <c r="AH233" s="4" t="s">
        <v>241</v>
      </c>
      <c r="AI233" s="4" t="s">
        <v>247</v>
      </c>
      <c r="AJ233" s="4" t="s">
        <v>248</v>
      </c>
      <c r="AZ233" s="4" t="s">
        <v>249</v>
      </c>
      <c r="BA233" s="4" t="s">
        <v>241</v>
      </c>
      <c r="BB233" s="4" t="s">
        <v>250</v>
      </c>
      <c r="BC233" s="4" t="s">
        <v>241</v>
      </c>
      <c r="BD233" s="4" t="s">
        <v>252</v>
      </c>
      <c r="BE233" s="4" t="s">
        <v>241</v>
      </c>
      <c r="BI233" s="4" t="s">
        <v>253</v>
      </c>
      <c r="BJ233" s="5" t="s">
        <v>246</v>
      </c>
      <c r="BK233" s="4" t="s">
        <v>254</v>
      </c>
      <c r="BL233" s="4" t="s">
        <v>255</v>
      </c>
      <c r="BM233" s="4" t="s">
        <v>241</v>
      </c>
      <c r="BN233" s="6">
        <f>0</f>
        <v>0</v>
      </c>
      <c r="BO233" s="6">
        <f>0</f>
        <v>0</v>
      </c>
      <c r="BP233" s="4" t="s">
        <v>256</v>
      </c>
      <c r="BQ233" s="4" t="s">
        <v>257</v>
      </c>
      <c r="CE233" s="4" t="s">
        <v>241</v>
      </c>
      <c r="CF233" s="4" t="s">
        <v>241</v>
      </c>
      <c r="CJ233" s="4" t="s">
        <v>258</v>
      </c>
      <c r="CK233" s="4" t="s">
        <v>259</v>
      </c>
      <c r="CL233" s="4" t="s">
        <v>241</v>
      </c>
      <c r="CO233" s="5" t="s">
        <v>260</v>
      </c>
      <c r="CP233" s="4" t="s">
        <v>241</v>
      </c>
      <c r="CQ233" s="4" t="s">
        <v>261</v>
      </c>
      <c r="CR233" s="4" t="s">
        <v>241</v>
      </c>
      <c r="CS233" s="4" t="s">
        <v>241</v>
      </c>
      <c r="CT233" s="4">
        <v>0</v>
      </c>
      <c r="CU233" s="4" t="s">
        <v>262</v>
      </c>
      <c r="CV233" s="4" t="s">
        <v>263</v>
      </c>
      <c r="CW233" s="4" t="s">
        <v>263</v>
      </c>
      <c r="CX233" s="4" t="s">
        <v>264</v>
      </c>
      <c r="DA233" s="6">
        <f>121825</f>
        <v>121825</v>
      </c>
      <c r="DC233" s="4" t="s">
        <v>422</v>
      </c>
      <c r="DD233" s="4" t="s">
        <v>241</v>
      </c>
      <c r="DF233" s="4" t="s">
        <v>422</v>
      </c>
      <c r="DG233" s="6">
        <f>55</f>
        <v>55</v>
      </c>
      <c r="DH233" s="5" t="s">
        <v>5035</v>
      </c>
      <c r="DI233" s="4" t="s">
        <v>414</v>
      </c>
      <c r="DJ233" s="4" t="s">
        <v>241</v>
      </c>
      <c r="DK233" s="4" t="s">
        <v>241</v>
      </c>
      <c r="DL233" s="4" t="s">
        <v>241</v>
      </c>
      <c r="DP233" s="4" t="s">
        <v>241</v>
      </c>
      <c r="DQ233" s="4" t="s">
        <v>241</v>
      </c>
      <c r="DR233" s="4" t="s">
        <v>241</v>
      </c>
      <c r="DS233" s="4" t="s">
        <v>241</v>
      </c>
      <c r="DV233" s="4" t="s">
        <v>5064</v>
      </c>
      <c r="DW233" s="4" t="s">
        <v>597</v>
      </c>
      <c r="HO233" s="4" t="s">
        <v>267</v>
      </c>
    </row>
    <row r="234" spans="1:223" ht="19.5" customHeight="1" x14ac:dyDescent="0.4">
      <c r="A234" s="4">
        <v>1</v>
      </c>
      <c r="B234" s="4" t="s">
        <v>239</v>
      </c>
      <c r="C234" s="4">
        <v>945</v>
      </c>
      <c r="D234" s="4">
        <v>1</v>
      </c>
      <c r="E234" s="4">
        <v>1</v>
      </c>
      <c r="F234" s="4" t="s">
        <v>240</v>
      </c>
      <c r="G234" s="4" t="s">
        <v>241</v>
      </c>
      <c r="H234" s="4" t="s">
        <v>241</v>
      </c>
      <c r="I234" s="4" t="s">
        <v>5062</v>
      </c>
      <c r="J234" s="4" t="s">
        <v>4219</v>
      </c>
      <c r="K234" s="4" t="s">
        <v>251</v>
      </c>
      <c r="L234" s="4" t="s">
        <v>5061</v>
      </c>
      <c r="M234" s="5" t="s">
        <v>5498</v>
      </c>
      <c r="N234" s="6">
        <f>129</f>
        <v>129</v>
      </c>
      <c r="O234" s="4" t="s">
        <v>265</v>
      </c>
      <c r="P234" s="6">
        <f>285735</f>
        <v>285735</v>
      </c>
      <c r="Q234" s="6">
        <f>0</f>
        <v>0</v>
      </c>
      <c r="S234" s="6">
        <f>0</f>
        <v>0</v>
      </c>
      <c r="T234" s="6">
        <f>285735</f>
        <v>285735</v>
      </c>
      <c r="U234" s="5" t="s">
        <v>245</v>
      </c>
      <c r="V234" s="4" t="s">
        <v>270</v>
      </c>
      <c r="W234" s="4" t="s">
        <v>242</v>
      </c>
      <c r="X234" s="4" t="s">
        <v>273</v>
      </c>
      <c r="Y234" s="4" t="s">
        <v>241</v>
      </c>
      <c r="AB234" s="4" t="s">
        <v>241</v>
      </c>
      <c r="AD234" s="5" t="s">
        <v>241</v>
      </c>
      <c r="AG234" s="5" t="s">
        <v>246</v>
      </c>
      <c r="AH234" s="4" t="s">
        <v>241</v>
      </c>
      <c r="AI234" s="4" t="s">
        <v>247</v>
      </c>
      <c r="AJ234" s="4" t="s">
        <v>248</v>
      </c>
      <c r="AZ234" s="4" t="s">
        <v>249</v>
      </c>
      <c r="BA234" s="4" t="s">
        <v>241</v>
      </c>
      <c r="BB234" s="4" t="s">
        <v>250</v>
      </c>
      <c r="BC234" s="4" t="s">
        <v>241</v>
      </c>
      <c r="BD234" s="4" t="s">
        <v>252</v>
      </c>
      <c r="BE234" s="4" t="s">
        <v>241</v>
      </c>
      <c r="BI234" s="4" t="s">
        <v>253</v>
      </c>
      <c r="BJ234" s="5" t="s">
        <v>246</v>
      </c>
      <c r="BK234" s="4" t="s">
        <v>254</v>
      </c>
      <c r="BL234" s="4" t="s">
        <v>255</v>
      </c>
      <c r="BM234" s="4" t="s">
        <v>241</v>
      </c>
      <c r="BN234" s="6">
        <f>0</f>
        <v>0</v>
      </c>
      <c r="BO234" s="6">
        <f>0</f>
        <v>0</v>
      </c>
      <c r="BP234" s="4" t="s">
        <v>256</v>
      </c>
      <c r="BQ234" s="4" t="s">
        <v>257</v>
      </c>
      <c r="CE234" s="4" t="s">
        <v>241</v>
      </c>
      <c r="CF234" s="4" t="s">
        <v>241</v>
      </c>
      <c r="CJ234" s="4" t="s">
        <v>258</v>
      </c>
      <c r="CK234" s="4" t="s">
        <v>259</v>
      </c>
      <c r="CL234" s="4" t="s">
        <v>241</v>
      </c>
      <c r="CO234" s="5" t="s">
        <v>260</v>
      </c>
      <c r="CP234" s="4" t="s">
        <v>241</v>
      </c>
      <c r="CQ234" s="4" t="s">
        <v>261</v>
      </c>
      <c r="CR234" s="4" t="s">
        <v>241</v>
      </c>
      <c r="CS234" s="4" t="s">
        <v>241</v>
      </c>
      <c r="CT234" s="4">
        <v>0</v>
      </c>
      <c r="CU234" s="4" t="s">
        <v>262</v>
      </c>
      <c r="CV234" s="4" t="s">
        <v>263</v>
      </c>
      <c r="CW234" s="4" t="s">
        <v>263</v>
      </c>
      <c r="CX234" s="4" t="s">
        <v>264</v>
      </c>
      <c r="DA234" s="6">
        <f>285735</f>
        <v>285735</v>
      </c>
      <c r="DC234" s="4" t="s">
        <v>422</v>
      </c>
      <c r="DD234" s="4" t="s">
        <v>241</v>
      </c>
      <c r="DF234" s="4" t="s">
        <v>422</v>
      </c>
      <c r="DG234" s="6">
        <f>129</f>
        <v>129</v>
      </c>
      <c r="DH234" s="5" t="s">
        <v>5035</v>
      </c>
      <c r="DI234" s="4" t="s">
        <v>414</v>
      </c>
      <c r="DJ234" s="4" t="s">
        <v>241</v>
      </c>
      <c r="DK234" s="4" t="s">
        <v>241</v>
      </c>
      <c r="DL234" s="4" t="s">
        <v>241</v>
      </c>
      <c r="DP234" s="4" t="s">
        <v>241</v>
      </c>
      <c r="DQ234" s="4" t="s">
        <v>241</v>
      </c>
      <c r="DR234" s="4" t="s">
        <v>241</v>
      </c>
      <c r="DS234" s="4" t="s">
        <v>241</v>
      </c>
      <c r="DV234" s="4" t="s">
        <v>5064</v>
      </c>
      <c r="DW234" s="4" t="s">
        <v>1792</v>
      </c>
      <c r="HO234" s="4" t="s">
        <v>267</v>
      </c>
    </row>
    <row r="235" spans="1:223" ht="19.5" customHeight="1" x14ac:dyDescent="0.4">
      <c r="A235" s="4">
        <v>1</v>
      </c>
      <c r="B235" s="4" t="s">
        <v>239</v>
      </c>
      <c r="C235" s="4">
        <v>946</v>
      </c>
      <c r="D235" s="4">
        <v>1</v>
      </c>
      <c r="E235" s="4">
        <v>1</v>
      </c>
      <c r="F235" s="4" t="s">
        <v>240</v>
      </c>
      <c r="G235" s="4" t="s">
        <v>241</v>
      </c>
      <c r="H235" s="4" t="s">
        <v>241</v>
      </c>
      <c r="I235" s="4" t="s">
        <v>5062</v>
      </c>
      <c r="J235" s="4" t="s">
        <v>4219</v>
      </c>
      <c r="K235" s="4" t="s">
        <v>251</v>
      </c>
      <c r="L235" s="4" t="s">
        <v>5061</v>
      </c>
      <c r="M235" s="5" t="s">
        <v>5076</v>
      </c>
      <c r="N235" s="6">
        <f>381</f>
        <v>381</v>
      </c>
      <c r="O235" s="4" t="s">
        <v>265</v>
      </c>
      <c r="P235" s="6">
        <f>843915</f>
        <v>843915</v>
      </c>
      <c r="Q235" s="6">
        <f>0</f>
        <v>0</v>
      </c>
      <c r="S235" s="6">
        <f>0</f>
        <v>0</v>
      </c>
      <c r="T235" s="6">
        <f>843915</f>
        <v>843915</v>
      </c>
      <c r="U235" s="5" t="s">
        <v>245</v>
      </c>
      <c r="V235" s="4" t="s">
        <v>270</v>
      </c>
      <c r="W235" s="4" t="s">
        <v>242</v>
      </c>
      <c r="X235" s="4" t="s">
        <v>273</v>
      </c>
      <c r="Y235" s="4" t="s">
        <v>241</v>
      </c>
      <c r="AB235" s="4" t="s">
        <v>241</v>
      </c>
      <c r="AD235" s="5" t="s">
        <v>241</v>
      </c>
      <c r="AG235" s="5" t="s">
        <v>246</v>
      </c>
      <c r="AH235" s="4" t="s">
        <v>241</v>
      </c>
      <c r="AI235" s="4" t="s">
        <v>247</v>
      </c>
      <c r="AJ235" s="4" t="s">
        <v>248</v>
      </c>
      <c r="AZ235" s="4" t="s">
        <v>249</v>
      </c>
      <c r="BA235" s="4" t="s">
        <v>241</v>
      </c>
      <c r="BB235" s="4" t="s">
        <v>250</v>
      </c>
      <c r="BC235" s="4" t="s">
        <v>241</v>
      </c>
      <c r="BD235" s="4" t="s">
        <v>252</v>
      </c>
      <c r="BE235" s="4" t="s">
        <v>241</v>
      </c>
      <c r="BI235" s="4" t="s">
        <v>253</v>
      </c>
      <c r="BJ235" s="5" t="s">
        <v>246</v>
      </c>
      <c r="BK235" s="4" t="s">
        <v>254</v>
      </c>
      <c r="BL235" s="4" t="s">
        <v>255</v>
      </c>
      <c r="BM235" s="4" t="s">
        <v>241</v>
      </c>
      <c r="BN235" s="6">
        <f>0</f>
        <v>0</v>
      </c>
      <c r="BO235" s="6">
        <f>0</f>
        <v>0</v>
      </c>
      <c r="BP235" s="4" t="s">
        <v>256</v>
      </c>
      <c r="BQ235" s="4" t="s">
        <v>257</v>
      </c>
      <c r="CE235" s="4" t="s">
        <v>241</v>
      </c>
      <c r="CF235" s="4" t="s">
        <v>241</v>
      </c>
      <c r="CJ235" s="4" t="s">
        <v>258</v>
      </c>
      <c r="CK235" s="4" t="s">
        <v>259</v>
      </c>
      <c r="CL235" s="4" t="s">
        <v>241</v>
      </c>
      <c r="CO235" s="5" t="s">
        <v>260</v>
      </c>
      <c r="CP235" s="4" t="s">
        <v>241</v>
      </c>
      <c r="CQ235" s="4" t="s">
        <v>261</v>
      </c>
      <c r="CR235" s="4" t="s">
        <v>241</v>
      </c>
      <c r="CS235" s="4" t="s">
        <v>241</v>
      </c>
      <c r="CT235" s="4">
        <v>0</v>
      </c>
      <c r="CU235" s="4" t="s">
        <v>262</v>
      </c>
      <c r="CV235" s="4" t="s">
        <v>263</v>
      </c>
      <c r="CW235" s="4" t="s">
        <v>263</v>
      </c>
      <c r="CX235" s="4" t="s">
        <v>264</v>
      </c>
      <c r="DA235" s="6">
        <f>843915</f>
        <v>843915</v>
      </c>
      <c r="DC235" s="4" t="s">
        <v>422</v>
      </c>
      <c r="DD235" s="4" t="s">
        <v>241</v>
      </c>
      <c r="DF235" s="4" t="s">
        <v>422</v>
      </c>
      <c r="DG235" s="6">
        <f>381</f>
        <v>381</v>
      </c>
      <c r="DH235" s="5" t="s">
        <v>5035</v>
      </c>
      <c r="DI235" s="4" t="s">
        <v>414</v>
      </c>
      <c r="DJ235" s="4" t="s">
        <v>241</v>
      </c>
      <c r="DK235" s="4" t="s">
        <v>241</v>
      </c>
      <c r="DL235" s="4" t="s">
        <v>241</v>
      </c>
      <c r="DP235" s="4" t="s">
        <v>241</v>
      </c>
      <c r="DQ235" s="4" t="s">
        <v>241</v>
      </c>
      <c r="DR235" s="4" t="s">
        <v>241</v>
      </c>
      <c r="DS235" s="4" t="s">
        <v>241</v>
      </c>
      <c r="DV235" s="4" t="s">
        <v>5064</v>
      </c>
      <c r="DW235" s="4" t="s">
        <v>1789</v>
      </c>
      <c r="HO235" s="4" t="s">
        <v>267</v>
      </c>
    </row>
    <row r="236" spans="1:223" ht="19.5" customHeight="1" x14ac:dyDescent="0.4">
      <c r="A236" s="4">
        <v>1</v>
      </c>
      <c r="B236" s="4" t="s">
        <v>239</v>
      </c>
      <c r="C236" s="4">
        <v>947</v>
      </c>
      <c r="D236" s="4">
        <v>1</v>
      </c>
      <c r="E236" s="4">
        <v>1</v>
      </c>
      <c r="F236" s="4" t="s">
        <v>240</v>
      </c>
      <c r="G236" s="4" t="s">
        <v>241</v>
      </c>
      <c r="H236" s="4" t="s">
        <v>241</v>
      </c>
      <c r="I236" s="4" t="s">
        <v>5062</v>
      </c>
      <c r="J236" s="4" t="s">
        <v>4219</v>
      </c>
      <c r="K236" s="4" t="s">
        <v>251</v>
      </c>
      <c r="L236" s="4" t="s">
        <v>5061</v>
      </c>
      <c r="M236" s="5" t="s">
        <v>5077</v>
      </c>
      <c r="N236" s="6">
        <f>443</f>
        <v>443</v>
      </c>
      <c r="O236" s="4" t="s">
        <v>265</v>
      </c>
      <c r="P236" s="6">
        <f>981245</f>
        <v>981245</v>
      </c>
      <c r="Q236" s="6">
        <f>0</f>
        <v>0</v>
      </c>
      <c r="S236" s="6">
        <f>0</f>
        <v>0</v>
      </c>
      <c r="T236" s="6">
        <f>981245</f>
        <v>981245</v>
      </c>
      <c r="U236" s="5" t="s">
        <v>245</v>
      </c>
      <c r="V236" s="4" t="s">
        <v>270</v>
      </c>
      <c r="W236" s="4" t="s">
        <v>242</v>
      </c>
      <c r="X236" s="4" t="s">
        <v>273</v>
      </c>
      <c r="Y236" s="4" t="s">
        <v>241</v>
      </c>
      <c r="AB236" s="4" t="s">
        <v>241</v>
      </c>
      <c r="AD236" s="5" t="s">
        <v>241</v>
      </c>
      <c r="AG236" s="5" t="s">
        <v>246</v>
      </c>
      <c r="AH236" s="4" t="s">
        <v>241</v>
      </c>
      <c r="AI236" s="4" t="s">
        <v>247</v>
      </c>
      <c r="AJ236" s="4" t="s">
        <v>248</v>
      </c>
      <c r="AZ236" s="4" t="s">
        <v>249</v>
      </c>
      <c r="BA236" s="4" t="s">
        <v>241</v>
      </c>
      <c r="BB236" s="4" t="s">
        <v>250</v>
      </c>
      <c r="BC236" s="4" t="s">
        <v>241</v>
      </c>
      <c r="BD236" s="4" t="s">
        <v>252</v>
      </c>
      <c r="BE236" s="4" t="s">
        <v>241</v>
      </c>
      <c r="BI236" s="4" t="s">
        <v>253</v>
      </c>
      <c r="BJ236" s="5" t="s">
        <v>246</v>
      </c>
      <c r="BK236" s="4" t="s">
        <v>254</v>
      </c>
      <c r="BL236" s="4" t="s">
        <v>255</v>
      </c>
      <c r="BM236" s="4" t="s">
        <v>241</v>
      </c>
      <c r="BN236" s="6">
        <f>0</f>
        <v>0</v>
      </c>
      <c r="BO236" s="6">
        <f>0</f>
        <v>0</v>
      </c>
      <c r="BP236" s="4" t="s">
        <v>256</v>
      </c>
      <c r="BQ236" s="4" t="s">
        <v>257</v>
      </c>
      <c r="CE236" s="4" t="s">
        <v>241</v>
      </c>
      <c r="CF236" s="4" t="s">
        <v>241</v>
      </c>
      <c r="CJ236" s="4" t="s">
        <v>258</v>
      </c>
      <c r="CK236" s="4" t="s">
        <v>259</v>
      </c>
      <c r="CL236" s="4" t="s">
        <v>241</v>
      </c>
      <c r="CO236" s="5" t="s">
        <v>260</v>
      </c>
      <c r="CP236" s="4" t="s">
        <v>241</v>
      </c>
      <c r="CQ236" s="4" t="s">
        <v>261</v>
      </c>
      <c r="CR236" s="4" t="s">
        <v>241</v>
      </c>
      <c r="CS236" s="4" t="s">
        <v>241</v>
      </c>
      <c r="CT236" s="4">
        <v>0</v>
      </c>
      <c r="CU236" s="4" t="s">
        <v>262</v>
      </c>
      <c r="CV236" s="4" t="s">
        <v>263</v>
      </c>
      <c r="CW236" s="4" t="s">
        <v>263</v>
      </c>
      <c r="CX236" s="4" t="s">
        <v>264</v>
      </c>
      <c r="DA236" s="6">
        <f>981245</f>
        <v>981245</v>
      </c>
      <c r="DC236" s="4" t="s">
        <v>422</v>
      </c>
      <c r="DD236" s="4" t="s">
        <v>241</v>
      </c>
      <c r="DF236" s="4" t="s">
        <v>422</v>
      </c>
      <c r="DG236" s="6">
        <f>443</f>
        <v>443</v>
      </c>
      <c r="DH236" s="5" t="s">
        <v>5035</v>
      </c>
      <c r="DI236" s="4" t="s">
        <v>414</v>
      </c>
      <c r="DJ236" s="4" t="s">
        <v>241</v>
      </c>
      <c r="DK236" s="4" t="s">
        <v>241</v>
      </c>
      <c r="DL236" s="4" t="s">
        <v>241</v>
      </c>
      <c r="DP236" s="4" t="s">
        <v>241</v>
      </c>
      <c r="DQ236" s="4" t="s">
        <v>241</v>
      </c>
      <c r="DR236" s="4" t="s">
        <v>241</v>
      </c>
      <c r="DS236" s="4" t="s">
        <v>241</v>
      </c>
      <c r="DV236" s="4" t="s">
        <v>5064</v>
      </c>
      <c r="DW236" s="4" t="s">
        <v>1787</v>
      </c>
      <c r="HO236" s="4" t="s">
        <v>267</v>
      </c>
    </row>
    <row r="237" spans="1:223" ht="19.5" customHeight="1" x14ac:dyDescent="0.4">
      <c r="A237" s="4">
        <v>1</v>
      </c>
      <c r="B237" s="4" t="s">
        <v>239</v>
      </c>
      <c r="C237" s="4">
        <v>948</v>
      </c>
      <c r="D237" s="4">
        <v>1</v>
      </c>
      <c r="E237" s="4">
        <v>1</v>
      </c>
      <c r="F237" s="4" t="s">
        <v>240</v>
      </c>
      <c r="G237" s="4" t="s">
        <v>241</v>
      </c>
      <c r="H237" s="4" t="s">
        <v>241</v>
      </c>
      <c r="I237" s="4" t="s">
        <v>5062</v>
      </c>
      <c r="J237" s="4" t="s">
        <v>4219</v>
      </c>
      <c r="K237" s="4" t="s">
        <v>251</v>
      </c>
      <c r="L237" s="4" t="s">
        <v>5061</v>
      </c>
      <c r="M237" s="5" t="s">
        <v>5063</v>
      </c>
      <c r="N237" s="6">
        <f>642</f>
        <v>642</v>
      </c>
      <c r="O237" s="4" t="s">
        <v>265</v>
      </c>
      <c r="P237" s="6">
        <f>1422030</f>
        <v>1422030</v>
      </c>
      <c r="Q237" s="6">
        <f>0</f>
        <v>0</v>
      </c>
      <c r="S237" s="6">
        <f>0</f>
        <v>0</v>
      </c>
      <c r="T237" s="6">
        <f>1422030</f>
        <v>1422030</v>
      </c>
      <c r="U237" s="5" t="s">
        <v>245</v>
      </c>
      <c r="V237" s="4" t="s">
        <v>270</v>
      </c>
      <c r="W237" s="4" t="s">
        <v>242</v>
      </c>
      <c r="X237" s="4" t="s">
        <v>273</v>
      </c>
      <c r="Y237" s="4" t="s">
        <v>241</v>
      </c>
      <c r="AB237" s="4" t="s">
        <v>241</v>
      </c>
      <c r="AD237" s="5" t="s">
        <v>241</v>
      </c>
      <c r="AG237" s="5" t="s">
        <v>246</v>
      </c>
      <c r="AH237" s="4" t="s">
        <v>241</v>
      </c>
      <c r="AI237" s="4" t="s">
        <v>247</v>
      </c>
      <c r="AJ237" s="4" t="s">
        <v>248</v>
      </c>
      <c r="AZ237" s="4" t="s">
        <v>249</v>
      </c>
      <c r="BA237" s="4" t="s">
        <v>241</v>
      </c>
      <c r="BB237" s="4" t="s">
        <v>250</v>
      </c>
      <c r="BC237" s="4" t="s">
        <v>241</v>
      </c>
      <c r="BD237" s="4" t="s">
        <v>252</v>
      </c>
      <c r="BE237" s="4" t="s">
        <v>241</v>
      </c>
      <c r="BI237" s="4" t="s">
        <v>253</v>
      </c>
      <c r="BJ237" s="5" t="s">
        <v>246</v>
      </c>
      <c r="BK237" s="4" t="s">
        <v>254</v>
      </c>
      <c r="BL237" s="4" t="s">
        <v>255</v>
      </c>
      <c r="BM237" s="4" t="s">
        <v>241</v>
      </c>
      <c r="BN237" s="6">
        <f>0</f>
        <v>0</v>
      </c>
      <c r="BO237" s="6">
        <f>0</f>
        <v>0</v>
      </c>
      <c r="BP237" s="4" t="s">
        <v>256</v>
      </c>
      <c r="BQ237" s="4" t="s">
        <v>257</v>
      </c>
      <c r="CE237" s="4" t="s">
        <v>241</v>
      </c>
      <c r="CF237" s="4" t="s">
        <v>241</v>
      </c>
      <c r="CJ237" s="4" t="s">
        <v>258</v>
      </c>
      <c r="CK237" s="4" t="s">
        <v>259</v>
      </c>
      <c r="CL237" s="4" t="s">
        <v>241</v>
      </c>
      <c r="CO237" s="5" t="s">
        <v>260</v>
      </c>
      <c r="CP237" s="4" t="s">
        <v>241</v>
      </c>
      <c r="CQ237" s="4" t="s">
        <v>261</v>
      </c>
      <c r="CR237" s="4" t="s">
        <v>241</v>
      </c>
      <c r="CS237" s="4" t="s">
        <v>241</v>
      </c>
      <c r="CT237" s="4">
        <v>0</v>
      </c>
      <c r="CU237" s="4" t="s">
        <v>262</v>
      </c>
      <c r="CV237" s="4" t="s">
        <v>263</v>
      </c>
      <c r="CW237" s="4" t="s">
        <v>263</v>
      </c>
      <c r="CX237" s="4" t="s">
        <v>264</v>
      </c>
      <c r="DA237" s="6">
        <f>1422030</f>
        <v>1422030</v>
      </c>
      <c r="DC237" s="4" t="s">
        <v>422</v>
      </c>
      <c r="DD237" s="4" t="s">
        <v>241</v>
      </c>
      <c r="DF237" s="4" t="s">
        <v>422</v>
      </c>
      <c r="DG237" s="6">
        <f>642</f>
        <v>642</v>
      </c>
      <c r="DH237" s="5" t="s">
        <v>5035</v>
      </c>
      <c r="DI237" s="4" t="s">
        <v>414</v>
      </c>
      <c r="DJ237" s="4" t="s">
        <v>241</v>
      </c>
      <c r="DK237" s="4" t="s">
        <v>241</v>
      </c>
      <c r="DL237" s="4" t="s">
        <v>241</v>
      </c>
      <c r="DP237" s="4" t="s">
        <v>241</v>
      </c>
      <c r="DQ237" s="4" t="s">
        <v>241</v>
      </c>
      <c r="DR237" s="4" t="s">
        <v>241</v>
      </c>
      <c r="DS237" s="4" t="s">
        <v>241</v>
      </c>
      <c r="DV237" s="4" t="s">
        <v>5064</v>
      </c>
      <c r="DW237" s="4" t="s">
        <v>1785</v>
      </c>
      <c r="HO237" s="4" t="s">
        <v>267</v>
      </c>
    </row>
    <row r="238" spans="1:223" ht="19.5" customHeight="1" x14ac:dyDescent="0.4">
      <c r="A238" s="4">
        <v>1</v>
      </c>
      <c r="B238" s="4" t="s">
        <v>239</v>
      </c>
      <c r="C238" s="4">
        <v>949</v>
      </c>
      <c r="D238" s="4">
        <v>1</v>
      </c>
      <c r="E238" s="4">
        <v>1</v>
      </c>
      <c r="F238" s="4" t="s">
        <v>240</v>
      </c>
      <c r="G238" s="4" t="s">
        <v>241</v>
      </c>
      <c r="H238" s="4" t="s">
        <v>241</v>
      </c>
      <c r="I238" s="4" t="s">
        <v>5062</v>
      </c>
      <c r="J238" s="4" t="s">
        <v>4219</v>
      </c>
      <c r="K238" s="4" t="s">
        <v>251</v>
      </c>
      <c r="L238" s="4" t="s">
        <v>5061</v>
      </c>
      <c r="M238" s="5" t="s">
        <v>5065</v>
      </c>
      <c r="N238" s="6">
        <f>305</f>
        <v>305</v>
      </c>
      <c r="O238" s="4" t="s">
        <v>265</v>
      </c>
      <c r="P238" s="6">
        <f>675575</f>
        <v>675575</v>
      </c>
      <c r="Q238" s="6">
        <f>0</f>
        <v>0</v>
      </c>
      <c r="S238" s="6">
        <f>0</f>
        <v>0</v>
      </c>
      <c r="T238" s="6">
        <f>675575</f>
        <v>675575</v>
      </c>
      <c r="U238" s="5" t="s">
        <v>245</v>
      </c>
      <c r="V238" s="4" t="s">
        <v>270</v>
      </c>
      <c r="W238" s="4" t="s">
        <v>242</v>
      </c>
      <c r="X238" s="4" t="s">
        <v>273</v>
      </c>
      <c r="Y238" s="4" t="s">
        <v>241</v>
      </c>
      <c r="AB238" s="4" t="s">
        <v>241</v>
      </c>
      <c r="AD238" s="5" t="s">
        <v>241</v>
      </c>
      <c r="AG238" s="5" t="s">
        <v>246</v>
      </c>
      <c r="AH238" s="4" t="s">
        <v>241</v>
      </c>
      <c r="AI238" s="4" t="s">
        <v>247</v>
      </c>
      <c r="AJ238" s="4" t="s">
        <v>248</v>
      </c>
      <c r="AZ238" s="4" t="s">
        <v>249</v>
      </c>
      <c r="BA238" s="4" t="s">
        <v>241</v>
      </c>
      <c r="BB238" s="4" t="s">
        <v>250</v>
      </c>
      <c r="BC238" s="4" t="s">
        <v>241</v>
      </c>
      <c r="BD238" s="4" t="s">
        <v>252</v>
      </c>
      <c r="BE238" s="4" t="s">
        <v>241</v>
      </c>
      <c r="BI238" s="4" t="s">
        <v>253</v>
      </c>
      <c r="BJ238" s="5" t="s">
        <v>246</v>
      </c>
      <c r="BK238" s="4" t="s">
        <v>254</v>
      </c>
      <c r="BL238" s="4" t="s">
        <v>255</v>
      </c>
      <c r="BM238" s="4" t="s">
        <v>241</v>
      </c>
      <c r="BN238" s="6">
        <f>0</f>
        <v>0</v>
      </c>
      <c r="BO238" s="6">
        <f>0</f>
        <v>0</v>
      </c>
      <c r="BP238" s="4" t="s">
        <v>256</v>
      </c>
      <c r="BQ238" s="4" t="s">
        <v>257</v>
      </c>
      <c r="CE238" s="4" t="s">
        <v>241</v>
      </c>
      <c r="CF238" s="4" t="s">
        <v>241</v>
      </c>
      <c r="CJ238" s="4" t="s">
        <v>258</v>
      </c>
      <c r="CK238" s="4" t="s">
        <v>259</v>
      </c>
      <c r="CL238" s="4" t="s">
        <v>241</v>
      </c>
      <c r="CO238" s="5" t="s">
        <v>260</v>
      </c>
      <c r="CP238" s="4" t="s">
        <v>241</v>
      </c>
      <c r="CQ238" s="4" t="s">
        <v>261</v>
      </c>
      <c r="CR238" s="4" t="s">
        <v>241</v>
      </c>
      <c r="CS238" s="4" t="s">
        <v>241</v>
      </c>
      <c r="CT238" s="4">
        <v>0</v>
      </c>
      <c r="CU238" s="4" t="s">
        <v>262</v>
      </c>
      <c r="CV238" s="4" t="s">
        <v>263</v>
      </c>
      <c r="CW238" s="4" t="s">
        <v>263</v>
      </c>
      <c r="CX238" s="4" t="s">
        <v>264</v>
      </c>
      <c r="DA238" s="6">
        <f>675575</f>
        <v>675575</v>
      </c>
      <c r="DC238" s="4" t="s">
        <v>422</v>
      </c>
      <c r="DD238" s="4" t="s">
        <v>241</v>
      </c>
      <c r="DF238" s="4" t="s">
        <v>422</v>
      </c>
      <c r="DG238" s="6">
        <f>305</f>
        <v>305</v>
      </c>
      <c r="DH238" s="5" t="s">
        <v>5035</v>
      </c>
      <c r="DI238" s="4" t="s">
        <v>414</v>
      </c>
      <c r="DJ238" s="4" t="s">
        <v>241</v>
      </c>
      <c r="DK238" s="4" t="s">
        <v>241</v>
      </c>
      <c r="DL238" s="4" t="s">
        <v>241</v>
      </c>
      <c r="DP238" s="4" t="s">
        <v>241</v>
      </c>
      <c r="DQ238" s="4" t="s">
        <v>241</v>
      </c>
      <c r="DR238" s="4" t="s">
        <v>241</v>
      </c>
      <c r="DS238" s="4" t="s">
        <v>241</v>
      </c>
      <c r="DV238" s="4" t="s">
        <v>5064</v>
      </c>
      <c r="DW238" s="4" t="s">
        <v>1781</v>
      </c>
      <c r="HO238" s="4" t="s">
        <v>267</v>
      </c>
    </row>
    <row r="239" spans="1:223" ht="19.5" customHeight="1" x14ac:dyDescent="0.4">
      <c r="A239" s="4">
        <v>1</v>
      </c>
      <c r="B239" s="4" t="s">
        <v>239</v>
      </c>
      <c r="C239" s="4">
        <v>950</v>
      </c>
      <c r="D239" s="4">
        <v>1</v>
      </c>
      <c r="E239" s="4">
        <v>1</v>
      </c>
      <c r="F239" s="4" t="s">
        <v>240</v>
      </c>
      <c r="G239" s="4" t="s">
        <v>241</v>
      </c>
      <c r="H239" s="4" t="s">
        <v>241</v>
      </c>
      <c r="I239" s="4" t="s">
        <v>5058</v>
      </c>
      <c r="J239" s="4" t="s">
        <v>4219</v>
      </c>
      <c r="K239" s="4" t="s">
        <v>251</v>
      </c>
      <c r="L239" s="4" t="s">
        <v>5057</v>
      </c>
      <c r="M239" s="5" t="s">
        <v>5059</v>
      </c>
      <c r="N239" s="6">
        <f>13808</f>
        <v>13808</v>
      </c>
      <c r="O239" s="4" t="s">
        <v>265</v>
      </c>
      <c r="P239" s="6">
        <f>30584720</f>
        <v>30584720</v>
      </c>
      <c r="Q239" s="6">
        <f>0</f>
        <v>0</v>
      </c>
      <c r="S239" s="6">
        <f>0</f>
        <v>0</v>
      </c>
      <c r="T239" s="6">
        <f>30584720</f>
        <v>30584720</v>
      </c>
      <c r="U239" s="5" t="s">
        <v>245</v>
      </c>
      <c r="V239" s="4" t="s">
        <v>270</v>
      </c>
      <c r="W239" s="4" t="s">
        <v>242</v>
      </c>
      <c r="X239" s="4" t="s">
        <v>273</v>
      </c>
      <c r="Y239" s="4" t="s">
        <v>241</v>
      </c>
      <c r="AB239" s="4" t="s">
        <v>241</v>
      </c>
      <c r="AD239" s="5" t="s">
        <v>241</v>
      </c>
      <c r="AG239" s="5" t="s">
        <v>246</v>
      </c>
      <c r="AH239" s="4" t="s">
        <v>241</v>
      </c>
      <c r="AI239" s="4" t="s">
        <v>247</v>
      </c>
      <c r="AJ239" s="4" t="s">
        <v>248</v>
      </c>
      <c r="AZ239" s="4" t="s">
        <v>249</v>
      </c>
      <c r="BA239" s="4" t="s">
        <v>241</v>
      </c>
      <c r="BB239" s="4" t="s">
        <v>250</v>
      </c>
      <c r="BC239" s="4" t="s">
        <v>241</v>
      </c>
      <c r="BD239" s="4" t="s">
        <v>252</v>
      </c>
      <c r="BE239" s="4" t="s">
        <v>241</v>
      </c>
      <c r="BG239" s="4" t="s">
        <v>4227</v>
      </c>
      <c r="BI239" s="4" t="s">
        <v>253</v>
      </c>
      <c r="BJ239" s="5" t="s">
        <v>246</v>
      </c>
      <c r="BK239" s="4" t="s">
        <v>254</v>
      </c>
      <c r="BL239" s="4" t="s">
        <v>255</v>
      </c>
      <c r="BM239" s="4" t="s">
        <v>241</v>
      </c>
      <c r="BN239" s="6">
        <f>0</f>
        <v>0</v>
      </c>
      <c r="BO239" s="6">
        <f>0</f>
        <v>0</v>
      </c>
      <c r="BP239" s="4" t="s">
        <v>256</v>
      </c>
      <c r="BQ239" s="4" t="s">
        <v>257</v>
      </c>
      <c r="CE239" s="4" t="s">
        <v>241</v>
      </c>
      <c r="CF239" s="4" t="s">
        <v>241</v>
      </c>
      <c r="CJ239" s="4" t="s">
        <v>258</v>
      </c>
      <c r="CK239" s="4" t="s">
        <v>259</v>
      </c>
      <c r="CL239" s="4" t="s">
        <v>241</v>
      </c>
      <c r="CO239" s="5" t="s">
        <v>260</v>
      </c>
      <c r="CP239" s="4" t="s">
        <v>241</v>
      </c>
      <c r="CQ239" s="4" t="s">
        <v>261</v>
      </c>
      <c r="CR239" s="4" t="s">
        <v>241</v>
      </c>
      <c r="CS239" s="4" t="s">
        <v>241</v>
      </c>
      <c r="CT239" s="4">
        <v>0</v>
      </c>
      <c r="CU239" s="4" t="s">
        <v>262</v>
      </c>
      <c r="CV239" s="4" t="s">
        <v>263</v>
      </c>
      <c r="CW239" s="4" t="s">
        <v>263</v>
      </c>
      <c r="CX239" s="4" t="s">
        <v>264</v>
      </c>
      <c r="DA239" s="6">
        <f>30584720</f>
        <v>30584720</v>
      </c>
      <c r="DC239" s="4" t="s">
        <v>422</v>
      </c>
      <c r="DD239" s="4" t="s">
        <v>241</v>
      </c>
      <c r="DF239" s="4" t="s">
        <v>422</v>
      </c>
      <c r="DG239" s="6">
        <f>13808</f>
        <v>13808</v>
      </c>
      <c r="DH239" s="5" t="s">
        <v>5035</v>
      </c>
      <c r="DI239" s="4" t="s">
        <v>414</v>
      </c>
      <c r="DJ239" s="4" t="s">
        <v>241</v>
      </c>
      <c r="DK239" s="4" t="s">
        <v>241</v>
      </c>
      <c r="DL239" s="4" t="s">
        <v>241</v>
      </c>
      <c r="DP239" s="4" t="s">
        <v>241</v>
      </c>
      <c r="DQ239" s="4" t="s">
        <v>241</v>
      </c>
      <c r="DR239" s="4" t="s">
        <v>241</v>
      </c>
      <c r="DS239" s="4" t="s">
        <v>241</v>
      </c>
      <c r="DV239" s="4" t="s">
        <v>5060</v>
      </c>
      <c r="DW239" s="4" t="s">
        <v>267</v>
      </c>
      <c r="HO239" s="4" t="s">
        <v>267</v>
      </c>
    </row>
    <row r="240" spans="1:223" ht="19.5" customHeight="1" x14ac:dyDescent="0.4">
      <c r="A240" s="4">
        <v>1</v>
      </c>
      <c r="B240" s="4" t="s">
        <v>239</v>
      </c>
      <c r="C240" s="4">
        <v>951</v>
      </c>
      <c r="D240" s="4">
        <v>1</v>
      </c>
      <c r="E240" s="4">
        <v>1</v>
      </c>
      <c r="F240" s="4" t="s">
        <v>240</v>
      </c>
      <c r="G240" s="4" t="s">
        <v>241</v>
      </c>
      <c r="H240" s="4" t="s">
        <v>241</v>
      </c>
      <c r="I240" s="4" t="s">
        <v>5054</v>
      </c>
      <c r="J240" s="4" t="s">
        <v>4219</v>
      </c>
      <c r="K240" s="4" t="s">
        <v>251</v>
      </c>
      <c r="L240" s="4" t="s">
        <v>5053</v>
      </c>
      <c r="M240" s="5" t="s">
        <v>3179</v>
      </c>
      <c r="N240" s="6">
        <f>20402</f>
        <v>20402</v>
      </c>
      <c r="O240" s="4" t="s">
        <v>265</v>
      </c>
      <c r="P240" s="6">
        <f>571256</f>
        <v>571256</v>
      </c>
      <c r="Q240" s="6">
        <f>0</f>
        <v>0</v>
      </c>
      <c r="S240" s="6">
        <f>0</f>
        <v>0</v>
      </c>
      <c r="T240" s="6">
        <f>571256</f>
        <v>571256</v>
      </c>
      <c r="U240" s="5" t="s">
        <v>245</v>
      </c>
      <c r="V240" s="4" t="s">
        <v>270</v>
      </c>
      <c r="W240" s="4" t="s">
        <v>242</v>
      </c>
      <c r="X240" s="4" t="s">
        <v>273</v>
      </c>
      <c r="Y240" s="4" t="s">
        <v>241</v>
      </c>
      <c r="AB240" s="4" t="s">
        <v>241</v>
      </c>
      <c r="AD240" s="5" t="s">
        <v>241</v>
      </c>
      <c r="AG240" s="5" t="s">
        <v>246</v>
      </c>
      <c r="AH240" s="4" t="s">
        <v>241</v>
      </c>
      <c r="AI240" s="4" t="s">
        <v>247</v>
      </c>
      <c r="AJ240" s="4" t="s">
        <v>248</v>
      </c>
      <c r="AZ240" s="4" t="s">
        <v>249</v>
      </c>
      <c r="BA240" s="4" t="s">
        <v>241</v>
      </c>
      <c r="BB240" s="4" t="s">
        <v>250</v>
      </c>
      <c r="BC240" s="4" t="s">
        <v>241</v>
      </c>
      <c r="BD240" s="4" t="s">
        <v>252</v>
      </c>
      <c r="BE240" s="4" t="s">
        <v>241</v>
      </c>
      <c r="BG240" s="4" t="s">
        <v>4227</v>
      </c>
      <c r="BI240" s="4" t="s">
        <v>253</v>
      </c>
      <c r="BJ240" s="5" t="s">
        <v>246</v>
      </c>
      <c r="BK240" s="4" t="s">
        <v>254</v>
      </c>
      <c r="BL240" s="4" t="s">
        <v>255</v>
      </c>
      <c r="BM240" s="4" t="s">
        <v>241</v>
      </c>
      <c r="BN240" s="6">
        <f>0</f>
        <v>0</v>
      </c>
      <c r="BO240" s="6">
        <f>0</f>
        <v>0</v>
      </c>
      <c r="BP240" s="4" t="s">
        <v>256</v>
      </c>
      <c r="BQ240" s="4" t="s">
        <v>257</v>
      </c>
      <c r="CE240" s="4" t="s">
        <v>241</v>
      </c>
      <c r="CF240" s="4" t="s">
        <v>241</v>
      </c>
      <c r="CJ240" s="4" t="s">
        <v>258</v>
      </c>
      <c r="CK240" s="4" t="s">
        <v>259</v>
      </c>
      <c r="CL240" s="4" t="s">
        <v>241</v>
      </c>
      <c r="CO240" s="5" t="s">
        <v>260</v>
      </c>
      <c r="CP240" s="4" t="s">
        <v>241</v>
      </c>
      <c r="CQ240" s="4" t="s">
        <v>261</v>
      </c>
      <c r="CR240" s="4" t="s">
        <v>241</v>
      </c>
      <c r="CS240" s="4" t="s">
        <v>241</v>
      </c>
      <c r="CT240" s="4">
        <v>0</v>
      </c>
      <c r="CU240" s="4" t="s">
        <v>262</v>
      </c>
      <c r="CV240" s="4" t="s">
        <v>263</v>
      </c>
      <c r="CW240" s="4" t="s">
        <v>263</v>
      </c>
      <c r="CX240" s="4" t="s">
        <v>264</v>
      </c>
      <c r="DA240" s="6">
        <f>571256</f>
        <v>571256</v>
      </c>
      <c r="DC240" s="4" t="s">
        <v>324</v>
      </c>
      <c r="DD240" s="4" t="s">
        <v>241</v>
      </c>
      <c r="DF240" s="4" t="s">
        <v>324</v>
      </c>
      <c r="DG240" s="6">
        <f>164926</f>
        <v>164926</v>
      </c>
      <c r="DH240" s="5" t="s">
        <v>5035</v>
      </c>
      <c r="DI240" s="4" t="s">
        <v>324</v>
      </c>
      <c r="DJ240" s="4" t="s">
        <v>241</v>
      </c>
      <c r="DK240" s="4" t="s">
        <v>241</v>
      </c>
      <c r="DL240" s="4" t="s">
        <v>241</v>
      </c>
      <c r="DP240" s="4" t="s">
        <v>241</v>
      </c>
      <c r="DQ240" s="4" t="s">
        <v>241</v>
      </c>
      <c r="DR240" s="4" t="s">
        <v>241</v>
      </c>
      <c r="DS240" s="4" t="s">
        <v>241</v>
      </c>
      <c r="DV240" s="4" t="s">
        <v>5055</v>
      </c>
      <c r="DW240" s="4" t="s">
        <v>267</v>
      </c>
      <c r="HO240" s="4" t="s">
        <v>267</v>
      </c>
    </row>
    <row r="241" spans="1:223" ht="19.5" customHeight="1" x14ac:dyDescent="0.4">
      <c r="A241" s="4">
        <v>1</v>
      </c>
      <c r="B241" s="4" t="s">
        <v>239</v>
      </c>
      <c r="C241" s="4">
        <v>952</v>
      </c>
      <c r="D241" s="4">
        <v>1</v>
      </c>
      <c r="E241" s="4">
        <v>1</v>
      </c>
      <c r="F241" s="4" t="s">
        <v>240</v>
      </c>
      <c r="G241" s="4" t="s">
        <v>241</v>
      </c>
      <c r="H241" s="4" t="s">
        <v>241</v>
      </c>
      <c r="I241" s="4" t="s">
        <v>5054</v>
      </c>
      <c r="J241" s="4" t="s">
        <v>4219</v>
      </c>
      <c r="K241" s="4" t="s">
        <v>251</v>
      </c>
      <c r="L241" s="4" t="s">
        <v>5056</v>
      </c>
      <c r="M241" s="5" t="s">
        <v>3174</v>
      </c>
      <c r="N241" s="6">
        <f>14519</f>
        <v>14519</v>
      </c>
      <c r="O241" s="4" t="s">
        <v>265</v>
      </c>
      <c r="P241" s="6">
        <f>406532</f>
        <v>406532</v>
      </c>
      <c r="Q241" s="6">
        <f>0</f>
        <v>0</v>
      </c>
      <c r="S241" s="6">
        <f>0</f>
        <v>0</v>
      </c>
      <c r="T241" s="6">
        <f>406532</f>
        <v>406532</v>
      </c>
      <c r="U241" s="5" t="s">
        <v>245</v>
      </c>
      <c r="V241" s="4" t="s">
        <v>270</v>
      </c>
      <c r="W241" s="4" t="s">
        <v>242</v>
      </c>
      <c r="X241" s="4" t="s">
        <v>273</v>
      </c>
      <c r="Y241" s="4" t="s">
        <v>241</v>
      </c>
      <c r="AB241" s="4" t="s">
        <v>241</v>
      </c>
      <c r="AD241" s="5" t="s">
        <v>241</v>
      </c>
      <c r="AG241" s="5" t="s">
        <v>246</v>
      </c>
      <c r="AH241" s="4" t="s">
        <v>241</v>
      </c>
      <c r="AI241" s="4" t="s">
        <v>247</v>
      </c>
      <c r="AJ241" s="4" t="s">
        <v>248</v>
      </c>
      <c r="AZ241" s="4" t="s">
        <v>249</v>
      </c>
      <c r="BA241" s="4" t="s">
        <v>241</v>
      </c>
      <c r="BB241" s="4" t="s">
        <v>250</v>
      </c>
      <c r="BC241" s="4" t="s">
        <v>241</v>
      </c>
      <c r="BD241" s="4" t="s">
        <v>252</v>
      </c>
      <c r="BE241" s="4" t="s">
        <v>241</v>
      </c>
      <c r="BI241" s="4" t="s">
        <v>253</v>
      </c>
      <c r="BJ241" s="5" t="s">
        <v>246</v>
      </c>
      <c r="BK241" s="4" t="s">
        <v>254</v>
      </c>
      <c r="BL241" s="4" t="s">
        <v>255</v>
      </c>
      <c r="BM241" s="4" t="s">
        <v>241</v>
      </c>
      <c r="BN241" s="6">
        <f>0</f>
        <v>0</v>
      </c>
      <c r="BO241" s="6">
        <f>0</f>
        <v>0</v>
      </c>
      <c r="BP241" s="4" t="s">
        <v>256</v>
      </c>
      <c r="BQ241" s="4" t="s">
        <v>257</v>
      </c>
      <c r="CE241" s="4" t="s">
        <v>241</v>
      </c>
      <c r="CF241" s="4" t="s">
        <v>241</v>
      </c>
      <c r="CJ241" s="4" t="s">
        <v>258</v>
      </c>
      <c r="CK241" s="4" t="s">
        <v>259</v>
      </c>
      <c r="CL241" s="4" t="s">
        <v>241</v>
      </c>
      <c r="CO241" s="5" t="s">
        <v>260</v>
      </c>
      <c r="CP241" s="4" t="s">
        <v>241</v>
      </c>
      <c r="CQ241" s="4" t="s">
        <v>261</v>
      </c>
      <c r="CR241" s="4" t="s">
        <v>241</v>
      </c>
      <c r="CS241" s="4" t="s">
        <v>241</v>
      </c>
      <c r="CT241" s="4">
        <v>0</v>
      </c>
      <c r="CU241" s="4" t="s">
        <v>262</v>
      </c>
      <c r="CV241" s="4" t="s">
        <v>263</v>
      </c>
      <c r="CW241" s="4" t="s">
        <v>263</v>
      </c>
      <c r="CX241" s="4" t="s">
        <v>264</v>
      </c>
      <c r="DA241" s="6">
        <f>406532</f>
        <v>406532</v>
      </c>
      <c r="DC241" s="4" t="s">
        <v>324</v>
      </c>
      <c r="DD241" s="4" t="s">
        <v>241</v>
      </c>
      <c r="DF241" s="4" t="s">
        <v>324</v>
      </c>
      <c r="DG241" s="6">
        <f>14519</f>
        <v>14519</v>
      </c>
      <c r="DH241" s="5" t="s">
        <v>5035</v>
      </c>
      <c r="DI241" s="4" t="s">
        <v>324</v>
      </c>
      <c r="DJ241" s="4" t="s">
        <v>241</v>
      </c>
      <c r="DK241" s="4" t="s">
        <v>241</v>
      </c>
      <c r="DL241" s="4" t="s">
        <v>241</v>
      </c>
      <c r="DP241" s="4" t="s">
        <v>241</v>
      </c>
      <c r="DQ241" s="4" t="s">
        <v>241</v>
      </c>
      <c r="DR241" s="4" t="s">
        <v>241</v>
      </c>
      <c r="DS241" s="4" t="s">
        <v>241</v>
      </c>
      <c r="DV241" s="4" t="s">
        <v>5055</v>
      </c>
      <c r="DW241" s="4" t="s">
        <v>416</v>
      </c>
      <c r="HO241" s="4" t="s">
        <v>267</v>
      </c>
    </row>
    <row r="242" spans="1:223" ht="19.5" customHeight="1" x14ac:dyDescent="0.4">
      <c r="A242" s="4">
        <v>1</v>
      </c>
      <c r="B242" s="4" t="s">
        <v>239</v>
      </c>
      <c r="C242" s="4">
        <v>953</v>
      </c>
      <c r="D242" s="4">
        <v>1</v>
      </c>
      <c r="E242" s="4">
        <v>1</v>
      </c>
      <c r="F242" s="4" t="s">
        <v>240</v>
      </c>
      <c r="G242" s="4" t="s">
        <v>241</v>
      </c>
      <c r="H242" s="4" t="s">
        <v>241</v>
      </c>
      <c r="I242" s="4" t="s">
        <v>5033</v>
      </c>
      <c r="J242" s="4" t="s">
        <v>4219</v>
      </c>
      <c r="K242" s="4" t="s">
        <v>251</v>
      </c>
      <c r="L242" s="4" t="s">
        <v>5032</v>
      </c>
      <c r="M242" s="5" t="s">
        <v>1346</v>
      </c>
      <c r="N242" s="6">
        <f>289445</f>
        <v>289445</v>
      </c>
      <c r="O242" s="4" t="s">
        <v>265</v>
      </c>
      <c r="P242" s="6">
        <f>3183895</f>
        <v>3183895</v>
      </c>
      <c r="Q242" s="6">
        <f>0</f>
        <v>0</v>
      </c>
      <c r="S242" s="6">
        <f>0</f>
        <v>0</v>
      </c>
      <c r="T242" s="6">
        <f>3183895</f>
        <v>3183895</v>
      </c>
      <c r="U242" s="5" t="s">
        <v>245</v>
      </c>
      <c r="V242" s="4" t="s">
        <v>270</v>
      </c>
      <c r="W242" s="4" t="s">
        <v>242</v>
      </c>
      <c r="X242" s="4" t="s">
        <v>273</v>
      </c>
      <c r="Y242" s="4" t="s">
        <v>241</v>
      </c>
      <c r="AB242" s="4" t="s">
        <v>241</v>
      </c>
      <c r="AD242" s="5" t="s">
        <v>241</v>
      </c>
      <c r="AG242" s="5" t="s">
        <v>246</v>
      </c>
      <c r="AH242" s="4" t="s">
        <v>5034</v>
      </c>
      <c r="AI242" s="4" t="s">
        <v>247</v>
      </c>
      <c r="AJ242" s="4" t="s">
        <v>248</v>
      </c>
      <c r="AZ242" s="4" t="s">
        <v>249</v>
      </c>
      <c r="BA242" s="4" t="s">
        <v>241</v>
      </c>
      <c r="BB242" s="4" t="s">
        <v>250</v>
      </c>
      <c r="BC242" s="4" t="s">
        <v>241</v>
      </c>
      <c r="BD242" s="4" t="s">
        <v>252</v>
      </c>
      <c r="BE242" s="4" t="s">
        <v>241</v>
      </c>
      <c r="BG242" s="4" t="s">
        <v>4227</v>
      </c>
      <c r="BI242" s="4" t="s">
        <v>253</v>
      </c>
      <c r="BJ242" s="5" t="s">
        <v>246</v>
      </c>
      <c r="BK242" s="4" t="s">
        <v>254</v>
      </c>
      <c r="BL242" s="4" t="s">
        <v>255</v>
      </c>
      <c r="BM242" s="4" t="s">
        <v>241</v>
      </c>
      <c r="BN242" s="6">
        <f>0</f>
        <v>0</v>
      </c>
      <c r="BO242" s="6">
        <f>0</f>
        <v>0</v>
      </c>
      <c r="BP242" s="4" t="s">
        <v>256</v>
      </c>
      <c r="BQ242" s="4" t="s">
        <v>257</v>
      </c>
      <c r="CE242" s="4" t="s">
        <v>241</v>
      </c>
      <c r="CF242" s="4" t="s">
        <v>241</v>
      </c>
      <c r="CJ242" s="4" t="s">
        <v>258</v>
      </c>
      <c r="CK242" s="4" t="s">
        <v>259</v>
      </c>
      <c r="CL242" s="4" t="s">
        <v>241</v>
      </c>
      <c r="CO242" s="5" t="s">
        <v>260</v>
      </c>
      <c r="CP242" s="4" t="s">
        <v>241</v>
      </c>
      <c r="CQ242" s="4" t="s">
        <v>261</v>
      </c>
      <c r="CR242" s="4" t="s">
        <v>241</v>
      </c>
      <c r="CS242" s="4" t="s">
        <v>241</v>
      </c>
      <c r="CT242" s="4">
        <v>0</v>
      </c>
      <c r="CU242" s="4" t="s">
        <v>262</v>
      </c>
      <c r="CV242" s="4" t="s">
        <v>263</v>
      </c>
      <c r="CW242" s="4" t="s">
        <v>263</v>
      </c>
      <c r="CX242" s="4" t="s">
        <v>264</v>
      </c>
      <c r="DA242" s="6">
        <f>3183895</f>
        <v>3183895</v>
      </c>
      <c r="DC242" s="4" t="s">
        <v>287</v>
      </c>
      <c r="DD242" s="4" t="s">
        <v>241</v>
      </c>
      <c r="DF242" s="4" t="s">
        <v>287</v>
      </c>
      <c r="DG242" s="6">
        <f>0</f>
        <v>0</v>
      </c>
      <c r="DH242" s="5" t="s">
        <v>5035</v>
      </c>
      <c r="DI242" s="4" t="s">
        <v>3167</v>
      </c>
      <c r="DJ242" s="4" t="s">
        <v>241</v>
      </c>
      <c r="DK242" s="4" t="s">
        <v>241</v>
      </c>
      <c r="DL242" s="4" t="s">
        <v>241</v>
      </c>
      <c r="DP242" s="4" t="s">
        <v>241</v>
      </c>
      <c r="DQ242" s="4" t="s">
        <v>241</v>
      </c>
      <c r="DR242" s="4" t="s">
        <v>241</v>
      </c>
      <c r="DS242" s="4" t="s">
        <v>241</v>
      </c>
      <c r="DV242" s="4" t="s">
        <v>5036</v>
      </c>
      <c r="DW242" s="4" t="s">
        <v>267</v>
      </c>
      <c r="HO242" s="4" t="s">
        <v>267</v>
      </c>
    </row>
    <row r="243" spans="1:223" ht="19.5" customHeight="1" x14ac:dyDescent="0.4">
      <c r="A243" s="4">
        <v>1</v>
      </c>
      <c r="B243" s="4" t="s">
        <v>239</v>
      </c>
      <c r="C243" s="4">
        <v>954</v>
      </c>
      <c r="D243" s="4">
        <v>1</v>
      </c>
      <c r="E243" s="4">
        <v>1</v>
      </c>
      <c r="F243" s="4" t="s">
        <v>240</v>
      </c>
      <c r="G243" s="4" t="s">
        <v>241</v>
      </c>
      <c r="H243" s="4" t="s">
        <v>241</v>
      </c>
      <c r="I243" s="4" t="s">
        <v>5033</v>
      </c>
      <c r="J243" s="4" t="s">
        <v>4219</v>
      </c>
      <c r="K243" s="4" t="s">
        <v>251</v>
      </c>
      <c r="L243" s="4" t="s">
        <v>5032</v>
      </c>
      <c r="M243" s="5" t="s">
        <v>5039</v>
      </c>
      <c r="N243" s="6">
        <f>118</f>
        <v>118</v>
      </c>
      <c r="O243" s="4" t="s">
        <v>265</v>
      </c>
      <c r="P243" s="6">
        <f>1298</f>
        <v>1298</v>
      </c>
      <c r="Q243" s="6">
        <f>0</f>
        <v>0</v>
      </c>
      <c r="S243" s="6">
        <f>0</f>
        <v>0</v>
      </c>
      <c r="T243" s="6">
        <f>1298</f>
        <v>1298</v>
      </c>
      <c r="U243" s="5" t="s">
        <v>245</v>
      </c>
      <c r="V243" s="4" t="s">
        <v>270</v>
      </c>
      <c r="W243" s="4" t="s">
        <v>242</v>
      </c>
      <c r="X243" s="4" t="s">
        <v>273</v>
      </c>
      <c r="Y243" s="4" t="s">
        <v>241</v>
      </c>
      <c r="AB243" s="4" t="s">
        <v>241</v>
      </c>
      <c r="AD243" s="5" t="s">
        <v>241</v>
      </c>
      <c r="AG243" s="5" t="s">
        <v>246</v>
      </c>
      <c r="AH243" s="4" t="s">
        <v>5038</v>
      </c>
      <c r="AI243" s="4" t="s">
        <v>247</v>
      </c>
      <c r="AJ243" s="4" t="s">
        <v>248</v>
      </c>
      <c r="AZ243" s="4" t="s">
        <v>249</v>
      </c>
      <c r="BA243" s="4" t="s">
        <v>241</v>
      </c>
      <c r="BB243" s="4" t="s">
        <v>250</v>
      </c>
      <c r="BC243" s="4" t="s">
        <v>241</v>
      </c>
      <c r="BD243" s="4" t="s">
        <v>252</v>
      </c>
      <c r="BE243" s="4" t="s">
        <v>241</v>
      </c>
      <c r="BI243" s="4" t="s">
        <v>253</v>
      </c>
      <c r="BJ243" s="5" t="s">
        <v>246</v>
      </c>
      <c r="BK243" s="4" t="s">
        <v>254</v>
      </c>
      <c r="BL243" s="4" t="s">
        <v>255</v>
      </c>
      <c r="BM243" s="4" t="s">
        <v>241</v>
      </c>
      <c r="BN243" s="6">
        <f>0</f>
        <v>0</v>
      </c>
      <c r="BO243" s="6">
        <f>0</f>
        <v>0</v>
      </c>
      <c r="BP243" s="4" t="s">
        <v>256</v>
      </c>
      <c r="BQ243" s="4" t="s">
        <v>257</v>
      </c>
      <c r="CE243" s="4" t="s">
        <v>241</v>
      </c>
      <c r="CF243" s="4" t="s">
        <v>241</v>
      </c>
      <c r="CJ243" s="4" t="s">
        <v>258</v>
      </c>
      <c r="CK243" s="4" t="s">
        <v>259</v>
      </c>
      <c r="CL243" s="4" t="s">
        <v>241</v>
      </c>
      <c r="CO243" s="5" t="s">
        <v>260</v>
      </c>
      <c r="CP243" s="4" t="s">
        <v>241</v>
      </c>
      <c r="CQ243" s="4" t="s">
        <v>261</v>
      </c>
      <c r="CR243" s="4" t="s">
        <v>241</v>
      </c>
      <c r="CS243" s="4" t="s">
        <v>241</v>
      </c>
      <c r="CT243" s="4">
        <v>0</v>
      </c>
      <c r="CU243" s="4" t="s">
        <v>262</v>
      </c>
      <c r="CV243" s="4" t="s">
        <v>263</v>
      </c>
      <c r="CW243" s="4" t="s">
        <v>263</v>
      </c>
      <c r="CX243" s="4" t="s">
        <v>264</v>
      </c>
      <c r="DA243" s="6">
        <f>1298</f>
        <v>1298</v>
      </c>
      <c r="DC243" s="4" t="s">
        <v>287</v>
      </c>
      <c r="DD243" s="4" t="s">
        <v>241</v>
      </c>
      <c r="DF243" s="4" t="s">
        <v>287</v>
      </c>
      <c r="DG243" s="6">
        <f>0</f>
        <v>0</v>
      </c>
      <c r="DH243" s="5" t="s">
        <v>5040</v>
      </c>
      <c r="DI243" s="4" t="s">
        <v>3167</v>
      </c>
      <c r="DJ243" s="4" t="s">
        <v>241</v>
      </c>
      <c r="DK243" s="4" t="s">
        <v>241</v>
      </c>
      <c r="DL243" s="4" t="s">
        <v>241</v>
      </c>
      <c r="DP243" s="4" t="s">
        <v>241</v>
      </c>
      <c r="DQ243" s="4" t="s">
        <v>241</v>
      </c>
      <c r="DR243" s="4" t="s">
        <v>241</v>
      </c>
      <c r="DS243" s="4" t="s">
        <v>241</v>
      </c>
      <c r="DV243" s="4" t="s">
        <v>5036</v>
      </c>
      <c r="DW243" s="4" t="s">
        <v>416</v>
      </c>
      <c r="HO243" s="4" t="s">
        <v>267</v>
      </c>
    </row>
    <row r="244" spans="1:223" ht="19.5" customHeight="1" x14ac:dyDescent="0.4">
      <c r="A244" s="4">
        <v>1</v>
      </c>
      <c r="B244" s="4" t="s">
        <v>239</v>
      </c>
      <c r="C244" s="4">
        <v>955</v>
      </c>
      <c r="D244" s="4">
        <v>1</v>
      </c>
      <c r="E244" s="4">
        <v>1</v>
      </c>
      <c r="F244" s="4" t="s">
        <v>240</v>
      </c>
      <c r="G244" s="4" t="s">
        <v>241</v>
      </c>
      <c r="H244" s="4" t="s">
        <v>241</v>
      </c>
      <c r="I244" s="4" t="s">
        <v>5033</v>
      </c>
      <c r="J244" s="4" t="s">
        <v>4219</v>
      </c>
      <c r="K244" s="4" t="s">
        <v>251</v>
      </c>
      <c r="L244" s="4" t="s">
        <v>5032</v>
      </c>
      <c r="M244" s="5" t="s">
        <v>5493</v>
      </c>
      <c r="N244" s="6">
        <f>1089</f>
        <v>1089</v>
      </c>
      <c r="O244" s="4" t="s">
        <v>265</v>
      </c>
      <c r="P244" s="6">
        <f>11979</f>
        <v>11979</v>
      </c>
      <c r="Q244" s="6">
        <f>0</f>
        <v>0</v>
      </c>
      <c r="S244" s="6">
        <f>0</f>
        <v>0</v>
      </c>
      <c r="T244" s="6">
        <f>11979</f>
        <v>11979</v>
      </c>
      <c r="U244" s="5" t="s">
        <v>245</v>
      </c>
      <c r="V244" s="4" t="s">
        <v>270</v>
      </c>
      <c r="W244" s="4" t="s">
        <v>242</v>
      </c>
      <c r="X244" s="4" t="s">
        <v>273</v>
      </c>
      <c r="Y244" s="4" t="s">
        <v>241</v>
      </c>
      <c r="AB244" s="4" t="s">
        <v>241</v>
      </c>
      <c r="AD244" s="5" t="s">
        <v>241</v>
      </c>
      <c r="AG244" s="5" t="s">
        <v>246</v>
      </c>
      <c r="AH244" s="4" t="s">
        <v>5034</v>
      </c>
      <c r="AI244" s="4" t="s">
        <v>247</v>
      </c>
      <c r="AJ244" s="4" t="s">
        <v>248</v>
      </c>
      <c r="AZ244" s="4" t="s">
        <v>249</v>
      </c>
      <c r="BA244" s="4" t="s">
        <v>241</v>
      </c>
      <c r="BB244" s="4" t="s">
        <v>250</v>
      </c>
      <c r="BC244" s="4" t="s">
        <v>241</v>
      </c>
      <c r="BD244" s="4" t="s">
        <v>252</v>
      </c>
      <c r="BE244" s="4" t="s">
        <v>241</v>
      </c>
      <c r="BI244" s="4" t="s">
        <v>253</v>
      </c>
      <c r="BJ244" s="5" t="s">
        <v>246</v>
      </c>
      <c r="BK244" s="4" t="s">
        <v>254</v>
      </c>
      <c r="BL244" s="4" t="s">
        <v>255</v>
      </c>
      <c r="BM244" s="4" t="s">
        <v>241</v>
      </c>
      <c r="BN244" s="6">
        <f>0</f>
        <v>0</v>
      </c>
      <c r="BO244" s="6">
        <f>0</f>
        <v>0</v>
      </c>
      <c r="BP244" s="4" t="s">
        <v>256</v>
      </c>
      <c r="BQ244" s="4" t="s">
        <v>257</v>
      </c>
      <c r="CE244" s="4" t="s">
        <v>241</v>
      </c>
      <c r="CF244" s="4" t="s">
        <v>241</v>
      </c>
      <c r="CJ244" s="4" t="s">
        <v>258</v>
      </c>
      <c r="CK244" s="4" t="s">
        <v>259</v>
      </c>
      <c r="CL244" s="4" t="s">
        <v>241</v>
      </c>
      <c r="CO244" s="5" t="s">
        <v>260</v>
      </c>
      <c r="CP244" s="4" t="s">
        <v>241</v>
      </c>
      <c r="CQ244" s="4" t="s">
        <v>261</v>
      </c>
      <c r="CR244" s="4" t="s">
        <v>241</v>
      </c>
      <c r="CS244" s="4" t="s">
        <v>241</v>
      </c>
      <c r="CT244" s="4">
        <v>0</v>
      </c>
      <c r="CU244" s="4" t="s">
        <v>262</v>
      </c>
      <c r="CV244" s="4" t="s">
        <v>263</v>
      </c>
      <c r="CW244" s="4" t="s">
        <v>263</v>
      </c>
      <c r="CX244" s="4" t="s">
        <v>264</v>
      </c>
      <c r="DA244" s="6">
        <f>11979</f>
        <v>11979</v>
      </c>
      <c r="DC244" s="4" t="s">
        <v>287</v>
      </c>
      <c r="DD244" s="4" t="s">
        <v>241</v>
      </c>
      <c r="DF244" s="4" t="s">
        <v>287</v>
      </c>
      <c r="DG244" s="6">
        <f>0</f>
        <v>0</v>
      </c>
      <c r="DI244" s="4" t="s">
        <v>3167</v>
      </c>
      <c r="DJ244" s="4" t="s">
        <v>241</v>
      </c>
      <c r="DK244" s="4" t="s">
        <v>241</v>
      </c>
      <c r="DL244" s="4" t="s">
        <v>241</v>
      </c>
      <c r="DP244" s="4" t="s">
        <v>241</v>
      </c>
      <c r="DQ244" s="4" t="s">
        <v>241</v>
      </c>
      <c r="DR244" s="4" t="s">
        <v>241</v>
      </c>
      <c r="DS244" s="4" t="s">
        <v>241</v>
      </c>
      <c r="DV244" s="4" t="s">
        <v>5036</v>
      </c>
      <c r="DW244" s="4" t="s">
        <v>388</v>
      </c>
      <c r="HO244" s="4" t="s">
        <v>267</v>
      </c>
    </row>
    <row r="245" spans="1:223" ht="19.5" customHeight="1" x14ac:dyDescent="0.4">
      <c r="A245" s="4">
        <v>1</v>
      </c>
      <c r="B245" s="4" t="s">
        <v>239</v>
      </c>
      <c r="C245" s="4">
        <v>956</v>
      </c>
      <c r="D245" s="4">
        <v>1</v>
      </c>
      <c r="E245" s="4">
        <v>1</v>
      </c>
      <c r="F245" s="4" t="s">
        <v>240</v>
      </c>
      <c r="G245" s="4" t="s">
        <v>241</v>
      </c>
      <c r="H245" s="4" t="s">
        <v>241</v>
      </c>
      <c r="I245" s="4" t="s">
        <v>5033</v>
      </c>
      <c r="J245" s="4" t="s">
        <v>4219</v>
      </c>
      <c r="K245" s="4" t="s">
        <v>251</v>
      </c>
      <c r="L245" s="4" t="s">
        <v>5032</v>
      </c>
      <c r="M245" s="5" t="s">
        <v>5052</v>
      </c>
      <c r="N245" s="6">
        <f>171</f>
        <v>171</v>
      </c>
      <c r="O245" s="4" t="s">
        <v>265</v>
      </c>
      <c r="P245" s="6">
        <f>378765</f>
        <v>378765</v>
      </c>
      <c r="Q245" s="6">
        <f>0</f>
        <v>0</v>
      </c>
      <c r="S245" s="6">
        <f>0</f>
        <v>0</v>
      </c>
      <c r="T245" s="6">
        <f>378765</f>
        <v>378765</v>
      </c>
      <c r="U245" s="5" t="s">
        <v>245</v>
      </c>
      <c r="V245" s="4" t="s">
        <v>270</v>
      </c>
      <c r="W245" s="4" t="s">
        <v>242</v>
      </c>
      <c r="X245" s="4" t="s">
        <v>273</v>
      </c>
      <c r="Y245" s="4" t="s">
        <v>241</v>
      </c>
      <c r="AB245" s="4" t="s">
        <v>241</v>
      </c>
      <c r="AD245" s="5" t="s">
        <v>241</v>
      </c>
      <c r="AG245" s="5" t="s">
        <v>246</v>
      </c>
      <c r="AH245" s="4" t="s">
        <v>5043</v>
      </c>
      <c r="AI245" s="4" t="s">
        <v>247</v>
      </c>
      <c r="AJ245" s="4" t="s">
        <v>248</v>
      </c>
      <c r="AZ245" s="4" t="s">
        <v>249</v>
      </c>
      <c r="BA245" s="4" t="s">
        <v>241</v>
      </c>
      <c r="BB245" s="4" t="s">
        <v>250</v>
      </c>
      <c r="BC245" s="4" t="s">
        <v>241</v>
      </c>
      <c r="BD245" s="4" t="s">
        <v>252</v>
      </c>
      <c r="BE245" s="4" t="s">
        <v>241</v>
      </c>
      <c r="BI245" s="4" t="s">
        <v>253</v>
      </c>
      <c r="BJ245" s="5" t="s">
        <v>246</v>
      </c>
      <c r="BK245" s="4" t="s">
        <v>254</v>
      </c>
      <c r="BL245" s="4" t="s">
        <v>255</v>
      </c>
      <c r="BM245" s="4" t="s">
        <v>241</v>
      </c>
      <c r="BN245" s="6">
        <f>0</f>
        <v>0</v>
      </c>
      <c r="BO245" s="6">
        <f>0</f>
        <v>0</v>
      </c>
      <c r="BP245" s="4" t="s">
        <v>256</v>
      </c>
      <c r="BQ245" s="4" t="s">
        <v>257</v>
      </c>
      <c r="CE245" s="4" t="s">
        <v>241</v>
      </c>
      <c r="CF245" s="4" t="s">
        <v>241</v>
      </c>
      <c r="CJ245" s="4" t="s">
        <v>258</v>
      </c>
      <c r="CK245" s="4" t="s">
        <v>259</v>
      </c>
      <c r="CL245" s="4" t="s">
        <v>241</v>
      </c>
      <c r="CO245" s="5" t="s">
        <v>260</v>
      </c>
      <c r="CP245" s="4" t="s">
        <v>241</v>
      </c>
      <c r="CQ245" s="4" t="s">
        <v>261</v>
      </c>
      <c r="CR245" s="4" t="s">
        <v>241</v>
      </c>
      <c r="CS245" s="4" t="s">
        <v>241</v>
      </c>
      <c r="CT245" s="4">
        <v>0</v>
      </c>
      <c r="CU245" s="4" t="s">
        <v>262</v>
      </c>
      <c r="CV245" s="4" t="s">
        <v>263</v>
      </c>
      <c r="CW245" s="4" t="s">
        <v>263</v>
      </c>
      <c r="CX245" s="4" t="s">
        <v>264</v>
      </c>
      <c r="DA245" s="6">
        <f>378765</f>
        <v>378765</v>
      </c>
      <c r="DC245" s="4" t="s">
        <v>422</v>
      </c>
      <c r="DD245" s="4" t="s">
        <v>241</v>
      </c>
      <c r="DF245" s="4" t="s">
        <v>287</v>
      </c>
      <c r="DG245" s="6">
        <f>0</f>
        <v>0</v>
      </c>
      <c r="DI245" s="4" t="s">
        <v>414</v>
      </c>
      <c r="DJ245" s="4" t="s">
        <v>241</v>
      </c>
      <c r="DK245" s="4" t="s">
        <v>241</v>
      </c>
      <c r="DL245" s="4" t="s">
        <v>241</v>
      </c>
      <c r="DP245" s="4" t="s">
        <v>241</v>
      </c>
      <c r="DQ245" s="4" t="s">
        <v>241</v>
      </c>
      <c r="DR245" s="4" t="s">
        <v>241</v>
      </c>
      <c r="DS245" s="4" t="s">
        <v>241</v>
      </c>
      <c r="DV245" s="4" t="s">
        <v>5036</v>
      </c>
      <c r="DW245" s="4" t="s">
        <v>327</v>
      </c>
      <c r="HO245" s="4" t="s">
        <v>267</v>
      </c>
    </row>
    <row r="246" spans="1:223" ht="19.5" customHeight="1" x14ac:dyDescent="0.4">
      <c r="A246" s="4">
        <v>1</v>
      </c>
      <c r="B246" s="4" t="s">
        <v>239</v>
      </c>
      <c r="C246" s="4">
        <v>957</v>
      </c>
      <c r="D246" s="4">
        <v>1</v>
      </c>
      <c r="E246" s="4">
        <v>1</v>
      </c>
      <c r="F246" s="4" t="s">
        <v>240</v>
      </c>
      <c r="G246" s="4" t="s">
        <v>241</v>
      </c>
      <c r="H246" s="4" t="s">
        <v>241</v>
      </c>
      <c r="I246" s="4" t="s">
        <v>5033</v>
      </c>
      <c r="J246" s="4" t="s">
        <v>4219</v>
      </c>
      <c r="K246" s="4" t="s">
        <v>251</v>
      </c>
      <c r="L246" s="4" t="s">
        <v>5032</v>
      </c>
      <c r="M246" s="5" t="s">
        <v>5044</v>
      </c>
      <c r="N246" s="6">
        <f>5716</f>
        <v>5716</v>
      </c>
      <c r="O246" s="4" t="s">
        <v>265</v>
      </c>
      <c r="P246" s="6">
        <f>12660940</f>
        <v>12660940</v>
      </c>
      <c r="Q246" s="6">
        <f>0</f>
        <v>0</v>
      </c>
      <c r="S246" s="6">
        <f>0</f>
        <v>0</v>
      </c>
      <c r="T246" s="6">
        <f>12660940</f>
        <v>12660940</v>
      </c>
      <c r="U246" s="5" t="s">
        <v>245</v>
      </c>
      <c r="V246" s="4" t="s">
        <v>270</v>
      </c>
      <c r="W246" s="4" t="s">
        <v>242</v>
      </c>
      <c r="X246" s="4" t="s">
        <v>273</v>
      </c>
      <c r="Y246" s="4" t="s">
        <v>241</v>
      </c>
      <c r="AB246" s="4" t="s">
        <v>241</v>
      </c>
      <c r="AD246" s="5" t="s">
        <v>241</v>
      </c>
      <c r="AG246" s="5" t="s">
        <v>246</v>
      </c>
      <c r="AH246" s="4" t="s">
        <v>5043</v>
      </c>
      <c r="AI246" s="4" t="s">
        <v>247</v>
      </c>
      <c r="AJ246" s="4" t="s">
        <v>248</v>
      </c>
      <c r="AZ246" s="4" t="s">
        <v>249</v>
      </c>
      <c r="BA246" s="4" t="s">
        <v>241</v>
      </c>
      <c r="BB246" s="4" t="s">
        <v>250</v>
      </c>
      <c r="BC246" s="4" t="s">
        <v>241</v>
      </c>
      <c r="BD246" s="4" t="s">
        <v>252</v>
      </c>
      <c r="BE246" s="4" t="s">
        <v>241</v>
      </c>
      <c r="BI246" s="4" t="s">
        <v>253</v>
      </c>
      <c r="BJ246" s="5" t="s">
        <v>246</v>
      </c>
      <c r="BK246" s="4" t="s">
        <v>254</v>
      </c>
      <c r="BL246" s="4" t="s">
        <v>255</v>
      </c>
      <c r="BM246" s="4" t="s">
        <v>241</v>
      </c>
      <c r="BN246" s="6">
        <f>0</f>
        <v>0</v>
      </c>
      <c r="BO246" s="6">
        <f>0</f>
        <v>0</v>
      </c>
      <c r="BP246" s="4" t="s">
        <v>256</v>
      </c>
      <c r="BQ246" s="4" t="s">
        <v>257</v>
      </c>
      <c r="CE246" s="4" t="s">
        <v>241</v>
      </c>
      <c r="CF246" s="4" t="s">
        <v>241</v>
      </c>
      <c r="CJ246" s="4" t="s">
        <v>258</v>
      </c>
      <c r="CK246" s="4" t="s">
        <v>259</v>
      </c>
      <c r="CL246" s="4" t="s">
        <v>241</v>
      </c>
      <c r="CO246" s="5" t="s">
        <v>260</v>
      </c>
      <c r="CP246" s="4" t="s">
        <v>241</v>
      </c>
      <c r="CQ246" s="4" t="s">
        <v>261</v>
      </c>
      <c r="CR246" s="4" t="s">
        <v>241</v>
      </c>
      <c r="CS246" s="4" t="s">
        <v>241</v>
      </c>
      <c r="CT246" s="4">
        <v>0</v>
      </c>
      <c r="CU246" s="4" t="s">
        <v>262</v>
      </c>
      <c r="CV246" s="4" t="s">
        <v>263</v>
      </c>
      <c r="CW246" s="4" t="s">
        <v>263</v>
      </c>
      <c r="CX246" s="4" t="s">
        <v>264</v>
      </c>
      <c r="DA246" s="6">
        <f>12660940</f>
        <v>12660940</v>
      </c>
      <c r="DC246" s="4" t="s">
        <v>422</v>
      </c>
      <c r="DD246" s="4" t="s">
        <v>241</v>
      </c>
      <c r="DF246" s="4" t="s">
        <v>287</v>
      </c>
      <c r="DG246" s="6">
        <f>0</f>
        <v>0</v>
      </c>
      <c r="DI246" s="4" t="s">
        <v>414</v>
      </c>
      <c r="DJ246" s="4" t="s">
        <v>241</v>
      </c>
      <c r="DK246" s="4" t="s">
        <v>241</v>
      </c>
      <c r="DL246" s="4" t="s">
        <v>241</v>
      </c>
      <c r="DP246" s="4" t="s">
        <v>241</v>
      </c>
      <c r="DQ246" s="4" t="s">
        <v>241</v>
      </c>
      <c r="DR246" s="4" t="s">
        <v>241</v>
      </c>
      <c r="DS246" s="4" t="s">
        <v>241</v>
      </c>
      <c r="DV246" s="4" t="s">
        <v>5036</v>
      </c>
      <c r="DW246" s="4" t="s">
        <v>748</v>
      </c>
      <c r="HO246" s="4" t="s">
        <v>267</v>
      </c>
    </row>
    <row r="247" spans="1:223" ht="19.5" customHeight="1" x14ac:dyDescent="0.4">
      <c r="A247" s="4">
        <v>1</v>
      </c>
      <c r="B247" s="4" t="s">
        <v>239</v>
      </c>
      <c r="C247" s="4">
        <v>958</v>
      </c>
      <c r="D247" s="4">
        <v>1</v>
      </c>
      <c r="E247" s="4">
        <v>1</v>
      </c>
      <c r="F247" s="4" t="s">
        <v>240</v>
      </c>
      <c r="G247" s="4" t="s">
        <v>241</v>
      </c>
      <c r="H247" s="4" t="s">
        <v>241</v>
      </c>
      <c r="I247" s="4" t="s">
        <v>5033</v>
      </c>
      <c r="J247" s="4" t="s">
        <v>4219</v>
      </c>
      <c r="K247" s="4" t="s">
        <v>251</v>
      </c>
      <c r="L247" s="4" t="s">
        <v>5032</v>
      </c>
      <c r="M247" s="5" t="s">
        <v>5494</v>
      </c>
      <c r="N247" s="6">
        <f>27015</f>
        <v>27015</v>
      </c>
      <c r="O247" s="4" t="s">
        <v>265</v>
      </c>
      <c r="P247" s="6">
        <f>59838225</f>
        <v>59838225</v>
      </c>
      <c r="Q247" s="6">
        <f>0</f>
        <v>0</v>
      </c>
      <c r="S247" s="6">
        <f>0</f>
        <v>0</v>
      </c>
      <c r="T247" s="6">
        <f>59838225</f>
        <v>59838225</v>
      </c>
      <c r="U247" s="5" t="s">
        <v>245</v>
      </c>
      <c r="V247" s="4" t="s">
        <v>270</v>
      </c>
      <c r="W247" s="4" t="s">
        <v>242</v>
      </c>
      <c r="X247" s="4" t="s">
        <v>273</v>
      </c>
      <c r="Y247" s="4" t="s">
        <v>241</v>
      </c>
      <c r="AB247" s="4" t="s">
        <v>241</v>
      </c>
      <c r="AD247" s="5" t="s">
        <v>241</v>
      </c>
      <c r="AG247" s="5" t="s">
        <v>246</v>
      </c>
      <c r="AH247" s="4" t="s">
        <v>5046</v>
      </c>
      <c r="AI247" s="4" t="s">
        <v>247</v>
      </c>
      <c r="AJ247" s="4" t="s">
        <v>248</v>
      </c>
      <c r="AZ247" s="4" t="s">
        <v>249</v>
      </c>
      <c r="BA247" s="4" t="s">
        <v>241</v>
      </c>
      <c r="BB247" s="4" t="s">
        <v>250</v>
      </c>
      <c r="BC247" s="4" t="s">
        <v>241</v>
      </c>
      <c r="BD247" s="4" t="s">
        <v>252</v>
      </c>
      <c r="BE247" s="4" t="s">
        <v>241</v>
      </c>
      <c r="BI247" s="4" t="s">
        <v>253</v>
      </c>
      <c r="BJ247" s="5" t="s">
        <v>246</v>
      </c>
      <c r="BK247" s="4" t="s">
        <v>254</v>
      </c>
      <c r="BL247" s="4" t="s">
        <v>255</v>
      </c>
      <c r="BM247" s="4" t="s">
        <v>241</v>
      </c>
      <c r="BN247" s="6">
        <f>0</f>
        <v>0</v>
      </c>
      <c r="BO247" s="6">
        <f>0</f>
        <v>0</v>
      </c>
      <c r="BP247" s="4" t="s">
        <v>256</v>
      </c>
      <c r="BQ247" s="4" t="s">
        <v>257</v>
      </c>
      <c r="CE247" s="4" t="s">
        <v>241</v>
      </c>
      <c r="CF247" s="4" t="s">
        <v>241</v>
      </c>
      <c r="CJ247" s="4" t="s">
        <v>258</v>
      </c>
      <c r="CK247" s="4" t="s">
        <v>259</v>
      </c>
      <c r="CL247" s="4" t="s">
        <v>241</v>
      </c>
      <c r="CO247" s="5" t="s">
        <v>260</v>
      </c>
      <c r="CP247" s="4" t="s">
        <v>241</v>
      </c>
      <c r="CQ247" s="4" t="s">
        <v>261</v>
      </c>
      <c r="CR247" s="4" t="s">
        <v>241</v>
      </c>
      <c r="CS247" s="4" t="s">
        <v>241</v>
      </c>
      <c r="CT247" s="4">
        <v>0</v>
      </c>
      <c r="CU247" s="4" t="s">
        <v>262</v>
      </c>
      <c r="CV247" s="4" t="s">
        <v>263</v>
      </c>
      <c r="CW247" s="4" t="s">
        <v>263</v>
      </c>
      <c r="CX247" s="4" t="s">
        <v>264</v>
      </c>
      <c r="DA247" s="6">
        <f>59838225</f>
        <v>59838225</v>
      </c>
      <c r="DC247" s="4" t="s">
        <v>422</v>
      </c>
      <c r="DD247" s="4" t="s">
        <v>241</v>
      </c>
      <c r="DF247" s="4" t="s">
        <v>422</v>
      </c>
      <c r="DG247" s="6">
        <f>0</f>
        <v>0</v>
      </c>
      <c r="DI247" s="4" t="s">
        <v>414</v>
      </c>
      <c r="DJ247" s="4" t="s">
        <v>241</v>
      </c>
      <c r="DK247" s="4" t="s">
        <v>241</v>
      </c>
      <c r="DL247" s="4" t="s">
        <v>241</v>
      </c>
      <c r="DP247" s="4" t="s">
        <v>241</v>
      </c>
      <c r="DQ247" s="4" t="s">
        <v>241</v>
      </c>
      <c r="DR247" s="4" t="s">
        <v>241</v>
      </c>
      <c r="DS247" s="4" t="s">
        <v>241</v>
      </c>
      <c r="DV247" s="4" t="s">
        <v>5036</v>
      </c>
      <c r="DW247" s="4" t="s">
        <v>719</v>
      </c>
      <c r="HO247" s="4" t="s">
        <v>267</v>
      </c>
    </row>
    <row r="248" spans="1:223" ht="19.5" customHeight="1" x14ac:dyDescent="0.4">
      <c r="A248" s="4">
        <v>1</v>
      </c>
      <c r="B248" s="4" t="s">
        <v>239</v>
      </c>
      <c r="C248" s="4">
        <v>959</v>
      </c>
      <c r="D248" s="4">
        <v>1</v>
      </c>
      <c r="E248" s="4">
        <v>1</v>
      </c>
      <c r="F248" s="4" t="s">
        <v>240</v>
      </c>
      <c r="G248" s="4" t="s">
        <v>241</v>
      </c>
      <c r="H248" s="4" t="s">
        <v>241</v>
      </c>
      <c r="I248" s="4" t="s">
        <v>5033</v>
      </c>
      <c r="J248" s="4" t="s">
        <v>4219</v>
      </c>
      <c r="K248" s="4" t="s">
        <v>251</v>
      </c>
      <c r="L248" s="4" t="s">
        <v>5032</v>
      </c>
      <c r="M248" s="5" t="s">
        <v>5047</v>
      </c>
      <c r="N248" s="6">
        <f>3378.36</f>
        <v>3378.36</v>
      </c>
      <c r="O248" s="4" t="s">
        <v>265</v>
      </c>
      <c r="P248" s="6">
        <f>8783736</f>
        <v>8783736</v>
      </c>
      <c r="Q248" s="6">
        <f>0</f>
        <v>0</v>
      </c>
      <c r="S248" s="6">
        <f>0</f>
        <v>0</v>
      </c>
      <c r="T248" s="6">
        <f>8783736</f>
        <v>8783736</v>
      </c>
      <c r="U248" s="5" t="s">
        <v>245</v>
      </c>
      <c r="V248" s="4" t="s">
        <v>270</v>
      </c>
      <c r="W248" s="4" t="s">
        <v>242</v>
      </c>
      <c r="X248" s="4" t="s">
        <v>273</v>
      </c>
      <c r="Y248" s="4" t="s">
        <v>241</v>
      </c>
      <c r="AB248" s="4" t="s">
        <v>241</v>
      </c>
      <c r="AD248" s="5" t="s">
        <v>241</v>
      </c>
      <c r="AG248" s="5" t="s">
        <v>246</v>
      </c>
      <c r="AH248" s="4" t="s">
        <v>5046</v>
      </c>
      <c r="AI248" s="4" t="s">
        <v>247</v>
      </c>
      <c r="AJ248" s="4" t="s">
        <v>248</v>
      </c>
      <c r="AZ248" s="4" t="s">
        <v>249</v>
      </c>
      <c r="BA248" s="4" t="s">
        <v>241</v>
      </c>
      <c r="BB248" s="4" t="s">
        <v>250</v>
      </c>
      <c r="BC248" s="4" t="s">
        <v>241</v>
      </c>
      <c r="BD248" s="4" t="s">
        <v>252</v>
      </c>
      <c r="BE248" s="4" t="s">
        <v>241</v>
      </c>
      <c r="BI248" s="4" t="s">
        <v>253</v>
      </c>
      <c r="BJ248" s="5" t="s">
        <v>246</v>
      </c>
      <c r="BK248" s="4" t="s">
        <v>254</v>
      </c>
      <c r="BL248" s="4" t="s">
        <v>255</v>
      </c>
      <c r="BM248" s="4" t="s">
        <v>241</v>
      </c>
      <c r="BN248" s="6">
        <f>0</f>
        <v>0</v>
      </c>
      <c r="BO248" s="6">
        <f>0</f>
        <v>0</v>
      </c>
      <c r="BP248" s="4" t="s">
        <v>256</v>
      </c>
      <c r="BQ248" s="4" t="s">
        <v>257</v>
      </c>
      <c r="CE248" s="4" t="s">
        <v>241</v>
      </c>
      <c r="CF248" s="4" t="s">
        <v>241</v>
      </c>
      <c r="CJ248" s="4" t="s">
        <v>258</v>
      </c>
      <c r="CK248" s="4" t="s">
        <v>259</v>
      </c>
      <c r="CL248" s="4" t="s">
        <v>241</v>
      </c>
      <c r="CO248" s="5" t="s">
        <v>260</v>
      </c>
      <c r="CP248" s="4" t="s">
        <v>241</v>
      </c>
      <c r="CQ248" s="4" t="s">
        <v>261</v>
      </c>
      <c r="CR248" s="4" t="s">
        <v>241</v>
      </c>
      <c r="CS248" s="4" t="s">
        <v>241</v>
      </c>
      <c r="CT248" s="4">
        <v>0</v>
      </c>
      <c r="CU248" s="4" t="s">
        <v>262</v>
      </c>
      <c r="CV248" s="4" t="s">
        <v>263</v>
      </c>
      <c r="CW248" s="4" t="s">
        <v>263</v>
      </c>
      <c r="CX248" s="4" t="s">
        <v>264</v>
      </c>
      <c r="DA248" s="6">
        <f>8783736</f>
        <v>8783736</v>
      </c>
      <c r="DC248" s="4" t="s">
        <v>266</v>
      </c>
      <c r="DD248" s="4" t="s">
        <v>241</v>
      </c>
      <c r="DF248" s="4" t="s">
        <v>287</v>
      </c>
      <c r="DG248" s="6">
        <f>0</f>
        <v>0</v>
      </c>
      <c r="DI248" s="4" t="s">
        <v>266</v>
      </c>
      <c r="DJ248" s="4" t="s">
        <v>241</v>
      </c>
      <c r="DK248" s="4" t="s">
        <v>241</v>
      </c>
      <c r="DL248" s="4" t="s">
        <v>241</v>
      </c>
      <c r="DP248" s="4" t="s">
        <v>241</v>
      </c>
      <c r="DQ248" s="4" t="s">
        <v>241</v>
      </c>
      <c r="DR248" s="4" t="s">
        <v>241</v>
      </c>
      <c r="DS248" s="4" t="s">
        <v>241</v>
      </c>
      <c r="DV248" s="4" t="s">
        <v>5036</v>
      </c>
      <c r="DW248" s="4" t="s">
        <v>690</v>
      </c>
      <c r="HO248" s="4" t="s">
        <v>267</v>
      </c>
    </row>
    <row r="249" spans="1:223" ht="19.5" customHeight="1" x14ac:dyDescent="0.4">
      <c r="A249" s="4">
        <v>1</v>
      </c>
      <c r="B249" s="4" t="s">
        <v>239</v>
      </c>
      <c r="C249" s="4">
        <v>960</v>
      </c>
      <c r="D249" s="4">
        <v>1</v>
      </c>
      <c r="E249" s="4">
        <v>1</v>
      </c>
      <c r="F249" s="4" t="s">
        <v>240</v>
      </c>
      <c r="G249" s="4" t="s">
        <v>241</v>
      </c>
      <c r="H249" s="4" t="s">
        <v>241</v>
      </c>
      <c r="I249" s="4" t="s">
        <v>5033</v>
      </c>
      <c r="J249" s="4" t="s">
        <v>4219</v>
      </c>
      <c r="K249" s="4" t="s">
        <v>251</v>
      </c>
      <c r="L249" s="4" t="s">
        <v>5032</v>
      </c>
      <c r="M249" s="5" t="s">
        <v>5050</v>
      </c>
      <c r="N249" s="6">
        <f>3165</f>
        <v>3165</v>
      </c>
      <c r="O249" s="4" t="s">
        <v>265</v>
      </c>
      <c r="P249" s="6">
        <f>7010475</f>
        <v>7010475</v>
      </c>
      <c r="Q249" s="6">
        <f>0</f>
        <v>0</v>
      </c>
      <c r="S249" s="6">
        <f>0</f>
        <v>0</v>
      </c>
      <c r="T249" s="6">
        <f>7010475</f>
        <v>7010475</v>
      </c>
      <c r="U249" s="5" t="s">
        <v>245</v>
      </c>
      <c r="V249" s="4" t="s">
        <v>270</v>
      </c>
      <c r="W249" s="4" t="s">
        <v>242</v>
      </c>
      <c r="X249" s="4" t="s">
        <v>273</v>
      </c>
      <c r="Y249" s="4" t="s">
        <v>241</v>
      </c>
      <c r="AB249" s="4" t="s">
        <v>241</v>
      </c>
      <c r="AD249" s="5" t="s">
        <v>241</v>
      </c>
      <c r="AG249" s="5" t="s">
        <v>246</v>
      </c>
      <c r="AH249" s="4" t="s">
        <v>5046</v>
      </c>
      <c r="AI249" s="4" t="s">
        <v>247</v>
      </c>
      <c r="AJ249" s="4" t="s">
        <v>248</v>
      </c>
      <c r="AZ249" s="4" t="s">
        <v>249</v>
      </c>
      <c r="BA249" s="4" t="s">
        <v>241</v>
      </c>
      <c r="BB249" s="4" t="s">
        <v>250</v>
      </c>
      <c r="BC249" s="4" t="s">
        <v>241</v>
      </c>
      <c r="BD249" s="4" t="s">
        <v>252</v>
      </c>
      <c r="BE249" s="4" t="s">
        <v>241</v>
      </c>
      <c r="BI249" s="4" t="s">
        <v>253</v>
      </c>
      <c r="BJ249" s="5" t="s">
        <v>246</v>
      </c>
      <c r="BK249" s="4" t="s">
        <v>254</v>
      </c>
      <c r="BL249" s="4" t="s">
        <v>255</v>
      </c>
      <c r="BM249" s="4" t="s">
        <v>241</v>
      </c>
      <c r="BN249" s="6">
        <f>0</f>
        <v>0</v>
      </c>
      <c r="BO249" s="6">
        <f>0</f>
        <v>0</v>
      </c>
      <c r="BP249" s="4" t="s">
        <v>256</v>
      </c>
      <c r="BQ249" s="4" t="s">
        <v>257</v>
      </c>
      <c r="CE249" s="4" t="s">
        <v>241</v>
      </c>
      <c r="CF249" s="4" t="s">
        <v>241</v>
      </c>
      <c r="CJ249" s="4" t="s">
        <v>258</v>
      </c>
      <c r="CK249" s="4" t="s">
        <v>259</v>
      </c>
      <c r="CL249" s="4" t="s">
        <v>241</v>
      </c>
      <c r="CO249" s="5" t="s">
        <v>260</v>
      </c>
      <c r="CP249" s="4" t="s">
        <v>241</v>
      </c>
      <c r="CQ249" s="4" t="s">
        <v>261</v>
      </c>
      <c r="CR249" s="4" t="s">
        <v>241</v>
      </c>
      <c r="CS249" s="4" t="s">
        <v>241</v>
      </c>
      <c r="CT249" s="4">
        <v>0</v>
      </c>
      <c r="CU249" s="4" t="s">
        <v>262</v>
      </c>
      <c r="CV249" s="4" t="s">
        <v>263</v>
      </c>
      <c r="CW249" s="4" t="s">
        <v>263</v>
      </c>
      <c r="CX249" s="4" t="s">
        <v>264</v>
      </c>
      <c r="DA249" s="6">
        <f>7010475</f>
        <v>7010475</v>
      </c>
      <c r="DC249" s="4" t="s">
        <v>422</v>
      </c>
      <c r="DD249" s="4" t="s">
        <v>241</v>
      </c>
      <c r="DF249" s="4" t="s">
        <v>287</v>
      </c>
      <c r="DG249" s="6">
        <f>0</f>
        <v>0</v>
      </c>
      <c r="DI249" s="4" t="s">
        <v>414</v>
      </c>
      <c r="DJ249" s="4" t="s">
        <v>241</v>
      </c>
      <c r="DK249" s="4" t="s">
        <v>241</v>
      </c>
      <c r="DL249" s="4" t="s">
        <v>241</v>
      </c>
      <c r="DP249" s="4" t="s">
        <v>241</v>
      </c>
      <c r="DQ249" s="4" t="s">
        <v>241</v>
      </c>
      <c r="DR249" s="4" t="s">
        <v>241</v>
      </c>
      <c r="DS249" s="4" t="s">
        <v>241</v>
      </c>
      <c r="DV249" s="4" t="s">
        <v>5036</v>
      </c>
      <c r="DW249" s="4" t="s">
        <v>628</v>
      </c>
      <c r="HO249" s="4" t="s">
        <v>267</v>
      </c>
    </row>
    <row r="250" spans="1:223" ht="19.5" customHeight="1" x14ac:dyDescent="0.4">
      <c r="A250" s="4">
        <v>1</v>
      </c>
      <c r="B250" s="4" t="s">
        <v>239</v>
      </c>
      <c r="C250" s="4">
        <v>961</v>
      </c>
      <c r="D250" s="4">
        <v>1</v>
      </c>
      <c r="E250" s="4">
        <v>1</v>
      </c>
      <c r="F250" s="4" t="s">
        <v>240</v>
      </c>
      <c r="G250" s="4" t="s">
        <v>241</v>
      </c>
      <c r="H250" s="4" t="s">
        <v>241</v>
      </c>
      <c r="I250" s="4" t="s">
        <v>5033</v>
      </c>
      <c r="J250" s="4" t="s">
        <v>4219</v>
      </c>
      <c r="K250" s="4" t="s">
        <v>251</v>
      </c>
      <c r="L250" s="4" t="s">
        <v>5032</v>
      </c>
      <c r="M250" s="5" t="s">
        <v>5495</v>
      </c>
      <c r="N250" s="6">
        <f>329373</f>
        <v>329373</v>
      </c>
      <c r="O250" s="4" t="s">
        <v>265</v>
      </c>
      <c r="P250" s="6">
        <f>9222444</f>
        <v>9222444</v>
      </c>
      <c r="Q250" s="6">
        <f>0</f>
        <v>0</v>
      </c>
      <c r="S250" s="6">
        <f>0</f>
        <v>0</v>
      </c>
      <c r="T250" s="6">
        <f>9222444</f>
        <v>9222444</v>
      </c>
      <c r="U250" s="5" t="s">
        <v>245</v>
      </c>
      <c r="V250" s="4" t="s">
        <v>270</v>
      </c>
      <c r="W250" s="4" t="s">
        <v>242</v>
      </c>
      <c r="X250" s="4" t="s">
        <v>273</v>
      </c>
      <c r="Y250" s="4" t="s">
        <v>241</v>
      </c>
      <c r="AB250" s="4" t="s">
        <v>241</v>
      </c>
      <c r="AD250" s="5" t="s">
        <v>241</v>
      </c>
      <c r="AG250" s="5" t="s">
        <v>246</v>
      </c>
      <c r="AH250" s="4" t="s">
        <v>5041</v>
      </c>
      <c r="AI250" s="4" t="s">
        <v>247</v>
      </c>
      <c r="AJ250" s="4" t="s">
        <v>248</v>
      </c>
      <c r="AZ250" s="4" t="s">
        <v>249</v>
      </c>
      <c r="BA250" s="4" t="s">
        <v>241</v>
      </c>
      <c r="BB250" s="4" t="s">
        <v>250</v>
      </c>
      <c r="BC250" s="4" t="s">
        <v>241</v>
      </c>
      <c r="BD250" s="4" t="s">
        <v>252</v>
      </c>
      <c r="BE250" s="4" t="s">
        <v>241</v>
      </c>
      <c r="BI250" s="4" t="s">
        <v>253</v>
      </c>
      <c r="BJ250" s="5" t="s">
        <v>246</v>
      </c>
      <c r="BK250" s="4" t="s">
        <v>254</v>
      </c>
      <c r="BL250" s="4" t="s">
        <v>255</v>
      </c>
      <c r="BM250" s="4" t="s">
        <v>241</v>
      </c>
      <c r="BN250" s="6">
        <f>0</f>
        <v>0</v>
      </c>
      <c r="BO250" s="6">
        <f>0</f>
        <v>0</v>
      </c>
      <c r="BP250" s="4" t="s">
        <v>256</v>
      </c>
      <c r="BQ250" s="4" t="s">
        <v>257</v>
      </c>
      <c r="CE250" s="4" t="s">
        <v>241</v>
      </c>
      <c r="CF250" s="4" t="s">
        <v>241</v>
      </c>
      <c r="CJ250" s="4" t="s">
        <v>258</v>
      </c>
      <c r="CK250" s="4" t="s">
        <v>259</v>
      </c>
      <c r="CL250" s="4" t="s">
        <v>241</v>
      </c>
      <c r="CO250" s="5" t="s">
        <v>260</v>
      </c>
      <c r="CP250" s="4" t="s">
        <v>241</v>
      </c>
      <c r="CQ250" s="4" t="s">
        <v>261</v>
      </c>
      <c r="CR250" s="4" t="s">
        <v>241</v>
      </c>
      <c r="CS250" s="4" t="s">
        <v>241</v>
      </c>
      <c r="CT250" s="4">
        <v>0</v>
      </c>
      <c r="CU250" s="4" t="s">
        <v>262</v>
      </c>
      <c r="CV250" s="4" t="s">
        <v>263</v>
      </c>
      <c r="CW250" s="4" t="s">
        <v>263</v>
      </c>
      <c r="CX250" s="4" t="s">
        <v>264</v>
      </c>
      <c r="DA250" s="6">
        <f>9222444</f>
        <v>9222444</v>
      </c>
      <c r="DC250" s="4" t="s">
        <v>3176</v>
      </c>
      <c r="DD250" s="4" t="s">
        <v>241</v>
      </c>
      <c r="DF250" s="4" t="s">
        <v>287</v>
      </c>
      <c r="DG250" s="6">
        <f>0</f>
        <v>0</v>
      </c>
      <c r="DI250" s="4" t="s">
        <v>324</v>
      </c>
      <c r="DJ250" s="4" t="s">
        <v>241</v>
      </c>
      <c r="DK250" s="4" t="s">
        <v>241</v>
      </c>
      <c r="DL250" s="4" t="s">
        <v>241</v>
      </c>
      <c r="DP250" s="4" t="s">
        <v>241</v>
      </c>
      <c r="DQ250" s="4" t="s">
        <v>241</v>
      </c>
      <c r="DR250" s="4" t="s">
        <v>241</v>
      </c>
      <c r="DS250" s="4" t="s">
        <v>241</v>
      </c>
      <c r="DV250" s="4" t="s">
        <v>5036</v>
      </c>
      <c r="DW250" s="4" t="s">
        <v>597</v>
      </c>
      <c r="HO250" s="4" t="s">
        <v>267</v>
      </c>
    </row>
    <row r="251" spans="1:223" ht="19.5" customHeight="1" x14ac:dyDescent="0.4">
      <c r="A251" s="4">
        <v>1</v>
      </c>
      <c r="B251" s="4" t="s">
        <v>239</v>
      </c>
      <c r="C251" s="4">
        <v>962</v>
      </c>
      <c r="D251" s="4">
        <v>1</v>
      </c>
      <c r="E251" s="4">
        <v>1</v>
      </c>
      <c r="F251" s="4" t="s">
        <v>240</v>
      </c>
      <c r="G251" s="4" t="s">
        <v>241</v>
      </c>
      <c r="H251" s="4" t="s">
        <v>241</v>
      </c>
      <c r="I251" s="4" t="s">
        <v>5033</v>
      </c>
      <c r="J251" s="4" t="s">
        <v>4219</v>
      </c>
      <c r="K251" s="4" t="s">
        <v>251</v>
      </c>
      <c r="L251" s="4" t="s">
        <v>5032</v>
      </c>
      <c r="M251" s="5" t="s">
        <v>5042</v>
      </c>
      <c r="N251" s="6">
        <f>6809</f>
        <v>6809</v>
      </c>
      <c r="O251" s="4" t="s">
        <v>265</v>
      </c>
      <c r="P251" s="6">
        <f>190652</f>
        <v>190652</v>
      </c>
      <c r="Q251" s="6">
        <f>0</f>
        <v>0</v>
      </c>
      <c r="S251" s="6">
        <f>0</f>
        <v>0</v>
      </c>
      <c r="T251" s="6">
        <f>190652</f>
        <v>190652</v>
      </c>
      <c r="U251" s="5" t="s">
        <v>245</v>
      </c>
      <c r="V251" s="4" t="s">
        <v>270</v>
      </c>
      <c r="W251" s="4" t="s">
        <v>242</v>
      </c>
      <c r="X251" s="4" t="s">
        <v>273</v>
      </c>
      <c r="Y251" s="4" t="s">
        <v>241</v>
      </c>
      <c r="AB251" s="4" t="s">
        <v>241</v>
      </c>
      <c r="AD251" s="5" t="s">
        <v>241</v>
      </c>
      <c r="AG251" s="5" t="s">
        <v>246</v>
      </c>
      <c r="AH251" s="4" t="s">
        <v>5041</v>
      </c>
      <c r="AI251" s="4" t="s">
        <v>247</v>
      </c>
      <c r="AJ251" s="4" t="s">
        <v>248</v>
      </c>
      <c r="AZ251" s="4" t="s">
        <v>249</v>
      </c>
      <c r="BA251" s="4" t="s">
        <v>241</v>
      </c>
      <c r="BB251" s="4" t="s">
        <v>250</v>
      </c>
      <c r="BC251" s="4" t="s">
        <v>241</v>
      </c>
      <c r="BD251" s="4" t="s">
        <v>252</v>
      </c>
      <c r="BE251" s="4" t="s">
        <v>241</v>
      </c>
      <c r="BI251" s="4" t="s">
        <v>253</v>
      </c>
      <c r="BJ251" s="5" t="s">
        <v>246</v>
      </c>
      <c r="BK251" s="4" t="s">
        <v>254</v>
      </c>
      <c r="BL251" s="4" t="s">
        <v>255</v>
      </c>
      <c r="BM251" s="4" t="s">
        <v>241</v>
      </c>
      <c r="BN251" s="6">
        <f>0</f>
        <v>0</v>
      </c>
      <c r="BO251" s="6">
        <f>0</f>
        <v>0</v>
      </c>
      <c r="BP251" s="4" t="s">
        <v>256</v>
      </c>
      <c r="BQ251" s="4" t="s">
        <v>257</v>
      </c>
      <c r="CE251" s="4" t="s">
        <v>241</v>
      </c>
      <c r="CF251" s="4" t="s">
        <v>241</v>
      </c>
      <c r="CJ251" s="4" t="s">
        <v>258</v>
      </c>
      <c r="CK251" s="4" t="s">
        <v>259</v>
      </c>
      <c r="CL251" s="4" t="s">
        <v>241</v>
      </c>
      <c r="CO251" s="5" t="s">
        <v>260</v>
      </c>
      <c r="CP251" s="4" t="s">
        <v>241</v>
      </c>
      <c r="CQ251" s="4" t="s">
        <v>261</v>
      </c>
      <c r="CR251" s="4" t="s">
        <v>241</v>
      </c>
      <c r="CS251" s="4" t="s">
        <v>241</v>
      </c>
      <c r="CT251" s="4">
        <v>0</v>
      </c>
      <c r="CU251" s="4" t="s">
        <v>262</v>
      </c>
      <c r="CV251" s="4" t="s">
        <v>263</v>
      </c>
      <c r="CW251" s="4" t="s">
        <v>263</v>
      </c>
      <c r="CX251" s="4" t="s">
        <v>264</v>
      </c>
      <c r="DA251" s="6">
        <f>190652</f>
        <v>190652</v>
      </c>
      <c r="DC251" s="4" t="s">
        <v>3176</v>
      </c>
      <c r="DD251" s="4" t="s">
        <v>241</v>
      </c>
      <c r="DF251" s="4" t="s">
        <v>287</v>
      </c>
      <c r="DG251" s="6">
        <f>0</f>
        <v>0</v>
      </c>
      <c r="DI251" s="4" t="s">
        <v>324</v>
      </c>
      <c r="DJ251" s="4" t="s">
        <v>241</v>
      </c>
      <c r="DK251" s="4" t="s">
        <v>241</v>
      </c>
      <c r="DL251" s="4" t="s">
        <v>241</v>
      </c>
      <c r="DP251" s="4" t="s">
        <v>241</v>
      </c>
      <c r="DQ251" s="4" t="s">
        <v>241</v>
      </c>
      <c r="DR251" s="4" t="s">
        <v>241</v>
      </c>
      <c r="DS251" s="4" t="s">
        <v>241</v>
      </c>
      <c r="DV251" s="4" t="s">
        <v>5036</v>
      </c>
      <c r="DW251" s="4" t="s">
        <v>1792</v>
      </c>
      <c r="HO251" s="4" t="s">
        <v>267</v>
      </c>
    </row>
    <row r="252" spans="1:223" ht="19.5" customHeight="1" x14ac:dyDescent="0.4">
      <c r="A252" s="4">
        <v>1</v>
      </c>
      <c r="B252" s="4" t="s">
        <v>239</v>
      </c>
      <c r="C252" s="4">
        <v>963</v>
      </c>
      <c r="D252" s="4">
        <v>1</v>
      </c>
      <c r="E252" s="4">
        <v>1</v>
      </c>
      <c r="F252" s="4" t="s">
        <v>240</v>
      </c>
      <c r="G252" s="4" t="s">
        <v>241</v>
      </c>
      <c r="H252" s="4" t="s">
        <v>241</v>
      </c>
      <c r="I252" s="4" t="s">
        <v>5033</v>
      </c>
      <c r="J252" s="4" t="s">
        <v>4219</v>
      </c>
      <c r="K252" s="4" t="s">
        <v>251</v>
      </c>
      <c r="L252" s="4" t="s">
        <v>5032</v>
      </c>
      <c r="M252" s="5" t="s">
        <v>5049</v>
      </c>
      <c r="N252" s="6">
        <f>1250</f>
        <v>1250</v>
      </c>
      <c r="O252" s="4" t="s">
        <v>265</v>
      </c>
      <c r="P252" s="6">
        <f>2768750</f>
        <v>2768750</v>
      </c>
      <c r="Q252" s="6">
        <f>0</f>
        <v>0</v>
      </c>
      <c r="S252" s="6">
        <f>0</f>
        <v>0</v>
      </c>
      <c r="T252" s="6">
        <f>2768750</f>
        <v>2768750</v>
      </c>
      <c r="U252" s="5" t="s">
        <v>245</v>
      </c>
      <c r="V252" s="4" t="s">
        <v>270</v>
      </c>
      <c r="W252" s="4" t="s">
        <v>242</v>
      </c>
      <c r="X252" s="4" t="s">
        <v>273</v>
      </c>
      <c r="Y252" s="4" t="s">
        <v>241</v>
      </c>
      <c r="AB252" s="4" t="s">
        <v>241</v>
      </c>
      <c r="AD252" s="5" t="s">
        <v>241</v>
      </c>
      <c r="AG252" s="5" t="s">
        <v>246</v>
      </c>
      <c r="AH252" s="4" t="s">
        <v>5048</v>
      </c>
      <c r="AI252" s="4" t="s">
        <v>247</v>
      </c>
      <c r="AJ252" s="4" t="s">
        <v>248</v>
      </c>
      <c r="AZ252" s="4" t="s">
        <v>249</v>
      </c>
      <c r="BA252" s="4" t="s">
        <v>241</v>
      </c>
      <c r="BB252" s="4" t="s">
        <v>250</v>
      </c>
      <c r="BC252" s="4" t="s">
        <v>241</v>
      </c>
      <c r="BD252" s="4" t="s">
        <v>252</v>
      </c>
      <c r="BE252" s="4" t="s">
        <v>241</v>
      </c>
      <c r="BI252" s="4" t="s">
        <v>253</v>
      </c>
      <c r="BJ252" s="5" t="s">
        <v>246</v>
      </c>
      <c r="BK252" s="4" t="s">
        <v>254</v>
      </c>
      <c r="BL252" s="4" t="s">
        <v>255</v>
      </c>
      <c r="BM252" s="4" t="s">
        <v>241</v>
      </c>
      <c r="BN252" s="6">
        <f>0</f>
        <v>0</v>
      </c>
      <c r="BO252" s="6">
        <f>0</f>
        <v>0</v>
      </c>
      <c r="BP252" s="4" t="s">
        <v>256</v>
      </c>
      <c r="BQ252" s="4" t="s">
        <v>257</v>
      </c>
      <c r="CE252" s="4" t="s">
        <v>241</v>
      </c>
      <c r="CF252" s="4" t="s">
        <v>241</v>
      </c>
      <c r="CJ252" s="4" t="s">
        <v>258</v>
      </c>
      <c r="CK252" s="4" t="s">
        <v>259</v>
      </c>
      <c r="CL252" s="4" t="s">
        <v>241</v>
      </c>
      <c r="CO252" s="5" t="s">
        <v>260</v>
      </c>
      <c r="CP252" s="4" t="s">
        <v>241</v>
      </c>
      <c r="CQ252" s="4" t="s">
        <v>261</v>
      </c>
      <c r="CR252" s="4" t="s">
        <v>241</v>
      </c>
      <c r="CS252" s="4" t="s">
        <v>241</v>
      </c>
      <c r="CT252" s="4">
        <v>0</v>
      </c>
      <c r="CU252" s="4" t="s">
        <v>262</v>
      </c>
      <c r="CV252" s="4" t="s">
        <v>263</v>
      </c>
      <c r="CW252" s="4" t="s">
        <v>263</v>
      </c>
      <c r="CX252" s="4" t="s">
        <v>264</v>
      </c>
      <c r="DA252" s="6">
        <f>2768750</f>
        <v>2768750</v>
      </c>
      <c r="DC252" s="4" t="s">
        <v>414</v>
      </c>
      <c r="DD252" s="4" t="s">
        <v>241</v>
      </c>
      <c r="DF252" s="4" t="s">
        <v>287</v>
      </c>
      <c r="DG252" s="6">
        <f>0</f>
        <v>0</v>
      </c>
      <c r="DI252" s="4" t="s">
        <v>414</v>
      </c>
      <c r="DJ252" s="4" t="s">
        <v>241</v>
      </c>
      <c r="DK252" s="4" t="s">
        <v>241</v>
      </c>
      <c r="DL252" s="4" t="s">
        <v>241</v>
      </c>
      <c r="DP252" s="4" t="s">
        <v>241</v>
      </c>
      <c r="DQ252" s="4" t="s">
        <v>241</v>
      </c>
      <c r="DR252" s="4" t="s">
        <v>241</v>
      </c>
      <c r="DS252" s="4" t="s">
        <v>241</v>
      </c>
      <c r="DV252" s="4" t="s">
        <v>5036</v>
      </c>
      <c r="DW252" s="4" t="s">
        <v>1789</v>
      </c>
      <c r="HO252" s="4" t="s">
        <v>267</v>
      </c>
    </row>
    <row r="253" spans="1:223" ht="19.5" customHeight="1" x14ac:dyDescent="0.4">
      <c r="A253" s="4">
        <v>1</v>
      </c>
      <c r="B253" s="4" t="s">
        <v>239</v>
      </c>
      <c r="C253" s="4">
        <v>964</v>
      </c>
      <c r="D253" s="4">
        <v>1</v>
      </c>
      <c r="E253" s="4">
        <v>1</v>
      </c>
      <c r="F253" s="4" t="s">
        <v>240</v>
      </c>
      <c r="G253" s="4" t="s">
        <v>241</v>
      </c>
      <c r="H253" s="4" t="s">
        <v>241</v>
      </c>
      <c r="I253" s="4" t="s">
        <v>5030</v>
      </c>
      <c r="J253" s="4" t="s">
        <v>4219</v>
      </c>
      <c r="K253" s="4" t="s">
        <v>251</v>
      </c>
      <c r="L253" s="4" t="s">
        <v>5029</v>
      </c>
      <c r="M253" s="5" t="s">
        <v>3187</v>
      </c>
      <c r="N253" s="6">
        <f>1328.97</f>
        <v>1328.97</v>
      </c>
      <c r="O253" s="4" t="s">
        <v>265</v>
      </c>
      <c r="P253" s="6">
        <f>2943668</f>
        <v>2943668</v>
      </c>
      <c r="Q253" s="6">
        <f>0</f>
        <v>0</v>
      </c>
      <c r="S253" s="6">
        <f>0</f>
        <v>0</v>
      </c>
      <c r="T253" s="6">
        <f>2943668</f>
        <v>2943668</v>
      </c>
      <c r="U253" s="5" t="s">
        <v>245</v>
      </c>
      <c r="V253" s="4" t="s">
        <v>270</v>
      </c>
      <c r="W253" s="4" t="s">
        <v>242</v>
      </c>
      <c r="X253" s="4" t="s">
        <v>273</v>
      </c>
      <c r="Y253" s="4" t="s">
        <v>241</v>
      </c>
      <c r="AB253" s="4" t="s">
        <v>241</v>
      </c>
      <c r="AD253" s="5" t="s">
        <v>241</v>
      </c>
      <c r="AG253" s="5" t="s">
        <v>246</v>
      </c>
      <c r="AH253" s="4" t="s">
        <v>241</v>
      </c>
      <c r="AI253" s="4" t="s">
        <v>247</v>
      </c>
      <c r="AJ253" s="4" t="s">
        <v>248</v>
      </c>
      <c r="AZ253" s="4" t="s">
        <v>249</v>
      </c>
      <c r="BA253" s="4" t="s">
        <v>241</v>
      </c>
      <c r="BB253" s="4" t="s">
        <v>250</v>
      </c>
      <c r="BC253" s="4" t="s">
        <v>241</v>
      </c>
      <c r="BD253" s="4" t="s">
        <v>252</v>
      </c>
      <c r="BE253" s="4" t="s">
        <v>241</v>
      </c>
      <c r="BG253" s="4" t="s">
        <v>4227</v>
      </c>
      <c r="BI253" s="4" t="s">
        <v>253</v>
      </c>
      <c r="BJ253" s="5" t="s">
        <v>246</v>
      </c>
      <c r="BK253" s="4" t="s">
        <v>254</v>
      </c>
      <c r="BL253" s="4" t="s">
        <v>255</v>
      </c>
      <c r="BM253" s="4" t="s">
        <v>241</v>
      </c>
      <c r="BN253" s="6">
        <f>0</f>
        <v>0</v>
      </c>
      <c r="BO253" s="6">
        <f>0</f>
        <v>0</v>
      </c>
      <c r="BP253" s="4" t="s">
        <v>256</v>
      </c>
      <c r="BQ253" s="4" t="s">
        <v>257</v>
      </c>
      <c r="CE253" s="4" t="s">
        <v>241</v>
      </c>
      <c r="CF253" s="4" t="s">
        <v>241</v>
      </c>
      <c r="CJ253" s="4" t="s">
        <v>258</v>
      </c>
      <c r="CK253" s="4" t="s">
        <v>259</v>
      </c>
      <c r="CL253" s="4" t="s">
        <v>241</v>
      </c>
      <c r="CO253" s="5" t="s">
        <v>260</v>
      </c>
      <c r="CP253" s="4" t="s">
        <v>241</v>
      </c>
      <c r="CQ253" s="4" t="s">
        <v>261</v>
      </c>
      <c r="CR253" s="4" t="s">
        <v>241</v>
      </c>
      <c r="CS253" s="4" t="s">
        <v>241</v>
      </c>
      <c r="CT253" s="4">
        <v>0</v>
      </c>
      <c r="CU253" s="4" t="s">
        <v>262</v>
      </c>
      <c r="CV253" s="4" t="s">
        <v>263</v>
      </c>
      <c r="CW253" s="4" t="s">
        <v>263</v>
      </c>
      <c r="CX253" s="4" t="s">
        <v>264</v>
      </c>
      <c r="DA253" s="6">
        <f>2943668</f>
        <v>2943668</v>
      </c>
      <c r="DC253" s="4" t="s">
        <v>414</v>
      </c>
      <c r="DD253" s="4" t="s">
        <v>241</v>
      </c>
      <c r="DF253" s="4" t="s">
        <v>287</v>
      </c>
      <c r="DG253" s="6">
        <f>0</f>
        <v>0</v>
      </c>
      <c r="DI253" s="4" t="s">
        <v>414</v>
      </c>
      <c r="DJ253" s="4" t="s">
        <v>241</v>
      </c>
      <c r="DK253" s="4" t="s">
        <v>241</v>
      </c>
      <c r="DL253" s="4" t="s">
        <v>241</v>
      </c>
      <c r="DP253" s="4" t="s">
        <v>241</v>
      </c>
      <c r="DQ253" s="4" t="s">
        <v>241</v>
      </c>
      <c r="DR253" s="4" t="s">
        <v>241</v>
      </c>
      <c r="DS253" s="4" t="s">
        <v>241</v>
      </c>
      <c r="DV253" s="4" t="s">
        <v>5031</v>
      </c>
      <c r="DW253" s="4" t="s">
        <v>267</v>
      </c>
      <c r="HO253" s="4" t="s">
        <v>267</v>
      </c>
    </row>
    <row r="254" spans="1:223" ht="19.5" customHeight="1" x14ac:dyDescent="0.4">
      <c r="A254" s="4">
        <v>1</v>
      </c>
      <c r="B254" s="4" t="s">
        <v>239</v>
      </c>
      <c r="C254" s="4">
        <v>988</v>
      </c>
      <c r="D254" s="4">
        <v>1</v>
      </c>
      <c r="E254" s="4">
        <v>1</v>
      </c>
      <c r="F254" s="4" t="s">
        <v>240</v>
      </c>
      <c r="G254" s="4" t="s">
        <v>241</v>
      </c>
      <c r="H254" s="4" t="s">
        <v>241</v>
      </c>
      <c r="I254" s="4" t="s">
        <v>4985</v>
      </c>
      <c r="J254" s="4" t="s">
        <v>4219</v>
      </c>
      <c r="K254" s="4" t="s">
        <v>251</v>
      </c>
      <c r="L254" s="4" t="s">
        <v>4984</v>
      </c>
      <c r="M254" s="5" t="s">
        <v>4989</v>
      </c>
      <c r="N254" s="6">
        <f>47</f>
        <v>47</v>
      </c>
      <c r="O254" s="4" t="s">
        <v>265</v>
      </c>
      <c r="P254" s="6">
        <f>23030</f>
        <v>23030</v>
      </c>
      <c r="Q254" s="6">
        <f>0</f>
        <v>0</v>
      </c>
      <c r="S254" s="6">
        <f>0</f>
        <v>0</v>
      </c>
      <c r="T254" s="6">
        <f>23030</f>
        <v>23030</v>
      </c>
      <c r="U254" s="5" t="s">
        <v>245</v>
      </c>
      <c r="V254" s="4" t="s">
        <v>270</v>
      </c>
      <c r="W254" s="4" t="s">
        <v>271</v>
      </c>
      <c r="X254" s="4" t="s">
        <v>273</v>
      </c>
      <c r="Y254" s="4" t="s">
        <v>241</v>
      </c>
      <c r="AB254" s="4" t="s">
        <v>241</v>
      </c>
      <c r="AD254" s="5" t="s">
        <v>241</v>
      </c>
      <c r="AG254" s="5" t="s">
        <v>246</v>
      </c>
      <c r="AH254" s="4" t="s">
        <v>241</v>
      </c>
      <c r="AI254" s="4" t="s">
        <v>247</v>
      </c>
      <c r="AJ254" s="4" t="s">
        <v>248</v>
      </c>
      <c r="AZ254" s="4" t="s">
        <v>249</v>
      </c>
      <c r="BA254" s="4" t="s">
        <v>241</v>
      </c>
      <c r="BB254" s="4" t="s">
        <v>250</v>
      </c>
      <c r="BC254" s="4" t="s">
        <v>241</v>
      </c>
      <c r="BD254" s="4" t="s">
        <v>252</v>
      </c>
      <c r="BE254" s="4" t="s">
        <v>241</v>
      </c>
      <c r="BG254" s="4" t="s">
        <v>4227</v>
      </c>
      <c r="BI254" s="4" t="s">
        <v>253</v>
      </c>
      <c r="BJ254" s="5" t="s">
        <v>246</v>
      </c>
      <c r="BK254" s="4" t="s">
        <v>254</v>
      </c>
      <c r="BL254" s="4" t="s">
        <v>255</v>
      </c>
      <c r="BM254" s="4" t="s">
        <v>241</v>
      </c>
      <c r="BN254" s="6">
        <f>0</f>
        <v>0</v>
      </c>
      <c r="BO254" s="6">
        <f>0</f>
        <v>0</v>
      </c>
      <c r="BP254" s="4" t="s">
        <v>256</v>
      </c>
      <c r="BQ254" s="4" t="s">
        <v>257</v>
      </c>
      <c r="CE254" s="4" t="s">
        <v>241</v>
      </c>
      <c r="CF254" s="4" t="s">
        <v>241</v>
      </c>
      <c r="CJ254" s="4" t="s">
        <v>258</v>
      </c>
      <c r="CK254" s="4" t="s">
        <v>259</v>
      </c>
      <c r="CL254" s="4" t="s">
        <v>241</v>
      </c>
      <c r="CO254" s="5" t="s">
        <v>260</v>
      </c>
      <c r="CP254" s="4" t="s">
        <v>241</v>
      </c>
      <c r="CQ254" s="4" t="s">
        <v>261</v>
      </c>
      <c r="CR254" s="4" t="s">
        <v>241</v>
      </c>
      <c r="CS254" s="4" t="s">
        <v>241</v>
      </c>
      <c r="CT254" s="4">
        <v>0</v>
      </c>
      <c r="CU254" s="4" t="s">
        <v>262</v>
      </c>
      <c r="CV254" s="4" t="s">
        <v>263</v>
      </c>
      <c r="CW254" s="4" t="s">
        <v>263</v>
      </c>
      <c r="CX254" s="4" t="s">
        <v>264</v>
      </c>
      <c r="DA254" s="6">
        <f>23030</f>
        <v>23030</v>
      </c>
      <c r="DC254" s="4" t="s">
        <v>277</v>
      </c>
      <c r="DD254" s="4" t="s">
        <v>241</v>
      </c>
      <c r="DF254" s="4" t="s">
        <v>287</v>
      </c>
      <c r="DG254" s="6">
        <f>0</f>
        <v>0</v>
      </c>
      <c r="DI254" s="4" t="s">
        <v>287</v>
      </c>
      <c r="DJ254" s="4" t="s">
        <v>241</v>
      </c>
      <c r="DK254" s="4" t="s">
        <v>241</v>
      </c>
      <c r="DL254" s="4" t="s">
        <v>241</v>
      </c>
      <c r="DP254" s="4" t="s">
        <v>241</v>
      </c>
      <c r="DQ254" s="4" t="s">
        <v>241</v>
      </c>
      <c r="DR254" s="4" t="s">
        <v>241</v>
      </c>
      <c r="DS254" s="4" t="s">
        <v>241</v>
      </c>
      <c r="DV254" s="4" t="s">
        <v>4987</v>
      </c>
      <c r="DW254" s="4" t="s">
        <v>267</v>
      </c>
      <c r="HO254" s="4" t="s">
        <v>267</v>
      </c>
    </row>
    <row r="255" spans="1:223" ht="19.5" customHeight="1" x14ac:dyDescent="0.4">
      <c r="A255" s="4">
        <v>1</v>
      </c>
      <c r="B255" s="4" t="s">
        <v>239</v>
      </c>
      <c r="C255" s="4">
        <v>989</v>
      </c>
      <c r="D255" s="4">
        <v>1</v>
      </c>
      <c r="E255" s="4">
        <v>1</v>
      </c>
      <c r="F255" s="4" t="s">
        <v>240</v>
      </c>
      <c r="G255" s="4" t="s">
        <v>241</v>
      </c>
      <c r="H255" s="4" t="s">
        <v>241</v>
      </c>
      <c r="I255" s="4" t="s">
        <v>4985</v>
      </c>
      <c r="J255" s="4" t="s">
        <v>4219</v>
      </c>
      <c r="K255" s="4" t="s">
        <v>251</v>
      </c>
      <c r="L255" s="4" t="s">
        <v>4984</v>
      </c>
      <c r="M255" s="5" t="s">
        <v>4990</v>
      </c>
      <c r="N255" s="6">
        <f>226</f>
        <v>226</v>
      </c>
      <c r="O255" s="4" t="s">
        <v>265</v>
      </c>
      <c r="P255" s="6">
        <f>110740</f>
        <v>110740</v>
      </c>
      <c r="Q255" s="6">
        <f>0</f>
        <v>0</v>
      </c>
      <c r="S255" s="6">
        <f>0</f>
        <v>0</v>
      </c>
      <c r="T255" s="6">
        <f>110740</f>
        <v>110740</v>
      </c>
      <c r="U255" s="5" t="s">
        <v>245</v>
      </c>
      <c r="V255" s="4" t="s">
        <v>270</v>
      </c>
      <c r="W255" s="4" t="s">
        <v>271</v>
      </c>
      <c r="X255" s="4" t="s">
        <v>273</v>
      </c>
      <c r="Y255" s="4" t="s">
        <v>241</v>
      </c>
      <c r="AB255" s="4" t="s">
        <v>241</v>
      </c>
      <c r="AD255" s="5" t="s">
        <v>241</v>
      </c>
      <c r="AG255" s="5" t="s">
        <v>246</v>
      </c>
      <c r="AH255" s="4" t="s">
        <v>241</v>
      </c>
      <c r="AI255" s="4" t="s">
        <v>247</v>
      </c>
      <c r="AJ255" s="4" t="s">
        <v>248</v>
      </c>
      <c r="AZ255" s="4" t="s">
        <v>249</v>
      </c>
      <c r="BA255" s="4" t="s">
        <v>241</v>
      </c>
      <c r="BB255" s="4" t="s">
        <v>250</v>
      </c>
      <c r="BC255" s="4" t="s">
        <v>241</v>
      </c>
      <c r="BD255" s="4" t="s">
        <v>252</v>
      </c>
      <c r="BE255" s="4" t="s">
        <v>241</v>
      </c>
      <c r="BI255" s="4" t="s">
        <v>295</v>
      </c>
      <c r="BJ255" s="5" t="s">
        <v>3476</v>
      </c>
      <c r="BK255" s="4" t="s">
        <v>254</v>
      </c>
      <c r="BL255" s="4" t="s">
        <v>255</v>
      </c>
      <c r="BM255" s="4" t="s">
        <v>241</v>
      </c>
      <c r="BN255" s="6">
        <f>0</f>
        <v>0</v>
      </c>
      <c r="BO255" s="6">
        <f>0</f>
        <v>0</v>
      </c>
      <c r="BP255" s="4" t="s">
        <v>256</v>
      </c>
      <c r="BQ255" s="4" t="s">
        <v>257</v>
      </c>
      <c r="CE255" s="4" t="s">
        <v>241</v>
      </c>
      <c r="CF255" s="4" t="s">
        <v>241</v>
      </c>
      <c r="CJ255" s="4" t="s">
        <v>258</v>
      </c>
      <c r="CK255" s="4" t="s">
        <v>259</v>
      </c>
      <c r="CL255" s="4" t="s">
        <v>241</v>
      </c>
      <c r="CO255" s="5" t="s">
        <v>260</v>
      </c>
      <c r="CP255" s="4" t="s">
        <v>241</v>
      </c>
      <c r="CQ255" s="4" t="s">
        <v>261</v>
      </c>
      <c r="CR255" s="4" t="s">
        <v>241</v>
      </c>
      <c r="CS255" s="4" t="s">
        <v>241</v>
      </c>
      <c r="CT255" s="4">
        <v>0</v>
      </c>
      <c r="CU255" s="4" t="s">
        <v>262</v>
      </c>
      <c r="CV255" s="4" t="s">
        <v>263</v>
      </c>
      <c r="CW255" s="4" t="s">
        <v>263</v>
      </c>
      <c r="CX255" s="4" t="s">
        <v>264</v>
      </c>
      <c r="DA255" s="6">
        <f>110740</f>
        <v>110740</v>
      </c>
      <c r="DC255" s="4" t="s">
        <v>277</v>
      </c>
      <c r="DD255" s="4" t="s">
        <v>241</v>
      </c>
      <c r="DF255" s="4" t="s">
        <v>287</v>
      </c>
      <c r="DG255" s="6">
        <f>0</f>
        <v>0</v>
      </c>
      <c r="DI255" s="4" t="s">
        <v>287</v>
      </c>
      <c r="DJ255" s="4" t="s">
        <v>241</v>
      </c>
      <c r="DK255" s="4" t="s">
        <v>241</v>
      </c>
      <c r="DL255" s="4" t="s">
        <v>241</v>
      </c>
      <c r="DP255" s="4" t="s">
        <v>241</v>
      </c>
      <c r="DQ255" s="4" t="s">
        <v>241</v>
      </c>
      <c r="DR255" s="4" t="s">
        <v>241</v>
      </c>
      <c r="DS255" s="4" t="s">
        <v>241</v>
      </c>
      <c r="DV255" s="4" t="s">
        <v>4987</v>
      </c>
      <c r="DW255" s="4" t="s">
        <v>416</v>
      </c>
      <c r="HO255" s="4" t="s">
        <v>267</v>
      </c>
    </row>
    <row r="256" spans="1:223" ht="19.5" customHeight="1" x14ac:dyDescent="0.4">
      <c r="A256" s="4">
        <v>1</v>
      </c>
      <c r="B256" s="4" t="s">
        <v>239</v>
      </c>
      <c r="C256" s="4">
        <v>990</v>
      </c>
      <c r="D256" s="4">
        <v>1</v>
      </c>
      <c r="E256" s="4">
        <v>1</v>
      </c>
      <c r="F256" s="4" t="s">
        <v>240</v>
      </c>
      <c r="G256" s="4" t="s">
        <v>241</v>
      </c>
      <c r="H256" s="4" t="s">
        <v>241</v>
      </c>
      <c r="I256" s="4" t="s">
        <v>4985</v>
      </c>
      <c r="J256" s="4" t="s">
        <v>4219</v>
      </c>
      <c r="K256" s="4" t="s">
        <v>251</v>
      </c>
      <c r="L256" s="4" t="s">
        <v>4984</v>
      </c>
      <c r="M256" s="5" t="s">
        <v>4988</v>
      </c>
      <c r="N256" s="6">
        <f>107</f>
        <v>107</v>
      </c>
      <c r="O256" s="4" t="s">
        <v>265</v>
      </c>
      <c r="P256" s="6">
        <f>52430</f>
        <v>52430</v>
      </c>
      <c r="Q256" s="6">
        <f>0</f>
        <v>0</v>
      </c>
      <c r="S256" s="6">
        <f>0</f>
        <v>0</v>
      </c>
      <c r="T256" s="6">
        <f>52430</f>
        <v>52430</v>
      </c>
      <c r="U256" s="5" t="s">
        <v>245</v>
      </c>
      <c r="V256" s="4" t="s">
        <v>270</v>
      </c>
      <c r="W256" s="4" t="s">
        <v>271</v>
      </c>
      <c r="X256" s="4" t="s">
        <v>273</v>
      </c>
      <c r="Y256" s="4" t="s">
        <v>241</v>
      </c>
      <c r="AB256" s="4" t="s">
        <v>241</v>
      </c>
      <c r="AD256" s="5" t="s">
        <v>241</v>
      </c>
      <c r="AG256" s="5" t="s">
        <v>246</v>
      </c>
      <c r="AH256" s="4" t="s">
        <v>241</v>
      </c>
      <c r="AI256" s="4" t="s">
        <v>247</v>
      </c>
      <c r="AJ256" s="4" t="s">
        <v>248</v>
      </c>
      <c r="AZ256" s="4" t="s">
        <v>249</v>
      </c>
      <c r="BA256" s="4" t="s">
        <v>241</v>
      </c>
      <c r="BB256" s="4" t="s">
        <v>250</v>
      </c>
      <c r="BC256" s="4" t="s">
        <v>241</v>
      </c>
      <c r="BD256" s="4" t="s">
        <v>252</v>
      </c>
      <c r="BE256" s="4" t="s">
        <v>241</v>
      </c>
      <c r="BI256" s="4" t="s">
        <v>253</v>
      </c>
      <c r="BJ256" s="5" t="s">
        <v>246</v>
      </c>
      <c r="BK256" s="4" t="s">
        <v>254</v>
      </c>
      <c r="BL256" s="4" t="s">
        <v>255</v>
      </c>
      <c r="BM256" s="4" t="s">
        <v>241</v>
      </c>
      <c r="BN256" s="6">
        <f>0</f>
        <v>0</v>
      </c>
      <c r="BO256" s="6">
        <f>0</f>
        <v>0</v>
      </c>
      <c r="BP256" s="4" t="s">
        <v>256</v>
      </c>
      <c r="BQ256" s="4" t="s">
        <v>257</v>
      </c>
      <c r="CE256" s="4" t="s">
        <v>241</v>
      </c>
      <c r="CF256" s="4" t="s">
        <v>241</v>
      </c>
      <c r="CJ256" s="4" t="s">
        <v>258</v>
      </c>
      <c r="CK256" s="4" t="s">
        <v>259</v>
      </c>
      <c r="CL256" s="4" t="s">
        <v>241</v>
      </c>
      <c r="CO256" s="5" t="s">
        <v>260</v>
      </c>
      <c r="CP256" s="4" t="s">
        <v>241</v>
      </c>
      <c r="CQ256" s="4" t="s">
        <v>261</v>
      </c>
      <c r="CR256" s="4" t="s">
        <v>241</v>
      </c>
      <c r="CS256" s="4" t="s">
        <v>241</v>
      </c>
      <c r="CT256" s="4">
        <v>0</v>
      </c>
      <c r="CU256" s="4" t="s">
        <v>262</v>
      </c>
      <c r="CV256" s="4" t="s">
        <v>263</v>
      </c>
      <c r="CW256" s="4" t="s">
        <v>263</v>
      </c>
      <c r="CX256" s="4" t="s">
        <v>264</v>
      </c>
      <c r="DA256" s="6">
        <f>52430</f>
        <v>52430</v>
      </c>
      <c r="DC256" s="4" t="s">
        <v>277</v>
      </c>
      <c r="DD256" s="4" t="s">
        <v>241</v>
      </c>
      <c r="DF256" s="4" t="s">
        <v>287</v>
      </c>
      <c r="DG256" s="6">
        <f>0</f>
        <v>0</v>
      </c>
      <c r="DI256" s="4" t="s">
        <v>287</v>
      </c>
      <c r="DJ256" s="4" t="s">
        <v>241</v>
      </c>
      <c r="DK256" s="4" t="s">
        <v>241</v>
      </c>
      <c r="DL256" s="4" t="s">
        <v>241</v>
      </c>
      <c r="DP256" s="4" t="s">
        <v>241</v>
      </c>
      <c r="DQ256" s="4" t="s">
        <v>241</v>
      </c>
      <c r="DR256" s="4" t="s">
        <v>241</v>
      </c>
      <c r="DS256" s="4" t="s">
        <v>241</v>
      </c>
      <c r="DV256" s="4" t="s">
        <v>4987</v>
      </c>
      <c r="DW256" s="4" t="s">
        <v>388</v>
      </c>
      <c r="HO256" s="4" t="s">
        <v>267</v>
      </c>
    </row>
    <row r="257" spans="1:223" ht="19.5" customHeight="1" x14ac:dyDescent="0.4">
      <c r="A257" s="4">
        <v>1</v>
      </c>
      <c r="B257" s="4" t="s">
        <v>239</v>
      </c>
      <c r="C257" s="4">
        <v>991</v>
      </c>
      <c r="D257" s="4">
        <v>1</v>
      </c>
      <c r="E257" s="4">
        <v>1</v>
      </c>
      <c r="F257" s="4" t="s">
        <v>240</v>
      </c>
      <c r="G257" s="4" t="s">
        <v>241</v>
      </c>
      <c r="H257" s="4" t="s">
        <v>241</v>
      </c>
      <c r="I257" s="4" t="s">
        <v>4985</v>
      </c>
      <c r="J257" s="4" t="s">
        <v>4219</v>
      </c>
      <c r="K257" s="4" t="s">
        <v>251</v>
      </c>
      <c r="L257" s="4" t="s">
        <v>4984</v>
      </c>
      <c r="M257" s="5" t="s">
        <v>5488</v>
      </c>
      <c r="N257" s="6">
        <f>9.23</f>
        <v>9.23</v>
      </c>
      <c r="O257" s="4" t="s">
        <v>265</v>
      </c>
      <c r="P257" s="6">
        <f>396</f>
        <v>396</v>
      </c>
      <c r="Q257" s="6">
        <f>0</f>
        <v>0</v>
      </c>
      <c r="S257" s="6">
        <f>0</f>
        <v>0</v>
      </c>
      <c r="T257" s="6">
        <f>396</f>
        <v>396</v>
      </c>
      <c r="U257" s="5" t="s">
        <v>245</v>
      </c>
      <c r="V257" s="4" t="s">
        <v>270</v>
      </c>
      <c r="W257" s="4" t="s">
        <v>242</v>
      </c>
      <c r="X257" s="4" t="s">
        <v>273</v>
      </c>
      <c r="Y257" s="4" t="s">
        <v>241</v>
      </c>
      <c r="AB257" s="4" t="s">
        <v>241</v>
      </c>
      <c r="AD257" s="5" t="s">
        <v>241</v>
      </c>
      <c r="AG257" s="5" t="s">
        <v>246</v>
      </c>
      <c r="AH257" s="4" t="s">
        <v>241</v>
      </c>
      <c r="AI257" s="4" t="s">
        <v>247</v>
      </c>
      <c r="AJ257" s="4" t="s">
        <v>248</v>
      </c>
      <c r="AZ257" s="4" t="s">
        <v>249</v>
      </c>
      <c r="BA257" s="4" t="s">
        <v>241</v>
      </c>
      <c r="BB257" s="4" t="s">
        <v>250</v>
      </c>
      <c r="BC257" s="4" t="s">
        <v>241</v>
      </c>
      <c r="BD257" s="4" t="s">
        <v>252</v>
      </c>
      <c r="BE257" s="4" t="s">
        <v>241</v>
      </c>
      <c r="BI257" s="4" t="s">
        <v>295</v>
      </c>
      <c r="BJ257" s="5" t="s">
        <v>3476</v>
      </c>
      <c r="BK257" s="4" t="s">
        <v>254</v>
      </c>
      <c r="BL257" s="4" t="s">
        <v>255</v>
      </c>
      <c r="BM257" s="4" t="s">
        <v>241</v>
      </c>
      <c r="BN257" s="6">
        <f>0</f>
        <v>0</v>
      </c>
      <c r="BO257" s="6">
        <f>0</f>
        <v>0</v>
      </c>
      <c r="BP257" s="4" t="s">
        <v>256</v>
      </c>
      <c r="BQ257" s="4" t="s">
        <v>257</v>
      </c>
      <c r="CE257" s="4" t="s">
        <v>241</v>
      </c>
      <c r="CF257" s="4" t="s">
        <v>241</v>
      </c>
      <c r="CJ257" s="4" t="s">
        <v>258</v>
      </c>
      <c r="CK257" s="4" t="s">
        <v>259</v>
      </c>
      <c r="CL257" s="4" t="s">
        <v>241</v>
      </c>
      <c r="CO257" s="5" t="s">
        <v>260</v>
      </c>
      <c r="CP257" s="4" t="s">
        <v>241</v>
      </c>
      <c r="CQ257" s="4" t="s">
        <v>261</v>
      </c>
      <c r="CR257" s="4" t="s">
        <v>241</v>
      </c>
      <c r="CS257" s="4" t="s">
        <v>241</v>
      </c>
      <c r="CT257" s="4">
        <v>0</v>
      </c>
      <c r="CU257" s="4" t="s">
        <v>262</v>
      </c>
      <c r="CV257" s="4" t="s">
        <v>263</v>
      </c>
      <c r="CW257" s="4" t="s">
        <v>263</v>
      </c>
      <c r="CX257" s="4" t="s">
        <v>264</v>
      </c>
      <c r="DA257" s="6">
        <f>396</f>
        <v>396</v>
      </c>
      <c r="DC257" s="4" t="s">
        <v>348</v>
      </c>
      <c r="DD257" s="4" t="s">
        <v>241</v>
      </c>
      <c r="DF257" s="4" t="s">
        <v>287</v>
      </c>
      <c r="DG257" s="6">
        <f>0</f>
        <v>0</v>
      </c>
      <c r="DI257" s="4" t="s">
        <v>348</v>
      </c>
      <c r="DJ257" s="4" t="s">
        <v>241</v>
      </c>
      <c r="DK257" s="4" t="s">
        <v>241</v>
      </c>
      <c r="DL257" s="4" t="s">
        <v>241</v>
      </c>
      <c r="DP257" s="4" t="s">
        <v>241</v>
      </c>
      <c r="DQ257" s="4" t="s">
        <v>241</v>
      </c>
      <c r="DR257" s="4" t="s">
        <v>241</v>
      </c>
      <c r="DS257" s="4" t="s">
        <v>241</v>
      </c>
      <c r="DV257" s="4" t="s">
        <v>4987</v>
      </c>
      <c r="DW257" s="4" t="s">
        <v>327</v>
      </c>
      <c r="HO257" s="4" t="s">
        <v>267</v>
      </c>
    </row>
    <row r="258" spans="1:223" ht="19.5" customHeight="1" x14ac:dyDescent="0.4">
      <c r="A258" s="4">
        <v>1</v>
      </c>
      <c r="B258" s="4" t="s">
        <v>239</v>
      </c>
      <c r="C258" s="4">
        <v>992</v>
      </c>
      <c r="D258" s="4">
        <v>1</v>
      </c>
      <c r="E258" s="4">
        <v>1</v>
      </c>
      <c r="F258" s="4" t="s">
        <v>240</v>
      </c>
      <c r="G258" s="4" t="s">
        <v>241</v>
      </c>
      <c r="H258" s="4" t="s">
        <v>241</v>
      </c>
      <c r="I258" s="4" t="s">
        <v>4985</v>
      </c>
      <c r="J258" s="4" t="s">
        <v>4219</v>
      </c>
      <c r="K258" s="4" t="s">
        <v>251</v>
      </c>
      <c r="L258" s="4" t="s">
        <v>4984</v>
      </c>
      <c r="M258" s="5" t="s">
        <v>4992</v>
      </c>
      <c r="N258" s="6">
        <f>17</f>
        <v>17</v>
      </c>
      <c r="O258" s="4" t="s">
        <v>265</v>
      </c>
      <c r="P258" s="6">
        <f>8330</f>
        <v>8330</v>
      </c>
      <c r="Q258" s="6">
        <f>0</f>
        <v>0</v>
      </c>
      <c r="S258" s="6">
        <f>0</f>
        <v>0</v>
      </c>
      <c r="T258" s="6">
        <f>8330</f>
        <v>8330</v>
      </c>
      <c r="U258" s="5" t="s">
        <v>245</v>
      </c>
      <c r="V258" s="4" t="s">
        <v>270</v>
      </c>
      <c r="W258" s="4" t="s">
        <v>271</v>
      </c>
      <c r="X258" s="4" t="s">
        <v>273</v>
      </c>
      <c r="Y258" s="4" t="s">
        <v>241</v>
      </c>
      <c r="AB258" s="4" t="s">
        <v>241</v>
      </c>
      <c r="AD258" s="5" t="s">
        <v>241</v>
      </c>
      <c r="AG258" s="5" t="s">
        <v>246</v>
      </c>
      <c r="AH258" s="4" t="s">
        <v>241</v>
      </c>
      <c r="AI258" s="4" t="s">
        <v>247</v>
      </c>
      <c r="AJ258" s="4" t="s">
        <v>248</v>
      </c>
      <c r="AZ258" s="4" t="s">
        <v>249</v>
      </c>
      <c r="BA258" s="4" t="s">
        <v>241</v>
      </c>
      <c r="BB258" s="4" t="s">
        <v>250</v>
      </c>
      <c r="BC258" s="4" t="s">
        <v>241</v>
      </c>
      <c r="BD258" s="4" t="s">
        <v>252</v>
      </c>
      <c r="BE258" s="4" t="s">
        <v>241</v>
      </c>
      <c r="BI258" s="4" t="s">
        <v>253</v>
      </c>
      <c r="BJ258" s="5" t="s">
        <v>246</v>
      </c>
      <c r="BK258" s="4" t="s">
        <v>254</v>
      </c>
      <c r="BL258" s="4" t="s">
        <v>255</v>
      </c>
      <c r="BM258" s="4" t="s">
        <v>241</v>
      </c>
      <c r="BN258" s="6">
        <f>0</f>
        <v>0</v>
      </c>
      <c r="BO258" s="6">
        <f>0</f>
        <v>0</v>
      </c>
      <c r="BP258" s="4" t="s">
        <v>256</v>
      </c>
      <c r="BQ258" s="4" t="s">
        <v>257</v>
      </c>
      <c r="CE258" s="4" t="s">
        <v>241</v>
      </c>
      <c r="CF258" s="4" t="s">
        <v>241</v>
      </c>
      <c r="CJ258" s="4" t="s">
        <v>258</v>
      </c>
      <c r="CK258" s="4" t="s">
        <v>259</v>
      </c>
      <c r="CL258" s="4" t="s">
        <v>241</v>
      </c>
      <c r="CO258" s="5" t="s">
        <v>260</v>
      </c>
      <c r="CP258" s="4" t="s">
        <v>241</v>
      </c>
      <c r="CQ258" s="4" t="s">
        <v>261</v>
      </c>
      <c r="CR258" s="4" t="s">
        <v>241</v>
      </c>
      <c r="CS258" s="4" t="s">
        <v>241</v>
      </c>
      <c r="CT258" s="4">
        <v>0</v>
      </c>
      <c r="CU258" s="4" t="s">
        <v>262</v>
      </c>
      <c r="CV258" s="4" t="s">
        <v>263</v>
      </c>
      <c r="CW258" s="4" t="s">
        <v>263</v>
      </c>
      <c r="CX258" s="4" t="s">
        <v>264</v>
      </c>
      <c r="DA258" s="6">
        <f>8330</f>
        <v>8330</v>
      </c>
      <c r="DC258" s="4" t="s">
        <v>277</v>
      </c>
      <c r="DD258" s="4" t="s">
        <v>241</v>
      </c>
      <c r="DF258" s="4" t="s">
        <v>287</v>
      </c>
      <c r="DG258" s="6">
        <f>0</f>
        <v>0</v>
      </c>
      <c r="DI258" s="4" t="s">
        <v>287</v>
      </c>
      <c r="DJ258" s="4" t="s">
        <v>241</v>
      </c>
      <c r="DK258" s="4" t="s">
        <v>241</v>
      </c>
      <c r="DL258" s="4" t="s">
        <v>241</v>
      </c>
      <c r="DP258" s="4" t="s">
        <v>241</v>
      </c>
      <c r="DQ258" s="4" t="s">
        <v>241</v>
      </c>
      <c r="DR258" s="4" t="s">
        <v>241</v>
      </c>
      <c r="DS258" s="4" t="s">
        <v>241</v>
      </c>
      <c r="DV258" s="4" t="s">
        <v>4987</v>
      </c>
      <c r="DW258" s="4" t="s">
        <v>748</v>
      </c>
      <c r="HO258" s="4" t="s">
        <v>267</v>
      </c>
    </row>
    <row r="259" spans="1:223" ht="19.5" customHeight="1" x14ac:dyDescent="0.4">
      <c r="A259" s="4">
        <v>1</v>
      </c>
      <c r="B259" s="4" t="s">
        <v>239</v>
      </c>
      <c r="C259" s="4">
        <v>993</v>
      </c>
      <c r="D259" s="4">
        <v>1</v>
      </c>
      <c r="E259" s="4">
        <v>1</v>
      </c>
      <c r="F259" s="4" t="s">
        <v>240</v>
      </c>
      <c r="G259" s="4" t="s">
        <v>241</v>
      </c>
      <c r="H259" s="4" t="s">
        <v>241</v>
      </c>
      <c r="I259" s="4" t="s">
        <v>4985</v>
      </c>
      <c r="J259" s="4" t="s">
        <v>4219</v>
      </c>
      <c r="K259" s="4" t="s">
        <v>251</v>
      </c>
      <c r="L259" s="4" t="s">
        <v>4984</v>
      </c>
      <c r="M259" s="5" t="s">
        <v>4993</v>
      </c>
      <c r="N259" s="6">
        <f>11</f>
        <v>11</v>
      </c>
      <c r="O259" s="4" t="s">
        <v>265</v>
      </c>
      <c r="P259" s="6">
        <f>5390</f>
        <v>5390</v>
      </c>
      <c r="Q259" s="6">
        <f>0</f>
        <v>0</v>
      </c>
      <c r="S259" s="6">
        <f>0</f>
        <v>0</v>
      </c>
      <c r="T259" s="6">
        <f>5390</f>
        <v>5390</v>
      </c>
      <c r="U259" s="5" t="s">
        <v>245</v>
      </c>
      <c r="V259" s="4" t="s">
        <v>270</v>
      </c>
      <c r="W259" s="4" t="s">
        <v>271</v>
      </c>
      <c r="X259" s="4" t="s">
        <v>273</v>
      </c>
      <c r="Y259" s="4" t="s">
        <v>241</v>
      </c>
      <c r="AB259" s="4" t="s">
        <v>241</v>
      </c>
      <c r="AD259" s="5" t="s">
        <v>241</v>
      </c>
      <c r="AG259" s="5" t="s">
        <v>246</v>
      </c>
      <c r="AH259" s="4" t="s">
        <v>241</v>
      </c>
      <c r="AI259" s="4" t="s">
        <v>247</v>
      </c>
      <c r="AJ259" s="4" t="s">
        <v>248</v>
      </c>
      <c r="AZ259" s="4" t="s">
        <v>249</v>
      </c>
      <c r="BA259" s="4" t="s">
        <v>241</v>
      </c>
      <c r="BB259" s="4" t="s">
        <v>250</v>
      </c>
      <c r="BC259" s="4" t="s">
        <v>241</v>
      </c>
      <c r="BD259" s="4" t="s">
        <v>252</v>
      </c>
      <c r="BE259" s="4" t="s">
        <v>241</v>
      </c>
      <c r="BI259" s="4" t="s">
        <v>253</v>
      </c>
      <c r="BJ259" s="5" t="s">
        <v>246</v>
      </c>
      <c r="BK259" s="4" t="s">
        <v>254</v>
      </c>
      <c r="BL259" s="4" t="s">
        <v>255</v>
      </c>
      <c r="BM259" s="4" t="s">
        <v>241</v>
      </c>
      <c r="BN259" s="6">
        <f>0</f>
        <v>0</v>
      </c>
      <c r="BO259" s="6">
        <f>0</f>
        <v>0</v>
      </c>
      <c r="BP259" s="4" t="s">
        <v>256</v>
      </c>
      <c r="BQ259" s="4" t="s">
        <v>257</v>
      </c>
      <c r="CE259" s="4" t="s">
        <v>241</v>
      </c>
      <c r="CF259" s="4" t="s">
        <v>241</v>
      </c>
      <c r="CJ259" s="4" t="s">
        <v>258</v>
      </c>
      <c r="CK259" s="4" t="s">
        <v>259</v>
      </c>
      <c r="CL259" s="4" t="s">
        <v>241</v>
      </c>
      <c r="CO259" s="5" t="s">
        <v>260</v>
      </c>
      <c r="CP259" s="4" t="s">
        <v>241</v>
      </c>
      <c r="CQ259" s="4" t="s">
        <v>261</v>
      </c>
      <c r="CR259" s="4" t="s">
        <v>241</v>
      </c>
      <c r="CS259" s="4" t="s">
        <v>241</v>
      </c>
      <c r="CT259" s="4">
        <v>0</v>
      </c>
      <c r="CU259" s="4" t="s">
        <v>262</v>
      </c>
      <c r="CV259" s="4" t="s">
        <v>263</v>
      </c>
      <c r="CW259" s="4" t="s">
        <v>263</v>
      </c>
      <c r="CX259" s="4" t="s">
        <v>264</v>
      </c>
      <c r="DA259" s="6">
        <f>5390</f>
        <v>5390</v>
      </c>
      <c r="DC259" s="4" t="s">
        <v>277</v>
      </c>
      <c r="DD259" s="4" t="s">
        <v>241</v>
      </c>
      <c r="DF259" s="4" t="s">
        <v>287</v>
      </c>
      <c r="DG259" s="6">
        <f>0</f>
        <v>0</v>
      </c>
      <c r="DI259" s="4" t="s">
        <v>287</v>
      </c>
      <c r="DJ259" s="4" t="s">
        <v>241</v>
      </c>
      <c r="DK259" s="4" t="s">
        <v>241</v>
      </c>
      <c r="DL259" s="4" t="s">
        <v>241</v>
      </c>
      <c r="DP259" s="4" t="s">
        <v>241</v>
      </c>
      <c r="DQ259" s="4" t="s">
        <v>241</v>
      </c>
      <c r="DR259" s="4" t="s">
        <v>241</v>
      </c>
      <c r="DS259" s="4" t="s">
        <v>241</v>
      </c>
      <c r="DV259" s="4" t="s">
        <v>4987</v>
      </c>
      <c r="DW259" s="4" t="s">
        <v>719</v>
      </c>
      <c r="HO259" s="4" t="s">
        <v>267</v>
      </c>
    </row>
    <row r="260" spans="1:223" ht="19.5" customHeight="1" x14ac:dyDescent="0.4">
      <c r="A260" s="4">
        <v>1</v>
      </c>
      <c r="B260" s="4" t="s">
        <v>239</v>
      </c>
      <c r="C260" s="4">
        <v>994</v>
      </c>
      <c r="D260" s="4">
        <v>1</v>
      </c>
      <c r="E260" s="4">
        <v>1</v>
      </c>
      <c r="F260" s="4" t="s">
        <v>240</v>
      </c>
      <c r="G260" s="4" t="s">
        <v>241</v>
      </c>
      <c r="H260" s="4" t="s">
        <v>241</v>
      </c>
      <c r="I260" s="4" t="s">
        <v>4985</v>
      </c>
      <c r="J260" s="4" t="s">
        <v>4219</v>
      </c>
      <c r="K260" s="4" t="s">
        <v>251</v>
      </c>
      <c r="L260" s="4" t="s">
        <v>4984</v>
      </c>
      <c r="M260" s="5" t="s">
        <v>4994</v>
      </c>
      <c r="N260" s="6">
        <f>223</f>
        <v>223</v>
      </c>
      <c r="O260" s="4" t="s">
        <v>265</v>
      </c>
      <c r="P260" s="6">
        <f>109270</f>
        <v>109270</v>
      </c>
      <c r="Q260" s="6">
        <f>0</f>
        <v>0</v>
      </c>
      <c r="S260" s="6">
        <f>0</f>
        <v>0</v>
      </c>
      <c r="T260" s="6">
        <f>109270</f>
        <v>109270</v>
      </c>
      <c r="U260" s="5" t="s">
        <v>245</v>
      </c>
      <c r="V260" s="4" t="s">
        <v>270</v>
      </c>
      <c r="W260" s="4" t="s">
        <v>271</v>
      </c>
      <c r="X260" s="4" t="s">
        <v>273</v>
      </c>
      <c r="Y260" s="4" t="s">
        <v>241</v>
      </c>
      <c r="AB260" s="4" t="s">
        <v>241</v>
      </c>
      <c r="AD260" s="5" t="s">
        <v>241</v>
      </c>
      <c r="AG260" s="5" t="s">
        <v>246</v>
      </c>
      <c r="AH260" s="4" t="s">
        <v>241</v>
      </c>
      <c r="AI260" s="4" t="s">
        <v>247</v>
      </c>
      <c r="AJ260" s="4" t="s">
        <v>248</v>
      </c>
      <c r="AZ260" s="4" t="s">
        <v>249</v>
      </c>
      <c r="BA260" s="4" t="s">
        <v>241</v>
      </c>
      <c r="BB260" s="4" t="s">
        <v>250</v>
      </c>
      <c r="BC260" s="4" t="s">
        <v>241</v>
      </c>
      <c r="BD260" s="4" t="s">
        <v>252</v>
      </c>
      <c r="BE260" s="4" t="s">
        <v>241</v>
      </c>
      <c r="BI260" s="4" t="s">
        <v>253</v>
      </c>
      <c r="BJ260" s="5" t="s">
        <v>246</v>
      </c>
      <c r="BK260" s="4" t="s">
        <v>254</v>
      </c>
      <c r="BL260" s="4" t="s">
        <v>255</v>
      </c>
      <c r="BM260" s="4" t="s">
        <v>241</v>
      </c>
      <c r="BN260" s="6">
        <f>0</f>
        <v>0</v>
      </c>
      <c r="BO260" s="6">
        <f>0</f>
        <v>0</v>
      </c>
      <c r="BP260" s="4" t="s">
        <v>256</v>
      </c>
      <c r="BQ260" s="4" t="s">
        <v>257</v>
      </c>
      <c r="CE260" s="4" t="s">
        <v>241</v>
      </c>
      <c r="CF260" s="4" t="s">
        <v>241</v>
      </c>
      <c r="CJ260" s="4" t="s">
        <v>258</v>
      </c>
      <c r="CK260" s="4" t="s">
        <v>259</v>
      </c>
      <c r="CL260" s="4" t="s">
        <v>241</v>
      </c>
      <c r="CO260" s="5" t="s">
        <v>260</v>
      </c>
      <c r="CP260" s="4" t="s">
        <v>241</v>
      </c>
      <c r="CQ260" s="4" t="s">
        <v>261</v>
      </c>
      <c r="CR260" s="4" t="s">
        <v>241</v>
      </c>
      <c r="CS260" s="4" t="s">
        <v>241</v>
      </c>
      <c r="CT260" s="4">
        <v>0</v>
      </c>
      <c r="CU260" s="4" t="s">
        <v>262</v>
      </c>
      <c r="CV260" s="4" t="s">
        <v>263</v>
      </c>
      <c r="CW260" s="4" t="s">
        <v>263</v>
      </c>
      <c r="CX260" s="4" t="s">
        <v>264</v>
      </c>
      <c r="DA260" s="6">
        <f>109270</f>
        <v>109270</v>
      </c>
      <c r="DC260" s="4" t="s">
        <v>277</v>
      </c>
      <c r="DD260" s="4" t="s">
        <v>241</v>
      </c>
      <c r="DF260" s="4" t="s">
        <v>287</v>
      </c>
      <c r="DG260" s="6">
        <f>0</f>
        <v>0</v>
      </c>
      <c r="DI260" s="4" t="s">
        <v>287</v>
      </c>
      <c r="DJ260" s="4" t="s">
        <v>241</v>
      </c>
      <c r="DK260" s="4" t="s">
        <v>241</v>
      </c>
      <c r="DL260" s="4" t="s">
        <v>241</v>
      </c>
      <c r="DP260" s="4" t="s">
        <v>241</v>
      </c>
      <c r="DQ260" s="4" t="s">
        <v>241</v>
      </c>
      <c r="DR260" s="4" t="s">
        <v>241</v>
      </c>
      <c r="DS260" s="4" t="s">
        <v>241</v>
      </c>
      <c r="DV260" s="4" t="s">
        <v>4987</v>
      </c>
      <c r="DW260" s="4" t="s">
        <v>690</v>
      </c>
      <c r="HO260" s="4" t="s">
        <v>267</v>
      </c>
    </row>
    <row r="261" spans="1:223" ht="19.5" customHeight="1" x14ac:dyDescent="0.4">
      <c r="A261" s="4">
        <v>1</v>
      </c>
      <c r="B261" s="4" t="s">
        <v>239</v>
      </c>
      <c r="C261" s="4">
        <v>995</v>
      </c>
      <c r="D261" s="4">
        <v>1</v>
      </c>
      <c r="E261" s="4">
        <v>1</v>
      </c>
      <c r="F261" s="4" t="s">
        <v>240</v>
      </c>
      <c r="G261" s="4" t="s">
        <v>241</v>
      </c>
      <c r="H261" s="4" t="s">
        <v>241</v>
      </c>
      <c r="I261" s="4" t="s">
        <v>4985</v>
      </c>
      <c r="J261" s="4" t="s">
        <v>4219</v>
      </c>
      <c r="K261" s="4" t="s">
        <v>251</v>
      </c>
      <c r="L261" s="4" t="s">
        <v>4984</v>
      </c>
      <c r="M261" s="5" t="s">
        <v>5012</v>
      </c>
      <c r="N261" s="6">
        <f>13</f>
        <v>13</v>
      </c>
      <c r="O261" s="4" t="s">
        <v>265</v>
      </c>
      <c r="P261" s="6">
        <f>6370</f>
        <v>6370</v>
      </c>
      <c r="Q261" s="6">
        <f>0</f>
        <v>0</v>
      </c>
      <c r="S261" s="6">
        <f>0</f>
        <v>0</v>
      </c>
      <c r="T261" s="6">
        <f>6370</f>
        <v>6370</v>
      </c>
      <c r="U261" s="5" t="s">
        <v>245</v>
      </c>
      <c r="V261" s="4" t="s">
        <v>270</v>
      </c>
      <c r="W261" s="4" t="s">
        <v>271</v>
      </c>
      <c r="X261" s="4" t="s">
        <v>273</v>
      </c>
      <c r="Y261" s="4" t="s">
        <v>241</v>
      </c>
      <c r="AB261" s="4" t="s">
        <v>241</v>
      </c>
      <c r="AD261" s="5" t="s">
        <v>241</v>
      </c>
      <c r="AG261" s="5" t="s">
        <v>246</v>
      </c>
      <c r="AH261" s="4" t="s">
        <v>241</v>
      </c>
      <c r="AI261" s="4" t="s">
        <v>247</v>
      </c>
      <c r="AJ261" s="4" t="s">
        <v>248</v>
      </c>
      <c r="AZ261" s="4" t="s">
        <v>249</v>
      </c>
      <c r="BA261" s="4" t="s">
        <v>241</v>
      </c>
      <c r="BB261" s="4" t="s">
        <v>250</v>
      </c>
      <c r="BC261" s="4" t="s">
        <v>241</v>
      </c>
      <c r="BD261" s="4" t="s">
        <v>252</v>
      </c>
      <c r="BE261" s="4" t="s">
        <v>241</v>
      </c>
      <c r="BI261" s="4" t="s">
        <v>253</v>
      </c>
      <c r="BJ261" s="5" t="s">
        <v>246</v>
      </c>
      <c r="BK261" s="4" t="s">
        <v>254</v>
      </c>
      <c r="BL261" s="4" t="s">
        <v>255</v>
      </c>
      <c r="BM261" s="4" t="s">
        <v>241</v>
      </c>
      <c r="BN261" s="6">
        <f>0</f>
        <v>0</v>
      </c>
      <c r="BO261" s="6">
        <f>0</f>
        <v>0</v>
      </c>
      <c r="BP261" s="4" t="s">
        <v>256</v>
      </c>
      <c r="BQ261" s="4" t="s">
        <v>257</v>
      </c>
      <c r="CE261" s="4" t="s">
        <v>241</v>
      </c>
      <c r="CF261" s="4" t="s">
        <v>241</v>
      </c>
      <c r="CJ261" s="4" t="s">
        <v>258</v>
      </c>
      <c r="CK261" s="4" t="s">
        <v>259</v>
      </c>
      <c r="CL261" s="4" t="s">
        <v>241</v>
      </c>
      <c r="CO261" s="5" t="s">
        <v>260</v>
      </c>
      <c r="CP261" s="4" t="s">
        <v>241</v>
      </c>
      <c r="CQ261" s="4" t="s">
        <v>261</v>
      </c>
      <c r="CR261" s="4" t="s">
        <v>241</v>
      </c>
      <c r="CS261" s="4" t="s">
        <v>241</v>
      </c>
      <c r="CT261" s="4">
        <v>0</v>
      </c>
      <c r="CU261" s="4" t="s">
        <v>262</v>
      </c>
      <c r="CV261" s="4" t="s">
        <v>263</v>
      </c>
      <c r="CW261" s="4" t="s">
        <v>263</v>
      </c>
      <c r="CX261" s="4" t="s">
        <v>264</v>
      </c>
      <c r="DA261" s="6">
        <f>6370</f>
        <v>6370</v>
      </c>
      <c r="DC261" s="4" t="s">
        <v>277</v>
      </c>
      <c r="DD261" s="4" t="s">
        <v>241</v>
      </c>
      <c r="DF261" s="4" t="s">
        <v>287</v>
      </c>
      <c r="DG261" s="6">
        <f>0</f>
        <v>0</v>
      </c>
      <c r="DI261" s="4" t="s">
        <v>287</v>
      </c>
      <c r="DJ261" s="4" t="s">
        <v>241</v>
      </c>
      <c r="DK261" s="4" t="s">
        <v>241</v>
      </c>
      <c r="DL261" s="4" t="s">
        <v>241</v>
      </c>
      <c r="DP261" s="4" t="s">
        <v>241</v>
      </c>
      <c r="DQ261" s="4" t="s">
        <v>241</v>
      </c>
      <c r="DR261" s="4" t="s">
        <v>241</v>
      </c>
      <c r="DS261" s="4" t="s">
        <v>241</v>
      </c>
      <c r="DV261" s="4" t="s">
        <v>4987</v>
      </c>
      <c r="DW261" s="4" t="s">
        <v>628</v>
      </c>
      <c r="HO261" s="4" t="s">
        <v>267</v>
      </c>
    </row>
    <row r="262" spans="1:223" ht="19.5" customHeight="1" x14ac:dyDescent="0.4">
      <c r="A262" s="4">
        <v>1</v>
      </c>
      <c r="B262" s="4" t="s">
        <v>239</v>
      </c>
      <c r="C262" s="4">
        <v>996</v>
      </c>
      <c r="D262" s="4">
        <v>1</v>
      </c>
      <c r="E262" s="4">
        <v>1</v>
      </c>
      <c r="F262" s="4" t="s">
        <v>240</v>
      </c>
      <c r="G262" s="4" t="s">
        <v>241</v>
      </c>
      <c r="H262" s="4" t="s">
        <v>241</v>
      </c>
      <c r="I262" s="4" t="s">
        <v>4985</v>
      </c>
      <c r="J262" s="4" t="s">
        <v>4219</v>
      </c>
      <c r="K262" s="4" t="s">
        <v>251</v>
      </c>
      <c r="L262" s="4" t="s">
        <v>4984</v>
      </c>
      <c r="M262" s="5" t="s">
        <v>4995</v>
      </c>
      <c r="N262" s="6">
        <f>181</f>
        <v>181</v>
      </c>
      <c r="O262" s="4" t="s">
        <v>265</v>
      </c>
      <c r="P262" s="6">
        <f>88690</f>
        <v>88690</v>
      </c>
      <c r="Q262" s="6">
        <f>0</f>
        <v>0</v>
      </c>
      <c r="S262" s="6">
        <f>0</f>
        <v>0</v>
      </c>
      <c r="T262" s="6">
        <f>88690</f>
        <v>88690</v>
      </c>
      <c r="U262" s="5" t="s">
        <v>245</v>
      </c>
      <c r="V262" s="4" t="s">
        <v>270</v>
      </c>
      <c r="W262" s="4" t="s">
        <v>271</v>
      </c>
      <c r="X262" s="4" t="s">
        <v>273</v>
      </c>
      <c r="Y262" s="4" t="s">
        <v>241</v>
      </c>
      <c r="AB262" s="4" t="s">
        <v>241</v>
      </c>
      <c r="AD262" s="5" t="s">
        <v>241</v>
      </c>
      <c r="AG262" s="5" t="s">
        <v>246</v>
      </c>
      <c r="AH262" s="4" t="s">
        <v>241</v>
      </c>
      <c r="AI262" s="4" t="s">
        <v>247</v>
      </c>
      <c r="AJ262" s="4" t="s">
        <v>248</v>
      </c>
      <c r="AZ262" s="4" t="s">
        <v>249</v>
      </c>
      <c r="BA262" s="4" t="s">
        <v>241</v>
      </c>
      <c r="BB262" s="4" t="s">
        <v>250</v>
      </c>
      <c r="BC262" s="4" t="s">
        <v>241</v>
      </c>
      <c r="BD262" s="4" t="s">
        <v>252</v>
      </c>
      <c r="BE262" s="4" t="s">
        <v>241</v>
      </c>
      <c r="BI262" s="4" t="s">
        <v>253</v>
      </c>
      <c r="BJ262" s="5" t="s">
        <v>246</v>
      </c>
      <c r="BK262" s="4" t="s">
        <v>254</v>
      </c>
      <c r="BL262" s="4" t="s">
        <v>255</v>
      </c>
      <c r="BM262" s="4" t="s">
        <v>241</v>
      </c>
      <c r="BN262" s="6">
        <f>0</f>
        <v>0</v>
      </c>
      <c r="BO262" s="6">
        <f>0</f>
        <v>0</v>
      </c>
      <c r="BP262" s="4" t="s">
        <v>256</v>
      </c>
      <c r="BQ262" s="4" t="s">
        <v>257</v>
      </c>
      <c r="CE262" s="4" t="s">
        <v>241</v>
      </c>
      <c r="CF262" s="4" t="s">
        <v>241</v>
      </c>
      <c r="CJ262" s="4" t="s">
        <v>258</v>
      </c>
      <c r="CK262" s="4" t="s">
        <v>259</v>
      </c>
      <c r="CL262" s="4" t="s">
        <v>241</v>
      </c>
      <c r="CO262" s="5" t="s">
        <v>260</v>
      </c>
      <c r="CP262" s="4" t="s">
        <v>241</v>
      </c>
      <c r="CQ262" s="4" t="s">
        <v>261</v>
      </c>
      <c r="CR262" s="4" t="s">
        <v>241</v>
      </c>
      <c r="CS262" s="4" t="s">
        <v>241</v>
      </c>
      <c r="CT262" s="4">
        <v>0</v>
      </c>
      <c r="CU262" s="4" t="s">
        <v>262</v>
      </c>
      <c r="CV262" s="4" t="s">
        <v>263</v>
      </c>
      <c r="CW262" s="4" t="s">
        <v>263</v>
      </c>
      <c r="CX262" s="4" t="s">
        <v>264</v>
      </c>
      <c r="DA262" s="6">
        <f>88690</f>
        <v>88690</v>
      </c>
      <c r="DC262" s="4" t="s">
        <v>277</v>
      </c>
      <c r="DD262" s="4" t="s">
        <v>241</v>
      </c>
      <c r="DF262" s="4" t="s">
        <v>287</v>
      </c>
      <c r="DG262" s="6">
        <f>0</f>
        <v>0</v>
      </c>
      <c r="DI262" s="4" t="s">
        <v>287</v>
      </c>
      <c r="DJ262" s="4" t="s">
        <v>241</v>
      </c>
      <c r="DK262" s="4" t="s">
        <v>241</v>
      </c>
      <c r="DL262" s="4" t="s">
        <v>241</v>
      </c>
      <c r="DP262" s="4" t="s">
        <v>241</v>
      </c>
      <c r="DQ262" s="4" t="s">
        <v>241</v>
      </c>
      <c r="DR262" s="4" t="s">
        <v>241</v>
      </c>
      <c r="DS262" s="4" t="s">
        <v>241</v>
      </c>
      <c r="DV262" s="4" t="s">
        <v>4987</v>
      </c>
      <c r="DW262" s="4" t="s">
        <v>597</v>
      </c>
      <c r="HO262" s="4" t="s">
        <v>267</v>
      </c>
    </row>
    <row r="263" spans="1:223" ht="19.5" customHeight="1" x14ac:dyDescent="0.4">
      <c r="A263" s="4">
        <v>1</v>
      </c>
      <c r="B263" s="4" t="s">
        <v>239</v>
      </c>
      <c r="C263" s="4">
        <v>997</v>
      </c>
      <c r="D263" s="4">
        <v>1</v>
      </c>
      <c r="E263" s="4">
        <v>1</v>
      </c>
      <c r="F263" s="4" t="s">
        <v>240</v>
      </c>
      <c r="G263" s="4" t="s">
        <v>241</v>
      </c>
      <c r="H263" s="4" t="s">
        <v>241</v>
      </c>
      <c r="I263" s="4" t="s">
        <v>4985</v>
      </c>
      <c r="J263" s="4" t="s">
        <v>4219</v>
      </c>
      <c r="K263" s="4" t="s">
        <v>251</v>
      </c>
      <c r="L263" s="4" t="s">
        <v>4984</v>
      </c>
      <c r="M263" s="5" t="s">
        <v>4996</v>
      </c>
      <c r="N263" s="6">
        <f>610</f>
        <v>610</v>
      </c>
      <c r="O263" s="4" t="s">
        <v>265</v>
      </c>
      <c r="P263" s="6">
        <f>298900</f>
        <v>298900</v>
      </c>
      <c r="Q263" s="6">
        <f>0</f>
        <v>0</v>
      </c>
      <c r="S263" s="6">
        <f>0</f>
        <v>0</v>
      </c>
      <c r="T263" s="6">
        <f>298900</f>
        <v>298900</v>
      </c>
      <c r="U263" s="5" t="s">
        <v>245</v>
      </c>
      <c r="V263" s="4" t="s">
        <v>270</v>
      </c>
      <c r="W263" s="4" t="s">
        <v>271</v>
      </c>
      <c r="X263" s="4" t="s">
        <v>273</v>
      </c>
      <c r="Y263" s="4" t="s">
        <v>241</v>
      </c>
      <c r="AB263" s="4" t="s">
        <v>241</v>
      </c>
      <c r="AD263" s="5" t="s">
        <v>241</v>
      </c>
      <c r="AG263" s="5" t="s">
        <v>246</v>
      </c>
      <c r="AH263" s="4" t="s">
        <v>241</v>
      </c>
      <c r="AI263" s="4" t="s">
        <v>247</v>
      </c>
      <c r="AJ263" s="4" t="s">
        <v>248</v>
      </c>
      <c r="AZ263" s="4" t="s">
        <v>249</v>
      </c>
      <c r="BA263" s="4" t="s">
        <v>241</v>
      </c>
      <c r="BB263" s="4" t="s">
        <v>250</v>
      </c>
      <c r="BC263" s="4" t="s">
        <v>241</v>
      </c>
      <c r="BD263" s="4" t="s">
        <v>252</v>
      </c>
      <c r="BE263" s="4" t="s">
        <v>241</v>
      </c>
      <c r="BI263" s="4" t="s">
        <v>253</v>
      </c>
      <c r="BJ263" s="5" t="s">
        <v>246</v>
      </c>
      <c r="BK263" s="4" t="s">
        <v>254</v>
      </c>
      <c r="BL263" s="4" t="s">
        <v>255</v>
      </c>
      <c r="BM263" s="4" t="s">
        <v>241</v>
      </c>
      <c r="BN263" s="6">
        <f>0</f>
        <v>0</v>
      </c>
      <c r="BO263" s="6">
        <f>0</f>
        <v>0</v>
      </c>
      <c r="BP263" s="4" t="s">
        <v>256</v>
      </c>
      <c r="BQ263" s="4" t="s">
        <v>257</v>
      </c>
      <c r="CE263" s="4" t="s">
        <v>241</v>
      </c>
      <c r="CF263" s="4" t="s">
        <v>241</v>
      </c>
      <c r="CJ263" s="4" t="s">
        <v>258</v>
      </c>
      <c r="CK263" s="4" t="s">
        <v>259</v>
      </c>
      <c r="CL263" s="4" t="s">
        <v>241</v>
      </c>
      <c r="CO263" s="5" t="s">
        <v>260</v>
      </c>
      <c r="CP263" s="4" t="s">
        <v>241</v>
      </c>
      <c r="CQ263" s="4" t="s">
        <v>261</v>
      </c>
      <c r="CR263" s="4" t="s">
        <v>241</v>
      </c>
      <c r="CS263" s="4" t="s">
        <v>241</v>
      </c>
      <c r="CT263" s="4">
        <v>0</v>
      </c>
      <c r="CU263" s="4" t="s">
        <v>262</v>
      </c>
      <c r="CV263" s="4" t="s">
        <v>263</v>
      </c>
      <c r="CW263" s="4" t="s">
        <v>263</v>
      </c>
      <c r="CX263" s="4" t="s">
        <v>264</v>
      </c>
      <c r="DA263" s="6">
        <f>298900</f>
        <v>298900</v>
      </c>
      <c r="DC263" s="4" t="s">
        <v>277</v>
      </c>
      <c r="DD263" s="4" t="s">
        <v>241</v>
      </c>
      <c r="DF263" s="4" t="s">
        <v>287</v>
      </c>
      <c r="DG263" s="6">
        <f>0</f>
        <v>0</v>
      </c>
      <c r="DI263" s="4" t="s">
        <v>287</v>
      </c>
      <c r="DJ263" s="4" t="s">
        <v>241</v>
      </c>
      <c r="DK263" s="4" t="s">
        <v>241</v>
      </c>
      <c r="DL263" s="4" t="s">
        <v>241</v>
      </c>
      <c r="DP263" s="4" t="s">
        <v>241</v>
      </c>
      <c r="DQ263" s="4" t="s">
        <v>241</v>
      </c>
      <c r="DR263" s="4" t="s">
        <v>241</v>
      </c>
      <c r="DS263" s="4" t="s">
        <v>241</v>
      </c>
      <c r="DV263" s="4" t="s">
        <v>4987</v>
      </c>
      <c r="DW263" s="4" t="s">
        <v>1792</v>
      </c>
      <c r="HO263" s="4" t="s">
        <v>267</v>
      </c>
    </row>
    <row r="264" spans="1:223" ht="19.5" customHeight="1" x14ac:dyDescent="0.4">
      <c r="A264" s="4">
        <v>1</v>
      </c>
      <c r="B264" s="4" t="s">
        <v>239</v>
      </c>
      <c r="C264" s="4">
        <v>998</v>
      </c>
      <c r="D264" s="4">
        <v>1</v>
      </c>
      <c r="E264" s="4">
        <v>1</v>
      </c>
      <c r="F264" s="4" t="s">
        <v>240</v>
      </c>
      <c r="G264" s="4" t="s">
        <v>241</v>
      </c>
      <c r="H264" s="4" t="s">
        <v>241</v>
      </c>
      <c r="I264" s="4" t="s">
        <v>4985</v>
      </c>
      <c r="J264" s="4" t="s">
        <v>4219</v>
      </c>
      <c r="K264" s="4" t="s">
        <v>251</v>
      </c>
      <c r="L264" s="4" t="s">
        <v>4984</v>
      </c>
      <c r="M264" s="5" t="s">
        <v>4997</v>
      </c>
      <c r="N264" s="6">
        <f>149</f>
        <v>149</v>
      </c>
      <c r="O264" s="4" t="s">
        <v>265</v>
      </c>
      <c r="P264" s="6">
        <f>73010</f>
        <v>73010</v>
      </c>
      <c r="Q264" s="6">
        <f>0</f>
        <v>0</v>
      </c>
      <c r="S264" s="6">
        <f>0</f>
        <v>0</v>
      </c>
      <c r="T264" s="6">
        <f>73010</f>
        <v>73010</v>
      </c>
      <c r="U264" s="5" t="s">
        <v>245</v>
      </c>
      <c r="V264" s="4" t="s">
        <v>270</v>
      </c>
      <c r="W264" s="4" t="s">
        <v>271</v>
      </c>
      <c r="X264" s="4" t="s">
        <v>273</v>
      </c>
      <c r="Y264" s="4" t="s">
        <v>241</v>
      </c>
      <c r="AB264" s="4" t="s">
        <v>241</v>
      </c>
      <c r="AD264" s="5" t="s">
        <v>241</v>
      </c>
      <c r="AG264" s="5" t="s">
        <v>246</v>
      </c>
      <c r="AH264" s="4" t="s">
        <v>241</v>
      </c>
      <c r="AI264" s="4" t="s">
        <v>247</v>
      </c>
      <c r="AJ264" s="4" t="s">
        <v>248</v>
      </c>
      <c r="AZ264" s="4" t="s">
        <v>249</v>
      </c>
      <c r="BA264" s="4" t="s">
        <v>241</v>
      </c>
      <c r="BB264" s="4" t="s">
        <v>250</v>
      </c>
      <c r="BC264" s="4" t="s">
        <v>241</v>
      </c>
      <c r="BD264" s="4" t="s">
        <v>252</v>
      </c>
      <c r="BE264" s="4" t="s">
        <v>241</v>
      </c>
      <c r="BI264" s="4" t="s">
        <v>253</v>
      </c>
      <c r="BJ264" s="5" t="s">
        <v>246</v>
      </c>
      <c r="BK264" s="4" t="s">
        <v>254</v>
      </c>
      <c r="BL264" s="4" t="s">
        <v>255</v>
      </c>
      <c r="BM264" s="4" t="s">
        <v>241</v>
      </c>
      <c r="BN264" s="6">
        <f>0</f>
        <v>0</v>
      </c>
      <c r="BO264" s="6">
        <f>0</f>
        <v>0</v>
      </c>
      <c r="BP264" s="4" t="s">
        <v>256</v>
      </c>
      <c r="BQ264" s="4" t="s">
        <v>257</v>
      </c>
      <c r="CE264" s="4" t="s">
        <v>241</v>
      </c>
      <c r="CF264" s="4" t="s">
        <v>241</v>
      </c>
      <c r="CJ264" s="4" t="s">
        <v>258</v>
      </c>
      <c r="CK264" s="4" t="s">
        <v>259</v>
      </c>
      <c r="CL264" s="4" t="s">
        <v>241</v>
      </c>
      <c r="CO264" s="5" t="s">
        <v>260</v>
      </c>
      <c r="CP264" s="4" t="s">
        <v>241</v>
      </c>
      <c r="CQ264" s="4" t="s">
        <v>261</v>
      </c>
      <c r="CR264" s="4" t="s">
        <v>241</v>
      </c>
      <c r="CS264" s="4" t="s">
        <v>241</v>
      </c>
      <c r="CT264" s="4">
        <v>0</v>
      </c>
      <c r="CU264" s="4" t="s">
        <v>262</v>
      </c>
      <c r="CV264" s="4" t="s">
        <v>263</v>
      </c>
      <c r="CW264" s="4" t="s">
        <v>263</v>
      </c>
      <c r="CX264" s="4" t="s">
        <v>264</v>
      </c>
      <c r="DA264" s="6">
        <f>73010</f>
        <v>73010</v>
      </c>
      <c r="DC264" s="4" t="s">
        <v>277</v>
      </c>
      <c r="DD264" s="4" t="s">
        <v>241</v>
      </c>
      <c r="DF264" s="4" t="s">
        <v>287</v>
      </c>
      <c r="DG264" s="6">
        <f>0</f>
        <v>0</v>
      </c>
      <c r="DI264" s="4" t="s">
        <v>287</v>
      </c>
      <c r="DJ264" s="4" t="s">
        <v>241</v>
      </c>
      <c r="DK264" s="4" t="s">
        <v>241</v>
      </c>
      <c r="DL264" s="4" t="s">
        <v>241</v>
      </c>
      <c r="DP264" s="4" t="s">
        <v>241</v>
      </c>
      <c r="DQ264" s="4" t="s">
        <v>241</v>
      </c>
      <c r="DR264" s="4" t="s">
        <v>241</v>
      </c>
      <c r="DS264" s="4" t="s">
        <v>241</v>
      </c>
      <c r="DV264" s="4" t="s">
        <v>4987</v>
      </c>
      <c r="DW264" s="4" t="s">
        <v>1789</v>
      </c>
      <c r="HO264" s="4" t="s">
        <v>267</v>
      </c>
    </row>
    <row r="265" spans="1:223" ht="19.5" customHeight="1" x14ac:dyDescent="0.4">
      <c r="A265" s="4">
        <v>1</v>
      </c>
      <c r="B265" s="4" t="s">
        <v>239</v>
      </c>
      <c r="C265" s="4">
        <v>999</v>
      </c>
      <c r="D265" s="4">
        <v>1</v>
      </c>
      <c r="E265" s="4">
        <v>1</v>
      </c>
      <c r="F265" s="4" t="s">
        <v>240</v>
      </c>
      <c r="G265" s="4" t="s">
        <v>241</v>
      </c>
      <c r="H265" s="4" t="s">
        <v>241</v>
      </c>
      <c r="I265" s="4" t="s">
        <v>4985</v>
      </c>
      <c r="J265" s="4" t="s">
        <v>4219</v>
      </c>
      <c r="K265" s="4" t="s">
        <v>251</v>
      </c>
      <c r="L265" s="4" t="s">
        <v>4984</v>
      </c>
      <c r="M265" s="5" t="s">
        <v>4998</v>
      </c>
      <c r="N265" s="6">
        <f>215</f>
        <v>215</v>
      </c>
      <c r="O265" s="4" t="s">
        <v>265</v>
      </c>
      <c r="P265" s="6">
        <f>105350</f>
        <v>105350</v>
      </c>
      <c r="Q265" s="6">
        <f>0</f>
        <v>0</v>
      </c>
      <c r="S265" s="6">
        <f>0</f>
        <v>0</v>
      </c>
      <c r="T265" s="6">
        <f>105350</f>
        <v>105350</v>
      </c>
      <c r="U265" s="5" t="s">
        <v>245</v>
      </c>
      <c r="V265" s="4" t="s">
        <v>270</v>
      </c>
      <c r="W265" s="4" t="s">
        <v>271</v>
      </c>
      <c r="X265" s="4" t="s">
        <v>273</v>
      </c>
      <c r="Y265" s="4" t="s">
        <v>241</v>
      </c>
      <c r="AB265" s="4" t="s">
        <v>241</v>
      </c>
      <c r="AD265" s="5" t="s">
        <v>241</v>
      </c>
      <c r="AG265" s="5" t="s">
        <v>246</v>
      </c>
      <c r="AH265" s="4" t="s">
        <v>241</v>
      </c>
      <c r="AI265" s="4" t="s">
        <v>247</v>
      </c>
      <c r="AJ265" s="4" t="s">
        <v>248</v>
      </c>
      <c r="AZ265" s="4" t="s">
        <v>249</v>
      </c>
      <c r="BA265" s="4" t="s">
        <v>241</v>
      </c>
      <c r="BB265" s="4" t="s">
        <v>250</v>
      </c>
      <c r="BC265" s="4" t="s">
        <v>241</v>
      </c>
      <c r="BD265" s="4" t="s">
        <v>252</v>
      </c>
      <c r="BE265" s="4" t="s">
        <v>241</v>
      </c>
      <c r="BI265" s="4" t="s">
        <v>253</v>
      </c>
      <c r="BJ265" s="5" t="s">
        <v>246</v>
      </c>
      <c r="BK265" s="4" t="s">
        <v>254</v>
      </c>
      <c r="BL265" s="4" t="s">
        <v>255</v>
      </c>
      <c r="BM265" s="4" t="s">
        <v>241</v>
      </c>
      <c r="BN265" s="6">
        <f>0</f>
        <v>0</v>
      </c>
      <c r="BO265" s="6">
        <f>0</f>
        <v>0</v>
      </c>
      <c r="BP265" s="4" t="s">
        <v>256</v>
      </c>
      <c r="BQ265" s="4" t="s">
        <v>257</v>
      </c>
      <c r="CE265" s="4" t="s">
        <v>241</v>
      </c>
      <c r="CF265" s="4" t="s">
        <v>241</v>
      </c>
      <c r="CJ265" s="4" t="s">
        <v>258</v>
      </c>
      <c r="CK265" s="4" t="s">
        <v>259</v>
      </c>
      <c r="CL265" s="4" t="s">
        <v>241</v>
      </c>
      <c r="CO265" s="5" t="s">
        <v>260</v>
      </c>
      <c r="CP265" s="4" t="s">
        <v>241</v>
      </c>
      <c r="CQ265" s="4" t="s">
        <v>261</v>
      </c>
      <c r="CR265" s="4" t="s">
        <v>241</v>
      </c>
      <c r="CS265" s="4" t="s">
        <v>241</v>
      </c>
      <c r="CT265" s="4">
        <v>0</v>
      </c>
      <c r="CU265" s="4" t="s">
        <v>262</v>
      </c>
      <c r="CV265" s="4" t="s">
        <v>263</v>
      </c>
      <c r="CW265" s="4" t="s">
        <v>263</v>
      </c>
      <c r="CX265" s="4" t="s">
        <v>264</v>
      </c>
      <c r="DA265" s="6">
        <f>105350</f>
        <v>105350</v>
      </c>
      <c r="DC265" s="4" t="s">
        <v>277</v>
      </c>
      <c r="DD265" s="4" t="s">
        <v>241</v>
      </c>
      <c r="DF265" s="4" t="s">
        <v>287</v>
      </c>
      <c r="DG265" s="6">
        <f>0</f>
        <v>0</v>
      </c>
      <c r="DI265" s="4" t="s">
        <v>287</v>
      </c>
      <c r="DJ265" s="4" t="s">
        <v>241</v>
      </c>
      <c r="DK265" s="4" t="s">
        <v>241</v>
      </c>
      <c r="DL265" s="4" t="s">
        <v>241</v>
      </c>
      <c r="DP265" s="4" t="s">
        <v>241</v>
      </c>
      <c r="DQ265" s="4" t="s">
        <v>241</v>
      </c>
      <c r="DR265" s="4" t="s">
        <v>241</v>
      </c>
      <c r="DS265" s="4" t="s">
        <v>241</v>
      </c>
      <c r="DV265" s="4" t="s">
        <v>4987</v>
      </c>
      <c r="DW265" s="4" t="s">
        <v>1787</v>
      </c>
      <c r="HO265" s="4" t="s">
        <v>267</v>
      </c>
    </row>
    <row r="266" spans="1:223" ht="19.5" customHeight="1" x14ac:dyDescent="0.4">
      <c r="A266" s="4">
        <v>1</v>
      </c>
      <c r="B266" s="4" t="s">
        <v>239</v>
      </c>
      <c r="C266" s="4">
        <v>1000</v>
      </c>
      <c r="D266" s="4">
        <v>1</v>
      </c>
      <c r="E266" s="4">
        <v>1</v>
      </c>
      <c r="F266" s="4" t="s">
        <v>240</v>
      </c>
      <c r="G266" s="4" t="s">
        <v>241</v>
      </c>
      <c r="H266" s="4" t="s">
        <v>241</v>
      </c>
      <c r="I266" s="4" t="s">
        <v>4985</v>
      </c>
      <c r="J266" s="4" t="s">
        <v>4219</v>
      </c>
      <c r="K266" s="4" t="s">
        <v>251</v>
      </c>
      <c r="L266" s="4" t="s">
        <v>4984</v>
      </c>
      <c r="M266" s="5" t="s">
        <v>5013</v>
      </c>
      <c r="N266" s="6">
        <f>148</f>
        <v>148</v>
      </c>
      <c r="O266" s="4" t="s">
        <v>265</v>
      </c>
      <c r="P266" s="6">
        <f>72520</f>
        <v>72520</v>
      </c>
      <c r="Q266" s="6">
        <f>0</f>
        <v>0</v>
      </c>
      <c r="S266" s="6">
        <f>0</f>
        <v>0</v>
      </c>
      <c r="T266" s="6">
        <f>72520</f>
        <v>72520</v>
      </c>
      <c r="U266" s="5" t="s">
        <v>245</v>
      </c>
      <c r="V266" s="4" t="s">
        <v>270</v>
      </c>
      <c r="W266" s="4" t="s">
        <v>271</v>
      </c>
      <c r="X266" s="4" t="s">
        <v>273</v>
      </c>
      <c r="Y266" s="4" t="s">
        <v>241</v>
      </c>
      <c r="AB266" s="4" t="s">
        <v>241</v>
      </c>
      <c r="AD266" s="5" t="s">
        <v>241</v>
      </c>
      <c r="AG266" s="5" t="s">
        <v>246</v>
      </c>
      <c r="AH266" s="4" t="s">
        <v>241</v>
      </c>
      <c r="AI266" s="4" t="s">
        <v>247</v>
      </c>
      <c r="AJ266" s="4" t="s">
        <v>248</v>
      </c>
      <c r="AZ266" s="4" t="s">
        <v>249</v>
      </c>
      <c r="BA266" s="4" t="s">
        <v>241</v>
      </c>
      <c r="BB266" s="4" t="s">
        <v>250</v>
      </c>
      <c r="BC266" s="4" t="s">
        <v>241</v>
      </c>
      <c r="BD266" s="4" t="s">
        <v>252</v>
      </c>
      <c r="BE266" s="4" t="s">
        <v>241</v>
      </c>
      <c r="BI266" s="4" t="s">
        <v>253</v>
      </c>
      <c r="BJ266" s="5" t="s">
        <v>246</v>
      </c>
      <c r="BK266" s="4" t="s">
        <v>254</v>
      </c>
      <c r="BL266" s="4" t="s">
        <v>255</v>
      </c>
      <c r="BM266" s="4" t="s">
        <v>241</v>
      </c>
      <c r="BN266" s="6">
        <f>0</f>
        <v>0</v>
      </c>
      <c r="BO266" s="6">
        <f>0</f>
        <v>0</v>
      </c>
      <c r="BP266" s="4" t="s">
        <v>256</v>
      </c>
      <c r="BQ266" s="4" t="s">
        <v>257</v>
      </c>
      <c r="CE266" s="4" t="s">
        <v>241</v>
      </c>
      <c r="CF266" s="4" t="s">
        <v>241</v>
      </c>
      <c r="CJ266" s="4" t="s">
        <v>258</v>
      </c>
      <c r="CK266" s="4" t="s">
        <v>259</v>
      </c>
      <c r="CL266" s="4" t="s">
        <v>241</v>
      </c>
      <c r="CO266" s="5" t="s">
        <v>260</v>
      </c>
      <c r="CP266" s="4" t="s">
        <v>241</v>
      </c>
      <c r="CQ266" s="4" t="s">
        <v>261</v>
      </c>
      <c r="CR266" s="4" t="s">
        <v>241</v>
      </c>
      <c r="CS266" s="4" t="s">
        <v>241</v>
      </c>
      <c r="CT266" s="4">
        <v>0</v>
      </c>
      <c r="CU266" s="4" t="s">
        <v>262</v>
      </c>
      <c r="CV266" s="4" t="s">
        <v>263</v>
      </c>
      <c r="CW266" s="4" t="s">
        <v>263</v>
      </c>
      <c r="CX266" s="4" t="s">
        <v>264</v>
      </c>
      <c r="DA266" s="6">
        <f>72520</f>
        <v>72520</v>
      </c>
      <c r="DC266" s="4" t="s">
        <v>277</v>
      </c>
      <c r="DD266" s="4" t="s">
        <v>241</v>
      </c>
      <c r="DF266" s="4" t="s">
        <v>287</v>
      </c>
      <c r="DG266" s="6">
        <f>0</f>
        <v>0</v>
      </c>
      <c r="DI266" s="4" t="s">
        <v>287</v>
      </c>
      <c r="DJ266" s="4" t="s">
        <v>241</v>
      </c>
      <c r="DK266" s="4" t="s">
        <v>241</v>
      </c>
      <c r="DL266" s="4" t="s">
        <v>241</v>
      </c>
      <c r="DP266" s="4" t="s">
        <v>241</v>
      </c>
      <c r="DQ266" s="4" t="s">
        <v>241</v>
      </c>
      <c r="DR266" s="4" t="s">
        <v>241</v>
      </c>
      <c r="DS266" s="4" t="s">
        <v>241</v>
      </c>
      <c r="DV266" s="4" t="s">
        <v>4987</v>
      </c>
      <c r="DW266" s="4" t="s">
        <v>1785</v>
      </c>
      <c r="HO266" s="4" t="s">
        <v>267</v>
      </c>
    </row>
    <row r="267" spans="1:223" ht="19.5" customHeight="1" x14ac:dyDescent="0.4">
      <c r="A267" s="4">
        <v>1</v>
      </c>
      <c r="B267" s="4" t="s">
        <v>239</v>
      </c>
      <c r="C267" s="4">
        <v>1001</v>
      </c>
      <c r="D267" s="4">
        <v>1</v>
      </c>
      <c r="E267" s="4">
        <v>1</v>
      </c>
      <c r="F267" s="4" t="s">
        <v>240</v>
      </c>
      <c r="G267" s="4" t="s">
        <v>241</v>
      </c>
      <c r="H267" s="4" t="s">
        <v>241</v>
      </c>
      <c r="I267" s="4" t="s">
        <v>4985</v>
      </c>
      <c r="J267" s="4" t="s">
        <v>4219</v>
      </c>
      <c r="K267" s="4" t="s">
        <v>251</v>
      </c>
      <c r="L267" s="4" t="s">
        <v>4984</v>
      </c>
      <c r="M267" s="5" t="s">
        <v>5489</v>
      </c>
      <c r="N267" s="6">
        <f>991</f>
        <v>991</v>
      </c>
      <c r="O267" s="4" t="s">
        <v>265</v>
      </c>
      <c r="P267" s="6">
        <f>485590</f>
        <v>485590</v>
      </c>
      <c r="Q267" s="6">
        <f>0</f>
        <v>0</v>
      </c>
      <c r="S267" s="6">
        <f>0</f>
        <v>0</v>
      </c>
      <c r="T267" s="6">
        <f>485590</f>
        <v>485590</v>
      </c>
      <c r="U267" s="5" t="s">
        <v>245</v>
      </c>
      <c r="V267" s="4" t="s">
        <v>270</v>
      </c>
      <c r="W267" s="4" t="s">
        <v>271</v>
      </c>
      <c r="X267" s="4" t="s">
        <v>273</v>
      </c>
      <c r="Y267" s="4" t="s">
        <v>241</v>
      </c>
      <c r="AB267" s="4" t="s">
        <v>241</v>
      </c>
      <c r="AD267" s="5" t="s">
        <v>241</v>
      </c>
      <c r="AG267" s="5" t="s">
        <v>246</v>
      </c>
      <c r="AH267" s="4" t="s">
        <v>241</v>
      </c>
      <c r="AI267" s="4" t="s">
        <v>247</v>
      </c>
      <c r="AJ267" s="4" t="s">
        <v>248</v>
      </c>
      <c r="AZ267" s="4" t="s">
        <v>249</v>
      </c>
      <c r="BA267" s="4" t="s">
        <v>241</v>
      </c>
      <c r="BB267" s="4" t="s">
        <v>250</v>
      </c>
      <c r="BC267" s="4" t="s">
        <v>241</v>
      </c>
      <c r="BD267" s="4" t="s">
        <v>252</v>
      </c>
      <c r="BE267" s="4" t="s">
        <v>241</v>
      </c>
      <c r="BI267" s="4" t="s">
        <v>253</v>
      </c>
      <c r="BJ267" s="5" t="s">
        <v>246</v>
      </c>
      <c r="BK267" s="4" t="s">
        <v>254</v>
      </c>
      <c r="BL267" s="4" t="s">
        <v>255</v>
      </c>
      <c r="BM267" s="4" t="s">
        <v>241</v>
      </c>
      <c r="BN267" s="6">
        <f>0</f>
        <v>0</v>
      </c>
      <c r="BO267" s="6">
        <f>0</f>
        <v>0</v>
      </c>
      <c r="BP267" s="4" t="s">
        <v>256</v>
      </c>
      <c r="BQ267" s="4" t="s">
        <v>257</v>
      </c>
      <c r="CE267" s="4" t="s">
        <v>241</v>
      </c>
      <c r="CF267" s="4" t="s">
        <v>241</v>
      </c>
      <c r="CJ267" s="4" t="s">
        <v>258</v>
      </c>
      <c r="CK267" s="4" t="s">
        <v>259</v>
      </c>
      <c r="CL267" s="4" t="s">
        <v>241</v>
      </c>
      <c r="CO267" s="5" t="s">
        <v>260</v>
      </c>
      <c r="CP267" s="4" t="s">
        <v>241</v>
      </c>
      <c r="CQ267" s="4" t="s">
        <v>261</v>
      </c>
      <c r="CR267" s="4" t="s">
        <v>241</v>
      </c>
      <c r="CS267" s="4" t="s">
        <v>241</v>
      </c>
      <c r="CT267" s="4">
        <v>0</v>
      </c>
      <c r="CU267" s="4" t="s">
        <v>262</v>
      </c>
      <c r="CV267" s="4" t="s">
        <v>263</v>
      </c>
      <c r="CW267" s="4" t="s">
        <v>263</v>
      </c>
      <c r="CX267" s="4" t="s">
        <v>264</v>
      </c>
      <c r="DA267" s="6">
        <f>485590</f>
        <v>485590</v>
      </c>
      <c r="DC267" s="4" t="s">
        <v>277</v>
      </c>
      <c r="DD267" s="4" t="s">
        <v>241</v>
      </c>
      <c r="DF267" s="4" t="s">
        <v>287</v>
      </c>
      <c r="DG267" s="6">
        <f>0</f>
        <v>0</v>
      </c>
      <c r="DI267" s="4" t="s">
        <v>287</v>
      </c>
      <c r="DJ267" s="4" t="s">
        <v>241</v>
      </c>
      <c r="DK267" s="4" t="s">
        <v>241</v>
      </c>
      <c r="DL267" s="4" t="s">
        <v>241</v>
      </c>
      <c r="DP267" s="4" t="s">
        <v>241</v>
      </c>
      <c r="DQ267" s="4" t="s">
        <v>241</v>
      </c>
      <c r="DR267" s="4" t="s">
        <v>241</v>
      </c>
      <c r="DS267" s="4" t="s">
        <v>241</v>
      </c>
      <c r="DV267" s="4" t="s">
        <v>4987</v>
      </c>
      <c r="DW267" s="4" t="s">
        <v>1781</v>
      </c>
      <c r="HO267" s="4" t="s">
        <v>267</v>
      </c>
    </row>
    <row r="268" spans="1:223" ht="19.5" customHeight="1" x14ac:dyDescent="0.4">
      <c r="A268" s="4">
        <v>1</v>
      </c>
      <c r="B268" s="4" t="s">
        <v>239</v>
      </c>
      <c r="C268" s="4">
        <v>1002</v>
      </c>
      <c r="D268" s="4">
        <v>1</v>
      </c>
      <c r="E268" s="4">
        <v>1</v>
      </c>
      <c r="F268" s="4" t="s">
        <v>240</v>
      </c>
      <c r="G268" s="4" t="s">
        <v>241</v>
      </c>
      <c r="H268" s="4" t="s">
        <v>241</v>
      </c>
      <c r="I268" s="4" t="s">
        <v>4985</v>
      </c>
      <c r="J268" s="4" t="s">
        <v>4219</v>
      </c>
      <c r="K268" s="4" t="s">
        <v>251</v>
      </c>
      <c r="L268" s="4" t="s">
        <v>4984</v>
      </c>
      <c r="M268" s="5" t="s">
        <v>5000</v>
      </c>
      <c r="N268" s="6">
        <f>65</f>
        <v>65</v>
      </c>
      <c r="O268" s="4" t="s">
        <v>265</v>
      </c>
      <c r="P268" s="6">
        <f>31850</f>
        <v>31850</v>
      </c>
      <c r="Q268" s="6">
        <f>0</f>
        <v>0</v>
      </c>
      <c r="S268" s="6">
        <f>0</f>
        <v>0</v>
      </c>
      <c r="T268" s="6">
        <f>31850</f>
        <v>31850</v>
      </c>
      <c r="U268" s="5" t="s">
        <v>245</v>
      </c>
      <c r="V268" s="4" t="s">
        <v>270</v>
      </c>
      <c r="W268" s="4" t="s">
        <v>271</v>
      </c>
      <c r="X268" s="4" t="s">
        <v>273</v>
      </c>
      <c r="Y268" s="4" t="s">
        <v>241</v>
      </c>
      <c r="AB268" s="4" t="s">
        <v>241</v>
      </c>
      <c r="AD268" s="5" t="s">
        <v>241</v>
      </c>
      <c r="AG268" s="5" t="s">
        <v>246</v>
      </c>
      <c r="AH268" s="4" t="s">
        <v>241</v>
      </c>
      <c r="AI268" s="4" t="s">
        <v>247</v>
      </c>
      <c r="AJ268" s="4" t="s">
        <v>248</v>
      </c>
      <c r="AZ268" s="4" t="s">
        <v>249</v>
      </c>
      <c r="BA268" s="4" t="s">
        <v>241</v>
      </c>
      <c r="BB268" s="4" t="s">
        <v>250</v>
      </c>
      <c r="BC268" s="4" t="s">
        <v>241</v>
      </c>
      <c r="BD268" s="4" t="s">
        <v>252</v>
      </c>
      <c r="BE268" s="4" t="s">
        <v>241</v>
      </c>
      <c r="BI268" s="4" t="s">
        <v>253</v>
      </c>
      <c r="BJ268" s="5" t="s">
        <v>246</v>
      </c>
      <c r="BK268" s="4" t="s">
        <v>254</v>
      </c>
      <c r="BL268" s="4" t="s">
        <v>255</v>
      </c>
      <c r="BM268" s="4" t="s">
        <v>241</v>
      </c>
      <c r="BN268" s="6">
        <f>0</f>
        <v>0</v>
      </c>
      <c r="BO268" s="6">
        <f>0</f>
        <v>0</v>
      </c>
      <c r="BP268" s="4" t="s">
        <v>256</v>
      </c>
      <c r="BQ268" s="4" t="s">
        <v>257</v>
      </c>
      <c r="CE268" s="4" t="s">
        <v>241</v>
      </c>
      <c r="CF268" s="4" t="s">
        <v>241</v>
      </c>
      <c r="CJ268" s="4" t="s">
        <v>258</v>
      </c>
      <c r="CK268" s="4" t="s">
        <v>259</v>
      </c>
      <c r="CL268" s="4" t="s">
        <v>241</v>
      </c>
      <c r="CO268" s="5" t="s">
        <v>260</v>
      </c>
      <c r="CP268" s="4" t="s">
        <v>241</v>
      </c>
      <c r="CQ268" s="4" t="s">
        <v>261</v>
      </c>
      <c r="CR268" s="4" t="s">
        <v>241</v>
      </c>
      <c r="CS268" s="4" t="s">
        <v>241</v>
      </c>
      <c r="CT268" s="4">
        <v>0</v>
      </c>
      <c r="CU268" s="4" t="s">
        <v>262</v>
      </c>
      <c r="CV268" s="4" t="s">
        <v>263</v>
      </c>
      <c r="CW268" s="4" t="s">
        <v>263</v>
      </c>
      <c r="CX268" s="4" t="s">
        <v>264</v>
      </c>
      <c r="DA268" s="6">
        <f>31850</f>
        <v>31850</v>
      </c>
      <c r="DC268" s="4" t="s">
        <v>277</v>
      </c>
      <c r="DD268" s="4" t="s">
        <v>241</v>
      </c>
      <c r="DF268" s="4" t="s">
        <v>287</v>
      </c>
      <c r="DG268" s="6">
        <f>0</f>
        <v>0</v>
      </c>
      <c r="DI268" s="4" t="s">
        <v>287</v>
      </c>
      <c r="DJ268" s="4" t="s">
        <v>241</v>
      </c>
      <c r="DK268" s="4" t="s">
        <v>241</v>
      </c>
      <c r="DL268" s="4" t="s">
        <v>241</v>
      </c>
      <c r="DP268" s="4" t="s">
        <v>241</v>
      </c>
      <c r="DQ268" s="4" t="s">
        <v>241</v>
      </c>
      <c r="DR268" s="4" t="s">
        <v>241</v>
      </c>
      <c r="DS268" s="4" t="s">
        <v>241</v>
      </c>
      <c r="DV268" s="4" t="s">
        <v>4987</v>
      </c>
      <c r="DW268" s="4" t="s">
        <v>2564</v>
      </c>
      <c r="HO268" s="4" t="s">
        <v>267</v>
      </c>
    </row>
    <row r="269" spans="1:223" ht="19.5" customHeight="1" x14ac:dyDescent="0.4">
      <c r="A269" s="4">
        <v>1</v>
      </c>
      <c r="B269" s="4" t="s">
        <v>239</v>
      </c>
      <c r="C269" s="4">
        <v>1003</v>
      </c>
      <c r="D269" s="4">
        <v>1</v>
      </c>
      <c r="E269" s="4">
        <v>1</v>
      </c>
      <c r="F269" s="4" t="s">
        <v>240</v>
      </c>
      <c r="G269" s="4" t="s">
        <v>241</v>
      </c>
      <c r="H269" s="4" t="s">
        <v>241</v>
      </c>
      <c r="I269" s="4" t="s">
        <v>4985</v>
      </c>
      <c r="J269" s="4" t="s">
        <v>4219</v>
      </c>
      <c r="K269" s="4" t="s">
        <v>251</v>
      </c>
      <c r="L269" s="4" t="s">
        <v>4984</v>
      </c>
      <c r="M269" s="5" t="s">
        <v>5001</v>
      </c>
      <c r="N269" s="6">
        <f>76</f>
        <v>76</v>
      </c>
      <c r="O269" s="4" t="s">
        <v>265</v>
      </c>
      <c r="P269" s="6">
        <f>37240</f>
        <v>37240</v>
      </c>
      <c r="Q269" s="6">
        <f>0</f>
        <v>0</v>
      </c>
      <c r="S269" s="6">
        <f>0</f>
        <v>0</v>
      </c>
      <c r="T269" s="6">
        <f>37240</f>
        <v>37240</v>
      </c>
      <c r="U269" s="5" t="s">
        <v>245</v>
      </c>
      <c r="V269" s="4" t="s">
        <v>270</v>
      </c>
      <c r="W269" s="4" t="s">
        <v>271</v>
      </c>
      <c r="X269" s="4" t="s">
        <v>273</v>
      </c>
      <c r="Y269" s="4" t="s">
        <v>241</v>
      </c>
      <c r="AB269" s="4" t="s">
        <v>241</v>
      </c>
      <c r="AD269" s="5" t="s">
        <v>241</v>
      </c>
      <c r="AG269" s="5" t="s">
        <v>246</v>
      </c>
      <c r="AH269" s="4" t="s">
        <v>241</v>
      </c>
      <c r="AI269" s="4" t="s">
        <v>247</v>
      </c>
      <c r="AJ269" s="4" t="s">
        <v>248</v>
      </c>
      <c r="AZ269" s="4" t="s">
        <v>249</v>
      </c>
      <c r="BA269" s="4" t="s">
        <v>241</v>
      </c>
      <c r="BB269" s="4" t="s">
        <v>250</v>
      </c>
      <c r="BC269" s="4" t="s">
        <v>241</v>
      </c>
      <c r="BD269" s="4" t="s">
        <v>252</v>
      </c>
      <c r="BE269" s="4" t="s">
        <v>241</v>
      </c>
      <c r="BI269" s="4" t="s">
        <v>253</v>
      </c>
      <c r="BJ269" s="5" t="s">
        <v>246</v>
      </c>
      <c r="BK269" s="4" t="s">
        <v>254</v>
      </c>
      <c r="BL269" s="4" t="s">
        <v>255</v>
      </c>
      <c r="BM269" s="4" t="s">
        <v>241</v>
      </c>
      <c r="BN269" s="6">
        <f>0</f>
        <v>0</v>
      </c>
      <c r="BO269" s="6">
        <f>0</f>
        <v>0</v>
      </c>
      <c r="BP269" s="4" t="s">
        <v>256</v>
      </c>
      <c r="BQ269" s="4" t="s">
        <v>257</v>
      </c>
      <c r="CE269" s="4" t="s">
        <v>241</v>
      </c>
      <c r="CF269" s="4" t="s">
        <v>241</v>
      </c>
      <c r="CJ269" s="4" t="s">
        <v>258</v>
      </c>
      <c r="CK269" s="4" t="s">
        <v>259</v>
      </c>
      <c r="CL269" s="4" t="s">
        <v>241</v>
      </c>
      <c r="CO269" s="5" t="s">
        <v>260</v>
      </c>
      <c r="CP269" s="4" t="s">
        <v>241</v>
      </c>
      <c r="CQ269" s="4" t="s">
        <v>261</v>
      </c>
      <c r="CR269" s="4" t="s">
        <v>241</v>
      </c>
      <c r="CS269" s="4" t="s">
        <v>241</v>
      </c>
      <c r="CT269" s="4">
        <v>0</v>
      </c>
      <c r="CU269" s="4" t="s">
        <v>262</v>
      </c>
      <c r="CV269" s="4" t="s">
        <v>263</v>
      </c>
      <c r="CW269" s="4" t="s">
        <v>263</v>
      </c>
      <c r="CX269" s="4" t="s">
        <v>264</v>
      </c>
      <c r="DA269" s="6">
        <f>37240</f>
        <v>37240</v>
      </c>
      <c r="DC269" s="4" t="s">
        <v>277</v>
      </c>
      <c r="DD269" s="4" t="s">
        <v>241</v>
      </c>
      <c r="DF269" s="4" t="s">
        <v>287</v>
      </c>
      <c r="DG269" s="6">
        <f>0</f>
        <v>0</v>
      </c>
      <c r="DI269" s="4" t="s">
        <v>287</v>
      </c>
      <c r="DJ269" s="4" t="s">
        <v>241</v>
      </c>
      <c r="DK269" s="4" t="s">
        <v>241</v>
      </c>
      <c r="DL269" s="4" t="s">
        <v>241</v>
      </c>
      <c r="DP269" s="4" t="s">
        <v>241</v>
      </c>
      <c r="DQ269" s="4" t="s">
        <v>241</v>
      </c>
      <c r="DR269" s="4" t="s">
        <v>241</v>
      </c>
      <c r="DS269" s="4" t="s">
        <v>241</v>
      </c>
      <c r="DV269" s="4" t="s">
        <v>4987</v>
      </c>
      <c r="DW269" s="4" t="s">
        <v>1779</v>
      </c>
      <c r="HO269" s="4" t="s">
        <v>267</v>
      </c>
    </row>
    <row r="270" spans="1:223" ht="19.5" customHeight="1" x14ac:dyDescent="0.4">
      <c r="A270" s="4">
        <v>1</v>
      </c>
      <c r="B270" s="4" t="s">
        <v>239</v>
      </c>
      <c r="C270" s="4">
        <v>1004</v>
      </c>
      <c r="D270" s="4">
        <v>1</v>
      </c>
      <c r="E270" s="4">
        <v>1</v>
      </c>
      <c r="F270" s="4" t="s">
        <v>240</v>
      </c>
      <c r="G270" s="4" t="s">
        <v>241</v>
      </c>
      <c r="H270" s="4" t="s">
        <v>241</v>
      </c>
      <c r="I270" s="4" t="s">
        <v>4985</v>
      </c>
      <c r="J270" s="4" t="s">
        <v>4219</v>
      </c>
      <c r="K270" s="4" t="s">
        <v>251</v>
      </c>
      <c r="L270" s="4" t="s">
        <v>4984</v>
      </c>
      <c r="M270" s="5" t="s">
        <v>5002</v>
      </c>
      <c r="N270" s="6">
        <f>204</f>
        <v>204</v>
      </c>
      <c r="O270" s="4" t="s">
        <v>265</v>
      </c>
      <c r="P270" s="6">
        <f>99960</f>
        <v>99960</v>
      </c>
      <c r="Q270" s="6">
        <f>0</f>
        <v>0</v>
      </c>
      <c r="S270" s="6">
        <f>0</f>
        <v>0</v>
      </c>
      <c r="T270" s="6">
        <f>99960</f>
        <v>99960</v>
      </c>
      <c r="U270" s="5" t="s">
        <v>245</v>
      </c>
      <c r="V270" s="4" t="s">
        <v>270</v>
      </c>
      <c r="W270" s="4" t="s">
        <v>271</v>
      </c>
      <c r="X270" s="4" t="s">
        <v>273</v>
      </c>
      <c r="Y270" s="4" t="s">
        <v>241</v>
      </c>
      <c r="AB270" s="4" t="s">
        <v>241</v>
      </c>
      <c r="AD270" s="5" t="s">
        <v>241</v>
      </c>
      <c r="AG270" s="5" t="s">
        <v>246</v>
      </c>
      <c r="AH270" s="4" t="s">
        <v>241</v>
      </c>
      <c r="AI270" s="4" t="s">
        <v>247</v>
      </c>
      <c r="AJ270" s="4" t="s">
        <v>248</v>
      </c>
      <c r="AZ270" s="4" t="s">
        <v>249</v>
      </c>
      <c r="BA270" s="4" t="s">
        <v>241</v>
      </c>
      <c r="BB270" s="4" t="s">
        <v>250</v>
      </c>
      <c r="BC270" s="4" t="s">
        <v>241</v>
      </c>
      <c r="BD270" s="4" t="s">
        <v>252</v>
      </c>
      <c r="BE270" s="4" t="s">
        <v>241</v>
      </c>
      <c r="BI270" s="4" t="s">
        <v>253</v>
      </c>
      <c r="BJ270" s="5" t="s">
        <v>246</v>
      </c>
      <c r="BK270" s="4" t="s">
        <v>254</v>
      </c>
      <c r="BL270" s="4" t="s">
        <v>255</v>
      </c>
      <c r="BM270" s="4" t="s">
        <v>241</v>
      </c>
      <c r="BN270" s="6">
        <f>0</f>
        <v>0</v>
      </c>
      <c r="BO270" s="6">
        <f>0</f>
        <v>0</v>
      </c>
      <c r="BP270" s="4" t="s">
        <v>256</v>
      </c>
      <c r="BQ270" s="4" t="s">
        <v>257</v>
      </c>
      <c r="CE270" s="4" t="s">
        <v>241</v>
      </c>
      <c r="CF270" s="4" t="s">
        <v>241</v>
      </c>
      <c r="CJ270" s="4" t="s">
        <v>258</v>
      </c>
      <c r="CK270" s="4" t="s">
        <v>259</v>
      </c>
      <c r="CL270" s="4" t="s">
        <v>241</v>
      </c>
      <c r="CO270" s="5" t="s">
        <v>260</v>
      </c>
      <c r="CP270" s="4" t="s">
        <v>241</v>
      </c>
      <c r="CQ270" s="4" t="s">
        <v>261</v>
      </c>
      <c r="CR270" s="4" t="s">
        <v>241</v>
      </c>
      <c r="CS270" s="4" t="s">
        <v>241</v>
      </c>
      <c r="CT270" s="4">
        <v>0</v>
      </c>
      <c r="CU270" s="4" t="s">
        <v>262</v>
      </c>
      <c r="CV270" s="4" t="s">
        <v>263</v>
      </c>
      <c r="CW270" s="4" t="s">
        <v>263</v>
      </c>
      <c r="CX270" s="4" t="s">
        <v>264</v>
      </c>
      <c r="DA270" s="6">
        <f>99960</f>
        <v>99960</v>
      </c>
      <c r="DC270" s="4" t="s">
        <v>277</v>
      </c>
      <c r="DD270" s="4" t="s">
        <v>241</v>
      </c>
      <c r="DF270" s="4" t="s">
        <v>287</v>
      </c>
      <c r="DG270" s="6">
        <f>0</f>
        <v>0</v>
      </c>
      <c r="DI270" s="4" t="s">
        <v>287</v>
      </c>
      <c r="DJ270" s="4" t="s">
        <v>241</v>
      </c>
      <c r="DK270" s="4" t="s">
        <v>241</v>
      </c>
      <c r="DL270" s="4" t="s">
        <v>241</v>
      </c>
      <c r="DP270" s="4" t="s">
        <v>241</v>
      </c>
      <c r="DQ270" s="4" t="s">
        <v>241</v>
      </c>
      <c r="DR270" s="4" t="s">
        <v>241</v>
      </c>
      <c r="DS270" s="4" t="s">
        <v>241</v>
      </c>
      <c r="DV270" s="4" t="s">
        <v>4987</v>
      </c>
      <c r="DW270" s="4" t="s">
        <v>1803</v>
      </c>
      <c r="HO270" s="4" t="s">
        <v>267</v>
      </c>
    </row>
    <row r="271" spans="1:223" ht="19.5" customHeight="1" x14ac:dyDescent="0.4">
      <c r="A271" s="4">
        <v>1</v>
      </c>
      <c r="B271" s="4" t="s">
        <v>239</v>
      </c>
      <c r="C271" s="4">
        <v>1005</v>
      </c>
      <c r="D271" s="4">
        <v>1</v>
      </c>
      <c r="E271" s="4">
        <v>1</v>
      </c>
      <c r="F271" s="4" t="s">
        <v>240</v>
      </c>
      <c r="G271" s="4" t="s">
        <v>241</v>
      </c>
      <c r="H271" s="4" t="s">
        <v>241</v>
      </c>
      <c r="I271" s="4" t="s">
        <v>4985</v>
      </c>
      <c r="J271" s="4" t="s">
        <v>4219</v>
      </c>
      <c r="K271" s="4" t="s">
        <v>251</v>
      </c>
      <c r="L271" s="4" t="s">
        <v>4984</v>
      </c>
      <c r="M271" s="5" t="s">
        <v>5490</v>
      </c>
      <c r="N271" s="6">
        <f>576</f>
        <v>576</v>
      </c>
      <c r="O271" s="4" t="s">
        <v>265</v>
      </c>
      <c r="P271" s="6">
        <f>282240</f>
        <v>282240</v>
      </c>
      <c r="Q271" s="6">
        <f>0</f>
        <v>0</v>
      </c>
      <c r="S271" s="6">
        <f>0</f>
        <v>0</v>
      </c>
      <c r="T271" s="6">
        <f>282240</f>
        <v>282240</v>
      </c>
      <c r="U271" s="5" t="s">
        <v>245</v>
      </c>
      <c r="V271" s="4" t="s">
        <v>270</v>
      </c>
      <c r="W271" s="4" t="s">
        <v>271</v>
      </c>
      <c r="X271" s="4" t="s">
        <v>273</v>
      </c>
      <c r="Y271" s="4" t="s">
        <v>241</v>
      </c>
      <c r="AB271" s="4" t="s">
        <v>241</v>
      </c>
      <c r="AD271" s="5" t="s">
        <v>241</v>
      </c>
      <c r="AG271" s="5" t="s">
        <v>246</v>
      </c>
      <c r="AH271" s="4" t="s">
        <v>241</v>
      </c>
      <c r="AI271" s="4" t="s">
        <v>247</v>
      </c>
      <c r="AJ271" s="4" t="s">
        <v>248</v>
      </c>
      <c r="AZ271" s="4" t="s">
        <v>249</v>
      </c>
      <c r="BA271" s="4" t="s">
        <v>241</v>
      </c>
      <c r="BB271" s="4" t="s">
        <v>250</v>
      </c>
      <c r="BC271" s="4" t="s">
        <v>241</v>
      </c>
      <c r="BD271" s="4" t="s">
        <v>252</v>
      </c>
      <c r="BE271" s="4" t="s">
        <v>241</v>
      </c>
      <c r="BI271" s="4" t="s">
        <v>253</v>
      </c>
      <c r="BJ271" s="5" t="s">
        <v>246</v>
      </c>
      <c r="BK271" s="4" t="s">
        <v>254</v>
      </c>
      <c r="BL271" s="4" t="s">
        <v>255</v>
      </c>
      <c r="BM271" s="4" t="s">
        <v>241</v>
      </c>
      <c r="BN271" s="6">
        <f>0</f>
        <v>0</v>
      </c>
      <c r="BO271" s="6">
        <f>0</f>
        <v>0</v>
      </c>
      <c r="BP271" s="4" t="s">
        <v>256</v>
      </c>
      <c r="BQ271" s="4" t="s">
        <v>257</v>
      </c>
      <c r="CE271" s="4" t="s">
        <v>241</v>
      </c>
      <c r="CF271" s="4" t="s">
        <v>241</v>
      </c>
      <c r="CJ271" s="4" t="s">
        <v>258</v>
      </c>
      <c r="CK271" s="4" t="s">
        <v>259</v>
      </c>
      <c r="CL271" s="4" t="s">
        <v>241</v>
      </c>
      <c r="CO271" s="5" t="s">
        <v>260</v>
      </c>
      <c r="CP271" s="4" t="s">
        <v>241</v>
      </c>
      <c r="CQ271" s="4" t="s">
        <v>261</v>
      </c>
      <c r="CR271" s="4" t="s">
        <v>241</v>
      </c>
      <c r="CS271" s="4" t="s">
        <v>241</v>
      </c>
      <c r="CT271" s="4">
        <v>0</v>
      </c>
      <c r="CU271" s="4" t="s">
        <v>262</v>
      </c>
      <c r="CV271" s="4" t="s">
        <v>263</v>
      </c>
      <c r="CW271" s="4" t="s">
        <v>263</v>
      </c>
      <c r="CX271" s="4" t="s">
        <v>264</v>
      </c>
      <c r="DA271" s="6">
        <f>282240</f>
        <v>282240</v>
      </c>
      <c r="DC271" s="4" t="s">
        <v>277</v>
      </c>
      <c r="DD271" s="4" t="s">
        <v>241</v>
      </c>
      <c r="DF271" s="4" t="s">
        <v>287</v>
      </c>
      <c r="DG271" s="6">
        <f>0</f>
        <v>0</v>
      </c>
      <c r="DI271" s="4" t="s">
        <v>287</v>
      </c>
      <c r="DJ271" s="4" t="s">
        <v>241</v>
      </c>
      <c r="DK271" s="4" t="s">
        <v>241</v>
      </c>
      <c r="DL271" s="4" t="s">
        <v>241</v>
      </c>
      <c r="DP271" s="4" t="s">
        <v>241</v>
      </c>
      <c r="DQ271" s="4" t="s">
        <v>241</v>
      </c>
      <c r="DR271" s="4" t="s">
        <v>241</v>
      </c>
      <c r="DS271" s="4" t="s">
        <v>241</v>
      </c>
      <c r="DV271" s="4" t="s">
        <v>4987</v>
      </c>
      <c r="DW271" s="4" t="s">
        <v>1777</v>
      </c>
      <c r="HO271" s="4" t="s">
        <v>267</v>
      </c>
    </row>
    <row r="272" spans="1:223" ht="19.5" customHeight="1" x14ac:dyDescent="0.4">
      <c r="A272" s="4">
        <v>1</v>
      </c>
      <c r="B272" s="4" t="s">
        <v>239</v>
      </c>
      <c r="C272" s="4">
        <v>1006</v>
      </c>
      <c r="D272" s="4">
        <v>1</v>
      </c>
      <c r="E272" s="4">
        <v>1</v>
      </c>
      <c r="F272" s="4" t="s">
        <v>240</v>
      </c>
      <c r="G272" s="4" t="s">
        <v>241</v>
      </c>
      <c r="H272" s="4" t="s">
        <v>241</v>
      </c>
      <c r="I272" s="4" t="s">
        <v>4985</v>
      </c>
      <c r="J272" s="4" t="s">
        <v>4219</v>
      </c>
      <c r="K272" s="4" t="s">
        <v>251</v>
      </c>
      <c r="L272" s="4" t="s">
        <v>4984</v>
      </c>
      <c r="M272" s="5" t="s">
        <v>4986</v>
      </c>
      <c r="N272" s="6">
        <f>52</f>
        <v>52</v>
      </c>
      <c r="O272" s="4" t="s">
        <v>265</v>
      </c>
      <c r="P272" s="6">
        <f>25480</f>
        <v>25480</v>
      </c>
      <c r="Q272" s="6">
        <f>0</f>
        <v>0</v>
      </c>
      <c r="S272" s="6">
        <f>0</f>
        <v>0</v>
      </c>
      <c r="T272" s="6">
        <f>25480</f>
        <v>25480</v>
      </c>
      <c r="U272" s="5" t="s">
        <v>245</v>
      </c>
      <c r="V272" s="4" t="s">
        <v>270</v>
      </c>
      <c r="W272" s="4" t="s">
        <v>271</v>
      </c>
      <c r="X272" s="4" t="s">
        <v>273</v>
      </c>
      <c r="Y272" s="4" t="s">
        <v>241</v>
      </c>
      <c r="AB272" s="4" t="s">
        <v>241</v>
      </c>
      <c r="AD272" s="5" t="s">
        <v>241</v>
      </c>
      <c r="AG272" s="5" t="s">
        <v>246</v>
      </c>
      <c r="AH272" s="4" t="s">
        <v>241</v>
      </c>
      <c r="AI272" s="4" t="s">
        <v>247</v>
      </c>
      <c r="AJ272" s="4" t="s">
        <v>248</v>
      </c>
      <c r="AZ272" s="4" t="s">
        <v>249</v>
      </c>
      <c r="BA272" s="4" t="s">
        <v>241</v>
      </c>
      <c r="BB272" s="4" t="s">
        <v>250</v>
      </c>
      <c r="BC272" s="4" t="s">
        <v>241</v>
      </c>
      <c r="BD272" s="4" t="s">
        <v>252</v>
      </c>
      <c r="BE272" s="4" t="s">
        <v>241</v>
      </c>
      <c r="BI272" s="4" t="s">
        <v>253</v>
      </c>
      <c r="BJ272" s="5" t="s">
        <v>246</v>
      </c>
      <c r="BK272" s="4" t="s">
        <v>254</v>
      </c>
      <c r="BL272" s="4" t="s">
        <v>255</v>
      </c>
      <c r="BM272" s="4" t="s">
        <v>241</v>
      </c>
      <c r="BN272" s="6">
        <f>0</f>
        <v>0</v>
      </c>
      <c r="BO272" s="6">
        <f>0</f>
        <v>0</v>
      </c>
      <c r="BP272" s="4" t="s">
        <v>256</v>
      </c>
      <c r="BQ272" s="4" t="s">
        <v>257</v>
      </c>
      <c r="CE272" s="4" t="s">
        <v>241</v>
      </c>
      <c r="CF272" s="4" t="s">
        <v>241</v>
      </c>
      <c r="CJ272" s="4" t="s">
        <v>258</v>
      </c>
      <c r="CK272" s="4" t="s">
        <v>259</v>
      </c>
      <c r="CL272" s="4" t="s">
        <v>241</v>
      </c>
      <c r="CO272" s="5" t="s">
        <v>260</v>
      </c>
      <c r="CP272" s="4" t="s">
        <v>241</v>
      </c>
      <c r="CQ272" s="4" t="s">
        <v>261</v>
      </c>
      <c r="CR272" s="4" t="s">
        <v>241</v>
      </c>
      <c r="CS272" s="4" t="s">
        <v>241</v>
      </c>
      <c r="CT272" s="4">
        <v>0</v>
      </c>
      <c r="CU272" s="4" t="s">
        <v>262</v>
      </c>
      <c r="CV272" s="4" t="s">
        <v>263</v>
      </c>
      <c r="CW272" s="4" t="s">
        <v>263</v>
      </c>
      <c r="CX272" s="4" t="s">
        <v>264</v>
      </c>
      <c r="DA272" s="6">
        <f>25480</f>
        <v>25480</v>
      </c>
      <c r="DC272" s="4" t="s">
        <v>277</v>
      </c>
      <c r="DD272" s="4" t="s">
        <v>241</v>
      </c>
      <c r="DF272" s="4" t="s">
        <v>287</v>
      </c>
      <c r="DG272" s="6">
        <f>0</f>
        <v>0</v>
      </c>
      <c r="DI272" s="4" t="s">
        <v>287</v>
      </c>
      <c r="DJ272" s="4" t="s">
        <v>241</v>
      </c>
      <c r="DK272" s="4" t="s">
        <v>241</v>
      </c>
      <c r="DL272" s="4" t="s">
        <v>241</v>
      </c>
      <c r="DP272" s="4" t="s">
        <v>241</v>
      </c>
      <c r="DQ272" s="4" t="s">
        <v>241</v>
      </c>
      <c r="DR272" s="4" t="s">
        <v>241</v>
      </c>
      <c r="DS272" s="4" t="s">
        <v>241</v>
      </c>
      <c r="DV272" s="4" t="s">
        <v>4987</v>
      </c>
      <c r="DW272" s="4" t="s">
        <v>1775</v>
      </c>
      <c r="HO272" s="4" t="s">
        <v>267</v>
      </c>
    </row>
    <row r="273" spans="1:223" ht="19.5" customHeight="1" x14ac:dyDescent="0.4">
      <c r="A273" s="4">
        <v>1</v>
      </c>
      <c r="B273" s="4" t="s">
        <v>239</v>
      </c>
      <c r="C273" s="4">
        <v>1007</v>
      </c>
      <c r="D273" s="4">
        <v>1</v>
      </c>
      <c r="E273" s="4">
        <v>1</v>
      </c>
      <c r="F273" s="4" t="s">
        <v>240</v>
      </c>
      <c r="G273" s="4" t="s">
        <v>241</v>
      </c>
      <c r="H273" s="4" t="s">
        <v>241</v>
      </c>
      <c r="I273" s="4" t="s">
        <v>4985</v>
      </c>
      <c r="J273" s="4" t="s">
        <v>4219</v>
      </c>
      <c r="K273" s="4" t="s">
        <v>251</v>
      </c>
      <c r="L273" s="4" t="s">
        <v>4984</v>
      </c>
      <c r="M273" s="5" t="s">
        <v>5004</v>
      </c>
      <c r="N273" s="6">
        <f>235</f>
        <v>235</v>
      </c>
      <c r="O273" s="4" t="s">
        <v>265</v>
      </c>
      <c r="P273" s="6">
        <f>115150</f>
        <v>115150</v>
      </c>
      <c r="Q273" s="6">
        <f>0</f>
        <v>0</v>
      </c>
      <c r="S273" s="6">
        <f>0</f>
        <v>0</v>
      </c>
      <c r="T273" s="6">
        <f>115150</f>
        <v>115150</v>
      </c>
      <c r="U273" s="5" t="s">
        <v>245</v>
      </c>
      <c r="V273" s="4" t="s">
        <v>270</v>
      </c>
      <c r="W273" s="4" t="s">
        <v>271</v>
      </c>
      <c r="X273" s="4" t="s">
        <v>273</v>
      </c>
      <c r="Y273" s="4" t="s">
        <v>241</v>
      </c>
      <c r="AB273" s="4" t="s">
        <v>241</v>
      </c>
      <c r="AD273" s="5" t="s">
        <v>241</v>
      </c>
      <c r="AG273" s="5" t="s">
        <v>246</v>
      </c>
      <c r="AH273" s="4" t="s">
        <v>241</v>
      </c>
      <c r="AI273" s="4" t="s">
        <v>247</v>
      </c>
      <c r="AJ273" s="4" t="s">
        <v>248</v>
      </c>
      <c r="AZ273" s="4" t="s">
        <v>249</v>
      </c>
      <c r="BA273" s="4" t="s">
        <v>241</v>
      </c>
      <c r="BB273" s="4" t="s">
        <v>250</v>
      </c>
      <c r="BC273" s="4" t="s">
        <v>241</v>
      </c>
      <c r="BD273" s="4" t="s">
        <v>252</v>
      </c>
      <c r="BE273" s="4" t="s">
        <v>241</v>
      </c>
      <c r="BI273" s="4" t="s">
        <v>253</v>
      </c>
      <c r="BJ273" s="5" t="s">
        <v>246</v>
      </c>
      <c r="BK273" s="4" t="s">
        <v>254</v>
      </c>
      <c r="BL273" s="4" t="s">
        <v>255</v>
      </c>
      <c r="BM273" s="4" t="s">
        <v>241</v>
      </c>
      <c r="BN273" s="6">
        <f>0</f>
        <v>0</v>
      </c>
      <c r="BO273" s="6">
        <f>0</f>
        <v>0</v>
      </c>
      <c r="BP273" s="4" t="s">
        <v>256</v>
      </c>
      <c r="BQ273" s="4" t="s">
        <v>257</v>
      </c>
      <c r="CE273" s="4" t="s">
        <v>241</v>
      </c>
      <c r="CF273" s="4" t="s">
        <v>241</v>
      </c>
      <c r="CJ273" s="4" t="s">
        <v>258</v>
      </c>
      <c r="CK273" s="4" t="s">
        <v>259</v>
      </c>
      <c r="CL273" s="4" t="s">
        <v>241</v>
      </c>
      <c r="CO273" s="5" t="s">
        <v>260</v>
      </c>
      <c r="CP273" s="4" t="s">
        <v>241</v>
      </c>
      <c r="CQ273" s="4" t="s">
        <v>261</v>
      </c>
      <c r="CR273" s="4" t="s">
        <v>241</v>
      </c>
      <c r="CS273" s="4" t="s">
        <v>241</v>
      </c>
      <c r="CT273" s="4">
        <v>0</v>
      </c>
      <c r="CU273" s="4" t="s">
        <v>262</v>
      </c>
      <c r="CV273" s="4" t="s">
        <v>263</v>
      </c>
      <c r="CW273" s="4" t="s">
        <v>263</v>
      </c>
      <c r="CX273" s="4" t="s">
        <v>264</v>
      </c>
      <c r="DA273" s="6">
        <f>115150</f>
        <v>115150</v>
      </c>
      <c r="DC273" s="4" t="s">
        <v>277</v>
      </c>
      <c r="DD273" s="4" t="s">
        <v>241</v>
      </c>
      <c r="DF273" s="4" t="s">
        <v>287</v>
      </c>
      <c r="DG273" s="6">
        <f>0</f>
        <v>0</v>
      </c>
      <c r="DI273" s="4" t="s">
        <v>287</v>
      </c>
      <c r="DJ273" s="4" t="s">
        <v>241</v>
      </c>
      <c r="DK273" s="4" t="s">
        <v>241</v>
      </c>
      <c r="DL273" s="4" t="s">
        <v>241</v>
      </c>
      <c r="DP273" s="4" t="s">
        <v>241</v>
      </c>
      <c r="DQ273" s="4" t="s">
        <v>241</v>
      </c>
      <c r="DR273" s="4" t="s">
        <v>241</v>
      </c>
      <c r="DS273" s="4" t="s">
        <v>241</v>
      </c>
      <c r="DV273" s="4" t="s">
        <v>4987</v>
      </c>
      <c r="DW273" s="4" t="s">
        <v>1773</v>
      </c>
      <c r="HO273" s="4" t="s">
        <v>267</v>
      </c>
    </row>
    <row r="274" spans="1:223" ht="19.5" customHeight="1" x14ac:dyDescent="0.4">
      <c r="A274" s="4">
        <v>1</v>
      </c>
      <c r="B274" s="4" t="s">
        <v>239</v>
      </c>
      <c r="C274" s="4">
        <v>1008</v>
      </c>
      <c r="D274" s="4">
        <v>1</v>
      </c>
      <c r="E274" s="4">
        <v>1</v>
      </c>
      <c r="F274" s="4" t="s">
        <v>240</v>
      </c>
      <c r="G274" s="4" t="s">
        <v>241</v>
      </c>
      <c r="H274" s="4" t="s">
        <v>241</v>
      </c>
      <c r="I274" s="4" t="s">
        <v>4985</v>
      </c>
      <c r="J274" s="4" t="s">
        <v>4219</v>
      </c>
      <c r="K274" s="4" t="s">
        <v>251</v>
      </c>
      <c r="L274" s="4" t="s">
        <v>4984</v>
      </c>
      <c r="M274" s="5" t="s">
        <v>5005</v>
      </c>
      <c r="N274" s="6">
        <f>450</f>
        <v>450</v>
      </c>
      <c r="O274" s="4" t="s">
        <v>265</v>
      </c>
      <c r="P274" s="6">
        <f>220500</f>
        <v>220500</v>
      </c>
      <c r="Q274" s="6">
        <f>0</f>
        <v>0</v>
      </c>
      <c r="S274" s="6">
        <f>0</f>
        <v>0</v>
      </c>
      <c r="T274" s="6">
        <f>220500</f>
        <v>220500</v>
      </c>
      <c r="U274" s="5" t="s">
        <v>245</v>
      </c>
      <c r="V274" s="4" t="s">
        <v>270</v>
      </c>
      <c r="W274" s="4" t="s">
        <v>271</v>
      </c>
      <c r="X274" s="4" t="s">
        <v>273</v>
      </c>
      <c r="Y274" s="4" t="s">
        <v>241</v>
      </c>
      <c r="AB274" s="4" t="s">
        <v>241</v>
      </c>
      <c r="AD274" s="5" t="s">
        <v>241</v>
      </c>
      <c r="AG274" s="5" t="s">
        <v>246</v>
      </c>
      <c r="AH274" s="4" t="s">
        <v>241</v>
      </c>
      <c r="AI274" s="4" t="s">
        <v>247</v>
      </c>
      <c r="AJ274" s="4" t="s">
        <v>248</v>
      </c>
      <c r="AZ274" s="4" t="s">
        <v>249</v>
      </c>
      <c r="BA274" s="4" t="s">
        <v>241</v>
      </c>
      <c r="BB274" s="4" t="s">
        <v>250</v>
      </c>
      <c r="BC274" s="4" t="s">
        <v>241</v>
      </c>
      <c r="BD274" s="4" t="s">
        <v>252</v>
      </c>
      <c r="BE274" s="4" t="s">
        <v>241</v>
      </c>
      <c r="BI274" s="4" t="s">
        <v>253</v>
      </c>
      <c r="BJ274" s="5" t="s">
        <v>246</v>
      </c>
      <c r="BK274" s="4" t="s">
        <v>254</v>
      </c>
      <c r="BL274" s="4" t="s">
        <v>255</v>
      </c>
      <c r="BM274" s="4" t="s">
        <v>241</v>
      </c>
      <c r="BN274" s="6">
        <f>0</f>
        <v>0</v>
      </c>
      <c r="BO274" s="6">
        <f>0</f>
        <v>0</v>
      </c>
      <c r="BP274" s="4" t="s">
        <v>256</v>
      </c>
      <c r="BQ274" s="4" t="s">
        <v>257</v>
      </c>
      <c r="CE274" s="4" t="s">
        <v>241</v>
      </c>
      <c r="CF274" s="4" t="s">
        <v>241</v>
      </c>
      <c r="CJ274" s="4" t="s">
        <v>258</v>
      </c>
      <c r="CK274" s="4" t="s">
        <v>259</v>
      </c>
      <c r="CL274" s="4" t="s">
        <v>241</v>
      </c>
      <c r="CO274" s="5" t="s">
        <v>260</v>
      </c>
      <c r="CP274" s="4" t="s">
        <v>241</v>
      </c>
      <c r="CQ274" s="4" t="s">
        <v>261</v>
      </c>
      <c r="CR274" s="4" t="s">
        <v>241</v>
      </c>
      <c r="CS274" s="4" t="s">
        <v>241</v>
      </c>
      <c r="CT274" s="4">
        <v>0</v>
      </c>
      <c r="CU274" s="4" t="s">
        <v>262</v>
      </c>
      <c r="CV274" s="4" t="s">
        <v>263</v>
      </c>
      <c r="CW274" s="4" t="s">
        <v>263</v>
      </c>
      <c r="CX274" s="4" t="s">
        <v>264</v>
      </c>
      <c r="DA274" s="6">
        <f>220500</f>
        <v>220500</v>
      </c>
      <c r="DC274" s="4" t="s">
        <v>277</v>
      </c>
      <c r="DD274" s="4" t="s">
        <v>241</v>
      </c>
      <c r="DF274" s="4" t="s">
        <v>287</v>
      </c>
      <c r="DG274" s="6">
        <f>0</f>
        <v>0</v>
      </c>
      <c r="DI274" s="4" t="s">
        <v>287</v>
      </c>
      <c r="DJ274" s="4" t="s">
        <v>241</v>
      </c>
      <c r="DK274" s="4" t="s">
        <v>241</v>
      </c>
      <c r="DL274" s="4" t="s">
        <v>241</v>
      </c>
      <c r="DP274" s="4" t="s">
        <v>241</v>
      </c>
      <c r="DQ274" s="4" t="s">
        <v>241</v>
      </c>
      <c r="DR274" s="4" t="s">
        <v>241</v>
      </c>
      <c r="DS274" s="4" t="s">
        <v>241</v>
      </c>
      <c r="DV274" s="4" t="s">
        <v>4987</v>
      </c>
      <c r="DW274" s="4" t="s">
        <v>2076</v>
      </c>
      <c r="HO274" s="4" t="s">
        <v>267</v>
      </c>
    </row>
    <row r="275" spans="1:223" ht="19.5" customHeight="1" x14ac:dyDescent="0.4">
      <c r="A275" s="4">
        <v>1</v>
      </c>
      <c r="B275" s="4" t="s">
        <v>239</v>
      </c>
      <c r="C275" s="4">
        <v>1009</v>
      </c>
      <c r="D275" s="4">
        <v>1</v>
      </c>
      <c r="E275" s="4">
        <v>1</v>
      </c>
      <c r="F275" s="4" t="s">
        <v>240</v>
      </c>
      <c r="G275" s="4" t="s">
        <v>241</v>
      </c>
      <c r="H275" s="4" t="s">
        <v>241</v>
      </c>
      <c r="I275" s="4" t="s">
        <v>4985</v>
      </c>
      <c r="J275" s="4" t="s">
        <v>4219</v>
      </c>
      <c r="K275" s="4" t="s">
        <v>251</v>
      </c>
      <c r="L275" s="4" t="s">
        <v>4984</v>
      </c>
      <c r="M275" s="5" t="s">
        <v>5006</v>
      </c>
      <c r="N275" s="6">
        <f>11</f>
        <v>11</v>
      </c>
      <c r="O275" s="4" t="s">
        <v>265</v>
      </c>
      <c r="P275" s="6">
        <f>5390</f>
        <v>5390</v>
      </c>
      <c r="Q275" s="6">
        <f>0</f>
        <v>0</v>
      </c>
      <c r="S275" s="6">
        <f>0</f>
        <v>0</v>
      </c>
      <c r="T275" s="6">
        <f>5390</f>
        <v>5390</v>
      </c>
      <c r="U275" s="5" t="s">
        <v>245</v>
      </c>
      <c r="V275" s="4" t="s">
        <v>270</v>
      </c>
      <c r="W275" s="4" t="s">
        <v>271</v>
      </c>
      <c r="X275" s="4" t="s">
        <v>273</v>
      </c>
      <c r="Y275" s="4" t="s">
        <v>241</v>
      </c>
      <c r="AB275" s="4" t="s">
        <v>241</v>
      </c>
      <c r="AD275" s="5" t="s">
        <v>241</v>
      </c>
      <c r="AG275" s="5" t="s">
        <v>246</v>
      </c>
      <c r="AH275" s="4" t="s">
        <v>241</v>
      </c>
      <c r="AI275" s="4" t="s">
        <v>247</v>
      </c>
      <c r="AJ275" s="4" t="s">
        <v>248</v>
      </c>
      <c r="AZ275" s="4" t="s">
        <v>249</v>
      </c>
      <c r="BA275" s="4" t="s">
        <v>241</v>
      </c>
      <c r="BB275" s="4" t="s">
        <v>250</v>
      </c>
      <c r="BC275" s="4" t="s">
        <v>241</v>
      </c>
      <c r="BD275" s="4" t="s">
        <v>252</v>
      </c>
      <c r="BE275" s="4" t="s">
        <v>241</v>
      </c>
      <c r="BI275" s="4" t="s">
        <v>253</v>
      </c>
      <c r="BJ275" s="5" t="s">
        <v>246</v>
      </c>
      <c r="BK275" s="4" t="s">
        <v>254</v>
      </c>
      <c r="BL275" s="4" t="s">
        <v>255</v>
      </c>
      <c r="BM275" s="4" t="s">
        <v>241</v>
      </c>
      <c r="BN275" s="6">
        <f>0</f>
        <v>0</v>
      </c>
      <c r="BO275" s="6">
        <f>0</f>
        <v>0</v>
      </c>
      <c r="BP275" s="4" t="s">
        <v>256</v>
      </c>
      <c r="BQ275" s="4" t="s">
        <v>257</v>
      </c>
      <c r="CE275" s="4" t="s">
        <v>241</v>
      </c>
      <c r="CF275" s="4" t="s">
        <v>241</v>
      </c>
      <c r="CJ275" s="4" t="s">
        <v>258</v>
      </c>
      <c r="CK275" s="4" t="s">
        <v>259</v>
      </c>
      <c r="CL275" s="4" t="s">
        <v>241</v>
      </c>
      <c r="CO275" s="5" t="s">
        <v>260</v>
      </c>
      <c r="CP275" s="4" t="s">
        <v>241</v>
      </c>
      <c r="CQ275" s="4" t="s">
        <v>261</v>
      </c>
      <c r="CR275" s="4" t="s">
        <v>241</v>
      </c>
      <c r="CS275" s="4" t="s">
        <v>241</v>
      </c>
      <c r="CT275" s="4">
        <v>0</v>
      </c>
      <c r="CU275" s="4" t="s">
        <v>262</v>
      </c>
      <c r="CV275" s="4" t="s">
        <v>263</v>
      </c>
      <c r="CW275" s="4" t="s">
        <v>263</v>
      </c>
      <c r="CX275" s="4" t="s">
        <v>264</v>
      </c>
      <c r="DA275" s="6">
        <f>5390</f>
        <v>5390</v>
      </c>
      <c r="DC275" s="4" t="s">
        <v>277</v>
      </c>
      <c r="DD275" s="4" t="s">
        <v>241</v>
      </c>
      <c r="DF275" s="4" t="s">
        <v>287</v>
      </c>
      <c r="DG275" s="6">
        <f>0</f>
        <v>0</v>
      </c>
      <c r="DI275" s="4" t="s">
        <v>287</v>
      </c>
      <c r="DJ275" s="4" t="s">
        <v>241</v>
      </c>
      <c r="DK275" s="4" t="s">
        <v>241</v>
      </c>
      <c r="DL275" s="4" t="s">
        <v>241</v>
      </c>
      <c r="DP275" s="4" t="s">
        <v>241</v>
      </c>
      <c r="DQ275" s="4" t="s">
        <v>241</v>
      </c>
      <c r="DR275" s="4" t="s">
        <v>241</v>
      </c>
      <c r="DS275" s="4" t="s">
        <v>241</v>
      </c>
      <c r="DV275" s="4" t="s">
        <v>4987</v>
      </c>
      <c r="DW275" s="4" t="s">
        <v>1771</v>
      </c>
      <c r="HO275" s="4" t="s">
        <v>267</v>
      </c>
    </row>
    <row r="276" spans="1:223" ht="19.5" customHeight="1" x14ac:dyDescent="0.4">
      <c r="A276" s="4">
        <v>1</v>
      </c>
      <c r="B276" s="4" t="s">
        <v>239</v>
      </c>
      <c r="C276" s="4">
        <v>1010</v>
      </c>
      <c r="D276" s="4">
        <v>1</v>
      </c>
      <c r="E276" s="4">
        <v>1</v>
      </c>
      <c r="F276" s="4" t="s">
        <v>240</v>
      </c>
      <c r="G276" s="4" t="s">
        <v>241</v>
      </c>
      <c r="H276" s="4" t="s">
        <v>241</v>
      </c>
      <c r="I276" s="4" t="s">
        <v>4985</v>
      </c>
      <c r="J276" s="4" t="s">
        <v>4219</v>
      </c>
      <c r="K276" s="4" t="s">
        <v>251</v>
      </c>
      <c r="L276" s="4" t="s">
        <v>4984</v>
      </c>
      <c r="M276" s="5" t="s">
        <v>5491</v>
      </c>
      <c r="N276" s="6">
        <f>362</f>
        <v>362</v>
      </c>
      <c r="O276" s="4" t="s">
        <v>265</v>
      </c>
      <c r="P276" s="6">
        <f>177380</f>
        <v>177380</v>
      </c>
      <c r="Q276" s="6">
        <f>0</f>
        <v>0</v>
      </c>
      <c r="S276" s="6">
        <f>0</f>
        <v>0</v>
      </c>
      <c r="T276" s="6">
        <f>177380</f>
        <v>177380</v>
      </c>
      <c r="U276" s="5" t="s">
        <v>245</v>
      </c>
      <c r="V276" s="4" t="s">
        <v>270</v>
      </c>
      <c r="W276" s="4" t="s">
        <v>271</v>
      </c>
      <c r="X276" s="4" t="s">
        <v>273</v>
      </c>
      <c r="Y276" s="4" t="s">
        <v>241</v>
      </c>
      <c r="AB276" s="4" t="s">
        <v>241</v>
      </c>
      <c r="AD276" s="5" t="s">
        <v>241</v>
      </c>
      <c r="AG276" s="5" t="s">
        <v>246</v>
      </c>
      <c r="AH276" s="4" t="s">
        <v>241</v>
      </c>
      <c r="AI276" s="4" t="s">
        <v>247</v>
      </c>
      <c r="AJ276" s="4" t="s">
        <v>248</v>
      </c>
      <c r="AZ276" s="4" t="s">
        <v>249</v>
      </c>
      <c r="BA276" s="4" t="s">
        <v>241</v>
      </c>
      <c r="BB276" s="4" t="s">
        <v>250</v>
      </c>
      <c r="BC276" s="4" t="s">
        <v>241</v>
      </c>
      <c r="BD276" s="4" t="s">
        <v>252</v>
      </c>
      <c r="BE276" s="4" t="s">
        <v>241</v>
      </c>
      <c r="BI276" s="4" t="s">
        <v>253</v>
      </c>
      <c r="BJ276" s="5" t="s">
        <v>246</v>
      </c>
      <c r="BK276" s="4" t="s">
        <v>254</v>
      </c>
      <c r="BL276" s="4" t="s">
        <v>255</v>
      </c>
      <c r="BM276" s="4" t="s">
        <v>241</v>
      </c>
      <c r="BN276" s="6">
        <f>0</f>
        <v>0</v>
      </c>
      <c r="BO276" s="6">
        <f>0</f>
        <v>0</v>
      </c>
      <c r="BP276" s="4" t="s">
        <v>256</v>
      </c>
      <c r="BQ276" s="4" t="s">
        <v>257</v>
      </c>
      <c r="CE276" s="4" t="s">
        <v>241</v>
      </c>
      <c r="CF276" s="4" t="s">
        <v>241</v>
      </c>
      <c r="CJ276" s="4" t="s">
        <v>258</v>
      </c>
      <c r="CK276" s="4" t="s">
        <v>259</v>
      </c>
      <c r="CL276" s="4" t="s">
        <v>241</v>
      </c>
      <c r="CO276" s="5" t="s">
        <v>260</v>
      </c>
      <c r="CP276" s="4" t="s">
        <v>241</v>
      </c>
      <c r="CQ276" s="4" t="s">
        <v>261</v>
      </c>
      <c r="CR276" s="4" t="s">
        <v>241</v>
      </c>
      <c r="CS276" s="4" t="s">
        <v>241</v>
      </c>
      <c r="CT276" s="4">
        <v>0</v>
      </c>
      <c r="CU276" s="4" t="s">
        <v>262</v>
      </c>
      <c r="CV276" s="4" t="s">
        <v>263</v>
      </c>
      <c r="CW276" s="4" t="s">
        <v>263</v>
      </c>
      <c r="CX276" s="4" t="s">
        <v>264</v>
      </c>
      <c r="DA276" s="6">
        <f>177380</f>
        <v>177380</v>
      </c>
      <c r="DC276" s="4" t="s">
        <v>277</v>
      </c>
      <c r="DD276" s="4" t="s">
        <v>241</v>
      </c>
      <c r="DF276" s="4" t="s">
        <v>287</v>
      </c>
      <c r="DG276" s="6">
        <f>0</f>
        <v>0</v>
      </c>
      <c r="DI276" s="4" t="s">
        <v>287</v>
      </c>
      <c r="DJ276" s="4" t="s">
        <v>241</v>
      </c>
      <c r="DK276" s="4" t="s">
        <v>241</v>
      </c>
      <c r="DL276" s="4" t="s">
        <v>241</v>
      </c>
      <c r="DP276" s="4" t="s">
        <v>241</v>
      </c>
      <c r="DQ276" s="4" t="s">
        <v>241</v>
      </c>
      <c r="DR276" s="4" t="s">
        <v>241</v>
      </c>
      <c r="DS276" s="4" t="s">
        <v>241</v>
      </c>
      <c r="DV276" s="4" t="s">
        <v>4987</v>
      </c>
      <c r="DW276" s="4" t="s">
        <v>1769</v>
      </c>
      <c r="HO276" s="4" t="s">
        <v>267</v>
      </c>
    </row>
    <row r="277" spans="1:223" ht="19.5" customHeight="1" x14ac:dyDescent="0.4">
      <c r="A277" s="4">
        <v>1</v>
      </c>
      <c r="B277" s="4" t="s">
        <v>239</v>
      </c>
      <c r="C277" s="4">
        <v>1011</v>
      </c>
      <c r="D277" s="4">
        <v>1</v>
      </c>
      <c r="E277" s="4">
        <v>1</v>
      </c>
      <c r="F277" s="4" t="s">
        <v>240</v>
      </c>
      <c r="G277" s="4" t="s">
        <v>241</v>
      </c>
      <c r="H277" s="4" t="s">
        <v>241</v>
      </c>
      <c r="I277" s="4" t="s">
        <v>4985</v>
      </c>
      <c r="J277" s="4" t="s">
        <v>4219</v>
      </c>
      <c r="K277" s="4" t="s">
        <v>251</v>
      </c>
      <c r="L277" s="4" t="s">
        <v>4984</v>
      </c>
      <c r="M277" s="5" t="s">
        <v>5009</v>
      </c>
      <c r="N277" s="6">
        <f>75</f>
        <v>75</v>
      </c>
      <c r="O277" s="4" t="s">
        <v>265</v>
      </c>
      <c r="P277" s="6">
        <f>36750</f>
        <v>36750</v>
      </c>
      <c r="Q277" s="6">
        <f>0</f>
        <v>0</v>
      </c>
      <c r="S277" s="6">
        <f>0</f>
        <v>0</v>
      </c>
      <c r="T277" s="6">
        <f>36750</f>
        <v>36750</v>
      </c>
      <c r="U277" s="5" t="s">
        <v>245</v>
      </c>
      <c r="V277" s="4" t="s">
        <v>270</v>
      </c>
      <c r="W277" s="4" t="s">
        <v>271</v>
      </c>
      <c r="X277" s="4" t="s">
        <v>273</v>
      </c>
      <c r="Y277" s="4" t="s">
        <v>241</v>
      </c>
      <c r="AB277" s="4" t="s">
        <v>241</v>
      </c>
      <c r="AD277" s="5" t="s">
        <v>241</v>
      </c>
      <c r="AG277" s="5" t="s">
        <v>246</v>
      </c>
      <c r="AH277" s="4" t="s">
        <v>241</v>
      </c>
      <c r="AI277" s="4" t="s">
        <v>247</v>
      </c>
      <c r="AJ277" s="4" t="s">
        <v>248</v>
      </c>
      <c r="AZ277" s="4" t="s">
        <v>249</v>
      </c>
      <c r="BA277" s="4" t="s">
        <v>241</v>
      </c>
      <c r="BB277" s="4" t="s">
        <v>250</v>
      </c>
      <c r="BC277" s="4" t="s">
        <v>241</v>
      </c>
      <c r="BD277" s="4" t="s">
        <v>252</v>
      </c>
      <c r="BE277" s="4" t="s">
        <v>241</v>
      </c>
      <c r="BI277" s="4" t="s">
        <v>253</v>
      </c>
      <c r="BJ277" s="5" t="s">
        <v>246</v>
      </c>
      <c r="BK277" s="4" t="s">
        <v>254</v>
      </c>
      <c r="BL277" s="4" t="s">
        <v>255</v>
      </c>
      <c r="BM277" s="4" t="s">
        <v>241</v>
      </c>
      <c r="BN277" s="6">
        <f>0</f>
        <v>0</v>
      </c>
      <c r="BO277" s="6">
        <f>0</f>
        <v>0</v>
      </c>
      <c r="BP277" s="4" t="s">
        <v>256</v>
      </c>
      <c r="BQ277" s="4" t="s">
        <v>257</v>
      </c>
      <c r="CE277" s="4" t="s">
        <v>241</v>
      </c>
      <c r="CF277" s="4" t="s">
        <v>241</v>
      </c>
      <c r="CJ277" s="4" t="s">
        <v>258</v>
      </c>
      <c r="CK277" s="4" t="s">
        <v>259</v>
      </c>
      <c r="CL277" s="4" t="s">
        <v>241</v>
      </c>
      <c r="CO277" s="5" t="s">
        <v>260</v>
      </c>
      <c r="CP277" s="4" t="s">
        <v>241</v>
      </c>
      <c r="CQ277" s="4" t="s">
        <v>261</v>
      </c>
      <c r="CR277" s="4" t="s">
        <v>241</v>
      </c>
      <c r="CS277" s="4" t="s">
        <v>241</v>
      </c>
      <c r="CT277" s="4">
        <v>0</v>
      </c>
      <c r="CU277" s="4" t="s">
        <v>262</v>
      </c>
      <c r="CV277" s="4" t="s">
        <v>263</v>
      </c>
      <c r="CW277" s="4" t="s">
        <v>263</v>
      </c>
      <c r="CX277" s="4" t="s">
        <v>264</v>
      </c>
      <c r="DA277" s="6">
        <f>36750</f>
        <v>36750</v>
      </c>
      <c r="DC277" s="4" t="s">
        <v>277</v>
      </c>
      <c r="DD277" s="4" t="s">
        <v>241</v>
      </c>
      <c r="DF277" s="4" t="s">
        <v>287</v>
      </c>
      <c r="DG277" s="6">
        <f>0</f>
        <v>0</v>
      </c>
      <c r="DI277" s="4" t="s">
        <v>287</v>
      </c>
      <c r="DJ277" s="4" t="s">
        <v>241</v>
      </c>
      <c r="DK277" s="4" t="s">
        <v>241</v>
      </c>
      <c r="DL277" s="4" t="s">
        <v>241</v>
      </c>
      <c r="DP277" s="4" t="s">
        <v>241</v>
      </c>
      <c r="DQ277" s="4" t="s">
        <v>241</v>
      </c>
      <c r="DR277" s="4" t="s">
        <v>241</v>
      </c>
      <c r="DS277" s="4" t="s">
        <v>241</v>
      </c>
      <c r="DV277" s="4" t="s">
        <v>4987</v>
      </c>
      <c r="DW277" s="4" t="s">
        <v>1914</v>
      </c>
      <c r="HO277" s="4" t="s">
        <v>267</v>
      </c>
    </row>
    <row r="278" spans="1:223" ht="19.5" customHeight="1" x14ac:dyDescent="0.4">
      <c r="A278" s="4">
        <v>1</v>
      </c>
      <c r="B278" s="4" t="s">
        <v>239</v>
      </c>
      <c r="C278" s="4">
        <v>1012</v>
      </c>
      <c r="D278" s="4">
        <v>1</v>
      </c>
      <c r="E278" s="4">
        <v>1</v>
      </c>
      <c r="F278" s="4" t="s">
        <v>240</v>
      </c>
      <c r="G278" s="4" t="s">
        <v>241</v>
      </c>
      <c r="H278" s="4" t="s">
        <v>241</v>
      </c>
      <c r="I278" s="4" t="s">
        <v>4985</v>
      </c>
      <c r="J278" s="4" t="s">
        <v>4219</v>
      </c>
      <c r="K278" s="4" t="s">
        <v>251</v>
      </c>
      <c r="L278" s="4" t="s">
        <v>4984</v>
      </c>
      <c r="M278" s="5" t="s">
        <v>5014</v>
      </c>
      <c r="N278" s="6">
        <f>500</f>
        <v>500</v>
      </c>
      <c r="O278" s="4" t="s">
        <v>265</v>
      </c>
      <c r="P278" s="6">
        <f>245000</f>
        <v>245000</v>
      </c>
      <c r="Q278" s="6">
        <f>0</f>
        <v>0</v>
      </c>
      <c r="S278" s="6">
        <f>0</f>
        <v>0</v>
      </c>
      <c r="T278" s="6">
        <f>245000</f>
        <v>245000</v>
      </c>
      <c r="U278" s="5" t="s">
        <v>245</v>
      </c>
      <c r="V278" s="4" t="s">
        <v>270</v>
      </c>
      <c r="W278" s="4" t="s">
        <v>271</v>
      </c>
      <c r="X278" s="4" t="s">
        <v>273</v>
      </c>
      <c r="Y278" s="4" t="s">
        <v>241</v>
      </c>
      <c r="AB278" s="4" t="s">
        <v>241</v>
      </c>
      <c r="AD278" s="5" t="s">
        <v>241</v>
      </c>
      <c r="AG278" s="5" t="s">
        <v>246</v>
      </c>
      <c r="AH278" s="4" t="s">
        <v>241</v>
      </c>
      <c r="AI278" s="4" t="s">
        <v>247</v>
      </c>
      <c r="AJ278" s="4" t="s">
        <v>248</v>
      </c>
      <c r="AZ278" s="4" t="s">
        <v>249</v>
      </c>
      <c r="BA278" s="4" t="s">
        <v>241</v>
      </c>
      <c r="BB278" s="4" t="s">
        <v>250</v>
      </c>
      <c r="BC278" s="4" t="s">
        <v>241</v>
      </c>
      <c r="BD278" s="4" t="s">
        <v>252</v>
      </c>
      <c r="BE278" s="4" t="s">
        <v>241</v>
      </c>
      <c r="BI278" s="4" t="s">
        <v>253</v>
      </c>
      <c r="BJ278" s="5" t="s">
        <v>246</v>
      </c>
      <c r="BK278" s="4" t="s">
        <v>254</v>
      </c>
      <c r="BL278" s="4" t="s">
        <v>255</v>
      </c>
      <c r="BM278" s="4" t="s">
        <v>241</v>
      </c>
      <c r="BN278" s="6">
        <f>0</f>
        <v>0</v>
      </c>
      <c r="BO278" s="6">
        <f>0</f>
        <v>0</v>
      </c>
      <c r="BP278" s="4" t="s">
        <v>256</v>
      </c>
      <c r="BQ278" s="4" t="s">
        <v>257</v>
      </c>
      <c r="CE278" s="4" t="s">
        <v>241</v>
      </c>
      <c r="CF278" s="4" t="s">
        <v>241</v>
      </c>
      <c r="CJ278" s="4" t="s">
        <v>258</v>
      </c>
      <c r="CK278" s="4" t="s">
        <v>259</v>
      </c>
      <c r="CL278" s="4" t="s">
        <v>241</v>
      </c>
      <c r="CO278" s="5" t="s">
        <v>260</v>
      </c>
      <c r="CP278" s="4" t="s">
        <v>241</v>
      </c>
      <c r="CQ278" s="4" t="s">
        <v>261</v>
      </c>
      <c r="CR278" s="4" t="s">
        <v>241</v>
      </c>
      <c r="CS278" s="4" t="s">
        <v>241</v>
      </c>
      <c r="CT278" s="4">
        <v>0</v>
      </c>
      <c r="CU278" s="4" t="s">
        <v>262</v>
      </c>
      <c r="CV278" s="4" t="s">
        <v>263</v>
      </c>
      <c r="CW278" s="4" t="s">
        <v>263</v>
      </c>
      <c r="CX278" s="4" t="s">
        <v>264</v>
      </c>
      <c r="DA278" s="6">
        <f>245000</f>
        <v>245000</v>
      </c>
      <c r="DC278" s="4" t="s">
        <v>277</v>
      </c>
      <c r="DD278" s="4" t="s">
        <v>241</v>
      </c>
      <c r="DF278" s="4" t="s">
        <v>287</v>
      </c>
      <c r="DG278" s="6">
        <f>0</f>
        <v>0</v>
      </c>
      <c r="DI278" s="4" t="s">
        <v>287</v>
      </c>
      <c r="DJ278" s="4" t="s">
        <v>241</v>
      </c>
      <c r="DK278" s="4" t="s">
        <v>241</v>
      </c>
      <c r="DL278" s="4" t="s">
        <v>241</v>
      </c>
      <c r="DP278" s="4" t="s">
        <v>241</v>
      </c>
      <c r="DQ278" s="4" t="s">
        <v>241</v>
      </c>
      <c r="DR278" s="4" t="s">
        <v>241</v>
      </c>
      <c r="DS278" s="4" t="s">
        <v>241</v>
      </c>
      <c r="DV278" s="4" t="s">
        <v>4987</v>
      </c>
      <c r="DW278" s="4" t="s">
        <v>1767</v>
      </c>
      <c r="HO278" s="4" t="s">
        <v>267</v>
      </c>
    </row>
    <row r="279" spans="1:223" ht="19.5" customHeight="1" x14ac:dyDescent="0.4">
      <c r="A279" s="4">
        <v>1</v>
      </c>
      <c r="B279" s="4" t="s">
        <v>239</v>
      </c>
      <c r="C279" s="4">
        <v>1013</v>
      </c>
      <c r="D279" s="4">
        <v>1</v>
      </c>
      <c r="E279" s="4">
        <v>1</v>
      </c>
      <c r="F279" s="4" t="s">
        <v>240</v>
      </c>
      <c r="G279" s="4" t="s">
        <v>241</v>
      </c>
      <c r="H279" s="4" t="s">
        <v>241</v>
      </c>
      <c r="I279" s="4" t="s">
        <v>4985</v>
      </c>
      <c r="J279" s="4" t="s">
        <v>4219</v>
      </c>
      <c r="K279" s="4" t="s">
        <v>251</v>
      </c>
      <c r="L279" s="4" t="s">
        <v>4984</v>
      </c>
      <c r="M279" s="5" t="s">
        <v>5010</v>
      </c>
      <c r="N279" s="6">
        <f>266</f>
        <v>266</v>
      </c>
      <c r="O279" s="4" t="s">
        <v>265</v>
      </c>
      <c r="P279" s="6">
        <f>130340</f>
        <v>130340</v>
      </c>
      <c r="Q279" s="6">
        <f>0</f>
        <v>0</v>
      </c>
      <c r="S279" s="6">
        <f>0</f>
        <v>0</v>
      </c>
      <c r="T279" s="6">
        <f>130340</f>
        <v>130340</v>
      </c>
      <c r="U279" s="5" t="s">
        <v>245</v>
      </c>
      <c r="V279" s="4" t="s">
        <v>270</v>
      </c>
      <c r="W279" s="4" t="s">
        <v>271</v>
      </c>
      <c r="X279" s="4" t="s">
        <v>273</v>
      </c>
      <c r="Y279" s="4" t="s">
        <v>241</v>
      </c>
      <c r="AB279" s="4" t="s">
        <v>241</v>
      </c>
      <c r="AD279" s="5" t="s">
        <v>241</v>
      </c>
      <c r="AG279" s="5" t="s">
        <v>246</v>
      </c>
      <c r="AH279" s="4" t="s">
        <v>241</v>
      </c>
      <c r="AI279" s="4" t="s">
        <v>247</v>
      </c>
      <c r="AJ279" s="4" t="s">
        <v>248</v>
      </c>
      <c r="AZ279" s="4" t="s">
        <v>249</v>
      </c>
      <c r="BA279" s="4" t="s">
        <v>241</v>
      </c>
      <c r="BB279" s="4" t="s">
        <v>250</v>
      </c>
      <c r="BC279" s="4" t="s">
        <v>241</v>
      </c>
      <c r="BD279" s="4" t="s">
        <v>252</v>
      </c>
      <c r="BE279" s="4" t="s">
        <v>241</v>
      </c>
      <c r="BI279" s="4" t="s">
        <v>253</v>
      </c>
      <c r="BJ279" s="5" t="s">
        <v>246</v>
      </c>
      <c r="BK279" s="4" t="s">
        <v>254</v>
      </c>
      <c r="BL279" s="4" t="s">
        <v>255</v>
      </c>
      <c r="BM279" s="4" t="s">
        <v>241</v>
      </c>
      <c r="BN279" s="6">
        <f>0</f>
        <v>0</v>
      </c>
      <c r="BO279" s="6">
        <f>0</f>
        <v>0</v>
      </c>
      <c r="BP279" s="4" t="s">
        <v>256</v>
      </c>
      <c r="BQ279" s="4" t="s">
        <v>257</v>
      </c>
      <c r="CE279" s="4" t="s">
        <v>241</v>
      </c>
      <c r="CF279" s="4" t="s">
        <v>241</v>
      </c>
      <c r="CJ279" s="4" t="s">
        <v>258</v>
      </c>
      <c r="CK279" s="4" t="s">
        <v>259</v>
      </c>
      <c r="CL279" s="4" t="s">
        <v>241</v>
      </c>
      <c r="CO279" s="5" t="s">
        <v>260</v>
      </c>
      <c r="CP279" s="4" t="s">
        <v>241</v>
      </c>
      <c r="CQ279" s="4" t="s">
        <v>261</v>
      </c>
      <c r="CR279" s="4" t="s">
        <v>241</v>
      </c>
      <c r="CS279" s="4" t="s">
        <v>241</v>
      </c>
      <c r="CT279" s="4">
        <v>0</v>
      </c>
      <c r="CU279" s="4" t="s">
        <v>262</v>
      </c>
      <c r="CV279" s="4" t="s">
        <v>263</v>
      </c>
      <c r="CW279" s="4" t="s">
        <v>263</v>
      </c>
      <c r="CX279" s="4" t="s">
        <v>264</v>
      </c>
      <c r="DA279" s="6">
        <f>130340</f>
        <v>130340</v>
      </c>
      <c r="DC279" s="4" t="s">
        <v>277</v>
      </c>
      <c r="DD279" s="4" t="s">
        <v>241</v>
      </c>
      <c r="DF279" s="4" t="s">
        <v>287</v>
      </c>
      <c r="DG279" s="6">
        <f>0</f>
        <v>0</v>
      </c>
      <c r="DI279" s="4" t="s">
        <v>287</v>
      </c>
      <c r="DJ279" s="4" t="s">
        <v>241</v>
      </c>
      <c r="DK279" s="4" t="s">
        <v>241</v>
      </c>
      <c r="DL279" s="4" t="s">
        <v>241</v>
      </c>
      <c r="DP279" s="4" t="s">
        <v>241</v>
      </c>
      <c r="DQ279" s="4" t="s">
        <v>241</v>
      </c>
      <c r="DR279" s="4" t="s">
        <v>241</v>
      </c>
      <c r="DS279" s="4" t="s">
        <v>241</v>
      </c>
      <c r="DV279" s="4" t="s">
        <v>4987</v>
      </c>
      <c r="DW279" s="4" t="s">
        <v>1764</v>
      </c>
      <c r="HO279" s="4" t="s">
        <v>267</v>
      </c>
    </row>
    <row r="280" spans="1:223" ht="19.5" customHeight="1" x14ac:dyDescent="0.4">
      <c r="A280" s="4">
        <v>1</v>
      </c>
      <c r="B280" s="4" t="s">
        <v>239</v>
      </c>
      <c r="C280" s="4">
        <v>1014</v>
      </c>
      <c r="D280" s="4">
        <v>1</v>
      </c>
      <c r="E280" s="4">
        <v>1</v>
      </c>
      <c r="F280" s="4" t="s">
        <v>240</v>
      </c>
      <c r="G280" s="4" t="s">
        <v>241</v>
      </c>
      <c r="H280" s="4" t="s">
        <v>241</v>
      </c>
      <c r="I280" s="4" t="s">
        <v>4985</v>
      </c>
      <c r="J280" s="4" t="s">
        <v>4219</v>
      </c>
      <c r="K280" s="4" t="s">
        <v>251</v>
      </c>
      <c r="L280" s="4" t="s">
        <v>4984</v>
      </c>
      <c r="M280" s="5" t="s">
        <v>5011</v>
      </c>
      <c r="N280" s="6">
        <f>1896</f>
        <v>1896</v>
      </c>
      <c r="O280" s="4" t="s">
        <v>265</v>
      </c>
      <c r="P280" s="6">
        <f>4199640</f>
        <v>4199640</v>
      </c>
      <c r="Q280" s="6">
        <f>0</f>
        <v>0</v>
      </c>
      <c r="S280" s="6">
        <f>0</f>
        <v>0</v>
      </c>
      <c r="T280" s="6">
        <f>4199640</f>
        <v>4199640</v>
      </c>
      <c r="U280" s="5" t="s">
        <v>245</v>
      </c>
      <c r="V280" s="4" t="s">
        <v>270</v>
      </c>
      <c r="W280" s="4" t="s">
        <v>242</v>
      </c>
      <c r="X280" s="4" t="s">
        <v>273</v>
      </c>
      <c r="Y280" s="4" t="s">
        <v>241</v>
      </c>
      <c r="AB280" s="4" t="s">
        <v>241</v>
      </c>
      <c r="AD280" s="5" t="s">
        <v>241</v>
      </c>
      <c r="AG280" s="5" t="s">
        <v>246</v>
      </c>
      <c r="AH280" s="4" t="s">
        <v>241</v>
      </c>
      <c r="AI280" s="4" t="s">
        <v>247</v>
      </c>
      <c r="AJ280" s="4" t="s">
        <v>248</v>
      </c>
      <c r="AZ280" s="4" t="s">
        <v>249</v>
      </c>
      <c r="BA280" s="4" t="s">
        <v>241</v>
      </c>
      <c r="BB280" s="4" t="s">
        <v>250</v>
      </c>
      <c r="BC280" s="4" t="s">
        <v>241</v>
      </c>
      <c r="BD280" s="4" t="s">
        <v>252</v>
      </c>
      <c r="BE280" s="4" t="s">
        <v>241</v>
      </c>
      <c r="BI280" s="4" t="s">
        <v>253</v>
      </c>
      <c r="BJ280" s="5" t="s">
        <v>246</v>
      </c>
      <c r="BK280" s="4" t="s">
        <v>254</v>
      </c>
      <c r="BL280" s="4" t="s">
        <v>255</v>
      </c>
      <c r="BM280" s="4" t="s">
        <v>241</v>
      </c>
      <c r="BN280" s="6">
        <f>0</f>
        <v>0</v>
      </c>
      <c r="BO280" s="6">
        <f>0</f>
        <v>0</v>
      </c>
      <c r="BP280" s="4" t="s">
        <v>256</v>
      </c>
      <c r="BQ280" s="4" t="s">
        <v>257</v>
      </c>
      <c r="CE280" s="4" t="s">
        <v>241</v>
      </c>
      <c r="CF280" s="4" t="s">
        <v>241</v>
      </c>
      <c r="CJ280" s="4" t="s">
        <v>258</v>
      </c>
      <c r="CK280" s="4" t="s">
        <v>259</v>
      </c>
      <c r="CL280" s="4" t="s">
        <v>241</v>
      </c>
      <c r="CO280" s="5" t="s">
        <v>260</v>
      </c>
      <c r="CP280" s="4" t="s">
        <v>241</v>
      </c>
      <c r="CQ280" s="4" t="s">
        <v>261</v>
      </c>
      <c r="CR280" s="4" t="s">
        <v>241</v>
      </c>
      <c r="CS280" s="4" t="s">
        <v>241</v>
      </c>
      <c r="CT280" s="4">
        <v>0</v>
      </c>
      <c r="CU280" s="4" t="s">
        <v>262</v>
      </c>
      <c r="CV280" s="4" t="s">
        <v>263</v>
      </c>
      <c r="CW280" s="4" t="s">
        <v>263</v>
      </c>
      <c r="CX280" s="4" t="s">
        <v>264</v>
      </c>
      <c r="DA280" s="6">
        <f>4199640</f>
        <v>4199640</v>
      </c>
      <c r="DC280" s="4" t="s">
        <v>414</v>
      </c>
      <c r="DD280" s="4" t="s">
        <v>241</v>
      </c>
      <c r="DF280" s="4" t="s">
        <v>287</v>
      </c>
      <c r="DG280" s="6">
        <f>0</f>
        <v>0</v>
      </c>
      <c r="DI280" s="4" t="s">
        <v>414</v>
      </c>
      <c r="DJ280" s="4" t="s">
        <v>241</v>
      </c>
      <c r="DK280" s="4" t="s">
        <v>241</v>
      </c>
      <c r="DL280" s="4" t="s">
        <v>241</v>
      </c>
      <c r="DP280" s="4" t="s">
        <v>241</v>
      </c>
      <c r="DQ280" s="4" t="s">
        <v>241</v>
      </c>
      <c r="DR280" s="4" t="s">
        <v>241</v>
      </c>
      <c r="DS280" s="4" t="s">
        <v>241</v>
      </c>
      <c r="DV280" s="4" t="s">
        <v>4987</v>
      </c>
      <c r="DW280" s="4" t="s">
        <v>1762</v>
      </c>
      <c r="HO280" s="4" t="s">
        <v>267</v>
      </c>
    </row>
    <row r="281" spans="1:223" ht="19.5" customHeight="1" x14ac:dyDescent="0.4">
      <c r="A281" s="4">
        <v>1</v>
      </c>
      <c r="B281" s="4" t="s">
        <v>239</v>
      </c>
      <c r="C281" s="4">
        <v>1015</v>
      </c>
      <c r="D281" s="4">
        <v>1</v>
      </c>
      <c r="E281" s="4">
        <v>1</v>
      </c>
      <c r="F281" s="4" t="s">
        <v>240</v>
      </c>
      <c r="G281" s="4" t="s">
        <v>241</v>
      </c>
      <c r="H281" s="4" t="s">
        <v>241</v>
      </c>
      <c r="I281" s="4" t="s">
        <v>4979</v>
      </c>
      <c r="J281" s="4" t="s">
        <v>4219</v>
      </c>
      <c r="K281" s="4" t="s">
        <v>251</v>
      </c>
      <c r="L281" s="4" t="s">
        <v>4978</v>
      </c>
      <c r="M281" s="5" t="s">
        <v>4983</v>
      </c>
      <c r="N281" s="6">
        <f>8935</f>
        <v>8935</v>
      </c>
      <c r="O281" s="4" t="s">
        <v>265</v>
      </c>
      <c r="P281" s="6">
        <f>19791025</f>
        <v>19791025</v>
      </c>
      <c r="Q281" s="6">
        <f>0</f>
        <v>0</v>
      </c>
      <c r="S281" s="6">
        <f>0</f>
        <v>0</v>
      </c>
      <c r="T281" s="6">
        <f>19791025</f>
        <v>19791025</v>
      </c>
      <c r="U281" s="5" t="s">
        <v>245</v>
      </c>
      <c r="V281" s="4" t="s">
        <v>270</v>
      </c>
      <c r="W281" s="4" t="s">
        <v>242</v>
      </c>
      <c r="X281" s="4" t="s">
        <v>273</v>
      </c>
      <c r="Y281" s="4" t="s">
        <v>241</v>
      </c>
      <c r="AB281" s="4" t="s">
        <v>241</v>
      </c>
      <c r="AD281" s="5" t="s">
        <v>241</v>
      </c>
      <c r="AG281" s="5" t="s">
        <v>246</v>
      </c>
      <c r="AH281" s="4" t="s">
        <v>241</v>
      </c>
      <c r="AI281" s="4" t="s">
        <v>247</v>
      </c>
      <c r="AJ281" s="4" t="s">
        <v>248</v>
      </c>
      <c r="AZ281" s="4" t="s">
        <v>249</v>
      </c>
      <c r="BA281" s="4" t="s">
        <v>241</v>
      </c>
      <c r="BB281" s="4" t="s">
        <v>250</v>
      </c>
      <c r="BC281" s="4" t="s">
        <v>241</v>
      </c>
      <c r="BD281" s="4" t="s">
        <v>252</v>
      </c>
      <c r="BE281" s="4" t="s">
        <v>241</v>
      </c>
      <c r="BG281" s="4" t="s">
        <v>4227</v>
      </c>
      <c r="BI281" s="4" t="s">
        <v>253</v>
      </c>
      <c r="BJ281" s="5" t="s">
        <v>246</v>
      </c>
      <c r="BK281" s="4" t="s">
        <v>254</v>
      </c>
      <c r="BL281" s="4" t="s">
        <v>255</v>
      </c>
      <c r="BM281" s="4" t="s">
        <v>241</v>
      </c>
      <c r="BN281" s="6">
        <f>0</f>
        <v>0</v>
      </c>
      <c r="BO281" s="6">
        <f>0</f>
        <v>0</v>
      </c>
      <c r="BP281" s="4" t="s">
        <v>256</v>
      </c>
      <c r="BQ281" s="4" t="s">
        <v>257</v>
      </c>
      <c r="CE281" s="4" t="s">
        <v>241</v>
      </c>
      <c r="CF281" s="4" t="s">
        <v>241</v>
      </c>
      <c r="CJ281" s="4" t="s">
        <v>258</v>
      </c>
      <c r="CK281" s="4" t="s">
        <v>259</v>
      </c>
      <c r="CL281" s="4" t="s">
        <v>241</v>
      </c>
      <c r="CO281" s="5" t="s">
        <v>260</v>
      </c>
      <c r="CP281" s="4" t="s">
        <v>241</v>
      </c>
      <c r="CQ281" s="4" t="s">
        <v>261</v>
      </c>
      <c r="CR281" s="4" t="s">
        <v>241</v>
      </c>
      <c r="CS281" s="4" t="s">
        <v>241</v>
      </c>
      <c r="CT281" s="4">
        <v>0</v>
      </c>
      <c r="CU281" s="4" t="s">
        <v>262</v>
      </c>
      <c r="CV281" s="4" t="s">
        <v>263</v>
      </c>
      <c r="CW281" s="4" t="s">
        <v>263</v>
      </c>
      <c r="CX281" s="4" t="s">
        <v>264</v>
      </c>
      <c r="DA281" s="6">
        <f>19791025</f>
        <v>19791025</v>
      </c>
      <c r="DC281" s="4" t="s">
        <v>422</v>
      </c>
      <c r="DD281" s="4" t="s">
        <v>241</v>
      </c>
      <c r="DF281" s="4" t="s">
        <v>422</v>
      </c>
      <c r="DG281" s="6">
        <f>0</f>
        <v>0</v>
      </c>
      <c r="DI281" s="4" t="s">
        <v>414</v>
      </c>
      <c r="DJ281" s="4" t="s">
        <v>241</v>
      </c>
      <c r="DK281" s="4" t="s">
        <v>241</v>
      </c>
      <c r="DL281" s="4" t="s">
        <v>241</v>
      </c>
      <c r="DP281" s="4" t="s">
        <v>241</v>
      </c>
      <c r="DQ281" s="4" t="s">
        <v>241</v>
      </c>
      <c r="DR281" s="4" t="s">
        <v>241</v>
      </c>
      <c r="DS281" s="4" t="s">
        <v>241</v>
      </c>
      <c r="DV281" s="4" t="s">
        <v>4981</v>
      </c>
      <c r="DW281" s="4" t="s">
        <v>267</v>
      </c>
      <c r="HO281" s="4" t="s">
        <v>267</v>
      </c>
    </row>
    <row r="282" spans="1:223" ht="19.5" customHeight="1" x14ac:dyDescent="0.4">
      <c r="A282" s="4">
        <v>1</v>
      </c>
      <c r="B282" s="4" t="s">
        <v>239</v>
      </c>
      <c r="C282" s="4">
        <v>1016</v>
      </c>
      <c r="D282" s="4">
        <v>1</v>
      </c>
      <c r="E282" s="4">
        <v>1</v>
      </c>
      <c r="F282" s="4" t="s">
        <v>240</v>
      </c>
      <c r="G282" s="4" t="s">
        <v>241</v>
      </c>
      <c r="H282" s="4" t="s">
        <v>241</v>
      </c>
      <c r="I282" s="4" t="s">
        <v>4979</v>
      </c>
      <c r="J282" s="4" t="s">
        <v>4219</v>
      </c>
      <c r="K282" s="4" t="s">
        <v>251</v>
      </c>
      <c r="L282" s="4" t="s">
        <v>4978</v>
      </c>
      <c r="M282" s="5" t="s">
        <v>4980</v>
      </c>
      <c r="N282" s="6">
        <f>25</f>
        <v>25</v>
      </c>
      <c r="O282" s="4" t="s">
        <v>265</v>
      </c>
      <c r="P282" s="6">
        <f>55375</f>
        <v>55375</v>
      </c>
      <c r="Q282" s="6">
        <f>0</f>
        <v>0</v>
      </c>
      <c r="S282" s="6">
        <f>0</f>
        <v>0</v>
      </c>
      <c r="T282" s="6">
        <f>55375</f>
        <v>55375</v>
      </c>
      <c r="U282" s="5" t="s">
        <v>245</v>
      </c>
      <c r="V282" s="4" t="s">
        <v>270</v>
      </c>
      <c r="W282" s="4" t="s">
        <v>242</v>
      </c>
      <c r="X282" s="4" t="s">
        <v>273</v>
      </c>
      <c r="Y282" s="4" t="s">
        <v>241</v>
      </c>
      <c r="AB282" s="4" t="s">
        <v>241</v>
      </c>
      <c r="AD282" s="5" t="s">
        <v>241</v>
      </c>
      <c r="AG282" s="5" t="s">
        <v>246</v>
      </c>
      <c r="AH282" s="4" t="s">
        <v>241</v>
      </c>
      <c r="AI282" s="4" t="s">
        <v>247</v>
      </c>
      <c r="AJ282" s="4" t="s">
        <v>248</v>
      </c>
      <c r="AZ282" s="4" t="s">
        <v>249</v>
      </c>
      <c r="BA282" s="4" t="s">
        <v>241</v>
      </c>
      <c r="BB282" s="4" t="s">
        <v>250</v>
      </c>
      <c r="BC282" s="4" t="s">
        <v>241</v>
      </c>
      <c r="BD282" s="4" t="s">
        <v>252</v>
      </c>
      <c r="BE282" s="4" t="s">
        <v>241</v>
      </c>
      <c r="BI282" s="4" t="s">
        <v>253</v>
      </c>
      <c r="BJ282" s="5" t="s">
        <v>246</v>
      </c>
      <c r="BK282" s="4" t="s">
        <v>254</v>
      </c>
      <c r="BL282" s="4" t="s">
        <v>255</v>
      </c>
      <c r="BM282" s="4" t="s">
        <v>241</v>
      </c>
      <c r="BN282" s="6">
        <f>0</f>
        <v>0</v>
      </c>
      <c r="BO282" s="6">
        <f>0</f>
        <v>0</v>
      </c>
      <c r="BP282" s="4" t="s">
        <v>256</v>
      </c>
      <c r="BQ282" s="4" t="s">
        <v>257</v>
      </c>
      <c r="CE282" s="4" t="s">
        <v>241</v>
      </c>
      <c r="CF282" s="4" t="s">
        <v>241</v>
      </c>
      <c r="CJ282" s="4" t="s">
        <v>258</v>
      </c>
      <c r="CK282" s="4" t="s">
        <v>259</v>
      </c>
      <c r="CL282" s="4" t="s">
        <v>241</v>
      </c>
      <c r="CO282" s="5" t="s">
        <v>260</v>
      </c>
      <c r="CP282" s="4" t="s">
        <v>241</v>
      </c>
      <c r="CQ282" s="4" t="s">
        <v>261</v>
      </c>
      <c r="CR282" s="4" t="s">
        <v>241</v>
      </c>
      <c r="CS282" s="4" t="s">
        <v>241</v>
      </c>
      <c r="CT282" s="4">
        <v>0</v>
      </c>
      <c r="CU282" s="4" t="s">
        <v>262</v>
      </c>
      <c r="CV282" s="4" t="s">
        <v>263</v>
      </c>
      <c r="CW282" s="4" t="s">
        <v>263</v>
      </c>
      <c r="CX282" s="4" t="s">
        <v>264</v>
      </c>
      <c r="DA282" s="6">
        <f>55375</f>
        <v>55375</v>
      </c>
      <c r="DC282" s="4" t="s">
        <v>422</v>
      </c>
      <c r="DD282" s="4" t="s">
        <v>241</v>
      </c>
      <c r="DF282" s="4" t="s">
        <v>287</v>
      </c>
      <c r="DG282" s="6">
        <f>0</f>
        <v>0</v>
      </c>
      <c r="DI282" s="4" t="s">
        <v>414</v>
      </c>
      <c r="DJ282" s="4" t="s">
        <v>241</v>
      </c>
      <c r="DK282" s="4" t="s">
        <v>241</v>
      </c>
      <c r="DL282" s="4" t="s">
        <v>241</v>
      </c>
      <c r="DP282" s="4" t="s">
        <v>241</v>
      </c>
      <c r="DQ282" s="4" t="s">
        <v>241</v>
      </c>
      <c r="DR282" s="4" t="s">
        <v>241</v>
      </c>
      <c r="DS282" s="4" t="s">
        <v>241</v>
      </c>
      <c r="DV282" s="4" t="s">
        <v>4981</v>
      </c>
      <c r="DW282" s="4" t="s">
        <v>416</v>
      </c>
      <c r="HO282" s="4" t="s">
        <v>267</v>
      </c>
    </row>
    <row r="283" spans="1:223" ht="19.5" customHeight="1" x14ac:dyDescent="0.4">
      <c r="A283" s="4">
        <v>1</v>
      </c>
      <c r="B283" s="4" t="s">
        <v>239</v>
      </c>
      <c r="C283" s="4">
        <v>1017</v>
      </c>
      <c r="D283" s="4">
        <v>1</v>
      </c>
      <c r="E283" s="4">
        <v>1</v>
      </c>
      <c r="F283" s="4" t="s">
        <v>240</v>
      </c>
      <c r="G283" s="4" t="s">
        <v>241</v>
      </c>
      <c r="H283" s="4" t="s">
        <v>241</v>
      </c>
      <c r="I283" s="4" t="s">
        <v>4979</v>
      </c>
      <c r="J283" s="4" t="s">
        <v>4219</v>
      </c>
      <c r="K283" s="4" t="s">
        <v>251</v>
      </c>
      <c r="L283" s="4" t="s">
        <v>4978</v>
      </c>
      <c r="M283" s="5" t="s">
        <v>4982</v>
      </c>
      <c r="N283" s="6">
        <f>3875</f>
        <v>3875</v>
      </c>
      <c r="O283" s="4" t="s">
        <v>265</v>
      </c>
      <c r="P283" s="6">
        <f>8583125</f>
        <v>8583125</v>
      </c>
      <c r="Q283" s="6">
        <f>0</f>
        <v>0</v>
      </c>
      <c r="S283" s="6">
        <f>0</f>
        <v>0</v>
      </c>
      <c r="T283" s="6">
        <f>8583125</f>
        <v>8583125</v>
      </c>
      <c r="U283" s="5" t="s">
        <v>245</v>
      </c>
      <c r="V283" s="4" t="s">
        <v>270</v>
      </c>
      <c r="W283" s="4" t="s">
        <v>242</v>
      </c>
      <c r="X283" s="4" t="s">
        <v>273</v>
      </c>
      <c r="Y283" s="4" t="s">
        <v>241</v>
      </c>
      <c r="AB283" s="4" t="s">
        <v>241</v>
      </c>
      <c r="AD283" s="5" t="s">
        <v>241</v>
      </c>
      <c r="AG283" s="5" t="s">
        <v>246</v>
      </c>
      <c r="AH283" s="4" t="s">
        <v>241</v>
      </c>
      <c r="AI283" s="4" t="s">
        <v>247</v>
      </c>
      <c r="AJ283" s="4" t="s">
        <v>248</v>
      </c>
      <c r="AZ283" s="4" t="s">
        <v>249</v>
      </c>
      <c r="BA283" s="4" t="s">
        <v>241</v>
      </c>
      <c r="BB283" s="4" t="s">
        <v>250</v>
      </c>
      <c r="BC283" s="4" t="s">
        <v>241</v>
      </c>
      <c r="BD283" s="4" t="s">
        <v>252</v>
      </c>
      <c r="BE283" s="4" t="s">
        <v>241</v>
      </c>
      <c r="BI283" s="4" t="s">
        <v>253</v>
      </c>
      <c r="BJ283" s="5" t="s">
        <v>246</v>
      </c>
      <c r="BK283" s="4" t="s">
        <v>254</v>
      </c>
      <c r="BL283" s="4" t="s">
        <v>255</v>
      </c>
      <c r="BM283" s="4" t="s">
        <v>241</v>
      </c>
      <c r="BN283" s="6">
        <f>0</f>
        <v>0</v>
      </c>
      <c r="BO283" s="6">
        <f>0</f>
        <v>0</v>
      </c>
      <c r="BP283" s="4" t="s">
        <v>256</v>
      </c>
      <c r="BQ283" s="4" t="s">
        <v>257</v>
      </c>
      <c r="CE283" s="4" t="s">
        <v>241</v>
      </c>
      <c r="CF283" s="4" t="s">
        <v>241</v>
      </c>
      <c r="CJ283" s="4" t="s">
        <v>258</v>
      </c>
      <c r="CK283" s="4" t="s">
        <v>259</v>
      </c>
      <c r="CL283" s="4" t="s">
        <v>241</v>
      </c>
      <c r="CO283" s="5" t="s">
        <v>260</v>
      </c>
      <c r="CP283" s="4" t="s">
        <v>241</v>
      </c>
      <c r="CQ283" s="4" t="s">
        <v>261</v>
      </c>
      <c r="CR283" s="4" t="s">
        <v>241</v>
      </c>
      <c r="CS283" s="4" t="s">
        <v>241</v>
      </c>
      <c r="CT283" s="4">
        <v>0</v>
      </c>
      <c r="CU283" s="4" t="s">
        <v>262</v>
      </c>
      <c r="CV283" s="4" t="s">
        <v>263</v>
      </c>
      <c r="CW283" s="4" t="s">
        <v>263</v>
      </c>
      <c r="CX283" s="4" t="s">
        <v>264</v>
      </c>
      <c r="DA283" s="6">
        <f>8583125</f>
        <v>8583125</v>
      </c>
      <c r="DC283" s="4" t="s">
        <v>422</v>
      </c>
      <c r="DD283" s="4" t="s">
        <v>241</v>
      </c>
      <c r="DF283" s="4" t="s">
        <v>287</v>
      </c>
      <c r="DG283" s="6">
        <f>0</f>
        <v>0</v>
      </c>
      <c r="DI283" s="4" t="s">
        <v>414</v>
      </c>
      <c r="DJ283" s="4" t="s">
        <v>241</v>
      </c>
      <c r="DK283" s="4" t="s">
        <v>241</v>
      </c>
      <c r="DL283" s="4" t="s">
        <v>241</v>
      </c>
      <c r="DP283" s="4" t="s">
        <v>241</v>
      </c>
      <c r="DQ283" s="4" t="s">
        <v>241</v>
      </c>
      <c r="DR283" s="4" t="s">
        <v>241</v>
      </c>
      <c r="DS283" s="4" t="s">
        <v>241</v>
      </c>
      <c r="DV283" s="4" t="s">
        <v>4981</v>
      </c>
      <c r="DW283" s="4" t="s">
        <v>388</v>
      </c>
      <c r="HO283" s="4" t="s">
        <v>267</v>
      </c>
    </row>
    <row r="284" spans="1:223" ht="19.5" customHeight="1" x14ac:dyDescent="0.4">
      <c r="A284" s="4">
        <v>1</v>
      </c>
      <c r="B284" s="4" t="s">
        <v>239</v>
      </c>
      <c r="C284" s="4">
        <v>1018</v>
      </c>
      <c r="D284" s="4">
        <v>1</v>
      </c>
      <c r="E284" s="4">
        <v>1</v>
      </c>
      <c r="F284" s="4" t="s">
        <v>240</v>
      </c>
      <c r="G284" s="4" t="s">
        <v>241</v>
      </c>
      <c r="H284" s="4" t="s">
        <v>241</v>
      </c>
      <c r="I284" s="4" t="s">
        <v>4952</v>
      </c>
      <c r="J284" s="4" t="s">
        <v>4219</v>
      </c>
      <c r="K284" s="4" t="s">
        <v>251</v>
      </c>
      <c r="L284" s="4" t="s">
        <v>4951</v>
      </c>
      <c r="M284" s="5" t="s">
        <v>4955</v>
      </c>
      <c r="N284" s="6">
        <f>856</f>
        <v>856</v>
      </c>
      <c r="O284" s="4" t="s">
        <v>265</v>
      </c>
      <c r="P284" s="6">
        <f>1896040</f>
        <v>1896040</v>
      </c>
      <c r="Q284" s="6">
        <f>0</f>
        <v>0</v>
      </c>
      <c r="S284" s="6">
        <f>0</f>
        <v>0</v>
      </c>
      <c r="T284" s="6">
        <f>1896040</f>
        <v>1896040</v>
      </c>
      <c r="U284" s="5" t="s">
        <v>245</v>
      </c>
      <c r="V284" s="4" t="s">
        <v>270</v>
      </c>
      <c r="W284" s="4" t="s">
        <v>242</v>
      </c>
      <c r="X284" s="4" t="s">
        <v>273</v>
      </c>
      <c r="Y284" s="4" t="s">
        <v>241</v>
      </c>
      <c r="AB284" s="4" t="s">
        <v>241</v>
      </c>
      <c r="AD284" s="5" t="s">
        <v>241</v>
      </c>
      <c r="AG284" s="5" t="s">
        <v>246</v>
      </c>
      <c r="AH284" s="4" t="s">
        <v>241</v>
      </c>
      <c r="AI284" s="4" t="s">
        <v>247</v>
      </c>
      <c r="AJ284" s="4" t="s">
        <v>248</v>
      </c>
      <c r="AZ284" s="4" t="s">
        <v>249</v>
      </c>
      <c r="BA284" s="4" t="s">
        <v>241</v>
      </c>
      <c r="BB284" s="4" t="s">
        <v>250</v>
      </c>
      <c r="BC284" s="4" t="s">
        <v>241</v>
      </c>
      <c r="BD284" s="4" t="s">
        <v>252</v>
      </c>
      <c r="BE284" s="4" t="s">
        <v>241</v>
      </c>
      <c r="BG284" s="4" t="s">
        <v>4227</v>
      </c>
      <c r="BI284" s="4" t="s">
        <v>253</v>
      </c>
      <c r="BJ284" s="5" t="s">
        <v>246</v>
      </c>
      <c r="BK284" s="4" t="s">
        <v>254</v>
      </c>
      <c r="BL284" s="4" t="s">
        <v>255</v>
      </c>
      <c r="BM284" s="4" t="s">
        <v>241</v>
      </c>
      <c r="BN284" s="6">
        <f>0</f>
        <v>0</v>
      </c>
      <c r="BO284" s="6">
        <f>0</f>
        <v>0</v>
      </c>
      <c r="BP284" s="4" t="s">
        <v>256</v>
      </c>
      <c r="BQ284" s="4" t="s">
        <v>257</v>
      </c>
      <c r="CE284" s="4" t="s">
        <v>241</v>
      </c>
      <c r="CF284" s="4" t="s">
        <v>241</v>
      </c>
      <c r="CJ284" s="4" t="s">
        <v>258</v>
      </c>
      <c r="CK284" s="4" t="s">
        <v>259</v>
      </c>
      <c r="CL284" s="4" t="s">
        <v>241</v>
      </c>
      <c r="CO284" s="5" t="s">
        <v>260</v>
      </c>
      <c r="CP284" s="4" t="s">
        <v>241</v>
      </c>
      <c r="CQ284" s="4" t="s">
        <v>261</v>
      </c>
      <c r="CR284" s="4" t="s">
        <v>241</v>
      </c>
      <c r="CS284" s="4" t="s">
        <v>241</v>
      </c>
      <c r="CT284" s="4">
        <v>0</v>
      </c>
      <c r="CU284" s="4" t="s">
        <v>262</v>
      </c>
      <c r="CV284" s="4" t="s">
        <v>263</v>
      </c>
      <c r="CW284" s="4" t="s">
        <v>263</v>
      </c>
      <c r="CX284" s="4" t="s">
        <v>264</v>
      </c>
      <c r="DA284" s="6">
        <f>1896040</f>
        <v>1896040</v>
      </c>
      <c r="DC284" s="4" t="s">
        <v>422</v>
      </c>
      <c r="DD284" s="4" t="s">
        <v>241</v>
      </c>
      <c r="DF284" s="4" t="s">
        <v>287</v>
      </c>
      <c r="DG284" s="6">
        <f>0</f>
        <v>0</v>
      </c>
      <c r="DI284" s="4" t="s">
        <v>414</v>
      </c>
      <c r="DJ284" s="4" t="s">
        <v>241</v>
      </c>
      <c r="DK284" s="4" t="s">
        <v>241</v>
      </c>
      <c r="DL284" s="4" t="s">
        <v>241</v>
      </c>
      <c r="DP284" s="4" t="s">
        <v>241</v>
      </c>
      <c r="DQ284" s="4" t="s">
        <v>241</v>
      </c>
      <c r="DR284" s="4" t="s">
        <v>241</v>
      </c>
      <c r="DS284" s="4" t="s">
        <v>241</v>
      </c>
      <c r="DV284" s="4" t="s">
        <v>4954</v>
      </c>
      <c r="DW284" s="4" t="s">
        <v>267</v>
      </c>
      <c r="HO284" s="4" t="s">
        <v>267</v>
      </c>
    </row>
    <row r="285" spans="1:223" ht="19.5" customHeight="1" x14ac:dyDescent="0.4">
      <c r="A285" s="4">
        <v>1</v>
      </c>
      <c r="B285" s="4" t="s">
        <v>239</v>
      </c>
      <c r="C285" s="4">
        <v>1019</v>
      </c>
      <c r="D285" s="4">
        <v>1</v>
      </c>
      <c r="E285" s="4">
        <v>1</v>
      </c>
      <c r="F285" s="4" t="s">
        <v>240</v>
      </c>
      <c r="G285" s="4" t="s">
        <v>241</v>
      </c>
      <c r="H285" s="4" t="s">
        <v>241</v>
      </c>
      <c r="I285" s="4" t="s">
        <v>4952</v>
      </c>
      <c r="J285" s="4" t="s">
        <v>4219</v>
      </c>
      <c r="K285" s="4" t="s">
        <v>251</v>
      </c>
      <c r="L285" s="4" t="s">
        <v>4951</v>
      </c>
      <c r="M285" s="5" t="s">
        <v>4957</v>
      </c>
      <c r="N285" s="6">
        <f>556</f>
        <v>556</v>
      </c>
      <c r="O285" s="4" t="s">
        <v>265</v>
      </c>
      <c r="P285" s="6">
        <f>1231540</f>
        <v>1231540</v>
      </c>
      <c r="Q285" s="6">
        <f>0</f>
        <v>0</v>
      </c>
      <c r="S285" s="6">
        <f>0</f>
        <v>0</v>
      </c>
      <c r="T285" s="6">
        <f>1231540</f>
        <v>1231540</v>
      </c>
      <c r="U285" s="5" t="s">
        <v>245</v>
      </c>
      <c r="V285" s="4" t="s">
        <v>270</v>
      </c>
      <c r="W285" s="4" t="s">
        <v>242</v>
      </c>
      <c r="X285" s="4" t="s">
        <v>273</v>
      </c>
      <c r="Y285" s="4" t="s">
        <v>241</v>
      </c>
      <c r="AB285" s="4" t="s">
        <v>241</v>
      </c>
      <c r="AD285" s="5" t="s">
        <v>241</v>
      </c>
      <c r="AG285" s="5" t="s">
        <v>246</v>
      </c>
      <c r="AH285" s="4" t="s">
        <v>241</v>
      </c>
      <c r="AI285" s="4" t="s">
        <v>247</v>
      </c>
      <c r="AJ285" s="4" t="s">
        <v>248</v>
      </c>
      <c r="AZ285" s="4" t="s">
        <v>249</v>
      </c>
      <c r="BA285" s="4" t="s">
        <v>241</v>
      </c>
      <c r="BB285" s="4" t="s">
        <v>250</v>
      </c>
      <c r="BC285" s="4" t="s">
        <v>241</v>
      </c>
      <c r="BD285" s="4" t="s">
        <v>252</v>
      </c>
      <c r="BE285" s="4" t="s">
        <v>241</v>
      </c>
      <c r="BI285" s="4" t="s">
        <v>253</v>
      </c>
      <c r="BJ285" s="5" t="s">
        <v>246</v>
      </c>
      <c r="BK285" s="4" t="s">
        <v>254</v>
      </c>
      <c r="BL285" s="4" t="s">
        <v>255</v>
      </c>
      <c r="BM285" s="4" t="s">
        <v>241</v>
      </c>
      <c r="BN285" s="6">
        <f>0</f>
        <v>0</v>
      </c>
      <c r="BO285" s="6">
        <f>0</f>
        <v>0</v>
      </c>
      <c r="BP285" s="4" t="s">
        <v>256</v>
      </c>
      <c r="BQ285" s="4" t="s">
        <v>257</v>
      </c>
      <c r="CE285" s="4" t="s">
        <v>241</v>
      </c>
      <c r="CF285" s="4" t="s">
        <v>241</v>
      </c>
      <c r="CJ285" s="4" t="s">
        <v>258</v>
      </c>
      <c r="CK285" s="4" t="s">
        <v>259</v>
      </c>
      <c r="CL285" s="4" t="s">
        <v>241</v>
      </c>
      <c r="CO285" s="5" t="s">
        <v>260</v>
      </c>
      <c r="CP285" s="4" t="s">
        <v>241</v>
      </c>
      <c r="CQ285" s="4" t="s">
        <v>261</v>
      </c>
      <c r="CR285" s="4" t="s">
        <v>241</v>
      </c>
      <c r="CS285" s="4" t="s">
        <v>241</v>
      </c>
      <c r="CT285" s="4">
        <v>0</v>
      </c>
      <c r="CU285" s="4" t="s">
        <v>262</v>
      </c>
      <c r="CV285" s="4" t="s">
        <v>263</v>
      </c>
      <c r="CW285" s="4" t="s">
        <v>263</v>
      </c>
      <c r="CX285" s="4" t="s">
        <v>264</v>
      </c>
      <c r="DA285" s="6">
        <f>1231540</f>
        <v>1231540</v>
      </c>
      <c r="DC285" s="4" t="s">
        <v>422</v>
      </c>
      <c r="DD285" s="4" t="s">
        <v>241</v>
      </c>
      <c r="DF285" s="4" t="s">
        <v>287</v>
      </c>
      <c r="DG285" s="6">
        <f>0</f>
        <v>0</v>
      </c>
      <c r="DI285" s="4" t="s">
        <v>414</v>
      </c>
      <c r="DJ285" s="4" t="s">
        <v>241</v>
      </c>
      <c r="DK285" s="4" t="s">
        <v>241</v>
      </c>
      <c r="DL285" s="4" t="s">
        <v>241</v>
      </c>
      <c r="DP285" s="4" t="s">
        <v>241</v>
      </c>
      <c r="DQ285" s="4" t="s">
        <v>241</v>
      </c>
      <c r="DR285" s="4" t="s">
        <v>241</v>
      </c>
      <c r="DS285" s="4" t="s">
        <v>241</v>
      </c>
      <c r="DV285" s="4" t="s">
        <v>4954</v>
      </c>
      <c r="DW285" s="4" t="s">
        <v>416</v>
      </c>
      <c r="HO285" s="4" t="s">
        <v>267</v>
      </c>
    </row>
    <row r="286" spans="1:223" ht="19.5" customHeight="1" x14ac:dyDescent="0.4">
      <c r="A286" s="4">
        <v>1</v>
      </c>
      <c r="B286" s="4" t="s">
        <v>239</v>
      </c>
      <c r="C286" s="4">
        <v>1020</v>
      </c>
      <c r="D286" s="4">
        <v>1</v>
      </c>
      <c r="E286" s="4">
        <v>1</v>
      </c>
      <c r="F286" s="4" t="s">
        <v>240</v>
      </c>
      <c r="G286" s="4" t="s">
        <v>241</v>
      </c>
      <c r="H286" s="4" t="s">
        <v>241</v>
      </c>
      <c r="I286" s="4" t="s">
        <v>4952</v>
      </c>
      <c r="J286" s="4" t="s">
        <v>4219</v>
      </c>
      <c r="K286" s="4" t="s">
        <v>251</v>
      </c>
      <c r="L286" s="4" t="s">
        <v>4951</v>
      </c>
      <c r="M286" s="5" t="s">
        <v>4958</v>
      </c>
      <c r="N286" s="6">
        <f>2442</f>
        <v>2442</v>
      </c>
      <c r="O286" s="4" t="s">
        <v>265</v>
      </c>
      <c r="P286" s="6">
        <f>5409030</f>
        <v>5409030</v>
      </c>
      <c r="Q286" s="6">
        <f>0</f>
        <v>0</v>
      </c>
      <c r="S286" s="6">
        <f>0</f>
        <v>0</v>
      </c>
      <c r="T286" s="6">
        <f>5409030</f>
        <v>5409030</v>
      </c>
      <c r="U286" s="5" t="s">
        <v>245</v>
      </c>
      <c r="V286" s="4" t="s">
        <v>270</v>
      </c>
      <c r="W286" s="4" t="s">
        <v>242</v>
      </c>
      <c r="X286" s="4" t="s">
        <v>273</v>
      </c>
      <c r="Y286" s="4" t="s">
        <v>241</v>
      </c>
      <c r="AB286" s="4" t="s">
        <v>241</v>
      </c>
      <c r="AD286" s="5" t="s">
        <v>241</v>
      </c>
      <c r="AG286" s="5" t="s">
        <v>246</v>
      </c>
      <c r="AH286" s="4" t="s">
        <v>241</v>
      </c>
      <c r="AI286" s="4" t="s">
        <v>247</v>
      </c>
      <c r="AJ286" s="4" t="s">
        <v>248</v>
      </c>
      <c r="AZ286" s="4" t="s">
        <v>249</v>
      </c>
      <c r="BA286" s="4" t="s">
        <v>241</v>
      </c>
      <c r="BB286" s="4" t="s">
        <v>250</v>
      </c>
      <c r="BC286" s="4" t="s">
        <v>241</v>
      </c>
      <c r="BD286" s="4" t="s">
        <v>252</v>
      </c>
      <c r="BE286" s="4" t="s">
        <v>241</v>
      </c>
      <c r="BI286" s="4" t="s">
        <v>253</v>
      </c>
      <c r="BJ286" s="5" t="s">
        <v>246</v>
      </c>
      <c r="BK286" s="4" t="s">
        <v>254</v>
      </c>
      <c r="BL286" s="4" t="s">
        <v>255</v>
      </c>
      <c r="BM286" s="4" t="s">
        <v>241</v>
      </c>
      <c r="BN286" s="6">
        <f>0</f>
        <v>0</v>
      </c>
      <c r="BO286" s="6">
        <f>0</f>
        <v>0</v>
      </c>
      <c r="BP286" s="4" t="s">
        <v>256</v>
      </c>
      <c r="BQ286" s="4" t="s">
        <v>257</v>
      </c>
      <c r="CE286" s="4" t="s">
        <v>241</v>
      </c>
      <c r="CF286" s="4" t="s">
        <v>241</v>
      </c>
      <c r="CJ286" s="4" t="s">
        <v>258</v>
      </c>
      <c r="CK286" s="4" t="s">
        <v>259</v>
      </c>
      <c r="CL286" s="4" t="s">
        <v>241</v>
      </c>
      <c r="CO286" s="5" t="s">
        <v>260</v>
      </c>
      <c r="CP286" s="4" t="s">
        <v>241</v>
      </c>
      <c r="CQ286" s="4" t="s">
        <v>261</v>
      </c>
      <c r="CR286" s="4" t="s">
        <v>241</v>
      </c>
      <c r="CS286" s="4" t="s">
        <v>241</v>
      </c>
      <c r="CT286" s="4">
        <v>0</v>
      </c>
      <c r="CU286" s="4" t="s">
        <v>262</v>
      </c>
      <c r="CV286" s="4" t="s">
        <v>263</v>
      </c>
      <c r="CW286" s="4" t="s">
        <v>263</v>
      </c>
      <c r="CX286" s="4" t="s">
        <v>264</v>
      </c>
      <c r="DA286" s="6">
        <f>5409030</f>
        <v>5409030</v>
      </c>
      <c r="DC286" s="4" t="s">
        <v>422</v>
      </c>
      <c r="DD286" s="4" t="s">
        <v>241</v>
      </c>
      <c r="DF286" s="4" t="s">
        <v>287</v>
      </c>
      <c r="DG286" s="6">
        <f>0</f>
        <v>0</v>
      </c>
      <c r="DI286" s="4" t="s">
        <v>414</v>
      </c>
      <c r="DJ286" s="4" t="s">
        <v>241</v>
      </c>
      <c r="DK286" s="4" t="s">
        <v>241</v>
      </c>
      <c r="DL286" s="4" t="s">
        <v>241</v>
      </c>
      <c r="DP286" s="4" t="s">
        <v>241</v>
      </c>
      <c r="DQ286" s="4" t="s">
        <v>241</v>
      </c>
      <c r="DR286" s="4" t="s">
        <v>241</v>
      </c>
      <c r="DS286" s="4" t="s">
        <v>241</v>
      </c>
      <c r="DV286" s="4" t="s">
        <v>4954</v>
      </c>
      <c r="DW286" s="4" t="s">
        <v>388</v>
      </c>
      <c r="HO286" s="4" t="s">
        <v>267</v>
      </c>
    </row>
    <row r="287" spans="1:223" ht="19.5" customHeight="1" x14ac:dyDescent="0.4">
      <c r="A287" s="4">
        <v>1</v>
      </c>
      <c r="B287" s="4" t="s">
        <v>239</v>
      </c>
      <c r="C287" s="4">
        <v>1021</v>
      </c>
      <c r="D287" s="4">
        <v>1</v>
      </c>
      <c r="E287" s="4">
        <v>1</v>
      </c>
      <c r="F287" s="4" t="s">
        <v>240</v>
      </c>
      <c r="G287" s="4" t="s">
        <v>241</v>
      </c>
      <c r="H287" s="4" t="s">
        <v>241</v>
      </c>
      <c r="I287" s="4" t="s">
        <v>4952</v>
      </c>
      <c r="J287" s="4" t="s">
        <v>4219</v>
      </c>
      <c r="K287" s="4" t="s">
        <v>251</v>
      </c>
      <c r="L287" s="4" t="s">
        <v>4951</v>
      </c>
      <c r="M287" s="5" t="s">
        <v>5485</v>
      </c>
      <c r="N287" s="6">
        <f>673</f>
        <v>673</v>
      </c>
      <c r="O287" s="4" t="s">
        <v>265</v>
      </c>
      <c r="P287" s="6">
        <f>1490695</f>
        <v>1490695</v>
      </c>
      <c r="Q287" s="6">
        <f>0</f>
        <v>0</v>
      </c>
      <c r="S287" s="6">
        <f>0</f>
        <v>0</v>
      </c>
      <c r="T287" s="6">
        <f>1490695</f>
        <v>1490695</v>
      </c>
      <c r="U287" s="5" t="s">
        <v>245</v>
      </c>
      <c r="V287" s="4" t="s">
        <v>270</v>
      </c>
      <c r="W287" s="4" t="s">
        <v>242</v>
      </c>
      <c r="X287" s="4" t="s">
        <v>273</v>
      </c>
      <c r="Y287" s="4" t="s">
        <v>241</v>
      </c>
      <c r="AB287" s="4" t="s">
        <v>241</v>
      </c>
      <c r="AD287" s="5" t="s">
        <v>241</v>
      </c>
      <c r="AG287" s="5" t="s">
        <v>246</v>
      </c>
      <c r="AH287" s="4" t="s">
        <v>241</v>
      </c>
      <c r="AI287" s="4" t="s">
        <v>247</v>
      </c>
      <c r="AJ287" s="4" t="s">
        <v>248</v>
      </c>
      <c r="AZ287" s="4" t="s">
        <v>249</v>
      </c>
      <c r="BA287" s="4" t="s">
        <v>241</v>
      </c>
      <c r="BB287" s="4" t="s">
        <v>250</v>
      </c>
      <c r="BC287" s="4" t="s">
        <v>241</v>
      </c>
      <c r="BD287" s="4" t="s">
        <v>252</v>
      </c>
      <c r="BE287" s="4" t="s">
        <v>241</v>
      </c>
      <c r="BI287" s="4" t="s">
        <v>253</v>
      </c>
      <c r="BJ287" s="5" t="s">
        <v>246</v>
      </c>
      <c r="BK287" s="4" t="s">
        <v>254</v>
      </c>
      <c r="BL287" s="4" t="s">
        <v>255</v>
      </c>
      <c r="BM287" s="4" t="s">
        <v>241</v>
      </c>
      <c r="BN287" s="6">
        <f>0</f>
        <v>0</v>
      </c>
      <c r="BO287" s="6">
        <f>0</f>
        <v>0</v>
      </c>
      <c r="BP287" s="4" t="s">
        <v>256</v>
      </c>
      <c r="BQ287" s="4" t="s">
        <v>257</v>
      </c>
      <c r="CE287" s="4" t="s">
        <v>241</v>
      </c>
      <c r="CF287" s="4" t="s">
        <v>241</v>
      </c>
      <c r="CJ287" s="4" t="s">
        <v>258</v>
      </c>
      <c r="CK287" s="4" t="s">
        <v>259</v>
      </c>
      <c r="CL287" s="4" t="s">
        <v>241</v>
      </c>
      <c r="CO287" s="5" t="s">
        <v>260</v>
      </c>
      <c r="CP287" s="4" t="s">
        <v>241</v>
      </c>
      <c r="CQ287" s="4" t="s">
        <v>261</v>
      </c>
      <c r="CR287" s="4" t="s">
        <v>241</v>
      </c>
      <c r="CS287" s="4" t="s">
        <v>241</v>
      </c>
      <c r="CT287" s="4">
        <v>0</v>
      </c>
      <c r="CU287" s="4" t="s">
        <v>262</v>
      </c>
      <c r="CV287" s="4" t="s">
        <v>263</v>
      </c>
      <c r="CW287" s="4" t="s">
        <v>263</v>
      </c>
      <c r="CX287" s="4" t="s">
        <v>264</v>
      </c>
      <c r="DA287" s="6">
        <f>1490695</f>
        <v>1490695</v>
      </c>
      <c r="DC287" s="4" t="s">
        <v>422</v>
      </c>
      <c r="DD287" s="4" t="s">
        <v>241</v>
      </c>
      <c r="DF287" s="4" t="s">
        <v>287</v>
      </c>
      <c r="DG287" s="6">
        <f>0</f>
        <v>0</v>
      </c>
      <c r="DI287" s="4" t="s">
        <v>414</v>
      </c>
      <c r="DJ287" s="4" t="s">
        <v>241</v>
      </c>
      <c r="DK287" s="4" t="s">
        <v>241</v>
      </c>
      <c r="DL287" s="4" t="s">
        <v>241</v>
      </c>
      <c r="DP287" s="4" t="s">
        <v>241</v>
      </c>
      <c r="DQ287" s="4" t="s">
        <v>241</v>
      </c>
      <c r="DR287" s="4" t="s">
        <v>241</v>
      </c>
      <c r="DS287" s="4" t="s">
        <v>241</v>
      </c>
      <c r="DV287" s="4" t="s">
        <v>4954</v>
      </c>
      <c r="DW287" s="4" t="s">
        <v>327</v>
      </c>
      <c r="HO287" s="4" t="s">
        <v>267</v>
      </c>
    </row>
    <row r="288" spans="1:223" ht="19.5" customHeight="1" x14ac:dyDescent="0.4">
      <c r="A288" s="4">
        <v>1</v>
      </c>
      <c r="B288" s="4" t="s">
        <v>239</v>
      </c>
      <c r="C288" s="4">
        <v>1022</v>
      </c>
      <c r="D288" s="4">
        <v>1</v>
      </c>
      <c r="E288" s="4">
        <v>1</v>
      </c>
      <c r="F288" s="4" t="s">
        <v>240</v>
      </c>
      <c r="G288" s="4" t="s">
        <v>241</v>
      </c>
      <c r="H288" s="4" t="s">
        <v>241</v>
      </c>
      <c r="I288" s="4" t="s">
        <v>4952</v>
      </c>
      <c r="J288" s="4" t="s">
        <v>4219</v>
      </c>
      <c r="K288" s="4" t="s">
        <v>251</v>
      </c>
      <c r="L288" s="4" t="s">
        <v>4951</v>
      </c>
      <c r="M288" s="5" t="s">
        <v>4953</v>
      </c>
      <c r="N288" s="6">
        <f>961</f>
        <v>961</v>
      </c>
      <c r="O288" s="4" t="s">
        <v>265</v>
      </c>
      <c r="P288" s="6">
        <f>2128615</f>
        <v>2128615</v>
      </c>
      <c r="Q288" s="6">
        <f>0</f>
        <v>0</v>
      </c>
      <c r="S288" s="6">
        <f>0</f>
        <v>0</v>
      </c>
      <c r="T288" s="6">
        <f>2128615</f>
        <v>2128615</v>
      </c>
      <c r="U288" s="5" t="s">
        <v>245</v>
      </c>
      <c r="V288" s="4" t="s">
        <v>270</v>
      </c>
      <c r="W288" s="4" t="s">
        <v>242</v>
      </c>
      <c r="X288" s="4" t="s">
        <v>273</v>
      </c>
      <c r="Y288" s="4" t="s">
        <v>241</v>
      </c>
      <c r="AB288" s="4" t="s">
        <v>241</v>
      </c>
      <c r="AD288" s="5" t="s">
        <v>241</v>
      </c>
      <c r="AG288" s="5" t="s">
        <v>246</v>
      </c>
      <c r="AH288" s="4" t="s">
        <v>241</v>
      </c>
      <c r="AI288" s="4" t="s">
        <v>247</v>
      </c>
      <c r="AJ288" s="4" t="s">
        <v>248</v>
      </c>
      <c r="AZ288" s="4" t="s">
        <v>249</v>
      </c>
      <c r="BA288" s="4" t="s">
        <v>241</v>
      </c>
      <c r="BB288" s="4" t="s">
        <v>250</v>
      </c>
      <c r="BC288" s="4" t="s">
        <v>241</v>
      </c>
      <c r="BD288" s="4" t="s">
        <v>252</v>
      </c>
      <c r="BE288" s="4" t="s">
        <v>241</v>
      </c>
      <c r="BI288" s="4" t="s">
        <v>253</v>
      </c>
      <c r="BJ288" s="5" t="s">
        <v>246</v>
      </c>
      <c r="BK288" s="4" t="s">
        <v>254</v>
      </c>
      <c r="BL288" s="4" t="s">
        <v>255</v>
      </c>
      <c r="BM288" s="4" t="s">
        <v>241</v>
      </c>
      <c r="BN288" s="6">
        <f>0</f>
        <v>0</v>
      </c>
      <c r="BO288" s="6">
        <f>0</f>
        <v>0</v>
      </c>
      <c r="BP288" s="4" t="s">
        <v>256</v>
      </c>
      <c r="BQ288" s="4" t="s">
        <v>257</v>
      </c>
      <c r="CE288" s="4" t="s">
        <v>241</v>
      </c>
      <c r="CF288" s="4" t="s">
        <v>241</v>
      </c>
      <c r="CJ288" s="4" t="s">
        <v>258</v>
      </c>
      <c r="CK288" s="4" t="s">
        <v>259</v>
      </c>
      <c r="CL288" s="4" t="s">
        <v>241</v>
      </c>
      <c r="CO288" s="5" t="s">
        <v>260</v>
      </c>
      <c r="CP288" s="4" t="s">
        <v>241</v>
      </c>
      <c r="CQ288" s="4" t="s">
        <v>261</v>
      </c>
      <c r="CR288" s="4" t="s">
        <v>241</v>
      </c>
      <c r="CS288" s="4" t="s">
        <v>241</v>
      </c>
      <c r="CT288" s="4">
        <v>0</v>
      </c>
      <c r="CU288" s="4" t="s">
        <v>262</v>
      </c>
      <c r="CV288" s="4" t="s">
        <v>263</v>
      </c>
      <c r="CW288" s="4" t="s">
        <v>263</v>
      </c>
      <c r="CX288" s="4" t="s">
        <v>264</v>
      </c>
      <c r="DA288" s="6">
        <f>2128615</f>
        <v>2128615</v>
      </c>
      <c r="DC288" s="4" t="s">
        <v>422</v>
      </c>
      <c r="DD288" s="4" t="s">
        <v>241</v>
      </c>
      <c r="DF288" s="4" t="s">
        <v>287</v>
      </c>
      <c r="DG288" s="6">
        <f>0</f>
        <v>0</v>
      </c>
      <c r="DI288" s="4" t="s">
        <v>414</v>
      </c>
      <c r="DJ288" s="4" t="s">
        <v>241</v>
      </c>
      <c r="DK288" s="4" t="s">
        <v>241</v>
      </c>
      <c r="DL288" s="4" t="s">
        <v>241</v>
      </c>
      <c r="DP288" s="4" t="s">
        <v>241</v>
      </c>
      <c r="DQ288" s="4" t="s">
        <v>241</v>
      </c>
      <c r="DR288" s="4" t="s">
        <v>241</v>
      </c>
      <c r="DS288" s="4" t="s">
        <v>241</v>
      </c>
      <c r="DV288" s="4" t="s">
        <v>4954</v>
      </c>
      <c r="DW288" s="4" t="s">
        <v>748</v>
      </c>
      <c r="HO288" s="4" t="s">
        <v>267</v>
      </c>
    </row>
    <row r="289" spans="1:223" ht="19.5" customHeight="1" x14ac:dyDescent="0.4">
      <c r="A289" s="4">
        <v>1</v>
      </c>
      <c r="B289" s="4" t="s">
        <v>239</v>
      </c>
      <c r="C289" s="4">
        <v>1023</v>
      </c>
      <c r="D289" s="4">
        <v>1</v>
      </c>
      <c r="E289" s="4">
        <v>1</v>
      </c>
      <c r="F289" s="4" t="s">
        <v>240</v>
      </c>
      <c r="G289" s="4" t="s">
        <v>241</v>
      </c>
      <c r="H289" s="4" t="s">
        <v>241</v>
      </c>
      <c r="I289" s="4" t="s">
        <v>4952</v>
      </c>
      <c r="J289" s="4" t="s">
        <v>4219</v>
      </c>
      <c r="K289" s="4" t="s">
        <v>251</v>
      </c>
      <c r="L289" s="4" t="s">
        <v>4951</v>
      </c>
      <c r="M289" s="5" t="s">
        <v>4959</v>
      </c>
      <c r="N289" s="6">
        <f>2249</f>
        <v>2249</v>
      </c>
      <c r="O289" s="4" t="s">
        <v>265</v>
      </c>
      <c r="P289" s="6">
        <f>4981535</f>
        <v>4981535</v>
      </c>
      <c r="Q289" s="6">
        <f>0</f>
        <v>0</v>
      </c>
      <c r="S289" s="6">
        <f>0</f>
        <v>0</v>
      </c>
      <c r="T289" s="6">
        <f>4981535</f>
        <v>4981535</v>
      </c>
      <c r="U289" s="5" t="s">
        <v>245</v>
      </c>
      <c r="V289" s="4" t="s">
        <v>270</v>
      </c>
      <c r="W289" s="4" t="s">
        <v>242</v>
      </c>
      <c r="X289" s="4" t="s">
        <v>273</v>
      </c>
      <c r="Y289" s="4" t="s">
        <v>241</v>
      </c>
      <c r="AB289" s="4" t="s">
        <v>241</v>
      </c>
      <c r="AD289" s="5" t="s">
        <v>241</v>
      </c>
      <c r="AG289" s="5" t="s">
        <v>246</v>
      </c>
      <c r="AH289" s="4" t="s">
        <v>241</v>
      </c>
      <c r="AI289" s="4" t="s">
        <v>247</v>
      </c>
      <c r="AJ289" s="4" t="s">
        <v>248</v>
      </c>
      <c r="AZ289" s="4" t="s">
        <v>249</v>
      </c>
      <c r="BA289" s="4" t="s">
        <v>241</v>
      </c>
      <c r="BB289" s="4" t="s">
        <v>250</v>
      </c>
      <c r="BC289" s="4" t="s">
        <v>241</v>
      </c>
      <c r="BD289" s="4" t="s">
        <v>252</v>
      </c>
      <c r="BE289" s="4" t="s">
        <v>241</v>
      </c>
      <c r="BI289" s="4" t="s">
        <v>253</v>
      </c>
      <c r="BJ289" s="5" t="s">
        <v>246</v>
      </c>
      <c r="BK289" s="4" t="s">
        <v>254</v>
      </c>
      <c r="BL289" s="4" t="s">
        <v>255</v>
      </c>
      <c r="BM289" s="4" t="s">
        <v>241</v>
      </c>
      <c r="BN289" s="6">
        <f>0</f>
        <v>0</v>
      </c>
      <c r="BO289" s="6">
        <f>0</f>
        <v>0</v>
      </c>
      <c r="BP289" s="4" t="s">
        <v>256</v>
      </c>
      <c r="BQ289" s="4" t="s">
        <v>257</v>
      </c>
      <c r="CE289" s="4" t="s">
        <v>241</v>
      </c>
      <c r="CF289" s="4" t="s">
        <v>241</v>
      </c>
      <c r="CJ289" s="4" t="s">
        <v>258</v>
      </c>
      <c r="CK289" s="4" t="s">
        <v>259</v>
      </c>
      <c r="CL289" s="4" t="s">
        <v>241</v>
      </c>
      <c r="CO289" s="5" t="s">
        <v>260</v>
      </c>
      <c r="CP289" s="4" t="s">
        <v>241</v>
      </c>
      <c r="CQ289" s="4" t="s">
        <v>261</v>
      </c>
      <c r="CR289" s="4" t="s">
        <v>241</v>
      </c>
      <c r="CS289" s="4" t="s">
        <v>241</v>
      </c>
      <c r="CT289" s="4">
        <v>0</v>
      </c>
      <c r="CU289" s="4" t="s">
        <v>262</v>
      </c>
      <c r="CV289" s="4" t="s">
        <v>263</v>
      </c>
      <c r="CW289" s="4" t="s">
        <v>263</v>
      </c>
      <c r="CX289" s="4" t="s">
        <v>264</v>
      </c>
      <c r="DA289" s="6">
        <f>4981535</f>
        <v>4981535</v>
      </c>
      <c r="DC289" s="4" t="s">
        <v>422</v>
      </c>
      <c r="DD289" s="4" t="s">
        <v>241</v>
      </c>
      <c r="DF289" s="4" t="s">
        <v>287</v>
      </c>
      <c r="DG289" s="6">
        <f>0</f>
        <v>0</v>
      </c>
      <c r="DI289" s="4" t="s">
        <v>414</v>
      </c>
      <c r="DJ289" s="4" t="s">
        <v>241</v>
      </c>
      <c r="DK289" s="4" t="s">
        <v>241</v>
      </c>
      <c r="DL289" s="4" t="s">
        <v>241</v>
      </c>
      <c r="DP289" s="4" t="s">
        <v>241</v>
      </c>
      <c r="DQ289" s="4" t="s">
        <v>241</v>
      </c>
      <c r="DR289" s="4" t="s">
        <v>241</v>
      </c>
      <c r="DS289" s="4" t="s">
        <v>241</v>
      </c>
      <c r="DV289" s="4" t="s">
        <v>4954</v>
      </c>
      <c r="DW289" s="4" t="s">
        <v>719</v>
      </c>
      <c r="HO289" s="4" t="s">
        <v>267</v>
      </c>
    </row>
    <row r="290" spans="1:223" ht="19.5" customHeight="1" x14ac:dyDescent="0.4">
      <c r="A290" s="4">
        <v>1</v>
      </c>
      <c r="B290" s="4" t="s">
        <v>239</v>
      </c>
      <c r="C290" s="4">
        <v>1024</v>
      </c>
      <c r="D290" s="4">
        <v>1</v>
      </c>
      <c r="E290" s="4">
        <v>1</v>
      </c>
      <c r="F290" s="4" t="s">
        <v>240</v>
      </c>
      <c r="G290" s="4" t="s">
        <v>241</v>
      </c>
      <c r="H290" s="4" t="s">
        <v>241</v>
      </c>
      <c r="I290" s="4" t="s">
        <v>4952</v>
      </c>
      <c r="J290" s="4" t="s">
        <v>4219</v>
      </c>
      <c r="K290" s="4" t="s">
        <v>251</v>
      </c>
      <c r="L290" s="4" t="s">
        <v>4951</v>
      </c>
      <c r="M290" s="5" t="s">
        <v>4960</v>
      </c>
      <c r="N290" s="6">
        <f>99</f>
        <v>99</v>
      </c>
      <c r="O290" s="4" t="s">
        <v>265</v>
      </c>
      <c r="P290" s="6">
        <f>219285</f>
        <v>219285</v>
      </c>
      <c r="Q290" s="6">
        <f>0</f>
        <v>0</v>
      </c>
      <c r="S290" s="6">
        <f>0</f>
        <v>0</v>
      </c>
      <c r="T290" s="6">
        <f>219285</f>
        <v>219285</v>
      </c>
      <c r="U290" s="5" t="s">
        <v>245</v>
      </c>
      <c r="V290" s="4" t="s">
        <v>270</v>
      </c>
      <c r="W290" s="4" t="s">
        <v>242</v>
      </c>
      <c r="X290" s="4" t="s">
        <v>273</v>
      </c>
      <c r="Y290" s="4" t="s">
        <v>241</v>
      </c>
      <c r="AB290" s="4" t="s">
        <v>241</v>
      </c>
      <c r="AD290" s="5" t="s">
        <v>241</v>
      </c>
      <c r="AG290" s="5" t="s">
        <v>246</v>
      </c>
      <c r="AH290" s="4" t="s">
        <v>241</v>
      </c>
      <c r="AI290" s="4" t="s">
        <v>247</v>
      </c>
      <c r="AJ290" s="4" t="s">
        <v>248</v>
      </c>
      <c r="AZ290" s="4" t="s">
        <v>249</v>
      </c>
      <c r="BA290" s="4" t="s">
        <v>241</v>
      </c>
      <c r="BB290" s="4" t="s">
        <v>250</v>
      </c>
      <c r="BC290" s="4" t="s">
        <v>241</v>
      </c>
      <c r="BD290" s="4" t="s">
        <v>252</v>
      </c>
      <c r="BE290" s="4" t="s">
        <v>241</v>
      </c>
      <c r="BI290" s="4" t="s">
        <v>253</v>
      </c>
      <c r="BJ290" s="5" t="s">
        <v>246</v>
      </c>
      <c r="BK290" s="4" t="s">
        <v>254</v>
      </c>
      <c r="BL290" s="4" t="s">
        <v>255</v>
      </c>
      <c r="BM290" s="4" t="s">
        <v>241</v>
      </c>
      <c r="BN290" s="6">
        <f>0</f>
        <v>0</v>
      </c>
      <c r="BO290" s="6">
        <f>0</f>
        <v>0</v>
      </c>
      <c r="BP290" s="4" t="s">
        <v>256</v>
      </c>
      <c r="BQ290" s="4" t="s">
        <v>257</v>
      </c>
      <c r="CE290" s="4" t="s">
        <v>241</v>
      </c>
      <c r="CF290" s="4" t="s">
        <v>241</v>
      </c>
      <c r="CJ290" s="4" t="s">
        <v>258</v>
      </c>
      <c r="CK290" s="4" t="s">
        <v>259</v>
      </c>
      <c r="CL290" s="4" t="s">
        <v>241</v>
      </c>
      <c r="CO290" s="5" t="s">
        <v>260</v>
      </c>
      <c r="CP290" s="4" t="s">
        <v>241</v>
      </c>
      <c r="CQ290" s="4" t="s">
        <v>261</v>
      </c>
      <c r="CR290" s="4" t="s">
        <v>241</v>
      </c>
      <c r="CS290" s="4" t="s">
        <v>241</v>
      </c>
      <c r="CT290" s="4">
        <v>0</v>
      </c>
      <c r="CU290" s="4" t="s">
        <v>262</v>
      </c>
      <c r="CV290" s="4" t="s">
        <v>263</v>
      </c>
      <c r="CW290" s="4" t="s">
        <v>263</v>
      </c>
      <c r="CX290" s="4" t="s">
        <v>264</v>
      </c>
      <c r="DA290" s="6">
        <f>219285</f>
        <v>219285</v>
      </c>
      <c r="DC290" s="4" t="s">
        <v>422</v>
      </c>
      <c r="DD290" s="4" t="s">
        <v>241</v>
      </c>
      <c r="DF290" s="4" t="s">
        <v>287</v>
      </c>
      <c r="DG290" s="6">
        <f>0</f>
        <v>0</v>
      </c>
      <c r="DI290" s="4" t="s">
        <v>414</v>
      </c>
      <c r="DJ290" s="4" t="s">
        <v>241</v>
      </c>
      <c r="DK290" s="4" t="s">
        <v>241</v>
      </c>
      <c r="DL290" s="4" t="s">
        <v>241</v>
      </c>
      <c r="DP290" s="4" t="s">
        <v>241</v>
      </c>
      <c r="DQ290" s="4" t="s">
        <v>241</v>
      </c>
      <c r="DR290" s="4" t="s">
        <v>241</v>
      </c>
      <c r="DS290" s="4" t="s">
        <v>241</v>
      </c>
      <c r="DV290" s="4" t="s">
        <v>4954</v>
      </c>
      <c r="DW290" s="4" t="s">
        <v>690</v>
      </c>
      <c r="HO290" s="4" t="s">
        <v>267</v>
      </c>
    </row>
    <row r="291" spans="1:223" ht="19.5" customHeight="1" x14ac:dyDescent="0.4">
      <c r="A291" s="4">
        <v>1</v>
      </c>
      <c r="B291" s="4" t="s">
        <v>239</v>
      </c>
      <c r="C291" s="4">
        <v>1025</v>
      </c>
      <c r="D291" s="4">
        <v>1</v>
      </c>
      <c r="E291" s="4">
        <v>1</v>
      </c>
      <c r="F291" s="4" t="s">
        <v>240</v>
      </c>
      <c r="G291" s="4" t="s">
        <v>241</v>
      </c>
      <c r="H291" s="4" t="s">
        <v>241</v>
      </c>
      <c r="I291" s="4" t="s">
        <v>4952</v>
      </c>
      <c r="J291" s="4" t="s">
        <v>4219</v>
      </c>
      <c r="K291" s="4" t="s">
        <v>251</v>
      </c>
      <c r="L291" s="4" t="s">
        <v>4951</v>
      </c>
      <c r="M291" s="5" t="s">
        <v>5486</v>
      </c>
      <c r="N291" s="6">
        <f>5430</f>
        <v>5430</v>
      </c>
      <c r="O291" s="4" t="s">
        <v>265</v>
      </c>
      <c r="P291" s="6">
        <f>12027450</f>
        <v>12027450</v>
      </c>
      <c r="Q291" s="6">
        <f>0</f>
        <v>0</v>
      </c>
      <c r="S291" s="6">
        <f>0</f>
        <v>0</v>
      </c>
      <c r="T291" s="6">
        <f>12027450</f>
        <v>12027450</v>
      </c>
      <c r="U291" s="5" t="s">
        <v>245</v>
      </c>
      <c r="V291" s="4" t="s">
        <v>270</v>
      </c>
      <c r="W291" s="4" t="s">
        <v>242</v>
      </c>
      <c r="X291" s="4" t="s">
        <v>273</v>
      </c>
      <c r="Y291" s="4" t="s">
        <v>241</v>
      </c>
      <c r="AB291" s="4" t="s">
        <v>241</v>
      </c>
      <c r="AD291" s="5" t="s">
        <v>241</v>
      </c>
      <c r="AG291" s="5" t="s">
        <v>246</v>
      </c>
      <c r="AH291" s="4" t="s">
        <v>241</v>
      </c>
      <c r="AI291" s="4" t="s">
        <v>247</v>
      </c>
      <c r="AJ291" s="4" t="s">
        <v>248</v>
      </c>
      <c r="AZ291" s="4" t="s">
        <v>249</v>
      </c>
      <c r="BA291" s="4" t="s">
        <v>241</v>
      </c>
      <c r="BB291" s="4" t="s">
        <v>250</v>
      </c>
      <c r="BC291" s="4" t="s">
        <v>241</v>
      </c>
      <c r="BD291" s="4" t="s">
        <v>252</v>
      </c>
      <c r="BE291" s="4" t="s">
        <v>241</v>
      </c>
      <c r="BI291" s="4" t="s">
        <v>253</v>
      </c>
      <c r="BJ291" s="5" t="s">
        <v>246</v>
      </c>
      <c r="BK291" s="4" t="s">
        <v>254</v>
      </c>
      <c r="BL291" s="4" t="s">
        <v>255</v>
      </c>
      <c r="BM291" s="4" t="s">
        <v>241</v>
      </c>
      <c r="BN291" s="6">
        <f>0</f>
        <v>0</v>
      </c>
      <c r="BO291" s="6">
        <f>0</f>
        <v>0</v>
      </c>
      <c r="BP291" s="4" t="s">
        <v>256</v>
      </c>
      <c r="BQ291" s="4" t="s">
        <v>257</v>
      </c>
      <c r="CE291" s="4" t="s">
        <v>241</v>
      </c>
      <c r="CF291" s="4" t="s">
        <v>241</v>
      </c>
      <c r="CJ291" s="4" t="s">
        <v>258</v>
      </c>
      <c r="CK291" s="4" t="s">
        <v>259</v>
      </c>
      <c r="CL291" s="4" t="s">
        <v>241</v>
      </c>
      <c r="CO291" s="5" t="s">
        <v>260</v>
      </c>
      <c r="CP291" s="4" t="s">
        <v>241</v>
      </c>
      <c r="CQ291" s="4" t="s">
        <v>261</v>
      </c>
      <c r="CR291" s="4" t="s">
        <v>241</v>
      </c>
      <c r="CS291" s="4" t="s">
        <v>241</v>
      </c>
      <c r="CT291" s="4">
        <v>0</v>
      </c>
      <c r="CU291" s="4" t="s">
        <v>262</v>
      </c>
      <c r="CV291" s="4" t="s">
        <v>263</v>
      </c>
      <c r="CW291" s="4" t="s">
        <v>263</v>
      </c>
      <c r="CX291" s="4" t="s">
        <v>264</v>
      </c>
      <c r="DA291" s="6">
        <f>12027450</f>
        <v>12027450</v>
      </c>
      <c r="DC291" s="4" t="s">
        <v>422</v>
      </c>
      <c r="DD291" s="4" t="s">
        <v>241</v>
      </c>
      <c r="DF291" s="4" t="s">
        <v>287</v>
      </c>
      <c r="DG291" s="6">
        <f>0</f>
        <v>0</v>
      </c>
      <c r="DI291" s="4" t="s">
        <v>414</v>
      </c>
      <c r="DJ291" s="4" t="s">
        <v>241</v>
      </c>
      <c r="DK291" s="4" t="s">
        <v>241</v>
      </c>
      <c r="DL291" s="4" t="s">
        <v>241</v>
      </c>
      <c r="DP291" s="4" t="s">
        <v>241</v>
      </c>
      <c r="DQ291" s="4" t="s">
        <v>241</v>
      </c>
      <c r="DR291" s="4" t="s">
        <v>241</v>
      </c>
      <c r="DS291" s="4" t="s">
        <v>241</v>
      </c>
      <c r="DV291" s="4" t="s">
        <v>4954</v>
      </c>
      <c r="DW291" s="4" t="s">
        <v>628</v>
      </c>
      <c r="HO291" s="4" t="s">
        <v>267</v>
      </c>
    </row>
    <row r="292" spans="1:223" ht="19.5" customHeight="1" x14ac:dyDescent="0.4">
      <c r="A292" s="4">
        <v>1</v>
      </c>
      <c r="B292" s="4" t="s">
        <v>239</v>
      </c>
      <c r="C292" s="4">
        <v>1026</v>
      </c>
      <c r="D292" s="4">
        <v>1</v>
      </c>
      <c r="E292" s="4">
        <v>1</v>
      </c>
      <c r="F292" s="4" t="s">
        <v>240</v>
      </c>
      <c r="G292" s="4" t="s">
        <v>241</v>
      </c>
      <c r="H292" s="4" t="s">
        <v>241</v>
      </c>
      <c r="I292" s="4" t="s">
        <v>4952</v>
      </c>
      <c r="J292" s="4" t="s">
        <v>4219</v>
      </c>
      <c r="K292" s="4" t="s">
        <v>251</v>
      </c>
      <c r="L292" s="4" t="s">
        <v>4951</v>
      </c>
      <c r="M292" s="5" t="s">
        <v>4962</v>
      </c>
      <c r="N292" s="6">
        <f>2931</f>
        <v>2931</v>
      </c>
      <c r="O292" s="4" t="s">
        <v>265</v>
      </c>
      <c r="P292" s="6">
        <f>6492165</f>
        <v>6492165</v>
      </c>
      <c r="Q292" s="6">
        <f>0</f>
        <v>0</v>
      </c>
      <c r="S292" s="6">
        <f>0</f>
        <v>0</v>
      </c>
      <c r="T292" s="6">
        <f>6492165</f>
        <v>6492165</v>
      </c>
      <c r="U292" s="5" t="s">
        <v>245</v>
      </c>
      <c r="V292" s="4" t="s">
        <v>270</v>
      </c>
      <c r="W292" s="4" t="s">
        <v>242</v>
      </c>
      <c r="X292" s="4" t="s">
        <v>273</v>
      </c>
      <c r="Y292" s="4" t="s">
        <v>241</v>
      </c>
      <c r="AB292" s="4" t="s">
        <v>241</v>
      </c>
      <c r="AD292" s="5" t="s">
        <v>241</v>
      </c>
      <c r="AG292" s="5" t="s">
        <v>246</v>
      </c>
      <c r="AH292" s="4" t="s">
        <v>241</v>
      </c>
      <c r="AI292" s="4" t="s">
        <v>247</v>
      </c>
      <c r="AJ292" s="4" t="s">
        <v>248</v>
      </c>
      <c r="AZ292" s="4" t="s">
        <v>249</v>
      </c>
      <c r="BA292" s="4" t="s">
        <v>241</v>
      </c>
      <c r="BB292" s="4" t="s">
        <v>250</v>
      </c>
      <c r="BC292" s="4" t="s">
        <v>241</v>
      </c>
      <c r="BD292" s="4" t="s">
        <v>252</v>
      </c>
      <c r="BE292" s="4" t="s">
        <v>241</v>
      </c>
      <c r="BI292" s="4" t="s">
        <v>253</v>
      </c>
      <c r="BJ292" s="5" t="s">
        <v>246</v>
      </c>
      <c r="BK292" s="4" t="s">
        <v>254</v>
      </c>
      <c r="BL292" s="4" t="s">
        <v>255</v>
      </c>
      <c r="BM292" s="4" t="s">
        <v>241</v>
      </c>
      <c r="BN292" s="6">
        <f>0</f>
        <v>0</v>
      </c>
      <c r="BO292" s="6">
        <f>0</f>
        <v>0</v>
      </c>
      <c r="BP292" s="4" t="s">
        <v>256</v>
      </c>
      <c r="BQ292" s="4" t="s">
        <v>257</v>
      </c>
      <c r="CE292" s="4" t="s">
        <v>241</v>
      </c>
      <c r="CF292" s="4" t="s">
        <v>241</v>
      </c>
      <c r="CJ292" s="4" t="s">
        <v>258</v>
      </c>
      <c r="CK292" s="4" t="s">
        <v>259</v>
      </c>
      <c r="CL292" s="4" t="s">
        <v>241</v>
      </c>
      <c r="CO292" s="5" t="s">
        <v>260</v>
      </c>
      <c r="CP292" s="4" t="s">
        <v>241</v>
      </c>
      <c r="CQ292" s="4" t="s">
        <v>261</v>
      </c>
      <c r="CR292" s="4" t="s">
        <v>241</v>
      </c>
      <c r="CS292" s="4" t="s">
        <v>241</v>
      </c>
      <c r="CT292" s="4">
        <v>0</v>
      </c>
      <c r="CU292" s="4" t="s">
        <v>262</v>
      </c>
      <c r="CV292" s="4" t="s">
        <v>263</v>
      </c>
      <c r="CW292" s="4" t="s">
        <v>263</v>
      </c>
      <c r="CX292" s="4" t="s">
        <v>264</v>
      </c>
      <c r="DA292" s="6">
        <f>6492165</f>
        <v>6492165</v>
      </c>
      <c r="DC292" s="4" t="s">
        <v>422</v>
      </c>
      <c r="DD292" s="4" t="s">
        <v>241</v>
      </c>
      <c r="DF292" s="4" t="s">
        <v>287</v>
      </c>
      <c r="DG292" s="6">
        <f>0</f>
        <v>0</v>
      </c>
      <c r="DI292" s="4" t="s">
        <v>414</v>
      </c>
      <c r="DJ292" s="4" t="s">
        <v>241</v>
      </c>
      <c r="DK292" s="4" t="s">
        <v>241</v>
      </c>
      <c r="DL292" s="4" t="s">
        <v>241</v>
      </c>
      <c r="DP292" s="4" t="s">
        <v>241</v>
      </c>
      <c r="DQ292" s="4" t="s">
        <v>241</v>
      </c>
      <c r="DR292" s="4" t="s">
        <v>241</v>
      </c>
      <c r="DS292" s="4" t="s">
        <v>241</v>
      </c>
      <c r="DV292" s="4" t="s">
        <v>4954</v>
      </c>
      <c r="DW292" s="4" t="s">
        <v>597</v>
      </c>
      <c r="HO292" s="4" t="s">
        <v>267</v>
      </c>
    </row>
    <row r="293" spans="1:223" ht="19.5" customHeight="1" x14ac:dyDescent="0.4">
      <c r="A293" s="4">
        <v>1</v>
      </c>
      <c r="B293" s="4" t="s">
        <v>239</v>
      </c>
      <c r="C293" s="4">
        <v>1027</v>
      </c>
      <c r="D293" s="4">
        <v>1</v>
      </c>
      <c r="E293" s="4">
        <v>1</v>
      </c>
      <c r="F293" s="4" t="s">
        <v>240</v>
      </c>
      <c r="G293" s="4" t="s">
        <v>241</v>
      </c>
      <c r="H293" s="4" t="s">
        <v>241</v>
      </c>
      <c r="I293" s="4" t="s">
        <v>4952</v>
      </c>
      <c r="J293" s="4" t="s">
        <v>4219</v>
      </c>
      <c r="K293" s="4" t="s">
        <v>251</v>
      </c>
      <c r="L293" s="4" t="s">
        <v>4951</v>
      </c>
      <c r="M293" s="5" t="s">
        <v>4963</v>
      </c>
      <c r="N293" s="6">
        <f>124</f>
        <v>124</v>
      </c>
      <c r="O293" s="4" t="s">
        <v>265</v>
      </c>
      <c r="P293" s="6">
        <f>274660</f>
        <v>274660</v>
      </c>
      <c r="Q293" s="6">
        <f>0</f>
        <v>0</v>
      </c>
      <c r="S293" s="6">
        <f>0</f>
        <v>0</v>
      </c>
      <c r="T293" s="6">
        <f>274660</f>
        <v>274660</v>
      </c>
      <c r="U293" s="5" t="s">
        <v>245</v>
      </c>
      <c r="V293" s="4" t="s">
        <v>270</v>
      </c>
      <c r="W293" s="4" t="s">
        <v>242</v>
      </c>
      <c r="X293" s="4" t="s">
        <v>273</v>
      </c>
      <c r="Y293" s="4" t="s">
        <v>241</v>
      </c>
      <c r="AB293" s="4" t="s">
        <v>241</v>
      </c>
      <c r="AD293" s="5" t="s">
        <v>241</v>
      </c>
      <c r="AG293" s="5" t="s">
        <v>246</v>
      </c>
      <c r="AH293" s="4" t="s">
        <v>241</v>
      </c>
      <c r="AI293" s="4" t="s">
        <v>247</v>
      </c>
      <c r="AJ293" s="4" t="s">
        <v>248</v>
      </c>
      <c r="AZ293" s="4" t="s">
        <v>249</v>
      </c>
      <c r="BA293" s="4" t="s">
        <v>241</v>
      </c>
      <c r="BB293" s="4" t="s">
        <v>250</v>
      </c>
      <c r="BC293" s="4" t="s">
        <v>241</v>
      </c>
      <c r="BD293" s="4" t="s">
        <v>252</v>
      </c>
      <c r="BE293" s="4" t="s">
        <v>241</v>
      </c>
      <c r="BI293" s="4" t="s">
        <v>253</v>
      </c>
      <c r="BJ293" s="5" t="s">
        <v>246</v>
      </c>
      <c r="BK293" s="4" t="s">
        <v>254</v>
      </c>
      <c r="BL293" s="4" t="s">
        <v>255</v>
      </c>
      <c r="BM293" s="4" t="s">
        <v>241</v>
      </c>
      <c r="BN293" s="6">
        <f>0</f>
        <v>0</v>
      </c>
      <c r="BO293" s="6">
        <f>0</f>
        <v>0</v>
      </c>
      <c r="BP293" s="4" t="s">
        <v>256</v>
      </c>
      <c r="BQ293" s="4" t="s">
        <v>257</v>
      </c>
      <c r="CE293" s="4" t="s">
        <v>241</v>
      </c>
      <c r="CF293" s="4" t="s">
        <v>241</v>
      </c>
      <c r="CJ293" s="4" t="s">
        <v>258</v>
      </c>
      <c r="CK293" s="4" t="s">
        <v>259</v>
      </c>
      <c r="CL293" s="4" t="s">
        <v>241</v>
      </c>
      <c r="CO293" s="5" t="s">
        <v>260</v>
      </c>
      <c r="CP293" s="4" t="s">
        <v>241</v>
      </c>
      <c r="CQ293" s="4" t="s">
        <v>261</v>
      </c>
      <c r="CR293" s="4" t="s">
        <v>241</v>
      </c>
      <c r="CS293" s="4" t="s">
        <v>241</v>
      </c>
      <c r="CT293" s="4">
        <v>0</v>
      </c>
      <c r="CU293" s="4" t="s">
        <v>262</v>
      </c>
      <c r="CV293" s="4" t="s">
        <v>263</v>
      </c>
      <c r="CW293" s="4" t="s">
        <v>263</v>
      </c>
      <c r="CX293" s="4" t="s">
        <v>264</v>
      </c>
      <c r="DA293" s="6">
        <f>274660</f>
        <v>274660</v>
      </c>
      <c r="DC293" s="4" t="s">
        <v>422</v>
      </c>
      <c r="DD293" s="4" t="s">
        <v>241</v>
      </c>
      <c r="DF293" s="4" t="s">
        <v>287</v>
      </c>
      <c r="DG293" s="6">
        <f>0</f>
        <v>0</v>
      </c>
      <c r="DI293" s="4" t="s">
        <v>414</v>
      </c>
      <c r="DJ293" s="4" t="s">
        <v>241</v>
      </c>
      <c r="DK293" s="4" t="s">
        <v>241</v>
      </c>
      <c r="DL293" s="4" t="s">
        <v>241</v>
      </c>
      <c r="DP293" s="4" t="s">
        <v>241</v>
      </c>
      <c r="DQ293" s="4" t="s">
        <v>241</v>
      </c>
      <c r="DR293" s="4" t="s">
        <v>241</v>
      </c>
      <c r="DS293" s="4" t="s">
        <v>241</v>
      </c>
      <c r="DV293" s="4" t="s">
        <v>4954</v>
      </c>
      <c r="DW293" s="4" t="s">
        <v>1792</v>
      </c>
      <c r="HO293" s="4" t="s">
        <v>267</v>
      </c>
    </row>
    <row r="294" spans="1:223" ht="19.5" customHeight="1" x14ac:dyDescent="0.4">
      <c r="A294" s="4">
        <v>1</v>
      </c>
      <c r="B294" s="4" t="s">
        <v>239</v>
      </c>
      <c r="C294" s="4">
        <v>1028</v>
      </c>
      <c r="D294" s="4">
        <v>1</v>
      </c>
      <c r="E294" s="4">
        <v>1</v>
      </c>
      <c r="F294" s="4" t="s">
        <v>240</v>
      </c>
      <c r="G294" s="4" t="s">
        <v>241</v>
      </c>
      <c r="H294" s="4" t="s">
        <v>241</v>
      </c>
      <c r="I294" s="4" t="s">
        <v>4952</v>
      </c>
      <c r="J294" s="4" t="s">
        <v>4219</v>
      </c>
      <c r="K294" s="4" t="s">
        <v>251</v>
      </c>
      <c r="L294" s="4" t="s">
        <v>4951</v>
      </c>
      <c r="M294" s="5" t="s">
        <v>4964</v>
      </c>
      <c r="N294" s="6">
        <f>1916</f>
        <v>1916</v>
      </c>
      <c r="O294" s="4" t="s">
        <v>265</v>
      </c>
      <c r="P294" s="6">
        <f>4243940</f>
        <v>4243940</v>
      </c>
      <c r="Q294" s="6">
        <f>0</f>
        <v>0</v>
      </c>
      <c r="S294" s="6">
        <f>0</f>
        <v>0</v>
      </c>
      <c r="T294" s="6">
        <f>4243940</f>
        <v>4243940</v>
      </c>
      <c r="U294" s="5" t="s">
        <v>245</v>
      </c>
      <c r="V294" s="4" t="s">
        <v>270</v>
      </c>
      <c r="W294" s="4" t="s">
        <v>242</v>
      </c>
      <c r="X294" s="4" t="s">
        <v>273</v>
      </c>
      <c r="Y294" s="4" t="s">
        <v>241</v>
      </c>
      <c r="AB294" s="4" t="s">
        <v>241</v>
      </c>
      <c r="AD294" s="5" t="s">
        <v>241</v>
      </c>
      <c r="AG294" s="5" t="s">
        <v>246</v>
      </c>
      <c r="AH294" s="4" t="s">
        <v>241</v>
      </c>
      <c r="AI294" s="4" t="s">
        <v>247</v>
      </c>
      <c r="AJ294" s="4" t="s">
        <v>248</v>
      </c>
      <c r="AZ294" s="4" t="s">
        <v>249</v>
      </c>
      <c r="BA294" s="4" t="s">
        <v>241</v>
      </c>
      <c r="BB294" s="4" t="s">
        <v>250</v>
      </c>
      <c r="BC294" s="4" t="s">
        <v>241</v>
      </c>
      <c r="BD294" s="4" t="s">
        <v>252</v>
      </c>
      <c r="BE294" s="4" t="s">
        <v>241</v>
      </c>
      <c r="BI294" s="4" t="s">
        <v>253</v>
      </c>
      <c r="BJ294" s="5" t="s">
        <v>246</v>
      </c>
      <c r="BK294" s="4" t="s">
        <v>254</v>
      </c>
      <c r="BL294" s="4" t="s">
        <v>255</v>
      </c>
      <c r="BM294" s="4" t="s">
        <v>241</v>
      </c>
      <c r="BN294" s="6">
        <f>0</f>
        <v>0</v>
      </c>
      <c r="BO294" s="6">
        <f>0</f>
        <v>0</v>
      </c>
      <c r="BP294" s="4" t="s">
        <v>256</v>
      </c>
      <c r="BQ294" s="4" t="s">
        <v>257</v>
      </c>
      <c r="CE294" s="4" t="s">
        <v>241</v>
      </c>
      <c r="CF294" s="4" t="s">
        <v>241</v>
      </c>
      <c r="CJ294" s="4" t="s">
        <v>258</v>
      </c>
      <c r="CK294" s="4" t="s">
        <v>259</v>
      </c>
      <c r="CL294" s="4" t="s">
        <v>241</v>
      </c>
      <c r="CO294" s="5" t="s">
        <v>260</v>
      </c>
      <c r="CP294" s="4" t="s">
        <v>241</v>
      </c>
      <c r="CQ294" s="4" t="s">
        <v>261</v>
      </c>
      <c r="CR294" s="4" t="s">
        <v>241</v>
      </c>
      <c r="CS294" s="4" t="s">
        <v>241</v>
      </c>
      <c r="CT294" s="4">
        <v>0</v>
      </c>
      <c r="CU294" s="4" t="s">
        <v>262</v>
      </c>
      <c r="CV294" s="4" t="s">
        <v>263</v>
      </c>
      <c r="CW294" s="4" t="s">
        <v>263</v>
      </c>
      <c r="CX294" s="4" t="s">
        <v>264</v>
      </c>
      <c r="DA294" s="6">
        <f>4243940</f>
        <v>4243940</v>
      </c>
      <c r="DC294" s="4" t="s">
        <v>422</v>
      </c>
      <c r="DD294" s="4" t="s">
        <v>241</v>
      </c>
      <c r="DF294" s="4" t="s">
        <v>287</v>
      </c>
      <c r="DG294" s="6">
        <f>0</f>
        <v>0</v>
      </c>
      <c r="DI294" s="4" t="s">
        <v>414</v>
      </c>
      <c r="DJ294" s="4" t="s">
        <v>241</v>
      </c>
      <c r="DK294" s="4" t="s">
        <v>241</v>
      </c>
      <c r="DL294" s="4" t="s">
        <v>241</v>
      </c>
      <c r="DP294" s="4" t="s">
        <v>241</v>
      </c>
      <c r="DQ294" s="4" t="s">
        <v>241</v>
      </c>
      <c r="DR294" s="4" t="s">
        <v>241</v>
      </c>
      <c r="DS294" s="4" t="s">
        <v>241</v>
      </c>
      <c r="DV294" s="4" t="s">
        <v>4954</v>
      </c>
      <c r="DW294" s="4" t="s">
        <v>1789</v>
      </c>
      <c r="HO294" s="4" t="s">
        <v>267</v>
      </c>
    </row>
    <row r="295" spans="1:223" ht="19.5" customHeight="1" x14ac:dyDescent="0.4">
      <c r="A295" s="4">
        <v>1</v>
      </c>
      <c r="B295" s="4" t="s">
        <v>239</v>
      </c>
      <c r="C295" s="4">
        <v>1029</v>
      </c>
      <c r="D295" s="4">
        <v>1</v>
      </c>
      <c r="E295" s="4">
        <v>1</v>
      </c>
      <c r="F295" s="4" t="s">
        <v>240</v>
      </c>
      <c r="G295" s="4" t="s">
        <v>241</v>
      </c>
      <c r="H295" s="4" t="s">
        <v>241</v>
      </c>
      <c r="I295" s="4" t="s">
        <v>4952</v>
      </c>
      <c r="J295" s="4" t="s">
        <v>4219</v>
      </c>
      <c r="K295" s="4" t="s">
        <v>251</v>
      </c>
      <c r="L295" s="4" t="s">
        <v>4951</v>
      </c>
      <c r="M295" s="5" t="s">
        <v>4965</v>
      </c>
      <c r="N295" s="6">
        <f>1913</f>
        <v>1913</v>
      </c>
      <c r="O295" s="4" t="s">
        <v>265</v>
      </c>
      <c r="P295" s="6">
        <f>4237295</f>
        <v>4237295</v>
      </c>
      <c r="Q295" s="6">
        <f>0</f>
        <v>0</v>
      </c>
      <c r="S295" s="6">
        <f>0</f>
        <v>0</v>
      </c>
      <c r="T295" s="6">
        <f>4237295</f>
        <v>4237295</v>
      </c>
      <c r="U295" s="5" t="s">
        <v>245</v>
      </c>
      <c r="V295" s="4" t="s">
        <v>270</v>
      </c>
      <c r="W295" s="4" t="s">
        <v>242</v>
      </c>
      <c r="X295" s="4" t="s">
        <v>273</v>
      </c>
      <c r="Y295" s="4" t="s">
        <v>241</v>
      </c>
      <c r="AB295" s="4" t="s">
        <v>241</v>
      </c>
      <c r="AD295" s="5" t="s">
        <v>241</v>
      </c>
      <c r="AG295" s="5" t="s">
        <v>246</v>
      </c>
      <c r="AH295" s="4" t="s">
        <v>241</v>
      </c>
      <c r="AI295" s="4" t="s">
        <v>247</v>
      </c>
      <c r="AJ295" s="4" t="s">
        <v>248</v>
      </c>
      <c r="AZ295" s="4" t="s">
        <v>249</v>
      </c>
      <c r="BA295" s="4" t="s">
        <v>241</v>
      </c>
      <c r="BB295" s="4" t="s">
        <v>250</v>
      </c>
      <c r="BC295" s="4" t="s">
        <v>241</v>
      </c>
      <c r="BD295" s="4" t="s">
        <v>252</v>
      </c>
      <c r="BE295" s="4" t="s">
        <v>241</v>
      </c>
      <c r="BI295" s="4" t="s">
        <v>253</v>
      </c>
      <c r="BJ295" s="5" t="s">
        <v>246</v>
      </c>
      <c r="BK295" s="4" t="s">
        <v>254</v>
      </c>
      <c r="BL295" s="4" t="s">
        <v>255</v>
      </c>
      <c r="BM295" s="4" t="s">
        <v>241</v>
      </c>
      <c r="BN295" s="6">
        <f>0</f>
        <v>0</v>
      </c>
      <c r="BO295" s="6">
        <f>0</f>
        <v>0</v>
      </c>
      <c r="BP295" s="4" t="s">
        <v>256</v>
      </c>
      <c r="BQ295" s="4" t="s">
        <v>257</v>
      </c>
      <c r="CE295" s="4" t="s">
        <v>241</v>
      </c>
      <c r="CF295" s="4" t="s">
        <v>241</v>
      </c>
      <c r="CJ295" s="4" t="s">
        <v>258</v>
      </c>
      <c r="CK295" s="4" t="s">
        <v>259</v>
      </c>
      <c r="CL295" s="4" t="s">
        <v>241</v>
      </c>
      <c r="CO295" s="5" t="s">
        <v>260</v>
      </c>
      <c r="CP295" s="4" t="s">
        <v>241</v>
      </c>
      <c r="CQ295" s="4" t="s">
        <v>261</v>
      </c>
      <c r="CR295" s="4" t="s">
        <v>241</v>
      </c>
      <c r="CS295" s="4" t="s">
        <v>241</v>
      </c>
      <c r="CT295" s="4">
        <v>0</v>
      </c>
      <c r="CU295" s="4" t="s">
        <v>262</v>
      </c>
      <c r="CV295" s="4" t="s">
        <v>263</v>
      </c>
      <c r="CW295" s="4" t="s">
        <v>263</v>
      </c>
      <c r="CX295" s="4" t="s">
        <v>264</v>
      </c>
      <c r="DA295" s="6">
        <f>4237295</f>
        <v>4237295</v>
      </c>
      <c r="DC295" s="4" t="s">
        <v>422</v>
      </c>
      <c r="DD295" s="4" t="s">
        <v>241</v>
      </c>
      <c r="DF295" s="4" t="s">
        <v>287</v>
      </c>
      <c r="DG295" s="6">
        <f>0</f>
        <v>0</v>
      </c>
      <c r="DI295" s="4" t="s">
        <v>414</v>
      </c>
      <c r="DJ295" s="4" t="s">
        <v>241</v>
      </c>
      <c r="DK295" s="4" t="s">
        <v>241</v>
      </c>
      <c r="DL295" s="4" t="s">
        <v>241</v>
      </c>
      <c r="DP295" s="4" t="s">
        <v>241</v>
      </c>
      <c r="DQ295" s="4" t="s">
        <v>241</v>
      </c>
      <c r="DR295" s="4" t="s">
        <v>241</v>
      </c>
      <c r="DS295" s="4" t="s">
        <v>241</v>
      </c>
      <c r="DV295" s="4" t="s">
        <v>4954</v>
      </c>
      <c r="DW295" s="4" t="s">
        <v>1787</v>
      </c>
      <c r="HO295" s="4" t="s">
        <v>267</v>
      </c>
    </row>
    <row r="296" spans="1:223" ht="19.5" customHeight="1" x14ac:dyDescent="0.4">
      <c r="A296" s="4">
        <v>1</v>
      </c>
      <c r="B296" s="4" t="s">
        <v>239</v>
      </c>
      <c r="C296" s="4">
        <v>1030</v>
      </c>
      <c r="D296" s="4">
        <v>1</v>
      </c>
      <c r="E296" s="4">
        <v>1</v>
      </c>
      <c r="F296" s="4" t="s">
        <v>240</v>
      </c>
      <c r="G296" s="4" t="s">
        <v>241</v>
      </c>
      <c r="H296" s="4" t="s">
        <v>241</v>
      </c>
      <c r="I296" s="4" t="s">
        <v>4952</v>
      </c>
      <c r="J296" s="4" t="s">
        <v>4219</v>
      </c>
      <c r="K296" s="4" t="s">
        <v>251</v>
      </c>
      <c r="L296" s="4" t="s">
        <v>4951</v>
      </c>
      <c r="M296" s="5" t="s">
        <v>4966</v>
      </c>
      <c r="N296" s="6">
        <f>982</f>
        <v>982</v>
      </c>
      <c r="O296" s="4" t="s">
        <v>265</v>
      </c>
      <c r="P296" s="6">
        <f>2175130</f>
        <v>2175130</v>
      </c>
      <c r="Q296" s="6">
        <f>0</f>
        <v>0</v>
      </c>
      <c r="S296" s="6">
        <f>0</f>
        <v>0</v>
      </c>
      <c r="T296" s="6">
        <f>2175130</f>
        <v>2175130</v>
      </c>
      <c r="U296" s="5" t="s">
        <v>245</v>
      </c>
      <c r="V296" s="4" t="s">
        <v>270</v>
      </c>
      <c r="W296" s="4" t="s">
        <v>242</v>
      </c>
      <c r="X296" s="4" t="s">
        <v>273</v>
      </c>
      <c r="Y296" s="4" t="s">
        <v>241</v>
      </c>
      <c r="AB296" s="4" t="s">
        <v>241</v>
      </c>
      <c r="AD296" s="5" t="s">
        <v>241</v>
      </c>
      <c r="AG296" s="5" t="s">
        <v>246</v>
      </c>
      <c r="AH296" s="4" t="s">
        <v>241</v>
      </c>
      <c r="AI296" s="4" t="s">
        <v>247</v>
      </c>
      <c r="AJ296" s="4" t="s">
        <v>248</v>
      </c>
      <c r="AZ296" s="4" t="s">
        <v>249</v>
      </c>
      <c r="BA296" s="4" t="s">
        <v>241</v>
      </c>
      <c r="BB296" s="4" t="s">
        <v>250</v>
      </c>
      <c r="BC296" s="4" t="s">
        <v>241</v>
      </c>
      <c r="BD296" s="4" t="s">
        <v>252</v>
      </c>
      <c r="BE296" s="4" t="s">
        <v>241</v>
      </c>
      <c r="BI296" s="4" t="s">
        <v>253</v>
      </c>
      <c r="BJ296" s="5" t="s">
        <v>246</v>
      </c>
      <c r="BK296" s="4" t="s">
        <v>254</v>
      </c>
      <c r="BL296" s="4" t="s">
        <v>255</v>
      </c>
      <c r="BM296" s="4" t="s">
        <v>241</v>
      </c>
      <c r="BN296" s="6">
        <f>0</f>
        <v>0</v>
      </c>
      <c r="BO296" s="6">
        <f>0</f>
        <v>0</v>
      </c>
      <c r="BP296" s="4" t="s">
        <v>256</v>
      </c>
      <c r="BQ296" s="4" t="s">
        <v>257</v>
      </c>
      <c r="CE296" s="4" t="s">
        <v>241</v>
      </c>
      <c r="CF296" s="4" t="s">
        <v>241</v>
      </c>
      <c r="CJ296" s="4" t="s">
        <v>258</v>
      </c>
      <c r="CK296" s="4" t="s">
        <v>259</v>
      </c>
      <c r="CL296" s="4" t="s">
        <v>241</v>
      </c>
      <c r="CO296" s="5" t="s">
        <v>260</v>
      </c>
      <c r="CP296" s="4" t="s">
        <v>241</v>
      </c>
      <c r="CQ296" s="4" t="s">
        <v>261</v>
      </c>
      <c r="CR296" s="4" t="s">
        <v>241</v>
      </c>
      <c r="CS296" s="4" t="s">
        <v>241</v>
      </c>
      <c r="CT296" s="4">
        <v>0</v>
      </c>
      <c r="CU296" s="4" t="s">
        <v>262</v>
      </c>
      <c r="CV296" s="4" t="s">
        <v>263</v>
      </c>
      <c r="CW296" s="4" t="s">
        <v>263</v>
      </c>
      <c r="CX296" s="4" t="s">
        <v>264</v>
      </c>
      <c r="DA296" s="6">
        <f>2175130</f>
        <v>2175130</v>
      </c>
      <c r="DC296" s="4" t="s">
        <v>422</v>
      </c>
      <c r="DD296" s="4" t="s">
        <v>241</v>
      </c>
      <c r="DF296" s="4" t="s">
        <v>287</v>
      </c>
      <c r="DG296" s="6">
        <f>0</f>
        <v>0</v>
      </c>
      <c r="DI296" s="4" t="s">
        <v>414</v>
      </c>
      <c r="DJ296" s="4" t="s">
        <v>241</v>
      </c>
      <c r="DK296" s="4" t="s">
        <v>241</v>
      </c>
      <c r="DL296" s="4" t="s">
        <v>241</v>
      </c>
      <c r="DP296" s="4" t="s">
        <v>241</v>
      </c>
      <c r="DQ296" s="4" t="s">
        <v>241</v>
      </c>
      <c r="DR296" s="4" t="s">
        <v>241</v>
      </c>
      <c r="DS296" s="4" t="s">
        <v>241</v>
      </c>
      <c r="DV296" s="4" t="s">
        <v>4954</v>
      </c>
      <c r="DW296" s="4" t="s">
        <v>1785</v>
      </c>
      <c r="HO296" s="4" t="s">
        <v>267</v>
      </c>
    </row>
    <row r="297" spans="1:223" ht="19.5" customHeight="1" x14ac:dyDescent="0.4">
      <c r="A297" s="4">
        <v>1</v>
      </c>
      <c r="B297" s="4" t="s">
        <v>239</v>
      </c>
      <c r="C297" s="4">
        <v>1031</v>
      </c>
      <c r="D297" s="4">
        <v>1</v>
      </c>
      <c r="E297" s="4">
        <v>1</v>
      </c>
      <c r="F297" s="4" t="s">
        <v>240</v>
      </c>
      <c r="G297" s="4" t="s">
        <v>241</v>
      </c>
      <c r="H297" s="4" t="s">
        <v>241</v>
      </c>
      <c r="I297" s="4" t="s">
        <v>4952</v>
      </c>
      <c r="J297" s="4" t="s">
        <v>4219</v>
      </c>
      <c r="K297" s="4" t="s">
        <v>251</v>
      </c>
      <c r="L297" s="4" t="s">
        <v>4951</v>
      </c>
      <c r="M297" s="5" t="s">
        <v>4967</v>
      </c>
      <c r="N297" s="6">
        <f>1433</f>
        <v>1433</v>
      </c>
      <c r="O297" s="4" t="s">
        <v>265</v>
      </c>
      <c r="P297" s="6">
        <f>3174095</f>
        <v>3174095</v>
      </c>
      <c r="Q297" s="6">
        <f>0</f>
        <v>0</v>
      </c>
      <c r="S297" s="6">
        <f>0</f>
        <v>0</v>
      </c>
      <c r="T297" s="6">
        <f>3174095</f>
        <v>3174095</v>
      </c>
      <c r="U297" s="5" t="s">
        <v>245</v>
      </c>
      <c r="V297" s="4" t="s">
        <v>270</v>
      </c>
      <c r="W297" s="4" t="s">
        <v>242</v>
      </c>
      <c r="X297" s="4" t="s">
        <v>273</v>
      </c>
      <c r="Y297" s="4" t="s">
        <v>241</v>
      </c>
      <c r="AB297" s="4" t="s">
        <v>241</v>
      </c>
      <c r="AD297" s="5" t="s">
        <v>241</v>
      </c>
      <c r="AG297" s="5" t="s">
        <v>246</v>
      </c>
      <c r="AH297" s="4" t="s">
        <v>241</v>
      </c>
      <c r="AI297" s="4" t="s">
        <v>247</v>
      </c>
      <c r="AJ297" s="4" t="s">
        <v>248</v>
      </c>
      <c r="AZ297" s="4" t="s">
        <v>249</v>
      </c>
      <c r="BA297" s="4" t="s">
        <v>241</v>
      </c>
      <c r="BB297" s="4" t="s">
        <v>250</v>
      </c>
      <c r="BC297" s="4" t="s">
        <v>241</v>
      </c>
      <c r="BD297" s="4" t="s">
        <v>252</v>
      </c>
      <c r="BE297" s="4" t="s">
        <v>241</v>
      </c>
      <c r="BI297" s="4" t="s">
        <v>253</v>
      </c>
      <c r="BJ297" s="5" t="s">
        <v>246</v>
      </c>
      <c r="BK297" s="4" t="s">
        <v>254</v>
      </c>
      <c r="BL297" s="4" t="s">
        <v>255</v>
      </c>
      <c r="BM297" s="4" t="s">
        <v>241</v>
      </c>
      <c r="BN297" s="6">
        <f>0</f>
        <v>0</v>
      </c>
      <c r="BO297" s="6">
        <f>0</f>
        <v>0</v>
      </c>
      <c r="BP297" s="4" t="s">
        <v>256</v>
      </c>
      <c r="BQ297" s="4" t="s">
        <v>257</v>
      </c>
      <c r="CE297" s="4" t="s">
        <v>241</v>
      </c>
      <c r="CF297" s="4" t="s">
        <v>241</v>
      </c>
      <c r="CJ297" s="4" t="s">
        <v>258</v>
      </c>
      <c r="CK297" s="4" t="s">
        <v>259</v>
      </c>
      <c r="CL297" s="4" t="s">
        <v>241</v>
      </c>
      <c r="CO297" s="5" t="s">
        <v>260</v>
      </c>
      <c r="CP297" s="4" t="s">
        <v>241</v>
      </c>
      <c r="CQ297" s="4" t="s">
        <v>261</v>
      </c>
      <c r="CR297" s="4" t="s">
        <v>241</v>
      </c>
      <c r="CS297" s="4" t="s">
        <v>241</v>
      </c>
      <c r="CT297" s="4">
        <v>0</v>
      </c>
      <c r="CU297" s="4" t="s">
        <v>262</v>
      </c>
      <c r="CV297" s="4" t="s">
        <v>263</v>
      </c>
      <c r="CW297" s="4" t="s">
        <v>263</v>
      </c>
      <c r="CX297" s="4" t="s">
        <v>264</v>
      </c>
      <c r="DA297" s="6">
        <f>3174095</f>
        <v>3174095</v>
      </c>
      <c r="DC297" s="4" t="s">
        <v>422</v>
      </c>
      <c r="DD297" s="4" t="s">
        <v>241</v>
      </c>
      <c r="DF297" s="4" t="s">
        <v>287</v>
      </c>
      <c r="DG297" s="6">
        <f>0</f>
        <v>0</v>
      </c>
      <c r="DI297" s="4" t="s">
        <v>414</v>
      </c>
      <c r="DJ297" s="4" t="s">
        <v>241</v>
      </c>
      <c r="DK297" s="4" t="s">
        <v>241</v>
      </c>
      <c r="DL297" s="4" t="s">
        <v>241</v>
      </c>
      <c r="DP297" s="4" t="s">
        <v>241</v>
      </c>
      <c r="DQ297" s="4" t="s">
        <v>241</v>
      </c>
      <c r="DR297" s="4" t="s">
        <v>241</v>
      </c>
      <c r="DS297" s="4" t="s">
        <v>241</v>
      </c>
      <c r="DV297" s="4" t="s">
        <v>4954</v>
      </c>
      <c r="DW297" s="4" t="s">
        <v>1781</v>
      </c>
      <c r="HO297" s="4" t="s">
        <v>267</v>
      </c>
    </row>
    <row r="298" spans="1:223" ht="19.5" customHeight="1" x14ac:dyDescent="0.4">
      <c r="A298" s="4">
        <v>1</v>
      </c>
      <c r="B298" s="4" t="s">
        <v>239</v>
      </c>
      <c r="C298" s="4">
        <v>1032</v>
      </c>
      <c r="D298" s="4">
        <v>1</v>
      </c>
      <c r="E298" s="4">
        <v>1</v>
      </c>
      <c r="F298" s="4" t="s">
        <v>240</v>
      </c>
      <c r="G298" s="4" t="s">
        <v>241</v>
      </c>
      <c r="H298" s="4" t="s">
        <v>241</v>
      </c>
      <c r="I298" s="4" t="s">
        <v>4952</v>
      </c>
      <c r="J298" s="4" t="s">
        <v>4219</v>
      </c>
      <c r="K298" s="4" t="s">
        <v>251</v>
      </c>
      <c r="L298" s="4" t="s">
        <v>4951</v>
      </c>
      <c r="M298" s="5" t="s">
        <v>4971</v>
      </c>
      <c r="N298" s="6">
        <f>3523</f>
        <v>3523</v>
      </c>
      <c r="O298" s="4" t="s">
        <v>265</v>
      </c>
      <c r="P298" s="6">
        <f>7803445</f>
        <v>7803445</v>
      </c>
      <c r="Q298" s="6">
        <f>0</f>
        <v>0</v>
      </c>
      <c r="S298" s="6">
        <f>0</f>
        <v>0</v>
      </c>
      <c r="T298" s="6">
        <f>7803445</f>
        <v>7803445</v>
      </c>
      <c r="U298" s="5" t="s">
        <v>245</v>
      </c>
      <c r="V298" s="4" t="s">
        <v>270</v>
      </c>
      <c r="W298" s="4" t="s">
        <v>242</v>
      </c>
      <c r="X298" s="4" t="s">
        <v>273</v>
      </c>
      <c r="Y298" s="4" t="s">
        <v>241</v>
      </c>
      <c r="AB298" s="4" t="s">
        <v>241</v>
      </c>
      <c r="AD298" s="5" t="s">
        <v>241</v>
      </c>
      <c r="AG298" s="5" t="s">
        <v>246</v>
      </c>
      <c r="AH298" s="4" t="s">
        <v>241</v>
      </c>
      <c r="AI298" s="4" t="s">
        <v>247</v>
      </c>
      <c r="AJ298" s="4" t="s">
        <v>248</v>
      </c>
      <c r="AZ298" s="4" t="s">
        <v>249</v>
      </c>
      <c r="BA298" s="4" t="s">
        <v>241</v>
      </c>
      <c r="BB298" s="4" t="s">
        <v>250</v>
      </c>
      <c r="BC298" s="4" t="s">
        <v>241</v>
      </c>
      <c r="BD298" s="4" t="s">
        <v>252</v>
      </c>
      <c r="BE298" s="4" t="s">
        <v>241</v>
      </c>
      <c r="BI298" s="4" t="s">
        <v>253</v>
      </c>
      <c r="BJ298" s="5" t="s">
        <v>246</v>
      </c>
      <c r="BK298" s="4" t="s">
        <v>254</v>
      </c>
      <c r="BL298" s="4" t="s">
        <v>255</v>
      </c>
      <c r="BM298" s="4" t="s">
        <v>241</v>
      </c>
      <c r="BN298" s="6">
        <f>0</f>
        <v>0</v>
      </c>
      <c r="BO298" s="6">
        <f>0</f>
        <v>0</v>
      </c>
      <c r="BP298" s="4" t="s">
        <v>256</v>
      </c>
      <c r="BQ298" s="4" t="s">
        <v>257</v>
      </c>
      <c r="CE298" s="4" t="s">
        <v>241</v>
      </c>
      <c r="CF298" s="4" t="s">
        <v>241</v>
      </c>
      <c r="CJ298" s="4" t="s">
        <v>258</v>
      </c>
      <c r="CK298" s="4" t="s">
        <v>259</v>
      </c>
      <c r="CL298" s="4" t="s">
        <v>241</v>
      </c>
      <c r="CO298" s="5" t="s">
        <v>260</v>
      </c>
      <c r="CP298" s="4" t="s">
        <v>241</v>
      </c>
      <c r="CQ298" s="4" t="s">
        <v>261</v>
      </c>
      <c r="CR298" s="4" t="s">
        <v>241</v>
      </c>
      <c r="CS298" s="4" t="s">
        <v>241</v>
      </c>
      <c r="CT298" s="4">
        <v>0</v>
      </c>
      <c r="CU298" s="4" t="s">
        <v>262</v>
      </c>
      <c r="CV298" s="4" t="s">
        <v>263</v>
      </c>
      <c r="CW298" s="4" t="s">
        <v>263</v>
      </c>
      <c r="CX298" s="4" t="s">
        <v>264</v>
      </c>
      <c r="DA298" s="6">
        <f>7803445</f>
        <v>7803445</v>
      </c>
      <c r="DC298" s="4" t="s">
        <v>422</v>
      </c>
      <c r="DD298" s="4" t="s">
        <v>241</v>
      </c>
      <c r="DF298" s="4" t="s">
        <v>287</v>
      </c>
      <c r="DG298" s="6">
        <f>0</f>
        <v>0</v>
      </c>
      <c r="DI298" s="4" t="s">
        <v>414</v>
      </c>
      <c r="DJ298" s="4" t="s">
        <v>241</v>
      </c>
      <c r="DK298" s="4" t="s">
        <v>241</v>
      </c>
      <c r="DL298" s="4" t="s">
        <v>241</v>
      </c>
      <c r="DP298" s="4" t="s">
        <v>241</v>
      </c>
      <c r="DQ298" s="4" t="s">
        <v>241</v>
      </c>
      <c r="DR298" s="4" t="s">
        <v>241</v>
      </c>
      <c r="DS298" s="4" t="s">
        <v>241</v>
      </c>
      <c r="DV298" s="4" t="s">
        <v>4954</v>
      </c>
      <c r="DW298" s="4" t="s">
        <v>2564</v>
      </c>
      <c r="HO298" s="4" t="s">
        <v>267</v>
      </c>
    </row>
    <row r="299" spans="1:223" ht="19.5" customHeight="1" x14ac:dyDescent="0.4">
      <c r="A299" s="4">
        <v>1</v>
      </c>
      <c r="B299" s="4" t="s">
        <v>239</v>
      </c>
      <c r="C299" s="4">
        <v>1033</v>
      </c>
      <c r="D299" s="4">
        <v>1</v>
      </c>
      <c r="E299" s="4">
        <v>1</v>
      </c>
      <c r="F299" s="4" t="s">
        <v>240</v>
      </c>
      <c r="G299" s="4" t="s">
        <v>241</v>
      </c>
      <c r="H299" s="4" t="s">
        <v>241</v>
      </c>
      <c r="I299" s="4" t="s">
        <v>4952</v>
      </c>
      <c r="J299" s="4" t="s">
        <v>4219</v>
      </c>
      <c r="K299" s="4" t="s">
        <v>251</v>
      </c>
      <c r="L299" s="4" t="s">
        <v>4951</v>
      </c>
      <c r="M299" s="5" t="s">
        <v>4968</v>
      </c>
      <c r="N299" s="6">
        <f>11350</f>
        <v>11350</v>
      </c>
      <c r="O299" s="4" t="s">
        <v>265</v>
      </c>
      <c r="P299" s="6">
        <f>25140250</f>
        <v>25140250</v>
      </c>
      <c r="Q299" s="6">
        <f>0</f>
        <v>0</v>
      </c>
      <c r="S299" s="6">
        <f>0</f>
        <v>0</v>
      </c>
      <c r="T299" s="6">
        <f>25140250</f>
        <v>25140250</v>
      </c>
      <c r="U299" s="5" t="s">
        <v>245</v>
      </c>
      <c r="V299" s="4" t="s">
        <v>270</v>
      </c>
      <c r="W299" s="4" t="s">
        <v>242</v>
      </c>
      <c r="X299" s="4" t="s">
        <v>273</v>
      </c>
      <c r="Y299" s="4" t="s">
        <v>241</v>
      </c>
      <c r="AB299" s="4" t="s">
        <v>241</v>
      </c>
      <c r="AD299" s="5" t="s">
        <v>241</v>
      </c>
      <c r="AG299" s="5" t="s">
        <v>246</v>
      </c>
      <c r="AH299" s="4" t="s">
        <v>241</v>
      </c>
      <c r="AI299" s="4" t="s">
        <v>247</v>
      </c>
      <c r="AJ299" s="4" t="s">
        <v>248</v>
      </c>
      <c r="AZ299" s="4" t="s">
        <v>249</v>
      </c>
      <c r="BA299" s="4" t="s">
        <v>241</v>
      </c>
      <c r="BB299" s="4" t="s">
        <v>250</v>
      </c>
      <c r="BC299" s="4" t="s">
        <v>241</v>
      </c>
      <c r="BD299" s="4" t="s">
        <v>252</v>
      </c>
      <c r="BE299" s="4" t="s">
        <v>241</v>
      </c>
      <c r="BI299" s="4" t="s">
        <v>253</v>
      </c>
      <c r="BJ299" s="5" t="s">
        <v>246</v>
      </c>
      <c r="BK299" s="4" t="s">
        <v>254</v>
      </c>
      <c r="BL299" s="4" t="s">
        <v>255</v>
      </c>
      <c r="BM299" s="4" t="s">
        <v>241</v>
      </c>
      <c r="BN299" s="6">
        <f>0</f>
        <v>0</v>
      </c>
      <c r="BO299" s="6">
        <f>0</f>
        <v>0</v>
      </c>
      <c r="BP299" s="4" t="s">
        <v>256</v>
      </c>
      <c r="BQ299" s="4" t="s">
        <v>257</v>
      </c>
      <c r="CE299" s="4" t="s">
        <v>241</v>
      </c>
      <c r="CF299" s="4" t="s">
        <v>241</v>
      </c>
      <c r="CJ299" s="4" t="s">
        <v>258</v>
      </c>
      <c r="CK299" s="4" t="s">
        <v>259</v>
      </c>
      <c r="CL299" s="4" t="s">
        <v>241</v>
      </c>
      <c r="CO299" s="5" t="s">
        <v>260</v>
      </c>
      <c r="CP299" s="4" t="s">
        <v>241</v>
      </c>
      <c r="CQ299" s="4" t="s">
        <v>261</v>
      </c>
      <c r="CR299" s="4" t="s">
        <v>241</v>
      </c>
      <c r="CS299" s="4" t="s">
        <v>241</v>
      </c>
      <c r="CT299" s="4">
        <v>0</v>
      </c>
      <c r="CU299" s="4" t="s">
        <v>262</v>
      </c>
      <c r="CV299" s="4" t="s">
        <v>263</v>
      </c>
      <c r="CW299" s="4" t="s">
        <v>263</v>
      </c>
      <c r="CX299" s="4" t="s">
        <v>264</v>
      </c>
      <c r="DA299" s="6">
        <f>25140250</f>
        <v>25140250</v>
      </c>
      <c r="DC299" s="4" t="s">
        <v>422</v>
      </c>
      <c r="DD299" s="4" t="s">
        <v>241</v>
      </c>
      <c r="DF299" s="4" t="s">
        <v>287</v>
      </c>
      <c r="DG299" s="6">
        <f>0</f>
        <v>0</v>
      </c>
      <c r="DI299" s="4" t="s">
        <v>414</v>
      </c>
      <c r="DJ299" s="4" t="s">
        <v>241</v>
      </c>
      <c r="DK299" s="4" t="s">
        <v>241</v>
      </c>
      <c r="DL299" s="4" t="s">
        <v>241</v>
      </c>
      <c r="DP299" s="4" t="s">
        <v>241</v>
      </c>
      <c r="DQ299" s="4" t="s">
        <v>241</v>
      </c>
      <c r="DR299" s="4" t="s">
        <v>241</v>
      </c>
      <c r="DS299" s="4" t="s">
        <v>241</v>
      </c>
      <c r="DV299" s="4" t="s">
        <v>4954</v>
      </c>
      <c r="DW299" s="4" t="s">
        <v>1779</v>
      </c>
      <c r="HO299" s="4" t="s">
        <v>267</v>
      </c>
    </row>
    <row r="300" spans="1:223" ht="19.5" customHeight="1" x14ac:dyDescent="0.4">
      <c r="A300" s="4">
        <v>1</v>
      </c>
      <c r="B300" s="4" t="s">
        <v>239</v>
      </c>
      <c r="C300" s="4">
        <v>1034</v>
      </c>
      <c r="D300" s="4">
        <v>1</v>
      </c>
      <c r="E300" s="4">
        <v>1</v>
      </c>
      <c r="F300" s="4" t="s">
        <v>240</v>
      </c>
      <c r="G300" s="4" t="s">
        <v>241</v>
      </c>
      <c r="H300" s="4" t="s">
        <v>241</v>
      </c>
      <c r="I300" s="4" t="s">
        <v>4952</v>
      </c>
      <c r="J300" s="4" t="s">
        <v>4219</v>
      </c>
      <c r="K300" s="4" t="s">
        <v>251</v>
      </c>
      <c r="L300" s="4" t="s">
        <v>4951</v>
      </c>
      <c r="M300" s="5" t="s">
        <v>5487</v>
      </c>
      <c r="N300" s="6">
        <f>192</f>
        <v>192</v>
      </c>
      <c r="O300" s="4" t="s">
        <v>265</v>
      </c>
      <c r="P300" s="6">
        <f>425280</f>
        <v>425280</v>
      </c>
      <c r="Q300" s="6">
        <f>0</f>
        <v>0</v>
      </c>
      <c r="S300" s="6">
        <f>0</f>
        <v>0</v>
      </c>
      <c r="T300" s="6">
        <f>425280</f>
        <v>425280</v>
      </c>
      <c r="U300" s="5" t="s">
        <v>245</v>
      </c>
      <c r="V300" s="4" t="s">
        <v>270</v>
      </c>
      <c r="W300" s="4" t="s">
        <v>242</v>
      </c>
      <c r="X300" s="4" t="s">
        <v>273</v>
      </c>
      <c r="Y300" s="4" t="s">
        <v>241</v>
      </c>
      <c r="AB300" s="4" t="s">
        <v>241</v>
      </c>
      <c r="AD300" s="5" t="s">
        <v>241</v>
      </c>
      <c r="AG300" s="5" t="s">
        <v>246</v>
      </c>
      <c r="AH300" s="4" t="s">
        <v>241</v>
      </c>
      <c r="AI300" s="4" t="s">
        <v>247</v>
      </c>
      <c r="AJ300" s="4" t="s">
        <v>248</v>
      </c>
      <c r="AZ300" s="4" t="s">
        <v>249</v>
      </c>
      <c r="BA300" s="4" t="s">
        <v>241</v>
      </c>
      <c r="BB300" s="4" t="s">
        <v>250</v>
      </c>
      <c r="BC300" s="4" t="s">
        <v>241</v>
      </c>
      <c r="BD300" s="4" t="s">
        <v>252</v>
      </c>
      <c r="BE300" s="4" t="s">
        <v>241</v>
      </c>
      <c r="BI300" s="4" t="s">
        <v>253</v>
      </c>
      <c r="BJ300" s="5" t="s">
        <v>246</v>
      </c>
      <c r="BK300" s="4" t="s">
        <v>254</v>
      </c>
      <c r="BL300" s="4" t="s">
        <v>255</v>
      </c>
      <c r="BM300" s="4" t="s">
        <v>241</v>
      </c>
      <c r="BN300" s="6">
        <f>0</f>
        <v>0</v>
      </c>
      <c r="BO300" s="6">
        <f>0</f>
        <v>0</v>
      </c>
      <c r="BP300" s="4" t="s">
        <v>256</v>
      </c>
      <c r="BQ300" s="4" t="s">
        <v>257</v>
      </c>
      <c r="CE300" s="4" t="s">
        <v>241</v>
      </c>
      <c r="CF300" s="4" t="s">
        <v>241</v>
      </c>
      <c r="CJ300" s="4" t="s">
        <v>258</v>
      </c>
      <c r="CK300" s="4" t="s">
        <v>259</v>
      </c>
      <c r="CL300" s="4" t="s">
        <v>241</v>
      </c>
      <c r="CO300" s="5" t="s">
        <v>260</v>
      </c>
      <c r="CP300" s="4" t="s">
        <v>241</v>
      </c>
      <c r="CQ300" s="4" t="s">
        <v>261</v>
      </c>
      <c r="CR300" s="4" t="s">
        <v>241</v>
      </c>
      <c r="CS300" s="4" t="s">
        <v>241</v>
      </c>
      <c r="CT300" s="4">
        <v>0</v>
      </c>
      <c r="CU300" s="4" t="s">
        <v>262</v>
      </c>
      <c r="CV300" s="4" t="s">
        <v>263</v>
      </c>
      <c r="CW300" s="4" t="s">
        <v>263</v>
      </c>
      <c r="CX300" s="4" t="s">
        <v>264</v>
      </c>
      <c r="DA300" s="6">
        <f>425280</f>
        <v>425280</v>
      </c>
      <c r="DC300" s="4" t="s">
        <v>422</v>
      </c>
      <c r="DD300" s="4" t="s">
        <v>241</v>
      </c>
      <c r="DF300" s="4" t="s">
        <v>287</v>
      </c>
      <c r="DG300" s="6">
        <f>0</f>
        <v>0</v>
      </c>
      <c r="DI300" s="4" t="s">
        <v>414</v>
      </c>
      <c r="DJ300" s="4" t="s">
        <v>241</v>
      </c>
      <c r="DK300" s="4" t="s">
        <v>241</v>
      </c>
      <c r="DL300" s="4" t="s">
        <v>241</v>
      </c>
      <c r="DP300" s="4" t="s">
        <v>241</v>
      </c>
      <c r="DQ300" s="4" t="s">
        <v>241</v>
      </c>
      <c r="DR300" s="4" t="s">
        <v>241</v>
      </c>
      <c r="DS300" s="4" t="s">
        <v>241</v>
      </c>
      <c r="DV300" s="4" t="s">
        <v>4954</v>
      </c>
      <c r="DW300" s="4" t="s">
        <v>1803</v>
      </c>
      <c r="HO300" s="4" t="s">
        <v>267</v>
      </c>
    </row>
    <row r="301" spans="1:223" ht="19.5" customHeight="1" x14ac:dyDescent="0.4">
      <c r="A301" s="4">
        <v>1</v>
      </c>
      <c r="B301" s="4" t="s">
        <v>239</v>
      </c>
      <c r="C301" s="4">
        <v>1035</v>
      </c>
      <c r="D301" s="4">
        <v>1</v>
      </c>
      <c r="E301" s="4">
        <v>1</v>
      </c>
      <c r="F301" s="4" t="s">
        <v>240</v>
      </c>
      <c r="G301" s="4" t="s">
        <v>241</v>
      </c>
      <c r="H301" s="4" t="s">
        <v>241</v>
      </c>
      <c r="I301" s="4" t="s">
        <v>4952</v>
      </c>
      <c r="J301" s="4" t="s">
        <v>4219</v>
      </c>
      <c r="K301" s="4" t="s">
        <v>251</v>
      </c>
      <c r="L301" s="4" t="s">
        <v>4951</v>
      </c>
      <c r="M301" s="5" t="s">
        <v>4972</v>
      </c>
      <c r="N301" s="6">
        <f>668</f>
        <v>668</v>
      </c>
      <c r="O301" s="4" t="s">
        <v>265</v>
      </c>
      <c r="P301" s="6">
        <f>1479620</f>
        <v>1479620</v>
      </c>
      <c r="Q301" s="6">
        <f>0</f>
        <v>0</v>
      </c>
      <c r="S301" s="6">
        <f>0</f>
        <v>0</v>
      </c>
      <c r="T301" s="6">
        <f>1479620</f>
        <v>1479620</v>
      </c>
      <c r="U301" s="5" t="s">
        <v>245</v>
      </c>
      <c r="V301" s="4" t="s">
        <v>270</v>
      </c>
      <c r="W301" s="4" t="s">
        <v>242</v>
      </c>
      <c r="X301" s="4" t="s">
        <v>273</v>
      </c>
      <c r="Y301" s="4" t="s">
        <v>241</v>
      </c>
      <c r="AB301" s="4" t="s">
        <v>241</v>
      </c>
      <c r="AD301" s="5" t="s">
        <v>241</v>
      </c>
      <c r="AG301" s="5" t="s">
        <v>246</v>
      </c>
      <c r="AH301" s="4" t="s">
        <v>241</v>
      </c>
      <c r="AI301" s="4" t="s">
        <v>247</v>
      </c>
      <c r="AJ301" s="4" t="s">
        <v>248</v>
      </c>
      <c r="AZ301" s="4" t="s">
        <v>249</v>
      </c>
      <c r="BA301" s="4" t="s">
        <v>241</v>
      </c>
      <c r="BB301" s="4" t="s">
        <v>250</v>
      </c>
      <c r="BC301" s="4" t="s">
        <v>241</v>
      </c>
      <c r="BD301" s="4" t="s">
        <v>252</v>
      </c>
      <c r="BE301" s="4" t="s">
        <v>241</v>
      </c>
      <c r="BI301" s="4" t="s">
        <v>253</v>
      </c>
      <c r="BJ301" s="5" t="s">
        <v>246</v>
      </c>
      <c r="BK301" s="4" t="s">
        <v>254</v>
      </c>
      <c r="BL301" s="4" t="s">
        <v>255</v>
      </c>
      <c r="BM301" s="4" t="s">
        <v>241</v>
      </c>
      <c r="BN301" s="6">
        <f>0</f>
        <v>0</v>
      </c>
      <c r="BO301" s="6">
        <f>0</f>
        <v>0</v>
      </c>
      <c r="BP301" s="4" t="s">
        <v>256</v>
      </c>
      <c r="BQ301" s="4" t="s">
        <v>257</v>
      </c>
      <c r="CE301" s="4" t="s">
        <v>241</v>
      </c>
      <c r="CF301" s="4" t="s">
        <v>241</v>
      </c>
      <c r="CJ301" s="4" t="s">
        <v>258</v>
      </c>
      <c r="CK301" s="4" t="s">
        <v>259</v>
      </c>
      <c r="CL301" s="4" t="s">
        <v>241</v>
      </c>
      <c r="CO301" s="5" t="s">
        <v>260</v>
      </c>
      <c r="CP301" s="4" t="s">
        <v>241</v>
      </c>
      <c r="CQ301" s="4" t="s">
        <v>261</v>
      </c>
      <c r="CR301" s="4" t="s">
        <v>241</v>
      </c>
      <c r="CS301" s="4" t="s">
        <v>241</v>
      </c>
      <c r="CT301" s="4">
        <v>0</v>
      </c>
      <c r="CU301" s="4" t="s">
        <v>262</v>
      </c>
      <c r="CV301" s="4" t="s">
        <v>263</v>
      </c>
      <c r="CW301" s="4" t="s">
        <v>263</v>
      </c>
      <c r="CX301" s="4" t="s">
        <v>264</v>
      </c>
      <c r="DA301" s="6">
        <f>1479620</f>
        <v>1479620</v>
      </c>
      <c r="DC301" s="4" t="s">
        <v>422</v>
      </c>
      <c r="DD301" s="4" t="s">
        <v>241</v>
      </c>
      <c r="DF301" s="4" t="s">
        <v>287</v>
      </c>
      <c r="DG301" s="6">
        <f>0</f>
        <v>0</v>
      </c>
      <c r="DI301" s="4" t="s">
        <v>414</v>
      </c>
      <c r="DJ301" s="4" t="s">
        <v>241</v>
      </c>
      <c r="DK301" s="4" t="s">
        <v>241</v>
      </c>
      <c r="DL301" s="4" t="s">
        <v>241</v>
      </c>
      <c r="DP301" s="4" t="s">
        <v>241</v>
      </c>
      <c r="DQ301" s="4" t="s">
        <v>241</v>
      </c>
      <c r="DR301" s="4" t="s">
        <v>241</v>
      </c>
      <c r="DS301" s="4" t="s">
        <v>241</v>
      </c>
      <c r="DV301" s="4" t="s">
        <v>4954</v>
      </c>
      <c r="DW301" s="4" t="s">
        <v>1777</v>
      </c>
      <c r="HO301" s="4" t="s">
        <v>267</v>
      </c>
    </row>
    <row r="302" spans="1:223" ht="19.5" customHeight="1" x14ac:dyDescent="0.4">
      <c r="A302" s="4">
        <v>1</v>
      </c>
      <c r="B302" s="4" t="s">
        <v>239</v>
      </c>
      <c r="C302" s="4">
        <v>1036</v>
      </c>
      <c r="D302" s="4">
        <v>1</v>
      </c>
      <c r="E302" s="4">
        <v>1</v>
      </c>
      <c r="F302" s="4" t="s">
        <v>240</v>
      </c>
      <c r="G302" s="4" t="s">
        <v>241</v>
      </c>
      <c r="H302" s="4" t="s">
        <v>241</v>
      </c>
      <c r="I302" s="4" t="s">
        <v>4952</v>
      </c>
      <c r="J302" s="4" t="s">
        <v>4219</v>
      </c>
      <c r="K302" s="4" t="s">
        <v>251</v>
      </c>
      <c r="L302" s="4" t="s">
        <v>4951</v>
      </c>
      <c r="M302" s="5" t="s">
        <v>4970</v>
      </c>
      <c r="N302" s="6">
        <f>1146</f>
        <v>1146</v>
      </c>
      <c r="O302" s="4" t="s">
        <v>265</v>
      </c>
      <c r="P302" s="6">
        <f>2538390</f>
        <v>2538390</v>
      </c>
      <c r="Q302" s="6">
        <f>0</f>
        <v>0</v>
      </c>
      <c r="S302" s="6">
        <f>0</f>
        <v>0</v>
      </c>
      <c r="T302" s="6">
        <f>2538390</f>
        <v>2538390</v>
      </c>
      <c r="U302" s="5" t="s">
        <v>245</v>
      </c>
      <c r="V302" s="4" t="s">
        <v>270</v>
      </c>
      <c r="W302" s="4" t="s">
        <v>242</v>
      </c>
      <c r="X302" s="4" t="s">
        <v>273</v>
      </c>
      <c r="Y302" s="4" t="s">
        <v>241</v>
      </c>
      <c r="AB302" s="4" t="s">
        <v>241</v>
      </c>
      <c r="AD302" s="5" t="s">
        <v>241</v>
      </c>
      <c r="AG302" s="5" t="s">
        <v>246</v>
      </c>
      <c r="AH302" s="4" t="s">
        <v>241</v>
      </c>
      <c r="AI302" s="4" t="s">
        <v>247</v>
      </c>
      <c r="AJ302" s="4" t="s">
        <v>248</v>
      </c>
      <c r="AZ302" s="4" t="s">
        <v>249</v>
      </c>
      <c r="BA302" s="4" t="s">
        <v>241</v>
      </c>
      <c r="BB302" s="4" t="s">
        <v>250</v>
      </c>
      <c r="BC302" s="4" t="s">
        <v>241</v>
      </c>
      <c r="BD302" s="4" t="s">
        <v>252</v>
      </c>
      <c r="BE302" s="4" t="s">
        <v>241</v>
      </c>
      <c r="BI302" s="4" t="s">
        <v>253</v>
      </c>
      <c r="BJ302" s="5" t="s">
        <v>246</v>
      </c>
      <c r="BK302" s="4" t="s">
        <v>254</v>
      </c>
      <c r="BL302" s="4" t="s">
        <v>255</v>
      </c>
      <c r="BM302" s="4" t="s">
        <v>241</v>
      </c>
      <c r="BN302" s="6">
        <f>0</f>
        <v>0</v>
      </c>
      <c r="BO302" s="6">
        <f>0</f>
        <v>0</v>
      </c>
      <c r="BP302" s="4" t="s">
        <v>256</v>
      </c>
      <c r="BQ302" s="4" t="s">
        <v>257</v>
      </c>
      <c r="CE302" s="4" t="s">
        <v>241</v>
      </c>
      <c r="CF302" s="4" t="s">
        <v>241</v>
      </c>
      <c r="CJ302" s="4" t="s">
        <v>258</v>
      </c>
      <c r="CK302" s="4" t="s">
        <v>259</v>
      </c>
      <c r="CL302" s="4" t="s">
        <v>241</v>
      </c>
      <c r="CO302" s="5" t="s">
        <v>260</v>
      </c>
      <c r="CP302" s="4" t="s">
        <v>241</v>
      </c>
      <c r="CQ302" s="4" t="s">
        <v>261</v>
      </c>
      <c r="CR302" s="4" t="s">
        <v>241</v>
      </c>
      <c r="CS302" s="4" t="s">
        <v>241</v>
      </c>
      <c r="CT302" s="4">
        <v>0</v>
      </c>
      <c r="CU302" s="4" t="s">
        <v>262</v>
      </c>
      <c r="CV302" s="4" t="s">
        <v>263</v>
      </c>
      <c r="CW302" s="4" t="s">
        <v>263</v>
      </c>
      <c r="CX302" s="4" t="s">
        <v>264</v>
      </c>
      <c r="DA302" s="6">
        <f>2538390</f>
        <v>2538390</v>
      </c>
      <c r="DC302" s="4" t="s">
        <v>422</v>
      </c>
      <c r="DD302" s="4" t="s">
        <v>241</v>
      </c>
      <c r="DF302" s="4" t="s">
        <v>287</v>
      </c>
      <c r="DG302" s="6">
        <f>0</f>
        <v>0</v>
      </c>
      <c r="DI302" s="4" t="s">
        <v>414</v>
      </c>
      <c r="DJ302" s="4" t="s">
        <v>241</v>
      </c>
      <c r="DK302" s="4" t="s">
        <v>241</v>
      </c>
      <c r="DL302" s="4" t="s">
        <v>241</v>
      </c>
      <c r="DP302" s="4" t="s">
        <v>241</v>
      </c>
      <c r="DQ302" s="4" t="s">
        <v>241</v>
      </c>
      <c r="DR302" s="4" t="s">
        <v>241</v>
      </c>
      <c r="DS302" s="4" t="s">
        <v>241</v>
      </c>
      <c r="DV302" s="4" t="s">
        <v>4954</v>
      </c>
      <c r="DW302" s="4" t="s">
        <v>1775</v>
      </c>
      <c r="HO302" s="4" t="s">
        <v>267</v>
      </c>
    </row>
    <row r="303" spans="1:223" ht="19.5" customHeight="1" x14ac:dyDescent="0.4">
      <c r="A303" s="4">
        <v>1</v>
      </c>
      <c r="B303" s="4" t="s">
        <v>239</v>
      </c>
      <c r="C303" s="4">
        <v>1037</v>
      </c>
      <c r="D303" s="4">
        <v>1</v>
      </c>
      <c r="E303" s="4">
        <v>1</v>
      </c>
      <c r="F303" s="4" t="s">
        <v>240</v>
      </c>
      <c r="G303" s="4" t="s">
        <v>241</v>
      </c>
      <c r="H303" s="4" t="s">
        <v>241</v>
      </c>
      <c r="I303" s="4" t="s">
        <v>4952</v>
      </c>
      <c r="J303" s="4" t="s">
        <v>4219</v>
      </c>
      <c r="K303" s="4" t="s">
        <v>251</v>
      </c>
      <c r="L303" s="4" t="s">
        <v>4951</v>
      </c>
      <c r="M303" s="5" t="s">
        <v>4956</v>
      </c>
      <c r="N303" s="6">
        <f>1798</f>
        <v>1798</v>
      </c>
      <c r="O303" s="4" t="s">
        <v>265</v>
      </c>
      <c r="P303" s="6">
        <f>3982570</f>
        <v>3982570</v>
      </c>
      <c r="Q303" s="6">
        <f>0</f>
        <v>0</v>
      </c>
      <c r="S303" s="6">
        <f>0</f>
        <v>0</v>
      </c>
      <c r="T303" s="6">
        <f>3982570</f>
        <v>3982570</v>
      </c>
      <c r="U303" s="5" t="s">
        <v>245</v>
      </c>
      <c r="V303" s="4" t="s">
        <v>270</v>
      </c>
      <c r="W303" s="4" t="s">
        <v>242</v>
      </c>
      <c r="X303" s="4" t="s">
        <v>273</v>
      </c>
      <c r="Y303" s="4" t="s">
        <v>241</v>
      </c>
      <c r="AB303" s="4" t="s">
        <v>241</v>
      </c>
      <c r="AD303" s="5" t="s">
        <v>241</v>
      </c>
      <c r="AG303" s="5" t="s">
        <v>246</v>
      </c>
      <c r="AH303" s="4" t="s">
        <v>241</v>
      </c>
      <c r="AI303" s="4" t="s">
        <v>247</v>
      </c>
      <c r="AJ303" s="4" t="s">
        <v>248</v>
      </c>
      <c r="AZ303" s="4" t="s">
        <v>249</v>
      </c>
      <c r="BA303" s="4" t="s">
        <v>241</v>
      </c>
      <c r="BB303" s="4" t="s">
        <v>250</v>
      </c>
      <c r="BC303" s="4" t="s">
        <v>241</v>
      </c>
      <c r="BD303" s="4" t="s">
        <v>252</v>
      </c>
      <c r="BE303" s="4" t="s">
        <v>241</v>
      </c>
      <c r="BI303" s="4" t="s">
        <v>253</v>
      </c>
      <c r="BJ303" s="5" t="s">
        <v>246</v>
      </c>
      <c r="BK303" s="4" t="s">
        <v>254</v>
      </c>
      <c r="BL303" s="4" t="s">
        <v>255</v>
      </c>
      <c r="BM303" s="4" t="s">
        <v>241</v>
      </c>
      <c r="BN303" s="6">
        <f>0</f>
        <v>0</v>
      </c>
      <c r="BO303" s="6">
        <f>0</f>
        <v>0</v>
      </c>
      <c r="BP303" s="4" t="s">
        <v>256</v>
      </c>
      <c r="BQ303" s="4" t="s">
        <v>257</v>
      </c>
      <c r="CE303" s="4" t="s">
        <v>241</v>
      </c>
      <c r="CF303" s="4" t="s">
        <v>241</v>
      </c>
      <c r="CJ303" s="4" t="s">
        <v>258</v>
      </c>
      <c r="CK303" s="4" t="s">
        <v>259</v>
      </c>
      <c r="CL303" s="4" t="s">
        <v>241</v>
      </c>
      <c r="CO303" s="5" t="s">
        <v>260</v>
      </c>
      <c r="CP303" s="4" t="s">
        <v>241</v>
      </c>
      <c r="CQ303" s="4" t="s">
        <v>261</v>
      </c>
      <c r="CR303" s="4" t="s">
        <v>241</v>
      </c>
      <c r="CS303" s="4" t="s">
        <v>241</v>
      </c>
      <c r="CT303" s="4">
        <v>0</v>
      </c>
      <c r="CU303" s="4" t="s">
        <v>262</v>
      </c>
      <c r="CV303" s="4" t="s">
        <v>263</v>
      </c>
      <c r="CW303" s="4" t="s">
        <v>263</v>
      </c>
      <c r="CX303" s="4" t="s">
        <v>264</v>
      </c>
      <c r="DA303" s="6">
        <f>3982570</f>
        <v>3982570</v>
      </c>
      <c r="DC303" s="4" t="s">
        <v>422</v>
      </c>
      <c r="DD303" s="4" t="s">
        <v>241</v>
      </c>
      <c r="DF303" s="4" t="s">
        <v>287</v>
      </c>
      <c r="DG303" s="6">
        <f>0</f>
        <v>0</v>
      </c>
      <c r="DI303" s="4" t="s">
        <v>414</v>
      </c>
      <c r="DJ303" s="4" t="s">
        <v>241</v>
      </c>
      <c r="DK303" s="4" t="s">
        <v>241</v>
      </c>
      <c r="DL303" s="4" t="s">
        <v>241</v>
      </c>
      <c r="DP303" s="4" t="s">
        <v>241</v>
      </c>
      <c r="DQ303" s="4" t="s">
        <v>241</v>
      </c>
      <c r="DR303" s="4" t="s">
        <v>241</v>
      </c>
      <c r="DS303" s="4" t="s">
        <v>241</v>
      </c>
      <c r="DV303" s="4" t="s">
        <v>4954</v>
      </c>
      <c r="DW303" s="4" t="s">
        <v>1773</v>
      </c>
      <c r="HO303" s="4" t="s">
        <v>267</v>
      </c>
    </row>
    <row r="304" spans="1:223" ht="19.5" customHeight="1" x14ac:dyDescent="0.4">
      <c r="A304" s="4">
        <v>1</v>
      </c>
      <c r="B304" s="4" t="s">
        <v>239</v>
      </c>
      <c r="C304" s="4">
        <v>1038</v>
      </c>
      <c r="D304" s="4">
        <v>1</v>
      </c>
      <c r="E304" s="4">
        <v>1</v>
      </c>
      <c r="F304" s="4" t="s">
        <v>240</v>
      </c>
      <c r="G304" s="4" t="s">
        <v>241</v>
      </c>
      <c r="H304" s="4" t="s">
        <v>241</v>
      </c>
      <c r="I304" s="4" t="s">
        <v>4952</v>
      </c>
      <c r="J304" s="4" t="s">
        <v>4219</v>
      </c>
      <c r="K304" s="4" t="s">
        <v>251</v>
      </c>
      <c r="L304" s="4" t="s">
        <v>4951</v>
      </c>
      <c r="M304" s="5" t="s">
        <v>4974</v>
      </c>
      <c r="N304" s="6">
        <f>4938</f>
        <v>4938</v>
      </c>
      <c r="O304" s="4" t="s">
        <v>265</v>
      </c>
      <c r="P304" s="6">
        <f>10937670</f>
        <v>10937670</v>
      </c>
      <c r="Q304" s="6">
        <f>0</f>
        <v>0</v>
      </c>
      <c r="S304" s="6">
        <f>0</f>
        <v>0</v>
      </c>
      <c r="T304" s="6">
        <f>10937670</f>
        <v>10937670</v>
      </c>
      <c r="U304" s="5" t="s">
        <v>245</v>
      </c>
      <c r="V304" s="4" t="s">
        <v>270</v>
      </c>
      <c r="W304" s="4" t="s">
        <v>242</v>
      </c>
      <c r="X304" s="4" t="s">
        <v>273</v>
      </c>
      <c r="Y304" s="4" t="s">
        <v>241</v>
      </c>
      <c r="AB304" s="4" t="s">
        <v>241</v>
      </c>
      <c r="AD304" s="5" t="s">
        <v>241</v>
      </c>
      <c r="AG304" s="5" t="s">
        <v>246</v>
      </c>
      <c r="AH304" s="4" t="s">
        <v>241</v>
      </c>
      <c r="AI304" s="4" t="s">
        <v>247</v>
      </c>
      <c r="AJ304" s="4" t="s">
        <v>248</v>
      </c>
      <c r="AZ304" s="4" t="s">
        <v>249</v>
      </c>
      <c r="BA304" s="4" t="s">
        <v>241</v>
      </c>
      <c r="BB304" s="4" t="s">
        <v>250</v>
      </c>
      <c r="BC304" s="4" t="s">
        <v>241</v>
      </c>
      <c r="BD304" s="4" t="s">
        <v>252</v>
      </c>
      <c r="BE304" s="4" t="s">
        <v>241</v>
      </c>
      <c r="BI304" s="4" t="s">
        <v>253</v>
      </c>
      <c r="BJ304" s="5" t="s">
        <v>246</v>
      </c>
      <c r="BK304" s="4" t="s">
        <v>254</v>
      </c>
      <c r="BL304" s="4" t="s">
        <v>255</v>
      </c>
      <c r="BM304" s="4" t="s">
        <v>241</v>
      </c>
      <c r="BN304" s="6">
        <f>0</f>
        <v>0</v>
      </c>
      <c r="BO304" s="6">
        <f>0</f>
        <v>0</v>
      </c>
      <c r="BP304" s="4" t="s">
        <v>256</v>
      </c>
      <c r="BQ304" s="4" t="s">
        <v>257</v>
      </c>
      <c r="CE304" s="4" t="s">
        <v>241</v>
      </c>
      <c r="CF304" s="4" t="s">
        <v>241</v>
      </c>
      <c r="CJ304" s="4" t="s">
        <v>258</v>
      </c>
      <c r="CK304" s="4" t="s">
        <v>259</v>
      </c>
      <c r="CL304" s="4" t="s">
        <v>241</v>
      </c>
      <c r="CO304" s="5" t="s">
        <v>260</v>
      </c>
      <c r="CP304" s="4" t="s">
        <v>241</v>
      </c>
      <c r="CQ304" s="4" t="s">
        <v>261</v>
      </c>
      <c r="CR304" s="4" t="s">
        <v>241</v>
      </c>
      <c r="CS304" s="4" t="s">
        <v>241</v>
      </c>
      <c r="CT304" s="4">
        <v>0</v>
      </c>
      <c r="CU304" s="4" t="s">
        <v>262</v>
      </c>
      <c r="CV304" s="4" t="s">
        <v>263</v>
      </c>
      <c r="CW304" s="4" t="s">
        <v>263</v>
      </c>
      <c r="CX304" s="4" t="s">
        <v>264</v>
      </c>
      <c r="DA304" s="6">
        <f>10937670</f>
        <v>10937670</v>
      </c>
      <c r="DC304" s="4" t="s">
        <v>422</v>
      </c>
      <c r="DD304" s="4" t="s">
        <v>241</v>
      </c>
      <c r="DF304" s="4" t="s">
        <v>287</v>
      </c>
      <c r="DG304" s="6">
        <f>0</f>
        <v>0</v>
      </c>
      <c r="DI304" s="4" t="s">
        <v>414</v>
      </c>
      <c r="DJ304" s="4" t="s">
        <v>241</v>
      </c>
      <c r="DK304" s="4" t="s">
        <v>241</v>
      </c>
      <c r="DL304" s="4" t="s">
        <v>241</v>
      </c>
      <c r="DP304" s="4" t="s">
        <v>241</v>
      </c>
      <c r="DQ304" s="4" t="s">
        <v>241</v>
      </c>
      <c r="DR304" s="4" t="s">
        <v>241</v>
      </c>
      <c r="DS304" s="4" t="s">
        <v>241</v>
      </c>
      <c r="DV304" s="4" t="s">
        <v>4954</v>
      </c>
      <c r="DW304" s="4" t="s">
        <v>2076</v>
      </c>
      <c r="HO304" s="4" t="s">
        <v>267</v>
      </c>
    </row>
    <row r="305" spans="1:223" ht="19.5" customHeight="1" x14ac:dyDescent="0.4">
      <c r="A305" s="4">
        <v>1</v>
      </c>
      <c r="B305" s="4" t="s">
        <v>239</v>
      </c>
      <c r="C305" s="4">
        <v>1039</v>
      </c>
      <c r="D305" s="4">
        <v>1</v>
      </c>
      <c r="E305" s="4">
        <v>1</v>
      </c>
      <c r="F305" s="4" t="s">
        <v>240</v>
      </c>
      <c r="G305" s="4" t="s">
        <v>241</v>
      </c>
      <c r="H305" s="4" t="s">
        <v>241</v>
      </c>
      <c r="I305" s="4" t="s">
        <v>4952</v>
      </c>
      <c r="J305" s="4" t="s">
        <v>4219</v>
      </c>
      <c r="K305" s="4" t="s">
        <v>251</v>
      </c>
      <c r="L305" s="4" t="s">
        <v>4951</v>
      </c>
      <c r="M305" s="5" t="s">
        <v>4973</v>
      </c>
      <c r="N305" s="6">
        <f>5015</f>
        <v>5015</v>
      </c>
      <c r="O305" s="4" t="s">
        <v>265</v>
      </c>
      <c r="P305" s="6">
        <f>11108225</f>
        <v>11108225</v>
      </c>
      <c r="Q305" s="6">
        <f>0</f>
        <v>0</v>
      </c>
      <c r="S305" s="6">
        <f>0</f>
        <v>0</v>
      </c>
      <c r="T305" s="6">
        <f>11108225</f>
        <v>11108225</v>
      </c>
      <c r="U305" s="5" t="s">
        <v>245</v>
      </c>
      <c r="V305" s="4" t="s">
        <v>270</v>
      </c>
      <c r="W305" s="4" t="s">
        <v>242</v>
      </c>
      <c r="X305" s="4" t="s">
        <v>273</v>
      </c>
      <c r="Y305" s="4" t="s">
        <v>241</v>
      </c>
      <c r="AB305" s="4" t="s">
        <v>241</v>
      </c>
      <c r="AD305" s="5" t="s">
        <v>241</v>
      </c>
      <c r="AG305" s="5" t="s">
        <v>246</v>
      </c>
      <c r="AH305" s="4" t="s">
        <v>241</v>
      </c>
      <c r="AI305" s="4" t="s">
        <v>247</v>
      </c>
      <c r="AJ305" s="4" t="s">
        <v>248</v>
      </c>
      <c r="AZ305" s="4" t="s">
        <v>249</v>
      </c>
      <c r="BA305" s="4" t="s">
        <v>241</v>
      </c>
      <c r="BB305" s="4" t="s">
        <v>250</v>
      </c>
      <c r="BC305" s="4" t="s">
        <v>241</v>
      </c>
      <c r="BD305" s="4" t="s">
        <v>252</v>
      </c>
      <c r="BE305" s="4" t="s">
        <v>241</v>
      </c>
      <c r="BI305" s="4" t="s">
        <v>253</v>
      </c>
      <c r="BJ305" s="5" t="s">
        <v>246</v>
      </c>
      <c r="BK305" s="4" t="s">
        <v>254</v>
      </c>
      <c r="BL305" s="4" t="s">
        <v>255</v>
      </c>
      <c r="BM305" s="4" t="s">
        <v>241</v>
      </c>
      <c r="BN305" s="6">
        <f>0</f>
        <v>0</v>
      </c>
      <c r="BO305" s="6">
        <f>0</f>
        <v>0</v>
      </c>
      <c r="BP305" s="4" t="s">
        <v>256</v>
      </c>
      <c r="BQ305" s="4" t="s">
        <v>257</v>
      </c>
      <c r="CE305" s="4" t="s">
        <v>241</v>
      </c>
      <c r="CF305" s="4" t="s">
        <v>241</v>
      </c>
      <c r="CJ305" s="4" t="s">
        <v>258</v>
      </c>
      <c r="CK305" s="4" t="s">
        <v>259</v>
      </c>
      <c r="CL305" s="4" t="s">
        <v>241</v>
      </c>
      <c r="CO305" s="5" t="s">
        <v>260</v>
      </c>
      <c r="CP305" s="4" t="s">
        <v>241</v>
      </c>
      <c r="CQ305" s="4" t="s">
        <v>261</v>
      </c>
      <c r="CR305" s="4" t="s">
        <v>241</v>
      </c>
      <c r="CS305" s="4" t="s">
        <v>241</v>
      </c>
      <c r="CT305" s="4">
        <v>0</v>
      </c>
      <c r="CU305" s="4" t="s">
        <v>262</v>
      </c>
      <c r="CV305" s="4" t="s">
        <v>263</v>
      </c>
      <c r="CW305" s="4" t="s">
        <v>263</v>
      </c>
      <c r="CX305" s="4" t="s">
        <v>264</v>
      </c>
      <c r="DA305" s="6">
        <f>11108225</f>
        <v>11108225</v>
      </c>
      <c r="DC305" s="4" t="s">
        <v>422</v>
      </c>
      <c r="DD305" s="4" t="s">
        <v>241</v>
      </c>
      <c r="DF305" s="4" t="s">
        <v>287</v>
      </c>
      <c r="DG305" s="6">
        <f>0</f>
        <v>0</v>
      </c>
      <c r="DI305" s="4" t="s">
        <v>414</v>
      </c>
      <c r="DJ305" s="4" t="s">
        <v>241</v>
      </c>
      <c r="DK305" s="4" t="s">
        <v>241</v>
      </c>
      <c r="DL305" s="4" t="s">
        <v>241</v>
      </c>
      <c r="DP305" s="4" t="s">
        <v>241</v>
      </c>
      <c r="DQ305" s="4" t="s">
        <v>241</v>
      </c>
      <c r="DR305" s="4" t="s">
        <v>241</v>
      </c>
      <c r="DS305" s="4" t="s">
        <v>241</v>
      </c>
      <c r="DV305" s="4" t="s">
        <v>4954</v>
      </c>
      <c r="DW305" s="4" t="s">
        <v>1771</v>
      </c>
      <c r="HO305" s="4" t="s">
        <v>267</v>
      </c>
    </row>
    <row r="306" spans="1:223" ht="19.5" customHeight="1" x14ac:dyDescent="0.4">
      <c r="A306" s="4">
        <v>1</v>
      </c>
      <c r="B306" s="4" t="s">
        <v>239</v>
      </c>
      <c r="C306" s="4">
        <v>1040</v>
      </c>
      <c r="D306" s="4">
        <v>1</v>
      </c>
      <c r="E306" s="4">
        <v>1</v>
      </c>
      <c r="F306" s="4" t="s">
        <v>240</v>
      </c>
      <c r="G306" s="4" t="s">
        <v>241</v>
      </c>
      <c r="H306" s="4" t="s">
        <v>241</v>
      </c>
      <c r="I306" s="4" t="s">
        <v>4952</v>
      </c>
      <c r="J306" s="4" t="s">
        <v>4219</v>
      </c>
      <c r="K306" s="4" t="s">
        <v>251</v>
      </c>
      <c r="L306" s="4" t="s">
        <v>4951</v>
      </c>
      <c r="M306" s="5" t="s">
        <v>4976</v>
      </c>
      <c r="N306" s="6">
        <f>642</f>
        <v>642</v>
      </c>
      <c r="O306" s="4" t="s">
        <v>265</v>
      </c>
      <c r="P306" s="6">
        <f>1422030</f>
        <v>1422030</v>
      </c>
      <c r="Q306" s="6">
        <f>0</f>
        <v>0</v>
      </c>
      <c r="S306" s="6">
        <f>0</f>
        <v>0</v>
      </c>
      <c r="T306" s="6">
        <f>1422030</f>
        <v>1422030</v>
      </c>
      <c r="U306" s="5" t="s">
        <v>245</v>
      </c>
      <c r="V306" s="4" t="s">
        <v>270</v>
      </c>
      <c r="W306" s="4" t="s">
        <v>242</v>
      </c>
      <c r="X306" s="4" t="s">
        <v>273</v>
      </c>
      <c r="Y306" s="4" t="s">
        <v>241</v>
      </c>
      <c r="AB306" s="4" t="s">
        <v>241</v>
      </c>
      <c r="AD306" s="5" t="s">
        <v>241</v>
      </c>
      <c r="AG306" s="5" t="s">
        <v>246</v>
      </c>
      <c r="AH306" s="4" t="s">
        <v>241</v>
      </c>
      <c r="AI306" s="4" t="s">
        <v>247</v>
      </c>
      <c r="AJ306" s="4" t="s">
        <v>248</v>
      </c>
      <c r="AZ306" s="4" t="s">
        <v>249</v>
      </c>
      <c r="BA306" s="4" t="s">
        <v>241</v>
      </c>
      <c r="BB306" s="4" t="s">
        <v>250</v>
      </c>
      <c r="BC306" s="4" t="s">
        <v>241</v>
      </c>
      <c r="BD306" s="4" t="s">
        <v>252</v>
      </c>
      <c r="BE306" s="4" t="s">
        <v>241</v>
      </c>
      <c r="BI306" s="4" t="s">
        <v>253</v>
      </c>
      <c r="BJ306" s="5" t="s">
        <v>246</v>
      </c>
      <c r="BK306" s="4" t="s">
        <v>254</v>
      </c>
      <c r="BL306" s="4" t="s">
        <v>255</v>
      </c>
      <c r="BM306" s="4" t="s">
        <v>241</v>
      </c>
      <c r="BN306" s="6">
        <f>0</f>
        <v>0</v>
      </c>
      <c r="BO306" s="6">
        <f>0</f>
        <v>0</v>
      </c>
      <c r="BP306" s="4" t="s">
        <v>256</v>
      </c>
      <c r="BQ306" s="4" t="s">
        <v>257</v>
      </c>
      <c r="CE306" s="4" t="s">
        <v>241</v>
      </c>
      <c r="CF306" s="4" t="s">
        <v>241</v>
      </c>
      <c r="CJ306" s="4" t="s">
        <v>258</v>
      </c>
      <c r="CK306" s="4" t="s">
        <v>259</v>
      </c>
      <c r="CL306" s="4" t="s">
        <v>241</v>
      </c>
      <c r="CO306" s="5" t="s">
        <v>260</v>
      </c>
      <c r="CP306" s="4" t="s">
        <v>241</v>
      </c>
      <c r="CQ306" s="4" t="s">
        <v>261</v>
      </c>
      <c r="CR306" s="4" t="s">
        <v>241</v>
      </c>
      <c r="CS306" s="4" t="s">
        <v>241</v>
      </c>
      <c r="CT306" s="4">
        <v>0</v>
      </c>
      <c r="CU306" s="4" t="s">
        <v>262</v>
      </c>
      <c r="CV306" s="4" t="s">
        <v>263</v>
      </c>
      <c r="CW306" s="4" t="s">
        <v>263</v>
      </c>
      <c r="CX306" s="4" t="s">
        <v>264</v>
      </c>
      <c r="DA306" s="6">
        <f>1422030</f>
        <v>1422030</v>
      </c>
      <c r="DC306" s="4" t="s">
        <v>422</v>
      </c>
      <c r="DD306" s="4" t="s">
        <v>241</v>
      </c>
      <c r="DF306" s="4" t="s">
        <v>287</v>
      </c>
      <c r="DG306" s="6">
        <f>0</f>
        <v>0</v>
      </c>
      <c r="DI306" s="4" t="s">
        <v>414</v>
      </c>
      <c r="DJ306" s="4" t="s">
        <v>241</v>
      </c>
      <c r="DK306" s="4" t="s">
        <v>241</v>
      </c>
      <c r="DL306" s="4" t="s">
        <v>241</v>
      </c>
      <c r="DP306" s="4" t="s">
        <v>241</v>
      </c>
      <c r="DQ306" s="4" t="s">
        <v>241</v>
      </c>
      <c r="DR306" s="4" t="s">
        <v>241</v>
      </c>
      <c r="DS306" s="4" t="s">
        <v>241</v>
      </c>
      <c r="DV306" s="4" t="s">
        <v>4954</v>
      </c>
      <c r="DW306" s="4" t="s">
        <v>1769</v>
      </c>
      <c r="HO306" s="4" t="s">
        <v>267</v>
      </c>
    </row>
    <row r="307" spans="1:223" ht="19.5" customHeight="1" x14ac:dyDescent="0.4">
      <c r="A307" s="4">
        <v>1</v>
      </c>
      <c r="B307" s="4" t="s">
        <v>239</v>
      </c>
      <c r="C307" s="4">
        <v>1041</v>
      </c>
      <c r="D307" s="4">
        <v>1</v>
      </c>
      <c r="E307" s="4">
        <v>1</v>
      </c>
      <c r="F307" s="4" t="s">
        <v>240</v>
      </c>
      <c r="G307" s="4" t="s">
        <v>241</v>
      </c>
      <c r="H307" s="4" t="s">
        <v>241</v>
      </c>
      <c r="I307" s="4" t="s">
        <v>4952</v>
      </c>
      <c r="J307" s="4" t="s">
        <v>4219</v>
      </c>
      <c r="K307" s="4" t="s">
        <v>251</v>
      </c>
      <c r="L307" s="4" t="s">
        <v>4951</v>
      </c>
      <c r="M307" s="5" t="s">
        <v>4975</v>
      </c>
      <c r="N307" s="6">
        <f>7.69</f>
        <v>7.69</v>
      </c>
      <c r="O307" s="4" t="s">
        <v>265</v>
      </c>
      <c r="P307" s="6">
        <f>17033</f>
        <v>17033</v>
      </c>
      <c r="Q307" s="6">
        <f>0</f>
        <v>0</v>
      </c>
      <c r="S307" s="6">
        <f>0</f>
        <v>0</v>
      </c>
      <c r="T307" s="6">
        <f>17033</f>
        <v>17033</v>
      </c>
      <c r="U307" s="5" t="s">
        <v>245</v>
      </c>
      <c r="V307" s="4" t="s">
        <v>270</v>
      </c>
      <c r="W307" s="4" t="s">
        <v>242</v>
      </c>
      <c r="X307" s="4" t="s">
        <v>273</v>
      </c>
      <c r="Y307" s="4" t="s">
        <v>241</v>
      </c>
      <c r="AB307" s="4" t="s">
        <v>241</v>
      </c>
      <c r="AD307" s="5" t="s">
        <v>241</v>
      </c>
      <c r="AG307" s="5" t="s">
        <v>246</v>
      </c>
      <c r="AH307" s="4" t="s">
        <v>241</v>
      </c>
      <c r="AI307" s="4" t="s">
        <v>247</v>
      </c>
      <c r="AJ307" s="4" t="s">
        <v>248</v>
      </c>
      <c r="AZ307" s="4" t="s">
        <v>249</v>
      </c>
      <c r="BA307" s="4" t="s">
        <v>241</v>
      </c>
      <c r="BB307" s="4" t="s">
        <v>250</v>
      </c>
      <c r="BC307" s="4" t="s">
        <v>241</v>
      </c>
      <c r="BD307" s="4" t="s">
        <v>252</v>
      </c>
      <c r="BE307" s="4" t="s">
        <v>241</v>
      </c>
      <c r="BI307" s="4" t="s">
        <v>253</v>
      </c>
      <c r="BJ307" s="5" t="s">
        <v>246</v>
      </c>
      <c r="BK307" s="4" t="s">
        <v>254</v>
      </c>
      <c r="BL307" s="4" t="s">
        <v>255</v>
      </c>
      <c r="BM307" s="4" t="s">
        <v>241</v>
      </c>
      <c r="BN307" s="6">
        <f>0</f>
        <v>0</v>
      </c>
      <c r="BO307" s="6">
        <f>0</f>
        <v>0</v>
      </c>
      <c r="BP307" s="4" t="s">
        <v>256</v>
      </c>
      <c r="BQ307" s="4" t="s">
        <v>257</v>
      </c>
      <c r="CE307" s="4" t="s">
        <v>241</v>
      </c>
      <c r="CF307" s="4" t="s">
        <v>241</v>
      </c>
      <c r="CJ307" s="4" t="s">
        <v>258</v>
      </c>
      <c r="CK307" s="4" t="s">
        <v>259</v>
      </c>
      <c r="CL307" s="4" t="s">
        <v>241</v>
      </c>
      <c r="CO307" s="5" t="s">
        <v>260</v>
      </c>
      <c r="CP307" s="4" t="s">
        <v>241</v>
      </c>
      <c r="CQ307" s="4" t="s">
        <v>261</v>
      </c>
      <c r="CR307" s="4" t="s">
        <v>241</v>
      </c>
      <c r="CS307" s="4" t="s">
        <v>241</v>
      </c>
      <c r="CT307" s="4">
        <v>0</v>
      </c>
      <c r="CU307" s="4" t="s">
        <v>262</v>
      </c>
      <c r="CV307" s="4" t="s">
        <v>263</v>
      </c>
      <c r="CW307" s="4" t="s">
        <v>263</v>
      </c>
      <c r="CX307" s="4" t="s">
        <v>264</v>
      </c>
      <c r="DA307" s="6">
        <f>17033</f>
        <v>17033</v>
      </c>
      <c r="DC307" s="4" t="s">
        <v>422</v>
      </c>
      <c r="DD307" s="4" t="s">
        <v>241</v>
      </c>
      <c r="DF307" s="4" t="s">
        <v>287</v>
      </c>
      <c r="DG307" s="6">
        <f>0</f>
        <v>0</v>
      </c>
      <c r="DI307" s="4" t="s">
        <v>414</v>
      </c>
      <c r="DJ307" s="4" t="s">
        <v>241</v>
      </c>
      <c r="DK307" s="4" t="s">
        <v>241</v>
      </c>
      <c r="DL307" s="4" t="s">
        <v>241</v>
      </c>
      <c r="DP307" s="4" t="s">
        <v>241</v>
      </c>
      <c r="DQ307" s="4" t="s">
        <v>241</v>
      </c>
      <c r="DR307" s="4" t="s">
        <v>241</v>
      </c>
      <c r="DS307" s="4" t="s">
        <v>241</v>
      </c>
      <c r="DV307" s="4" t="s">
        <v>4954</v>
      </c>
      <c r="DW307" s="4" t="s">
        <v>1914</v>
      </c>
      <c r="HO307" s="4" t="s">
        <v>267</v>
      </c>
    </row>
    <row r="308" spans="1:223" ht="19.5" customHeight="1" x14ac:dyDescent="0.4">
      <c r="A308" s="4">
        <v>1</v>
      </c>
      <c r="B308" s="4" t="s">
        <v>239</v>
      </c>
      <c r="C308" s="4">
        <v>1042</v>
      </c>
      <c r="D308" s="4">
        <v>1</v>
      </c>
      <c r="E308" s="4">
        <v>1</v>
      </c>
      <c r="F308" s="4" t="s">
        <v>240</v>
      </c>
      <c r="G308" s="4" t="s">
        <v>241</v>
      </c>
      <c r="H308" s="4" t="s">
        <v>241</v>
      </c>
      <c r="I308" s="4" t="s">
        <v>4952</v>
      </c>
      <c r="J308" s="4" t="s">
        <v>4219</v>
      </c>
      <c r="K308" s="4" t="s">
        <v>251</v>
      </c>
      <c r="L308" s="4" t="s">
        <v>4951</v>
      </c>
      <c r="M308" s="5" t="s">
        <v>4977</v>
      </c>
      <c r="N308" s="6">
        <f>47</f>
        <v>47</v>
      </c>
      <c r="O308" s="4" t="s">
        <v>265</v>
      </c>
      <c r="P308" s="6">
        <f>104105</f>
        <v>104105</v>
      </c>
      <c r="Q308" s="6">
        <f>0</f>
        <v>0</v>
      </c>
      <c r="S308" s="6">
        <f>0</f>
        <v>0</v>
      </c>
      <c r="T308" s="6">
        <f>104105</f>
        <v>104105</v>
      </c>
      <c r="U308" s="5" t="s">
        <v>245</v>
      </c>
      <c r="V308" s="4" t="s">
        <v>270</v>
      </c>
      <c r="W308" s="4" t="s">
        <v>242</v>
      </c>
      <c r="X308" s="4" t="s">
        <v>273</v>
      </c>
      <c r="Y308" s="4" t="s">
        <v>241</v>
      </c>
      <c r="AB308" s="4" t="s">
        <v>241</v>
      </c>
      <c r="AD308" s="5" t="s">
        <v>241</v>
      </c>
      <c r="AG308" s="5" t="s">
        <v>246</v>
      </c>
      <c r="AH308" s="4" t="s">
        <v>241</v>
      </c>
      <c r="AI308" s="4" t="s">
        <v>247</v>
      </c>
      <c r="AJ308" s="4" t="s">
        <v>248</v>
      </c>
      <c r="AZ308" s="4" t="s">
        <v>249</v>
      </c>
      <c r="BA308" s="4" t="s">
        <v>241</v>
      </c>
      <c r="BB308" s="4" t="s">
        <v>250</v>
      </c>
      <c r="BC308" s="4" t="s">
        <v>241</v>
      </c>
      <c r="BD308" s="4" t="s">
        <v>252</v>
      </c>
      <c r="BE308" s="4" t="s">
        <v>241</v>
      </c>
      <c r="BI308" s="4" t="s">
        <v>253</v>
      </c>
      <c r="BJ308" s="5" t="s">
        <v>246</v>
      </c>
      <c r="BK308" s="4" t="s">
        <v>254</v>
      </c>
      <c r="BL308" s="4" t="s">
        <v>255</v>
      </c>
      <c r="BM308" s="4" t="s">
        <v>241</v>
      </c>
      <c r="BN308" s="6">
        <f>0</f>
        <v>0</v>
      </c>
      <c r="BO308" s="6">
        <f>0</f>
        <v>0</v>
      </c>
      <c r="BP308" s="4" t="s">
        <v>256</v>
      </c>
      <c r="BQ308" s="4" t="s">
        <v>257</v>
      </c>
      <c r="CE308" s="4" t="s">
        <v>241</v>
      </c>
      <c r="CF308" s="4" t="s">
        <v>241</v>
      </c>
      <c r="CJ308" s="4" t="s">
        <v>258</v>
      </c>
      <c r="CK308" s="4" t="s">
        <v>259</v>
      </c>
      <c r="CL308" s="4" t="s">
        <v>241</v>
      </c>
      <c r="CO308" s="5" t="s">
        <v>260</v>
      </c>
      <c r="CP308" s="4" t="s">
        <v>241</v>
      </c>
      <c r="CQ308" s="4" t="s">
        <v>261</v>
      </c>
      <c r="CR308" s="4" t="s">
        <v>241</v>
      </c>
      <c r="CS308" s="4" t="s">
        <v>241</v>
      </c>
      <c r="CT308" s="4">
        <v>0</v>
      </c>
      <c r="CU308" s="4" t="s">
        <v>262</v>
      </c>
      <c r="CV308" s="4" t="s">
        <v>263</v>
      </c>
      <c r="CW308" s="4" t="s">
        <v>263</v>
      </c>
      <c r="CX308" s="4" t="s">
        <v>264</v>
      </c>
      <c r="DA308" s="6">
        <f>104105</f>
        <v>104105</v>
      </c>
      <c r="DC308" s="4" t="s">
        <v>422</v>
      </c>
      <c r="DD308" s="4" t="s">
        <v>241</v>
      </c>
      <c r="DF308" s="4" t="s">
        <v>287</v>
      </c>
      <c r="DG308" s="6">
        <f>0</f>
        <v>0</v>
      </c>
      <c r="DI308" s="4" t="s">
        <v>414</v>
      </c>
      <c r="DJ308" s="4" t="s">
        <v>241</v>
      </c>
      <c r="DK308" s="4" t="s">
        <v>241</v>
      </c>
      <c r="DL308" s="4" t="s">
        <v>241</v>
      </c>
      <c r="DP308" s="4" t="s">
        <v>241</v>
      </c>
      <c r="DQ308" s="4" t="s">
        <v>241</v>
      </c>
      <c r="DR308" s="4" t="s">
        <v>241</v>
      </c>
      <c r="DS308" s="4" t="s">
        <v>241</v>
      </c>
      <c r="DV308" s="4" t="s">
        <v>4954</v>
      </c>
      <c r="DW308" s="4" t="s">
        <v>1767</v>
      </c>
      <c r="HO308" s="4" t="s">
        <v>267</v>
      </c>
    </row>
    <row r="309" spans="1:223" ht="19.5" customHeight="1" x14ac:dyDescent="0.4">
      <c r="A309" s="4">
        <v>1</v>
      </c>
      <c r="B309" s="4" t="s">
        <v>239</v>
      </c>
      <c r="C309" s="4">
        <v>1043</v>
      </c>
      <c r="D309" s="4">
        <v>1</v>
      </c>
      <c r="E309" s="4">
        <v>1</v>
      </c>
      <c r="F309" s="4" t="s">
        <v>240</v>
      </c>
      <c r="G309" s="4" t="s">
        <v>241</v>
      </c>
      <c r="H309" s="4" t="s">
        <v>241</v>
      </c>
      <c r="I309" s="4" t="s">
        <v>4942</v>
      </c>
      <c r="J309" s="4" t="s">
        <v>4219</v>
      </c>
      <c r="K309" s="4" t="s">
        <v>251</v>
      </c>
      <c r="L309" s="4" t="s">
        <v>4941</v>
      </c>
      <c r="M309" s="5" t="s">
        <v>4945</v>
      </c>
      <c r="N309" s="6">
        <f>592</f>
        <v>592</v>
      </c>
      <c r="O309" s="4" t="s">
        <v>265</v>
      </c>
      <c r="P309" s="6">
        <f>1311280</f>
        <v>1311280</v>
      </c>
      <c r="Q309" s="6">
        <f>0</f>
        <v>0</v>
      </c>
      <c r="S309" s="6">
        <f>0</f>
        <v>0</v>
      </c>
      <c r="T309" s="6">
        <f>1311280</f>
        <v>1311280</v>
      </c>
      <c r="U309" s="5" t="s">
        <v>245</v>
      </c>
      <c r="V309" s="4" t="s">
        <v>270</v>
      </c>
      <c r="W309" s="4" t="s">
        <v>242</v>
      </c>
      <c r="X309" s="4" t="s">
        <v>273</v>
      </c>
      <c r="Y309" s="4" t="s">
        <v>241</v>
      </c>
      <c r="AB309" s="4" t="s">
        <v>241</v>
      </c>
      <c r="AD309" s="5" t="s">
        <v>241</v>
      </c>
      <c r="AG309" s="5" t="s">
        <v>246</v>
      </c>
      <c r="AH309" s="4" t="s">
        <v>241</v>
      </c>
      <c r="AI309" s="4" t="s">
        <v>247</v>
      </c>
      <c r="AJ309" s="4" t="s">
        <v>248</v>
      </c>
      <c r="AZ309" s="4" t="s">
        <v>249</v>
      </c>
      <c r="BA309" s="4" t="s">
        <v>241</v>
      </c>
      <c r="BB309" s="4" t="s">
        <v>250</v>
      </c>
      <c r="BC309" s="4" t="s">
        <v>241</v>
      </c>
      <c r="BD309" s="4" t="s">
        <v>252</v>
      </c>
      <c r="BE309" s="4" t="s">
        <v>241</v>
      </c>
      <c r="BG309" s="4" t="s">
        <v>4227</v>
      </c>
      <c r="BI309" s="4" t="s">
        <v>253</v>
      </c>
      <c r="BJ309" s="5" t="s">
        <v>246</v>
      </c>
      <c r="BK309" s="4" t="s">
        <v>254</v>
      </c>
      <c r="BL309" s="4" t="s">
        <v>255</v>
      </c>
      <c r="BM309" s="4" t="s">
        <v>241</v>
      </c>
      <c r="BN309" s="6">
        <f>0</f>
        <v>0</v>
      </c>
      <c r="BO309" s="6">
        <f>0</f>
        <v>0</v>
      </c>
      <c r="BP309" s="4" t="s">
        <v>256</v>
      </c>
      <c r="BQ309" s="4" t="s">
        <v>257</v>
      </c>
      <c r="CE309" s="4" t="s">
        <v>241</v>
      </c>
      <c r="CF309" s="4" t="s">
        <v>241</v>
      </c>
      <c r="CJ309" s="4" t="s">
        <v>258</v>
      </c>
      <c r="CK309" s="4" t="s">
        <v>259</v>
      </c>
      <c r="CL309" s="4" t="s">
        <v>241</v>
      </c>
      <c r="CO309" s="5" t="s">
        <v>260</v>
      </c>
      <c r="CP309" s="4" t="s">
        <v>241</v>
      </c>
      <c r="CQ309" s="4" t="s">
        <v>261</v>
      </c>
      <c r="CR309" s="4" t="s">
        <v>241</v>
      </c>
      <c r="CS309" s="4" t="s">
        <v>241</v>
      </c>
      <c r="CT309" s="4">
        <v>0</v>
      </c>
      <c r="CU309" s="4" t="s">
        <v>262</v>
      </c>
      <c r="CV309" s="4" t="s">
        <v>263</v>
      </c>
      <c r="CW309" s="4" t="s">
        <v>263</v>
      </c>
      <c r="CX309" s="4" t="s">
        <v>264</v>
      </c>
      <c r="DA309" s="6">
        <f>1311280</f>
        <v>1311280</v>
      </c>
      <c r="DC309" s="4" t="s">
        <v>422</v>
      </c>
      <c r="DD309" s="4" t="s">
        <v>241</v>
      </c>
      <c r="DF309" s="4" t="s">
        <v>287</v>
      </c>
      <c r="DG309" s="6">
        <f>0</f>
        <v>0</v>
      </c>
      <c r="DI309" s="4" t="s">
        <v>414</v>
      </c>
      <c r="DJ309" s="4" t="s">
        <v>241</v>
      </c>
      <c r="DK309" s="4" t="s">
        <v>241</v>
      </c>
      <c r="DL309" s="4" t="s">
        <v>241</v>
      </c>
      <c r="DP309" s="4" t="s">
        <v>241</v>
      </c>
      <c r="DQ309" s="4" t="s">
        <v>241</v>
      </c>
      <c r="DR309" s="4" t="s">
        <v>241</v>
      </c>
      <c r="DS309" s="4" t="s">
        <v>241</v>
      </c>
      <c r="DV309" s="4" t="s">
        <v>4944</v>
      </c>
      <c r="DW309" s="4" t="s">
        <v>267</v>
      </c>
      <c r="HO309" s="4" t="s">
        <v>267</v>
      </c>
    </row>
    <row r="310" spans="1:223" ht="19.5" customHeight="1" x14ac:dyDescent="0.4">
      <c r="A310" s="4">
        <v>1</v>
      </c>
      <c r="B310" s="4" t="s">
        <v>239</v>
      </c>
      <c r="C310" s="4">
        <v>1044</v>
      </c>
      <c r="D310" s="4">
        <v>1</v>
      </c>
      <c r="E310" s="4">
        <v>1</v>
      </c>
      <c r="F310" s="4" t="s">
        <v>240</v>
      </c>
      <c r="G310" s="4" t="s">
        <v>241</v>
      </c>
      <c r="H310" s="4" t="s">
        <v>241</v>
      </c>
      <c r="I310" s="4" t="s">
        <v>4942</v>
      </c>
      <c r="J310" s="4" t="s">
        <v>4219</v>
      </c>
      <c r="K310" s="4" t="s">
        <v>251</v>
      </c>
      <c r="L310" s="4" t="s">
        <v>4941</v>
      </c>
      <c r="M310" s="5" t="s">
        <v>4947</v>
      </c>
      <c r="N310" s="6">
        <f>424</f>
        <v>424</v>
      </c>
      <c r="O310" s="4" t="s">
        <v>265</v>
      </c>
      <c r="P310" s="6">
        <f>939160</f>
        <v>939160</v>
      </c>
      <c r="Q310" s="6">
        <f>0</f>
        <v>0</v>
      </c>
      <c r="S310" s="6">
        <f>0</f>
        <v>0</v>
      </c>
      <c r="T310" s="6">
        <f>939160</f>
        <v>939160</v>
      </c>
      <c r="U310" s="5" t="s">
        <v>245</v>
      </c>
      <c r="V310" s="4" t="s">
        <v>270</v>
      </c>
      <c r="W310" s="4" t="s">
        <v>242</v>
      </c>
      <c r="X310" s="4" t="s">
        <v>273</v>
      </c>
      <c r="Y310" s="4" t="s">
        <v>241</v>
      </c>
      <c r="AB310" s="4" t="s">
        <v>241</v>
      </c>
      <c r="AD310" s="5" t="s">
        <v>241</v>
      </c>
      <c r="AG310" s="5" t="s">
        <v>246</v>
      </c>
      <c r="AH310" s="4" t="s">
        <v>241</v>
      </c>
      <c r="AI310" s="4" t="s">
        <v>247</v>
      </c>
      <c r="AJ310" s="4" t="s">
        <v>248</v>
      </c>
      <c r="AZ310" s="4" t="s">
        <v>249</v>
      </c>
      <c r="BA310" s="4" t="s">
        <v>241</v>
      </c>
      <c r="BB310" s="4" t="s">
        <v>250</v>
      </c>
      <c r="BC310" s="4" t="s">
        <v>241</v>
      </c>
      <c r="BD310" s="4" t="s">
        <v>252</v>
      </c>
      <c r="BE310" s="4" t="s">
        <v>241</v>
      </c>
      <c r="BI310" s="4" t="s">
        <v>253</v>
      </c>
      <c r="BJ310" s="5" t="s">
        <v>246</v>
      </c>
      <c r="BK310" s="4" t="s">
        <v>254</v>
      </c>
      <c r="BL310" s="4" t="s">
        <v>255</v>
      </c>
      <c r="BM310" s="4" t="s">
        <v>241</v>
      </c>
      <c r="BN310" s="6">
        <f>0</f>
        <v>0</v>
      </c>
      <c r="BO310" s="6">
        <f>0</f>
        <v>0</v>
      </c>
      <c r="BP310" s="4" t="s">
        <v>256</v>
      </c>
      <c r="BQ310" s="4" t="s">
        <v>257</v>
      </c>
      <c r="CE310" s="4" t="s">
        <v>241</v>
      </c>
      <c r="CF310" s="4" t="s">
        <v>241</v>
      </c>
      <c r="CJ310" s="4" t="s">
        <v>258</v>
      </c>
      <c r="CK310" s="4" t="s">
        <v>259</v>
      </c>
      <c r="CL310" s="4" t="s">
        <v>241</v>
      </c>
      <c r="CO310" s="5" t="s">
        <v>260</v>
      </c>
      <c r="CP310" s="4" t="s">
        <v>241</v>
      </c>
      <c r="CQ310" s="4" t="s">
        <v>261</v>
      </c>
      <c r="CR310" s="4" t="s">
        <v>241</v>
      </c>
      <c r="CS310" s="4" t="s">
        <v>241</v>
      </c>
      <c r="CT310" s="4">
        <v>0</v>
      </c>
      <c r="CU310" s="4" t="s">
        <v>262</v>
      </c>
      <c r="CV310" s="4" t="s">
        <v>263</v>
      </c>
      <c r="CW310" s="4" t="s">
        <v>263</v>
      </c>
      <c r="CX310" s="4" t="s">
        <v>264</v>
      </c>
      <c r="DA310" s="6">
        <f>939160</f>
        <v>939160</v>
      </c>
      <c r="DC310" s="4" t="s">
        <v>422</v>
      </c>
      <c r="DD310" s="4" t="s">
        <v>241</v>
      </c>
      <c r="DF310" s="4" t="s">
        <v>287</v>
      </c>
      <c r="DG310" s="6">
        <f>0</f>
        <v>0</v>
      </c>
      <c r="DI310" s="4" t="s">
        <v>414</v>
      </c>
      <c r="DJ310" s="4" t="s">
        <v>241</v>
      </c>
      <c r="DK310" s="4" t="s">
        <v>241</v>
      </c>
      <c r="DL310" s="4" t="s">
        <v>241</v>
      </c>
      <c r="DP310" s="4" t="s">
        <v>241</v>
      </c>
      <c r="DQ310" s="4" t="s">
        <v>241</v>
      </c>
      <c r="DR310" s="4" t="s">
        <v>241</v>
      </c>
      <c r="DS310" s="4" t="s">
        <v>241</v>
      </c>
      <c r="DV310" s="4" t="s">
        <v>4944</v>
      </c>
      <c r="DW310" s="4" t="s">
        <v>416</v>
      </c>
      <c r="HO310" s="4" t="s">
        <v>267</v>
      </c>
    </row>
    <row r="311" spans="1:223" ht="19.5" customHeight="1" x14ac:dyDescent="0.4">
      <c r="A311" s="4">
        <v>1</v>
      </c>
      <c r="B311" s="4" t="s">
        <v>239</v>
      </c>
      <c r="C311" s="4">
        <v>1045</v>
      </c>
      <c r="D311" s="4">
        <v>1</v>
      </c>
      <c r="E311" s="4">
        <v>1</v>
      </c>
      <c r="F311" s="4" t="s">
        <v>240</v>
      </c>
      <c r="G311" s="4" t="s">
        <v>241</v>
      </c>
      <c r="H311" s="4" t="s">
        <v>241</v>
      </c>
      <c r="I311" s="4" t="s">
        <v>4942</v>
      </c>
      <c r="J311" s="4" t="s">
        <v>4219</v>
      </c>
      <c r="K311" s="4" t="s">
        <v>251</v>
      </c>
      <c r="L311" s="4" t="s">
        <v>4941</v>
      </c>
      <c r="M311" s="5" t="s">
        <v>4948</v>
      </c>
      <c r="N311" s="6">
        <f>982</f>
        <v>982</v>
      </c>
      <c r="O311" s="4" t="s">
        <v>265</v>
      </c>
      <c r="P311" s="6">
        <f>2175130</f>
        <v>2175130</v>
      </c>
      <c r="Q311" s="6">
        <f>0</f>
        <v>0</v>
      </c>
      <c r="S311" s="6">
        <f>0</f>
        <v>0</v>
      </c>
      <c r="T311" s="6">
        <f>2175130</f>
        <v>2175130</v>
      </c>
      <c r="U311" s="5" t="s">
        <v>245</v>
      </c>
      <c r="V311" s="4" t="s">
        <v>270</v>
      </c>
      <c r="W311" s="4" t="s">
        <v>242</v>
      </c>
      <c r="X311" s="4" t="s">
        <v>273</v>
      </c>
      <c r="Y311" s="4" t="s">
        <v>241</v>
      </c>
      <c r="AB311" s="4" t="s">
        <v>241</v>
      </c>
      <c r="AD311" s="5" t="s">
        <v>241</v>
      </c>
      <c r="AG311" s="5" t="s">
        <v>246</v>
      </c>
      <c r="AH311" s="4" t="s">
        <v>241</v>
      </c>
      <c r="AI311" s="4" t="s">
        <v>247</v>
      </c>
      <c r="AJ311" s="4" t="s">
        <v>248</v>
      </c>
      <c r="AZ311" s="4" t="s">
        <v>249</v>
      </c>
      <c r="BA311" s="4" t="s">
        <v>241</v>
      </c>
      <c r="BB311" s="4" t="s">
        <v>250</v>
      </c>
      <c r="BC311" s="4" t="s">
        <v>241</v>
      </c>
      <c r="BD311" s="4" t="s">
        <v>252</v>
      </c>
      <c r="BE311" s="4" t="s">
        <v>241</v>
      </c>
      <c r="BI311" s="4" t="s">
        <v>253</v>
      </c>
      <c r="BJ311" s="5" t="s">
        <v>246</v>
      </c>
      <c r="BK311" s="4" t="s">
        <v>254</v>
      </c>
      <c r="BL311" s="4" t="s">
        <v>255</v>
      </c>
      <c r="BM311" s="4" t="s">
        <v>241</v>
      </c>
      <c r="BN311" s="6">
        <f>0</f>
        <v>0</v>
      </c>
      <c r="BO311" s="6">
        <f>0</f>
        <v>0</v>
      </c>
      <c r="BP311" s="4" t="s">
        <v>256</v>
      </c>
      <c r="BQ311" s="4" t="s">
        <v>257</v>
      </c>
      <c r="CE311" s="4" t="s">
        <v>241</v>
      </c>
      <c r="CF311" s="4" t="s">
        <v>241</v>
      </c>
      <c r="CJ311" s="4" t="s">
        <v>258</v>
      </c>
      <c r="CK311" s="4" t="s">
        <v>259</v>
      </c>
      <c r="CL311" s="4" t="s">
        <v>241</v>
      </c>
      <c r="CO311" s="5" t="s">
        <v>260</v>
      </c>
      <c r="CP311" s="4" t="s">
        <v>241</v>
      </c>
      <c r="CQ311" s="4" t="s">
        <v>261</v>
      </c>
      <c r="CR311" s="4" t="s">
        <v>241</v>
      </c>
      <c r="CS311" s="4" t="s">
        <v>241</v>
      </c>
      <c r="CT311" s="4">
        <v>0</v>
      </c>
      <c r="CU311" s="4" t="s">
        <v>262</v>
      </c>
      <c r="CV311" s="4" t="s">
        <v>263</v>
      </c>
      <c r="CW311" s="4" t="s">
        <v>263</v>
      </c>
      <c r="CX311" s="4" t="s">
        <v>264</v>
      </c>
      <c r="DA311" s="6">
        <f>2175130</f>
        <v>2175130</v>
      </c>
      <c r="DC311" s="4" t="s">
        <v>422</v>
      </c>
      <c r="DD311" s="4" t="s">
        <v>241</v>
      </c>
      <c r="DF311" s="4" t="s">
        <v>287</v>
      </c>
      <c r="DG311" s="6">
        <f>0</f>
        <v>0</v>
      </c>
      <c r="DI311" s="4" t="s">
        <v>414</v>
      </c>
      <c r="DJ311" s="4" t="s">
        <v>241</v>
      </c>
      <c r="DK311" s="4" t="s">
        <v>241</v>
      </c>
      <c r="DL311" s="4" t="s">
        <v>241</v>
      </c>
      <c r="DP311" s="4" t="s">
        <v>241</v>
      </c>
      <c r="DQ311" s="4" t="s">
        <v>241</v>
      </c>
      <c r="DR311" s="4" t="s">
        <v>241</v>
      </c>
      <c r="DS311" s="4" t="s">
        <v>241</v>
      </c>
      <c r="DV311" s="4" t="s">
        <v>4944</v>
      </c>
      <c r="DW311" s="4" t="s">
        <v>388</v>
      </c>
      <c r="HO311" s="4" t="s">
        <v>267</v>
      </c>
    </row>
    <row r="312" spans="1:223" ht="19.5" customHeight="1" x14ac:dyDescent="0.4">
      <c r="A312" s="4">
        <v>1</v>
      </c>
      <c r="B312" s="4" t="s">
        <v>239</v>
      </c>
      <c r="C312" s="4">
        <v>1046</v>
      </c>
      <c r="D312" s="4">
        <v>1</v>
      </c>
      <c r="E312" s="4">
        <v>1</v>
      </c>
      <c r="F312" s="4" t="s">
        <v>240</v>
      </c>
      <c r="G312" s="4" t="s">
        <v>241</v>
      </c>
      <c r="H312" s="4" t="s">
        <v>241</v>
      </c>
      <c r="I312" s="4" t="s">
        <v>4942</v>
      </c>
      <c r="J312" s="4" t="s">
        <v>4219</v>
      </c>
      <c r="K312" s="4" t="s">
        <v>251</v>
      </c>
      <c r="L312" s="4" t="s">
        <v>4941</v>
      </c>
      <c r="M312" s="5" t="s">
        <v>4943</v>
      </c>
      <c r="N312" s="6">
        <f>700</f>
        <v>700</v>
      </c>
      <c r="O312" s="4" t="s">
        <v>265</v>
      </c>
      <c r="P312" s="6">
        <f>1550500</f>
        <v>1550500</v>
      </c>
      <c r="Q312" s="6">
        <f>0</f>
        <v>0</v>
      </c>
      <c r="S312" s="6">
        <f>0</f>
        <v>0</v>
      </c>
      <c r="T312" s="6">
        <f>1550500</f>
        <v>1550500</v>
      </c>
      <c r="U312" s="5" t="s">
        <v>245</v>
      </c>
      <c r="V312" s="4" t="s">
        <v>270</v>
      </c>
      <c r="W312" s="4" t="s">
        <v>242</v>
      </c>
      <c r="X312" s="4" t="s">
        <v>273</v>
      </c>
      <c r="Y312" s="4" t="s">
        <v>241</v>
      </c>
      <c r="AB312" s="4" t="s">
        <v>241</v>
      </c>
      <c r="AD312" s="5" t="s">
        <v>241</v>
      </c>
      <c r="AG312" s="5" t="s">
        <v>246</v>
      </c>
      <c r="AH312" s="4" t="s">
        <v>241</v>
      </c>
      <c r="AI312" s="4" t="s">
        <v>247</v>
      </c>
      <c r="AJ312" s="4" t="s">
        <v>248</v>
      </c>
      <c r="AZ312" s="4" t="s">
        <v>249</v>
      </c>
      <c r="BA312" s="4" t="s">
        <v>241</v>
      </c>
      <c r="BB312" s="4" t="s">
        <v>250</v>
      </c>
      <c r="BC312" s="4" t="s">
        <v>241</v>
      </c>
      <c r="BD312" s="4" t="s">
        <v>252</v>
      </c>
      <c r="BE312" s="4" t="s">
        <v>241</v>
      </c>
      <c r="BI312" s="4" t="s">
        <v>253</v>
      </c>
      <c r="BJ312" s="5" t="s">
        <v>246</v>
      </c>
      <c r="BK312" s="4" t="s">
        <v>254</v>
      </c>
      <c r="BL312" s="4" t="s">
        <v>255</v>
      </c>
      <c r="BM312" s="4" t="s">
        <v>241</v>
      </c>
      <c r="BN312" s="6">
        <f>0</f>
        <v>0</v>
      </c>
      <c r="BO312" s="6">
        <f>0</f>
        <v>0</v>
      </c>
      <c r="BP312" s="4" t="s">
        <v>256</v>
      </c>
      <c r="BQ312" s="4" t="s">
        <v>257</v>
      </c>
      <c r="CE312" s="4" t="s">
        <v>241</v>
      </c>
      <c r="CF312" s="4" t="s">
        <v>241</v>
      </c>
      <c r="CJ312" s="4" t="s">
        <v>258</v>
      </c>
      <c r="CK312" s="4" t="s">
        <v>259</v>
      </c>
      <c r="CL312" s="4" t="s">
        <v>241</v>
      </c>
      <c r="CO312" s="5" t="s">
        <v>260</v>
      </c>
      <c r="CP312" s="4" t="s">
        <v>241</v>
      </c>
      <c r="CQ312" s="4" t="s">
        <v>261</v>
      </c>
      <c r="CR312" s="4" t="s">
        <v>241</v>
      </c>
      <c r="CS312" s="4" t="s">
        <v>241</v>
      </c>
      <c r="CT312" s="4">
        <v>0</v>
      </c>
      <c r="CU312" s="4" t="s">
        <v>262</v>
      </c>
      <c r="CV312" s="4" t="s">
        <v>263</v>
      </c>
      <c r="CW312" s="4" t="s">
        <v>263</v>
      </c>
      <c r="CX312" s="4" t="s">
        <v>264</v>
      </c>
      <c r="DA312" s="6">
        <f>1550500</f>
        <v>1550500</v>
      </c>
      <c r="DC312" s="4" t="s">
        <v>422</v>
      </c>
      <c r="DD312" s="4" t="s">
        <v>241</v>
      </c>
      <c r="DF312" s="4" t="s">
        <v>287</v>
      </c>
      <c r="DG312" s="6">
        <f>0</f>
        <v>0</v>
      </c>
      <c r="DI312" s="4" t="s">
        <v>414</v>
      </c>
      <c r="DJ312" s="4" t="s">
        <v>241</v>
      </c>
      <c r="DK312" s="4" t="s">
        <v>241</v>
      </c>
      <c r="DL312" s="4" t="s">
        <v>241</v>
      </c>
      <c r="DP312" s="4" t="s">
        <v>241</v>
      </c>
      <c r="DQ312" s="4" t="s">
        <v>241</v>
      </c>
      <c r="DR312" s="4" t="s">
        <v>241</v>
      </c>
      <c r="DS312" s="4" t="s">
        <v>241</v>
      </c>
      <c r="DV312" s="4" t="s">
        <v>4944</v>
      </c>
      <c r="DW312" s="4" t="s">
        <v>327</v>
      </c>
      <c r="HO312" s="4" t="s">
        <v>267</v>
      </c>
    </row>
    <row r="313" spans="1:223" ht="19.5" customHeight="1" x14ac:dyDescent="0.4">
      <c r="A313" s="4">
        <v>1</v>
      </c>
      <c r="B313" s="4" t="s">
        <v>239</v>
      </c>
      <c r="C313" s="4">
        <v>1047</v>
      </c>
      <c r="D313" s="4">
        <v>1</v>
      </c>
      <c r="E313" s="4">
        <v>1</v>
      </c>
      <c r="F313" s="4" t="s">
        <v>240</v>
      </c>
      <c r="G313" s="4" t="s">
        <v>241</v>
      </c>
      <c r="H313" s="4" t="s">
        <v>241</v>
      </c>
      <c r="I313" s="4" t="s">
        <v>4942</v>
      </c>
      <c r="J313" s="4" t="s">
        <v>4219</v>
      </c>
      <c r="K313" s="4" t="s">
        <v>251</v>
      </c>
      <c r="L313" s="4" t="s">
        <v>4941</v>
      </c>
      <c r="M313" s="5" t="s">
        <v>4949</v>
      </c>
      <c r="N313" s="6">
        <f>104</f>
        <v>104</v>
      </c>
      <c r="O313" s="4" t="s">
        <v>265</v>
      </c>
      <c r="P313" s="6">
        <f>230360</f>
        <v>230360</v>
      </c>
      <c r="Q313" s="6">
        <f>0</f>
        <v>0</v>
      </c>
      <c r="S313" s="6">
        <f>0</f>
        <v>0</v>
      </c>
      <c r="T313" s="6">
        <f>230360</f>
        <v>230360</v>
      </c>
      <c r="U313" s="5" t="s">
        <v>245</v>
      </c>
      <c r="V313" s="4" t="s">
        <v>270</v>
      </c>
      <c r="W313" s="4" t="s">
        <v>242</v>
      </c>
      <c r="X313" s="4" t="s">
        <v>273</v>
      </c>
      <c r="Y313" s="4" t="s">
        <v>241</v>
      </c>
      <c r="AB313" s="4" t="s">
        <v>241</v>
      </c>
      <c r="AD313" s="5" t="s">
        <v>241</v>
      </c>
      <c r="AG313" s="5" t="s">
        <v>246</v>
      </c>
      <c r="AH313" s="4" t="s">
        <v>241</v>
      </c>
      <c r="AI313" s="4" t="s">
        <v>247</v>
      </c>
      <c r="AJ313" s="4" t="s">
        <v>248</v>
      </c>
      <c r="AZ313" s="4" t="s">
        <v>249</v>
      </c>
      <c r="BA313" s="4" t="s">
        <v>241</v>
      </c>
      <c r="BB313" s="4" t="s">
        <v>250</v>
      </c>
      <c r="BC313" s="4" t="s">
        <v>241</v>
      </c>
      <c r="BD313" s="4" t="s">
        <v>252</v>
      </c>
      <c r="BE313" s="4" t="s">
        <v>241</v>
      </c>
      <c r="BI313" s="4" t="s">
        <v>253</v>
      </c>
      <c r="BJ313" s="5" t="s">
        <v>246</v>
      </c>
      <c r="BK313" s="4" t="s">
        <v>254</v>
      </c>
      <c r="BL313" s="4" t="s">
        <v>255</v>
      </c>
      <c r="BM313" s="4" t="s">
        <v>241</v>
      </c>
      <c r="BN313" s="6">
        <f>0</f>
        <v>0</v>
      </c>
      <c r="BO313" s="6">
        <f>0</f>
        <v>0</v>
      </c>
      <c r="BP313" s="4" t="s">
        <v>256</v>
      </c>
      <c r="BQ313" s="4" t="s">
        <v>257</v>
      </c>
      <c r="CE313" s="4" t="s">
        <v>241</v>
      </c>
      <c r="CF313" s="4" t="s">
        <v>241</v>
      </c>
      <c r="CJ313" s="4" t="s">
        <v>258</v>
      </c>
      <c r="CK313" s="4" t="s">
        <v>259</v>
      </c>
      <c r="CL313" s="4" t="s">
        <v>241</v>
      </c>
      <c r="CO313" s="5" t="s">
        <v>260</v>
      </c>
      <c r="CP313" s="4" t="s">
        <v>241</v>
      </c>
      <c r="CQ313" s="4" t="s">
        <v>261</v>
      </c>
      <c r="CR313" s="4" t="s">
        <v>241</v>
      </c>
      <c r="CS313" s="4" t="s">
        <v>241</v>
      </c>
      <c r="CT313" s="4">
        <v>0</v>
      </c>
      <c r="CU313" s="4" t="s">
        <v>262</v>
      </c>
      <c r="CV313" s="4" t="s">
        <v>263</v>
      </c>
      <c r="CW313" s="4" t="s">
        <v>263</v>
      </c>
      <c r="CX313" s="4" t="s">
        <v>264</v>
      </c>
      <c r="DA313" s="6">
        <f>230360</f>
        <v>230360</v>
      </c>
      <c r="DC313" s="4" t="s">
        <v>422</v>
      </c>
      <c r="DD313" s="4" t="s">
        <v>241</v>
      </c>
      <c r="DF313" s="4" t="s">
        <v>287</v>
      </c>
      <c r="DG313" s="6">
        <f>0</f>
        <v>0</v>
      </c>
      <c r="DI313" s="4" t="s">
        <v>414</v>
      </c>
      <c r="DJ313" s="4" t="s">
        <v>241</v>
      </c>
      <c r="DK313" s="4" t="s">
        <v>241</v>
      </c>
      <c r="DL313" s="4" t="s">
        <v>241</v>
      </c>
      <c r="DP313" s="4" t="s">
        <v>241</v>
      </c>
      <c r="DQ313" s="4" t="s">
        <v>241</v>
      </c>
      <c r="DR313" s="4" t="s">
        <v>241</v>
      </c>
      <c r="DS313" s="4" t="s">
        <v>241</v>
      </c>
      <c r="DV313" s="4" t="s">
        <v>4944</v>
      </c>
      <c r="DW313" s="4" t="s">
        <v>748</v>
      </c>
      <c r="HO313" s="4" t="s">
        <v>267</v>
      </c>
    </row>
    <row r="314" spans="1:223" ht="19.5" customHeight="1" x14ac:dyDescent="0.4">
      <c r="A314" s="4">
        <v>1</v>
      </c>
      <c r="B314" s="4" t="s">
        <v>239</v>
      </c>
      <c r="C314" s="4">
        <v>1048</v>
      </c>
      <c r="D314" s="4">
        <v>1</v>
      </c>
      <c r="E314" s="4">
        <v>1</v>
      </c>
      <c r="F314" s="4" t="s">
        <v>240</v>
      </c>
      <c r="G314" s="4" t="s">
        <v>241</v>
      </c>
      <c r="H314" s="4" t="s">
        <v>241</v>
      </c>
      <c r="I314" s="4" t="s">
        <v>4942</v>
      </c>
      <c r="J314" s="4" t="s">
        <v>4219</v>
      </c>
      <c r="K314" s="4" t="s">
        <v>251</v>
      </c>
      <c r="L314" s="4" t="s">
        <v>4941</v>
      </c>
      <c r="M314" s="5" t="s">
        <v>4946</v>
      </c>
      <c r="N314" s="6">
        <f>566</f>
        <v>566</v>
      </c>
      <c r="O314" s="4" t="s">
        <v>265</v>
      </c>
      <c r="P314" s="6">
        <f>1253690</f>
        <v>1253690</v>
      </c>
      <c r="Q314" s="6">
        <f>0</f>
        <v>0</v>
      </c>
      <c r="S314" s="6">
        <f>0</f>
        <v>0</v>
      </c>
      <c r="T314" s="6">
        <f>1253690</f>
        <v>1253690</v>
      </c>
      <c r="U314" s="5" t="s">
        <v>245</v>
      </c>
      <c r="V314" s="4" t="s">
        <v>270</v>
      </c>
      <c r="W314" s="4" t="s">
        <v>242</v>
      </c>
      <c r="X314" s="4" t="s">
        <v>273</v>
      </c>
      <c r="Y314" s="4" t="s">
        <v>241</v>
      </c>
      <c r="AB314" s="4" t="s">
        <v>241</v>
      </c>
      <c r="AD314" s="5" t="s">
        <v>241</v>
      </c>
      <c r="AG314" s="5" t="s">
        <v>246</v>
      </c>
      <c r="AH314" s="4" t="s">
        <v>241</v>
      </c>
      <c r="AI314" s="4" t="s">
        <v>247</v>
      </c>
      <c r="AJ314" s="4" t="s">
        <v>248</v>
      </c>
      <c r="AZ314" s="4" t="s">
        <v>249</v>
      </c>
      <c r="BA314" s="4" t="s">
        <v>241</v>
      </c>
      <c r="BB314" s="4" t="s">
        <v>250</v>
      </c>
      <c r="BC314" s="4" t="s">
        <v>241</v>
      </c>
      <c r="BD314" s="4" t="s">
        <v>252</v>
      </c>
      <c r="BE314" s="4" t="s">
        <v>241</v>
      </c>
      <c r="BI314" s="4" t="s">
        <v>253</v>
      </c>
      <c r="BJ314" s="5" t="s">
        <v>246</v>
      </c>
      <c r="BK314" s="4" t="s">
        <v>254</v>
      </c>
      <c r="BL314" s="4" t="s">
        <v>255</v>
      </c>
      <c r="BM314" s="4" t="s">
        <v>241</v>
      </c>
      <c r="BN314" s="6">
        <f>0</f>
        <v>0</v>
      </c>
      <c r="BO314" s="6">
        <f>0</f>
        <v>0</v>
      </c>
      <c r="BP314" s="4" t="s">
        <v>256</v>
      </c>
      <c r="BQ314" s="4" t="s">
        <v>257</v>
      </c>
      <c r="CE314" s="4" t="s">
        <v>241</v>
      </c>
      <c r="CF314" s="4" t="s">
        <v>241</v>
      </c>
      <c r="CJ314" s="4" t="s">
        <v>258</v>
      </c>
      <c r="CK314" s="4" t="s">
        <v>259</v>
      </c>
      <c r="CL314" s="4" t="s">
        <v>241</v>
      </c>
      <c r="CO314" s="5" t="s">
        <v>260</v>
      </c>
      <c r="CP314" s="4" t="s">
        <v>241</v>
      </c>
      <c r="CQ314" s="4" t="s">
        <v>261</v>
      </c>
      <c r="CR314" s="4" t="s">
        <v>241</v>
      </c>
      <c r="CS314" s="4" t="s">
        <v>241</v>
      </c>
      <c r="CT314" s="4">
        <v>0</v>
      </c>
      <c r="CU314" s="4" t="s">
        <v>262</v>
      </c>
      <c r="CV314" s="4" t="s">
        <v>263</v>
      </c>
      <c r="CW314" s="4" t="s">
        <v>263</v>
      </c>
      <c r="CX314" s="4" t="s">
        <v>264</v>
      </c>
      <c r="DA314" s="6">
        <f>1253690</f>
        <v>1253690</v>
      </c>
      <c r="DC314" s="4" t="s">
        <v>422</v>
      </c>
      <c r="DD314" s="4" t="s">
        <v>241</v>
      </c>
      <c r="DF314" s="4" t="s">
        <v>287</v>
      </c>
      <c r="DG314" s="6">
        <f>0</f>
        <v>0</v>
      </c>
      <c r="DI314" s="4" t="s">
        <v>414</v>
      </c>
      <c r="DJ314" s="4" t="s">
        <v>241</v>
      </c>
      <c r="DK314" s="4" t="s">
        <v>241</v>
      </c>
      <c r="DL314" s="4" t="s">
        <v>241</v>
      </c>
      <c r="DP314" s="4" t="s">
        <v>241</v>
      </c>
      <c r="DQ314" s="4" t="s">
        <v>241</v>
      </c>
      <c r="DR314" s="4" t="s">
        <v>241</v>
      </c>
      <c r="DS314" s="4" t="s">
        <v>241</v>
      </c>
      <c r="DV314" s="4" t="s">
        <v>4944</v>
      </c>
      <c r="DW314" s="4" t="s">
        <v>719</v>
      </c>
      <c r="HO314" s="4" t="s">
        <v>267</v>
      </c>
    </row>
    <row r="315" spans="1:223" ht="19.5" customHeight="1" x14ac:dyDescent="0.4">
      <c r="A315" s="4">
        <v>1</v>
      </c>
      <c r="B315" s="4" t="s">
        <v>239</v>
      </c>
      <c r="C315" s="4">
        <v>1049</v>
      </c>
      <c r="D315" s="4">
        <v>1</v>
      </c>
      <c r="E315" s="4">
        <v>1</v>
      </c>
      <c r="F315" s="4" t="s">
        <v>240</v>
      </c>
      <c r="G315" s="4" t="s">
        <v>241</v>
      </c>
      <c r="H315" s="4" t="s">
        <v>241</v>
      </c>
      <c r="I315" s="4" t="s">
        <v>4938</v>
      </c>
      <c r="J315" s="4" t="s">
        <v>4219</v>
      </c>
      <c r="K315" s="4" t="s">
        <v>251</v>
      </c>
      <c r="L315" s="4" t="s">
        <v>4937</v>
      </c>
      <c r="M315" s="5" t="s">
        <v>4939</v>
      </c>
      <c r="N315" s="6">
        <f>401.5</f>
        <v>401.5</v>
      </c>
      <c r="O315" s="4" t="s">
        <v>265</v>
      </c>
      <c r="P315" s="6">
        <f>889322</f>
        <v>889322</v>
      </c>
      <c r="Q315" s="6">
        <f>0</f>
        <v>0</v>
      </c>
      <c r="S315" s="6">
        <f>0</f>
        <v>0</v>
      </c>
      <c r="T315" s="6">
        <f>889322</f>
        <v>889322</v>
      </c>
      <c r="U315" s="5" t="s">
        <v>245</v>
      </c>
      <c r="V315" s="4" t="s">
        <v>270</v>
      </c>
      <c r="W315" s="4" t="s">
        <v>242</v>
      </c>
      <c r="X315" s="4" t="s">
        <v>273</v>
      </c>
      <c r="Y315" s="4" t="s">
        <v>241</v>
      </c>
      <c r="AB315" s="4" t="s">
        <v>241</v>
      </c>
      <c r="AD315" s="5" t="s">
        <v>241</v>
      </c>
      <c r="AG315" s="5" t="s">
        <v>246</v>
      </c>
      <c r="AH315" s="4" t="s">
        <v>241</v>
      </c>
      <c r="AI315" s="4" t="s">
        <v>247</v>
      </c>
      <c r="AJ315" s="4" t="s">
        <v>248</v>
      </c>
      <c r="AZ315" s="4" t="s">
        <v>249</v>
      </c>
      <c r="BA315" s="4" t="s">
        <v>241</v>
      </c>
      <c r="BB315" s="4" t="s">
        <v>250</v>
      </c>
      <c r="BC315" s="4" t="s">
        <v>241</v>
      </c>
      <c r="BD315" s="4" t="s">
        <v>252</v>
      </c>
      <c r="BE315" s="4" t="s">
        <v>241</v>
      </c>
      <c r="BG315" s="4" t="s">
        <v>4227</v>
      </c>
      <c r="BI315" s="4" t="s">
        <v>253</v>
      </c>
      <c r="BJ315" s="5" t="s">
        <v>246</v>
      </c>
      <c r="BK315" s="4" t="s">
        <v>254</v>
      </c>
      <c r="BL315" s="4" t="s">
        <v>255</v>
      </c>
      <c r="BM315" s="4" t="s">
        <v>241</v>
      </c>
      <c r="BN315" s="6">
        <f>0</f>
        <v>0</v>
      </c>
      <c r="BO315" s="6">
        <f>0</f>
        <v>0</v>
      </c>
      <c r="BP315" s="4" t="s">
        <v>256</v>
      </c>
      <c r="BQ315" s="4" t="s">
        <v>257</v>
      </c>
      <c r="CE315" s="4" t="s">
        <v>241</v>
      </c>
      <c r="CF315" s="4" t="s">
        <v>241</v>
      </c>
      <c r="CJ315" s="4" t="s">
        <v>258</v>
      </c>
      <c r="CK315" s="4" t="s">
        <v>259</v>
      </c>
      <c r="CL315" s="4" t="s">
        <v>241</v>
      </c>
      <c r="CO315" s="5" t="s">
        <v>260</v>
      </c>
      <c r="CP315" s="4" t="s">
        <v>241</v>
      </c>
      <c r="CQ315" s="4" t="s">
        <v>261</v>
      </c>
      <c r="CR315" s="4" t="s">
        <v>241</v>
      </c>
      <c r="CS315" s="4" t="s">
        <v>241</v>
      </c>
      <c r="CT315" s="4">
        <v>0</v>
      </c>
      <c r="CU315" s="4" t="s">
        <v>262</v>
      </c>
      <c r="CV315" s="4" t="s">
        <v>263</v>
      </c>
      <c r="CW315" s="4" t="s">
        <v>263</v>
      </c>
      <c r="CX315" s="4" t="s">
        <v>264</v>
      </c>
      <c r="DA315" s="6">
        <f>889322</f>
        <v>889322</v>
      </c>
      <c r="DC315" s="4" t="s">
        <v>414</v>
      </c>
      <c r="DD315" s="4" t="s">
        <v>241</v>
      </c>
      <c r="DF315" s="4" t="s">
        <v>287</v>
      </c>
      <c r="DG315" s="6">
        <f>0</f>
        <v>0</v>
      </c>
      <c r="DI315" s="4" t="s">
        <v>414</v>
      </c>
      <c r="DJ315" s="4" t="s">
        <v>241</v>
      </c>
      <c r="DK315" s="4" t="s">
        <v>241</v>
      </c>
      <c r="DL315" s="4" t="s">
        <v>241</v>
      </c>
      <c r="DP315" s="4" t="s">
        <v>241</v>
      </c>
      <c r="DQ315" s="4" t="s">
        <v>241</v>
      </c>
      <c r="DR315" s="4" t="s">
        <v>241</v>
      </c>
      <c r="DS315" s="4" t="s">
        <v>241</v>
      </c>
      <c r="DV315" s="4" t="s">
        <v>4940</v>
      </c>
      <c r="DW315" s="4" t="s">
        <v>267</v>
      </c>
      <c r="HO315" s="4" t="s">
        <v>267</v>
      </c>
    </row>
    <row r="316" spans="1:223" ht="19.5" customHeight="1" x14ac:dyDescent="0.4">
      <c r="A316" s="4">
        <v>1</v>
      </c>
      <c r="B316" s="4" t="s">
        <v>239</v>
      </c>
      <c r="C316" s="4">
        <v>1050</v>
      </c>
      <c r="D316" s="4">
        <v>1</v>
      </c>
      <c r="E316" s="4">
        <v>1</v>
      </c>
      <c r="F316" s="4" t="s">
        <v>240</v>
      </c>
      <c r="G316" s="4" t="s">
        <v>241</v>
      </c>
      <c r="H316" s="4" t="s">
        <v>241</v>
      </c>
      <c r="I316" s="4" t="s">
        <v>5015</v>
      </c>
      <c r="J316" s="4" t="s">
        <v>4219</v>
      </c>
      <c r="K316" s="4" t="s">
        <v>251</v>
      </c>
      <c r="L316" s="4" t="s">
        <v>3441</v>
      </c>
      <c r="M316" s="5" t="s">
        <v>5020</v>
      </c>
      <c r="N316" s="6">
        <f>11453</f>
        <v>11453</v>
      </c>
      <c r="O316" s="4" t="s">
        <v>265</v>
      </c>
      <c r="P316" s="6">
        <f>25368395</f>
        <v>25368395</v>
      </c>
      <c r="Q316" s="6">
        <f>0</f>
        <v>0</v>
      </c>
      <c r="S316" s="6">
        <f>0</f>
        <v>0</v>
      </c>
      <c r="T316" s="6">
        <f>25368395</f>
        <v>25368395</v>
      </c>
      <c r="U316" s="5" t="s">
        <v>245</v>
      </c>
      <c r="V316" s="4" t="s">
        <v>270</v>
      </c>
      <c r="W316" s="4" t="s">
        <v>242</v>
      </c>
      <c r="X316" s="4" t="s">
        <v>273</v>
      </c>
      <c r="Y316" s="4" t="s">
        <v>241</v>
      </c>
      <c r="AB316" s="4" t="s">
        <v>241</v>
      </c>
      <c r="AD316" s="5" t="s">
        <v>241</v>
      </c>
      <c r="AG316" s="5" t="s">
        <v>246</v>
      </c>
      <c r="AH316" s="4" t="s">
        <v>241</v>
      </c>
      <c r="AI316" s="4" t="s">
        <v>247</v>
      </c>
      <c r="AJ316" s="4" t="s">
        <v>248</v>
      </c>
      <c r="AZ316" s="4" t="s">
        <v>249</v>
      </c>
      <c r="BA316" s="4" t="s">
        <v>241</v>
      </c>
      <c r="BB316" s="4" t="s">
        <v>250</v>
      </c>
      <c r="BC316" s="4" t="s">
        <v>241</v>
      </c>
      <c r="BD316" s="4" t="s">
        <v>252</v>
      </c>
      <c r="BE316" s="4" t="s">
        <v>241</v>
      </c>
      <c r="BI316" s="4" t="s">
        <v>253</v>
      </c>
      <c r="BJ316" s="5" t="s">
        <v>246</v>
      </c>
      <c r="BK316" s="4" t="s">
        <v>254</v>
      </c>
      <c r="BL316" s="4" t="s">
        <v>323</v>
      </c>
      <c r="BM316" s="4" t="s">
        <v>241</v>
      </c>
      <c r="BN316" s="6">
        <f>0</f>
        <v>0</v>
      </c>
      <c r="BO316" s="6">
        <f>0</f>
        <v>0</v>
      </c>
      <c r="BP316" s="4" t="s">
        <v>256</v>
      </c>
      <c r="BQ316" s="4" t="s">
        <v>257</v>
      </c>
      <c r="CE316" s="4" t="s">
        <v>241</v>
      </c>
      <c r="CF316" s="4" t="s">
        <v>241</v>
      </c>
      <c r="CJ316" s="4" t="s">
        <v>258</v>
      </c>
      <c r="CK316" s="4" t="s">
        <v>259</v>
      </c>
      <c r="CL316" s="4" t="s">
        <v>241</v>
      </c>
      <c r="CO316" s="5" t="s">
        <v>260</v>
      </c>
      <c r="CP316" s="4" t="s">
        <v>241</v>
      </c>
      <c r="CQ316" s="4" t="s">
        <v>261</v>
      </c>
      <c r="CR316" s="4" t="s">
        <v>241</v>
      </c>
      <c r="CS316" s="4" t="s">
        <v>241</v>
      </c>
      <c r="CT316" s="4">
        <v>0</v>
      </c>
      <c r="CU316" s="4" t="s">
        <v>262</v>
      </c>
      <c r="CV316" s="4" t="s">
        <v>263</v>
      </c>
      <c r="CW316" s="4" t="s">
        <v>263</v>
      </c>
      <c r="CX316" s="4" t="s">
        <v>264</v>
      </c>
      <c r="DA316" s="6">
        <f>25368395</f>
        <v>25368395</v>
      </c>
      <c r="DC316" s="4" t="s">
        <v>422</v>
      </c>
      <c r="DD316" s="4" t="s">
        <v>241</v>
      </c>
      <c r="DF316" s="4" t="s">
        <v>287</v>
      </c>
      <c r="DG316" s="6">
        <f>0</f>
        <v>0</v>
      </c>
      <c r="DI316" s="4" t="s">
        <v>414</v>
      </c>
      <c r="DJ316" s="4" t="s">
        <v>241</v>
      </c>
      <c r="DK316" s="4" t="s">
        <v>241</v>
      </c>
      <c r="DL316" s="4" t="s">
        <v>241</v>
      </c>
      <c r="DP316" s="4" t="s">
        <v>241</v>
      </c>
      <c r="DQ316" s="4" t="s">
        <v>241</v>
      </c>
      <c r="DR316" s="4" t="s">
        <v>241</v>
      </c>
      <c r="DS316" s="4" t="s">
        <v>241</v>
      </c>
      <c r="DV316" s="4" t="s">
        <v>5017</v>
      </c>
      <c r="DW316" s="4" t="s">
        <v>267</v>
      </c>
      <c r="HO316" s="4" t="s">
        <v>388</v>
      </c>
    </row>
    <row r="317" spans="1:223" ht="19.5" customHeight="1" x14ac:dyDescent="0.4">
      <c r="A317" s="4">
        <v>1</v>
      </c>
      <c r="B317" s="4" t="s">
        <v>239</v>
      </c>
      <c r="C317" s="4">
        <v>1051</v>
      </c>
      <c r="D317" s="4">
        <v>1</v>
      </c>
      <c r="E317" s="4">
        <v>1</v>
      </c>
      <c r="F317" s="4" t="s">
        <v>240</v>
      </c>
      <c r="G317" s="4" t="s">
        <v>241</v>
      </c>
      <c r="H317" s="4" t="s">
        <v>241</v>
      </c>
      <c r="I317" s="4" t="s">
        <v>5015</v>
      </c>
      <c r="J317" s="4" t="s">
        <v>4219</v>
      </c>
      <c r="K317" s="4" t="s">
        <v>251</v>
      </c>
      <c r="L317" s="4" t="s">
        <v>3441</v>
      </c>
      <c r="M317" s="5" t="s">
        <v>5025</v>
      </c>
      <c r="N317" s="6">
        <f>108</f>
        <v>108</v>
      </c>
      <c r="O317" s="4" t="s">
        <v>265</v>
      </c>
      <c r="P317" s="6">
        <f>52920</f>
        <v>52920</v>
      </c>
      <c r="Q317" s="6">
        <f>0</f>
        <v>0</v>
      </c>
      <c r="S317" s="6">
        <f>0</f>
        <v>0</v>
      </c>
      <c r="T317" s="6">
        <f>52920</f>
        <v>52920</v>
      </c>
      <c r="U317" s="5" t="s">
        <v>245</v>
      </c>
      <c r="V317" s="4" t="s">
        <v>270</v>
      </c>
      <c r="W317" s="4" t="s">
        <v>271</v>
      </c>
      <c r="X317" s="4" t="s">
        <v>273</v>
      </c>
      <c r="Y317" s="4" t="s">
        <v>241</v>
      </c>
      <c r="AB317" s="4" t="s">
        <v>241</v>
      </c>
      <c r="AD317" s="5" t="s">
        <v>241</v>
      </c>
      <c r="AG317" s="5" t="s">
        <v>246</v>
      </c>
      <c r="AH317" s="4" t="s">
        <v>241</v>
      </c>
      <c r="AI317" s="4" t="s">
        <v>247</v>
      </c>
      <c r="AJ317" s="4" t="s">
        <v>248</v>
      </c>
      <c r="AZ317" s="4" t="s">
        <v>249</v>
      </c>
      <c r="BA317" s="4" t="s">
        <v>241</v>
      </c>
      <c r="BB317" s="4" t="s">
        <v>250</v>
      </c>
      <c r="BC317" s="4" t="s">
        <v>241</v>
      </c>
      <c r="BD317" s="4" t="s">
        <v>252</v>
      </c>
      <c r="BE317" s="4" t="s">
        <v>241</v>
      </c>
      <c r="BI317" s="4" t="s">
        <v>253</v>
      </c>
      <c r="BJ317" s="5" t="s">
        <v>246</v>
      </c>
      <c r="BK317" s="4" t="s">
        <v>254</v>
      </c>
      <c r="BL317" s="4" t="s">
        <v>323</v>
      </c>
      <c r="BM317" s="4" t="s">
        <v>241</v>
      </c>
      <c r="BN317" s="6">
        <f>0</f>
        <v>0</v>
      </c>
      <c r="BO317" s="6">
        <f>0</f>
        <v>0</v>
      </c>
      <c r="BP317" s="4" t="s">
        <v>256</v>
      </c>
      <c r="BQ317" s="4" t="s">
        <v>257</v>
      </c>
      <c r="CE317" s="4" t="s">
        <v>241</v>
      </c>
      <c r="CF317" s="4" t="s">
        <v>241</v>
      </c>
      <c r="CJ317" s="4" t="s">
        <v>258</v>
      </c>
      <c r="CK317" s="4" t="s">
        <v>259</v>
      </c>
      <c r="CL317" s="4" t="s">
        <v>241</v>
      </c>
      <c r="CO317" s="5" t="s">
        <v>260</v>
      </c>
      <c r="CP317" s="4" t="s">
        <v>241</v>
      </c>
      <c r="CQ317" s="4" t="s">
        <v>261</v>
      </c>
      <c r="CR317" s="4" t="s">
        <v>241</v>
      </c>
      <c r="CS317" s="4" t="s">
        <v>241</v>
      </c>
      <c r="CT317" s="4">
        <v>0</v>
      </c>
      <c r="CU317" s="4" t="s">
        <v>262</v>
      </c>
      <c r="CV317" s="4" t="s">
        <v>263</v>
      </c>
      <c r="CW317" s="4" t="s">
        <v>263</v>
      </c>
      <c r="CX317" s="4" t="s">
        <v>264</v>
      </c>
      <c r="DA317" s="6">
        <f>52920</f>
        <v>52920</v>
      </c>
      <c r="DC317" s="4" t="s">
        <v>277</v>
      </c>
      <c r="DD317" s="4" t="s">
        <v>241</v>
      </c>
      <c r="DF317" s="4" t="s">
        <v>287</v>
      </c>
      <c r="DG317" s="6">
        <f>0</f>
        <v>0</v>
      </c>
      <c r="DI317" s="4" t="s">
        <v>287</v>
      </c>
      <c r="DJ317" s="4" t="s">
        <v>241</v>
      </c>
      <c r="DK317" s="4" t="s">
        <v>241</v>
      </c>
      <c r="DL317" s="4" t="s">
        <v>241</v>
      </c>
      <c r="DP317" s="4" t="s">
        <v>241</v>
      </c>
      <c r="DQ317" s="4" t="s">
        <v>241</v>
      </c>
      <c r="DR317" s="4" t="s">
        <v>241</v>
      </c>
      <c r="DS317" s="4" t="s">
        <v>241</v>
      </c>
      <c r="DV317" s="4" t="s">
        <v>5017</v>
      </c>
      <c r="DW317" s="4" t="s">
        <v>416</v>
      </c>
      <c r="HO317" s="4" t="s">
        <v>388</v>
      </c>
    </row>
    <row r="318" spans="1:223" ht="19.5" customHeight="1" x14ac:dyDescent="0.4">
      <c r="A318" s="4">
        <v>1</v>
      </c>
      <c r="B318" s="4" t="s">
        <v>239</v>
      </c>
      <c r="C318" s="4">
        <v>1052</v>
      </c>
      <c r="D318" s="4">
        <v>1</v>
      </c>
      <c r="E318" s="4">
        <v>1</v>
      </c>
      <c r="F318" s="4" t="s">
        <v>240</v>
      </c>
      <c r="G318" s="4" t="s">
        <v>241</v>
      </c>
      <c r="H318" s="4" t="s">
        <v>241</v>
      </c>
      <c r="I318" s="4" t="s">
        <v>5015</v>
      </c>
      <c r="J318" s="4" t="s">
        <v>4219</v>
      </c>
      <c r="K318" s="4" t="s">
        <v>251</v>
      </c>
      <c r="L318" s="4" t="s">
        <v>3441</v>
      </c>
      <c r="M318" s="5" t="s">
        <v>5028</v>
      </c>
      <c r="N318" s="6">
        <f>115</f>
        <v>115</v>
      </c>
      <c r="O318" s="4" t="s">
        <v>265</v>
      </c>
      <c r="P318" s="6">
        <f>56350</f>
        <v>56350</v>
      </c>
      <c r="Q318" s="6">
        <f>0</f>
        <v>0</v>
      </c>
      <c r="S318" s="6">
        <f>0</f>
        <v>0</v>
      </c>
      <c r="T318" s="6">
        <f>56350</f>
        <v>56350</v>
      </c>
      <c r="U318" s="5" t="s">
        <v>245</v>
      </c>
      <c r="V318" s="4" t="s">
        <v>270</v>
      </c>
      <c r="W318" s="4" t="s">
        <v>271</v>
      </c>
      <c r="X318" s="4" t="s">
        <v>273</v>
      </c>
      <c r="Y318" s="4" t="s">
        <v>241</v>
      </c>
      <c r="AB318" s="4" t="s">
        <v>241</v>
      </c>
      <c r="AD318" s="5" t="s">
        <v>241</v>
      </c>
      <c r="AG318" s="5" t="s">
        <v>246</v>
      </c>
      <c r="AH318" s="4" t="s">
        <v>241</v>
      </c>
      <c r="AI318" s="4" t="s">
        <v>247</v>
      </c>
      <c r="AJ318" s="4" t="s">
        <v>248</v>
      </c>
      <c r="AZ318" s="4" t="s">
        <v>249</v>
      </c>
      <c r="BA318" s="4" t="s">
        <v>241</v>
      </c>
      <c r="BB318" s="4" t="s">
        <v>250</v>
      </c>
      <c r="BC318" s="4" t="s">
        <v>241</v>
      </c>
      <c r="BD318" s="4" t="s">
        <v>252</v>
      </c>
      <c r="BE318" s="4" t="s">
        <v>241</v>
      </c>
      <c r="BI318" s="4" t="s">
        <v>253</v>
      </c>
      <c r="BJ318" s="5" t="s">
        <v>246</v>
      </c>
      <c r="BK318" s="4" t="s">
        <v>254</v>
      </c>
      <c r="BL318" s="4" t="s">
        <v>323</v>
      </c>
      <c r="BM318" s="4" t="s">
        <v>241</v>
      </c>
      <c r="BN318" s="6">
        <f>0</f>
        <v>0</v>
      </c>
      <c r="BO318" s="6">
        <f>0</f>
        <v>0</v>
      </c>
      <c r="BP318" s="4" t="s">
        <v>256</v>
      </c>
      <c r="BQ318" s="4" t="s">
        <v>257</v>
      </c>
      <c r="CE318" s="4" t="s">
        <v>241</v>
      </c>
      <c r="CF318" s="4" t="s">
        <v>241</v>
      </c>
      <c r="CJ318" s="4" t="s">
        <v>258</v>
      </c>
      <c r="CK318" s="4" t="s">
        <v>259</v>
      </c>
      <c r="CL318" s="4" t="s">
        <v>241</v>
      </c>
      <c r="CO318" s="5" t="s">
        <v>260</v>
      </c>
      <c r="CP318" s="4" t="s">
        <v>241</v>
      </c>
      <c r="CQ318" s="4" t="s">
        <v>261</v>
      </c>
      <c r="CR318" s="4" t="s">
        <v>241</v>
      </c>
      <c r="CS318" s="4" t="s">
        <v>241</v>
      </c>
      <c r="CT318" s="4">
        <v>0</v>
      </c>
      <c r="CU318" s="4" t="s">
        <v>262</v>
      </c>
      <c r="CV318" s="4" t="s">
        <v>263</v>
      </c>
      <c r="CW318" s="4" t="s">
        <v>263</v>
      </c>
      <c r="CX318" s="4" t="s">
        <v>264</v>
      </c>
      <c r="DA318" s="6">
        <f>56350</f>
        <v>56350</v>
      </c>
      <c r="DC318" s="4" t="s">
        <v>277</v>
      </c>
      <c r="DD318" s="4" t="s">
        <v>241</v>
      </c>
      <c r="DF318" s="4" t="s">
        <v>287</v>
      </c>
      <c r="DG318" s="6">
        <f>0</f>
        <v>0</v>
      </c>
      <c r="DI318" s="4" t="s">
        <v>287</v>
      </c>
      <c r="DJ318" s="4" t="s">
        <v>241</v>
      </c>
      <c r="DK318" s="4" t="s">
        <v>241</v>
      </c>
      <c r="DL318" s="4" t="s">
        <v>241</v>
      </c>
      <c r="DP318" s="4" t="s">
        <v>241</v>
      </c>
      <c r="DQ318" s="4" t="s">
        <v>241</v>
      </c>
      <c r="DR318" s="4" t="s">
        <v>241</v>
      </c>
      <c r="DS318" s="4" t="s">
        <v>241</v>
      </c>
      <c r="DV318" s="4" t="s">
        <v>5017</v>
      </c>
      <c r="DW318" s="4" t="s">
        <v>388</v>
      </c>
      <c r="HO318" s="4" t="s">
        <v>388</v>
      </c>
    </row>
    <row r="319" spans="1:223" ht="19.5" customHeight="1" x14ac:dyDescent="0.4">
      <c r="A319" s="4">
        <v>1</v>
      </c>
      <c r="B319" s="4" t="s">
        <v>239</v>
      </c>
      <c r="C319" s="4">
        <v>1053</v>
      </c>
      <c r="D319" s="4">
        <v>1</v>
      </c>
      <c r="E319" s="4">
        <v>1</v>
      </c>
      <c r="F319" s="4" t="s">
        <v>240</v>
      </c>
      <c r="G319" s="4" t="s">
        <v>241</v>
      </c>
      <c r="H319" s="4" t="s">
        <v>241</v>
      </c>
      <c r="I319" s="4" t="s">
        <v>5015</v>
      </c>
      <c r="J319" s="4" t="s">
        <v>4219</v>
      </c>
      <c r="K319" s="4" t="s">
        <v>251</v>
      </c>
      <c r="L319" s="4" t="s">
        <v>3441</v>
      </c>
      <c r="M319" s="5" t="s">
        <v>5026</v>
      </c>
      <c r="N319" s="6">
        <f>275</f>
        <v>275</v>
      </c>
      <c r="O319" s="4" t="s">
        <v>265</v>
      </c>
      <c r="P319" s="6">
        <f>134750</f>
        <v>134750</v>
      </c>
      <c r="Q319" s="6">
        <f>0</f>
        <v>0</v>
      </c>
      <c r="S319" s="6">
        <f>0</f>
        <v>0</v>
      </c>
      <c r="T319" s="6">
        <f>134750</f>
        <v>134750</v>
      </c>
      <c r="U319" s="5" t="s">
        <v>245</v>
      </c>
      <c r="V319" s="4" t="s">
        <v>270</v>
      </c>
      <c r="W319" s="4" t="s">
        <v>271</v>
      </c>
      <c r="X319" s="4" t="s">
        <v>273</v>
      </c>
      <c r="Y319" s="4" t="s">
        <v>241</v>
      </c>
      <c r="AB319" s="4" t="s">
        <v>241</v>
      </c>
      <c r="AD319" s="5" t="s">
        <v>241</v>
      </c>
      <c r="AG319" s="5" t="s">
        <v>246</v>
      </c>
      <c r="AH319" s="4" t="s">
        <v>241</v>
      </c>
      <c r="AI319" s="4" t="s">
        <v>247</v>
      </c>
      <c r="AJ319" s="4" t="s">
        <v>248</v>
      </c>
      <c r="AZ319" s="4" t="s">
        <v>249</v>
      </c>
      <c r="BA319" s="4" t="s">
        <v>241</v>
      </c>
      <c r="BB319" s="4" t="s">
        <v>250</v>
      </c>
      <c r="BC319" s="4" t="s">
        <v>241</v>
      </c>
      <c r="BD319" s="4" t="s">
        <v>252</v>
      </c>
      <c r="BE319" s="4" t="s">
        <v>241</v>
      </c>
      <c r="BI319" s="4" t="s">
        <v>253</v>
      </c>
      <c r="BJ319" s="5" t="s">
        <v>246</v>
      </c>
      <c r="BK319" s="4" t="s">
        <v>254</v>
      </c>
      <c r="BL319" s="4" t="s">
        <v>323</v>
      </c>
      <c r="BM319" s="4" t="s">
        <v>241</v>
      </c>
      <c r="BN319" s="6">
        <f>0</f>
        <v>0</v>
      </c>
      <c r="BO319" s="6">
        <f>0</f>
        <v>0</v>
      </c>
      <c r="BP319" s="4" t="s">
        <v>256</v>
      </c>
      <c r="BQ319" s="4" t="s">
        <v>257</v>
      </c>
      <c r="CE319" s="4" t="s">
        <v>241</v>
      </c>
      <c r="CF319" s="4" t="s">
        <v>241</v>
      </c>
      <c r="CJ319" s="4" t="s">
        <v>258</v>
      </c>
      <c r="CK319" s="4" t="s">
        <v>259</v>
      </c>
      <c r="CL319" s="4" t="s">
        <v>241</v>
      </c>
      <c r="CO319" s="5" t="s">
        <v>260</v>
      </c>
      <c r="CP319" s="4" t="s">
        <v>241</v>
      </c>
      <c r="CQ319" s="4" t="s">
        <v>261</v>
      </c>
      <c r="CR319" s="4" t="s">
        <v>241</v>
      </c>
      <c r="CS319" s="4" t="s">
        <v>241</v>
      </c>
      <c r="CT319" s="4">
        <v>0</v>
      </c>
      <c r="CU319" s="4" t="s">
        <v>262</v>
      </c>
      <c r="CV319" s="4" t="s">
        <v>263</v>
      </c>
      <c r="CW319" s="4" t="s">
        <v>263</v>
      </c>
      <c r="CX319" s="4" t="s">
        <v>264</v>
      </c>
      <c r="DA319" s="6">
        <f>134750</f>
        <v>134750</v>
      </c>
      <c r="DC319" s="4" t="s">
        <v>277</v>
      </c>
      <c r="DD319" s="4" t="s">
        <v>241</v>
      </c>
      <c r="DF319" s="4" t="s">
        <v>287</v>
      </c>
      <c r="DG319" s="6">
        <f>0</f>
        <v>0</v>
      </c>
      <c r="DI319" s="4" t="s">
        <v>287</v>
      </c>
      <c r="DJ319" s="4" t="s">
        <v>241</v>
      </c>
      <c r="DK319" s="4" t="s">
        <v>241</v>
      </c>
      <c r="DL319" s="4" t="s">
        <v>241</v>
      </c>
      <c r="DP319" s="4" t="s">
        <v>241</v>
      </c>
      <c r="DQ319" s="4" t="s">
        <v>241</v>
      </c>
      <c r="DR319" s="4" t="s">
        <v>241</v>
      </c>
      <c r="DS319" s="4" t="s">
        <v>241</v>
      </c>
      <c r="DV319" s="4" t="s">
        <v>5017</v>
      </c>
      <c r="DW319" s="4" t="s">
        <v>327</v>
      </c>
      <c r="HO319" s="4" t="s">
        <v>388</v>
      </c>
    </row>
    <row r="320" spans="1:223" ht="19.5" customHeight="1" x14ac:dyDescent="0.4">
      <c r="A320" s="4">
        <v>1</v>
      </c>
      <c r="B320" s="4" t="s">
        <v>239</v>
      </c>
      <c r="C320" s="4">
        <v>1054</v>
      </c>
      <c r="D320" s="4">
        <v>1</v>
      </c>
      <c r="E320" s="4">
        <v>1</v>
      </c>
      <c r="F320" s="4" t="s">
        <v>240</v>
      </c>
      <c r="G320" s="4" t="s">
        <v>241</v>
      </c>
      <c r="H320" s="4" t="s">
        <v>241</v>
      </c>
      <c r="I320" s="4" t="s">
        <v>5015</v>
      </c>
      <c r="J320" s="4" t="s">
        <v>4219</v>
      </c>
      <c r="K320" s="4" t="s">
        <v>251</v>
      </c>
      <c r="L320" s="4" t="s">
        <v>3441</v>
      </c>
      <c r="M320" s="5" t="s">
        <v>5018</v>
      </c>
      <c r="N320" s="6">
        <f>5531</f>
        <v>5531</v>
      </c>
      <c r="O320" s="4" t="s">
        <v>265</v>
      </c>
      <c r="P320" s="6">
        <f>12251165</f>
        <v>12251165</v>
      </c>
      <c r="Q320" s="6">
        <f>0</f>
        <v>0</v>
      </c>
      <c r="S320" s="6">
        <f>0</f>
        <v>0</v>
      </c>
      <c r="T320" s="6">
        <f>12251165</f>
        <v>12251165</v>
      </c>
      <c r="U320" s="5" t="s">
        <v>245</v>
      </c>
      <c r="V320" s="4" t="s">
        <v>270</v>
      </c>
      <c r="W320" s="4" t="s">
        <v>242</v>
      </c>
      <c r="X320" s="4" t="s">
        <v>273</v>
      </c>
      <c r="Y320" s="4" t="s">
        <v>241</v>
      </c>
      <c r="AB320" s="4" t="s">
        <v>241</v>
      </c>
      <c r="AD320" s="5" t="s">
        <v>241</v>
      </c>
      <c r="AG320" s="5" t="s">
        <v>246</v>
      </c>
      <c r="AH320" s="4" t="s">
        <v>241</v>
      </c>
      <c r="AI320" s="4" t="s">
        <v>247</v>
      </c>
      <c r="AJ320" s="4" t="s">
        <v>248</v>
      </c>
      <c r="AZ320" s="4" t="s">
        <v>249</v>
      </c>
      <c r="BA320" s="4" t="s">
        <v>241</v>
      </c>
      <c r="BB320" s="4" t="s">
        <v>250</v>
      </c>
      <c r="BC320" s="4" t="s">
        <v>241</v>
      </c>
      <c r="BD320" s="4" t="s">
        <v>252</v>
      </c>
      <c r="BE320" s="4" t="s">
        <v>241</v>
      </c>
      <c r="BI320" s="4" t="s">
        <v>253</v>
      </c>
      <c r="BJ320" s="5" t="s">
        <v>246</v>
      </c>
      <c r="BK320" s="4" t="s">
        <v>254</v>
      </c>
      <c r="BL320" s="4" t="s">
        <v>323</v>
      </c>
      <c r="BM320" s="4" t="s">
        <v>241</v>
      </c>
      <c r="BN320" s="6">
        <f>0</f>
        <v>0</v>
      </c>
      <c r="BO320" s="6">
        <f>0</f>
        <v>0</v>
      </c>
      <c r="BP320" s="4" t="s">
        <v>256</v>
      </c>
      <c r="BQ320" s="4" t="s">
        <v>257</v>
      </c>
      <c r="CE320" s="4" t="s">
        <v>241</v>
      </c>
      <c r="CF320" s="4" t="s">
        <v>241</v>
      </c>
      <c r="CJ320" s="4" t="s">
        <v>258</v>
      </c>
      <c r="CK320" s="4" t="s">
        <v>259</v>
      </c>
      <c r="CL320" s="4" t="s">
        <v>241</v>
      </c>
      <c r="CO320" s="5" t="s">
        <v>260</v>
      </c>
      <c r="CP320" s="4" t="s">
        <v>241</v>
      </c>
      <c r="CQ320" s="4" t="s">
        <v>261</v>
      </c>
      <c r="CR320" s="4" t="s">
        <v>241</v>
      </c>
      <c r="CS320" s="4" t="s">
        <v>241</v>
      </c>
      <c r="CT320" s="4">
        <v>0</v>
      </c>
      <c r="CU320" s="4" t="s">
        <v>262</v>
      </c>
      <c r="CV320" s="4" t="s">
        <v>263</v>
      </c>
      <c r="CW320" s="4" t="s">
        <v>263</v>
      </c>
      <c r="CX320" s="4" t="s">
        <v>264</v>
      </c>
      <c r="DA320" s="6">
        <f>12251165</f>
        <v>12251165</v>
      </c>
      <c r="DC320" s="4" t="s">
        <v>422</v>
      </c>
      <c r="DD320" s="4" t="s">
        <v>241</v>
      </c>
      <c r="DF320" s="4" t="s">
        <v>287</v>
      </c>
      <c r="DG320" s="6">
        <f>0</f>
        <v>0</v>
      </c>
      <c r="DI320" s="4" t="s">
        <v>414</v>
      </c>
      <c r="DJ320" s="4" t="s">
        <v>241</v>
      </c>
      <c r="DK320" s="4" t="s">
        <v>241</v>
      </c>
      <c r="DL320" s="4" t="s">
        <v>241</v>
      </c>
      <c r="DP320" s="4" t="s">
        <v>241</v>
      </c>
      <c r="DQ320" s="4" t="s">
        <v>241</v>
      </c>
      <c r="DR320" s="4" t="s">
        <v>241</v>
      </c>
      <c r="DS320" s="4" t="s">
        <v>241</v>
      </c>
      <c r="DV320" s="4" t="s">
        <v>5017</v>
      </c>
      <c r="DW320" s="4" t="s">
        <v>748</v>
      </c>
      <c r="HO320" s="4" t="s">
        <v>388</v>
      </c>
    </row>
    <row r="321" spans="1:223" ht="19.5" customHeight="1" x14ac:dyDescent="0.4">
      <c r="A321" s="4">
        <v>1</v>
      </c>
      <c r="B321" s="4" t="s">
        <v>239</v>
      </c>
      <c r="C321" s="4">
        <v>1055</v>
      </c>
      <c r="D321" s="4">
        <v>1</v>
      </c>
      <c r="E321" s="4">
        <v>1</v>
      </c>
      <c r="F321" s="4" t="s">
        <v>240</v>
      </c>
      <c r="G321" s="4" t="s">
        <v>241</v>
      </c>
      <c r="H321" s="4" t="s">
        <v>241</v>
      </c>
      <c r="I321" s="4" t="s">
        <v>5015</v>
      </c>
      <c r="J321" s="4" t="s">
        <v>4219</v>
      </c>
      <c r="K321" s="4" t="s">
        <v>251</v>
      </c>
      <c r="L321" s="4" t="s">
        <v>3441</v>
      </c>
      <c r="M321" s="5" t="s">
        <v>5019</v>
      </c>
      <c r="N321" s="6">
        <f>115</f>
        <v>115</v>
      </c>
      <c r="O321" s="4" t="s">
        <v>265</v>
      </c>
      <c r="P321" s="6">
        <f>56350</f>
        <v>56350</v>
      </c>
      <c r="Q321" s="6">
        <f>0</f>
        <v>0</v>
      </c>
      <c r="S321" s="6">
        <f>0</f>
        <v>0</v>
      </c>
      <c r="T321" s="6">
        <f>56350</f>
        <v>56350</v>
      </c>
      <c r="U321" s="5" t="s">
        <v>245</v>
      </c>
      <c r="V321" s="4" t="s">
        <v>270</v>
      </c>
      <c r="W321" s="4" t="s">
        <v>271</v>
      </c>
      <c r="X321" s="4" t="s">
        <v>273</v>
      </c>
      <c r="Y321" s="4" t="s">
        <v>241</v>
      </c>
      <c r="AB321" s="4" t="s">
        <v>241</v>
      </c>
      <c r="AD321" s="5" t="s">
        <v>241</v>
      </c>
      <c r="AG321" s="5" t="s">
        <v>246</v>
      </c>
      <c r="AH321" s="4" t="s">
        <v>241</v>
      </c>
      <c r="AI321" s="4" t="s">
        <v>247</v>
      </c>
      <c r="AJ321" s="4" t="s">
        <v>248</v>
      </c>
      <c r="AZ321" s="4" t="s">
        <v>249</v>
      </c>
      <c r="BA321" s="4" t="s">
        <v>241</v>
      </c>
      <c r="BB321" s="4" t="s">
        <v>250</v>
      </c>
      <c r="BC321" s="4" t="s">
        <v>241</v>
      </c>
      <c r="BD321" s="4" t="s">
        <v>252</v>
      </c>
      <c r="BE321" s="4" t="s">
        <v>241</v>
      </c>
      <c r="BI321" s="4" t="s">
        <v>253</v>
      </c>
      <c r="BJ321" s="5" t="s">
        <v>246</v>
      </c>
      <c r="BK321" s="4" t="s">
        <v>254</v>
      </c>
      <c r="BL321" s="4" t="s">
        <v>323</v>
      </c>
      <c r="BM321" s="4" t="s">
        <v>241</v>
      </c>
      <c r="BN321" s="6">
        <f>0</f>
        <v>0</v>
      </c>
      <c r="BO321" s="6">
        <f>0</f>
        <v>0</v>
      </c>
      <c r="BP321" s="4" t="s">
        <v>256</v>
      </c>
      <c r="BQ321" s="4" t="s">
        <v>257</v>
      </c>
      <c r="CE321" s="4" t="s">
        <v>241</v>
      </c>
      <c r="CF321" s="4" t="s">
        <v>241</v>
      </c>
      <c r="CJ321" s="4" t="s">
        <v>258</v>
      </c>
      <c r="CK321" s="4" t="s">
        <v>259</v>
      </c>
      <c r="CL321" s="4" t="s">
        <v>241</v>
      </c>
      <c r="CO321" s="5" t="s">
        <v>260</v>
      </c>
      <c r="CP321" s="4" t="s">
        <v>241</v>
      </c>
      <c r="CQ321" s="4" t="s">
        <v>261</v>
      </c>
      <c r="CR321" s="4" t="s">
        <v>241</v>
      </c>
      <c r="CS321" s="4" t="s">
        <v>241</v>
      </c>
      <c r="CT321" s="4">
        <v>0</v>
      </c>
      <c r="CU321" s="4" t="s">
        <v>262</v>
      </c>
      <c r="CV321" s="4" t="s">
        <v>263</v>
      </c>
      <c r="CW321" s="4" t="s">
        <v>263</v>
      </c>
      <c r="CX321" s="4" t="s">
        <v>264</v>
      </c>
      <c r="DA321" s="6">
        <f>56350</f>
        <v>56350</v>
      </c>
      <c r="DC321" s="4" t="s">
        <v>277</v>
      </c>
      <c r="DD321" s="4" t="s">
        <v>241</v>
      </c>
      <c r="DF321" s="4" t="s">
        <v>287</v>
      </c>
      <c r="DG321" s="6">
        <f>0</f>
        <v>0</v>
      </c>
      <c r="DI321" s="4" t="s">
        <v>287</v>
      </c>
      <c r="DJ321" s="4" t="s">
        <v>241</v>
      </c>
      <c r="DK321" s="4" t="s">
        <v>241</v>
      </c>
      <c r="DL321" s="4" t="s">
        <v>241</v>
      </c>
      <c r="DP321" s="4" t="s">
        <v>241</v>
      </c>
      <c r="DQ321" s="4" t="s">
        <v>241</v>
      </c>
      <c r="DR321" s="4" t="s">
        <v>241</v>
      </c>
      <c r="DS321" s="4" t="s">
        <v>241</v>
      </c>
      <c r="DV321" s="4" t="s">
        <v>5017</v>
      </c>
      <c r="DW321" s="4" t="s">
        <v>719</v>
      </c>
      <c r="HO321" s="4" t="s">
        <v>388</v>
      </c>
    </row>
    <row r="322" spans="1:223" ht="19.5" customHeight="1" x14ac:dyDescent="0.4">
      <c r="A322" s="4">
        <v>1</v>
      </c>
      <c r="B322" s="4" t="s">
        <v>239</v>
      </c>
      <c r="C322" s="4">
        <v>1056</v>
      </c>
      <c r="D322" s="4">
        <v>1</v>
      </c>
      <c r="E322" s="4">
        <v>1</v>
      </c>
      <c r="F322" s="4" t="s">
        <v>240</v>
      </c>
      <c r="G322" s="4" t="s">
        <v>241</v>
      </c>
      <c r="H322" s="4" t="s">
        <v>241</v>
      </c>
      <c r="I322" s="4" t="s">
        <v>5015</v>
      </c>
      <c r="J322" s="4" t="s">
        <v>4219</v>
      </c>
      <c r="K322" s="4" t="s">
        <v>251</v>
      </c>
      <c r="L322" s="4" t="s">
        <v>3441</v>
      </c>
      <c r="M322" s="5" t="s">
        <v>5021</v>
      </c>
      <c r="N322" s="6">
        <f>23</f>
        <v>23</v>
      </c>
      <c r="O322" s="4" t="s">
        <v>265</v>
      </c>
      <c r="P322" s="6">
        <f>50945</f>
        <v>50945</v>
      </c>
      <c r="Q322" s="6">
        <f>0</f>
        <v>0</v>
      </c>
      <c r="S322" s="6">
        <f>0</f>
        <v>0</v>
      </c>
      <c r="T322" s="6">
        <f>50945</f>
        <v>50945</v>
      </c>
      <c r="U322" s="5" t="s">
        <v>245</v>
      </c>
      <c r="V322" s="4" t="s">
        <v>270</v>
      </c>
      <c r="W322" s="4" t="s">
        <v>242</v>
      </c>
      <c r="X322" s="4" t="s">
        <v>273</v>
      </c>
      <c r="Y322" s="4" t="s">
        <v>241</v>
      </c>
      <c r="AB322" s="4" t="s">
        <v>241</v>
      </c>
      <c r="AD322" s="5" t="s">
        <v>241</v>
      </c>
      <c r="AG322" s="5" t="s">
        <v>246</v>
      </c>
      <c r="AH322" s="4" t="s">
        <v>241</v>
      </c>
      <c r="AI322" s="4" t="s">
        <v>247</v>
      </c>
      <c r="AJ322" s="4" t="s">
        <v>248</v>
      </c>
      <c r="AZ322" s="4" t="s">
        <v>249</v>
      </c>
      <c r="BA322" s="4" t="s">
        <v>241</v>
      </c>
      <c r="BB322" s="4" t="s">
        <v>250</v>
      </c>
      <c r="BC322" s="4" t="s">
        <v>241</v>
      </c>
      <c r="BD322" s="4" t="s">
        <v>252</v>
      </c>
      <c r="BE322" s="4" t="s">
        <v>241</v>
      </c>
      <c r="BI322" s="4" t="s">
        <v>253</v>
      </c>
      <c r="BJ322" s="5" t="s">
        <v>246</v>
      </c>
      <c r="BK322" s="4" t="s">
        <v>254</v>
      </c>
      <c r="BL322" s="4" t="s">
        <v>323</v>
      </c>
      <c r="BM322" s="4" t="s">
        <v>241</v>
      </c>
      <c r="BN322" s="6">
        <f>0</f>
        <v>0</v>
      </c>
      <c r="BO322" s="6">
        <f>0</f>
        <v>0</v>
      </c>
      <c r="BP322" s="4" t="s">
        <v>256</v>
      </c>
      <c r="BQ322" s="4" t="s">
        <v>257</v>
      </c>
      <c r="CE322" s="4" t="s">
        <v>241</v>
      </c>
      <c r="CF322" s="4" t="s">
        <v>241</v>
      </c>
      <c r="CJ322" s="4" t="s">
        <v>258</v>
      </c>
      <c r="CK322" s="4" t="s">
        <v>259</v>
      </c>
      <c r="CL322" s="4" t="s">
        <v>241</v>
      </c>
      <c r="CO322" s="5" t="s">
        <v>260</v>
      </c>
      <c r="CP322" s="4" t="s">
        <v>241</v>
      </c>
      <c r="CQ322" s="4" t="s">
        <v>261</v>
      </c>
      <c r="CR322" s="4" t="s">
        <v>241</v>
      </c>
      <c r="CS322" s="4" t="s">
        <v>241</v>
      </c>
      <c r="CT322" s="4">
        <v>0</v>
      </c>
      <c r="CU322" s="4" t="s">
        <v>262</v>
      </c>
      <c r="CV322" s="4" t="s">
        <v>263</v>
      </c>
      <c r="CW322" s="4" t="s">
        <v>263</v>
      </c>
      <c r="CX322" s="4" t="s">
        <v>264</v>
      </c>
      <c r="DA322" s="6">
        <f>50945</f>
        <v>50945</v>
      </c>
      <c r="DC322" s="4" t="s">
        <v>422</v>
      </c>
      <c r="DD322" s="4" t="s">
        <v>241</v>
      </c>
      <c r="DF322" s="4" t="s">
        <v>287</v>
      </c>
      <c r="DG322" s="6">
        <f>0</f>
        <v>0</v>
      </c>
      <c r="DI322" s="4" t="s">
        <v>414</v>
      </c>
      <c r="DJ322" s="4" t="s">
        <v>241</v>
      </c>
      <c r="DK322" s="4" t="s">
        <v>241</v>
      </c>
      <c r="DL322" s="4" t="s">
        <v>241</v>
      </c>
      <c r="DP322" s="4" t="s">
        <v>241</v>
      </c>
      <c r="DQ322" s="4" t="s">
        <v>241</v>
      </c>
      <c r="DR322" s="4" t="s">
        <v>241</v>
      </c>
      <c r="DS322" s="4" t="s">
        <v>241</v>
      </c>
      <c r="DV322" s="4" t="s">
        <v>5017</v>
      </c>
      <c r="DW322" s="4" t="s">
        <v>690</v>
      </c>
      <c r="HO322" s="4" t="s">
        <v>388</v>
      </c>
    </row>
    <row r="323" spans="1:223" ht="19.5" customHeight="1" x14ac:dyDescent="0.4">
      <c r="A323" s="4">
        <v>1</v>
      </c>
      <c r="B323" s="4" t="s">
        <v>239</v>
      </c>
      <c r="C323" s="4">
        <v>1057</v>
      </c>
      <c r="D323" s="4">
        <v>1</v>
      </c>
      <c r="E323" s="4">
        <v>1</v>
      </c>
      <c r="F323" s="4" t="s">
        <v>240</v>
      </c>
      <c r="G323" s="4" t="s">
        <v>241</v>
      </c>
      <c r="H323" s="4" t="s">
        <v>241</v>
      </c>
      <c r="I323" s="4" t="s">
        <v>5015</v>
      </c>
      <c r="J323" s="4" t="s">
        <v>4219</v>
      </c>
      <c r="K323" s="4" t="s">
        <v>251</v>
      </c>
      <c r="L323" s="4" t="s">
        <v>3441</v>
      </c>
      <c r="M323" s="5" t="s">
        <v>5022</v>
      </c>
      <c r="N323" s="6">
        <f>3785</f>
        <v>3785</v>
      </c>
      <c r="O323" s="4" t="s">
        <v>265</v>
      </c>
      <c r="P323" s="6">
        <f>8383775</f>
        <v>8383775</v>
      </c>
      <c r="Q323" s="6">
        <f>0</f>
        <v>0</v>
      </c>
      <c r="S323" s="6">
        <f>0</f>
        <v>0</v>
      </c>
      <c r="T323" s="6">
        <f>8383775</f>
        <v>8383775</v>
      </c>
      <c r="U323" s="5" t="s">
        <v>245</v>
      </c>
      <c r="V323" s="4" t="s">
        <v>270</v>
      </c>
      <c r="W323" s="4" t="s">
        <v>242</v>
      </c>
      <c r="X323" s="4" t="s">
        <v>273</v>
      </c>
      <c r="Y323" s="4" t="s">
        <v>241</v>
      </c>
      <c r="AB323" s="4" t="s">
        <v>241</v>
      </c>
      <c r="AD323" s="5" t="s">
        <v>241</v>
      </c>
      <c r="AG323" s="5" t="s">
        <v>246</v>
      </c>
      <c r="AH323" s="4" t="s">
        <v>241</v>
      </c>
      <c r="AI323" s="4" t="s">
        <v>247</v>
      </c>
      <c r="AJ323" s="4" t="s">
        <v>248</v>
      </c>
      <c r="AZ323" s="4" t="s">
        <v>249</v>
      </c>
      <c r="BA323" s="4" t="s">
        <v>241</v>
      </c>
      <c r="BB323" s="4" t="s">
        <v>250</v>
      </c>
      <c r="BC323" s="4" t="s">
        <v>241</v>
      </c>
      <c r="BD323" s="4" t="s">
        <v>252</v>
      </c>
      <c r="BE323" s="4" t="s">
        <v>241</v>
      </c>
      <c r="BI323" s="4" t="s">
        <v>253</v>
      </c>
      <c r="BJ323" s="5" t="s">
        <v>246</v>
      </c>
      <c r="BK323" s="4" t="s">
        <v>254</v>
      </c>
      <c r="BL323" s="4" t="s">
        <v>323</v>
      </c>
      <c r="BM323" s="4" t="s">
        <v>241</v>
      </c>
      <c r="BN323" s="6">
        <f>0</f>
        <v>0</v>
      </c>
      <c r="BO323" s="6">
        <f>0</f>
        <v>0</v>
      </c>
      <c r="BP323" s="4" t="s">
        <v>256</v>
      </c>
      <c r="BQ323" s="4" t="s">
        <v>257</v>
      </c>
      <c r="CE323" s="4" t="s">
        <v>241</v>
      </c>
      <c r="CF323" s="4" t="s">
        <v>241</v>
      </c>
      <c r="CJ323" s="4" t="s">
        <v>258</v>
      </c>
      <c r="CK323" s="4" t="s">
        <v>259</v>
      </c>
      <c r="CL323" s="4" t="s">
        <v>241</v>
      </c>
      <c r="CO323" s="5" t="s">
        <v>260</v>
      </c>
      <c r="CP323" s="4" t="s">
        <v>241</v>
      </c>
      <c r="CQ323" s="4" t="s">
        <v>261</v>
      </c>
      <c r="CR323" s="4" t="s">
        <v>241</v>
      </c>
      <c r="CS323" s="4" t="s">
        <v>241</v>
      </c>
      <c r="CT323" s="4">
        <v>0</v>
      </c>
      <c r="CU323" s="4" t="s">
        <v>262</v>
      </c>
      <c r="CV323" s="4" t="s">
        <v>263</v>
      </c>
      <c r="CW323" s="4" t="s">
        <v>263</v>
      </c>
      <c r="CX323" s="4" t="s">
        <v>264</v>
      </c>
      <c r="DA323" s="6">
        <f>8383775</f>
        <v>8383775</v>
      </c>
      <c r="DC323" s="4" t="s">
        <v>422</v>
      </c>
      <c r="DD323" s="4" t="s">
        <v>241</v>
      </c>
      <c r="DF323" s="4" t="s">
        <v>287</v>
      </c>
      <c r="DG323" s="6">
        <f>0</f>
        <v>0</v>
      </c>
      <c r="DI323" s="4" t="s">
        <v>414</v>
      </c>
      <c r="DJ323" s="4" t="s">
        <v>241</v>
      </c>
      <c r="DK323" s="4" t="s">
        <v>241</v>
      </c>
      <c r="DL323" s="4" t="s">
        <v>241</v>
      </c>
      <c r="DP323" s="4" t="s">
        <v>241</v>
      </c>
      <c r="DQ323" s="4" t="s">
        <v>241</v>
      </c>
      <c r="DR323" s="4" t="s">
        <v>241</v>
      </c>
      <c r="DS323" s="4" t="s">
        <v>241</v>
      </c>
      <c r="DV323" s="4" t="s">
        <v>5017</v>
      </c>
      <c r="DW323" s="4" t="s">
        <v>628</v>
      </c>
      <c r="HO323" s="4" t="s">
        <v>388</v>
      </c>
    </row>
    <row r="324" spans="1:223" ht="19.5" customHeight="1" x14ac:dyDescent="0.4">
      <c r="A324" s="4">
        <v>1</v>
      </c>
      <c r="B324" s="4" t="s">
        <v>239</v>
      </c>
      <c r="C324" s="4">
        <v>1058</v>
      </c>
      <c r="D324" s="4">
        <v>1</v>
      </c>
      <c r="E324" s="4">
        <v>1</v>
      </c>
      <c r="F324" s="4" t="s">
        <v>240</v>
      </c>
      <c r="G324" s="4" t="s">
        <v>241</v>
      </c>
      <c r="H324" s="4" t="s">
        <v>241</v>
      </c>
      <c r="I324" s="4" t="s">
        <v>5015</v>
      </c>
      <c r="J324" s="4" t="s">
        <v>4219</v>
      </c>
      <c r="K324" s="4" t="s">
        <v>251</v>
      </c>
      <c r="L324" s="4" t="s">
        <v>3441</v>
      </c>
      <c r="M324" s="5" t="s">
        <v>5023</v>
      </c>
      <c r="N324" s="6">
        <f>14</f>
        <v>14</v>
      </c>
      <c r="O324" s="4" t="s">
        <v>265</v>
      </c>
      <c r="P324" s="6">
        <f>6860</f>
        <v>6860</v>
      </c>
      <c r="Q324" s="6">
        <f>0</f>
        <v>0</v>
      </c>
      <c r="S324" s="6">
        <f>0</f>
        <v>0</v>
      </c>
      <c r="T324" s="6">
        <f>6860</f>
        <v>6860</v>
      </c>
      <c r="U324" s="5" t="s">
        <v>245</v>
      </c>
      <c r="V324" s="4" t="s">
        <v>270</v>
      </c>
      <c r="W324" s="4" t="s">
        <v>271</v>
      </c>
      <c r="X324" s="4" t="s">
        <v>273</v>
      </c>
      <c r="Y324" s="4" t="s">
        <v>241</v>
      </c>
      <c r="AB324" s="4" t="s">
        <v>241</v>
      </c>
      <c r="AD324" s="5" t="s">
        <v>241</v>
      </c>
      <c r="AG324" s="5" t="s">
        <v>246</v>
      </c>
      <c r="AH324" s="4" t="s">
        <v>241</v>
      </c>
      <c r="AI324" s="4" t="s">
        <v>247</v>
      </c>
      <c r="AJ324" s="4" t="s">
        <v>248</v>
      </c>
      <c r="AZ324" s="4" t="s">
        <v>249</v>
      </c>
      <c r="BA324" s="4" t="s">
        <v>241</v>
      </c>
      <c r="BB324" s="4" t="s">
        <v>250</v>
      </c>
      <c r="BC324" s="4" t="s">
        <v>241</v>
      </c>
      <c r="BD324" s="4" t="s">
        <v>252</v>
      </c>
      <c r="BE324" s="4" t="s">
        <v>241</v>
      </c>
      <c r="BI324" s="4" t="s">
        <v>253</v>
      </c>
      <c r="BJ324" s="5" t="s">
        <v>246</v>
      </c>
      <c r="BK324" s="4" t="s">
        <v>254</v>
      </c>
      <c r="BL324" s="4" t="s">
        <v>323</v>
      </c>
      <c r="BM324" s="4" t="s">
        <v>241</v>
      </c>
      <c r="BN324" s="6">
        <f>0</f>
        <v>0</v>
      </c>
      <c r="BO324" s="6">
        <f>0</f>
        <v>0</v>
      </c>
      <c r="BP324" s="4" t="s">
        <v>256</v>
      </c>
      <c r="BQ324" s="4" t="s">
        <v>257</v>
      </c>
      <c r="CE324" s="4" t="s">
        <v>241</v>
      </c>
      <c r="CF324" s="4" t="s">
        <v>241</v>
      </c>
      <c r="CJ324" s="4" t="s">
        <v>258</v>
      </c>
      <c r="CK324" s="4" t="s">
        <v>259</v>
      </c>
      <c r="CL324" s="4" t="s">
        <v>241</v>
      </c>
      <c r="CO324" s="5" t="s">
        <v>260</v>
      </c>
      <c r="CP324" s="4" t="s">
        <v>241</v>
      </c>
      <c r="CQ324" s="4" t="s">
        <v>261</v>
      </c>
      <c r="CR324" s="4" t="s">
        <v>241</v>
      </c>
      <c r="CS324" s="4" t="s">
        <v>241</v>
      </c>
      <c r="CT324" s="4">
        <v>0</v>
      </c>
      <c r="CU324" s="4" t="s">
        <v>262</v>
      </c>
      <c r="CV324" s="4" t="s">
        <v>263</v>
      </c>
      <c r="CW324" s="4" t="s">
        <v>263</v>
      </c>
      <c r="CX324" s="4" t="s">
        <v>264</v>
      </c>
      <c r="DA324" s="6">
        <f>6860</f>
        <v>6860</v>
      </c>
      <c r="DC324" s="4" t="s">
        <v>277</v>
      </c>
      <c r="DD324" s="4" t="s">
        <v>241</v>
      </c>
      <c r="DF324" s="4" t="s">
        <v>287</v>
      </c>
      <c r="DG324" s="6">
        <f>0</f>
        <v>0</v>
      </c>
      <c r="DI324" s="4" t="s">
        <v>287</v>
      </c>
      <c r="DJ324" s="4" t="s">
        <v>241</v>
      </c>
      <c r="DK324" s="4" t="s">
        <v>241</v>
      </c>
      <c r="DL324" s="4" t="s">
        <v>241</v>
      </c>
      <c r="DP324" s="4" t="s">
        <v>241</v>
      </c>
      <c r="DQ324" s="4" t="s">
        <v>241</v>
      </c>
      <c r="DR324" s="4" t="s">
        <v>241</v>
      </c>
      <c r="DS324" s="4" t="s">
        <v>241</v>
      </c>
      <c r="DV324" s="4" t="s">
        <v>5017</v>
      </c>
      <c r="DW324" s="4" t="s">
        <v>597</v>
      </c>
      <c r="HO324" s="4" t="s">
        <v>388</v>
      </c>
    </row>
    <row r="325" spans="1:223" ht="19.5" customHeight="1" x14ac:dyDescent="0.4">
      <c r="A325" s="4">
        <v>1</v>
      </c>
      <c r="B325" s="4" t="s">
        <v>239</v>
      </c>
      <c r="C325" s="4">
        <v>1059</v>
      </c>
      <c r="D325" s="4">
        <v>1</v>
      </c>
      <c r="E325" s="4">
        <v>1</v>
      </c>
      <c r="F325" s="4" t="s">
        <v>240</v>
      </c>
      <c r="G325" s="4" t="s">
        <v>241</v>
      </c>
      <c r="H325" s="4" t="s">
        <v>241</v>
      </c>
      <c r="I325" s="4" t="s">
        <v>5015</v>
      </c>
      <c r="J325" s="4" t="s">
        <v>4219</v>
      </c>
      <c r="K325" s="4" t="s">
        <v>251</v>
      </c>
      <c r="L325" s="4" t="s">
        <v>3441</v>
      </c>
      <c r="M325" s="5" t="s">
        <v>5027</v>
      </c>
      <c r="N325" s="6">
        <f>15</f>
        <v>15</v>
      </c>
      <c r="O325" s="4" t="s">
        <v>265</v>
      </c>
      <c r="P325" s="6">
        <f>7350</f>
        <v>7350</v>
      </c>
      <c r="Q325" s="6">
        <f>0</f>
        <v>0</v>
      </c>
      <c r="S325" s="6">
        <f>0</f>
        <v>0</v>
      </c>
      <c r="T325" s="6">
        <f>7350</f>
        <v>7350</v>
      </c>
      <c r="U325" s="5" t="s">
        <v>245</v>
      </c>
      <c r="V325" s="4" t="s">
        <v>270</v>
      </c>
      <c r="W325" s="4" t="s">
        <v>271</v>
      </c>
      <c r="X325" s="4" t="s">
        <v>273</v>
      </c>
      <c r="Y325" s="4" t="s">
        <v>241</v>
      </c>
      <c r="AB325" s="4" t="s">
        <v>241</v>
      </c>
      <c r="AD325" s="5" t="s">
        <v>241</v>
      </c>
      <c r="AG325" s="5" t="s">
        <v>246</v>
      </c>
      <c r="AH325" s="4" t="s">
        <v>241</v>
      </c>
      <c r="AI325" s="4" t="s">
        <v>247</v>
      </c>
      <c r="AJ325" s="4" t="s">
        <v>248</v>
      </c>
      <c r="AZ325" s="4" t="s">
        <v>249</v>
      </c>
      <c r="BA325" s="4" t="s">
        <v>241</v>
      </c>
      <c r="BB325" s="4" t="s">
        <v>250</v>
      </c>
      <c r="BC325" s="4" t="s">
        <v>241</v>
      </c>
      <c r="BD325" s="4" t="s">
        <v>252</v>
      </c>
      <c r="BE325" s="4" t="s">
        <v>241</v>
      </c>
      <c r="BI325" s="4" t="s">
        <v>253</v>
      </c>
      <c r="BJ325" s="5" t="s">
        <v>246</v>
      </c>
      <c r="BK325" s="4" t="s">
        <v>254</v>
      </c>
      <c r="BL325" s="4" t="s">
        <v>323</v>
      </c>
      <c r="BM325" s="4" t="s">
        <v>241</v>
      </c>
      <c r="BN325" s="6">
        <f>0</f>
        <v>0</v>
      </c>
      <c r="BO325" s="6">
        <f>0</f>
        <v>0</v>
      </c>
      <c r="BP325" s="4" t="s">
        <v>256</v>
      </c>
      <c r="BQ325" s="4" t="s">
        <v>257</v>
      </c>
      <c r="CE325" s="4" t="s">
        <v>241</v>
      </c>
      <c r="CF325" s="4" t="s">
        <v>241</v>
      </c>
      <c r="CJ325" s="4" t="s">
        <v>258</v>
      </c>
      <c r="CK325" s="4" t="s">
        <v>259</v>
      </c>
      <c r="CL325" s="4" t="s">
        <v>241</v>
      </c>
      <c r="CO325" s="5" t="s">
        <v>260</v>
      </c>
      <c r="CP325" s="4" t="s">
        <v>241</v>
      </c>
      <c r="CQ325" s="4" t="s">
        <v>261</v>
      </c>
      <c r="CR325" s="4" t="s">
        <v>241</v>
      </c>
      <c r="CS325" s="4" t="s">
        <v>241</v>
      </c>
      <c r="CT325" s="4">
        <v>0</v>
      </c>
      <c r="CU325" s="4" t="s">
        <v>262</v>
      </c>
      <c r="CV325" s="4" t="s">
        <v>263</v>
      </c>
      <c r="CW325" s="4" t="s">
        <v>263</v>
      </c>
      <c r="CX325" s="4" t="s">
        <v>264</v>
      </c>
      <c r="DA325" s="6">
        <f>7350</f>
        <v>7350</v>
      </c>
      <c r="DC325" s="4" t="s">
        <v>277</v>
      </c>
      <c r="DD325" s="4" t="s">
        <v>241</v>
      </c>
      <c r="DF325" s="4" t="s">
        <v>287</v>
      </c>
      <c r="DG325" s="6">
        <f>0</f>
        <v>0</v>
      </c>
      <c r="DI325" s="4" t="s">
        <v>287</v>
      </c>
      <c r="DJ325" s="4" t="s">
        <v>241</v>
      </c>
      <c r="DK325" s="4" t="s">
        <v>241</v>
      </c>
      <c r="DL325" s="4" t="s">
        <v>241</v>
      </c>
      <c r="DP325" s="4" t="s">
        <v>241</v>
      </c>
      <c r="DQ325" s="4" t="s">
        <v>241</v>
      </c>
      <c r="DR325" s="4" t="s">
        <v>241</v>
      </c>
      <c r="DS325" s="4" t="s">
        <v>241</v>
      </c>
      <c r="DV325" s="4" t="s">
        <v>5017</v>
      </c>
      <c r="DW325" s="4" t="s">
        <v>1792</v>
      </c>
      <c r="HO325" s="4" t="s">
        <v>388</v>
      </c>
    </row>
    <row r="326" spans="1:223" ht="19.5" customHeight="1" x14ac:dyDescent="0.4">
      <c r="A326" s="4">
        <v>1</v>
      </c>
      <c r="B326" s="4" t="s">
        <v>239</v>
      </c>
      <c r="C326" s="4">
        <v>1060</v>
      </c>
      <c r="D326" s="4">
        <v>1</v>
      </c>
      <c r="E326" s="4">
        <v>1</v>
      </c>
      <c r="F326" s="4" t="s">
        <v>240</v>
      </c>
      <c r="G326" s="4" t="s">
        <v>241</v>
      </c>
      <c r="H326" s="4" t="s">
        <v>241</v>
      </c>
      <c r="I326" s="4" t="s">
        <v>5015</v>
      </c>
      <c r="J326" s="4" t="s">
        <v>4219</v>
      </c>
      <c r="K326" s="4" t="s">
        <v>251</v>
      </c>
      <c r="L326" s="4" t="s">
        <v>3441</v>
      </c>
      <c r="M326" s="5" t="s">
        <v>5016</v>
      </c>
      <c r="N326" s="6">
        <f>136</f>
        <v>136</v>
      </c>
      <c r="O326" s="4" t="s">
        <v>265</v>
      </c>
      <c r="P326" s="6">
        <f>301240</f>
        <v>301240</v>
      </c>
      <c r="Q326" s="6">
        <f>0</f>
        <v>0</v>
      </c>
      <c r="S326" s="6">
        <f>0</f>
        <v>0</v>
      </c>
      <c r="T326" s="6">
        <f>301240</f>
        <v>301240</v>
      </c>
      <c r="U326" s="5" t="s">
        <v>245</v>
      </c>
      <c r="V326" s="4" t="s">
        <v>270</v>
      </c>
      <c r="W326" s="4" t="s">
        <v>242</v>
      </c>
      <c r="X326" s="4" t="s">
        <v>273</v>
      </c>
      <c r="Y326" s="4" t="s">
        <v>241</v>
      </c>
      <c r="AB326" s="4" t="s">
        <v>241</v>
      </c>
      <c r="AD326" s="5" t="s">
        <v>241</v>
      </c>
      <c r="AG326" s="5" t="s">
        <v>246</v>
      </c>
      <c r="AH326" s="4" t="s">
        <v>241</v>
      </c>
      <c r="AI326" s="4" t="s">
        <v>247</v>
      </c>
      <c r="AJ326" s="4" t="s">
        <v>248</v>
      </c>
      <c r="AZ326" s="4" t="s">
        <v>249</v>
      </c>
      <c r="BA326" s="4" t="s">
        <v>241</v>
      </c>
      <c r="BB326" s="4" t="s">
        <v>250</v>
      </c>
      <c r="BC326" s="4" t="s">
        <v>241</v>
      </c>
      <c r="BD326" s="4" t="s">
        <v>252</v>
      </c>
      <c r="BE326" s="4" t="s">
        <v>241</v>
      </c>
      <c r="BI326" s="4" t="s">
        <v>253</v>
      </c>
      <c r="BJ326" s="5" t="s">
        <v>246</v>
      </c>
      <c r="BK326" s="4" t="s">
        <v>254</v>
      </c>
      <c r="BL326" s="4" t="s">
        <v>323</v>
      </c>
      <c r="BM326" s="4" t="s">
        <v>241</v>
      </c>
      <c r="BN326" s="6">
        <f>0</f>
        <v>0</v>
      </c>
      <c r="BO326" s="6">
        <f>0</f>
        <v>0</v>
      </c>
      <c r="BP326" s="4" t="s">
        <v>256</v>
      </c>
      <c r="BQ326" s="4" t="s">
        <v>257</v>
      </c>
      <c r="CE326" s="4" t="s">
        <v>241</v>
      </c>
      <c r="CF326" s="4" t="s">
        <v>241</v>
      </c>
      <c r="CJ326" s="4" t="s">
        <v>258</v>
      </c>
      <c r="CK326" s="4" t="s">
        <v>259</v>
      </c>
      <c r="CL326" s="4" t="s">
        <v>241</v>
      </c>
      <c r="CO326" s="5" t="s">
        <v>260</v>
      </c>
      <c r="CP326" s="4" t="s">
        <v>241</v>
      </c>
      <c r="CQ326" s="4" t="s">
        <v>261</v>
      </c>
      <c r="CR326" s="4" t="s">
        <v>241</v>
      </c>
      <c r="CS326" s="4" t="s">
        <v>241</v>
      </c>
      <c r="CT326" s="4">
        <v>0</v>
      </c>
      <c r="CU326" s="4" t="s">
        <v>262</v>
      </c>
      <c r="CV326" s="4" t="s">
        <v>263</v>
      </c>
      <c r="CW326" s="4" t="s">
        <v>263</v>
      </c>
      <c r="CX326" s="4" t="s">
        <v>264</v>
      </c>
      <c r="DA326" s="6">
        <f>301240</f>
        <v>301240</v>
      </c>
      <c r="DC326" s="4" t="s">
        <v>422</v>
      </c>
      <c r="DD326" s="4" t="s">
        <v>241</v>
      </c>
      <c r="DF326" s="4" t="s">
        <v>287</v>
      </c>
      <c r="DG326" s="6">
        <f>0</f>
        <v>0</v>
      </c>
      <c r="DI326" s="4" t="s">
        <v>414</v>
      </c>
      <c r="DJ326" s="4" t="s">
        <v>241</v>
      </c>
      <c r="DK326" s="4" t="s">
        <v>241</v>
      </c>
      <c r="DL326" s="4" t="s">
        <v>241</v>
      </c>
      <c r="DP326" s="4" t="s">
        <v>241</v>
      </c>
      <c r="DQ326" s="4" t="s">
        <v>241</v>
      </c>
      <c r="DR326" s="4" t="s">
        <v>241</v>
      </c>
      <c r="DS326" s="4" t="s">
        <v>241</v>
      </c>
      <c r="DV326" s="4" t="s">
        <v>5017</v>
      </c>
      <c r="DW326" s="4" t="s">
        <v>1789</v>
      </c>
      <c r="HO326" s="4" t="s">
        <v>388</v>
      </c>
    </row>
    <row r="327" spans="1:223" ht="19.5" customHeight="1" x14ac:dyDescent="0.4">
      <c r="A327" s="4">
        <v>1</v>
      </c>
      <c r="B327" s="4" t="s">
        <v>239</v>
      </c>
      <c r="C327" s="4">
        <v>1061</v>
      </c>
      <c r="D327" s="4">
        <v>1</v>
      </c>
      <c r="E327" s="4">
        <v>1</v>
      </c>
      <c r="F327" s="4" t="s">
        <v>240</v>
      </c>
      <c r="G327" s="4" t="s">
        <v>241</v>
      </c>
      <c r="H327" s="4" t="s">
        <v>241</v>
      </c>
      <c r="I327" s="4" t="s">
        <v>5015</v>
      </c>
      <c r="J327" s="4" t="s">
        <v>4219</v>
      </c>
      <c r="K327" s="4" t="s">
        <v>251</v>
      </c>
      <c r="L327" s="4" t="s">
        <v>3441</v>
      </c>
      <c r="M327" s="5" t="s">
        <v>5492</v>
      </c>
      <c r="N327" s="6">
        <f>108</f>
        <v>108</v>
      </c>
      <c r="O327" s="4" t="s">
        <v>265</v>
      </c>
      <c r="P327" s="6">
        <f>239220</f>
        <v>239220</v>
      </c>
      <c r="Q327" s="6">
        <f>0</f>
        <v>0</v>
      </c>
      <c r="S327" s="6">
        <f>0</f>
        <v>0</v>
      </c>
      <c r="T327" s="6">
        <f>239220</f>
        <v>239220</v>
      </c>
      <c r="U327" s="5" t="s">
        <v>245</v>
      </c>
      <c r="V327" s="4" t="s">
        <v>270</v>
      </c>
      <c r="W327" s="4" t="s">
        <v>242</v>
      </c>
      <c r="X327" s="4" t="s">
        <v>273</v>
      </c>
      <c r="Y327" s="4" t="s">
        <v>241</v>
      </c>
      <c r="AB327" s="4" t="s">
        <v>241</v>
      </c>
      <c r="AD327" s="5" t="s">
        <v>241</v>
      </c>
      <c r="AG327" s="5" t="s">
        <v>246</v>
      </c>
      <c r="AH327" s="4" t="s">
        <v>241</v>
      </c>
      <c r="AI327" s="4" t="s">
        <v>247</v>
      </c>
      <c r="AJ327" s="4" t="s">
        <v>248</v>
      </c>
      <c r="AZ327" s="4" t="s">
        <v>249</v>
      </c>
      <c r="BA327" s="4" t="s">
        <v>241</v>
      </c>
      <c r="BB327" s="4" t="s">
        <v>250</v>
      </c>
      <c r="BC327" s="4" t="s">
        <v>241</v>
      </c>
      <c r="BD327" s="4" t="s">
        <v>252</v>
      </c>
      <c r="BE327" s="4" t="s">
        <v>241</v>
      </c>
      <c r="BI327" s="4" t="s">
        <v>253</v>
      </c>
      <c r="BJ327" s="5" t="s">
        <v>246</v>
      </c>
      <c r="BK327" s="4" t="s">
        <v>254</v>
      </c>
      <c r="BL327" s="4" t="s">
        <v>323</v>
      </c>
      <c r="BM327" s="4" t="s">
        <v>241</v>
      </c>
      <c r="BN327" s="6">
        <f>0</f>
        <v>0</v>
      </c>
      <c r="BO327" s="6">
        <f>0</f>
        <v>0</v>
      </c>
      <c r="BP327" s="4" t="s">
        <v>256</v>
      </c>
      <c r="BQ327" s="4" t="s">
        <v>257</v>
      </c>
      <c r="CE327" s="4" t="s">
        <v>241</v>
      </c>
      <c r="CF327" s="4" t="s">
        <v>241</v>
      </c>
      <c r="CJ327" s="4" t="s">
        <v>258</v>
      </c>
      <c r="CK327" s="4" t="s">
        <v>259</v>
      </c>
      <c r="CL327" s="4" t="s">
        <v>241</v>
      </c>
      <c r="CO327" s="5" t="s">
        <v>260</v>
      </c>
      <c r="CP327" s="4" t="s">
        <v>241</v>
      </c>
      <c r="CQ327" s="4" t="s">
        <v>261</v>
      </c>
      <c r="CR327" s="4" t="s">
        <v>241</v>
      </c>
      <c r="CS327" s="4" t="s">
        <v>241</v>
      </c>
      <c r="CT327" s="4">
        <v>0</v>
      </c>
      <c r="CU327" s="4" t="s">
        <v>262</v>
      </c>
      <c r="CV327" s="4" t="s">
        <v>263</v>
      </c>
      <c r="CW327" s="4" t="s">
        <v>263</v>
      </c>
      <c r="CX327" s="4" t="s">
        <v>264</v>
      </c>
      <c r="DA327" s="6">
        <f>239220</f>
        <v>239220</v>
      </c>
      <c r="DC327" s="4" t="s">
        <v>422</v>
      </c>
      <c r="DD327" s="4" t="s">
        <v>241</v>
      </c>
      <c r="DF327" s="4" t="s">
        <v>287</v>
      </c>
      <c r="DG327" s="6">
        <f>0</f>
        <v>0</v>
      </c>
      <c r="DI327" s="4" t="s">
        <v>414</v>
      </c>
      <c r="DJ327" s="4" t="s">
        <v>241</v>
      </c>
      <c r="DK327" s="4" t="s">
        <v>241</v>
      </c>
      <c r="DL327" s="4" t="s">
        <v>241</v>
      </c>
      <c r="DP327" s="4" t="s">
        <v>241</v>
      </c>
      <c r="DQ327" s="4" t="s">
        <v>241</v>
      </c>
      <c r="DR327" s="4" t="s">
        <v>241</v>
      </c>
      <c r="DS327" s="4" t="s">
        <v>241</v>
      </c>
      <c r="DV327" s="4" t="s">
        <v>5017</v>
      </c>
      <c r="DW327" s="4" t="s">
        <v>1787</v>
      </c>
      <c r="HO327" s="4" t="s">
        <v>388</v>
      </c>
    </row>
    <row r="328" spans="1:223" ht="19.5" customHeight="1" x14ac:dyDescent="0.4">
      <c r="A328" s="4">
        <v>1</v>
      </c>
      <c r="B328" s="4" t="s">
        <v>239</v>
      </c>
      <c r="C328" s="4">
        <v>1062</v>
      </c>
      <c r="D328" s="4">
        <v>1</v>
      </c>
      <c r="E328" s="4">
        <v>1</v>
      </c>
      <c r="F328" s="4" t="s">
        <v>240</v>
      </c>
      <c r="G328" s="4" t="s">
        <v>241</v>
      </c>
      <c r="H328" s="4" t="s">
        <v>241</v>
      </c>
      <c r="I328" s="4" t="s">
        <v>5015</v>
      </c>
      <c r="J328" s="4" t="s">
        <v>4219</v>
      </c>
      <c r="K328" s="4" t="s">
        <v>251</v>
      </c>
      <c r="L328" s="4" t="s">
        <v>3441</v>
      </c>
      <c r="M328" s="5" t="s">
        <v>3575</v>
      </c>
      <c r="N328" s="6">
        <f>3185</f>
        <v>3185</v>
      </c>
      <c r="O328" s="4" t="s">
        <v>265</v>
      </c>
      <c r="P328" s="6">
        <f>7054774</f>
        <v>7054774</v>
      </c>
      <c r="Q328" s="6">
        <f>0</f>
        <v>0</v>
      </c>
      <c r="S328" s="6">
        <f>0</f>
        <v>0</v>
      </c>
      <c r="T328" s="6">
        <f>7054774</f>
        <v>7054774</v>
      </c>
      <c r="U328" s="5" t="s">
        <v>245</v>
      </c>
      <c r="V328" s="4" t="s">
        <v>270</v>
      </c>
      <c r="W328" s="4" t="s">
        <v>242</v>
      </c>
      <c r="X328" s="4" t="s">
        <v>273</v>
      </c>
      <c r="Y328" s="4" t="s">
        <v>241</v>
      </c>
      <c r="AB328" s="4" t="s">
        <v>241</v>
      </c>
      <c r="AD328" s="5" t="s">
        <v>241</v>
      </c>
      <c r="AG328" s="5" t="s">
        <v>246</v>
      </c>
      <c r="AH328" s="4" t="s">
        <v>241</v>
      </c>
      <c r="AI328" s="4" t="s">
        <v>247</v>
      </c>
      <c r="AJ328" s="4" t="s">
        <v>248</v>
      </c>
      <c r="AZ328" s="4" t="s">
        <v>249</v>
      </c>
      <c r="BA328" s="4" t="s">
        <v>241</v>
      </c>
      <c r="BB328" s="4" t="s">
        <v>250</v>
      </c>
      <c r="BC328" s="4" t="s">
        <v>241</v>
      </c>
      <c r="BD328" s="4" t="s">
        <v>252</v>
      </c>
      <c r="BE328" s="4" t="s">
        <v>241</v>
      </c>
      <c r="BI328" s="4" t="s">
        <v>253</v>
      </c>
      <c r="BJ328" s="5" t="s">
        <v>246</v>
      </c>
      <c r="BK328" s="4" t="s">
        <v>254</v>
      </c>
      <c r="BL328" s="4" t="s">
        <v>323</v>
      </c>
      <c r="BM328" s="4" t="s">
        <v>241</v>
      </c>
      <c r="BN328" s="6">
        <f>0</f>
        <v>0</v>
      </c>
      <c r="BO328" s="6">
        <f>0</f>
        <v>0</v>
      </c>
      <c r="BP328" s="4" t="s">
        <v>256</v>
      </c>
      <c r="BQ328" s="4" t="s">
        <v>257</v>
      </c>
      <c r="CE328" s="4" t="s">
        <v>241</v>
      </c>
      <c r="CF328" s="4" t="s">
        <v>241</v>
      </c>
      <c r="CJ328" s="4" t="s">
        <v>258</v>
      </c>
      <c r="CK328" s="4" t="s">
        <v>259</v>
      </c>
      <c r="CL328" s="4" t="s">
        <v>241</v>
      </c>
      <c r="CO328" s="5" t="s">
        <v>260</v>
      </c>
      <c r="CP328" s="4" t="s">
        <v>241</v>
      </c>
      <c r="CQ328" s="4" t="s">
        <v>261</v>
      </c>
      <c r="CR328" s="4" t="s">
        <v>241</v>
      </c>
      <c r="CS328" s="4" t="s">
        <v>241</v>
      </c>
      <c r="CT328" s="4">
        <v>0</v>
      </c>
      <c r="CU328" s="4" t="s">
        <v>262</v>
      </c>
      <c r="CV328" s="4" t="s">
        <v>263</v>
      </c>
      <c r="CW328" s="4" t="s">
        <v>263</v>
      </c>
      <c r="CX328" s="4" t="s">
        <v>264</v>
      </c>
      <c r="DA328" s="6">
        <f>7054774</f>
        <v>7054774</v>
      </c>
      <c r="DC328" s="4" t="s">
        <v>422</v>
      </c>
      <c r="DD328" s="4" t="s">
        <v>241</v>
      </c>
      <c r="DF328" s="4" t="s">
        <v>287</v>
      </c>
      <c r="DG328" s="6">
        <f>0</f>
        <v>0</v>
      </c>
      <c r="DI328" s="4" t="s">
        <v>414</v>
      </c>
      <c r="DJ328" s="4" t="s">
        <v>241</v>
      </c>
      <c r="DK328" s="4" t="s">
        <v>241</v>
      </c>
      <c r="DL328" s="4" t="s">
        <v>241</v>
      </c>
      <c r="DP328" s="4" t="s">
        <v>241</v>
      </c>
      <c r="DQ328" s="4" t="s">
        <v>241</v>
      </c>
      <c r="DR328" s="4" t="s">
        <v>241</v>
      </c>
      <c r="DS328" s="4" t="s">
        <v>241</v>
      </c>
      <c r="DV328" s="4" t="s">
        <v>5017</v>
      </c>
      <c r="DW328" s="4" t="s">
        <v>1785</v>
      </c>
      <c r="HO328" s="4" t="s">
        <v>327</v>
      </c>
    </row>
    <row r="329" spans="1:223" ht="19.5" customHeight="1" x14ac:dyDescent="0.4">
      <c r="A329" s="4">
        <v>1</v>
      </c>
      <c r="B329" s="4" t="s">
        <v>239</v>
      </c>
      <c r="C329" s="4">
        <v>1063</v>
      </c>
      <c r="D329" s="4">
        <v>1</v>
      </c>
      <c r="E329" s="4">
        <v>1</v>
      </c>
      <c r="F329" s="4" t="s">
        <v>240</v>
      </c>
      <c r="G329" s="4" t="s">
        <v>241</v>
      </c>
      <c r="H329" s="4" t="s">
        <v>241</v>
      </c>
      <c r="I329" s="4" t="s">
        <v>5015</v>
      </c>
      <c r="J329" s="4" t="s">
        <v>4219</v>
      </c>
      <c r="K329" s="4" t="s">
        <v>251</v>
      </c>
      <c r="L329" s="4" t="s">
        <v>3441</v>
      </c>
      <c r="M329" s="5" t="s">
        <v>3757</v>
      </c>
      <c r="N329" s="6">
        <f>70603</f>
        <v>70603</v>
      </c>
      <c r="O329" s="4" t="s">
        <v>265</v>
      </c>
      <c r="P329" s="6">
        <f>156385645</f>
        <v>156385645</v>
      </c>
      <c r="Q329" s="6">
        <f>0</f>
        <v>0</v>
      </c>
      <c r="S329" s="6">
        <f>0</f>
        <v>0</v>
      </c>
      <c r="T329" s="6">
        <f>156385645</f>
        <v>156385645</v>
      </c>
      <c r="U329" s="5" t="s">
        <v>245</v>
      </c>
      <c r="V329" s="4" t="s">
        <v>270</v>
      </c>
      <c r="W329" s="4" t="s">
        <v>242</v>
      </c>
      <c r="X329" s="4" t="s">
        <v>273</v>
      </c>
      <c r="Y329" s="4" t="s">
        <v>241</v>
      </c>
      <c r="AB329" s="4" t="s">
        <v>241</v>
      </c>
      <c r="AD329" s="5" t="s">
        <v>241</v>
      </c>
      <c r="AG329" s="5" t="s">
        <v>246</v>
      </c>
      <c r="AH329" s="4" t="s">
        <v>241</v>
      </c>
      <c r="AI329" s="4" t="s">
        <v>247</v>
      </c>
      <c r="AJ329" s="4" t="s">
        <v>248</v>
      </c>
      <c r="AZ329" s="4" t="s">
        <v>249</v>
      </c>
      <c r="BA329" s="4" t="s">
        <v>241</v>
      </c>
      <c r="BB329" s="4" t="s">
        <v>250</v>
      </c>
      <c r="BC329" s="4" t="s">
        <v>241</v>
      </c>
      <c r="BD329" s="4" t="s">
        <v>252</v>
      </c>
      <c r="BE329" s="4" t="s">
        <v>241</v>
      </c>
      <c r="BI329" s="4" t="s">
        <v>253</v>
      </c>
      <c r="BJ329" s="5" t="s">
        <v>246</v>
      </c>
      <c r="BK329" s="4" t="s">
        <v>254</v>
      </c>
      <c r="BL329" s="4" t="s">
        <v>323</v>
      </c>
      <c r="BM329" s="4" t="s">
        <v>241</v>
      </c>
      <c r="BN329" s="6">
        <f>0</f>
        <v>0</v>
      </c>
      <c r="BO329" s="6">
        <f>0</f>
        <v>0</v>
      </c>
      <c r="BP329" s="4" t="s">
        <v>256</v>
      </c>
      <c r="BQ329" s="4" t="s">
        <v>257</v>
      </c>
      <c r="CE329" s="4" t="s">
        <v>241</v>
      </c>
      <c r="CF329" s="4" t="s">
        <v>241</v>
      </c>
      <c r="CJ329" s="4" t="s">
        <v>258</v>
      </c>
      <c r="CK329" s="4" t="s">
        <v>259</v>
      </c>
      <c r="CL329" s="4" t="s">
        <v>241</v>
      </c>
      <c r="CO329" s="5" t="s">
        <v>260</v>
      </c>
      <c r="CP329" s="4" t="s">
        <v>241</v>
      </c>
      <c r="CQ329" s="4" t="s">
        <v>261</v>
      </c>
      <c r="CR329" s="4" t="s">
        <v>241</v>
      </c>
      <c r="CS329" s="4" t="s">
        <v>241</v>
      </c>
      <c r="CT329" s="4">
        <v>0</v>
      </c>
      <c r="CU329" s="4" t="s">
        <v>262</v>
      </c>
      <c r="CV329" s="4" t="s">
        <v>263</v>
      </c>
      <c r="CW329" s="4" t="s">
        <v>263</v>
      </c>
      <c r="CX329" s="4" t="s">
        <v>264</v>
      </c>
      <c r="DA329" s="6">
        <f>156385645</f>
        <v>156385645</v>
      </c>
      <c r="DC329" s="4" t="s">
        <v>422</v>
      </c>
      <c r="DD329" s="4" t="s">
        <v>241</v>
      </c>
      <c r="DF329" s="4" t="s">
        <v>287</v>
      </c>
      <c r="DG329" s="6">
        <f>0</f>
        <v>0</v>
      </c>
      <c r="DI329" s="4" t="s">
        <v>414</v>
      </c>
      <c r="DJ329" s="4" t="s">
        <v>241</v>
      </c>
      <c r="DK329" s="4" t="s">
        <v>241</v>
      </c>
      <c r="DL329" s="4" t="s">
        <v>241</v>
      </c>
      <c r="DP329" s="4" t="s">
        <v>241</v>
      </c>
      <c r="DQ329" s="4" t="s">
        <v>241</v>
      </c>
      <c r="DR329" s="4" t="s">
        <v>241</v>
      </c>
      <c r="DS329" s="4" t="s">
        <v>241</v>
      </c>
      <c r="DV329" s="4" t="s">
        <v>5017</v>
      </c>
      <c r="DW329" s="4" t="s">
        <v>1781</v>
      </c>
      <c r="HO329" s="4" t="s">
        <v>327</v>
      </c>
    </row>
    <row r="330" spans="1:223" ht="19.5" customHeight="1" x14ac:dyDescent="0.4">
      <c r="A330" s="4">
        <v>1</v>
      </c>
      <c r="B330" s="4" t="s">
        <v>239</v>
      </c>
      <c r="C330" s="4">
        <v>1064</v>
      </c>
      <c r="D330" s="4">
        <v>1</v>
      </c>
      <c r="E330" s="4">
        <v>1</v>
      </c>
      <c r="F330" s="4" t="s">
        <v>240</v>
      </c>
      <c r="G330" s="4" t="s">
        <v>241</v>
      </c>
      <c r="H330" s="4" t="s">
        <v>241</v>
      </c>
      <c r="I330" s="4" t="s">
        <v>5015</v>
      </c>
      <c r="J330" s="4" t="s">
        <v>4219</v>
      </c>
      <c r="K330" s="4" t="s">
        <v>251</v>
      </c>
      <c r="L330" s="4" t="s">
        <v>3441</v>
      </c>
      <c r="M330" s="5" t="s">
        <v>3477</v>
      </c>
      <c r="N330" s="6">
        <f>15466</f>
        <v>15466</v>
      </c>
      <c r="O330" s="4" t="s">
        <v>265</v>
      </c>
      <c r="P330" s="6">
        <f>34257189</f>
        <v>34257189</v>
      </c>
      <c r="Q330" s="6">
        <f>0</f>
        <v>0</v>
      </c>
      <c r="S330" s="6">
        <f>0</f>
        <v>0</v>
      </c>
      <c r="T330" s="6">
        <f>34257189</f>
        <v>34257189</v>
      </c>
      <c r="U330" s="5" t="s">
        <v>245</v>
      </c>
      <c r="V330" s="4" t="s">
        <v>270</v>
      </c>
      <c r="W330" s="4" t="s">
        <v>242</v>
      </c>
      <c r="X330" s="4" t="s">
        <v>273</v>
      </c>
      <c r="Y330" s="4" t="s">
        <v>241</v>
      </c>
      <c r="AB330" s="4" t="s">
        <v>241</v>
      </c>
      <c r="AD330" s="5" t="s">
        <v>241</v>
      </c>
      <c r="AG330" s="5" t="s">
        <v>246</v>
      </c>
      <c r="AH330" s="4" t="s">
        <v>241</v>
      </c>
      <c r="AI330" s="4" t="s">
        <v>247</v>
      </c>
      <c r="AJ330" s="4" t="s">
        <v>248</v>
      </c>
      <c r="AZ330" s="4" t="s">
        <v>249</v>
      </c>
      <c r="BA330" s="4" t="s">
        <v>241</v>
      </c>
      <c r="BB330" s="4" t="s">
        <v>250</v>
      </c>
      <c r="BC330" s="4" t="s">
        <v>241</v>
      </c>
      <c r="BD330" s="4" t="s">
        <v>252</v>
      </c>
      <c r="BE330" s="4" t="s">
        <v>241</v>
      </c>
      <c r="BI330" s="4" t="s">
        <v>253</v>
      </c>
      <c r="BJ330" s="5" t="s">
        <v>246</v>
      </c>
      <c r="BK330" s="4" t="s">
        <v>254</v>
      </c>
      <c r="BL330" s="4" t="s">
        <v>323</v>
      </c>
      <c r="BM330" s="4" t="s">
        <v>241</v>
      </c>
      <c r="BN330" s="6">
        <f>0</f>
        <v>0</v>
      </c>
      <c r="BO330" s="6">
        <f>0</f>
        <v>0</v>
      </c>
      <c r="BP330" s="4" t="s">
        <v>256</v>
      </c>
      <c r="BQ330" s="4" t="s">
        <v>257</v>
      </c>
      <c r="CE330" s="4" t="s">
        <v>241</v>
      </c>
      <c r="CF330" s="4" t="s">
        <v>241</v>
      </c>
      <c r="CJ330" s="4" t="s">
        <v>258</v>
      </c>
      <c r="CK330" s="4" t="s">
        <v>259</v>
      </c>
      <c r="CL330" s="4" t="s">
        <v>241</v>
      </c>
      <c r="CO330" s="5" t="s">
        <v>260</v>
      </c>
      <c r="CP330" s="4" t="s">
        <v>241</v>
      </c>
      <c r="CQ330" s="4" t="s">
        <v>261</v>
      </c>
      <c r="CR330" s="4" t="s">
        <v>241</v>
      </c>
      <c r="CS330" s="4" t="s">
        <v>241</v>
      </c>
      <c r="CT330" s="4">
        <v>0</v>
      </c>
      <c r="CU330" s="4" t="s">
        <v>262</v>
      </c>
      <c r="CV330" s="4" t="s">
        <v>263</v>
      </c>
      <c r="CW330" s="4" t="s">
        <v>263</v>
      </c>
      <c r="CX330" s="4" t="s">
        <v>264</v>
      </c>
      <c r="DA330" s="6">
        <f>34257189</f>
        <v>34257189</v>
      </c>
      <c r="DC330" s="4" t="s">
        <v>422</v>
      </c>
      <c r="DD330" s="4" t="s">
        <v>241</v>
      </c>
      <c r="DF330" s="4" t="s">
        <v>287</v>
      </c>
      <c r="DG330" s="6">
        <f>0</f>
        <v>0</v>
      </c>
      <c r="DI330" s="4" t="s">
        <v>414</v>
      </c>
      <c r="DJ330" s="4" t="s">
        <v>241</v>
      </c>
      <c r="DK330" s="4" t="s">
        <v>241</v>
      </c>
      <c r="DL330" s="4" t="s">
        <v>241</v>
      </c>
      <c r="DP330" s="4" t="s">
        <v>241</v>
      </c>
      <c r="DQ330" s="4" t="s">
        <v>241</v>
      </c>
      <c r="DR330" s="4" t="s">
        <v>241</v>
      </c>
      <c r="DS330" s="4" t="s">
        <v>241</v>
      </c>
      <c r="DV330" s="4" t="s">
        <v>5017</v>
      </c>
      <c r="DW330" s="4" t="s">
        <v>2564</v>
      </c>
      <c r="HO330" s="4" t="s">
        <v>327</v>
      </c>
    </row>
    <row r="331" spans="1:223" ht="19.5" customHeight="1" x14ac:dyDescent="0.4">
      <c r="A331" s="4">
        <v>1</v>
      </c>
      <c r="B331" s="4" t="s">
        <v>239</v>
      </c>
      <c r="C331" s="4">
        <v>1065</v>
      </c>
      <c r="D331" s="4">
        <v>1</v>
      </c>
      <c r="E331" s="4">
        <v>1</v>
      </c>
      <c r="F331" s="4" t="s">
        <v>240</v>
      </c>
      <c r="G331" s="4" t="s">
        <v>241</v>
      </c>
      <c r="H331" s="4" t="s">
        <v>241</v>
      </c>
      <c r="I331" s="4" t="s">
        <v>4921</v>
      </c>
      <c r="J331" s="4" t="s">
        <v>596</v>
      </c>
      <c r="K331" s="4" t="s">
        <v>251</v>
      </c>
      <c r="L331" s="4" t="s">
        <v>4920</v>
      </c>
      <c r="M331" s="5" t="s">
        <v>4926</v>
      </c>
      <c r="N331" s="6">
        <f>6930</f>
        <v>6930</v>
      </c>
      <c r="O331" s="4" t="s">
        <v>265</v>
      </c>
      <c r="P331" s="6">
        <f>15349950</f>
        <v>15349950</v>
      </c>
      <c r="Q331" s="6">
        <f>0</f>
        <v>0</v>
      </c>
      <c r="S331" s="6">
        <f>0</f>
        <v>0</v>
      </c>
      <c r="T331" s="6">
        <f>15349950</f>
        <v>15349950</v>
      </c>
      <c r="U331" s="5" t="s">
        <v>245</v>
      </c>
      <c r="V331" s="4" t="s">
        <v>270</v>
      </c>
      <c r="W331" s="4" t="s">
        <v>242</v>
      </c>
      <c r="X331" s="4" t="s">
        <v>273</v>
      </c>
      <c r="Y331" s="4" t="s">
        <v>241</v>
      </c>
      <c r="AB331" s="4" t="s">
        <v>241</v>
      </c>
      <c r="AD331" s="5" t="s">
        <v>241</v>
      </c>
      <c r="AG331" s="5" t="s">
        <v>246</v>
      </c>
      <c r="AH331" s="4" t="s">
        <v>241</v>
      </c>
      <c r="AI331" s="4" t="s">
        <v>247</v>
      </c>
      <c r="AJ331" s="4" t="s">
        <v>248</v>
      </c>
      <c r="AZ331" s="4" t="s">
        <v>249</v>
      </c>
      <c r="BA331" s="4" t="s">
        <v>241</v>
      </c>
      <c r="BB331" s="4" t="s">
        <v>250</v>
      </c>
      <c r="BC331" s="4" t="s">
        <v>241</v>
      </c>
      <c r="BD331" s="4" t="s">
        <v>252</v>
      </c>
      <c r="BE331" s="4" t="s">
        <v>241</v>
      </c>
      <c r="BG331" s="4" t="s">
        <v>4227</v>
      </c>
      <c r="BI331" s="4" t="s">
        <v>253</v>
      </c>
      <c r="BJ331" s="5" t="s">
        <v>246</v>
      </c>
      <c r="BK331" s="4" t="s">
        <v>254</v>
      </c>
      <c r="BL331" s="4" t="s">
        <v>255</v>
      </c>
      <c r="BM331" s="4" t="s">
        <v>241</v>
      </c>
      <c r="BN331" s="6">
        <f>0</f>
        <v>0</v>
      </c>
      <c r="BO331" s="6">
        <f>0</f>
        <v>0</v>
      </c>
      <c r="BP331" s="4" t="s">
        <v>256</v>
      </c>
      <c r="BQ331" s="4" t="s">
        <v>257</v>
      </c>
      <c r="CE331" s="4" t="s">
        <v>241</v>
      </c>
      <c r="CF331" s="4" t="s">
        <v>241</v>
      </c>
      <c r="CJ331" s="4" t="s">
        <v>258</v>
      </c>
      <c r="CK331" s="4" t="s">
        <v>259</v>
      </c>
      <c r="CL331" s="4" t="s">
        <v>241</v>
      </c>
      <c r="CO331" s="5" t="s">
        <v>260</v>
      </c>
      <c r="CP331" s="4" t="s">
        <v>241</v>
      </c>
      <c r="CQ331" s="4" t="s">
        <v>261</v>
      </c>
      <c r="CR331" s="4" t="s">
        <v>241</v>
      </c>
      <c r="CS331" s="4" t="s">
        <v>241</v>
      </c>
      <c r="CT331" s="4">
        <v>0</v>
      </c>
      <c r="CU331" s="4" t="s">
        <v>262</v>
      </c>
      <c r="CV331" s="4" t="s">
        <v>263</v>
      </c>
      <c r="CW331" s="4" t="s">
        <v>263</v>
      </c>
      <c r="CX331" s="4" t="s">
        <v>264</v>
      </c>
      <c r="DA331" s="6">
        <f>15349950</f>
        <v>15349950</v>
      </c>
      <c r="DC331" s="4" t="s">
        <v>422</v>
      </c>
      <c r="DD331" s="4" t="s">
        <v>241</v>
      </c>
      <c r="DF331" s="4" t="s">
        <v>422</v>
      </c>
      <c r="DG331" s="6">
        <f>6930</f>
        <v>6930</v>
      </c>
      <c r="DI331" s="4" t="s">
        <v>414</v>
      </c>
      <c r="DJ331" s="4" t="s">
        <v>241</v>
      </c>
      <c r="DK331" s="4" t="s">
        <v>241</v>
      </c>
      <c r="DL331" s="4" t="s">
        <v>241</v>
      </c>
      <c r="DP331" s="4" t="s">
        <v>241</v>
      </c>
      <c r="DQ331" s="4" t="s">
        <v>241</v>
      </c>
      <c r="DR331" s="4" t="s">
        <v>241</v>
      </c>
      <c r="DS331" s="4" t="s">
        <v>241</v>
      </c>
      <c r="DV331" s="4" t="s">
        <v>4923</v>
      </c>
      <c r="DW331" s="4" t="s">
        <v>267</v>
      </c>
      <c r="HO331" s="4" t="s">
        <v>267</v>
      </c>
    </row>
    <row r="332" spans="1:223" ht="19.5" customHeight="1" x14ac:dyDescent="0.4">
      <c r="A332" s="4">
        <v>1</v>
      </c>
      <c r="B332" s="4" t="s">
        <v>239</v>
      </c>
      <c r="C332" s="4">
        <v>1066</v>
      </c>
      <c r="D332" s="4">
        <v>1</v>
      </c>
      <c r="E332" s="4">
        <v>1</v>
      </c>
      <c r="F332" s="4" t="s">
        <v>240</v>
      </c>
      <c r="G332" s="4" t="s">
        <v>241</v>
      </c>
      <c r="H332" s="4" t="s">
        <v>241</v>
      </c>
      <c r="I332" s="4" t="s">
        <v>4921</v>
      </c>
      <c r="J332" s="4" t="s">
        <v>596</v>
      </c>
      <c r="K332" s="4" t="s">
        <v>251</v>
      </c>
      <c r="L332" s="4" t="s">
        <v>4920</v>
      </c>
      <c r="M332" s="5" t="s">
        <v>4927</v>
      </c>
      <c r="N332" s="6">
        <f>3974</f>
        <v>3974</v>
      </c>
      <c r="O332" s="4" t="s">
        <v>265</v>
      </c>
      <c r="P332" s="6">
        <f>8802410</f>
        <v>8802410</v>
      </c>
      <c r="Q332" s="6">
        <f>0</f>
        <v>0</v>
      </c>
      <c r="S332" s="6">
        <f>0</f>
        <v>0</v>
      </c>
      <c r="T332" s="6">
        <f>8802410</f>
        <v>8802410</v>
      </c>
      <c r="U332" s="5" t="s">
        <v>245</v>
      </c>
      <c r="V332" s="4" t="s">
        <v>270</v>
      </c>
      <c r="W332" s="4" t="s">
        <v>242</v>
      </c>
      <c r="X332" s="4" t="s">
        <v>273</v>
      </c>
      <c r="Y332" s="4" t="s">
        <v>241</v>
      </c>
      <c r="AB332" s="4" t="s">
        <v>241</v>
      </c>
      <c r="AD332" s="5" t="s">
        <v>241</v>
      </c>
      <c r="AG332" s="5" t="s">
        <v>246</v>
      </c>
      <c r="AH332" s="4" t="s">
        <v>241</v>
      </c>
      <c r="AI332" s="4" t="s">
        <v>247</v>
      </c>
      <c r="AJ332" s="4" t="s">
        <v>248</v>
      </c>
      <c r="AZ332" s="4" t="s">
        <v>249</v>
      </c>
      <c r="BA332" s="4" t="s">
        <v>241</v>
      </c>
      <c r="BB332" s="4" t="s">
        <v>250</v>
      </c>
      <c r="BC332" s="4" t="s">
        <v>241</v>
      </c>
      <c r="BD332" s="4" t="s">
        <v>252</v>
      </c>
      <c r="BE332" s="4" t="s">
        <v>241</v>
      </c>
      <c r="BI332" s="4" t="s">
        <v>253</v>
      </c>
      <c r="BJ332" s="5" t="s">
        <v>246</v>
      </c>
      <c r="BK332" s="4" t="s">
        <v>254</v>
      </c>
      <c r="BL332" s="4" t="s">
        <v>255</v>
      </c>
      <c r="BM332" s="4" t="s">
        <v>241</v>
      </c>
      <c r="BN332" s="6">
        <f>0</f>
        <v>0</v>
      </c>
      <c r="BO332" s="6">
        <f>0</f>
        <v>0</v>
      </c>
      <c r="BP332" s="4" t="s">
        <v>256</v>
      </c>
      <c r="BQ332" s="4" t="s">
        <v>257</v>
      </c>
      <c r="CE332" s="4" t="s">
        <v>241</v>
      </c>
      <c r="CF332" s="4" t="s">
        <v>241</v>
      </c>
      <c r="CJ332" s="4" t="s">
        <v>258</v>
      </c>
      <c r="CK332" s="4" t="s">
        <v>259</v>
      </c>
      <c r="CL332" s="4" t="s">
        <v>241</v>
      </c>
      <c r="CO332" s="5" t="s">
        <v>260</v>
      </c>
      <c r="CP332" s="4" t="s">
        <v>241</v>
      </c>
      <c r="CQ332" s="4" t="s">
        <v>261</v>
      </c>
      <c r="CR332" s="4" t="s">
        <v>241</v>
      </c>
      <c r="CS332" s="4" t="s">
        <v>241</v>
      </c>
      <c r="CT332" s="4">
        <v>0</v>
      </c>
      <c r="CU332" s="4" t="s">
        <v>262</v>
      </c>
      <c r="CV332" s="4" t="s">
        <v>263</v>
      </c>
      <c r="CW332" s="4" t="s">
        <v>263</v>
      </c>
      <c r="CX332" s="4" t="s">
        <v>264</v>
      </c>
      <c r="DA332" s="6">
        <f>8802410</f>
        <v>8802410</v>
      </c>
      <c r="DC332" s="4" t="s">
        <v>422</v>
      </c>
      <c r="DD332" s="4" t="s">
        <v>241</v>
      </c>
      <c r="DF332" s="4" t="s">
        <v>422</v>
      </c>
      <c r="DG332" s="6">
        <f>3974</f>
        <v>3974</v>
      </c>
      <c r="DI332" s="4" t="s">
        <v>414</v>
      </c>
      <c r="DJ332" s="4" t="s">
        <v>241</v>
      </c>
      <c r="DK332" s="4" t="s">
        <v>241</v>
      </c>
      <c r="DL332" s="4" t="s">
        <v>241</v>
      </c>
      <c r="DP332" s="4" t="s">
        <v>241</v>
      </c>
      <c r="DQ332" s="4" t="s">
        <v>241</v>
      </c>
      <c r="DR332" s="4" t="s">
        <v>241</v>
      </c>
      <c r="DS332" s="4" t="s">
        <v>241</v>
      </c>
      <c r="DV332" s="4" t="s">
        <v>4923</v>
      </c>
      <c r="DW332" s="4" t="s">
        <v>416</v>
      </c>
      <c r="HO332" s="4" t="s">
        <v>267</v>
      </c>
    </row>
    <row r="333" spans="1:223" ht="19.5" customHeight="1" x14ac:dyDescent="0.4">
      <c r="A333" s="4">
        <v>1</v>
      </c>
      <c r="B333" s="4" t="s">
        <v>239</v>
      </c>
      <c r="C333" s="4">
        <v>1067</v>
      </c>
      <c r="D333" s="4">
        <v>1</v>
      </c>
      <c r="E333" s="4">
        <v>1</v>
      </c>
      <c r="F333" s="4" t="s">
        <v>240</v>
      </c>
      <c r="G333" s="4" t="s">
        <v>241</v>
      </c>
      <c r="H333" s="4" t="s">
        <v>241</v>
      </c>
      <c r="I333" s="4" t="s">
        <v>4921</v>
      </c>
      <c r="J333" s="4" t="s">
        <v>596</v>
      </c>
      <c r="K333" s="4" t="s">
        <v>251</v>
      </c>
      <c r="L333" s="4" t="s">
        <v>4920</v>
      </c>
      <c r="M333" s="5" t="s">
        <v>4929</v>
      </c>
      <c r="N333" s="6">
        <f>161</f>
        <v>161</v>
      </c>
      <c r="O333" s="4" t="s">
        <v>265</v>
      </c>
      <c r="P333" s="6">
        <f>356615</f>
        <v>356615</v>
      </c>
      <c r="Q333" s="6">
        <f>0</f>
        <v>0</v>
      </c>
      <c r="S333" s="6">
        <f>0</f>
        <v>0</v>
      </c>
      <c r="T333" s="6">
        <f>356615</f>
        <v>356615</v>
      </c>
      <c r="U333" s="5" t="s">
        <v>245</v>
      </c>
      <c r="V333" s="4" t="s">
        <v>270</v>
      </c>
      <c r="W333" s="4" t="s">
        <v>242</v>
      </c>
      <c r="X333" s="4" t="s">
        <v>273</v>
      </c>
      <c r="Y333" s="4" t="s">
        <v>241</v>
      </c>
      <c r="AB333" s="4" t="s">
        <v>241</v>
      </c>
      <c r="AD333" s="5" t="s">
        <v>241</v>
      </c>
      <c r="AG333" s="5" t="s">
        <v>246</v>
      </c>
      <c r="AH333" s="4" t="s">
        <v>241</v>
      </c>
      <c r="AI333" s="4" t="s">
        <v>247</v>
      </c>
      <c r="AJ333" s="4" t="s">
        <v>248</v>
      </c>
      <c r="AZ333" s="4" t="s">
        <v>249</v>
      </c>
      <c r="BA333" s="4" t="s">
        <v>241</v>
      </c>
      <c r="BB333" s="4" t="s">
        <v>250</v>
      </c>
      <c r="BC333" s="4" t="s">
        <v>241</v>
      </c>
      <c r="BD333" s="4" t="s">
        <v>252</v>
      </c>
      <c r="BE333" s="4" t="s">
        <v>241</v>
      </c>
      <c r="BI333" s="4" t="s">
        <v>253</v>
      </c>
      <c r="BJ333" s="5" t="s">
        <v>246</v>
      </c>
      <c r="BK333" s="4" t="s">
        <v>254</v>
      </c>
      <c r="BL333" s="4" t="s">
        <v>255</v>
      </c>
      <c r="BM333" s="4" t="s">
        <v>241</v>
      </c>
      <c r="BN333" s="6">
        <f>0</f>
        <v>0</v>
      </c>
      <c r="BO333" s="6">
        <f>0</f>
        <v>0</v>
      </c>
      <c r="BP333" s="4" t="s">
        <v>256</v>
      </c>
      <c r="BQ333" s="4" t="s">
        <v>257</v>
      </c>
      <c r="CE333" s="4" t="s">
        <v>241</v>
      </c>
      <c r="CF333" s="4" t="s">
        <v>241</v>
      </c>
      <c r="CJ333" s="4" t="s">
        <v>258</v>
      </c>
      <c r="CK333" s="4" t="s">
        <v>259</v>
      </c>
      <c r="CL333" s="4" t="s">
        <v>241</v>
      </c>
      <c r="CO333" s="5" t="s">
        <v>260</v>
      </c>
      <c r="CP333" s="4" t="s">
        <v>241</v>
      </c>
      <c r="CQ333" s="4" t="s">
        <v>261</v>
      </c>
      <c r="CR333" s="4" t="s">
        <v>241</v>
      </c>
      <c r="CS333" s="4" t="s">
        <v>241</v>
      </c>
      <c r="CT333" s="4">
        <v>0</v>
      </c>
      <c r="CU333" s="4" t="s">
        <v>262</v>
      </c>
      <c r="CV333" s="4" t="s">
        <v>263</v>
      </c>
      <c r="CW333" s="4" t="s">
        <v>263</v>
      </c>
      <c r="CX333" s="4" t="s">
        <v>264</v>
      </c>
      <c r="DA333" s="6">
        <f>356615</f>
        <v>356615</v>
      </c>
      <c r="DC333" s="4" t="s">
        <v>422</v>
      </c>
      <c r="DD333" s="4" t="s">
        <v>241</v>
      </c>
      <c r="DF333" s="4" t="s">
        <v>422</v>
      </c>
      <c r="DG333" s="6">
        <f>161</f>
        <v>161</v>
      </c>
      <c r="DI333" s="4" t="s">
        <v>414</v>
      </c>
      <c r="DJ333" s="4" t="s">
        <v>241</v>
      </c>
      <c r="DK333" s="4" t="s">
        <v>241</v>
      </c>
      <c r="DL333" s="4" t="s">
        <v>241</v>
      </c>
      <c r="DP333" s="4" t="s">
        <v>241</v>
      </c>
      <c r="DQ333" s="4" t="s">
        <v>241</v>
      </c>
      <c r="DR333" s="4" t="s">
        <v>241</v>
      </c>
      <c r="DS333" s="4" t="s">
        <v>241</v>
      </c>
      <c r="DV333" s="4" t="s">
        <v>4923</v>
      </c>
      <c r="DW333" s="4" t="s">
        <v>388</v>
      </c>
      <c r="HO333" s="4" t="s">
        <v>267</v>
      </c>
    </row>
    <row r="334" spans="1:223" ht="19.5" customHeight="1" x14ac:dyDescent="0.4">
      <c r="A334" s="4">
        <v>1</v>
      </c>
      <c r="B334" s="4" t="s">
        <v>239</v>
      </c>
      <c r="C334" s="4">
        <v>1068</v>
      </c>
      <c r="D334" s="4">
        <v>1</v>
      </c>
      <c r="E334" s="4">
        <v>1</v>
      </c>
      <c r="F334" s="4" t="s">
        <v>240</v>
      </c>
      <c r="G334" s="4" t="s">
        <v>241</v>
      </c>
      <c r="H334" s="4" t="s">
        <v>241</v>
      </c>
      <c r="I334" s="4" t="s">
        <v>4921</v>
      </c>
      <c r="J334" s="4" t="s">
        <v>596</v>
      </c>
      <c r="K334" s="4" t="s">
        <v>251</v>
      </c>
      <c r="L334" s="4" t="s">
        <v>4920</v>
      </c>
      <c r="M334" s="5" t="s">
        <v>4930</v>
      </c>
      <c r="N334" s="6">
        <f>6511</f>
        <v>6511</v>
      </c>
      <c r="O334" s="4" t="s">
        <v>265</v>
      </c>
      <c r="P334" s="6">
        <f>14421865</f>
        <v>14421865</v>
      </c>
      <c r="Q334" s="6">
        <f>0</f>
        <v>0</v>
      </c>
      <c r="S334" s="6">
        <f>0</f>
        <v>0</v>
      </c>
      <c r="T334" s="6">
        <f>14421865</f>
        <v>14421865</v>
      </c>
      <c r="U334" s="5" t="s">
        <v>245</v>
      </c>
      <c r="V334" s="4" t="s">
        <v>270</v>
      </c>
      <c r="W334" s="4" t="s">
        <v>242</v>
      </c>
      <c r="X334" s="4" t="s">
        <v>273</v>
      </c>
      <c r="Y334" s="4" t="s">
        <v>241</v>
      </c>
      <c r="AB334" s="4" t="s">
        <v>241</v>
      </c>
      <c r="AD334" s="5" t="s">
        <v>241</v>
      </c>
      <c r="AG334" s="5" t="s">
        <v>246</v>
      </c>
      <c r="AH334" s="4" t="s">
        <v>241</v>
      </c>
      <c r="AI334" s="4" t="s">
        <v>247</v>
      </c>
      <c r="AJ334" s="4" t="s">
        <v>248</v>
      </c>
      <c r="AZ334" s="4" t="s">
        <v>249</v>
      </c>
      <c r="BA334" s="4" t="s">
        <v>241</v>
      </c>
      <c r="BB334" s="4" t="s">
        <v>250</v>
      </c>
      <c r="BC334" s="4" t="s">
        <v>241</v>
      </c>
      <c r="BD334" s="4" t="s">
        <v>252</v>
      </c>
      <c r="BE334" s="4" t="s">
        <v>241</v>
      </c>
      <c r="BI334" s="4" t="s">
        <v>253</v>
      </c>
      <c r="BJ334" s="5" t="s">
        <v>246</v>
      </c>
      <c r="BK334" s="4" t="s">
        <v>254</v>
      </c>
      <c r="BL334" s="4" t="s">
        <v>255</v>
      </c>
      <c r="BM334" s="4" t="s">
        <v>241</v>
      </c>
      <c r="BN334" s="6">
        <f>0</f>
        <v>0</v>
      </c>
      <c r="BO334" s="6">
        <f>0</f>
        <v>0</v>
      </c>
      <c r="BP334" s="4" t="s">
        <v>256</v>
      </c>
      <c r="BQ334" s="4" t="s">
        <v>257</v>
      </c>
      <c r="CE334" s="4" t="s">
        <v>241</v>
      </c>
      <c r="CF334" s="4" t="s">
        <v>241</v>
      </c>
      <c r="CJ334" s="4" t="s">
        <v>258</v>
      </c>
      <c r="CK334" s="4" t="s">
        <v>259</v>
      </c>
      <c r="CL334" s="4" t="s">
        <v>241</v>
      </c>
      <c r="CO334" s="5" t="s">
        <v>260</v>
      </c>
      <c r="CP334" s="4" t="s">
        <v>241</v>
      </c>
      <c r="CQ334" s="4" t="s">
        <v>261</v>
      </c>
      <c r="CR334" s="4" t="s">
        <v>241</v>
      </c>
      <c r="CS334" s="4" t="s">
        <v>241</v>
      </c>
      <c r="CT334" s="4">
        <v>0</v>
      </c>
      <c r="CU334" s="4" t="s">
        <v>262</v>
      </c>
      <c r="CV334" s="4" t="s">
        <v>263</v>
      </c>
      <c r="CW334" s="4" t="s">
        <v>263</v>
      </c>
      <c r="CX334" s="4" t="s">
        <v>264</v>
      </c>
      <c r="DA334" s="6">
        <f>14421865</f>
        <v>14421865</v>
      </c>
      <c r="DC334" s="4" t="s">
        <v>422</v>
      </c>
      <c r="DD334" s="4" t="s">
        <v>241</v>
      </c>
      <c r="DF334" s="4" t="s">
        <v>422</v>
      </c>
      <c r="DG334" s="6">
        <f>6511</f>
        <v>6511</v>
      </c>
      <c r="DI334" s="4" t="s">
        <v>414</v>
      </c>
      <c r="DJ334" s="4" t="s">
        <v>241</v>
      </c>
      <c r="DK334" s="4" t="s">
        <v>241</v>
      </c>
      <c r="DL334" s="4" t="s">
        <v>241</v>
      </c>
      <c r="DP334" s="4" t="s">
        <v>241</v>
      </c>
      <c r="DQ334" s="4" t="s">
        <v>241</v>
      </c>
      <c r="DR334" s="4" t="s">
        <v>241</v>
      </c>
      <c r="DS334" s="4" t="s">
        <v>241</v>
      </c>
      <c r="DV334" s="4" t="s">
        <v>4923</v>
      </c>
      <c r="DW334" s="4" t="s">
        <v>327</v>
      </c>
      <c r="HO334" s="4" t="s">
        <v>267</v>
      </c>
    </row>
    <row r="335" spans="1:223" ht="19.5" customHeight="1" x14ac:dyDescent="0.4">
      <c r="A335" s="4">
        <v>1</v>
      </c>
      <c r="B335" s="4" t="s">
        <v>239</v>
      </c>
      <c r="C335" s="4">
        <v>1069</v>
      </c>
      <c r="D335" s="4">
        <v>1</v>
      </c>
      <c r="E335" s="4">
        <v>1</v>
      </c>
      <c r="F335" s="4" t="s">
        <v>240</v>
      </c>
      <c r="G335" s="4" t="s">
        <v>241</v>
      </c>
      <c r="H335" s="4" t="s">
        <v>241</v>
      </c>
      <c r="I335" s="4" t="s">
        <v>4921</v>
      </c>
      <c r="J335" s="4" t="s">
        <v>596</v>
      </c>
      <c r="K335" s="4" t="s">
        <v>251</v>
      </c>
      <c r="L335" s="4" t="s">
        <v>4920</v>
      </c>
      <c r="M335" s="5" t="s">
        <v>4931</v>
      </c>
      <c r="N335" s="6">
        <f>1024</f>
        <v>1024</v>
      </c>
      <c r="O335" s="4" t="s">
        <v>265</v>
      </c>
      <c r="P335" s="6">
        <f>2268160</f>
        <v>2268160</v>
      </c>
      <c r="Q335" s="6">
        <f>0</f>
        <v>0</v>
      </c>
      <c r="S335" s="6">
        <f>0</f>
        <v>0</v>
      </c>
      <c r="T335" s="6">
        <f>2268160</f>
        <v>2268160</v>
      </c>
      <c r="U335" s="5" t="s">
        <v>245</v>
      </c>
      <c r="V335" s="4" t="s">
        <v>270</v>
      </c>
      <c r="W335" s="4" t="s">
        <v>242</v>
      </c>
      <c r="X335" s="4" t="s">
        <v>273</v>
      </c>
      <c r="Y335" s="4" t="s">
        <v>241</v>
      </c>
      <c r="AB335" s="4" t="s">
        <v>241</v>
      </c>
      <c r="AD335" s="5" t="s">
        <v>241</v>
      </c>
      <c r="AG335" s="5" t="s">
        <v>246</v>
      </c>
      <c r="AH335" s="4" t="s">
        <v>241</v>
      </c>
      <c r="AI335" s="4" t="s">
        <v>247</v>
      </c>
      <c r="AJ335" s="4" t="s">
        <v>248</v>
      </c>
      <c r="AZ335" s="4" t="s">
        <v>249</v>
      </c>
      <c r="BA335" s="4" t="s">
        <v>241</v>
      </c>
      <c r="BB335" s="4" t="s">
        <v>250</v>
      </c>
      <c r="BC335" s="4" t="s">
        <v>241</v>
      </c>
      <c r="BD335" s="4" t="s">
        <v>252</v>
      </c>
      <c r="BE335" s="4" t="s">
        <v>241</v>
      </c>
      <c r="BI335" s="4" t="s">
        <v>253</v>
      </c>
      <c r="BJ335" s="5" t="s">
        <v>246</v>
      </c>
      <c r="BK335" s="4" t="s">
        <v>254</v>
      </c>
      <c r="BL335" s="4" t="s">
        <v>255</v>
      </c>
      <c r="BM335" s="4" t="s">
        <v>241</v>
      </c>
      <c r="BN335" s="6">
        <f>0</f>
        <v>0</v>
      </c>
      <c r="BO335" s="6">
        <f>0</f>
        <v>0</v>
      </c>
      <c r="BP335" s="4" t="s">
        <v>256</v>
      </c>
      <c r="BQ335" s="4" t="s">
        <v>257</v>
      </c>
      <c r="CE335" s="4" t="s">
        <v>241</v>
      </c>
      <c r="CF335" s="4" t="s">
        <v>241</v>
      </c>
      <c r="CJ335" s="4" t="s">
        <v>258</v>
      </c>
      <c r="CK335" s="4" t="s">
        <v>259</v>
      </c>
      <c r="CL335" s="4" t="s">
        <v>241</v>
      </c>
      <c r="CO335" s="5" t="s">
        <v>260</v>
      </c>
      <c r="CP335" s="4" t="s">
        <v>241</v>
      </c>
      <c r="CQ335" s="4" t="s">
        <v>261</v>
      </c>
      <c r="CR335" s="4" t="s">
        <v>241</v>
      </c>
      <c r="CS335" s="4" t="s">
        <v>241</v>
      </c>
      <c r="CT335" s="4">
        <v>0</v>
      </c>
      <c r="CU335" s="4" t="s">
        <v>262</v>
      </c>
      <c r="CV335" s="4" t="s">
        <v>263</v>
      </c>
      <c r="CW335" s="4" t="s">
        <v>263</v>
      </c>
      <c r="CX335" s="4" t="s">
        <v>264</v>
      </c>
      <c r="DA335" s="6">
        <f>2268160</f>
        <v>2268160</v>
      </c>
      <c r="DC335" s="4" t="s">
        <v>422</v>
      </c>
      <c r="DD335" s="4" t="s">
        <v>241</v>
      </c>
      <c r="DF335" s="4" t="s">
        <v>422</v>
      </c>
      <c r="DG335" s="6">
        <f>1024</f>
        <v>1024</v>
      </c>
      <c r="DI335" s="4" t="s">
        <v>414</v>
      </c>
      <c r="DJ335" s="4" t="s">
        <v>241</v>
      </c>
      <c r="DK335" s="4" t="s">
        <v>241</v>
      </c>
      <c r="DL335" s="4" t="s">
        <v>241</v>
      </c>
      <c r="DP335" s="4" t="s">
        <v>241</v>
      </c>
      <c r="DQ335" s="4" t="s">
        <v>241</v>
      </c>
      <c r="DR335" s="4" t="s">
        <v>241</v>
      </c>
      <c r="DS335" s="4" t="s">
        <v>241</v>
      </c>
      <c r="DV335" s="4" t="s">
        <v>4923</v>
      </c>
      <c r="DW335" s="4" t="s">
        <v>748</v>
      </c>
      <c r="HO335" s="4" t="s">
        <v>267</v>
      </c>
    </row>
    <row r="336" spans="1:223" ht="19.5" customHeight="1" x14ac:dyDescent="0.4">
      <c r="A336" s="4">
        <v>1</v>
      </c>
      <c r="B336" s="4" t="s">
        <v>239</v>
      </c>
      <c r="C336" s="4">
        <v>1070</v>
      </c>
      <c r="D336" s="4">
        <v>1</v>
      </c>
      <c r="E336" s="4">
        <v>1</v>
      </c>
      <c r="F336" s="4" t="s">
        <v>240</v>
      </c>
      <c r="G336" s="4" t="s">
        <v>241</v>
      </c>
      <c r="H336" s="4" t="s">
        <v>241</v>
      </c>
      <c r="I336" s="4" t="s">
        <v>4921</v>
      </c>
      <c r="J336" s="4" t="s">
        <v>596</v>
      </c>
      <c r="K336" s="4" t="s">
        <v>251</v>
      </c>
      <c r="L336" s="4" t="s">
        <v>4920</v>
      </c>
      <c r="M336" s="5" t="s">
        <v>4932</v>
      </c>
      <c r="N336" s="6">
        <f>6603</f>
        <v>6603</v>
      </c>
      <c r="O336" s="4" t="s">
        <v>265</v>
      </c>
      <c r="P336" s="6">
        <f>14625645</f>
        <v>14625645</v>
      </c>
      <c r="Q336" s="6">
        <f>0</f>
        <v>0</v>
      </c>
      <c r="S336" s="6">
        <f>0</f>
        <v>0</v>
      </c>
      <c r="T336" s="6">
        <f>14625645</f>
        <v>14625645</v>
      </c>
      <c r="U336" s="5" t="s">
        <v>245</v>
      </c>
      <c r="V336" s="4" t="s">
        <v>270</v>
      </c>
      <c r="W336" s="4" t="s">
        <v>242</v>
      </c>
      <c r="X336" s="4" t="s">
        <v>273</v>
      </c>
      <c r="Y336" s="4" t="s">
        <v>241</v>
      </c>
      <c r="AB336" s="4" t="s">
        <v>241</v>
      </c>
      <c r="AD336" s="5" t="s">
        <v>241</v>
      </c>
      <c r="AG336" s="5" t="s">
        <v>246</v>
      </c>
      <c r="AH336" s="4" t="s">
        <v>241</v>
      </c>
      <c r="AI336" s="4" t="s">
        <v>247</v>
      </c>
      <c r="AJ336" s="4" t="s">
        <v>248</v>
      </c>
      <c r="AZ336" s="4" t="s">
        <v>249</v>
      </c>
      <c r="BA336" s="4" t="s">
        <v>241</v>
      </c>
      <c r="BB336" s="4" t="s">
        <v>250</v>
      </c>
      <c r="BC336" s="4" t="s">
        <v>241</v>
      </c>
      <c r="BD336" s="4" t="s">
        <v>252</v>
      </c>
      <c r="BE336" s="4" t="s">
        <v>241</v>
      </c>
      <c r="BI336" s="4" t="s">
        <v>253</v>
      </c>
      <c r="BJ336" s="5" t="s">
        <v>246</v>
      </c>
      <c r="BK336" s="4" t="s">
        <v>254</v>
      </c>
      <c r="BL336" s="4" t="s">
        <v>255</v>
      </c>
      <c r="BM336" s="4" t="s">
        <v>241</v>
      </c>
      <c r="BN336" s="6">
        <f>0</f>
        <v>0</v>
      </c>
      <c r="BO336" s="6">
        <f>0</f>
        <v>0</v>
      </c>
      <c r="BP336" s="4" t="s">
        <v>256</v>
      </c>
      <c r="BQ336" s="4" t="s">
        <v>257</v>
      </c>
      <c r="CE336" s="4" t="s">
        <v>241</v>
      </c>
      <c r="CF336" s="4" t="s">
        <v>241</v>
      </c>
      <c r="CJ336" s="4" t="s">
        <v>258</v>
      </c>
      <c r="CK336" s="4" t="s">
        <v>259</v>
      </c>
      <c r="CL336" s="4" t="s">
        <v>241</v>
      </c>
      <c r="CO336" s="5" t="s">
        <v>260</v>
      </c>
      <c r="CP336" s="4" t="s">
        <v>241</v>
      </c>
      <c r="CQ336" s="4" t="s">
        <v>261</v>
      </c>
      <c r="CR336" s="4" t="s">
        <v>241</v>
      </c>
      <c r="CS336" s="4" t="s">
        <v>241</v>
      </c>
      <c r="CT336" s="4">
        <v>0</v>
      </c>
      <c r="CU336" s="4" t="s">
        <v>262</v>
      </c>
      <c r="CV336" s="4" t="s">
        <v>263</v>
      </c>
      <c r="CW336" s="4" t="s">
        <v>263</v>
      </c>
      <c r="CX336" s="4" t="s">
        <v>264</v>
      </c>
      <c r="DA336" s="6">
        <f>14625645</f>
        <v>14625645</v>
      </c>
      <c r="DC336" s="4" t="s">
        <v>422</v>
      </c>
      <c r="DD336" s="4" t="s">
        <v>241</v>
      </c>
      <c r="DF336" s="4" t="s">
        <v>422</v>
      </c>
      <c r="DG336" s="6">
        <f>6603</f>
        <v>6603</v>
      </c>
      <c r="DI336" s="4" t="s">
        <v>414</v>
      </c>
      <c r="DJ336" s="4" t="s">
        <v>241</v>
      </c>
      <c r="DK336" s="4" t="s">
        <v>241</v>
      </c>
      <c r="DL336" s="4" t="s">
        <v>241</v>
      </c>
      <c r="DP336" s="4" t="s">
        <v>241</v>
      </c>
      <c r="DQ336" s="4" t="s">
        <v>241</v>
      </c>
      <c r="DR336" s="4" t="s">
        <v>241</v>
      </c>
      <c r="DS336" s="4" t="s">
        <v>241</v>
      </c>
      <c r="DV336" s="4" t="s">
        <v>4923</v>
      </c>
      <c r="DW336" s="4" t="s">
        <v>719</v>
      </c>
      <c r="HO336" s="4" t="s">
        <v>267</v>
      </c>
    </row>
    <row r="337" spans="1:223" ht="19.5" customHeight="1" x14ac:dyDescent="0.4">
      <c r="A337" s="4">
        <v>1</v>
      </c>
      <c r="B337" s="4" t="s">
        <v>239</v>
      </c>
      <c r="C337" s="4">
        <v>1071</v>
      </c>
      <c r="D337" s="4">
        <v>1</v>
      </c>
      <c r="E337" s="4">
        <v>1</v>
      </c>
      <c r="F337" s="4" t="s">
        <v>240</v>
      </c>
      <c r="G337" s="4" t="s">
        <v>241</v>
      </c>
      <c r="H337" s="4" t="s">
        <v>241</v>
      </c>
      <c r="I337" s="4" t="s">
        <v>4921</v>
      </c>
      <c r="J337" s="4" t="s">
        <v>596</v>
      </c>
      <c r="K337" s="4" t="s">
        <v>251</v>
      </c>
      <c r="L337" s="4" t="s">
        <v>4920</v>
      </c>
      <c r="M337" s="5" t="s">
        <v>4933</v>
      </c>
      <c r="N337" s="6">
        <f>962</f>
        <v>962</v>
      </c>
      <c r="O337" s="4" t="s">
        <v>265</v>
      </c>
      <c r="P337" s="6">
        <f>2130830</f>
        <v>2130830</v>
      </c>
      <c r="Q337" s="6">
        <f>0</f>
        <v>0</v>
      </c>
      <c r="S337" s="6">
        <f>0</f>
        <v>0</v>
      </c>
      <c r="T337" s="6">
        <f>2130830</f>
        <v>2130830</v>
      </c>
      <c r="U337" s="5" t="s">
        <v>245</v>
      </c>
      <c r="V337" s="4" t="s">
        <v>270</v>
      </c>
      <c r="W337" s="4" t="s">
        <v>242</v>
      </c>
      <c r="X337" s="4" t="s">
        <v>273</v>
      </c>
      <c r="Y337" s="4" t="s">
        <v>241</v>
      </c>
      <c r="AB337" s="4" t="s">
        <v>241</v>
      </c>
      <c r="AD337" s="5" t="s">
        <v>241</v>
      </c>
      <c r="AG337" s="5" t="s">
        <v>246</v>
      </c>
      <c r="AH337" s="4" t="s">
        <v>241</v>
      </c>
      <c r="AI337" s="4" t="s">
        <v>247</v>
      </c>
      <c r="AJ337" s="4" t="s">
        <v>248</v>
      </c>
      <c r="AZ337" s="4" t="s">
        <v>249</v>
      </c>
      <c r="BA337" s="4" t="s">
        <v>241</v>
      </c>
      <c r="BB337" s="4" t="s">
        <v>250</v>
      </c>
      <c r="BC337" s="4" t="s">
        <v>241</v>
      </c>
      <c r="BD337" s="4" t="s">
        <v>252</v>
      </c>
      <c r="BE337" s="4" t="s">
        <v>241</v>
      </c>
      <c r="BI337" s="4" t="s">
        <v>253</v>
      </c>
      <c r="BJ337" s="5" t="s">
        <v>246</v>
      </c>
      <c r="BK337" s="4" t="s">
        <v>254</v>
      </c>
      <c r="BL337" s="4" t="s">
        <v>255</v>
      </c>
      <c r="BM337" s="4" t="s">
        <v>241</v>
      </c>
      <c r="BN337" s="6">
        <f>0</f>
        <v>0</v>
      </c>
      <c r="BO337" s="6">
        <f>0</f>
        <v>0</v>
      </c>
      <c r="BP337" s="4" t="s">
        <v>256</v>
      </c>
      <c r="BQ337" s="4" t="s">
        <v>257</v>
      </c>
      <c r="CE337" s="4" t="s">
        <v>241</v>
      </c>
      <c r="CF337" s="4" t="s">
        <v>241</v>
      </c>
      <c r="CJ337" s="4" t="s">
        <v>258</v>
      </c>
      <c r="CK337" s="4" t="s">
        <v>259</v>
      </c>
      <c r="CL337" s="4" t="s">
        <v>241</v>
      </c>
      <c r="CO337" s="5" t="s">
        <v>260</v>
      </c>
      <c r="CP337" s="4" t="s">
        <v>241</v>
      </c>
      <c r="CQ337" s="4" t="s">
        <v>261</v>
      </c>
      <c r="CR337" s="4" t="s">
        <v>241</v>
      </c>
      <c r="CS337" s="4" t="s">
        <v>241</v>
      </c>
      <c r="CT337" s="4">
        <v>0</v>
      </c>
      <c r="CU337" s="4" t="s">
        <v>262</v>
      </c>
      <c r="CV337" s="4" t="s">
        <v>263</v>
      </c>
      <c r="CW337" s="4" t="s">
        <v>263</v>
      </c>
      <c r="CX337" s="4" t="s">
        <v>264</v>
      </c>
      <c r="DA337" s="6">
        <f>2130830</f>
        <v>2130830</v>
      </c>
      <c r="DC337" s="4" t="s">
        <v>422</v>
      </c>
      <c r="DD337" s="4" t="s">
        <v>241</v>
      </c>
      <c r="DF337" s="4" t="s">
        <v>422</v>
      </c>
      <c r="DG337" s="6">
        <f>962</f>
        <v>962</v>
      </c>
      <c r="DI337" s="4" t="s">
        <v>414</v>
      </c>
      <c r="DJ337" s="4" t="s">
        <v>241</v>
      </c>
      <c r="DK337" s="4" t="s">
        <v>241</v>
      </c>
      <c r="DL337" s="4" t="s">
        <v>241</v>
      </c>
      <c r="DP337" s="4" t="s">
        <v>241</v>
      </c>
      <c r="DQ337" s="4" t="s">
        <v>241</v>
      </c>
      <c r="DR337" s="4" t="s">
        <v>241</v>
      </c>
      <c r="DS337" s="4" t="s">
        <v>241</v>
      </c>
      <c r="DV337" s="4" t="s">
        <v>4923</v>
      </c>
      <c r="DW337" s="4" t="s">
        <v>690</v>
      </c>
      <c r="HO337" s="4" t="s">
        <v>267</v>
      </c>
    </row>
    <row r="338" spans="1:223" ht="19.5" customHeight="1" x14ac:dyDescent="0.4">
      <c r="A338" s="4">
        <v>1</v>
      </c>
      <c r="B338" s="4" t="s">
        <v>239</v>
      </c>
      <c r="C338" s="4">
        <v>1072</v>
      </c>
      <c r="D338" s="4">
        <v>1</v>
      </c>
      <c r="E338" s="4">
        <v>1</v>
      </c>
      <c r="F338" s="4" t="s">
        <v>240</v>
      </c>
      <c r="G338" s="4" t="s">
        <v>241</v>
      </c>
      <c r="H338" s="4" t="s">
        <v>241</v>
      </c>
      <c r="I338" s="4" t="s">
        <v>4921</v>
      </c>
      <c r="J338" s="4" t="s">
        <v>596</v>
      </c>
      <c r="K338" s="4" t="s">
        <v>251</v>
      </c>
      <c r="L338" s="4" t="s">
        <v>4920</v>
      </c>
      <c r="M338" s="5" t="s">
        <v>5483</v>
      </c>
      <c r="N338" s="6">
        <f>1452</f>
        <v>1452</v>
      </c>
      <c r="O338" s="4" t="s">
        <v>265</v>
      </c>
      <c r="P338" s="6">
        <f>3216180</f>
        <v>3216180</v>
      </c>
      <c r="Q338" s="6">
        <f>0</f>
        <v>0</v>
      </c>
      <c r="S338" s="6">
        <f>0</f>
        <v>0</v>
      </c>
      <c r="T338" s="6">
        <f>3216180</f>
        <v>3216180</v>
      </c>
      <c r="U338" s="5" t="s">
        <v>245</v>
      </c>
      <c r="V338" s="4" t="s">
        <v>270</v>
      </c>
      <c r="W338" s="4" t="s">
        <v>242</v>
      </c>
      <c r="X338" s="4" t="s">
        <v>273</v>
      </c>
      <c r="Y338" s="4" t="s">
        <v>241</v>
      </c>
      <c r="AB338" s="4" t="s">
        <v>241</v>
      </c>
      <c r="AD338" s="5" t="s">
        <v>241</v>
      </c>
      <c r="AG338" s="5" t="s">
        <v>246</v>
      </c>
      <c r="AH338" s="4" t="s">
        <v>241</v>
      </c>
      <c r="AI338" s="4" t="s">
        <v>247</v>
      </c>
      <c r="AJ338" s="4" t="s">
        <v>248</v>
      </c>
      <c r="AZ338" s="4" t="s">
        <v>249</v>
      </c>
      <c r="BA338" s="4" t="s">
        <v>241</v>
      </c>
      <c r="BB338" s="4" t="s">
        <v>250</v>
      </c>
      <c r="BC338" s="4" t="s">
        <v>241</v>
      </c>
      <c r="BD338" s="4" t="s">
        <v>252</v>
      </c>
      <c r="BE338" s="4" t="s">
        <v>241</v>
      </c>
      <c r="BI338" s="4" t="s">
        <v>253</v>
      </c>
      <c r="BJ338" s="5" t="s">
        <v>246</v>
      </c>
      <c r="BK338" s="4" t="s">
        <v>254</v>
      </c>
      <c r="BL338" s="4" t="s">
        <v>255</v>
      </c>
      <c r="BM338" s="4" t="s">
        <v>241</v>
      </c>
      <c r="BN338" s="6">
        <f>0</f>
        <v>0</v>
      </c>
      <c r="BO338" s="6">
        <f>0</f>
        <v>0</v>
      </c>
      <c r="BP338" s="4" t="s">
        <v>256</v>
      </c>
      <c r="BQ338" s="4" t="s">
        <v>257</v>
      </c>
      <c r="CE338" s="4" t="s">
        <v>241</v>
      </c>
      <c r="CF338" s="4" t="s">
        <v>241</v>
      </c>
      <c r="CJ338" s="4" t="s">
        <v>258</v>
      </c>
      <c r="CK338" s="4" t="s">
        <v>259</v>
      </c>
      <c r="CL338" s="4" t="s">
        <v>241</v>
      </c>
      <c r="CO338" s="5" t="s">
        <v>260</v>
      </c>
      <c r="CP338" s="4" t="s">
        <v>241</v>
      </c>
      <c r="CQ338" s="4" t="s">
        <v>261</v>
      </c>
      <c r="CR338" s="4" t="s">
        <v>241</v>
      </c>
      <c r="CS338" s="4" t="s">
        <v>241</v>
      </c>
      <c r="CT338" s="4">
        <v>0</v>
      </c>
      <c r="CU338" s="4" t="s">
        <v>262</v>
      </c>
      <c r="CV338" s="4" t="s">
        <v>263</v>
      </c>
      <c r="CW338" s="4" t="s">
        <v>263</v>
      </c>
      <c r="CX338" s="4" t="s">
        <v>264</v>
      </c>
      <c r="DA338" s="6">
        <f>3216180</f>
        <v>3216180</v>
      </c>
      <c r="DC338" s="4" t="s">
        <v>414</v>
      </c>
      <c r="DD338" s="4" t="s">
        <v>241</v>
      </c>
      <c r="DF338" s="4" t="s">
        <v>414</v>
      </c>
      <c r="DG338" s="6">
        <f>1452</f>
        <v>1452</v>
      </c>
      <c r="DI338" s="4" t="s">
        <v>414</v>
      </c>
      <c r="DJ338" s="4" t="s">
        <v>241</v>
      </c>
      <c r="DK338" s="4" t="s">
        <v>241</v>
      </c>
      <c r="DL338" s="4" t="s">
        <v>241</v>
      </c>
      <c r="DP338" s="4" t="s">
        <v>241</v>
      </c>
      <c r="DQ338" s="4" t="s">
        <v>241</v>
      </c>
      <c r="DR338" s="4" t="s">
        <v>241</v>
      </c>
      <c r="DS338" s="4" t="s">
        <v>241</v>
      </c>
      <c r="DV338" s="4" t="s">
        <v>4923</v>
      </c>
      <c r="DW338" s="4" t="s">
        <v>628</v>
      </c>
      <c r="HO338" s="4" t="s">
        <v>267</v>
      </c>
    </row>
    <row r="339" spans="1:223" ht="19.5" customHeight="1" x14ac:dyDescent="0.4">
      <c r="A339" s="4">
        <v>1</v>
      </c>
      <c r="B339" s="4" t="s">
        <v>239</v>
      </c>
      <c r="C339" s="4">
        <v>1073</v>
      </c>
      <c r="D339" s="4">
        <v>1</v>
      </c>
      <c r="E339" s="4">
        <v>1</v>
      </c>
      <c r="F339" s="4" t="s">
        <v>240</v>
      </c>
      <c r="G339" s="4" t="s">
        <v>241</v>
      </c>
      <c r="H339" s="4" t="s">
        <v>241</v>
      </c>
      <c r="I339" s="4" t="s">
        <v>4921</v>
      </c>
      <c r="J339" s="4" t="s">
        <v>596</v>
      </c>
      <c r="K339" s="4" t="s">
        <v>251</v>
      </c>
      <c r="L339" s="4" t="s">
        <v>4920</v>
      </c>
      <c r="M339" s="5" t="s">
        <v>4925</v>
      </c>
      <c r="N339" s="6">
        <f>6947</f>
        <v>6947</v>
      </c>
      <c r="O339" s="4" t="s">
        <v>265</v>
      </c>
      <c r="P339" s="6">
        <f>15387605</f>
        <v>15387605</v>
      </c>
      <c r="Q339" s="6">
        <f>0</f>
        <v>0</v>
      </c>
      <c r="S339" s="6">
        <f>0</f>
        <v>0</v>
      </c>
      <c r="T339" s="6">
        <f>15387605</f>
        <v>15387605</v>
      </c>
      <c r="U339" s="5" t="s">
        <v>245</v>
      </c>
      <c r="V339" s="4" t="s">
        <v>270</v>
      </c>
      <c r="W339" s="4" t="s">
        <v>242</v>
      </c>
      <c r="X339" s="4" t="s">
        <v>273</v>
      </c>
      <c r="Y339" s="4" t="s">
        <v>241</v>
      </c>
      <c r="AB339" s="4" t="s">
        <v>241</v>
      </c>
      <c r="AD339" s="5" t="s">
        <v>241</v>
      </c>
      <c r="AG339" s="5" t="s">
        <v>246</v>
      </c>
      <c r="AH339" s="4" t="s">
        <v>241</v>
      </c>
      <c r="AI339" s="4" t="s">
        <v>247</v>
      </c>
      <c r="AJ339" s="4" t="s">
        <v>248</v>
      </c>
      <c r="AZ339" s="4" t="s">
        <v>249</v>
      </c>
      <c r="BA339" s="4" t="s">
        <v>241</v>
      </c>
      <c r="BB339" s="4" t="s">
        <v>250</v>
      </c>
      <c r="BC339" s="4" t="s">
        <v>241</v>
      </c>
      <c r="BD339" s="4" t="s">
        <v>252</v>
      </c>
      <c r="BE339" s="4" t="s">
        <v>241</v>
      </c>
      <c r="BI339" s="4" t="s">
        <v>253</v>
      </c>
      <c r="BJ339" s="5" t="s">
        <v>246</v>
      </c>
      <c r="BK339" s="4" t="s">
        <v>254</v>
      </c>
      <c r="BL339" s="4" t="s">
        <v>255</v>
      </c>
      <c r="BM339" s="4" t="s">
        <v>241</v>
      </c>
      <c r="BN339" s="6">
        <f>0</f>
        <v>0</v>
      </c>
      <c r="BO339" s="6">
        <f>0</f>
        <v>0</v>
      </c>
      <c r="BP339" s="4" t="s">
        <v>256</v>
      </c>
      <c r="BQ339" s="4" t="s">
        <v>257</v>
      </c>
      <c r="CE339" s="4" t="s">
        <v>241</v>
      </c>
      <c r="CF339" s="4" t="s">
        <v>241</v>
      </c>
      <c r="CJ339" s="4" t="s">
        <v>258</v>
      </c>
      <c r="CK339" s="4" t="s">
        <v>259</v>
      </c>
      <c r="CL339" s="4" t="s">
        <v>241</v>
      </c>
      <c r="CO339" s="5" t="s">
        <v>260</v>
      </c>
      <c r="CP339" s="4" t="s">
        <v>241</v>
      </c>
      <c r="CQ339" s="4" t="s">
        <v>261</v>
      </c>
      <c r="CR339" s="4" t="s">
        <v>241</v>
      </c>
      <c r="CS339" s="4" t="s">
        <v>241</v>
      </c>
      <c r="CT339" s="4">
        <v>0</v>
      </c>
      <c r="CU339" s="4" t="s">
        <v>262</v>
      </c>
      <c r="CV339" s="4" t="s">
        <v>263</v>
      </c>
      <c r="CW339" s="4" t="s">
        <v>263</v>
      </c>
      <c r="CX339" s="4" t="s">
        <v>264</v>
      </c>
      <c r="DA339" s="6">
        <f>15387605</f>
        <v>15387605</v>
      </c>
      <c r="DC339" s="4" t="s">
        <v>422</v>
      </c>
      <c r="DD339" s="4" t="s">
        <v>241</v>
      </c>
      <c r="DF339" s="4" t="s">
        <v>422</v>
      </c>
      <c r="DG339" s="6">
        <f>6947</f>
        <v>6947</v>
      </c>
      <c r="DI339" s="4" t="s">
        <v>414</v>
      </c>
      <c r="DJ339" s="4" t="s">
        <v>241</v>
      </c>
      <c r="DK339" s="4" t="s">
        <v>241</v>
      </c>
      <c r="DL339" s="4" t="s">
        <v>241</v>
      </c>
      <c r="DP339" s="4" t="s">
        <v>241</v>
      </c>
      <c r="DQ339" s="4" t="s">
        <v>241</v>
      </c>
      <c r="DR339" s="4" t="s">
        <v>241</v>
      </c>
      <c r="DS339" s="4" t="s">
        <v>241</v>
      </c>
      <c r="DV339" s="4" t="s">
        <v>4923</v>
      </c>
      <c r="DW339" s="4" t="s">
        <v>597</v>
      </c>
      <c r="HO339" s="4" t="s">
        <v>267</v>
      </c>
    </row>
    <row r="340" spans="1:223" ht="19.5" customHeight="1" x14ac:dyDescent="0.4">
      <c r="A340" s="4">
        <v>1</v>
      </c>
      <c r="B340" s="4" t="s">
        <v>239</v>
      </c>
      <c r="C340" s="4">
        <v>1074</v>
      </c>
      <c r="D340" s="4">
        <v>1</v>
      </c>
      <c r="E340" s="4">
        <v>1</v>
      </c>
      <c r="F340" s="4" t="s">
        <v>240</v>
      </c>
      <c r="G340" s="4" t="s">
        <v>241</v>
      </c>
      <c r="H340" s="4" t="s">
        <v>241</v>
      </c>
      <c r="I340" s="4" t="s">
        <v>4921</v>
      </c>
      <c r="J340" s="4" t="s">
        <v>596</v>
      </c>
      <c r="K340" s="4" t="s">
        <v>251</v>
      </c>
      <c r="L340" s="4" t="s">
        <v>4920</v>
      </c>
      <c r="M340" s="5" t="s">
        <v>4935</v>
      </c>
      <c r="N340" s="6">
        <f>527</f>
        <v>527</v>
      </c>
      <c r="O340" s="4" t="s">
        <v>265</v>
      </c>
      <c r="P340" s="6">
        <f>1167305</f>
        <v>1167305</v>
      </c>
      <c r="Q340" s="6">
        <f>0</f>
        <v>0</v>
      </c>
      <c r="S340" s="6">
        <f>0</f>
        <v>0</v>
      </c>
      <c r="T340" s="6">
        <f>1167305</f>
        <v>1167305</v>
      </c>
      <c r="U340" s="5" t="s">
        <v>245</v>
      </c>
      <c r="V340" s="4" t="s">
        <v>270</v>
      </c>
      <c r="W340" s="4" t="s">
        <v>242</v>
      </c>
      <c r="X340" s="4" t="s">
        <v>273</v>
      </c>
      <c r="Y340" s="4" t="s">
        <v>241</v>
      </c>
      <c r="AB340" s="4" t="s">
        <v>241</v>
      </c>
      <c r="AD340" s="5" t="s">
        <v>241</v>
      </c>
      <c r="AG340" s="5" t="s">
        <v>246</v>
      </c>
      <c r="AH340" s="4" t="s">
        <v>241</v>
      </c>
      <c r="AI340" s="4" t="s">
        <v>247</v>
      </c>
      <c r="AJ340" s="4" t="s">
        <v>248</v>
      </c>
      <c r="AZ340" s="4" t="s">
        <v>249</v>
      </c>
      <c r="BA340" s="4" t="s">
        <v>241</v>
      </c>
      <c r="BB340" s="4" t="s">
        <v>250</v>
      </c>
      <c r="BC340" s="4" t="s">
        <v>241</v>
      </c>
      <c r="BD340" s="4" t="s">
        <v>252</v>
      </c>
      <c r="BE340" s="4" t="s">
        <v>241</v>
      </c>
      <c r="BI340" s="4" t="s">
        <v>253</v>
      </c>
      <c r="BJ340" s="5" t="s">
        <v>246</v>
      </c>
      <c r="BK340" s="4" t="s">
        <v>254</v>
      </c>
      <c r="BL340" s="4" t="s">
        <v>255</v>
      </c>
      <c r="BM340" s="4" t="s">
        <v>241</v>
      </c>
      <c r="BN340" s="6">
        <f>0</f>
        <v>0</v>
      </c>
      <c r="BO340" s="6">
        <f>0</f>
        <v>0</v>
      </c>
      <c r="BP340" s="4" t="s">
        <v>256</v>
      </c>
      <c r="BQ340" s="4" t="s">
        <v>257</v>
      </c>
      <c r="CE340" s="4" t="s">
        <v>241</v>
      </c>
      <c r="CF340" s="4" t="s">
        <v>241</v>
      </c>
      <c r="CJ340" s="4" t="s">
        <v>258</v>
      </c>
      <c r="CK340" s="4" t="s">
        <v>259</v>
      </c>
      <c r="CL340" s="4" t="s">
        <v>241</v>
      </c>
      <c r="CO340" s="5" t="s">
        <v>260</v>
      </c>
      <c r="CP340" s="4" t="s">
        <v>241</v>
      </c>
      <c r="CQ340" s="4" t="s">
        <v>261</v>
      </c>
      <c r="CR340" s="4" t="s">
        <v>241</v>
      </c>
      <c r="CS340" s="4" t="s">
        <v>241</v>
      </c>
      <c r="CT340" s="4">
        <v>0</v>
      </c>
      <c r="CU340" s="4" t="s">
        <v>262</v>
      </c>
      <c r="CV340" s="4" t="s">
        <v>263</v>
      </c>
      <c r="CW340" s="4" t="s">
        <v>263</v>
      </c>
      <c r="CX340" s="4" t="s">
        <v>264</v>
      </c>
      <c r="DA340" s="6">
        <f>1167305</f>
        <v>1167305</v>
      </c>
      <c r="DC340" s="4" t="s">
        <v>422</v>
      </c>
      <c r="DD340" s="4" t="s">
        <v>241</v>
      </c>
      <c r="DF340" s="4" t="s">
        <v>422</v>
      </c>
      <c r="DG340" s="6">
        <f>527</f>
        <v>527</v>
      </c>
      <c r="DI340" s="4" t="s">
        <v>414</v>
      </c>
      <c r="DJ340" s="4" t="s">
        <v>241</v>
      </c>
      <c r="DK340" s="4" t="s">
        <v>241</v>
      </c>
      <c r="DL340" s="4" t="s">
        <v>241</v>
      </c>
      <c r="DP340" s="4" t="s">
        <v>241</v>
      </c>
      <c r="DQ340" s="4" t="s">
        <v>241</v>
      </c>
      <c r="DR340" s="4" t="s">
        <v>241</v>
      </c>
      <c r="DS340" s="4" t="s">
        <v>241</v>
      </c>
      <c r="DV340" s="4" t="s">
        <v>4923</v>
      </c>
      <c r="DW340" s="4" t="s">
        <v>1792</v>
      </c>
      <c r="HO340" s="4" t="s">
        <v>267</v>
      </c>
    </row>
    <row r="341" spans="1:223" ht="19.5" customHeight="1" x14ac:dyDescent="0.4">
      <c r="A341" s="4">
        <v>1</v>
      </c>
      <c r="B341" s="4" t="s">
        <v>239</v>
      </c>
      <c r="C341" s="4">
        <v>1075</v>
      </c>
      <c r="D341" s="4">
        <v>1</v>
      </c>
      <c r="E341" s="4">
        <v>1</v>
      </c>
      <c r="F341" s="4" t="s">
        <v>240</v>
      </c>
      <c r="G341" s="4" t="s">
        <v>241</v>
      </c>
      <c r="H341" s="4" t="s">
        <v>241</v>
      </c>
      <c r="I341" s="4" t="s">
        <v>4921</v>
      </c>
      <c r="J341" s="4" t="s">
        <v>596</v>
      </c>
      <c r="K341" s="4" t="s">
        <v>251</v>
      </c>
      <c r="L341" s="4" t="s">
        <v>4920</v>
      </c>
      <c r="M341" s="5" t="s">
        <v>4936</v>
      </c>
      <c r="N341" s="6">
        <f>7577</f>
        <v>7577</v>
      </c>
      <c r="O341" s="4" t="s">
        <v>265</v>
      </c>
      <c r="P341" s="6">
        <f>16783055</f>
        <v>16783055</v>
      </c>
      <c r="Q341" s="6">
        <f>0</f>
        <v>0</v>
      </c>
      <c r="S341" s="6">
        <f>0</f>
        <v>0</v>
      </c>
      <c r="T341" s="6">
        <f>16783055</f>
        <v>16783055</v>
      </c>
      <c r="U341" s="5" t="s">
        <v>245</v>
      </c>
      <c r="V341" s="4" t="s">
        <v>270</v>
      </c>
      <c r="W341" s="4" t="s">
        <v>242</v>
      </c>
      <c r="X341" s="4" t="s">
        <v>273</v>
      </c>
      <c r="Y341" s="4" t="s">
        <v>241</v>
      </c>
      <c r="AB341" s="4" t="s">
        <v>241</v>
      </c>
      <c r="AD341" s="5" t="s">
        <v>241</v>
      </c>
      <c r="AG341" s="5" t="s">
        <v>246</v>
      </c>
      <c r="AH341" s="4" t="s">
        <v>241</v>
      </c>
      <c r="AI341" s="4" t="s">
        <v>247</v>
      </c>
      <c r="AJ341" s="4" t="s">
        <v>248</v>
      </c>
      <c r="AZ341" s="4" t="s">
        <v>249</v>
      </c>
      <c r="BA341" s="4" t="s">
        <v>241</v>
      </c>
      <c r="BB341" s="4" t="s">
        <v>250</v>
      </c>
      <c r="BC341" s="4" t="s">
        <v>241</v>
      </c>
      <c r="BD341" s="4" t="s">
        <v>252</v>
      </c>
      <c r="BE341" s="4" t="s">
        <v>241</v>
      </c>
      <c r="BI341" s="4" t="s">
        <v>253</v>
      </c>
      <c r="BJ341" s="5" t="s">
        <v>246</v>
      </c>
      <c r="BK341" s="4" t="s">
        <v>254</v>
      </c>
      <c r="BL341" s="4" t="s">
        <v>255</v>
      </c>
      <c r="BM341" s="4" t="s">
        <v>241</v>
      </c>
      <c r="BN341" s="6">
        <f>0</f>
        <v>0</v>
      </c>
      <c r="BO341" s="6">
        <f>0</f>
        <v>0</v>
      </c>
      <c r="BP341" s="4" t="s">
        <v>256</v>
      </c>
      <c r="BQ341" s="4" t="s">
        <v>257</v>
      </c>
      <c r="CE341" s="4" t="s">
        <v>241</v>
      </c>
      <c r="CF341" s="4" t="s">
        <v>241</v>
      </c>
      <c r="CJ341" s="4" t="s">
        <v>258</v>
      </c>
      <c r="CK341" s="4" t="s">
        <v>259</v>
      </c>
      <c r="CL341" s="4" t="s">
        <v>241</v>
      </c>
      <c r="CO341" s="5" t="s">
        <v>260</v>
      </c>
      <c r="CP341" s="4" t="s">
        <v>241</v>
      </c>
      <c r="CQ341" s="4" t="s">
        <v>261</v>
      </c>
      <c r="CR341" s="4" t="s">
        <v>241</v>
      </c>
      <c r="CS341" s="4" t="s">
        <v>241</v>
      </c>
      <c r="CT341" s="4">
        <v>0</v>
      </c>
      <c r="CU341" s="4" t="s">
        <v>262</v>
      </c>
      <c r="CV341" s="4" t="s">
        <v>263</v>
      </c>
      <c r="CW341" s="4" t="s">
        <v>263</v>
      </c>
      <c r="CX341" s="4" t="s">
        <v>264</v>
      </c>
      <c r="DA341" s="6">
        <f>16783055</f>
        <v>16783055</v>
      </c>
      <c r="DC341" s="4" t="s">
        <v>422</v>
      </c>
      <c r="DD341" s="4" t="s">
        <v>241</v>
      </c>
      <c r="DF341" s="4" t="s">
        <v>422</v>
      </c>
      <c r="DG341" s="6">
        <f>7577</f>
        <v>7577</v>
      </c>
      <c r="DI341" s="4" t="s">
        <v>414</v>
      </c>
      <c r="DJ341" s="4" t="s">
        <v>241</v>
      </c>
      <c r="DK341" s="4" t="s">
        <v>241</v>
      </c>
      <c r="DL341" s="4" t="s">
        <v>241</v>
      </c>
      <c r="DP341" s="4" t="s">
        <v>241</v>
      </c>
      <c r="DQ341" s="4" t="s">
        <v>241</v>
      </c>
      <c r="DR341" s="4" t="s">
        <v>241</v>
      </c>
      <c r="DS341" s="4" t="s">
        <v>241</v>
      </c>
      <c r="DV341" s="4" t="s">
        <v>4923</v>
      </c>
      <c r="DW341" s="4" t="s">
        <v>1789</v>
      </c>
      <c r="HO341" s="4" t="s">
        <v>267</v>
      </c>
    </row>
    <row r="342" spans="1:223" ht="19.5" customHeight="1" x14ac:dyDescent="0.4">
      <c r="A342" s="4">
        <v>1</v>
      </c>
      <c r="B342" s="4" t="s">
        <v>239</v>
      </c>
      <c r="C342" s="4">
        <v>1076</v>
      </c>
      <c r="D342" s="4">
        <v>1</v>
      </c>
      <c r="E342" s="4">
        <v>1</v>
      </c>
      <c r="F342" s="4" t="s">
        <v>240</v>
      </c>
      <c r="G342" s="4" t="s">
        <v>241</v>
      </c>
      <c r="H342" s="4" t="s">
        <v>241</v>
      </c>
      <c r="I342" s="4" t="s">
        <v>4921</v>
      </c>
      <c r="J342" s="4" t="s">
        <v>596</v>
      </c>
      <c r="K342" s="4" t="s">
        <v>251</v>
      </c>
      <c r="L342" s="4" t="s">
        <v>4920</v>
      </c>
      <c r="M342" s="5" t="s">
        <v>5484</v>
      </c>
      <c r="N342" s="6">
        <f>2274</f>
        <v>2274</v>
      </c>
      <c r="O342" s="4" t="s">
        <v>265</v>
      </c>
      <c r="P342" s="6">
        <f>5036910</f>
        <v>5036910</v>
      </c>
      <c r="Q342" s="6">
        <f>0</f>
        <v>0</v>
      </c>
      <c r="S342" s="6">
        <f>0</f>
        <v>0</v>
      </c>
      <c r="T342" s="6">
        <f>5036910</f>
        <v>5036910</v>
      </c>
      <c r="U342" s="5" t="s">
        <v>245</v>
      </c>
      <c r="V342" s="4" t="s">
        <v>270</v>
      </c>
      <c r="W342" s="4" t="s">
        <v>242</v>
      </c>
      <c r="X342" s="4" t="s">
        <v>273</v>
      </c>
      <c r="Y342" s="4" t="s">
        <v>241</v>
      </c>
      <c r="AB342" s="4" t="s">
        <v>241</v>
      </c>
      <c r="AD342" s="5" t="s">
        <v>241</v>
      </c>
      <c r="AG342" s="5" t="s">
        <v>246</v>
      </c>
      <c r="AH342" s="4" t="s">
        <v>241</v>
      </c>
      <c r="AI342" s="4" t="s">
        <v>247</v>
      </c>
      <c r="AJ342" s="4" t="s">
        <v>248</v>
      </c>
      <c r="AZ342" s="4" t="s">
        <v>249</v>
      </c>
      <c r="BA342" s="4" t="s">
        <v>241</v>
      </c>
      <c r="BB342" s="4" t="s">
        <v>250</v>
      </c>
      <c r="BC342" s="4" t="s">
        <v>241</v>
      </c>
      <c r="BD342" s="4" t="s">
        <v>252</v>
      </c>
      <c r="BE342" s="4" t="s">
        <v>241</v>
      </c>
      <c r="BI342" s="4" t="s">
        <v>253</v>
      </c>
      <c r="BJ342" s="5" t="s">
        <v>246</v>
      </c>
      <c r="BK342" s="4" t="s">
        <v>254</v>
      </c>
      <c r="BL342" s="4" t="s">
        <v>255</v>
      </c>
      <c r="BM342" s="4" t="s">
        <v>241</v>
      </c>
      <c r="BN342" s="6">
        <f>0</f>
        <v>0</v>
      </c>
      <c r="BO342" s="6">
        <f>0</f>
        <v>0</v>
      </c>
      <c r="BP342" s="4" t="s">
        <v>256</v>
      </c>
      <c r="BQ342" s="4" t="s">
        <v>257</v>
      </c>
      <c r="CE342" s="4" t="s">
        <v>241</v>
      </c>
      <c r="CF342" s="4" t="s">
        <v>241</v>
      </c>
      <c r="CJ342" s="4" t="s">
        <v>258</v>
      </c>
      <c r="CK342" s="4" t="s">
        <v>259</v>
      </c>
      <c r="CL342" s="4" t="s">
        <v>241</v>
      </c>
      <c r="CO342" s="5" t="s">
        <v>260</v>
      </c>
      <c r="CP342" s="4" t="s">
        <v>241</v>
      </c>
      <c r="CQ342" s="4" t="s">
        <v>261</v>
      </c>
      <c r="CR342" s="4" t="s">
        <v>241</v>
      </c>
      <c r="CS342" s="4" t="s">
        <v>241</v>
      </c>
      <c r="CT342" s="4">
        <v>0</v>
      </c>
      <c r="CU342" s="4" t="s">
        <v>262</v>
      </c>
      <c r="CV342" s="4" t="s">
        <v>263</v>
      </c>
      <c r="CW342" s="4" t="s">
        <v>263</v>
      </c>
      <c r="CX342" s="4" t="s">
        <v>264</v>
      </c>
      <c r="DA342" s="6">
        <f>5036910</f>
        <v>5036910</v>
      </c>
      <c r="DC342" s="4" t="s">
        <v>422</v>
      </c>
      <c r="DD342" s="4" t="s">
        <v>241</v>
      </c>
      <c r="DF342" s="4" t="s">
        <v>422</v>
      </c>
      <c r="DG342" s="6">
        <f>2274</f>
        <v>2274</v>
      </c>
      <c r="DI342" s="4" t="s">
        <v>414</v>
      </c>
      <c r="DJ342" s="4" t="s">
        <v>241</v>
      </c>
      <c r="DK342" s="4" t="s">
        <v>241</v>
      </c>
      <c r="DL342" s="4" t="s">
        <v>241</v>
      </c>
      <c r="DP342" s="4" t="s">
        <v>241</v>
      </c>
      <c r="DQ342" s="4" t="s">
        <v>241</v>
      </c>
      <c r="DR342" s="4" t="s">
        <v>241</v>
      </c>
      <c r="DS342" s="4" t="s">
        <v>241</v>
      </c>
      <c r="DV342" s="4" t="s">
        <v>4923</v>
      </c>
      <c r="DW342" s="4" t="s">
        <v>1787</v>
      </c>
      <c r="HO342" s="4" t="s">
        <v>267</v>
      </c>
    </row>
    <row r="343" spans="1:223" ht="19.5" customHeight="1" x14ac:dyDescent="0.4">
      <c r="A343" s="4">
        <v>1</v>
      </c>
      <c r="B343" s="4" t="s">
        <v>239</v>
      </c>
      <c r="C343" s="4">
        <v>1077</v>
      </c>
      <c r="D343" s="4">
        <v>1</v>
      </c>
      <c r="E343" s="4">
        <v>1</v>
      </c>
      <c r="F343" s="4" t="s">
        <v>240</v>
      </c>
      <c r="G343" s="4" t="s">
        <v>241</v>
      </c>
      <c r="H343" s="4" t="s">
        <v>241</v>
      </c>
      <c r="I343" s="4" t="s">
        <v>4921</v>
      </c>
      <c r="J343" s="4" t="s">
        <v>596</v>
      </c>
      <c r="K343" s="4" t="s">
        <v>251</v>
      </c>
      <c r="L343" s="4" t="s">
        <v>4920</v>
      </c>
      <c r="M343" s="5" t="s">
        <v>4934</v>
      </c>
      <c r="N343" s="6">
        <f>406</f>
        <v>406</v>
      </c>
      <c r="O343" s="4" t="s">
        <v>265</v>
      </c>
      <c r="P343" s="6">
        <f>899290</f>
        <v>899290</v>
      </c>
      <c r="Q343" s="6">
        <f>0</f>
        <v>0</v>
      </c>
      <c r="S343" s="6">
        <f>0</f>
        <v>0</v>
      </c>
      <c r="T343" s="6">
        <f>899290</f>
        <v>899290</v>
      </c>
      <c r="U343" s="5" t="s">
        <v>245</v>
      </c>
      <c r="V343" s="4" t="s">
        <v>270</v>
      </c>
      <c r="W343" s="4" t="s">
        <v>242</v>
      </c>
      <c r="X343" s="4" t="s">
        <v>273</v>
      </c>
      <c r="Y343" s="4" t="s">
        <v>241</v>
      </c>
      <c r="AB343" s="4" t="s">
        <v>241</v>
      </c>
      <c r="AD343" s="5" t="s">
        <v>241</v>
      </c>
      <c r="AG343" s="5" t="s">
        <v>246</v>
      </c>
      <c r="AH343" s="4" t="s">
        <v>241</v>
      </c>
      <c r="AI343" s="4" t="s">
        <v>247</v>
      </c>
      <c r="AJ343" s="4" t="s">
        <v>248</v>
      </c>
      <c r="AZ343" s="4" t="s">
        <v>249</v>
      </c>
      <c r="BA343" s="4" t="s">
        <v>241</v>
      </c>
      <c r="BB343" s="4" t="s">
        <v>250</v>
      </c>
      <c r="BC343" s="4" t="s">
        <v>241</v>
      </c>
      <c r="BD343" s="4" t="s">
        <v>252</v>
      </c>
      <c r="BE343" s="4" t="s">
        <v>241</v>
      </c>
      <c r="BI343" s="4" t="s">
        <v>253</v>
      </c>
      <c r="BJ343" s="5" t="s">
        <v>246</v>
      </c>
      <c r="BK343" s="4" t="s">
        <v>254</v>
      </c>
      <c r="BL343" s="4" t="s">
        <v>255</v>
      </c>
      <c r="BM343" s="4" t="s">
        <v>241</v>
      </c>
      <c r="BN343" s="6">
        <f>0</f>
        <v>0</v>
      </c>
      <c r="BO343" s="6">
        <f>0</f>
        <v>0</v>
      </c>
      <c r="BP343" s="4" t="s">
        <v>256</v>
      </c>
      <c r="BQ343" s="4" t="s">
        <v>257</v>
      </c>
      <c r="CE343" s="4" t="s">
        <v>241</v>
      </c>
      <c r="CF343" s="4" t="s">
        <v>241</v>
      </c>
      <c r="CJ343" s="4" t="s">
        <v>258</v>
      </c>
      <c r="CK343" s="4" t="s">
        <v>259</v>
      </c>
      <c r="CL343" s="4" t="s">
        <v>241</v>
      </c>
      <c r="CO343" s="5" t="s">
        <v>260</v>
      </c>
      <c r="CP343" s="4" t="s">
        <v>241</v>
      </c>
      <c r="CQ343" s="4" t="s">
        <v>261</v>
      </c>
      <c r="CR343" s="4" t="s">
        <v>241</v>
      </c>
      <c r="CS343" s="4" t="s">
        <v>241</v>
      </c>
      <c r="CT343" s="4">
        <v>0</v>
      </c>
      <c r="CU343" s="4" t="s">
        <v>262</v>
      </c>
      <c r="CV343" s="4" t="s">
        <v>263</v>
      </c>
      <c r="CW343" s="4" t="s">
        <v>263</v>
      </c>
      <c r="CX343" s="4" t="s">
        <v>264</v>
      </c>
      <c r="DA343" s="6">
        <f>899290</f>
        <v>899290</v>
      </c>
      <c r="DC343" s="4" t="s">
        <v>422</v>
      </c>
      <c r="DD343" s="4" t="s">
        <v>241</v>
      </c>
      <c r="DF343" s="4" t="s">
        <v>422</v>
      </c>
      <c r="DG343" s="6">
        <f>406</f>
        <v>406</v>
      </c>
      <c r="DI343" s="4" t="s">
        <v>414</v>
      </c>
      <c r="DJ343" s="4" t="s">
        <v>241</v>
      </c>
      <c r="DK343" s="4" t="s">
        <v>241</v>
      </c>
      <c r="DL343" s="4" t="s">
        <v>241</v>
      </c>
      <c r="DP343" s="4" t="s">
        <v>241</v>
      </c>
      <c r="DQ343" s="4" t="s">
        <v>241</v>
      </c>
      <c r="DR343" s="4" t="s">
        <v>241</v>
      </c>
      <c r="DS343" s="4" t="s">
        <v>241</v>
      </c>
      <c r="DV343" s="4" t="s">
        <v>4923</v>
      </c>
      <c r="DW343" s="4" t="s">
        <v>1785</v>
      </c>
      <c r="HO343" s="4" t="s">
        <v>267</v>
      </c>
    </row>
    <row r="344" spans="1:223" ht="19.5" customHeight="1" x14ac:dyDescent="0.4">
      <c r="A344" s="4">
        <v>1</v>
      </c>
      <c r="B344" s="4" t="s">
        <v>239</v>
      </c>
      <c r="C344" s="4">
        <v>1078</v>
      </c>
      <c r="D344" s="4">
        <v>1</v>
      </c>
      <c r="E344" s="4">
        <v>1</v>
      </c>
      <c r="F344" s="4" t="s">
        <v>240</v>
      </c>
      <c r="G344" s="4" t="s">
        <v>241</v>
      </c>
      <c r="H344" s="4" t="s">
        <v>241</v>
      </c>
      <c r="I344" s="4" t="s">
        <v>4921</v>
      </c>
      <c r="J344" s="4" t="s">
        <v>596</v>
      </c>
      <c r="K344" s="4" t="s">
        <v>251</v>
      </c>
      <c r="L344" s="4" t="s">
        <v>4920</v>
      </c>
      <c r="M344" s="5" t="s">
        <v>4922</v>
      </c>
      <c r="N344" s="6">
        <f>673</f>
        <v>673</v>
      </c>
      <c r="O344" s="4" t="s">
        <v>265</v>
      </c>
      <c r="P344" s="6">
        <f>1490695</f>
        <v>1490695</v>
      </c>
      <c r="Q344" s="6">
        <f>0</f>
        <v>0</v>
      </c>
      <c r="S344" s="6">
        <f>0</f>
        <v>0</v>
      </c>
      <c r="T344" s="6">
        <f>1490695</f>
        <v>1490695</v>
      </c>
      <c r="U344" s="5" t="s">
        <v>245</v>
      </c>
      <c r="V344" s="4" t="s">
        <v>270</v>
      </c>
      <c r="W344" s="4" t="s">
        <v>242</v>
      </c>
      <c r="X344" s="4" t="s">
        <v>273</v>
      </c>
      <c r="Y344" s="4" t="s">
        <v>241</v>
      </c>
      <c r="AB344" s="4" t="s">
        <v>241</v>
      </c>
      <c r="AD344" s="5" t="s">
        <v>241</v>
      </c>
      <c r="AG344" s="5" t="s">
        <v>246</v>
      </c>
      <c r="AH344" s="4" t="s">
        <v>241</v>
      </c>
      <c r="AI344" s="4" t="s">
        <v>247</v>
      </c>
      <c r="AJ344" s="4" t="s">
        <v>248</v>
      </c>
      <c r="AZ344" s="4" t="s">
        <v>249</v>
      </c>
      <c r="BA344" s="4" t="s">
        <v>241</v>
      </c>
      <c r="BB344" s="4" t="s">
        <v>250</v>
      </c>
      <c r="BC344" s="4" t="s">
        <v>241</v>
      </c>
      <c r="BD344" s="4" t="s">
        <v>252</v>
      </c>
      <c r="BE344" s="4" t="s">
        <v>241</v>
      </c>
      <c r="BI344" s="4" t="s">
        <v>253</v>
      </c>
      <c r="BJ344" s="5" t="s">
        <v>246</v>
      </c>
      <c r="BK344" s="4" t="s">
        <v>254</v>
      </c>
      <c r="BL344" s="4" t="s">
        <v>255</v>
      </c>
      <c r="BM344" s="4" t="s">
        <v>241</v>
      </c>
      <c r="BN344" s="6">
        <f>0</f>
        <v>0</v>
      </c>
      <c r="BO344" s="6">
        <f>0</f>
        <v>0</v>
      </c>
      <c r="BP344" s="4" t="s">
        <v>256</v>
      </c>
      <c r="BQ344" s="4" t="s">
        <v>257</v>
      </c>
      <c r="CE344" s="4" t="s">
        <v>241</v>
      </c>
      <c r="CF344" s="4" t="s">
        <v>241</v>
      </c>
      <c r="CJ344" s="4" t="s">
        <v>258</v>
      </c>
      <c r="CK344" s="4" t="s">
        <v>259</v>
      </c>
      <c r="CL344" s="4" t="s">
        <v>241</v>
      </c>
      <c r="CO344" s="5" t="s">
        <v>260</v>
      </c>
      <c r="CP344" s="4" t="s">
        <v>241</v>
      </c>
      <c r="CQ344" s="4" t="s">
        <v>261</v>
      </c>
      <c r="CR344" s="4" t="s">
        <v>241</v>
      </c>
      <c r="CS344" s="4" t="s">
        <v>241</v>
      </c>
      <c r="CT344" s="4">
        <v>0</v>
      </c>
      <c r="CU344" s="4" t="s">
        <v>262</v>
      </c>
      <c r="CV344" s="4" t="s">
        <v>263</v>
      </c>
      <c r="CW344" s="4" t="s">
        <v>263</v>
      </c>
      <c r="CX344" s="4" t="s">
        <v>264</v>
      </c>
      <c r="DA344" s="6">
        <f>1490695</f>
        <v>1490695</v>
      </c>
      <c r="DC344" s="4" t="s">
        <v>422</v>
      </c>
      <c r="DD344" s="4" t="s">
        <v>241</v>
      </c>
      <c r="DF344" s="4" t="s">
        <v>422</v>
      </c>
      <c r="DG344" s="6">
        <f>673</f>
        <v>673</v>
      </c>
      <c r="DI344" s="4" t="s">
        <v>414</v>
      </c>
      <c r="DJ344" s="4" t="s">
        <v>241</v>
      </c>
      <c r="DK344" s="4" t="s">
        <v>241</v>
      </c>
      <c r="DL344" s="4" t="s">
        <v>241</v>
      </c>
      <c r="DP344" s="4" t="s">
        <v>241</v>
      </c>
      <c r="DQ344" s="4" t="s">
        <v>241</v>
      </c>
      <c r="DR344" s="4" t="s">
        <v>241</v>
      </c>
      <c r="DS344" s="4" t="s">
        <v>241</v>
      </c>
      <c r="DV344" s="4" t="s">
        <v>4923</v>
      </c>
      <c r="DW344" s="4" t="s">
        <v>1781</v>
      </c>
      <c r="HO344" s="4" t="s">
        <v>267</v>
      </c>
    </row>
    <row r="345" spans="1:223" ht="19.5" customHeight="1" x14ac:dyDescent="0.4">
      <c r="A345" s="4">
        <v>1</v>
      </c>
      <c r="B345" s="4" t="s">
        <v>239</v>
      </c>
      <c r="C345" s="4">
        <v>1080</v>
      </c>
      <c r="D345" s="4">
        <v>1</v>
      </c>
      <c r="E345" s="4">
        <v>1</v>
      </c>
      <c r="F345" s="4" t="s">
        <v>240</v>
      </c>
      <c r="G345" s="4" t="s">
        <v>241</v>
      </c>
      <c r="H345" s="4" t="s">
        <v>241</v>
      </c>
      <c r="I345" s="4" t="s">
        <v>4892</v>
      </c>
      <c r="J345" s="4" t="s">
        <v>596</v>
      </c>
      <c r="K345" s="4" t="s">
        <v>251</v>
      </c>
      <c r="L345" s="4" t="s">
        <v>4891</v>
      </c>
      <c r="M345" s="5" t="s">
        <v>5482</v>
      </c>
      <c r="N345" s="6">
        <f>3597</f>
        <v>3597</v>
      </c>
      <c r="O345" s="4" t="s">
        <v>265</v>
      </c>
      <c r="P345" s="6">
        <f>7967355</f>
        <v>7967355</v>
      </c>
      <c r="Q345" s="6">
        <f>0</f>
        <v>0</v>
      </c>
      <c r="S345" s="6">
        <f>0</f>
        <v>0</v>
      </c>
      <c r="T345" s="6">
        <f>7967355</f>
        <v>7967355</v>
      </c>
      <c r="U345" s="5" t="s">
        <v>245</v>
      </c>
      <c r="V345" s="4" t="s">
        <v>270</v>
      </c>
      <c r="W345" s="4" t="s">
        <v>242</v>
      </c>
      <c r="X345" s="4" t="s">
        <v>273</v>
      </c>
      <c r="Y345" s="4" t="s">
        <v>241</v>
      </c>
      <c r="AB345" s="4" t="s">
        <v>241</v>
      </c>
      <c r="AD345" s="5" t="s">
        <v>241</v>
      </c>
      <c r="AG345" s="5" t="s">
        <v>246</v>
      </c>
      <c r="AH345" s="4" t="s">
        <v>241</v>
      </c>
      <c r="AI345" s="4" t="s">
        <v>247</v>
      </c>
      <c r="AJ345" s="4" t="s">
        <v>248</v>
      </c>
      <c r="AZ345" s="4" t="s">
        <v>249</v>
      </c>
      <c r="BA345" s="4" t="s">
        <v>241</v>
      </c>
      <c r="BB345" s="4" t="s">
        <v>250</v>
      </c>
      <c r="BC345" s="4" t="s">
        <v>241</v>
      </c>
      <c r="BD345" s="4" t="s">
        <v>252</v>
      </c>
      <c r="BE345" s="4" t="s">
        <v>241</v>
      </c>
      <c r="BG345" s="4" t="s">
        <v>4227</v>
      </c>
      <c r="BI345" s="4" t="s">
        <v>284</v>
      </c>
      <c r="BJ345" s="5" t="s">
        <v>282</v>
      </c>
      <c r="BK345" s="4" t="s">
        <v>254</v>
      </c>
      <c r="BL345" s="4" t="s">
        <v>255</v>
      </c>
      <c r="BM345" s="4" t="s">
        <v>241</v>
      </c>
      <c r="BN345" s="6">
        <f>0</f>
        <v>0</v>
      </c>
      <c r="BO345" s="6">
        <f>0</f>
        <v>0</v>
      </c>
      <c r="BP345" s="4" t="s">
        <v>256</v>
      </c>
      <c r="BQ345" s="4" t="s">
        <v>257</v>
      </c>
      <c r="CE345" s="4" t="s">
        <v>241</v>
      </c>
      <c r="CF345" s="4" t="s">
        <v>241</v>
      </c>
      <c r="CJ345" s="4" t="s">
        <v>258</v>
      </c>
      <c r="CK345" s="4" t="s">
        <v>259</v>
      </c>
      <c r="CL345" s="4" t="s">
        <v>241</v>
      </c>
      <c r="CO345" s="5" t="s">
        <v>260</v>
      </c>
      <c r="CP345" s="4" t="s">
        <v>241</v>
      </c>
      <c r="CQ345" s="4" t="s">
        <v>261</v>
      </c>
      <c r="CR345" s="4" t="s">
        <v>241</v>
      </c>
      <c r="CS345" s="4" t="s">
        <v>241</v>
      </c>
      <c r="CT345" s="4">
        <v>0</v>
      </c>
      <c r="CU345" s="4" t="s">
        <v>262</v>
      </c>
      <c r="CV345" s="4" t="s">
        <v>263</v>
      </c>
      <c r="CW345" s="4" t="s">
        <v>263</v>
      </c>
      <c r="CX345" s="4" t="s">
        <v>264</v>
      </c>
      <c r="DA345" s="6">
        <f>7967355</f>
        <v>7967355</v>
      </c>
      <c r="DC345" s="4" t="s">
        <v>422</v>
      </c>
      <c r="DD345" s="4" t="s">
        <v>241</v>
      </c>
      <c r="DF345" s="4" t="s">
        <v>422</v>
      </c>
      <c r="DG345" s="6">
        <f>3597</f>
        <v>3597</v>
      </c>
      <c r="DI345" s="4" t="s">
        <v>414</v>
      </c>
      <c r="DJ345" s="4" t="s">
        <v>241</v>
      </c>
      <c r="DK345" s="4" t="s">
        <v>241</v>
      </c>
      <c r="DL345" s="4" t="s">
        <v>241</v>
      </c>
      <c r="DP345" s="4" t="s">
        <v>241</v>
      </c>
      <c r="DQ345" s="4" t="s">
        <v>241</v>
      </c>
      <c r="DR345" s="4" t="s">
        <v>241</v>
      </c>
      <c r="DS345" s="4" t="s">
        <v>241</v>
      </c>
      <c r="DV345" s="4" t="s">
        <v>4894</v>
      </c>
      <c r="DW345" s="4" t="s">
        <v>267</v>
      </c>
      <c r="HO345" s="4" t="s">
        <v>267</v>
      </c>
    </row>
    <row r="346" spans="1:223" ht="19.5" customHeight="1" x14ac:dyDescent="0.4">
      <c r="A346" s="4">
        <v>1</v>
      </c>
      <c r="B346" s="4" t="s">
        <v>239</v>
      </c>
      <c r="C346" s="4">
        <v>1081</v>
      </c>
      <c r="D346" s="4">
        <v>1</v>
      </c>
      <c r="E346" s="4">
        <v>1</v>
      </c>
      <c r="F346" s="4" t="s">
        <v>240</v>
      </c>
      <c r="G346" s="4" t="s">
        <v>241</v>
      </c>
      <c r="H346" s="4" t="s">
        <v>241</v>
      </c>
      <c r="I346" s="4" t="s">
        <v>4892</v>
      </c>
      <c r="J346" s="4" t="s">
        <v>596</v>
      </c>
      <c r="K346" s="4" t="s">
        <v>251</v>
      </c>
      <c r="L346" s="4" t="s">
        <v>4891</v>
      </c>
      <c r="M346" s="5" t="s">
        <v>4897</v>
      </c>
      <c r="N346" s="6">
        <f>880</f>
        <v>880</v>
      </c>
      <c r="O346" s="4" t="s">
        <v>265</v>
      </c>
      <c r="P346" s="6">
        <f>1949200</f>
        <v>1949200</v>
      </c>
      <c r="Q346" s="6">
        <f>0</f>
        <v>0</v>
      </c>
      <c r="S346" s="6">
        <f>0</f>
        <v>0</v>
      </c>
      <c r="T346" s="6">
        <f>1949200</f>
        <v>1949200</v>
      </c>
      <c r="U346" s="5" t="s">
        <v>245</v>
      </c>
      <c r="V346" s="4" t="s">
        <v>270</v>
      </c>
      <c r="W346" s="4" t="s">
        <v>242</v>
      </c>
      <c r="X346" s="4" t="s">
        <v>273</v>
      </c>
      <c r="Y346" s="4" t="s">
        <v>241</v>
      </c>
      <c r="AB346" s="4" t="s">
        <v>241</v>
      </c>
      <c r="AD346" s="5" t="s">
        <v>241</v>
      </c>
      <c r="AG346" s="5" t="s">
        <v>246</v>
      </c>
      <c r="AH346" s="4" t="s">
        <v>241</v>
      </c>
      <c r="AI346" s="4" t="s">
        <v>247</v>
      </c>
      <c r="AJ346" s="4" t="s">
        <v>248</v>
      </c>
      <c r="AZ346" s="4" t="s">
        <v>249</v>
      </c>
      <c r="BA346" s="4" t="s">
        <v>241</v>
      </c>
      <c r="BB346" s="4" t="s">
        <v>250</v>
      </c>
      <c r="BC346" s="4" t="s">
        <v>241</v>
      </c>
      <c r="BD346" s="4" t="s">
        <v>252</v>
      </c>
      <c r="BE346" s="4" t="s">
        <v>241</v>
      </c>
      <c r="BI346" s="4" t="s">
        <v>253</v>
      </c>
      <c r="BJ346" s="5" t="s">
        <v>246</v>
      </c>
      <c r="BK346" s="4" t="s">
        <v>254</v>
      </c>
      <c r="BL346" s="4" t="s">
        <v>255</v>
      </c>
      <c r="BM346" s="4" t="s">
        <v>241</v>
      </c>
      <c r="BN346" s="6">
        <f>0</f>
        <v>0</v>
      </c>
      <c r="BO346" s="6">
        <f>0</f>
        <v>0</v>
      </c>
      <c r="BP346" s="4" t="s">
        <v>256</v>
      </c>
      <c r="BQ346" s="4" t="s">
        <v>257</v>
      </c>
      <c r="CE346" s="4" t="s">
        <v>241</v>
      </c>
      <c r="CF346" s="4" t="s">
        <v>241</v>
      </c>
      <c r="CJ346" s="4" t="s">
        <v>258</v>
      </c>
      <c r="CK346" s="4" t="s">
        <v>259</v>
      </c>
      <c r="CL346" s="4" t="s">
        <v>241</v>
      </c>
      <c r="CO346" s="5" t="s">
        <v>260</v>
      </c>
      <c r="CP346" s="4" t="s">
        <v>241</v>
      </c>
      <c r="CQ346" s="4" t="s">
        <v>261</v>
      </c>
      <c r="CR346" s="4" t="s">
        <v>241</v>
      </c>
      <c r="CS346" s="4" t="s">
        <v>241</v>
      </c>
      <c r="CT346" s="4">
        <v>0</v>
      </c>
      <c r="CU346" s="4" t="s">
        <v>262</v>
      </c>
      <c r="CV346" s="4" t="s">
        <v>263</v>
      </c>
      <c r="CW346" s="4" t="s">
        <v>263</v>
      </c>
      <c r="CX346" s="4" t="s">
        <v>264</v>
      </c>
      <c r="DA346" s="6">
        <f>1949200</f>
        <v>1949200</v>
      </c>
      <c r="DC346" s="4" t="s">
        <v>422</v>
      </c>
      <c r="DD346" s="4" t="s">
        <v>241</v>
      </c>
      <c r="DF346" s="4" t="s">
        <v>422</v>
      </c>
      <c r="DG346" s="6">
        <f>880</f>
        <v>880</v>
      </c>
      <c r="DI346" s="4" t="s">
        <v>414</v>
      </c>
      <c r="DJ346" s="4" t="s">
        <v>241</v>
      </c>
      <c r="DK346" s="4" t="s">
        <v>241</v>
      </c>
      <c r="DL346" s="4" t="s">
        <v>241</v>
      </c>
      <c r="DP346" s="4" t="s">
        <v>241</v>
      </c>
      <c r="DQ346" s="4" t="s">
        <v>241</v>
      </c>
      <c r="DR346" s="4" t="s">
        <v>241</v>
      </c>
      <c r="DS346" s="4" t="s">
        <v>241</v>
      </c>
      <c r="DV346" s="4" t="s">
        <v>4894</v>
      </c>
      <c r="DW346" s="4" t="s">
        <v>416</v>
      </c>
      <c r="HO346" s="4" t="s">
        <v>267</v>
      </c>
    </row>
    <row r="347" spans="1:223" ht="19.5" customHeight="1" x14ac:dyDescent="0.4">
      <c r="A347" s="4">
        <v>1</v>
      </c>
      <c r="B347" s="4" t="s">
        <v>239</v>
      </c>
      <c r="C347" s="4">
        <v>1082</v>
      </c>
      <c r="D347" s="4">
        <v>1</v>
      </c>
      <c r="E347" s="4">
        <v>1</v>
      </c>
      <c r="F347" s="4" t="s">
        <v>240</v>
      </c>
      <c r="G347" s="4" t="s">
        <v>241</v>
      </c>
      <c r="H347" s="4" t="s">
        <v>241</v>
      </c>
      <c r="I347" s="4" t="s">
        <v>4892</v>
      </c>
      <c r="J347" s="4" t="s">
        <v>596</v>
      </c>
      <c r="K347" s="4" t="s">
        <v>251</v>
      </c>
      <c r="L347" s="4" t="s">
        <v>4891</v>
      </c>
      <c r="M347" s="5" t="s">
        <v>4898</v>
      </c>
      <c r="N347" s="6">
        <f>1174</f>
        <v>1174</v>
      </c>
      <c r="O347" s="4" t="s">
        <v>265</v>
      </c>
      <c r="P347" s="6">
        <f>2600410</f>
        <v>2600410</v>
      </c>
      <c r="Q347" s="6">
        <f>0</f>
        <v>0</v>
      </c>
      <c r="S347" s="6">
        <f>0</f>
        <v>0</v>
      </c>
      <c r="T347" s="6">
        <f>2600410</f>
        <v>2600410</v>
      </c>
      <c r="U347" s="5" t="s">
        <v>245</v>
      </c>
      <c r="V347" s="4" t="s">
        <v>270</v>
      </c>
      <c r="W347" s="4" t="s">
        <v>242</v>
      </c>
      <c r="X347" s="4" t="s">
        <v>273</v>
      </c>
      <c r="Y347" s="4" t="s">
        <v>241</v>
      </c>
      <c r="AB347" s="4" t="s">
        <v>241</v>
      </c>
      <c r="AD347" s="5" t="s">
        <v>241</v>
      </c>
      <c r="AG347" s="5" t="s">
        <v>246</v>
      </c>
      <c r="AH347" s="4" t="s">
        <v>241</v>
      </c>
      <c r="AI347" s="4" t="s">
        <v>247</v>
      </c>
      <c r="AJ347" s="4" t="s">
        <v>248</v>
      </c>
      <c r="AZ347" s="4" t="s">
        <v>249</v>
      </c>
      <c r="BA347" s="4" t="s">
        <v>241</v>
      </c>
      <c r="BB347" s="4" t="s">
        <v>250</v>
      </c>
      <c r="BC347" s="4" t="s">
        <v>241</v>
      </c>
      <c r="BD347" s="4" t="s">
        <v>252</v>
      </c>
      <c r="BE347" s="4" t="s">
        <v>241</v>
      </c>
      <c r="BI347" s="4" t="s">
        <v>253</v>
      </c>
      <c r="BJ347" s="5" t="s">
        <v>246</v>
      </c>
      <c r="BK347" s="4" t="s">
        <v>254</v>
      </c>
      <c r="BL347" s="4" t="s">
        <v>255</v>
      </c>
      <c r="BM347" s="4" t="s">
        <v>241</v>
      </c>
      <c r="BN347" s="6">
        <f>0</f>
        <v>0</v>
      </c>
      <c r="BO347" s="6">
        <f>0</f>
        <v>0</v>
      </c>
      <c r="BP347" s="4" t="s">
        <v>256</v>
      </c>
      <c r="BQ347" s="4" t="s">
        <v>257</v>
      </c>
      <c r="CE347" s="4" t="s">
        <v>241</v>
      </c>
      <c r="CF347" s="4" t="s">
        <v>241</v>
      </c>
      <c r="CJ347" s="4" t="s">
        <v>258</v>
      </c>
      <c r="CK347" s="4" t="s">
        <v>259</v>
      </c>
      <c r="CL347" s="4" t="s">
        <v>241</v>
      </c>
      <c r="CO347" s="5" t="s">
        <v>260</v>
      </c>
      <c r="CP347" s="4" t="s">
        <v>241</v>
      </c>
      <c r="CQ347" s="4" t="s">
        <v>261</v>
      </c>
      <c r="CR347" s="4" t="s">
        <v>241</v>
      </c>
      <c r="CS347" s="4" t="s">
        <v>241</v>
      </c>
      <c r="CT347" s="4">
        <v>0</v>
      </c>
      <c r="CU347" s="4" t="s">
        <v>262</v>
      </c>
      <c r="CV347" s="4" t="s">
        <v>263</v>
      </c>
      <c r="CW347" s="4" t="s">
        <v>263</v>
      </c>
      <c r="CX347" s="4" t="s">
        <v>264</v>
      </c>
      <c r="DA347" s="6">
        <f>2600410</f>
        <v>2600410</v>
      </c>
      <c r="DC347" s="4" t="s">
        <v>422</v>
      </c>
      <c r="DD347" s="4" t="s">
        <v>241</v>
      </c>
      <c r="DF347" s="4" t="s">
        <v>422</v>
      </c>
      <c r="DG347" s="6">
        <f>1174</f>
        <v>1174</v>
      </c>
      <c r="DI347" s="4" t="s">
        <v>414</v>
      </c>
      <c r="DJ347" s="4" t="s">
        <v>241</v>
      </c>
      <c r="DK347" s="4" t="s">
        <v>241</v>
      </c>
      <c r="DL347" s="4" t="s">
        <v>241</v>
      </c>
      <c r="DP347" s="4" t="s">
        <v>241</v>
      </c>
      <c r="DQ347" s="4" t="s">
        <v>241</v>
      </c>
      <c r="DR347" s="4" t="s">
        <v>241</v>
      </c>
      <c r="DS347" s="4" t="s">
        <v>241</v>
      </c>
      <c r="DV347" s="4" t="s">
        <v>4894</v>
      </c>
      <c r="DW347" s="4" t="s">
        <v>388</v>
      </c>
      <c r="HO347" s="4" t="s">
        <v>267</v>
      </c>
    </row>
    <row r="348" spans="1:223" ht="19.5" customHeight="1" x14ac:dyDescent="0.4">
      <c r="A348" s="4">
        <v>1</v>
      </c>
      <c r="B348" s="4" t="s">
        <v>239</v>
      </c>
      <c r="C348" s="4">
        <v>1083</v>
      </c>
      <c r="D348" s="4">
        <v>1</v>
      </c>
      <c r="E348" s="4">
        <v>1</v>
      </c>
      <c r="F348" s="4" t="s">
        <v>240</v>
      </c>
      <c r="G348" s="4" t="s">
        <v>241</v>
      </c>
      <c r="H348" s="4" t="s">
        <v>241</v>
      </c>
      <c r="I348" s="4" t="s">
        <v>4892</v>
      </c>
      <c r="J348" s="4" t="s">
        <v>596</v>
      </c>
      <c r="K348" s="4" t="s">
        <v>251</v>
      </c>
      <c r="L348" s="4" t="s">
        <v>4891</v>
      </c>
      <c r="M348" s="5" t="s">
        <v>4899</v>
      </c>
      <c r="N348" s="6">
        <f>1428</f>
        <v>1428</v>
      </c>
      <c r="O348" s="4" t="s">
        <v>265</v>
      </c>
      <c r="P348" s="6">
        <f>3163020</f>
        <v>3163020</v>
      </c>
      <c r="Q348" s="6">
        <f>0</f>
        <v>0</v>
      </c>
      <c r="S348" s="6">
        <f>0</f>
        <v>0</v>
      </c>
      <c r="T348" s="6">
        <f>3163020</f>
        <v>3163020</v>
      </c>
      <c r="U348" s="5" t="s">
        <v>245</v>
      </c>
      <c r="V348" s="4" t="s">
        <v>270</v>
      </c>
      <c r="W348" s="4" t="s">
        <v>242</v>
      </c>
      <c r="X348" s="4" t="s">
        <v>273</v>
      </c>
      <c r="Y348" s="4" t="s">
        <v>241</v>
      </c>
      <c r="AB348" s="4" t="s">
        <v>241</v>
      </c>
      <c r="AD348" s="5" t="s">
        <v>241</v>
      </c>
      <c r="AG348" s="5" t="s">
        <v>246</v>
      </c>
      <c r="AH348" s="4" t="s">
        <v>241</v>
      </c>
      <c r="AI348" s="4" t="s">
        <v>247</v>
      </c>
      <c r="AJ348" s="4" t="s">
        <v>248</v>
      </c>
      <c r="AZ348" s="4" t="s">
        <v>249</v>
      </c>
      <c r="BA348" s="4" t="s">
        <v>241</v>
      </c>
      <c r="BB348" s="4" t="s">
        <v>250</v>
      </c>
      <c r="BC348" s="4" t="s">
        <v>241</v>
      </c>
      <c r="BD348" s="4" t="s">
        <v>252</v>
      </c>
      <c r="BE348" s="4" t="s">
        <v>241</v>
      </c>
      <c r="BI348" s="4" t="s">
        <v>253</v>
      </c>
      <c r="BJ348" s="5" t="s">
        <v>246</v>
      </c>
      <c r="BK348" s="4" t="s">
        <v>254</v>
      </c>
      <c r="BL348" s="4" t="s">
        <v>255</v>
      </c>
      <c r="BM348" s="4" t="s">
        <v>241</v>
      </c>
      <c r="BN348" s="6">
        <f>0</f>
        <v>0</v>
      </c>
      <c r="BO348" s="6">
        <f>0</f>
        <v>0</v>
      </c>
      <c r="BP348" s="4" t="s">
        <v>256</v>
      </c>
      <c r="BQ348" s="4" t="s">
        <v>257</v>
      </c>
      <c r="CE348" s="4" t="s">
        <v>241</v>
      </c>
      <c r="CF348" s="4" t="s">
        <v>241</v>
      </c>
      <c r="CJ348" s="4" t="s">
        <v>258</v>
      </c>
      <c r="CK348" s="4" t="s">
        <v>259</v>
      </c>
      <c r="CL348" s="4" t="s">
        <v>241</v>
      </c>
      <c r="CO348" s="5" t="s">
        <v>260</v>
      </c>
      <c r="CP348" s="4" t="s">
        <v>241</v>
      </c>
      <c r="CQ348" s="4" t="s">
        <v>261</v>
      </c>
      <c r="CR348" s="4" t="s">
        <v>241</v>
      </c>
      <c r="CS348" s="4" t="s">
        <v>241</v>
      </c>
      <c r="CT348" s="4">
        <v>0</v>
      </c>
      <c r="CU348" s="4" t="s">
        <v>262</v>
      </c>
      <c r="CV348" s="4" t="s">
        <v>263</v>
      </c>
      <c r="CW348" s="4" t="s">
        <v>263</v>
      </c>
      <c r="CX348" s="4" t="s">
        <v>264</v>
      </c>
      <c r="DA348" s="6">
        <f>3163020</f>
        <v>3163020</v>
      </c>
      <c r="DC348" s="4" t="s">
        <v>422</v>
      </c>
      <c r="DD348" s="4" t="s">
        <v>241</v>
      </c>
      <c r="DF348" s="4" t="s">
        <v>422</v>
      </c>
      <c r="DG348" s="6">
        <f>1428</f>
        <v>1428</v>
      </c>
      <c r="DI348" s="4" t="s">
        <v>414</v>
      </c>
      <c r="DJ348" s="4" t="s">
        <v>241</v>
      </c>
      <c r="DK348" s="4" t="s">
        <v>241</v>
      </c>
      <c r="DL348" s="4" t="s">
        <v>241</v>
      </c>
      <c r="DP348" s="4" t="s">
        <v>241</v>
      </c>
      <c r="DQ348" s="4" t="s">
        <v>241</v>
      </c>
      <c r="DR348" s="4" t="s">
        <v>241</v>
      </c>
      <c r="DS348" s="4" t="s">
        <v>241</v>
      </c>
      <c r="DV348" s="4" t="s">
        <v>4894</v>
      </c>
      <c r="DW348" s="4" t="s">
        <v>327</v>
      </c>
      <c r="HO348" s="4" t="s">
        <v>267</v>
      </c>
    </row>
    <row r="349" spans="1:223" ht="19.5" customHeight="1" x14ac:dyDescent="0.4">
      <c r="A349" s="4">
        <v>1</v>
      </c>
      <c r="B349" s="4" t="s">
        <v>239</v>
      </c>
      <c r="C349" s="4">
        <v>1084</v>
      </c>
      <c r="D349" s="4">
        <v>1</v>
      </c>
      <c r="E349" s="4">
        <v>1</v>
      </c>
      <c r="F349" s="4" t="s">
        <v>240</v>
      </c>
      <c r="G349" s="4" t="s">
        <v>241</v>
      </c>
      <c r="H349" s="4" t="s">
        <v>241</v>
      </c>
      <c r="I349" s="4" t="s">
        <v>4892</v>
      </c>
      <c r="J349" s="4" t="s">
        <v>596</v>
      </c>
      <c r="K349" s="4" t="s">
        <v>251</v>
      </c>
      <c r="L349" s="4" t="s">
        <v>4891</v>
      </c>
      <c r="M349" s="5" t="s">
        <v>4901</v>
      </c>
      <c r="N349" s="6">
        <f>1631</f>
        <v>1631</v>
      </c>
      <c r="O349" s="4" t="s">
        <v>265</v>
      </c>
      <c r="P349" s="6">
        <f>3612665</f>
        <v>3612665</v>
      </c>
      <c r="Q349" s="6">
        <f>0</f>
        <v>0</v>
      </c>
      <c r="S349" s="6">
        <f>0</f>
        <v>0</v>
      </c>
      <c r="T349" s="6">
        <f>3612665</f>
        <v>3612665</v>
      </c>
      <c r="U349" s="5" t="s">
        <v>245</v>
      </c>
      <c r="V349" s="4" t="s">
        <v>270</v>
      </c>
      <c r="W349" s="4" t="s">
        <v>242</v>
      </c>
      <c r="X349" s="4" t="s">
        <v>273</v>
      </c>
      <c r="Y349" s="4" t="s">
        <v>241</v>
      </c>
      <c r="AB349" s="4" t="s">
        <v>241</v>
      </c>
      <c r="AD349" s="5" t="s">
        <v>241</v>
      </c>
      <c r="AG349" s="5" t="s">
        <v>246</v>
      </c>
      <c r="AH349" s="4" t="s">
        <v>241</v>
      </c>
      <c r="AI349" s="4" t="s">
        <v>247</v>
      </c>
      <c r="AJ349" s="4" t="s">
        <v>248</v>
      </c>
      <c r="AZ349" s="4" t="s">
        <v>249</v>
      </c>
      <c r="BA349" s="4" t="s">
        <v>241</v>
      </c>
      <c r="BB349" s="4" t="s">
        <v>250</v>
      </c>
      <c r="BC349" s="4" t="s">
        <v>241</v>
      </c>
      <c r="BD349" s="4" t="s">
        <v>252</v>
      </c>
      <c r="BE349" s="4" t="s">
        <v>241</v>
      </c>
      <c r="BI349" s="4" t="s">
        <v>253</v>
      </c>
      <c r="BJ349" s="5" t="s">
        <v>246</v>
      </c>
      <c r="BK349" s="4" t="s">
        <v>254</v>
      </c>
      <c r="BL349" s="4" t="s">
        <v>255</v>
      </c>
      <c r="BM349" s="4" t="s">
        <v>241</v>
      </c>
      <c r="BN349" s="6">
        <f>0</f>
        <v>0</v>
      </c>
      <c r="BO349" s="6">
        <f>0</f>
        <v>0</v>
      </c>
      <c r="BP349" s="4" t="s">
        <v>256</v>
      </c>
      <c r="BQ349" s="4" t="s">
        <v>257</v>
      </c>
      <c r="CE349" s="4" t="s">
        <v>241</v>
      </c>
      <c r="CF349" s="4" t="s">
        <v>241</v>
      </c>
      <c r="CJ349" s="4" t="s">
        <v>258</v>
      </c>
      <c r="CK349" s="4" t="s">
        <v>259</v>
      </c>
      <c r="CL349" s="4" t="s">
        <v>241</v>
      </c>
      <c r="CO349" s="5" t="s">
        <v>260</v>
      </c>
      <c r="CP349" s="4" t="s">
        <v>241</v>
      </c>
      <c r="CQ349" s="4" t="s">
        <v>261</v>
      </c>
      <c r="CR349" s="4" t="s">
        <v>241</v>
      </c>
      <c r="CS349" s="4" t="s">
        <v>241</v>
      </c>
      <c r="CT349" s="4">
        <v>0</v>
      </c>
      <c r="CU349" s="4" t="s">
        <v>262</v>
      </c>
      <c r="CV349" s="4" t="s">
        <v>263</v>
      </c>
      <c r="CW349" s="4" t="s">
        <v>263</v>
      </c>
      <c r="CX349" s="4" t="s">
        <v>264</v>
      </c>
      <c r="DA349" s="6">
        <f>3612665</f>
        <v>3612665</v>
      </c>
      <c r="DC349" s="4" t="s">
        <v>422</v>
      </c>
      <c r="DD349" s="4" t="s">
        <v>241</v>
      </c>
      <c r="DF349" s="4" t="s">
        <v>422</v>
      </c>
      <c r="DG349" s="6">
        <f>1631</f>
        <v>1631</v>
      </c>
      <c r="DI349" s="4" t="s">
        <v>414</v>
      </c>
      <c r="DJ349" s="4" t="s">
        <v>241</v>
      </c>
      <c r="DK349" s="4" t="s">
        <v>241</v>
      </c>
      <c r="DL349" s="4" t="s">
        <v>241</v>
      </c>
      <c r="DP349" s="4" t="s">
        <v>241</v>
      </c>
      <c r="DQ349" s="4" t="s">
        <v>241</v>
      </c>
      <c r="DR349" s="4" t="s">
        <v>241</v>
      </c>
      <c r="DS349" s="4" t="s">
        <v>241</v>
      </c>
      <c r="DV349" s="4" t="s">
        <v>4894</v>
      </c>
      <c r="DW349" s="4" t="s">
        <v>748</v>
      </c>
      <c r="HO349" s="4" t="s">
        <v>267</v>
      </c>
    </row>
    <row r="350" spans="1:223" ht="19.5" customHeight="1" x14ac:dyDescent="0.4">
      <c r="A350" s="4">
        <v>1</v>
      </c>
      <c r="B350" s="4" t="s">
        <v>239</v>
      </c>
      <c r="C350" s="4">
        <v>1085</v>
      </c>
      <c r="D350" s="4">
        <v>1</v>
      </c>
      <c r="E350" s="4">
        <v>1</v>
      </c>
      <c r="F350" s="4" t="s">
        <v>240</v>
      </c>
      <c r="G350" s="4" t="s">
        <v>241</v>
      </c>
      <c r="H350" s="4" t="s">
        <v>241</v>
      </c>
      <c r="I350" s="4" t="s">
        <v>4892</v>
      </c>
      <c r="J350" s="4" t="s">
        <v>596</v>
      </c>
      <c r="K350" s="4" t="s">
        <v>251</v>
      </c>
      <c r="L350" s="4" t="s">
        <v>4891</v>
      </c>
      <c r="M350" s="5" t="s">
        <v>4902</v>
      </c>
      <c r="N350" s="6">
        <f>1749</f>
        <v>1749</v>
      </c>
      <c r="O350" s="4" t="s">
        <v>265</v>
      </c>
      <c r="P350" s="6">
        <f>3874035</f>
        <v>3874035</v>
      </c>
      <c r="Q350" s="6">
        <f>0</f>
        <v>0</v>
      </c>
      <c r="S350" s="6">
        <f>0</f>
        <v>0</v>
      </c>
      <c r="T350" s="6">
        <f>3874035</f>
        <v>3874035</v>
      </c>
      <c r="U350" s="5" t="s">
        <v>245</v>
      </c>
      <c r="V350" s="4" t="s">
        <v>270</v>
      </c>
      <c r="W350" s="4" t="s">
        <v>242</v>
      </c>
      <c r="X350" s="4" t="s">
        <v>273</v>
      </c>
      <c r="Y350" s="4" t="s">
        <v>241</v>
      </c>
      <c r="AB350" s="4" t="s">
        <v>241</v>
      </c>
      <c r="AD350" s="5" t="s">
        <v>241</v>
      </c>
      <c r="AG350" s="5" t="s">
        <v>246</v>
      </c>
      <c r="AH350" s="4" t="s">
        <v>241</v>
      </c>
      <c r="AI350" s="4" t="s">
        <v>247</v>
      </c>
      <c r="AJ350" s="4" t="s">
        <v>248</v>
      </c>
      <c r="AZ350" s="4" t="s">
        <v>249</v>
      </c>
      <c r="BA350" s="4" t="s">
        <v>241</v>
      </c>
      <c r="BB350" s="4" t="s">
        <v>250</v>
      </c>
      <c r="BC350" s="4" t="s">
        <v>241</v>
      </c>
      <c r="BD350" s="4" t="s">
        <v>252</v>
      </c>
      <c r="BE350" s="4" t="s">
        <v>241</v>
      </c>
      <c r="BI350" s="4" t="s">
        <v>253</v>
      </c>
      <c r="BJ350" s="5" t="s">
        <v>246</v>
      </c>
      <c r="BK350" s="4" t="s">
        <v>254</v>
      </c>
      <c r="BL350" s="4" t="s">
        <v>255</v>
      </c>
      <c r="BM350" s="4" t="s">
        <v>241</v>
      </c>
      <c r="BN350" s="6">
        <f>0</f>
        <v>0</v>
      </c>
      <c r="BO350" s="6">
        <f>0</f>
        <v>0</v>
      </c>
      <c r="BP350" s="4" t="s">
        <v>256</v>
      </c>
      <c r="BQ350" s="4" t="s">
        <v>257</v>
      </c>
      <c r="CE350" s="4" t="s">
        <v>241</v>
      </c>
      <c r="CF350" s="4" t="s">
        <v>241</v>
      </c>
      <c r="CJ350" s="4" t="s">
        <v>258</v>
      </c>
      <c r="CK350" s="4" t="s">
        <v>259</v>
      </c>
      <c r="CL350" s="4" t="s">
        <v>241</v>
      </c>
      <c r="CO350" s="5" t="s">
        <v>260</v>
      </c>
      <c r="CP350" s="4" t="s">
        <v>241</v>
      </c>
      <c r="CQ350" s="4" t="s">
        <v>261</v>
      </c>
      <c r="CR350" s="4" t="s">
        <v>241</v>
      </c>
      <c r="CS350" s="4" t="s">
        <v>241</v>
      </c>
      <c r="CT350" s="4">
        <v>0</v>
      </c>
      <c r="CU350" s="4" t="s">
        <v>262</v>
      </c>
      <c r="CV350" s="4" t="s">
        <v>263</v>
      </c>
      <c r="CW350" s="4" t="s">
        <v>263</v>
      </c>
      <c r="CX350" s="4" t="s">
        <v>264</v>
      </c>
      <c r="DA350" s="6">
        <f>3874035</f>
        <v>3874035</v>
      </c>
      <c r="DC350" s="4" t="s">
        <v>422</v>
      </c>
      <c r="DD350" s="4" t="s">
        <v>241</v>
      </c>
      <c r="DF350" s="4" t="s">
        <v>422</v>
      </c>
      <c r="DG350" s="6">
        <f>1749</f>
        <v>1749</v>
      </c>
      <c r="DI350" s="4" t="s">
        <v>414</v>
      </c>
      <c r="DJ350" s="4" t="s">
        <v>241</v>
      </c>
      <c r="DK350" s="4" t="s">
        <v>241</v>
      </c>
      <c r="DL350" s="4" t="s">
        <v>241</v>
      </c>
      <c r="DP350" s="4" t="s">
        <v>241</v>
      </c>
      <c r="DQ350" s="4" t="s">
        <v>241</v>
      </c>
      <c r="DR350" s="4" t="s">
        <v>241</v>
      </c>
      <c r="DS350" s="4" t="s">
        <v>241</v>
      </c>
      <c r="DV350" s="4" t="s">
        <v>4894</v>
      </c>
      <c r="DW350" s="4" t="s">
        <v>719</v>
      </c>
      <c r="HO350" s="4" t="s">
        <v>267</v>
      </c>
    </row>
    <row r="351" spans="1:223" ht="19.5" customHeight="1" x14ac:dyDescent="0.4">
      <c r="A351" s="4">
        <v>1</v>
      </c>
      <c r="B351" s="4" t="s">
        <v>239</v>
      </c>
      <c r="C351" s="4">
        <v>1086</v>
      </c>
      <c r="D351" s="4">
        <v>1</v>
      </c>
      <c r="E351" s="4">
        <v>1</v>
      </c>
      <c r="F351" s="4" t="s">
        <v>240</v>
      </c>
      <c r="G351" s="4" t="s">
        <v>241</v>
      </c>
      <c r="H351" s="4" t="s">
        <v>241</v>
      </c>
      <c r="I351" s="4" t="s">
        <v>4892</v>
      </c>
      <c r="J351" s="4" t="s">
        <v>596</v>
      </c>
      <c r="K351" s="4" t="s">
        <v>251</v>
      </c>
      <c r="L351" s="4" t="s">
        <v>4891</v>
      </c>
      <c r="M351" s="5" t="s">
        <v>4903</v>
      </c>
      <c r="N351" s="6">
        <f>1790</f>
        <v>1790</v>
      </c>
      <c r="O351" s="4" t="s">
        <v>265</v>
      </c>
      <c r="P351" s="6">
        <f>3964850</f>
        <v>3964850</v>
      </c>
      <c r="Q351" s="6">
        <f>0</f>
        <v>0</v>
      </c>
      <c r="S351" s="6">
        <f>0</f>
        <v>0</v>
      </c>
      <c r="T351" s="6">
        <f>3964850</f>
        <v>3964850</v>
      </c>
      <c r="U351" s="5" t="s">
        <v>245</v>
      </c>
      <c r="V351" s="4" t="s">
        <v>270</v>
      </c>
      <c r="W351" s="4" t="s">
        <v>242</v>
      </c>
      <c r="X351" s="4" t="s">
        <v>273</v>
      </c>
      <c r="Y351" s="4" t="s">
        <v>241</v>
      </c>
      <c r="AB351" s="4" t="s">
        <v>241</v>
      </c>
      <c r="AD351" s="5" t="s">
        <v>241</v>
      </c>
      <c r="AG351" s="5" t="s">
        <v>246</v>
      </c>
      <c r="AH351" s="4" t="s">
        <v>241</v>
      </c>
      <c r="AI351" s="4" t="s">
        <v>247</v>
      </c>
      <c r="AJ351" s="4" t="s">
        <v>248</v>
      </c>
      <c r="AZ351" s="4" t="s">
        <v>249</v>
      </c>
      <c r="BA351" s="4" t="s">
        <v>241</v>
      </c>
      <c r="BB351" s="4" t="s">
        <v>250</v>
      </c>
      <c r="BC351" s="4" t="s">
        <v>241</v>
      </c>
      <c r="BD351" s="4" t="s">
        <v>252</v>
      </c>
      <c r="BE351" s="4" t="s">
        <v>241</v>
      </c>
      <c r="BI351" s="4" t="s">
        <v>253</v>
      </c>
      <c r="BJ351" s="5" t="s">
        <v>246</v>
      </c>
      <c r="BK351" s="4" t="s">
        <v>254</v>
      </c>
      <c r="BL351" s="4" t="s">
        <v>255</v>
      </c>
      <c r="BM351" s="4" t="s">
        <v>241</v>
      </c>
      <c r="BN351" s="6">
        <f>0</f>
        <v>0</v>
      </c>
      <c r="BO351" s="6">
        <f>0</f>
        <v>0</v>
      </c>
      <c r="BP351" s="4" t="s">
        <v>256</v>
      </c>
      <c r="BQ351" s="4" t="s">
        <v>257</v>
      </c>
      <c r="CE351" s="4" t="s">
        <v>241</v>
      </c>
      <c r="CF351" s="4" t="s">
        <v>241</v>
      </c>
      <c r="CJ351" s="4" t="s">
        <v>258</v>
      </c>
      <c r="CK351" s="4" t="s">
        <v>259</v>
      </c>
      <c r="CL351" s="4" t="s">
        <v>241</v>
      </c>
      <c r="CO351" s="5" t="s">
        <v>260</v>
      </c>
      <c r="CP351" s="4" t="s">
        <v>241</v>
      </c>
      <c r="CQ351" s="4" t="s">
        <v>261</v>
      </c>
      <c r="CR351" s="4" t="s">
        <v>241</v>
      </c>
      <c r="CS351" s="4" t="s">
        <v>241</v>
      </c>
      <c r="CT351" s="4">
        <v>0</v>
      </c>
      <c r="CU351" s="4" t="s">
        <v>262</v>
      </c>
      <c r="CV351" s="4" t="s">
        <v>263</v>
      </c>
      <c r="CW351" s="4" t="s">
        <v>263</v>
      </c>
      <c r="CX351" s="4" t="s">
        <v>264</v>
      </c>
      <c r="DA351" s="6">
        <f>3964850</f>
        <v>3964850</v>
      </c>
      <c r="DC351" s="4" t="s">
        <v>422</v>
      </c>
      <c r="DD351" s="4" t="s">
        <v>241</v>
      </c>
      <c r="DF351" s="4" t="s">
        <v>422</v>
      </c>
      <c r="DG351" s="6">
        <f>1790</f>
        <v>1790</v>
      </c>
      <c r="DI351" s="4" t="s">
        <v>414</v>
      </c>
      <c r="DJ351" s="4" t="s">
        <v>241</v>
      </c>
      <c r="DK351" s="4" t="s">
        <v>241</v>
      </c>
      <c r="DL351" s="4" t="s">
        <v>241</v>
      </c>
      <c r="DP351" s="4" t="s">
        <v>241</v>
      </c>
      <c r="DQ351" s="4" t="s">
        <v>241</v>
      </c>
      <c r="DR351" s="4" t="s">
        <v>241</v>
      </c>
      <c r="DS351" s="4" t="s">
        <v>241</v>
      </c>
      <c r="DV351" s="4" t="s">
        <v>4894</v>
      </c>
      <c r="DW351" s="4" t="s">
        <v>690</v>
      </c>
      <c r="HO351" s="4" t="s">
        <v>267</v>
      </c>
    </row>
    <row r="352" spans="1:223" ht="19.5" customHeight="1" x14ac:dyDescent="0.4">
      <c r="A352" s="4">
        <v>1</v>
      </c>
      <c r="B352" s="4" t="s">
        <v>239</v>
      </c>
      <c r="C352" s="4">
        <v>1087</v>
      </c>
      <c r="D352" s="4">
        <v>1</v>
      </c>
      <c r="E352" s="4">
        <v>1</v>
      </c>
      <c r="F352" s="4" t="s">
        <v>240</v>
      </c>
      <c r="G352" s="4" t="s">
        <v>241</v>
      </c>
      <c r="H352" s="4" t="s">
        <v>241</v>
      </c>
      <c r="I352" s="4" t="s">
        <v>4892</v>
      </c>
      <c r="J352" s="4" t="s">
        <v>596</v>
      </c>
      <c r="K352" s="4" t="s">
        <v>251</v>
      </c>
      <c r="L352" s="4" t="s">
        <v>4891</v>
      </c>
      <c r="M352" s="5" t="s">
        <v>4904</v>
      </c>
      <c r="N352" s="6">
        <f>506</f>
        <v>506</v>
      </c>
      <c r="O352" s="4" t="s">
        <v>265</v>
      </c>
      <c r="P352" s="6">
        <f>1120790</f>
        <v>1120790</v>
      </c>
      <c r="Q352" s="6">
        <f>0</f>
        <v>0</v>
      </c>
      <c r="S352" s="6">
        <f>0</f>
        <v>0</v>
      </c>
      <c r="T352" s="6">
        <f>1120790</f>
        <v>1120790</v>
      </c>
      <c r="U352" s="5" t="s">
        <v>245</v>
      </c>
      <c r="V352" s="4" t="s">
        <v>270</v>
      </c>
      <c r="W352" s="4" t="s">
        <v>242</v>
      </c>
      <c r="X352" s="4" t="s">
        <v>273</v>
      </c>
      <c r="Y352" s="4" t="s">
        <v>241</v>
      </c>
      <c r="AB352" s="4" t="s">
        <v>241</v>
      </c>
      <c r="AD352" s="5" t="s">
        <v>241</v>
      </c>
      <c r="AG352" s="5" t="s">
        <v>246</v>
      </c>
      <c r="AH352" s="4" t="s">
        <v>241</v>
      </c>
      <c r="AI352" s="4" t="s">
        <v>247</v>
      </c>
      <c r="AJ352" s="4" t="s">
        <v>248</v>
      </c>
      <c r="AZ352" s="4" t="s">
        <v>249</v>
      </c>
      <c r="BA352" s="4" t="s">
        <v>241</v>
      </c>
      <c r="BB352" s="4" t="s">
        <v>250</v>
      </c>
      <c r="BC352" s="4" t="s">
        <v>241</v>
      </c>
      <c r="BD352" s="4" t="s">
        <v>252</v>
      </c>
      <c r="BE352" s="4" t="s">
        <v>241</v>
      </c>
      <c r="BI352" s="4" t="s">
        <v>253</v>
      </c>
      <c r="BJ352" s="5" t="s">
        <v>246</v>
      </c>
      <c r="BK352" s="4" t="s">
        <v>254</v>
      </c>
      <c r="BL352" s="4" t="s">
        <v>255</v>
      </c>
      <c r="BM352" s="4" t="s">
        <v>241</v>
      </c>
      <c r="BN352" s="6">
        <f>0</f>
        <v>0</v>
      </c>
      <c r="BO352" s="6">
        <f>0</f>
        <v>0</v>
      </c>
      <c r="BP352" s="4" t="s">
        <v>256</v>
      </c>
      <c r="BQ352" s="4" t="s">
        <v>257</v>
      </c>
      <c r="CE352" s="4" t="s">
        <v>241</v>
      </c>
      <c r="CF352" s="4" t="s">
        <v>241</v>
      </c>
      <c r="CJ352" s="4" t="s">
        <v>258</v>
      </c>
      <c r="CK352" s="4" t="s">
        <v>259</v>
      </c>
      <c r="CL352" s="4" t="s">
        <v>241</v>
      </c>
      <c r="CO352" s="5" t="s">
        <v>260</v>
      </c>
      <c r="CP352" s="4" t="s">
        <v>241</v>
      </c>
      <c r="CQ352" s="4" t="s">
        <v>261</v>
      </c>
      <c r="CR352" s="4" t="s">
        <v>241</v>
      </c>
      <c r="CS352" s="4" t="s">
        <v>241</v>
      </c>
      <c r="CT352" s="4">
        <v>0</v>
      </c>
      <c r="CU352" s="4" t="s">
        <v>262</v>
      </c>
      <c r="CV352" s="4" t="s">
        <v>263</v>
      </c>
      <c r="CW352" s="4" t="s">
        <v>263</v>
      </c>
      <c r="CX352" s="4" t="s">
        <v>264</v>
      </c>
      <c r="DA352" s="6">
        <f>1120790</f>
        <v>1120790</v>
      </c>
      <c r="DC352" s="4" t="s">
        <v>422</v>
      </c>
      <c r="DD352" s="4" t="s">
        <v>241</v>
      </c>
      <c r="DF352" s="4" t="s">
        <v>422</v>
      </c>
      <c r="DG352" s="6">
        <f>506</f>
        <v>506</v>
      </c>
      <c r="DI352" s="4" t="s">
        <v>414</v>
      </c>
      <c r="DJ352" s="4" t="s">
        <v>241</v>
      </c>
      <c r="DK352" s="4" t="s">
        <v>241</v>
      </c>
      <c r="DL352" s="4" t="s">
        <v>241</v>
      </c>
      <c r="DP352" s="4" t="s">
        <v>241</v>
      </c>
      <c r="DQ352" s="4" t="s">
        <v>241</v>
      </c>
      <c r="DR352" s="4" t="s">
        <v>241</v>
      </c>
      <c r="DS352" s="4" t="s">
        <v>241</v>
      </c>
      <c r="DV352" s="4" t="s">
        <v>4894</v>
      </c>
      <c r="DW352" s="4" t="s">
        <v>628</v>
      </c>
      <c r="HO352" s="4" t="s">
        <v>267</v>
      </c>
    </row>
    <row r="353" spans="1:223" ht="19.5" customHeight="1" x14ac:dyDescent="0.4">
      <c r="A353" s="4">
        <v>1</v>
      </c>
      <c r="B353" s="4" t="s">
        <v>239</v>
      </c>
      <c r="C353" s="4">
        <v>1088</v>
      </c>
      <c r="D353" s="4">
        <v>1</v>
      </c>
      <c r="E353" s="4">
        <v>1</v>
      </c>
      <c r="F353" s="4" t="s">
        <v>240</v>
      </c>
      <c r="G353" s="4" t="s">
        <v>241</v>
      </c>
      <c r="H353" s="4" t="s">
        <v>241</v>
      </c>
      <c r="I353" s="4" t="s">
        <v>4892</v>
      </c>
      <c r="J353" s="4" t="s">
        <v>596</v>
      </c>
      <c r="K353" s="4" t="s">
        <v>251</v>
      </c>
      <c r="L353" s="4" t="s">
        <v>4891</v>
      </c>
      <c r="M353" s="5" t="s">
        <v>4905</v>
      </c>
      <c r="N353" s="6">
        <f>1253</f>
        <v>1253</v>
      </c>
      <c r="O353" s="4" t="s">
        <v>265</v>
      </c>
      <c r="P353" s="6">
        <f>2775395</f>
        <v>2775395</v>
      </c>
      <c r="Q353" s="6">
        <f>0</f>
        <v>0</v>
      </c>
      <c r="S353" s="6">
        <f>0</f>
        <v>0</v>
      </c>
      <c r="T353" s="6">
        <f>2775395</f>
        <v>2775395</v>
      </c>
      <c r="U353" s="5" t="s">
        <v>245</v>
      </c>
      <c r="V353" s="4" t="s">
        <v>270</v>
      </c>
      <c r="W353" s="4" t="s">
        <v>242</v>
      </c>
      <c r="X353" s="4" t="s">
        <v>273</v>
      </c>
      <c r="Y353" s="4" t="s">
        <v>241</v>
      </c>
      <c r="AB353" s="4" t="s">
        <v>241</v>
      </c>
      <c r="AD353" s="5" t="s">
        <v>241</v>
      </c>
      <c r="AG353" s="5" t="s">
        <v>246</v>
      </c>
      <c r="AH353" s="4" t="s">
        <v>241</v>
      </c>
      <c r="AI353" s="4" t="s">
        <v>247</v>
      </c>
      <c r="AJ353" s="4" t="s">
        <v>248</v>
      </c>
      <c r="AZ353" s="4" t="s">
        <v>249</v>
      </c>
      <c r="BA353" s="4" t="s">
        <v>241</v>
      </c>
      <c r="BB353" s="4" t="s">
        <v>250</v>
      </c>
      <c r="BC353" s="4" t="s">
        <v>241</v>
      </c>
      <c r="BD353" s="4" t="s">
        <v>252</v>
      </c>
      <c r="BE353" s="4" t="s">
        <v>241</v>
      </c>
      <c r="BI353" s="4" t="s">
        <v>253</v>
      </c>
      <c r="BJ353" s="5" t="s">
        <v>246</v>
      </c>
      <c r="BK353" s="4" t="s">
        <v>254</v>
      </c>
      <c r="BL353" s="4" t="s">
        <v>255</v>
      </c>
      <c r="BM353" s="4" t="s">
        <v>241</v>
      </c>
      <c r="BN353" s="6">
        <f>0</f>
        <v>0</v>
      </c>
      <c r="BO353" s="6">
        <f>0</f>
        <v>0</v>
      </c>
      <c r="BP353" s="4" t="s">
        <v>256</v>
      </c>
      <c r="BQ353" s="4" t="s">
        <v>257</v>
      </c>
      <c r="CE353" s="4" t="s">
        <v>241</v>
      </c>
      <c r="CF353" s="4" t="s">
        <v>241</v>
      </c>
      <c r="CJ353" s="4" t="s">
        <v>258</v>
      </c>
      <c r="CK353" s="4" t="s">
        <v>259</v>
      </c>
      <c r="CL353" s="4" t="s">
        <v>241</v>
      </c>
      <c r="CO353" s="5" t="s">
        <v>260</v>
      </c>
      <c r="CP353" s="4" t="s">
        <v>241</v>
      </c>
      <c r="CQ353" s="4" t="s">
        <v>261</v>
      </c>
      <c r="CR353" s="4" t="s">
        <v>241</v>
      </c>
      <c r="CS353" s="4" t="s">
        <v>241</v>
      </c>
      <c r="CT353" s="4">
        <v>0</v>
      </c>
      <c r="CU353" s="4" t="s">
        <v>262</v>
      </c>
      <c r="CV353" s="4" t="s">
        <v>263</v>
      </c>
      <c r="CW353" s="4" t="s">
        <v>263</v>
      </c>
      <c r="CX353" s="4" t="s">
        <v>264</v>
      </c>
      <c r="DA353" s="6">
        <f>2775395</f>
        <v>2775395</v>
      </c>
      <c r="DC353" s="4" t="s">
        <v>422</v>
      </c>
      <c r="DD353" s="4" t="s">
        <v>241</v>
      </c>
      <c r="DF353" s="4" t="s">
        <v>422</v>
      </c>
      <c r="DG353" s="6">
        <f>1253</f>
        <v>1253</v>
      </c>
      <c r="DI353" s="4" t="s">
        <v>414</v>
      </c>
      <c r="DJ353" s="4" t="s">
        <v>241</v>
      </c>
      <c r="DK353" s="4" t="s">
        <v>241</v>
      </c>
      <c r="DL353" s="4" t="s">
        <v>241</v>
      </c>
      <c r="DP353" s="4" t="s">
        <v>241</v>
      </c>
      <c r="DQ353" s="4" t="s">
        <v>241</v>
      </c>
      <c r="DR353" s="4" t="s">
        <v>241</v>
      </c>
      <c r="DS353" s="4" t="s">
        <v>241</v>
      </c>
      <c r="DV353" s="4" t="s">
        <v>4894</v>
      </c>
      <c r="DW353" s="4" t="s">
        <v>597</v>
      </c>
      <c r="HO353" s="4" t="s">
        <v>267</v>
      </c>
    </row>
    <row r="354" spans="1:223" ht="19.5" customHeight="1" x14ac:dyDescent="0.4">
      <c r="A354" s="4">
        <v>1</v>
      </c>
      <c r="B354" s="4" t="s">
        <v>239</v>
      </c>
      <c r="C354" s="4">
        <v>1089</v>
      </c>
      <c r="D354" s="4">
        <v>1</v>
      </c>
      <c r="E354" s="4">
        <v>1</v>
      </c>
      <c r="F354" s="4" t="s">
        <v>240</v>
      </c>
      <c r="G354" s="4" t="s">
        <v>241</v>
      </c>
      <c r="H354" s="4" t="s">
        <v>241</v>
      </c>
      <c r="I354" s="4" t="s">
        <v>4892</v>
      </c>
      <c r="J354" s="4" t="s">
        <v>596</v>
      </c>
      <c r="K354" s="4" t="s">
        <v>251</v>
      </c>
      <c r="L354" s="4" t="s">
        <v>4891</v>
      </c>
      <c r="M354" s="5" t="s">
        <v>4906</v>
      </c>
      <c r="N354" s="6">
        <f>2376</f>
        <v>2376</v>
      </c>
      <c r="O354" s="4" t="s">
        <v>265</v>
      </c>
      <c r="P354" s="6">
        <f>1164240</f>
        <v>1164240</v>
      </c>
      <c r="Q354" s="6">
        <f>0</f>
        <v>0</v>
      </c>
      <c r="S354" s="6">
        <f>0</f>
        <v>0</v>
      </c>
      <c r="T354" s="6">
        <f>1164240</f>
        <v>1164240</v>
      </c>
      <c r="U354" s="5" t="s">
        <v>245</v>
      </c>
      <c r="V354" s="4" t="s">
        <v>270</v>
      </c>
      <c r="W354" s="4" t="s">
        <v>271</v>
      </c>
      <c r="X354" s="4" t="s">
        <v>273</v>
      </c>
      <c r="Y354" s="4" t="s">
        <v>241</v>
      </c>
      <c r="AB354" s="4" t="s">
        <v>241</v>
      </c>
      <c r="AD354" s="5" t="s">
        <v>241</v>
      </c>
      <c r="AG354" s="5" t="s">
        <v>246</v>
      </c>
      <c r="AH354" s="4" t="s">
        <v>241</v>
      </c>
      <c r="AI354" s="4" t="s">
        <v>247</v>
      </c>
      <c r="AJ354" s="4" t="s">
        <v>248</v>
      </c>
      <c r="AZ354" s="4" t="s">
        <v>249</v>
      </c>
      <c r="BA354" s="4" t="s">
        <v>241</v>
      </c>
      <c r="BB354" s="4" t="s">
        <v>250</v>
      </c>
      <c r="BC354" s="4" t="s">
        <v>241</v>
      </c>
      <c r="BD354" s="4" t="s">
        <v>252</v>
      </c>
      <c r="BE354" s="4" t="s">
        <v>241</v>
      </c>
      <c r="BI354" s="4" t="s">
        <v>253</v>
      </c>
      <c r="BJ354" s="5" t="s">
        <v>246</v>
      </c>
      <c r="BK354" s="4" t="s">
        <v>254</v>
      </c>
      <c r="BL354" s="4" t="s">
        <v>255</v>
      </c>
      <c r="BM354" s="4" t="s">
        <v>241</v>
      </c>
      <c r="BN354" s="6">
        <f>0</f>
        <v>0</v>
      </c>
      <c r="BO354" s="6">
        <f>0</f>
        <v>0</v>
      </c>
      <c r="BP354" s="4" t="s">
        <v>256</v>
      </c>
      <c r="BQ354" s="4" t="s">
        <v>257</v>
      </c>
      <c r="CE354" s="4" t="s">
        <v>241</v>
      </c>
      <c r="CF354" s="4" t="s">
        <v>241</v>
      </c>
      <c r="CJ354" s="4" t="s">
        <v>258</v>
      </c>
      <c r="CK354" s="4" t="s">
        <v>259</v>
      </c>
      <c r="CL354" s="4" t="s">
        <v>241</v>
      </c>
      <c r="CO354" s="5" t="s">
        <v>260</v>
      </c>
      <c r="CP354" s="4" t="s">
        <v>241</v>
      </c>
      <c r="CQ354" s="4" t="s">
        <v>261</v>
      </c>
      <c r="CR354" s="4" t="s">
        <v>241</v>
      </c>
      <c r="CS354" s="4" t="s">
        <v>241</v>
      </c>
      <c r="CT354" s="4">
        <v>0</v>
      </c>
      <c r="CU354" s="4" t="s">
        <v>262</v>
      </c>
      <c r="CV354" s="4" t="s">
        <v>263</v>
      </c>
      <c r="CW354" s="4" t="s">
        <v>263</v>
      </c>
      <c r="CX354" s="4" t="s">
        <v>264</v>
      </c>
      <c r="DA354" s="6">
        <f>1164240</f>
        <v>1164240</v>
      </c>
      <c r="DC354" s="4" t="s">
        <v>325</v>
      </c>
      <c r="DD354" s="4" t="s">
        <v>241</v>
      </c>
      <c r="DF354" s="4" t="s">
        <v>422</v>
      </c>
      <c r="DG354" s="6">
        <f>2376</f>
        <v>2376</v>
      </c>
      <c r="DI354" s="4" t="s">
        <v>287</v>
      </c>
      <c r="DJ354" s="4" t="s">
        <v>241</v>
      </c>
      <c r="DK354" s="4" t="s">
        <v>241</v>
      </c>
      <c r="DL354" s="4" t="s">
        <v>241</v>
      </c>
      <c r="DP354" s="4" t="s">
        <v>241</v>
      </c>
      <c r="DQ354" s="4" t="s">
        <v>241</v>
      </c>
      <c r="DR354" s="4" t="s">
        <v>241</v>
      </c>
      <c r="DS354" s="4" t="s">
        <v>241</v>
      </c>
      <c r="DV354" s="4" t="s">
        <v>4894</v>
      </c>
      <c r="DW354" s="4" t="s">
        <v>1792</v>
      </c>
      <c r="HO354" s="4" t="s">
        <v>267</v>
      </c>
    </row>
    <row r="355" spans="1:223" ht="19.5" customHeight="1" x14ac:dyDescent="0.4">
      <c r="A355" s="4">
        <v>1</v>
      </c>
      <c r="B355" s="4" t="s">
        <v>239</v>
      </c>
      <c r="C355" s="4">
        <v>1090</v>
      </c>
      <c r="D355" s="4">
        <v>1</v>
      </c>
      <c r="E355" s="4">
        <v>1</v>
      </c>
      <c r="F355" s="4" t="s">
        <v>240</v>
      </c>
      <c r="G355" s="4" t="s">
        <v>241</v>
      </c>
      <c r="H355" s="4" t="s">
        <v>241</v>
      </c>
      <c r="I355" s="4" t="s">
        <v>4892</v>
      </c>
      <c r="J355" s="4" t="s">
        <v>596</v>
      </c>
      <c r="K355" s="4" t="s">
        <v>251</v>
      </c>
      <c r="L355" s="4" t="s">
        <v>4891</v>
      </c>
      <c r="M355" s="5" t="s">
        <v>4907</v>
      </c>
      <c r="N355" s="6">
        <f>1276</f>
        <v>1276</v>
      </c>
      <c r="O355" s="4" t="s">
        <v>265</v>
      </c>
      <c r="P355" s="6">
        <f>2826340</f>
        <v>2826340</v>
      </c>
      <c r="Q355" s="6">
        <f>0</f>
        <v>0</v>
      </c>
      <c r="S355" s="6">
        <f>0</f>
        <v>0</v>
      </c>
      <c r="T355" s="6">
        <f>2826340</f>
        <v>2826340</v>
      </c>
      <c r="U355" s="5" t="s">
        <v>245</v>
      </c>
      <c r="V355" s="4" t="s">
        <v>270</v>
      </c>
      <c r="W355" s="4" t="s">
        <v>242</v>
      </c>
      <c r="X355" s="4" t="s">
        <v>273</v>
      </c>
      <c r="Y355" s="4" t="s">
        <v>241</v>
      </c>
      <c r="AB355" s="4" t="s">
        <v>241</v>
      </c>
      <c r="AD355" s="5" t="s">
        <v>241</v>
      </c>
      <c r="AG355" s="5" t="s">
        <v>246</v>
      </c>
      <c r="AH355" s="4" t="s">
        <v>241</v>
      </c>
      <c r="AI355" s="4" t="s">
        <v>247</v>
      </c>
      <c r="AJ355" s="4" t="s">
        <v>248</v>
      </c>
      <c r="AZ355" s="4" t="s">
        <v>249</v>
      </c>
      <c r="BA355" s="4" t="s">
        <v>241</v>
      </c>
      <c r="BB355" s="4" t="s">
        <v>250</v>
      </c>
      <c r="BC355" s="4" t="s">
        <v>241</v>
      </c>
      <c r="BD355" s="4" t="s">
        <v>252</v>
      </c>
      <c r="BE355" s="4" t="s">
        <v>241</v>
      </c>
      <c r="BI355" s="4" t="s">
        <v>253</v>
      </c>
      <c r="BJ355" s="5" t="s">
        <v>246</v>
      </c>
      <c r="BK355" s="4" t="s">
        <v>254</v>
      </c>
      <c r="BL355" s="4" t="s">
        <v>255</v>
      </c>
      <c r="BM355" s="4" t="s">
        <v>241</v>
      </c>
      <c r="BN355" s="6">
        <f>0</f>
        <v>0</v>
      </c>
      <c r="BO355" s="6">
        <f>0</f>
        <v>0</v>
      </c>
      <c r="BP355" s="4" t="s">
        <v>256</v>
      </c>
      <c r="BQ355" s="4" t="s">
        <v>257</v>
      </c>
      <c r="CE355" s="4" t="s">
        <v>241</v>
      </c>
      <c r="CF355" s="4" t="s">
        <v>241</v>
      </c>
      <c r="CJ355" s="4" t="s">
        <v>258</v>
      </c>
      <c r="CK355" s="4" t="s">
        <v>259</v>
      </c>
      <c r="CL355" s="4" t="s">
        <v>241</v>
      </c>
      <c r="CO355" s="5" t="s">
        <v>260</v>
      </c>
      <c r="CP355" s="4" t="s">
        <v>241</v>
      </c>
      <c r="CQ355" s="4" t="s">
        <v>261</v>
      </c>
      <c r="CR355" s="4" t="s">
        <v>241</v>
      </c>
      <c r="CS355" s="4" t="s">
        <v>241</v>
      </c>
      <c r="CT355" s="4">
        <v>0</v>
      </c>
      <c r="CU355" s="4" t="s">
        <v>262</v>
      </c>
      <c r="CV355" s="4" t="s">
        <v>263</v>
      </c>
      <c r="CW355" s="4" t="s">
        <v>263</v>
      </c>
      <c r="CX355" s="4" t="s">
        <v>264</v>
      </c>
      <c r="DA355" s="6">
        <f>2826340</f>
        <v>2826340</v>
      </c>
      <c r="DC355" s="4" t="s">
        <v>422</v>
      </c>
      <c r="DD355" s="4" t="s">
        <v>241</v>
      </c>
      <c r="DF355" s="4" t="s">
        <v>422</v>
      </c>
      <c r="DG355" s="6">
        <f>1276</f>
        <v>1276</v>
      </c>
      <c r="DI355" s="4" t="s">
        <v>414</v>
      </c>
      <c r="DJ355" s="4" t="s">
        <v>241</v>
      </c>
      <c r="DK355" s="4" t="s">
        <v>241</v>
      </c>
      <c r="DL355" s="4" t="s">
        <v>241</v>
      </c>
      <c r="DP355" s="4" t="s">
        <v>241</v>
      </c>
      <c r="DQ355" s="4" t="s">
        <v>241</v>
      </c>
      <c r="DR355" s="4" t="s">
        <v>241</v>
      </c>
      <c r="DS355" s="4" t="s">
        <v>241</v>
      </c>
      <c r="DV355" s="4" t="s">
        <v>4894</v>
      </c>
      <c r="DW355" s="4" t="s">
        <v>1789</v>
      </c>
      <c r="HO355" s="4" t="s">
        <v>267</v>
      </c>
    </row>
    <row r="356" spans="1:223" ht="19.5" customHeight="1" x14ac:dyDescent="0.4">
      <c r="A356" s="4">
        <v>1</v>
      </c>
      <c r="B356" s="4" t="s">
        <v>239</v>
      </c>
      <c r="C356" s="4">
        <v>1091</v>
      </c>
      <c r="D356" s="4">
        <v>1</v>
      </c>
      <c r="E356" s="4">
        <v>1</v>
      </c>
      <c r="F356" s="4" t="s">
        <v>240</v>
      </c>
      <c r="G356" s="4" t="s">
        <v>241</v>
      </c>
      <c r="H356" s="4" t="s">
        <v>241</v>
      </c>
      <c r="I356" s="4" t="s">
        <v>4892</v>
      </c>
      <c r="J356" s="4" t="s">
        <v>596</v>
      </c>
      <c r="K356" s="4" t="s">
        <v>251</v>
      </c>
      <c r="L356" s="4" t="s">
        <v>4891</v>
      </c>
      <c r="M356" s="5" t="s">
        <v>4895</v>
      </c>
      <c r="N356" s="6">
        <f>177</f>
        <v>177</v>
      </c>
      <c r="O356" s="4" t="s">
        <v>265</v>
      </c>
      <c r="P356" s="6">
        <f>392055</f>
        <v>392055</v>
      </c>
      <c r="Q356" s="6">
        <f>0</f>
        <v>0</v>
      </c>
      <c r="S356" s="6">
        <f>0</f>
        <v>0</v>
      </c>
      <c r="T356" s="6">
        <f>392055</f>
        <v>392055</v>
      </c>
      <c r="U356" s="5" t="s">
        <v>245</v>
      </c>
      <c r="V356" s="4" t="s">
        <v>270</v>
      </c>
      <c r="W356" s="4" t="s">
        <v>242</v>
      </c>
      <c r="X356" s="4" t="s">
        <v>273</v>
      </c>
      <c r="Y356" s="4" t="s">
        <v>241</v>
      </c>
      <c r="AB356" s="4" t="s">
        <v>241</v>
      </c>
      <c r="AD356" s="5" t="s">
        <v>241</v>
      </c>
      <c r="AG356" s="5" t="s">
        <v>246</v>
      </c>
      <c r="AH356" s="4" t="s">
        <v>241</v>
      </c>
      <c r="AI356" s="4" t="s">
        <v>247</v>
      </c>
      <c r="AJ356" s="4" t="s">
        <v>248</v>
      </c>
      <c r="AZ356" s="4" t="s">
        <v>249</v>
      </c>
      <c r="BA356" s="4" t="s">
        <v>241</v>
      </c>
      <c r="BB356" s="4" t="s">
        <v>250</v>
      </c>
      <c r="BC356" s="4" t="s">
        <v>241</v>
      </c>
      <c r="BD356" s="4" t="s">
        <v>252</v>
      </c>
      <c r="BE356" s="4" t="s">
        <v>241</v>
      </c>
      <c r="BI356" s="4" t="s">
        <v>253</v>
      </c>
      <c r="BJ356" s="5" t="s">
        <v>246</v>
      </c>
      <c r="BK356" s="4" t="s">
        <v>254</v>
      </c>
      <c r="BL356" s="4" t="s">
        <v>255</v>
      </c>
      <c r="BM356" s="4" t="s">
        <v>241</v>
      </c>
      <c r="BN356" s="6">
        <f>0</f>
        <v>0</v>
      </c>
      <c r="BO356" s="6">
        <f>0</f>
        <v>0</v>
      </c>
      <c r="BP356" s="4" t="s">
        <v>256</v>
      </c>
      <c r="BQ356" s="4" t="s">
        <v>257</v>
      </c>
      <c r="CE356" s="4" t="s">
        <v>241</v>
      </c>
      <c r="CF356" s="4" t="s">
        <v>241</v>
      </c>
      <c r="CJ356" s="4" t="s">
        <v>258</v>
      </c>
      <c r="CK356" s="4" t="s">
        <v>259</v>
      </c>
      <c r="CL356" s="4" t="s">
        <v>241</v>
      </c>
      <c r="CO356" s="5" t="s">
        <v>260</v>
      </c>
      <c r="CP356" s="4" t="s">
        <v>241</v>
      </c>
      <c r="CQ356" s="4" t="s">
        <v>261</v>
      </c>
      <c r="CR356" s="4" t="s">
        <v>241</v>
      </c>
      <c r="CS356" s="4" t="s">
        <v>241</v>
      </c>
      <c r="CT356" s="4">
        <v>0</v>
      </c>
      <c r="CU356" s="4" t="s">
        <v>262</v>
      </c>
      <c r="CV356" s="4" t="s">
        <v>263</v>
      </c>
      <c r="CW356" s="4" t="s">
        <v>263</v>
      </c>
      <c r="CX356" s="4" t="s">
        <v>264</v>
      </c>
      <c r="DA356" s="6">
        <f>392055</f>
        <v>392055</v>
      </c>
      <c r="DC356" s="4" t="s">
        <v>422</v>
      </c>
      <c r="DD356" s="4" t="s">
        <v>241</v>
      </c>
      <c r="DF356" s="4" t="s">
        <v>422</v>
      </c>
      <c r="DG356" s="6">
        <f>177</f>
        <v>177</v>
      </c>
      <c r="DI356" s="4" t="s">
        <v>414</v>
      </c>
      <c r="DJ356" s="4" t="s">
        <v>241</v>
      </c>
      <c r="DK356" s="4" t="s">
        <v>241</v>
      </c>
      <c r="DL356" s="4" t="s">
        <v>241</v>
      </c>
      <c r="DP356" s="4" t="s">
        <v>241</v>
      </c>
      <c r="DQ356" s="4" t="s">
        <v>241</v>
      </c>
      <c r="DR356" s="4" t="s">
        <v>241</v>
      </c>
      <c r="DS356" s="4" t="s">
        <v>241</v>
      </c>
      <c r="DV356" s="4" t="s">
        <v>4894</v>
      </c>
      <c r="DW356" s="4" t="s">
        <v>1787</v>
      </c>
      <c r="HO356" s="4" t="s">
        <v>267</v>
      </c>
    </row>
    <row r="357" spans="1:223" ht="19.5" customHeight="1" x14ac:dyDescent="0.4">
      <c r="A357" s="4">
        <v>1</v>
      </c>
      <c r="B357" s="4" t="s">
        <v>239</v>
      </c>
      <c r="C357" s="4">
        <v>1092</v>
      </c>
      <c r="D357" s="4">
        <v>1</v>
      </c>
      <c r="E357" s="4">
        <v>1</v>
      </c>
      <c r="F357" s="4" t="s">
        <v>240</v>
      </c>
      <c r="G357" s="4" t="s">
        <v>241</v>
      </c>
      <c r="H357" s="4" t="s">
        <v>241</v>
      </c>
      <c r="I357" s="4" t="s">
        <v>4892</v>
      </c>
      <c r="J357" s="4" t="s">
        <v>596</v>
      </c>
      <c r="K357" s="4" t="s">
        <v>251</v>
      </c>
      <c r="L357" s="4" t="s">
        <v>4891</v>
      </c>
      <c r="M357" s="5" t="s">
        <v>4908</v>
      </c>
      <c r="N357" s="6">
        <f>1326</f>
        <v>1326</v>
      </c>
      <c r="O357" s="4" t="s">
        <v>265</v>
      </c>
      <c r="P357" s="6">
        <f>2937090</f>
        <v>2937090</v>
      </c>
      <c r="Q357" s="6">
        <f>0</f>
        <v>0</v>
      </c>
      <c r="S357" s="6">
        <f>0</f>
        <v>0</v>
      </c>
      <c r="T357" s="6">
        <f>2937090</f>
        <v>2937090</v>
      </c>
      <c r="U357" s="5" t="s">
        <v>245</v>
      </c>
      <c r="V357" s="4" t="s">
        <v>270</v>
      </c>
      <c r="W357" s="4" t="s">
        <v>242</v>
      </c>
      <c r="X357" s="4" t="s">
        <v>273</v>
      </c>
      <c r="Y357" s="4" t="s">
        <v>241</v>
      </c>
      <c r="AB357" s="4" t="s">
        <v>241</v>
      </c>
      <c r="AD357" s="5" t="s">
        <v>241</v>
      </c>
      <c r="AG357" s="5" t="s">
        <v>246</v>
      </c>
      <c r="AH357" s="4" t="s">
        <v>241</v>
      </c>
      <c r="AI357" s="4" t="s">
        <v>247</v>
      </c>
      <c r="AJ357" s="4" t="s">
        <v>248</v>
      </c>
      <c r="AZ357" s="4" t="s">
        <v>249</v>
      </c>
      <c r="BA357" s="4" t="s">
        <v>241</v>
      </c>
      <c r="BB357" s="4" t="s">
        <v>250</v>
      </c>
      <c r="BC357" s="4" t="s">
        <v>241</v>
      </c>
      <c r="BD357" s="4" t="s">
        <v>252</v>
      </c>
      <c r="BE357" s="4" t="s">
        <v>241</v>
      </c>
      <c r="BI357" s="4" t="s">
        <v>253</v>
      </c>
      <c r="BJ357" s="5" t="s">
        <v>246</v>
      </c>
      <c r="BK357" s="4" t="s">
        <v>254</v>
      </c>
      <c r="BL357" s="4" t="s">
        <v>255</v>
      </c>
      <c r="BM357" s="4" t="s">
        <v>241</v>
      </c>
      <c r="BN357" s="6">
        <f>0</f>
        <v>0</v>
      </c>
      <c r="BO357" s="6">
        <f>0</f>
        <v>0</v>
      </c>
      <c r="BP357" s="4" t="s">
        <v>256</v>
      </c>
      <c r="BQ357" s="4" t="s">
        <v>257</v>
      </c>
      <c r="CE357" s="4" t="s">
        <v>241</v>
      </c>
      <c r="CF357" s="4" t="s">
        <v>241</v>
      </c>
      <c r="CJ357" s="4" t="s">
        <v>258</v>
      </c>
      <c r="CK357" s="4" t="s">
        <v>259</v>
      </c>
      <c r="CL357" s="4" t="s">
        <v>241</v>
      </c>
      <c r="CO357" s="5" t="s">
        <v>260</v>
      </c>
      <c r="CP357" s="4" t="s">
        <v>241</v>
      </c>
      <c r="CQ357" s="4" t="s">
        <v>261</v>
      </c>
      <c r="CR357" s="4" t="s">
        <v>241</v>
      </c>
      <c r="CS357" s="4" t="s">
        <v>241</v>
      </c>
      <c r="CT357" s="4">
        <v>0</v>
      </c>
      <c r="CU357" s="4" t="s">
        <v>262</v>
      </c>
      <c r="CV357" s="4" t="s">
        <v>263</v>
      </c>
      <c r="CW357" s="4" t="s">
        <v>263</v>
      </c>
      <c r="CX357" s="4" t="s">
        <v>264</v>
      </c>
      <c r="DA357" s="6">
        <f>2937090</f>
        <v>2937090</v>
      </c>
      <c r="DC357" s="4" t="s">
        <v>422</v>
      </c>
      <c r="DD357" s="4" t="s">
        <v>241</v>
      </c>
      <c r="DF357" s="4" t="s">
        <v>422</v>
      </c>
      <c r="DG357" s="6">
        <f>1326</f>
        <v>1326</v>
      </c>
      <c r="DI357" s="4" t="s">
        <v>414</v>
      </c>
      <c r="DJ357" s="4" t="s">
        <v>241</v>
      </c>
      <c r="DK357" s="4" t="s">
        <v>241</v>
      </c>
      <c r="DL357" s="4" t="s">
        <v>241</v>
      </c>
      <c r="DP357" s="4" t="s">
        <v>241</v>
      </c>
      <c r="DQ357" s="4" t="s">
        <v>241</v>
      </c>
      <c r="DR357" s="4" t="s">
        <v>241</v>
      </c>
      <c r="DS357" s="4" t="s">
        <v>241</v>
      </c>
      <c r="DV357" s="4" t="s">
        <v>4894</v>
      </c>
      <c r="DW357" s="4" t="s">
        <v>1785</v>
      </c>
      <c r="HO357" s="4" t="s">
        <v>267</v>
      </c>
    </row>
    <row r="358" spans="1:223" ht="19.5" customHeight="1" x14ac:dyDescent="0.4">
      <c r="A358" s="4">
        <v>1</v>
      </c>
      <c r="B358" s="4" t="s">
        <v>239</v>
      </c>
      <c r="C358" s="4">
        <v>1093</v>
      </c>
      <c r="D358" s="4">
        <v>1</v>
      </c>
      <c r="E358" s="4">
        <v>1</v>
      </c>
      <c r="F358" s="4" t="s">
        <v>240</v>
      </c>
      <c r="G358" s="4" t="s">
        <v>241</v>
      </c>
      <c r="H358" s="4" t="s">
        <v>241</v>
      </c>
      <c r="I358" s="4" t="s">
        <v>4892</v>
      </c>
      <c r="J358" s="4" t="s">
        <v>596</v>
      </c>
      <c r="K358" s="4" t="s">
        <v>251</v>
      </c>
      <c r="L358" s="4" t="s">
        <v>4891</v>
      </c>
      <c r="M358" s="5" t="s">
        <v>4910</v>
      </c>
      <c r="N358" s="6">
        <f>1035</f>
        <v>1035</v>
      </c>
      <c r="O358" s="4" t="s">
        <v>265</v>
      </c>
      <c r="P358" s="6">
        <f>2292525</f>
        <v>2292525</v>
      </c>
      <c r="Q358" s="6">
        <f>0</f>
        <v>0</v>
      </c>
      <c r="S358" s="6">
        <f>0</f>
        <v>0</v>
      </c>
      <c r="T358" s="6">
        <f>2292525</f>
        <v>2292525</v>
      </c>
      <c r="U358" s="5" t="s">
        <v>245</v>
      </c>
      <c r="V358" s="4" t="s">
        <v>270</v>
      </c>
      <c r="W358" s="4" t="s">
        <v>242</v>
      </c>
      <c r="X358" s="4" t="s">
        <v>273</v>
      </c>
      <c r="Y358" s="4" t="s">
        <v>241</v>
      </c>
      <c r="AB358" s="4" t="s">
        <v>241</v>
      </c>
      <c r="AD358" s="5" t="s">
        <v>241</v>
      </c>
      <c r="AG358" s="5" t="s">
        <v>246</v>
      </c>
      <c r="AH358" s="4" t="s">
        <v>241</v>
      </c>
      <c r="AI358" s="4" t="s">
        <v>247</v>
      </c>
      <c r="AJ358" s="4" t="s">
        <v>248</v>
      </c>
      <c r="AZ358" s="4" t="s">
        <v>249</v>
      </c>
      <c r="BA358" s="4" t="s">
        <v>241</v>
      </c>
      <c r="BB358" s="4" t="s">
        <v>250</v>
      </c>
      <c r="BC358" s="4" t="s">
        <v>241</v>
      </c>
      <c r="BD358" s="4" t="s">
        <v>252</v>
      </c>
      <c r="BE358" s="4" t="s">
        <v>241</v>
      </c>
      <c r="BI358" s="4" t="s">
        <v>253</v>
      </c>
      <c r="BJ358" s="5" t="s">
        <v>246</v>
      </c>
      <c r="BK358" s="4" t="s">
        <v>254</v>
      </c>
      <c r="BL358" s="4" t="s">
        <v>255</v>
      </c>
      <c r="BM358" s="4" t="s">
        <v>241</v>
      </c>
      <c r="BN358" s="6">
        <f>0</f>
        <v>0</v>
      </c>
      <c r="BO358" s="6">
        <f>0</f>
        <v>0</v>
      </c>
      <c r="BP358" s="4" t="s">
        <v>256</v>
      </c>
      <c r="BQ358" s="4" t="s">
        <v>257</v>
      </c>
      <c r="CE358" s="4" t="s">
        <v>241</v>
      </c>
      <c r="CF358" s="4" t="s">
        <v>241</v>
      </c>
      <c r="CJ358" s="4" t="s">
        <v>258</v>
      </c>
      <c r="CK358" s="4" t="s">
        <v>259</v>
      </c>
      <c r="CL358" s="4" t="s">
        <v>241</v>
      </c>
      <c r="CO358" s="5" t="s">
        <v>260</v>
      </c>
      <c r="CP358" s="4" t="s">
        <v>241</v>
      </c>
      <c r="CQ358" s="4" t="s">
        <v>261</v>
      </c>
      <c r="CR358" s="4" t="s">
        <v>241</v>
      </c>
      <c r="CS358" s="4" t="s">
        <v>241</v>
      </c>
      <c r="CT358" s="4">
        <v>0</v>
      </c>
      <c r="CU358" s="4" t="s">
        <v>262</v>
      </c>
      <c r="CV358" s="4" t="s">
        <v>263</v>
      </c>
      <c r="CW358" s="4" t="s">
        <v>263</v>
      </c>
      <c r="CX358" s="4" t="s">
        <v>264</v>
      </c>
      <c r="DA358" s="6">
        <f>2292525</f>
        <v>2292525</v>
      </c>
      <c r="DC358" s="4" t="s">
        <v>422</v>
      </c>
      <c r="DD358" s="4" t="s">
        <v>241</v>
      </c>
      <c r="DF358" s="4" t="s">
        <v>422</v>
      </c>
      <c r="DG358" s="6">
        <f>1035</f>
        <v>1035</v>
      </c>
      <c r="DI358" s="4" t="s">
        <v>414</v>
      </c>
      <c r="DJ358" s="4" t="s">
        <v>241</v>
      </c>
      <c r="DK358" s="4" t="s">
        <v>241</v>
      </c>
      <c r="DL358" s="4" t="s">
        <v>241</v>
      </c>
      <c r="DP358" s="4" t="s">
        <v>241</v>
      </c>
      <c r="DQ358" s="4" t="s">
        <v>241</v>
      </c>
      <c r="DR358" s="4" t="s">
        <v>241</v>
      </c>
      <c r="DS358" s="4" t="s">
        <v>241</v>
      </c>
      <c r="DV358" s="4" t="s">
        <v>4894</v>
      </c>
      <c r="DW358" s="4" t="s">
        <v>1781</v>
      </c>
      <c r="HO358" s="4" t="s">
        <v>267</v>
      </c>
    </row>
    <row r="359" spans="1:223" ht="19.5" customHeight="1" x14ac:dyDescent="0.4">
      <c r="A359" s="4">
        <v>1</v>
      </c>
      <c r="B359" s="4" t="s">
        <v>239</v>
      </c>
      <c r="C359" s="4">
        <v>1094</v>
      </c>
      <c r="D359" s="4">
        <v>1</v>
      </c>
      <c r="E359" s="4">
        <v>1</v>
      </c>
      <c r="F359" s="4" t="s">
        <v>240</v>
      </c>
      <c r="G359" s="4" t="s">
        <v>241</v>
      </c>
      <c r="H359" s="4" t="s">
        <v>241</v>
      </c>
      <c r="I359" s="4" t="s">
        <v>4892</v>
      </c>
      <c r="J359" s="4" t="s">
        <v>596</v>
      </c>
      <c r="K359" s="4" t="s">
        <v>251</v>
      </c>
      <c r="L359" s="4" t="s">
        <v>4891</v>
      </c>
      <c r="M359" s="5" t="s">
        <v>5481</v>
      </c>
      <c r="N359" s="6">
        <f>636</f>
        <v>636</v>
      </c>
      <c r="O359" s="4" t="s">
        <v>265</v>
      </c>
      <c r="P359" s="6">
        <f>1408740</f>
        <v>1408740</v>
      </c>
      <c r="Q359" s="6">
        <f>0</f>
        <v>0</v>
      </c>
      <c r="S359" s="6">
        <f>0</f>
        <v>0</v>
      </c>
      <c r="T359" s="6">
        <f>1408740</f>
        <v>1408740</v>
      </c>
      <c r="U359" s="5" t="s">
        <v>245</v>
      </c>
      <c r="V359" s="4" t="s">
        <v>270</v>
      </c>
      <c r="W359" s="4" t="s">
        <v>242</v>
      </c>
      <c r="X359" s="4" t="s">
        <v>273</v>
      </c>
      <c r="Y359" s="4" t="s">
        <v>241</v>
      </c>
      <c r="AB359" s="4" t="s">
        <v>241</v>
      </c>
      <c r="AD359" s="5" t="s">
        <v>241</v>
      </c>
      <c r="AG359" s="5" t="s">
        <v>246</v>
      </c>
      <c r="AH359" s="4" t="s">
        <v>241</v>
      </c>
      <c r="AI359" s="4" t="s">
        <v>247</v>
      </c>
      <c r="AJ359" s="4" t="s">
        <v>248</v>
      </c>
      <c r="AZ359" s="4" t="s">
        <v>249</v>
      </c>
      <c r="BA359" s="4" t="s">
        <v>241</v>
      </c>
      <c r="BB359" s="4" t="s">
        <v>250</v>
      </c>
      <c r="BC359" s="4" t="s">
        <v>241</v>
      </c>
      <c r="BD359" s="4" t="s">
        <v>252</v>
      </c>
      <c r="BE359" s="4" t="s">
        <v>241</v>
      </c>
      <c r="BI359" s="4" t="s">
        <v>253</v>
      </c>
      <c r="BJ359" s="5" t="s">
        <v>246</v>
      </c>
      <c r="BK359" s="4" t="s">
        <v>254</v>
      </c>
      <c r="BL359" s="4" t="s">
        <v>255</v>
      </c>
      <c r="BM359" s="4" t="s">
        <v>241</v>
      </c>
      <c r="BN359" s="6">
        <f>0</f>
        <v>0</v>
      </c>
      <c r="BO359" s="6">
        <f>0</f>
        <v>0</v>
      </c>
      <c r="BP359" s="4" t="s">
        <v>256</v>
      </c>
      <c r="BQ359" s="4" t="s">
        <v>257</v>
      </c>
      <c r="CE359" s="4" t="s">
        <v>241</v>
      </c>
      <c r="CF359" s="4" t="s">
        <v>241</v>
      </c>
      <c r="CJ359" s="4" t="s">
        <v>258</v>
      </c>
      <c r="CK359" s="4" t="s">
        <v>259</v>
      </c>
      <c r="CL359" s="4" t="s">
        <v>241</v>
      </c>
      <c r="CO359" s="5" t="s">
        <v>260</v>
      </c>
      <c r="CP359" s="4" t="s">
        <v>241</v>
      </c>
      <c r="CQ359" s="4" t="s">
        <v>261</v>
      </c>
      <c r="CR359" s="4" t="s">
        <v>241</v>
      </c>
      <c r="CS359" s="4" t="s">
        <v>241</v>
      </c>
      <c r="CT359" s="4">
        <v>0</v>
      </c>
      <c r="CU359" s="4" t="s">
        <v>262</v>
      </c>
      <c r="CV359" s="4" t="s">
        <v>263</v>
      </c>
      <c r="CW359" s="4" t="s">
        <v>263</v>
      </c>
      <c r="CX359" s="4" t="s">
        <v>264</v>
      </c>
      <c r="DA359" s="6">
        <f>1408740</f>
        <v>1408740</v>
      </c>
      <c r="DC359" s="4" t="s">
        <v>422</v>
      </c>
      <c r="DD359" s="4" t="s">
        <v>241</v>
      </c>
      <c r="DF359" s="4" t="s">
        <v>422</v>
      </c>
      <c r="DG359" s="6">
        <f>636</f>
        <v>636</v>
      </c>
      <c r="DI359" s="4" t="s">
        <v>414</v>
      </c>
      <c r="DJ359" s="4" t="s">
        <v>241</v>
      </c>
      <c r="DK359" s="4" t="s">
        <v>241</v>
      </c>
      <c r="DL359" s="4" t="s">
        <v>241</v>
      </c>
      <c r="DP359" s="4" t="s">
        <v>241</v>
      </c>
      <c r="DQ359" s="4" t="s">
        <v>241</v>
      </c>
      <c r="DR359" s="4" t="s">
        <v>241</v>
      </c>
      <c r="DS359" s="4" t="s">
        <v>241</v>
      </c>
      <c r="DV359" s="4" t="s">
        <v>4894</v>
      </c>
      <c r="DW359" s="4" t="s">
        <v>2564</v>
      </c>
      <c r="HO359" s="4" t="s">
        <v>267</v>
      </c>
    </row>
    <row r="360" spans="1:223" ht="19.5" customHeight="1" x14ac:dyDescent="0.4">
      <c r="A360" s="4">
        <v>1</v>
      </c>
      <c r="B360" s="4" t="s">
        <v>239</v>
      </c>
      <c r="C360" s="4">
        <v>1095</v>
      </c>
      <c r="D360" s="4">
        <v>1</v>
      </c>
      <c r="E360" s="4">
        <v>1</v>
      </c>
      <c r="F360" s="4" t="s">
        <v>240</v>
      </c>
      <c r="G360" s="4" t="s">
        <v>241</v>
      </c>
      <c r="H360" s="4" t="s">
        <v>241</v>
      </c>
      <c r="I360" s="4" t="s">
        <v>4892</v>
      </c>
      <c r="J360" s="4" t="s">
        <v>596</v>
      </c>
      <c r="K360" s="4" t="s">
        <v>251</v>
      </c>
      <c r="L360" s="4" t="s">
        <v>4891</v>
      </c>
      <c r="M360" s="5" t="s">
        <v>4893</v>
      </c>
      <c r="N360" s="6">
        <f>2081</f>
        <v>2081</v>
      </c>
      <c r="O360" s="4" t="s">
        <v>265</v>
      </c>
      <c r="P360" s="6">
        <f>4609415</f>
        <v>4609415</v>
      </c>
      <c r="Q360" s="6">
        <f>0</f>
        <v>0</v>
      </c>
      <c r="S360" s="6">
        <f>0</f>
        <v>0</v>
      </c>
      <c r="T360" s="6">
        <f>4609415</f>
        <v>4609415</v>
      </c>
      <c r="U360" s="5" t="s">
        <v>245</v>
      </c>
      <c r="V360" s="4" t="s">
        <v>270</v>
      </c>
      <c r="W360" s="4" t="s">
        <v>242</v>
      </c>
      <c r="X360" s="4" t="s">
        <v>273</v>
      </c>
      <c r="Y360" s="4" t="s">
        <v>241</v>
      </c>
      <c r="AB360" s="4" t="s">
        <v>241</v>
      </c>
      <c r="AD360" s="5" t="s">
        <v>241</v>
      </c>
      <c r="AG360" s="5" t="s">
        <v>246</v>
      </c>
      <c r="AH360" s="4" t="s">
        <v>241</v>
      </c>
      <c r="AI360" s="4" t="s">
        <v>247</v>
      </c>
      <c r="AJ360" s="4" t="s">
        <v>248</v>
      </c>
      <c r="AZ360" s="4" t="s">
        <v>249</v>
      </c>
      <c r="BA360" s="4" t="s">
        <v>241</v>
      </c>
      <c r="BB360" s="4" t="s">
        <v>250</v>
      </c>
      <c r="BC360" s="4" t="s">
        <v>241</v>
      </c>
      <c r="BD360" s="4" t="s">
        <v>252</v>
      </c>
      <c r="BE360" s="4" t="s">
        <v>241</v>
      </c>
      <c r="BI360" s="4" t="s">
        <v>253</v>
      </c>
      <c r="BJ360" s="5" t="s">
        <v>246</v>
      </c>
      <c r="BK360" s="4" t="s">
        <v>254</v>
      </c>
      <c r="BL360" s="4" t="s">
        <v>255</v>
      </c>
      <c r="BM360" s="4" t="s">
        <v>241</v>
      </c>
      <c r="BN360" s="6">
        <f>0</f>
        <v>0</v>
      </c>
      <c r="BO360" s="6">
        <f>0</f>
        <v>0</v>
      </c>
      <c r="BP360" s="4" t="s">
        <v>256</v>
      </c>
      <c r="BQ360" s="4" t="s">
        <v>257</v>
      </c>
      <c r="CE360" s="4" t="s">
        <v>241</v>
      </c>
      <c r="CF360" s="4" t="s">
        <v>241</v>
      </c>
      <c r="CJ360" s="4" t="s">
        <v>258</v>
      </c>
      <c r="CK360" s="4" t="s">
        <v>259</v>
      </c>
      <c r="CL360" s="4" t="s">
        <v>241</v>
      </c>
      <c r="CO360" s="5" t="s">
        <v>260</v>
      </c>
      <c r="CP360" s="4" t="s">
        <v>241</v>
      </c>
      <c r="CQ360" s="4" t="s">
        <v>261</v>
      </c>
      <c r="CR360" s="4" t="s">
        <v>241</v>
      </c>
      <c r="CS360" s="4" t="s">
        <v>241</v>
      </c>
      <c r="CT360" s="4">
        <v>0</v>
      </c>
      <c r="CU360" s="4" t="s">
        <v>262</v>
      </c>
      <c r="CV360" s="4" t="s">
        <v>263</v>
      </c>
      <c r="CW360" s="4" t="s">
        <v>263</v>
      </c>
      <c r="CX360" s="4" t="s">
        <v>264</v>
      </c>
      <c r="DA360" s="6">
        <f>4609415</f>
        <v>4609415</v>
      </c>
      <c r="DC360" s="4" t="s">
        <v>422</v>
      </c>
      <c r="DD360" s="4" t="s">
        <v>241</v>
      </c>
      <c r="DF360" s="4" t="s">
        <v>422</v>
      </c>
      <c r="DG360" s="6">
        <f>2081</f>
        <v>2081</v>
      </c>
      <c r="DI360" s="4" t="s">
        <v>414</v>
      </c>
      <c r="DJ360" s="4" t="s">
        <v>241</v>
      </c>
      <c r="DK360" s="4" t="s">
        <v>241</v>
      </c>
      <c r="DL360" s="4" t="s">
        <v>241</v>
      </c>
      <c r="DP360" s="4" t="s">
        <v>241</v>
      </c>
      <c r="DQ360" s="4" t="s">
        <v>241</v>
      </c>
      <c r="DR360" s="4" t="s">
        <v>241</v>
      </c>
      <c r="DS360" s="4" t="s">
        <v>241</v>
      </c>
      <c r="DV360" s="4" t="s">
        <v>4894</v>
      </c>
      <c r="DW360" s="4" t="s">
        <v>1779</v>
      </c>
      <c r="HO360" s="4" t="s">
        <v>267</v>
      </c>
    </row>
    <row r="361" spans="1:223" ht="19.5" customHeight="1" x14ac:dyDescent="0.4">
      <c r="A361" s="4">
        <v>1</v>
      </c>
      <c r="B361" s="4" t="s">
        <v>239</v>
      </c>
      <c r="C361" s="4">
        <v>1096</v>
      </c>
      <c r="D361" s="4">
        <v>1</v>
      </c>
      <c r="E361" s="4">
        <v>1</v>
      </c>
      <c r="F361" s="4" t="s">
        <v>240</v>
      </c>
      <c r="G361" s="4" t="s">
        <v>241</v>
      </c>
      <c r="H361" s="4" t="s">
        <v>241</v>
      </c>
      <c r="I361" s="4" t="s">
        <v>4892</v>
      </c>
      <c r="J361" s="4" t="s">
        <v>596</v>
      </c>
      <c r="K361" s="4" t="s">
        <v>251</v>
      </c>
      <c r="L361" s="4" t="s">
        <v>4891</v>
      </c>
      <c r="M361" s="5" t="s">
        <v>4896</v>
      </c>
      <c r="N361" s="6">
        <f>20.78</f>
        <v>20.78</v>
      </c>
      <c r="O361" s="4" t="s">
        <v>265</v>
      </c>
      <c r="P361" s="6">
        <f>46027</f>
        <v>46027</v>
      </c>
      <c r="Q361" s="6">
        <f>0</f>
        <v>0</v>
      </c>
      <c r="S361" s="6">
        <f>0</f>
        <v>0</v>
      </c>
      <c r="T361" s="6">
        <f>46027</f>
        <v>46027</v>
      </c>
      <c r="U361" s="5" t="s">
        <v>245</v>
      </c>
      <c r="V361" s="4" t="s">
        <v>270</v>
      </c>
      <c r="W361" s="4" t="s">
        <v>242</v>
      </c>
      <c r="X361" s="4" t="s">
        <v>273</v>
      </c>
      <c r="Y361" s="4" t="s">
        <v>241</v>
      </c>
      <c r="AB361" s="4" t="s">
        <v>241</v>
      </c>
      <c r="AD361" s="5" t="s">
        <v>241</v>
      </c>
      <c r="AG361" s="5" t="s">
        <v>246</v>
      </c>
      <c r="AH361" s="4" t="s">
        <v>241</v>
      </c>
      <c r="AI361" s="4" t="s">
        <v>247</v>
      </c>
      <c r="AJ361" s="4" t="s">
        <v>248</v>
      </c>
      <c r="AZ361" s="4" t="s">
        <v>249</v>
      </c>
      <c r="BA361" s="4" t="s">
        <v>241</v>
      </c>
      <c r="BB361" s="4" t="s">
        <v>250</v>
      </c>
      <c r="BC361" s="4" t="s">
        <v>241</v>
      </c>
      <c r="BD361" s="4" t="s">
        <v>252</v>
      </c>
      <c r="BE361" s="4" t="s">
        <v>241</v>
      </c>
      <c r="BI361" s="4" t="s">
        <v>253</v>
      </c>
      <c r="BJ361" s="5" t="s">
        <v>246</v>
      </c>
      <c r="BK361" s="4" t="s">
        <v>254</v>
      </c>
      <c r="BL361" s="4" t="s">
        <v>255</v>
      </c>
      <c r="BM361" s="4" t="s">
        <v>241</v>
      </c>
      <c r="BN361" s="6">
        <f>0</f>
        <v>0</v>
      </c>
      <c r="BO361" s="6">
        <f>0</f>
        <v>0</v>
      </c>
      <c r="BP361" s="4" t="s">
        <v>256</v>
      </c>
      <c r="BQ361" s="4" t="s">
        <v>257</v>
      </c>
      <c r="CE361" s="4" t="s">
        <v>241</v>
      </c>
      <c r="CF361" s="4" t="s">
        <v>241</v>
      </c>
      <c r="CJ361" s="4" t="s">
        <v>258</v>
      </c>
      <c r="CK361" s="4" t="s">
        <v>259</v>
      </c>
      <c r="CL361" s="4" t="s">
        <v>241</v>
      </c>
      <c r="CO361" s="5" t="s">
        <v>260</v>
      </c>
      <c r="CP361" s="4" t="s">
        <v>241</v>
      </c>
      <c r="CQ361" s="4" t="s">
        <v>261</v>
      </c>
      <c r="CR361" s="4" t="s">
        <v>241</v>
      </c>
      <c r="CS361" s="4" t="s">
        <v>241</v>
      </c>
      <c r="CT361" s="4">
        <v>0</v>
      </c>
      <c r="CU361" s="4" t="s">
        <v>262</v>
      </c>
      <c r="CV361" s="4" t="s">
        <v>263</v>
      </c>
      <c r="CW361" s="4" t="s">
        <v>263</v>
      </c>
      <c r="CX361" s="4" t="s">
        <v>264</v>
      </c>
      <c r="DA361" s="6">
        <f>46027</f>
        <v>46027</v>
      </c>
      <c r="DC361" s="4" t="s">
        <v>422</v>
      </c>
      <c r="DD361" s="4" t="s">
        <v>241</v>
      </c>
      <c r="DF361" s="4" t="s">
        <v>422</v>
      </c>
      <c r="DG361" s="6">
        <f>20.78</f>
        <v>20.78</v>
      </c>
      <c r="DI361" s="4" t="s">
        <v>414</v>
      </c>
      <c r="DJ361" s="4" t="s">
        <v>241</v>
      </c>
      <c r="DK361" s="4" t="s">
        <v>241</v>
      </c>
      <c r="DL361" s="4" t="s">
        <v>241</v>
      </c>
      <c r="DP361" s="4" t="s">
        <v>241</v>
      </c>
      <c r="DQ361" s="4" t="s">
        <v>241</v>
      </c>
      <c r="DR361" s="4" t="s">
        <v>241</v>
      </c>
      <c r="DS361" s="4" t="s">
        <v>241</v>
      </c>
      <c r="DV361" s="4" t="s">
        <v>4894</v>
      </c>
      <c r="DW361" s="4" t="s">
        <v>1803</v>
      </c>
      <c r="HO361" s="4" t="s">
        <v>267</v>
      </c>
    </row>
    <row r="362" spans="1:223" ht="19.5" customHeight="1" x14ac:dyDescent="0.4">
      <c r="A362" s="4">
        <v>1</v>
      </c>
      <c r="B362" s="4" t="s">
        <v>239</v>
      </c>
      <c r="C362" s="4">
        <v>1097</v>
      </c>
      <c r="D362" s="4">
        <v>1</v>
      </c>
      <c r="E362" s="4">
        <v>1</v>
      </c>
      <c r="F362" s="4" t="s">
        <v>240</v>
      </c>
      <c r="G362" s="4" t="s">
        <v>241</v>
      </c>
      <c r="H362" s="4" t="s">
        <v>241</v>
      </c>
      <c r="I362" s="4" t="s">
        <v>4892</v>
      </c>
      <c r="J362" s="4" t="s">
        <v>596</v>
      </c>
      <c r="K362" s="4" t="s">
        <v>251</v>
      </c>
      <c r="L362" s="4" t="s">
        <v>4891</v>
      </c>
      <c r="M362" s="5" t="s">
        <v>4900</v>
      </c>
      <c r="N362" s="6">
        <f>3102.71</f>
        <v>3102.71</v>
      </c>
      <c r="O362" s="4" t="s">
        <v>265</v>
      </c>
      <c r="P362" s="6">
        <f>6872502</f>
        <v>6872502</v>
      </c>
      <c r="Q362" s="6">
        <f>0</f>
        <v>0</v>
      </c>
      <c r="S362" s="6">
        <f>0</f>
        <v>0</v>
      </c>
      <c r="T362" s="6">
        <f>6872502</f>
        <v>6872502</v>
      </c>
      <c r="U362" s="5" t="s">
        <v>245</v>
      </c>
      <c r="V362" s="4" t="s">
        <v>270</v>
      </c>
      <c r="W362" s="4" t="s">
        <v>242</v>
      </c>
      <c r="X362" s="4" t="s">
        <v>273</v>
      </c>
      <c r="Y362" s="4" t="s">
        <v>241</v>
      </c>
      <c r="AB362" s="4" t="s">
        <v>241</v>
      </c>
      <c r="AD362" s="5" t="s">
        <v>241</v>
      </c>
      <c r="AG362" s="5" t="s">
        <v>246</v>
      </c>
      <c r="AH362" s="4" t="s">
        <v>241</v>
      </c>
      <c r="AI362" s="4" t="s">
        <v>247</v>
      </c>
      <c r="AJ362" s="4" t="s">
        <v>248</v>
      </c>
      <c r="AZ362" s="4" t="s">
        <v>249</v>
      </c>
      <c r="BA362" s="4" t="s">
        <v>241</v>
      </c>
      <c r="BB362" s="4" t="s">
        <v>250</v>
      </c>
      <c r="BC362" s="4" t="s">
        <v>241</v>
      </c>
      <c r="BD362" s="4" t="s">
        <v>252</v>
      </c>
      <c r="BE362" s="4" t="s">
        <v>241</v>
      </c>
      <c r="BI362" s="4" t="s">
        <v>253</v>
      </c>
      <c r="BJ362" s="5" t="s">
        <v>246</v>
      </c>
      <c r="BK362" s="4" t="s">
        <v>254</v>
      </c>
      <c r="BL362" s="4" t="s">
        <v>255</v>
      </c>
      <c r="BM362" s="4" t="s">
        <v>241</v>
      </c>
      <c r="BN362" s="6">
        <f>0</f>
        <v>0</v>
      </c>
      <c r="BO362" s="6">
        <f>0</f>
        <v>0</v>
      </c>
      <c r="BP362" s="4" t="s">
        <v>256</v>
      </c>
      <c r="BQ362" s="4" t="s">
        <v>257</v>
      </c>
      <c r="CE362" s="4" t="s">
        <v>241</v>
      </c>
      <c r="CF362" s="4" t="s">
        <v>241</v>
      </c>
      <c r="CJ362" s="4" t="s">
        <v>258</v>
      </c>
      <c r="CK362" s="4" t="s">
        <v>259</v>
      </c>
      <c r="CL362" s="4" t="s">
        <v>241</v>
      </c>
      <c r="CO362" s="5" t="s">
        <v>260</v>
      </c>
      <c r="CP362" s="4" t="s">
        <v>241</v>
      </c>
      <c r="CQ362" s="4" t="s">
        <v>261</v>
      </c>
      <c r="CR362" s="4" t="s">
        <v>241</v>
      </c>
      <c r="CS362" s="4" t="s">
        <v>241</v>
      </c>
      <c r="CT362" s="4">
        <v>0</v>
      </c>
      <c r="CU362" s="4" t="s">
        <v>262</v>
      </c>
      <c r="CV362" s="4" t="s">
        <v>263</v>
      </c>
      <c r="CW362" s="4" t="s">
        <v>263</v>
      </c>
      <c r="CX362" s="4" t="s">
        <v>264</v>
      </c>
      <c r="DA362" s="6">
        <f>6872502</f>
        <v>6872502</v>
      </c>
      <c r="DC362" s="4" t="s">
        <v>422</v>
      </c>
      <c r="DD362" s="4" t="s">
        <v>241</v>
      </c>
      <c r="DF362" s="4" t="s">
        <v>422</v>
      </c>
      <c r="DG362" s="6">
        <f>3102.71</f>
        <v>3102.71</v>
      </c>
      <c r="DI362" s="4" t="s">
        <v>414</v>
      </c>
      <c r="DJ362" s="4" t="s">
        <v>241</v>
      </c>
      <c r="DK362" s="4" t="s">
        <v>241</v>
      </c>
      <c r="DL362" s="4" t="s">
        <v>241</v>
      </c>
      <c r="DP362" s="4" t="s">
        <v>241</v>
      </c>
      <c r="DQ362" s="4" t="s">
        <v>241</v>
      </c>
      <c r="DR362" s="4" t="s">
        <v>241</v>
      </c>
      <c r="DS362" s="4" t="s">
        <v>241</v>
      </c>
      <c r="DV362" s="4" t="s">
        <v>4894</v>
      </c>
      <c r="DW362" s="4" t="s">
        <v>1777</v>
      </c>
      <c r="HO362" s="4" t="s">
        <v>267</v>
      </c>
    </row>
    <row r="363" spans="1:223" ht="19.5" customHeight="1" x14ac:dyDescent="0.4">
      <c r="A363" s="4">
        <v>1</v>
      </c>
      <c r="B363" s="4" t="s">
        <v>239</v>
      </c>
      <c r="C363" s="4">
        <v>1098</v>
      </c>
      <c r="D363" s="4">
        <v>1</v>
      </c>
      <c r="E363" s="4">
        <v>1</v>
      </c>
      <c r="F363" s="4" t="s">
        <v>240</v>
      </c>
      <c r="G363" s="4" t="s">
        <v>241</v>
      </c>
      <c r="H363" s="4" t="s">
        <v>241</v>
      </c>
      <c r="I363" s="4" t="s">
        <v>4881</v>
      </c>
      <c r="J363" s="4" t="s">
        <v>596</v>
      </c>
      <c r="K363" s="4" t="s">
        <v>251</v>
      </c>
      <c r="L363" s="4" t="s">
        <v>4880</v>
      </c>
      <c r="M363" s="5" t="s">
        <v>4889</v>
      </c>
      <c r="N363" s="6">
        <f>1418.89</f>
        <v>1418.89</v>
      </c>
      <c r="O363" s="4" t="s">
        <v>265</v>
      </c>
      <c r="P363" s="6">
        <f>3142841</f>
        <v>3142841</v>
      </c>
      <c r="Q363" s="6">
        <f>0</f>
        <v>0</v>
      </c>
      <c r="S363" s="6">
        <f>0</f>
        <v>0</v>
      </c>
      <c r="T363" s="6">
        <f>3142841</f>
        <v>3142841</v>
      </c>
      <c r="U363" s="5" t="s">
        <v>245</v>
      </c>
      <c r="V363" s="4" t="s">
        <v>270</v>
      </c>
      <c r="W363" s="4" t="s">
        <v>242</v>
      </c>
      <c r="X363" s="4" t="s">
        <v>273</v>
      </c>
      <c r="Y363" s="4" t="s">
        <v>241</v>
      </c>
      <c r="AB363" s="4" t="s">
        <v>241</v>
      </c>
      <c r="AD363" s="5" t="s">
        <v>241</v>
      </c>
      <c r="AG363" s="5" t="s">
        <v>246</v>
      </c>
      <c r="AH363" s="4" t="s">
        <v>241</v>
      </c>
      <c r="AI363" s="4" t="s">
        <v>247</v>
      </c>
      <c r="AJ363" s="4" t="s">
        <v>248</v>
      </c>
      <c r="AZ363" s="4" t="s">
        <v>249</v>
      </c>
      <c r="BA363" s="4" t="s">
        <v>241</v>
      </c>
      <c r="BB363" s="4" t="s">
        <v>250</v>
      </c>
      <c r="BC363" s="4" t="s">
        <v>241</v>
      </c>
      <c r="BD363" s="4" t="s">
        <v>252</v>
      </c>
      <c r="BE363" s="4" t="s">
        <v>241</v>
      </c>
      <c r="BG363" s="4" t="s">
        <v>4227</v>
      </c>
      <c r="BI363" s="4" t="s">
        <v>253</v>
      </c>
      <c r="BJ363" s="5" t="s">
        <v>246</v>
      </c>
      <c r="BK363" s="4" t="s">
        <v>254</v>
      </c>
      <c r="BL363" s="4" t="s">
        <v>255</v>
      </c>
      <c r="BM363" s="4" t="s">
        <v>241</v>
      </c>
      <c r="BN363" s="6">
        <f>0</f>
        <v>0</v>
      </c>
      <c r="BO363" s="6">
        <f>0</f>
        <v>0</v>
      </c>
      <c r="BP363" s="4" t="s">
        <v>256</v>
      </c>
      <c r="BQ363" s="4" t="s">
        <v>257</v>
      </c>
      <c r="CE363" s="4" t="s">
        <v>241</v>
      </c>
      <c r="CF363" s="4" t="s">
        <v>241</v>
      </c>
      <c r="CJ363" s="4" t="s">
        <v>258</v>
      </c>
      <c r="CK363" s="4" t="s">
        <v>259</v>
      </c>
      <c r="CL363" s="4" t="s">
        <v>241</v>
      </c>
      <c r="CO363" s="5" t="s">
        <v>260</v>
      </c>
      <c r="CP363" s="4" t="s">
        <v>241</v>
      </c>
      <c r="CQ363" s="4" t="s">
        <v>261</v>
      </c>
      <c r="CR363" s="4" t="s">
        <v>241</v>
      </c>
      <c r="CS363" s="4" t="s">
        <v>241</v>
      </c>
      <c r="CT363" s="4">
        <v>0</v>
      </c>
      <c r="CU363" s="4" t="s">
        <v>262</v>
      </c>
      <c r="CV363" s="4" t="s">
        <v>263</v>
      </c>
      <c r="CW363" s="4" t="s">
        <v>263</v>
      </c>
      <c r="CX363" s="4" t="s">
        <v>264</v>
      </c>
      <c r="DA363" s="6">
        <f>3142841</f>
        <v>3142841</v>
      </c>
      <c r="DC363" s="4" t="s">
        <v>422</v>
      </c>
      <c r="DD363" s="4" t="s">
        <v>241</v>
      </c>
      <c r="DF363" s="4" t="s">
        <v>266</v>
      </c>
      <c r="DG363" s="6">
        <f>1418.89</f>
        <v>1418.89</v>
      </c>
      <c r="DI363" s="4" t="s">
        <v>414</v>
      </c>
      <c r="DJ363" s="4" t="s">
        <v>241</v>
      </c>
      <c r="DK363" s="4" t="s">
        <v>241</v>
      </c>
      <c r="DL363" s="4" t="s">
        <v>241</v>
      </c>
      <c r="DP363" s="4" t="s">
        <v>241</v>
      </c>
      <c r="DQ363" s="4" t="s">
        <v>241</v>
      </c>
      <c r="DR363" s="4" t="s">
        <v>241</v>
      </c>
      <c r="DS363" s="4" t="s">
        <v>241</v>
      </c>
      <c r="DV363" s="4" t="s">
        <v>4883</v>
      </c>
      <c r="DW363" s="4" t="s">
        <v>267</v>
      </c>
      <c r="HO363" s="4" t="s">
        <v>267</v>
      </c>
    </row>
    <row r="364" spans="1:223" ht="19.5" customHeight="1" x14ac:dyDescent="0.4">
      <c r="A364" s="4">
        <v>1</v>
      </c>
      <c r="B364" s="4" t="s">
        <v>239</v>
      </c>
      <c r="C364" s="4">
        <v>1099</v>
      </c>
      <c r="D364" s="4">
        <v>1</v>
      </c>
      <c r="E364" s="4">
        <v>1</v>
      </c>
      <c r="F364" s="4" t="s">
        <v>240</v>
      </c>
      <c r="G364" s="4" t="s">
        <v>241</v>
      </c>
      <c r="H364" s="4" t="s">
        <v>241</v>
      </c>
      <c r="I364" s="4" t="s">
        <v>4881</v>
      </c>
      <c r="J364" s="4" t="s">
        <v>596</v>
      </c>
      <c r="K364" s="4" t="s">
        <v>251</v>
      </c>
      <c r="L364" s="4" t="s">
        <v>4880</v>
      </c>
      <c r="M364" s="5" t="s">
        <v>4888</v>
      </c>
      <c r="N364" s="6">
        <f>61565</f>
        <v>61565</v>
      </c>
      <c r="O364" s="4" t="s">
        <v>265</v>
      </c>
      <c r="P364" s="6">
        <f>136366475</f>
        <v>136366475</v>
      </c>
      <c r="Q364" s="6">
        <f>0</f>
        <v>0</v>
      </c>
      <c r="S364" s="6">
        <f>0</f>
        <v>0</v>
      </c>
      <c r="T364" s="6">
        <f>136366475</f>
        <v>136366475</v>
      </c>
      <c r="U364" s="5" t="s">
        <v>245</v>
      </c>
      <c r="V364" s="4" t="s">
        <v>270</v>
      </c>
      <c r="W364" s="4" t="s">
        <v>242</v>
      </c>
      <c r="X364" s="4" t="s">
        <v>273</v>
      </c>
      <c r="Y364" s="4" t="s">
        <v>241</v>
      </c>
      <c r="AB364" s="4" t="s">
        <v>241</v>
      </c>
      <c r="AD364" s="5" t="s">
        <v>241</v>
      </c>
      <c r="AG364" s="5" t="s">
        <v>246</v>
      </c>
      <c r="AH364" s="4" t="s">
        <v>241</v>
      </c>
      <c r="AI364" s="4" t="s">
        <v>247</v>
      </c>
      <c r="AJ364" s="4" t="s">
        <v>248</v>
      </c>
      <c r="AZ364" s="4" t="s">
        <v>249</v>
      </c>
      <c r="BA364" s="4" t="s">
        <v>241</v>
      </c>
      <c r="BB364" s="4" t="s">
        <v>250</v>
      </c>
      <c r="BC364" s="4" t="s">
        <v>241</v>
      </c>
      <c r="BD364" s="4" t="s">
        <v>252</v>
      </c>
      <c r="BE364" s="4" t="s">
        <v>241</v>
      </c>
      <c r="BI364" s="4" t="s">
        <v>253</v>
      </c>
      <c r="BJ364" s="5" t="s">
        <v>246</v>
      </c>
      <c r="BK364" s="4" t="s">
        <v>254</v>
      </c>
      <c r="BL364" s="4" t="s">
        <v>255</v>
      </c>
      <c r="BM364" s="4" t="s">
        <v>241</v>
      </c>
      <c r="BN364" s="6">
        <f>0</f>
        <v>0</v>
      </c>
      <c r="BO364" s="6">
        <f>0</f>
        <v>0</v>
      </c>
      <c r="BP364" s="4" t="s">
        <v>256</v>
      </c>
      <c r="BQ364" s="4" t="s">
        <v>257</v>
      </c>
      <c r="CE364" s="4" t="s">
        <v>241</v>
      </c>
      <c r="CF364" s="4" t="s">
        <v>241</v>
      </c>
      <c r="CJ364" s="4" t="s">
        <v>258</v>
      </c>
      <c r="CK364" s="4" t="s">
        <v>259</v>
      </c>
      <c r="CL364" s="4" t="s">
        <v>241</v>
      </c>
      <c r="CO364" s="5" t="s">
        <v>260</v>
      </c>
      <c r="CP364" s="4" t="s">
        <v>241</v>
      </c>
      <c r="CQ364" s="4" t="s">
        <v>261</v>
      </c>
      <c r="CR364" s="4" t="s">
        <v>241</v>
      </c>
      <c r="CS364" s="4" t="s">
        <v>241</v>
      </c>
      <c r="CT364" s="4">
        <v>0</v>
      </c>
      <c r="CU364" s="4" t="s">
        <v>262</v>
      </c>
      <c r="CV364" s="4" t="s">
        <v>263</v>
      </c>
      <c r="CW364" s="4" t="s">
        <v>263</v>
      </c>
      <c r="CX364" s="4" t="s">
        <v>264</v>
      </c>
      <c r="DA364" s="6">
        <f>136366475</f>
        <v>136366475</v>
      </c>
      <c r="DC364" s="4" t="s">
        <v>422</v>
      </c>
      <c r="DD364" s="4" t="s">
        <v>241</v>
      </c>
      <c r="DF364" s="4" t="s">
        <v>414</v>
      </c>
      <c r="DG364" s="6">
        <f>61565</f>
        <v>61565</v>
      </c>
      <c r="DI364" s="4" t="s">
        <v>414</v>
      </c>
      <c r="DJ364" s="4" t="s">
        <v>241</v>
      </c>
      <c r="DK364" s="4" t="s">
        <v>241</v>
      </c>
      <c r="DL364" s="4" t="s">
        <v>241</v>
      </c>
      <c r="DP364" s="4" t="s">
        <v>241</v>
      </c>
      <c r="DQ364" s="4" t="s">
        <v>241</v>
      </c>
      <c r="DR364" s="4" t="s">
        <v>241</v>
      </c>
      <c r="DS364" s="4" t="s">
        <v>241</v>
      </c>
      <c r="DV364" s="4" t="s">
        <v>4883</v>
      </c>
      <c r="DW364" s="4" t="s">
        <v>416</v>
      </c>
      <c r="HO364" s="4" t="s">
        <v>267</v>
      </c>
    </row>
    <row r="365" spans="1:223" ht="19.5" customHeight="1" x14ac:dyDescent="0.4">
      <c r="A365" s="4">
        <v>1</v>
      </c>
      <c r="B365" s="4" t="s">
        <v>239</v>
      </c>
      <c r="C365" s="4">
        <v>1100</v>
      </c>
      <c r="D365" s="4">
        <v>1</v>
      </c>
      <c r="E365" s="4">
        <v>1</v>
      </c>
      <c r="F365" s="4" t="s">
        <v>240</v>
      </c>
      <c r="G365" s="4" t="s">
        <v>241</v>
      </c>
      <c r="H365" s="4" t="s">
        <v>241</v>
      </c>
      <c r="I365" s="4" t="s">
        <v>4881</v>
      </c>
      <c r="J365" s="4" t="s">
        <v>596</v>
      </c>
      <c r="K365" s="4" t="s">
        <v>251</v>
      </c>
      <c r="L365" s="4" t="s">
        <v>4880</v>
      </c>
      <c r="M365" s="5" t="s">
        <v>4886</v>
      </c>
      <c r="N365" s="6">
        <f>2254</f>
        <v>2254</v>
      </c>
      <c r="O365" s="4" t="s">
        <v>265</v>
      </c>
      <c r="P365" s="6">
        <f>4992610</f>
        <v>4992610</v>
      </c>
      <c r="Q365" s="6">
        <f>0</f>
        <v>0</v>
      </c>
      <c r="S365" s="6">
        <f>0</f>
        <v>0</v>
      </c>
      <c r="T365" s="6">
        <f>4992610</f>
        <v>4992610</v>
      </c>
      <c r="U365" s="5" t="s">
        <v>245</v>
      </c>
      <c r="V365" s="4" t="s">
        <v>270</v>
      </c>
      <c r="W365" s="4" t="s">
        <v>242</v>
      </c>
      <c r="X365" s="4" t="s">
        <v>273</v>
      </c>
      <c r="Y365" s="4" t="s">
        <v>241</v>
      </c>
      <c r="AB365" s="4" t="s">
        <v>241</v>
      </c>
      <c r="AD365" s="5" t="s">
        <v>241</v>
      </c>
      <c r="AG365" s="5" t="s">
        <v>246</v>
      </c>
      <c r="AH365" s="4" t="s">
        <v>241</v>
      </c>
      <c r="AI365" s="4" t="s">
        <v>247</v>
      </c>
      <c r="AJ365" s="4" t="s">
        <v>248</v>
      </c>
      <c r="AZ365" s="4" t="s">
        <v>249</v>
      </c>
      <c r="BA365" s="4" t="s">
        <v>241</v>
      </c>
      <c r="BB365" s="4" t="s">
        <v>250</v>
      </c>
      <c r="BC365" s="4" t="s">
        <v>241</v>
      </c>
      <c r="BD365" s="4" t="s">
        <v>252</v>
      </c>
      <c r="BE365" s="4" t="s">
        <v>241</v>
      </c>
      <c r="BI365" s="4" t="s">
        <v>253</v>
      </c>
      <c r="BJ365" s="5" t="s">
        <v>246</v>
      </c>
      <c r="BK365" s="4" t="s">
        <v>254</v>
      </c>
      <c r="BL365" s="4" t="s">
        <v>255</v>
      </c>
      <c r="BM365" s="4" t="s">
        <v>241</v>
      </c>
      <c r="BN365" s="6">
        <f>0</f>
        <v>0</v>
      </c>
      <c r="BO365" s="6">
        <f>0</f>
        <v>0</v>
      </c>
      <c r="BP365" s="4" t="s">
        <v>256</v>
      </c>
      <c r="BQ365" s="4" t="s">
        <v>257</v>
      </c>
      <c r="CE365" s="4" t="s">
        <v>241</v>
      </c>
      <c r="CF365" s="4" t="s">
        <v>241</v>
      </c>
      <c r="CJ365" s="4" t="s">
        <v>258</v>
      </c>
      <c r="CK365" s="4" t="s">
        <v>259</v>
      </c>
      <c r="CL365" s="4" t="s">
        <v>241</v>
      </c>
      <c r="CO365" s="5" t="s">
        <v>260</v>
      </c>
      <c r="CP365" s="4" t="s">
        <v>241</v>
      </c>
      <c r="CQ365" s="4" t="s">
        <v>261</v>
      </c>
      <c r="CR365" s="4" t="s">
        <v>241</v>
      </c>
      <c r="CS365" s="4" t="s">
        <v>241</v>
      </c>
      <c r="CT365" s="4">
        <v>0</v>
      </c>
      <c r="CU365" s="4" t="s">
        <v>262</v>
      </c>
      <c r="CV365" s="4" t="s">
        <v>263</v>
      </c>
      <c r="CW365" s="4" t="s">
        <v>263</v>
      </c>
      <c r="CX365" s="4" t="s">
        <v>264</v>
      </c>
      <c r="DA365" s="6">
        <f>4992610</f>
        <v>4992610</v>
      </c>
      <c r="DC365" s="4" t="s">
        <v>422</v>
      </c>
      <c r="DD365" s="4" t="s">
        <v>241</v>
      </c>
      <c r="DF365" s="4" t="s">
        <v>414</v>
      </c>
      <c r="DG365" s="6">
        <f>2254</f>
        <v>2254</v>
      </c>
      <c r="DI365" s="4" t="s">
        <v>414</v>
      </c>
      <c r="DJ365" s="4" t="s">
        <v>241</v>
      </c>
      <c r="DK365" s="4" t="s">
        <v>241</v>
      </c>
      <c r="DL365" s="4" t="s">
        <v>241</v>
      </c>
      <c r="DP365" s="4" t="s">
        <v>241</v>
      </c>
      <c r="DQ365" s="4" t="s">
        <v>241</v>
      </c>
      <c r="DR365" s="4" t="s">
        <v>241</v>
      </c>
      <c r="DS365" s="4" t="s">
        <v>241</v>
      </c>
      <c r="DV365" s="4" t="s">
        <v>4883</v>
      </c>
      <c r="DW365" s="4" t="s">
        <v>388</v>
      </c>
      <c r="HO365" s="4" t="s">
        <v>267</v>
      </c>
    </row>
    <row r="366" spans="1:223" ht="19.5" customHeight="1" x14ac:dyDescent="0.4">
      <c r="A366" s="4">
        <v>1</v>
      </c>
      <c r="B366" s="4" t="s">
        <v>239</v>
      </c>
      <c r="C366" s="4">
        <v>1101</v>
      </c>
      <c r="D366" s="4">
        <v>1</v>
      </c>
      <c r="E366" s="4">
        <v>1</v>
      </c>
      <c r="F366" s="4" t="s">
        <v>240</v>
      </c>
      <c r="G366" s="4" t="s">
        <v>241</v>
      </c>
      <c r="H366" s="4" t="s">
        <v>241</v>
      </c>
      <c r="I366" s="4" t="s">
        <v>4881</v>
      </c>
      <c r="J366" s="4" t="s">
        <v>596</v>
      </c>
      <c r="K366" s="4" t="s">
        <v>251</v>
      </c>
      <c r="L366" s="4" t="s">
        <v>4880</v>
      </c>
      <c r="M366" s="5" t="s">
        <v>4884</v>
      </c>
      <c r="N366" s="6">
        <f>201</f>
        <v>201</v>
      </c>
      <c r="O366" s="4" t="s">
        <v>265</v>
      </c>
      <c r="P366" s="6">
        <f>445215</f>
        <v>445215</v>
      </c>
      <c r="Q366" s="6">
        <f>0</f>
        <v>0</v>
      </c>
      <c r="S366" s="6">
        <f>0</f>
        <v>0</v>
      </c>
      <c r="T366" s="6">
        <f>445215</f>
        <v>445215</v>
      </c>
      <c r="U366" s="5" t="s">
        <v>245</v>
      </c>
      <c r="V366" s="4" t="s">
        <v>270</v>
      </c>
      <c r="W366" s="4" t="s">
        <v>242</v>
      </c>
      <c r="X366" s="4" t="s">
        <v>273</v>
      </c>
      <c r="Y366" s="4" t="s">
        <v>241</v>
      </c>
      <c r="AB366" s="4" t="s">
        <v>241</v>
      </c>
      <c r="AD366" s="5" t="s">
        <v>241</v>
      </c>
      <c r="AG366" s="5" t="s">
        <v>246</v>
      </c>
      <c r="AH366" s="4" t="s">
        <v>241</v>
      </c>
      <c r="AI366" s="4" t="s">
        <v>247</v>
      </c>
      <c r="AJ366" s="4" t="s">
        <v>248</v>
      </c>
      <c r="AZ366" s="4" t="s">
        <v>249</v>
      </c>
      <c r="BA366" s="4" t="s">
        <v>241</v>
      </c>
      <c r="BB366" s="4" t="s">
        <v>250</v>
      </c>
      <c r="BC366" s="4" t="s">
        <v>241</v>
      </c>
      <c r="BD366" s="4" t="s">
        <v>252</v>
      </c>
      <c r="BE366" s="4" t="s">
        <v>241</v>
      </c>
      <c r="BI366" s="4" t="s">
        <v>253</v>
      </c>
      <c r="BJ366" s="5" t="s">
        <v>246</v>
      </c>
      <c r="BK366" s="4" t="s">
        <v>254</v>
      </c>
      <c r="BL366" s="4" t="s">
        <v>255</v>
      </c>
      <c r="BM366" s="4" t="s">
        <v>241</v>
      </c>
      <c r="BN366" s="6">
        <f>0</f>
        <v>0</v>
      </c>
      <c r="BO366" s="6">
        <f>0</f>
        <v>0</v>
      </c>
      <c r="BP366" s="4" t="s">
        <v>256</v>
      </c>
      <c r="BQ366" s="4" t="s">
        <v>257</v>
      </c>
      <c r="CE366" s="4" t="s">
        <v>241</v>
      </c>
      <c r="CF366" s="4" t="s">
        <v>241</v>
      </c>
      <c r="CJ366" s="4" t="s">
        <v>258</v>
      </c>
      <c r="CK366" s="4" t="s">
        <v>259</v>
      </c>
      <c r="CL366" s="4" t="s">
        <v>241</v>
      </c>
      <c r="CO366" s="5" t="s">
        <v>260</v>
      </c>
      <c r="CP366" s="4" t="s">
        <v>241</v>
      </c>
      <c r="CQ366" s="4" t="s">
        <v>261</v>
      </c>
      <c r="CR366" s="4" t="s">
        <v>241</v>
      </c>
      <c r="CS366" s="4" t="s">
        <v>241</v>
      </c>
      <c r="CT366" s="4">
        <v>0</v>
      </c>
      <c r="CU366" s="4" t="s">
        <v>262</v>
      </c>
      <c r="CV366" s="4" t="s">
        <v>263</v>
      </c>
      <c r="CW366" s="4" t="s">
        <v>263</v>
      </c>
      <c r="CX366" s="4" t="s">
        <v>264</v>
      </c>
      <c r="DA366" s="6">
        <f>445215</f>
        <v>445215</v>
      </c>
      <c r="DC366" s="4" t="s">
        <v>422</v>
      </c>
      <c r="DD366" s="4" t="s">
        <v>241</v>
      </c>
      <c r="DF366" s="4" t="s">
        <v>414</v>
      </c>
      <c r="DG366" s="6">
        <f>201</f>
        <v>201</v>
      </c>
      <c r="DI366" s="4" t="s">
        <v>414</v>
      </c>
      <c r="DJ366" s="4" t="s">
        <v>241</v>
      </c>
      <c r="DK366" s="4" t="s">
        <v>241</v>
      </c>
      <c r="DL366" s="4" t="s">
        <v>241</v>
      </c>
      <c r="DP366" s="4" t="s">
        <v>241</v>
      </c>
      <c r="DQ366" s="4" t="s">
        <v>241</v>
      </c>
      <c r="DR366" s="4" t="s">
        <v>241</v>
      </c>
      <c r="DS366" s="4" t="s">
        <v>241</v>
      </c>
      <c r="DV366" s="4" t="s">
        <v>4883</v>
      </c>
      <c r="DW366" s="4" t="s">
        <v>327</v>
      </c>
      <c r="HO366" s="4" t="s">
        <v>267</v>
      </c>
    </row>
    <row r="367" spans="1:223" ht="19.5" customHeight="1" x14ac:dyDescent="0.4">
      <c r="A367" s="4">
        <v>1</v>
      </c>
      <c r="B367" s="4" t="s">
        <v>239</v>
      </c>
      <c r="C367" s="4">
        <v>1102</v>
      </c>
      <c r="D367" s="4">
        <v>1</v>
      </c>
      <c r="E367" s="4">
        <v>1</v>
      </c>
      <c r="F367" s="4" t="s">
        <v>240</v>
      </c>
      <c r="G367" s="4" t="s">
        <v>241</v>
      </c>
      <c r="H367" s="4" t="s">
        <v>241</v>
      </c>
      <c r="I367" s="4" t="s">
        <v>4881</v>
      </c>
      <c r="J367" s="4" t="s">
        <v>596</v>
      </c>
      <c r="K367" s="4" t="s">
        <v>251</v>
      </c>
      <c r="L367" s="4" t="s">
        <v>4880</v>
      </c>
      <c r="M367" s="5" t="s">
        <v>4882</v>
      </c>
      <c r="N367" s="6">
        <f>24</f>
        <v>24</v>
      </c>
      <c r="O367" s="4" t="s">
        <v>265</v>
      </c>
      <c r="P367" s="6">
        <f>53160</f>
        <v>53160</v>
      </c>
      <c r="Q367" s="6">
        <f>0</f>
        <v>0</v>
      </c>
      <c r="S367" s="6">
        <f>0</f>
        <v>0</v>
      </c>
      <c r="T367" s="6">
        <f>53160</f>
        <v>53160</v>
      </c>
      <c r="U367" s="5" t="s">
        <v>245</v>
      </c>
      <c r="V367" s="4" t="s">
        <v>270</v>
      </c>
      <c r="W367" s="4" t="s">
        <v>242</v>
      </c>
      <c r="X367" s="4" t="s">
        <v>273</v>
      </c>
      <c r="Y367" s="4" t="s">
        <v>241</v>
      </c>
      <c r="AB367" s="4" t="s">
        <v>241</v>
      </c>
      <c r="AD367" s="5" t="s">
        <v>241</v>
      </c>
      <c r="AG367" s="5" t="s">
        <v>246</v>
      </c>
      <c r="AH367" s="4" t="s">
        <v>241</v>
      </c>
      <c r="AI367" s="4" t="s">
        <v>247</v>
      </c>
      <c r="AJ367" s="4" t="s">
        <v>248</v>
      </c>
      <c r="AZ367" s="4" t="s">
        <v>249</v>
      </c>
      <c r="BA367" s="4" t="s">
        <v>241</v>
      </c>
      <c r="BB367" s="4" t="s">
        <v>250</v>
      </c>
      <c r="BC367" s="4" t="s">
        <v>241</v>
      </c>
      <c r="BD367" s="4" t="s">
        <v>252</v>
      </c>
      <c r="BE367" s="4" t="s">
        <v>241</v>
      </c>
      <c r="BI367" s="4" t="s">
        <v>253</v>
      </c>
      <c r="BJ367" s="5" t="s">
        <v>246</v>
      </c>
      <c r="BK367" s="4" t="s">
        <v>254</v>
      </c>
      <c r="BL367" s="4" t="s">
        <v>255</v>
      </c>
      <c r="BM367" s="4" t="s">
        <v>241</v>
      </c>
      <c r="BN367" s="6">
        <f>0</f>
        <v>0</v>
      </c>
      <c r="BO367" s="6">
        <f>0</f>
        <v>0</v>
      </c>
      <c r="BP367" s="4" t="s">
        <v>256</v>
      </c>
      <c r="BQ367" s="4" t="s">
        <v>257</v>
      </c>
      <c r="CE367" s="4" t="s">
        <v>241</v>
      </c>
      <c r="CF367" s="4" t="s">
        <v>241</v>
      </c>
      <c r="CJ367" s="4" t="s">
        <v>258</v>
      </c>
      <c r="CK367" s="4" t="s">
        <v>259</v>
      </c>
      <c r="CL367" s="4" t="s">
        <v>241</v>
      </c>
      <c r="CO367" s="5" t="s">
        <v>260</v>
      </c>
      <c r="CP367" s="4" t="s">
        <v>241</v>
      </c>
      <c r="CQ367" s="4" t="s">
        <v>261</v>
      </c>
      <c r="CR367" s="4" t="s">
        <v>241</v>
      </c>
      <c r="CS367" s="4" t="s">
        <v>241</v>
      </c>
      <c r="CT367" s="4">
        <v>0</v>
      </c>
      <c r="CU367" s="4" t="s">
        <v>262</v>
      </c>
      <c r="CV367" s="4" t="s">
        <v>263</v>
      </c>
      <c r="CW367" s="4" t="s">
        <v>263</v>
      </c>
      <c r="CX367" s="4" t="s">
        <v>264</v>
      </c>
      <c r="DA367" s="6">
        <f>53160</f>
        <v>53160</v>
      </c>
      <c r="DC367" s="4" t="s">
        <v>422</v>
      </c>
      <c r="DD367" s="4" t="s">
        <v>241</v>
      </c>
      <c r="DF367" s="4" t="s">
        <v>414</v>
      </c>
      <c r="DG367" s="6">
        <f>24</f>
        <v>24</v>
      </c>
      <c r="DI367" s="4" t="s">
        <v>414</v>
      </c>
      <c r="DJ367" s="4" t="s">
        <v>241</v>
      </c>
      <c r="DK367" s="4" t="s">
        <v>241</v>
      </c>
      <c r="DL367" s="4" t="s">
        <v>241</v>
      </c>
      <c r="DP367" s="4" t="s">
        <v>241</v>
      </c>
      <c r="DQ367" s="4" t="s">
        <v>241</v>
      </c>
      <c r="DR367" s="4" t="s">
        <v>241</v>
      </c>
      <c r="DS367" s="4" t="s">
        <v>241</v>
      </c>
      <c r="DV367" s="4" t="s">
        <v>4883</v>
      </c>
      <c r="DW367" s="4" t="s">
        <v>748</v>
      </c>
      <c r="HO367" s="4" t="s">
        <v>267</v>
      </c>
    </row>
    <row r="368" spans="1:223" ht="19.5" customHeight="1" x14ac:dyDescent="0.4">
      <c r="A368" s="4">
        <v>1</v>
      </c>
      <c r="B368" s="4" t="s">
        <v>239</v>
      </c>
      <c r="C368" s="4">
        <v>1103</v>
      </c>
      <c r="D368" s="4">
        <v>1</v>
      </c>
      <c r="E368" s="4">
        <v>1</v>
      </c>
      <c r="F368" s="4" t="s">
        <v>240</v>
      </c>
      <c r="G368" s="4" t="s">
        <v>241</v>
      </c>
      <c r="H368" s="4" t="s">
        <v>241</v>
      </c>
      <c r="I368" s="4" t="s">
        <v>4881</v>
      </c>
      <c r="J368" s="4" t="s">
        <v>596</v>
      </c>
      <c r="K368" s="4" t="s">
        <v>251</v>
      </c>
      <c r="L368" s="4" t="s">
        <v>4880</v>
      </c>
      <c r="M368" s="5" t="s">
        <v>4885</v>
      </c>
      <c r="N368" s="6">
        <f>112</f>
        <v>112</v>
      </c>
      <c r="O368" s="4" t="s">
        <v>265</v>
      </c>
      <c r="P368" s="6">
        <f>248080</f>
        <v>248080</v>
      </c>
      <c r="Q368" s="6">
        <f>0</f>
        <v>0</v>
      </c>
      <c r="S368" s="6">
        <f>0</f>
        <v>0</v>
      </c>
      <c r="T368" s="6">
        <f>248080</f>
        <v>248080</v>
      </c>
      <c r="U368" s="5" t="s">
        <v>245</v>
      </c>
      <c r="V368" s="4" t="s">
        <v>270</v>
      </c>
      <c r="W368" s="4" t="s">
        <v>242</v>
      </c>
      <c r="X368" s="4" t="s">
        <v>273</v>
      </c>
      <c r="Y368" s="4" t="s">
        <v>241</v>
      </c>
      <c r="AB368" s="4" t="s">
        <v>241</v>
      </c>
      <c r="AD368" s="5" t="s">
        <v>241</v>
      </c>
      <c r="AG368" s="5" t="s">
        <v>246</v>
      </c>
      <c r="AH368" s="4" t="s">
        <v>241</v>
      </c>
      <c r="AI368" s="4" t="s">
        <v>247</v>
      </c>
      <c r="AJ368" s="4" t="s">
        <v>248</v>
      </c>
      <c r="AZ368" s="4" t="s">
        <v>249</v>
      </c>
      <c r="BA368" s="4" t="s">
        <v>241</v>
      </c>
      <c r="BB368" s="4" t="s">
        <v>250</v>
      </c>
      <c r="BC368" s="4" t="s">
        <v>241</v>
      </c>
      <c r="BD368" s="4" t="s">
        <v>252</v>
      </c>
      <c r="BE368" s="4" t="s">
        <v>241</v>
      </c>
      <c r="BI368" s="4" t="s">
        <v>253</v>
      </c>
      <c r="BJ368" s="5" t="s">
        <v>246</v>
      </c>
      <c r="BK368" s="4" t="s">
        <v>254</v>
      </c>
      <c r="BL368" s="4" t="s">
        <v>255</v>
      </c>
      <c r="BM368" s="4" t="s">
        <v>241</v>
      </c>
      <c r="BN368" s="6">
        <f>0</f>
        <v>0</v>
      </c>
      <c r="BO368" s="6">
        <f>0</f>
        <v>0</v>
      </c>
      <c r="BP368" s="4" t="s">
        <v>256</v>
      </c>
      <c r="BQ368" s="4" t="s">
        <v>257</v>
      </c>
      <c r="CE368" s="4" t="s">
        <v>241</v>
      </c>
      <c r="CF368" s="4" t="s">
        <v>241</v>
      </c>
      <c r="CJ368" s="4" t="s">
        <v>258</v>
      </c>
      <c r="CK368" s="4" t="s">
        <v>259</v>
      </c>
      <c r="CL368" s="4" t="s">
        <v>241</v>
      </c>
      <c r="CO368" s="5" t="s">
        <v>260</v>
      </c>
      <c r="CP368" s="4" t="s">
        <v>241</v>
      </c>
      <c r="CQ368" s="4" t="s">
        <v>261</v>
      </c>
      <c r="CR368" s="4" t="s">
        <v>241</v>
      </c>
      <c r="CS368" s="4" t="s">
        <v>241</v>
      </c>
      <c r="CT368" s="4">
        <v>0</v>
      </c>
      <c r="CU368" s="4" t="s">
        <v>262</v>
      </c>
      <c r="CV368" s="4" t="s">
        <v>263</v>
      </c>
      <c r="CW368" s="4" t="s">
        <v>263</v>
      </c>
      <c r="CX368" s="4" t="s">
        <v>264</v>
      </c>
      <c r="DA368" s="6">
        <f>248080</f>
        <v>248080</v>
      </c>
      <c r="DC368" s="4" t="s">
        <v>422</v>
      </c>
      <c r="DD368" s="4" t="s">
        <v>241</v>
      </c>
      <c r="DF368" s="4" t="s">
        <v>414</v>
      </c>
      <c r="DG368" s="6">
        <f>112</f>
        <v>112</v>
      </c>
      <c r="DI368" s="4" t="s">
        <v>414</v>
      </c>
      <c r="DJ368" s="4" t="s">
        <v>241</v>
      </c>
      <c r="DK368" s="4" t="s">
        <v>241</v>
      </c>
      <c r="DL368" s="4" t="s">
        <v>241</v>
      </c>
      <c r="DP368" s="4" t="s">
        <v>241</v>
      </c>
      <c r="DQ368" s="4" t="s">
        <v>241</v>
      </c>
      <c r="DR368" s="4" t="s">
        <v>241</v>
      </c>
      <c r="DS368" s="4" t="s">
        <v>241</v>
      </c>
      <c r="DV368" s="4" t="s">
        <v>4883</v>
      </c>
      <c r="DW368" s="4" t="s">
        <v>719</v>
      </c>
      <c r="HO368" s="4" t="s">
        <v>267</v>
      </c>
    </row>
    <row r="369" spans="1:223" ht="19.5" customHeight="1" x14ac:dyDescent="0.4">
      <c r="A369" s="4">
        <v>1</v>
      </c>
      <c r="B369" s="4" t="s">
        <v>239</v>
      </c>
      <c r="C369" s="4">
        <v>1104</v>
      </c>
      <c r="D369" s="4">
        <v>1</v>
      </c>
      <c r="E369" s="4">
        <v>1</v>
      </c>
      <c r="F369" s="4" t="s">
        <v>240</v>
      </c>
      <c r="G369" s="4" t="s">
        <v>241</v>
      </c>
      <c r="H369" s="4" t="s">
        <v>241</v>
      </c>
      <c r="I369" s="4" t="s">
        <v>4881</v>
      </c>
      <c r="J369" s="4" t="s">
        <v>596</v>
      </c>
      <c r="K369" s="4" t="s">
        <v>251</v>
      </c>
      <c r="L369" s="4" t="s">
        <v>4880</v>
      </c>
      <c r="M369" s="5" t="s">
        <v>4887</v>
      </c>
      <c r="N369" s="6">
        <f>206</f>
        <v>206</v>
      </c>
      <c r="O369" s="4" t="s">
        <v>265</v>
      </c>
      <c r="P369" s="6">
        <f>456290</f>
        <v>456290</v>
      </c>
      <c r="Q369" s="6">
        <f>0</f>
        <v>0</v>
      </c>
      <c r="S369" s="6">
        <f>0</f>
        <v>0</v>
      </c>
      <c r="T369" s="6">
        <f>456290</f>
        <v>456290</v>
      </c>
      <c r="U369" s="5" t="s">
        <v>245</v>
      </c>
      <c r="V369" s="4" t="s">
        <v>270</v>
      </c>
      <c r="W369" s="4" t="s">
        <v>242</v>
      </c>
      <c r="X369" s="4" t="s">
        <v>273</v>
      </c>
      <c r="Y369" s="4" t="s">
        <v>241</v>
      </c>
      <c r="AB369" s="4" t="s">
        <v>241</v>
      </c>
      <c r="AD369" s="5" t="s">
        <v>241</v>
      </c>
      <c r="AG369" s="5" t="s">
        <v>246</v>
      </c>
      <c r="AH369" s="4" t="s">
        <v>241</v>
      </c>
      <c r="AI369" s="4" t="s">
        <v>247</v>
      </c>
      <c r="AJ369" s="4" t="s">
        <v>248</v>
      </c>
      <c r="AZ369" s="4" t="s">
        <v>249</v>
      </c>
      <c r="BA369" s="4" t="s">
        <v>241</v>
      </c>
      <c r="BB369" s="4" t="s">
        <v>250</v>
      </c>
      <c r="BC369" s="4" t="s">
        <v>241</v>
      </c>
      <c r="BD369" s="4" t="s">
        <v>252</v>
      </c>
      <c r="BE369" s="4" t="s">
        <v>241</v>
      </c>
      <c r="BI369" s="4" t="s">
        <v>253</v>
      </c>
      <c r="BJ369" s="5" t="s">
        <v>246</v>
      </c>
      <c r="BK369" s="4" t="s">
        <v>254</v>
      </c>
      <c r="BL369" s="4" t="s">
        <v>255</v>
      </c>
      <c r="BM369" s="4" t="s">
        <v>241</v>
      </c>
      <c r="BN369" s="6">
        <f>0</f>
        <v>0</v>
      </c>
      <c r="BO369" s="6">
        <f>0</f>
        <v>0</v>
      </c>
      <c r="BP369" s="4" t="s">
        <v>256</v>
      </c>
      <c r="BQ369" s="4" t="s">
        <v>257</v>
      </c>
      <c r="CE369" s="4" t="s">
        <v>241</v>
      </c>
      <c r="CF369" s="4" t="s">
        <v>241</v>
      </c>
      <c r="CJ369" s="4" t="s">
        <v>258</v>
      </c>
      <c r="CK369" s="4" t="s">
        <v>259</v>
      </c>
      <c r="CL369" s="4" t="s">
        <v>241</v>
      </c>
      <c r="CO369" s="5" t="s">
        <v>260</v>
      </c>
      <c r="CP369" s="4" t="s">
        <v>241</v>
      </c>
      <c r="CQ369" s="4" t="s">
        <v>261</v>
      </c>
      <c r="CR369" s="4" t="s">
        <v>241</v>
      </c>
      <c r="CS369" s="4" t="s">
        <v>241</v>
      </c>
      <c r="CT369" s="4">
        <v>0</v>
      </c>
      <c r="CU369" s="4" t="s">
        <v>262</v>
      </c>
      <c r="CV369" s="4" t="s">
        <v>263</v>
      </c>
      <c r="CW369" s="4" t="s">
        <v>263</v>
      </c>
      <c r="CX369" s="4" t="s">
        <v>264</v>
      </c>
      <c r="DA369" s="6">
        <f>456290</f>
        <v>456290</v>
      </c>
      <c r="DC369" s="4" t="s">
        <v>422</v>
      </c>
      <c r="DD369" s="4" t="s">
        <v>241</v>
      </c>
      <c r="DF369" s="4" t="s">
        <v>414</v>
      </c>
      <c r="DG369" s="6">
        <f>206</f>
        <v>206</v>
      </c>
      <c r="DI369" s="4" t="s">
        <v>414</v>
      </c>
      <c r="DJ369" s="4" t="s">
        <v>241</v>
      </c>
      <c r="DK369" s="4" t="s">
        <v>241</v>
      </c>
      <c r="DL369" s="4" t="s">
        <v>241</v>
      </c>
      <c r="DP369" s="4" t="s">
        <v>241</v>
      </c>
      <c r="DQ369" s="4" t="s">
        <v>241</v>
      </c>
      <c r="DR369" s="4" t="s">
        <v>241</v>
      </c>
      <c r="DS369" s="4" t="s">
        <v>241</v>
      </c>
      <c r="DV369" s="4" t="s">
        <v>4883</v>
      </c>
      <c r="DW369" s="4" t="s">
        <v>690</v>
      </c>
      <c r="HO369" s="4" t="s">
        <v>267</v>
      </c>
    </row>
    <row r="370" spans="1:223" ht="19.5" customHeight="1" x14ac:dyDescent="0.4">
      <c r="A370" s="4">
        <v>1</v>
      </c>
      <c r="B370" s="4" t="s">
        <v>239</v>
      </c>
      <c r="C370" s="4">
        <v>1105</v>
      </c>
      <c r="D370" s="4">
        <v>1</v>
      </c>
      <c r="E370" s="4">
        <v>1</v>
      </c>
      <c r="F370" s="4" t="s">
        <v>240</v>
      </c>
      <c r="G370" s="4" t="s">
        <v>241</v>
      </c>
      <c r="H370" s="4" t="s">
        <v>241</v>
      </c>
      <c r="I370" s="4" t="s">
        <v>4811</v>
      </c>
      <c r="J370" s="4" t="s">
        <v>596</v>
      </c>
      <c r="K370" s="4" t="s">
        <v>251</v>
      </c>
      <c r="L370" s="4" t="s">
        <v>4810</v>
      </c>
      <c r="M370" s="5" t="s">
        <v>5480</v>
      </c>
      <c r="N370" s="6">
        <f>44</f>
        <v>44</v>
      </c>
      <c r="O370" s="4" t="s">
        <v>265</v>
      </c>
      <c r="P370" s="6">
        <f>97460</f>
        <v>97460</v>
      </c>
      <c r="Q370" s="6">
        <f>0</f>
        <v>0</v>
      </c>
      <c r="S370" s="6">
        <f>0</f>
        <v>0</v>
      </c>
      <c r="T370" s="6">
        <f>97460</f>
        <v>97460</v>
      </c>
      <c r="U370" s="5" t="s">
        <v>245</v>
      </c>
      <c r="V370" s="4" t="s">
        <v>270</v>
      </c>
      <c r="W370" s="4" t="s">
        <v>242</v>
      </c>
      <c r="X370" s="4" t="s">
        <v>273</v>
      </c>
      <c r="Y370" s="4" t="s">
        <v>241</v>
      </c>
      <c r="AB370" s="4" t="s">
        <v>241</v>
      </c>
      <c r="AD370" s="5" t="s">
        <v>241</v>
      </c>
      <c r="AG370" s="5" t="s">
        <v>246</v>
      </c>
      <c r="AH370" s="4" t="s">
        <v>241</v>
      </c>
      <c r="AI370" s="4" t="s">
        <v>247</v>
      </c>
      <c r="AJ370" s="4" t="s">
        <v>248</v>
      </c>
      <c r="AZ370" s="4" t="s">
        <v>249</v>
      </c>
      <c r="BA370" s="4" t="s">
        <v>241</v>
      </c>
      <c r="BB370" s="4" t="s">
        <v>250</v>
      </c>
      <c r="BC370" s="4" t="s">
        <v>241</v>
      </c>
      <c r="BD370" s="4" t="s">
        <v>252</v>
      </c>
      <c r="BE370" s="4" t="s">
        <v>241</v>
      </c>
      <c r="BG370" s="4" t="s">
        <v>4227</v>
      </c>
      <c r="BI370" s="4" t="s">
        <v>253</v>
      </c>
      <c r="BJ370" s="5" t="s">
        <v>246</v>
      </c>
      <c r="BK370" s="4" t="s">
        <v>254</v>
      </c>
      <c r="BL370" s="4" t="s">
        <v>255</v>
      </c>
      <c r="BM370" s="4" t="s">
        <v>241</v>
      </c>
      <c r="BN370" s="6">
        <f>0</f>
        <v>0</v>
      </c>
      <c r="BO370" s="6">
        <f>0</f>
        <v>0</v>
      </c>
      <c r="BP370" s="4" t="s">
        <v>256</v>
      </c>
      <c r="BQ370" s="4" t="s">
        <v>257</v>
      </c>
      <c r="CE370" s="4" t="s">
        <v>241</v>
      </c>
      <c r="CF370" s="4" t="s">
        <v>241</v>
      </c>
      <c r="CJ370" s="4" t="s">
        <v>258</v>
      </c>
      <c r="CK370" s="4" t="s">
        <v>259</v>
      </c>
      <c r="CL370" s="4" t="s">
        <v>241</v>
      </c>
      <c r="CO370" s="5" t="s">
        <v>260</v>
      </c>
      <c r="CP370" s="4" t="s">
        <v>241</v>
      </c>
      <c r="CQ370" s="4" t="s">
        <v>261</v>
      </c>
      <c r="CR370" s="4" t="s">
        <v>241</v>
      </c>
      <c r="CS370" s="4" t="s">
        <v>241</v>
      </c>
      <c r="CT370" s="4">
        <v>0</v>
      </c>
      <c r="CU370" s="4" t="s">
        <v>262</v>
      </c>
      <c r="CV370" s="4" t="s">
        <v>263</v>
      </c>
      <c r="CW370" s="4" t="s">
        <v>263</v>
      </c>
      <c r="CX370" s="4" t="s">
        <v>264</v>
      </c>
      <c r="DA370" s="6">
        <f>97460</f>
        <v>97460</v>
      </c>
      <c r="DC370" s="4" t="s">
        <v>422</v>
      </c>
      <c r="DD370" s="4" t="s">
        <v>241</v>
      </c>
      <c r="DF370" s="4" t="s">
        <v>387</v>
      </c>
      <c r="DG370" s="6">
        <f>44</f>
        <v>44</v>
      </c>
      <c r="DI370" s="4" t="s">
        <v>414</v>
      </c>
      <c r="DJ370" s="4" t="s">
        <v>241</v>
      </c>
      <c r="DK370" s="4" t="s">
        <v>241</v>
      </c>
      <c r="DL370" s="4" t="s">
        <v>241</v>
      </c>
      <c r="DP370" s="4" t="s">
        <v>241</v>
      </c>
      <c r="DQ370" s="4" t="s">
        <v>241</v>
      </c>
      <c r="DR370" s="4" t="s">
        <v>241</v>
      </c>
      <c r="DS370" s="4" t="s">
        <v>241</v>
      </c>
      <c r="DV370" s="4" t="s">
        <v>4813</v>
      </c>
      <c r="DW370" s="4" t="s">
        <v>267</v>
      </c>
      <c r="HO370" s="4" t="s">
        <v>267</v>
      </c>
    </row>
    <row r="371" spans="1:223" ht="19.5" customHeight="1" x14ac:dyDescent="0.4">
      <c r="A371" s="4">
        <v>1</v>
      </c>
      <c r="B371" s="4" t="s">
        <v>239</v>
      </c>
      <c r="C371" s="4">
        <v>1106</v>
      </c>
      <c r="D371" s="4">
        <v>1</v>
      </c>
      <c r="E371" s="4">
        <v>1</v>
      </c>
      <c r="F371" s="4" t="s">
        <v>240</v>
      </c>
      <c r="G371" s="4" t="s">
        <v>241</v>
      </c>
      <c r="H371" s="4" t="s">
        <v>241</v>
      </c>
      <c r="I371" s="4" t="s">
        <v>4811</v>
      </c>
      <c r="J371" s="4" t="s">
        <v>596</v>
      </c>
      <c r="K371" s="4" t="s">
        <v>251</v>
      </c>
      <c r="L371" s="4" t="s">
        <v>4810</v>
      </c>
      <c r="M371" s="5" t="s">
        <v>4817</v>
      </c>
      <c r="N371" s="6">
        <f>887</f>
        <v>887</v>
      </c>
      <c r="O371" s="4" t="s">
        <v>265</v>
      </c>
      <c r="P371" s="6">
        <f>1964705</f>
        <v>1964705</v>
      </c>
      <c r="Q371" s="6">
        <f>0</f>
        <v>0</v>
      </c>
      <c r="S371" s="6">
        <f>0</f>
        <v>0</v>
      </c>
      <c r="T371" s="6">
        <f>1964705</f>
        <v>1964705</v>
      </c>
      <c r="U371" s="5" t="s">
        <v>245</v>
      </c>
      <c r="V371" s="4" t="s">
        <v>270</v>
      </c>
      <c r="W371" s="4" t="s">
        <v>242</v>
      </c>
      <c r="X371" s="4" t="s">
        <v>273</v>
      </c>
      <c r="Y371" s="4" t="s">
        <v>241</v>
      </c>
      <c r="AB371" s="4" t="s">
        <v>241</v>
      </c>
      <c r="AD371" s="5" t="s">
        <v>241</v>
      </c>
      <c r="AG371" s="5" t="s">
        <v>246</v>
      </c>
      <c r="AH371" s="4" t="s">
        <v>241</v>
      </c>
      <c r="AI371" s="4" t="s">
        <v>247</v>
      </c>
      <c r="AJ371" s="4" t="s">
        <v>248</v>
      </c>
      <c r="AZ371" s="4" t="s">
        <v>249</v>
      </c>
      <c r="BA371" s="4" t="s">
        <v>241</v>
      </c>
      <c r="BB371" s="4" t="s">
        <v>250</v>
      </c>
      <c r="BC371" s="4" t="s">
        <v>241</v>
      </c>
      <c r="BD371" s="4" t="s">
        <v>252</v>
      </c>
      <c r="BE371" s="4" t="s">
        <v>241</v>
      </c>
      <c r="BI371" s="4" t="s">
        <v>253</v>
      </c>
      <c r="BJ371" s="5" t="s">
        <v>246</v>
      </c>
      <c r="BK371" s="4" t="s">
        <v>254</v>
      </c>
      <c r="BL371" s="4" t="s">
        <v>255</v>
      </c>
      <c r="BM371" s="4" t="s">
        <v>241</v>
      </c>
      <c r="BN371" s="6">
        <f>0</f>
        <v>0</v>
      </c>
      <c r="BO371" s="6">
        <f>0</f>
        <v>0</v>
      </c>
      <c r="BP371" s="4" t="s">
        <v>256</v>
      </c>
      <c r="BQ371" s="4" t="s">
        <v>257</v>
      </c>
      <c r="CE371" s="4" t="s">
        <v>241</v>
      </c>
      <c r="CF371" s="4" t="s">
        <v>241</v>
      </c>
      <c r="CJ371" s="4" t="s">
        <v>258</v>
      </c>
      <c r="CK371" s="4" t="s">
        <v>259</v>
      </c>
      <c r="CL371" s="4" t="s">
        <v>241</v>
      </c>
      <c r="CO371" s="5" t="s">
        <v>260</v>
      </c>
      <c r="CP371" s="4" t="s">
        <v>241</v>
      </c>
      <c r="CQ371" s="4" t="s">
        <v>261</v>
      </c>
      <c r="CR371" s="4" t="s">
        <v>241</v>
      </c>
      <c r="CS371" s="4" t="s">
        <v>241</v>
      </c>
      <c r="CT371" s="4">
        <v>0</v>
      </c>
      <c r="CU371" s="4" t="s">
        <v>262</v>
      </c>
      <c r="CV371" s="4" t="s">
        <v>263</v>
      </c>
      <c r="CW371" s="4" t="s">
        <v>263</v>
      </c>
      <c r="CX371" s="4" t="s">
        <v>264</v>
      </c>
      <c r="DA371" s="6">
        <f>1964705</f>
        <v>1964705</v>
      </c>
      <c r="DC371" s="4" t="s">
        <v>422</v>
      </c>
      <c r="DD371" s="4" t="s">
        <v>241</v>
      </c>
      <c r="DF371" s="4" t="s">
        <v>387</v>
      </c>
      <c r="DG371" s="6">
        <f>887</f>
        <v>887</v>
      </c>
      <c r="DI371" s="4" t="s">
        <v>414</v>
      </c>
      <c r="DJ371" s="4" t="s">
        <v>241</v>
      </c>
      <c r="DK371" s="4" t="s">
        <v>241</v>
      </c>
      <c r="DL371" s="4" t="s">
        <v>241</v>
      </c>
      <c r="DP371" s="4" t="s">
        <v>241</v>
      </c>
      <c r="DQ371" s="4" t="s">
        <v>241</v>
      </c>
      <c r="DR371" s="4" t="s">
        <v>241</v>
      </c>
      <c r="DS371" s="4" t="s">
        <v>241</v>
      </c>
      <c r="DV371" s="4" t="s">
        <v>4813</v>
      </c>
      <c r="DW371" s="4" t="s">
        <v>416</v>
      </c>
      <c r="HO371" s="4" t="s">
        <v>267</v>
      </c>
    </row>
    <row r="372" spans="1:223" ht="19.5" customHeight="1" x14ac:dyDescent="0.4">
      <c r="A372" s="4">
        <v>1</v>
      </c>
      <c r="B372" s="4" t="s">
        <v>239</v>
      </c>
      <c r="C372" s="4">
        <v>1107</v>
      </c>
      <c r="D372" s="4">
        <v>1</v>
      </c>
      <c r="E372" s="4">
        <v>1</v>
      </c>
      <c r="F372" s="4" t="s">
        <v>240</v>
      </c>
      <c r="G372" s="4" t="s">
        <v>241</v>
      </c>
      <c r="H372" s="4" t="s">
        <v>241</v>
      </c>
      <c r="I372" s="4" t="s">
        <v>4811</v>
      </c>
      <c r="J372" s="4" t="s">
        <v>596</v>
      </c>
      <c r="K372" s="4" t="s">
        <v>251</v>
      </c>
      <c r="L372" s="4" t="s">
        <v>4810</v>
      </c>
      <c r="M372" s="5" t="s">
        <v>4816</v>
      </c>
      <c r="N372" s="6">
        <f>933</f>
        <v>933</v>
      </c>
      <c r="O372" s="4" t="s">
        <v>265</v>
      </c>
      <c r="P372" s="6">
        <f>2066595</f>
        <v>2066595</v>
      </c>
      <c r="Q372" s="6">
        <f>0</f>
        <v>0</v>
      </c>
      <c r="S372" s="6">
        <f>0</f>
        <v>0</v>
      </c>
      <c r="T372" s="6">
        <f>2066595</f>
        <v>2066595</v>
      </c>
      <c r="U372" s="5" t="s">
        <v>245</v>
      </c>
      <c r="V372" s="4" t="s">
        <v>270</v>
      </c>
      <c r="W372" s="4" t="s">
        <v>242</v>
      </c>
      <c r="X372" s="4" t="s">
        <v>273</v>
      </c>
      <c r="Y372" s="4" t="s">
        <v>241</v>
      </c>
      <c r="AB372" s="4" t="s">
        <v>241</v>
      </c>
      <c r="AD372" s="5" t="s">
        <v>241</v>
      </c>
      <c r="AG372" s="5" t="s">
        <v>246</v>
      </c>
      <c r="AH372" s="4" t="s">
        <v>241</v>
      </c>
      <c r="AI372" s="4" t="s">
        <v>247</v>
      </c>
      <c r="AJ372" s="4" t="s">
        <v>248</v>
      </c>
      <c r="AZ372" s="4" t="s">
        <v>249</v>
      </c>
      <c r="BA372" s="4" t="s">
        <v>241</v>
      </c>
      <c r="BB372" s="4" t="s">
        <v>250</v>
      </c>
      <c r="BC372" s="4" t="s">
        <v>241</v>
      </c>
      <c r="BD372" s="4" t="s">
        <v>252</v>
      </c>
      <c r="BE372" s="4" t="s">
        <v>241</v>
      </c>
      <c r="BI372" s="4" t="s">
        <v>253</v>
      </c>
      <c r="BJ372" s="5" t="s">
        <v>246</v>
      </c>
      <c r="BK372" s="4" t="s">
        <v>254</v>
      </c>
      <c r="BL372" s="4" t="s">
        <v>255</v>
      </c>
      <c r="BM372" s="4" t="s">
        <v>241</v>
      </c>
      <c r="BN372" s="6">
        <f>0</f>
        <v>0</v>
      </c>
      <c r="BO372" s="6">
        <f>0</f>
        <v>0</v>
      </c>
      <c r="BP372" s="4" t="s">
        <v>256</v>
      </c>
      <c r="BQ372" s="4" t="s">
        <v>257</v>
      </c>
      <c r="CE372" s="4" t="s">
        <v>241</v>
      </c>
      <c r="CF372" s="4" t="s">
        <v>241</v>
      </c>
      <c r="CJ372" s="4" t="s">
        <v>258</v>
      </c>
      <c r="CK372" s="4" t="s">
        <v>259</v>
      </c>
      <c r="CL372" s="4" t="s">
        <v>241</v>
      </c>
      <c r="CO372" s="5" t="s">
        <v>260</v>
      </c>
      <c r="CP372" s="4" t="s">
        <v>241</v>
      </c>
      <c r="CQ372" s="4" t="s">
        <v>261</v>
      </c>
      <c r="CR372" s="4" t="s">
        <v>241</v>
      </c>
      <c r="CS372" s="4" t="s">
        <v>241</v>
      </c>
      <c r="CT372" s="4">
        <v>0</v>
      </c>
      <c r="CU372" s="4" t="s">
        <v>262</v>
      </c>
      <c r="CV372" s="4" t="s">
        <v>263</v>
      </c>
      <c r="CW372" s="4" t="s">
        <v>263</v>
      </c>
      <c r="CX372" s="4" t="s">
        <v>264</v>
      </c>
      <c r="DA372" s="6">
        <f>2066595</f>
        <v>2066595</v>
      </c>
      <c r="DC372" s="4" t="s">
        <v>422</v>
      </c>
      <c r="DD372" s="4" t="s">
        <v>241</v>
      </c>
      <c r="DF372" s="4" t="s">
        <v>387</v>
      </c>
      <c r="DG372" s="6">
        <f>933</f>
        <v>933</v>
      </c>
      <c r="DI372" s="4" t="s">
        <v>414</v>
      </c>
      <c r="DJ372" s="4" t="s">
        <v>241</v>
      </c>
      <c r="DK372" s="4" t="s">
        <v>241</v>
      </c>
      <c r="DL372" s="4" t="s">
        <v>241</v>
      </c>
      <c r="DP372" s="4" t="s">
        <v>241</v>
      </c>
      <c r="DQ372" s="4" t="s">
        <v>241</v>
      </c>
      <c r="DR372" s="4" t="s">
        <v>241</v>
      </c>
      <c r="DS372" s="4" t="s">
        <v>241</v>
      </c>
      <c r="DV372" s="4" t="s">
        <v>4813</v>
      </c>
      <c r="DW372" s="4" t="s">
        <v>388</v>
      </c>
      <c r="HO372" s="4" t="s">
        <v>267</v>
      </c>
    </row>
    <row r="373" spans="1:223" ht="19.5" customHeight="1" x14ac:dyDescent="0.4">
      <c r="A373" s="4">
        <v>1</v>
      </c>
      <c r="B373" s="4" t="s">
        <v>239</v>
      </c>
      <c r="C373" s="4">
        <v>1108</v>
      </c>
      <c r="D373" s="4">
        <v>1</v>
      </c>
      <c r="E373" s="4">
        <v>1</v>
      </c>
      <c r="F373" s="4" t="s">
        <v>240</v>
      </c>
      <c r="G373" s="4" t="s">
        <v>241</v>
      </c>
      <c r="H373" s="4" t="s">
        <v>241</v>
      </c>
      <c r="I373" s="4" t="s">
        <v>4811</v>
      </c>
      <c r="J373" s="4" t="s">
        <v>596</v>
      </c>
      <c r="K373" s="4" t="s">
        <v>251</v>
      </c>
      <c r="L373" s="4" t="s">
        <v>4810</v>
      </c>
      <c r="M373" s="5" t="s">
        <v>4818</v>
      </c>
      <c r="N373" s="6">
        <f>211</f>
        <v>211</v>
      </c>
      <c r="O373" s="4" t="s">
        <v>265</v>
      </c>
      <c r="P373" s="6">
        <f>467365</f>
        <v>467365</v>
      </c>
      <c r="Q373" s="6">
        <f>0</f>
        <v>0</v>
      </c>
      <c r="S373" s="6">
        <f>0</f>
        <v>0</v>
      </c>
      <c r="T373" s="6">
        <f>467365</f>
        <v>467365</v>
      </c>
      <c r="U373" s="5" t="s">
        <v>245</v>
      </c>
      <c r="V373" s="4" t="s">
        <v>270</v>
      </c>
      <c r="W373" s="4" t="s">
        <v>242</v>
      </c>
      <c r="X373" s="4" t="s">
        <v>273</v>
      </c>
      <c r="Y373" s="4" t="s">
        <v>241</v>
      </c>
      <c r="AB373" s="4" t="s">
        <v>241</v>
      </c>
      <c r="AD373" s="5" t="s">
        <v>241</v>
      </c>
      <c r="AG373" s="5" t="s">
        <v>246</v>
      </c>
      <c r="AH373" s="4" t="s">
        <v>241</v>
      </c>
      <c r="AI373" s="4" t="s">
        <v>247</v>
      </c>
      <c r="AJ373" s="4" t="s">
        <v>248</v>
      </c>
      <c r="AZ373" s="4" t="s">
        <v>249</v>
      </c>
      <c r="BA373" s="4" t="s">
        <v>241</v>
      </c>
      <c r="BB373" s="4" t="s">
        <v>250</v>
      </c>
      <c r="BC373" s="4" t="s">
        <v>241</v>
      </c>
      <c r="BD373" s="4" t="s">
        <v>252</v>
      </c>
      <c r="BE373" s="4" t="s">
        <v>241</v>
      </c>
      <c r="BI373" s="4" t="s">
        <v>253</v>
      </c>
      <c r="BJ373" s="5" t="s">
        <v>246</v>
      </c>
      <c r="BK373" s="4" t="s">
        <v>254</v>
      </c>
      <c r="BL373" s="4" t="s">
        <v>255</v>
      </c>
      <c r="BM373" s="4" t="s">
        <v>241</v>
      </c>
      <c r="BN373" s="6">
        <f>0</f>
        <v>0</v>
      </c>
      <c r="BO373" s="6">
        <f>0</f>
        <v>0</v>
      </c>
      <c r="BP373" s="4" t="s">
        <v>256</v>
      </c>
      <c r="BQ373" s="4" t="s">
        <v>257</v>
      </c>
      <c r="CE373" s="4" t="s">
        <v>241</v>
      </c>
      <c r="CF373" s="4" t="s">
        <v>241</v>
      </c>
      <c r="CJ373" s="4" t="s">
        <v>258</v>
      </c>
      <c r="CK373" s="4" t="s">
        <v>259</v>
      </c>
      <c r="CL373" s="4" t="s">
        <v>241</v>
      </c>
      <c r="CO373" s="5" t="s">
        <v>260</v>
      </c>
      <c r="CP373" s="4" t="s">
        <v>241</v>
      </c>
      <c r="CQ373" s="4" t="s">
        <v>261</v>
      </c>
      <c r="CR373" s="4" t="s">
        <v>241</v>
      </c>
      <c r="CS373" s="4" t="s">
        <v>241</v>
      </c>
      <c r="CT373" s="4">
        <v>0</v>
      </c>
      <c r="CU373" s="4" t="s">
        <v>262</v>
      </c>
      <c r="CV373" s="4" t="s">
        <v>263</v>
      </c>
      <c r="CW373" s="4" t="s">
        <v>263</v>
      </c>
      <c r="CX373" s="4" t="s">
        <v>264</v>
      </c>
      <c r="DA373" s="6">
        <f>467365</f>
        <v>467365</v>
      </c>
      <c r="DC373" s="4" t="s">
        <v>422</v>
      </c>
      <c r="DD373" s="4" t="s">
        <v>241</v>
      </c>
      <c r="DF373" s="4" t="s">
        <v>387</v>
      </c>
      <c r="DG373" s="6">
        <f>211</f>
        <v>211</v>
      </c>
      <c r="DI373" s="4" t="s">
        <v>414</v>
      </c>
      <c r="DJ373" s="4" t="s">
        <v>241</v>
      </c>
      <c r="DK373" s="4" t="s">
        <v>241</v>
      </c>
      <c r="DL373" s="4" t="s">
        <v>241</v>
      </c>
      <c r="DP373" s="4" t="s">
        <v>241</v>
      </c>
      <c r="DQ373" s="4" t="s">
        <v>241</v>
      </c>
      <c r="DR373" s="4" t="s">
        <v>241</v>
      </c>
      <c r="DS373" s="4" t="s">
        <v>241</v>
      </c>
      <c r="DV373" s="4" t="s">
        <v>4813</v>
      </c>
      <c r="DW373" s="4" t="s">
        <v>327</v>
      </c>
      <c r="HO373" s="4" t="s">
        <v>267</v>
      </c>
    </row>
    <row r="374" spans="1:223" ht="19.5" customHeight="1" x14ac:dyDescent="0.4">
      <c r="A374" s="4">
        <v>1</v>
      </c>
      <c r="B374" s="4" t="s">
        <v>239</v>
      </c>
      <c r="C374" s="4">
        <v>1109</v>
      </c>
      <c r="D374" s="4">
        <v>1</v>
      </c>
      <c r="E374" s="4">
        <v>1</v>
      </c>
      <c r="F374" s="4" t="s">
        <v>240</v>
      </c>
      <c r="G374" s="4" t="s">
        <v>241</v>
      </c>
      <c r="H374" s="4" t="s">
        <v>241</v>
      </c>
      <c r="I374" s="4" t="s">
        <v>4811</v>
      </c>
      <c r="J374" s="4" t="s">
        <v>596</v>
      </c>
      <c r="K374" s="4" t="s">
        <v>251</v>
      </c>
      <c r="L374" s="4" t="s">
        <v>4810</v>
      </c>
      <c r="M374" s="5" t="s">
        <v>4819</v>
      </c>
      <c r="N374" s="6">
        <f>353</f>
        <v>353</v>
      </c>
      <c r="O374" s="4" t="s">
        <v>265</v>
      </c>
      <c r="P374" s="6">
        <f>781895</f>
        <v>781895</v>
      </c>
      <c r="Q374" s="6">
        <f>0</f>
        <v>0</v>
      </c>
      <c r="S374" s="6">
        <f>0</f>
        <v>0</v>
      </c>
      <c r="T374" s="6">
        <f>781895</f>
        <v>781895</v>
      </c>
      <c r="U374" s="5" t="s">
        <v>245</v>
      </c>
      <c r="V374" s="4" t="s">
        <v>270</v>
      </c>
      <c r="W374" s="4" t="s">
        <v>242</v>
      </c>
      <c r="X374" s="4" t="s">
        <v>273</v>
      </c>
      <c r="Y374" s="4" t="s">
        <v>241</v>
      </c>
      <c r="AB374" s="4" t="s">
        <v>241</v>
      </c>
      <c r="AD374" s="5" t="s">
        <v>241</v>
      </c>
      <c r="AG374" s="5" t="s">
        <v>246</v>
      </c>
      <c r="AH374" s="4" t="s">
        <v>241</v>
      </c>
      <c r="AI374" s="4" t="s">
        <v>247</v>
      </c>
      <c r="AJ374" s="4" t="s">
        <v>248</v>
      </c>
      <c r="AZ374" s="4" t="s">
        <v>249</v>
      </c>
      <c r="BA374" s="4" t="s">
        <v>241</v>
      </c>
      <c r="BB374" s="4" t="s">
        <v>250</v>
      </c>
      <c r="BC374" s="4" t="s">
        <v>241</v>
      </c>
      <c r="BD374" s="4" t="s">
        <v>252</v>
      </c>
      <c r="BE374" s="4" t="s">
        <v>241</v>
      </c>
      <c r="BI374" s="4" t="s">
        <v>253</v>
      </c>
      <c r="BJ374" s="5" t="s">
        <v>246</v>
      </c>
      <c r="BK374" s="4" t="s">
        <v>254</v>
      </c>
      <c r="BL374" s="4" t="s">
        <v>255</v>
      </c>
      <c r="BM374" s="4" t="s">
        <v>241</v>
      </c>
      <c r="BN374" s="6">
        <f>0</f>
        <v>0</v>
      </c>
      <c r="BO374" s="6">
        <f>0</f>
        <v>0</v>
      </c>
      <c r="BP374" s="4" t="s">
        <v>256</v>
      </c>
      <c r="BQ374" s="4" t="s">
        <v>257</v>
      </c>
      <c r="CE374" s="4" t="s">
        <v>241</v>
      </c>
      <c r="CF374" s="4" t="s">
        <v>241</v>
      </c>
      <c r="CJ374" s="4" t="s">
        <v>258</v>
      </c>
      <c r="CK374" s="4" t="s">
        <v>259</v>
      </c>
      <c r="CL374" s="4" t="s">
        <v>241</v>
      </c>
      <c r="CO374" s="5" t="s">
        <v>260</v>
      </c>
      <c r="CP374" s="4" t="s">
        <v>241</v>
      </c>
      <c r="CQ374" s="4" t="s">
        <v>261</v>
      </c>
      <c r="CR374" s="4" t="s">
        <v>241</v>
      </c>
      <c r="CS374" s="4" t="s">
        <v>241</v>
      </c>
      <c r="CT374" s="4">
        <v>0</v>
      </c>
      <c r="CU374" s="4" t="s">
        <v>262</v>
      </c>
      <c r="CV374" s="4" t="s">
        <v>263</v>
      </c>
      <c r="CW374" s="4" t="s">
        <v>263</v>
      </c>
      <c r="CX374" s="4" t="s">
        <v>264</v>
      </c>
      <c r="DA374" s="6">
        <f>781895</f>
        <v>781895</v>
      </c>
      <c r="DC374" s="4" t="s">
        <v>422</v>
      </c>
      <c r="DD374" s="4" t="s">
        <v>241</v>
      </c>
      <c r="DF374" s="4" t="s">
        <v>387</v>
      </c>
      <c r="DG374" s="6">
        <f>353</f>
        <v>353</v>
      </c>
      <c r="DI374" s="4" t="s">
        <v>414</v>
      </c>
      <c r="DJ374" s="4" t="s">
        <v>241</v>
      </c>
      <c r="DK374" s="4" t="s">
        <v>241</v>
      </c>
      <c r="DL374" s="4" t="s">
        <v>241</v>
      </c>
      <c r="DP374" s="4" t="s">
        <v>241</v>
      </c>
      <c r="DQ374" s="4" t="s">
        <v>241</v>
      </c>
      <c r="DR374" s="4" t="s">
        <v>241</v>
      </c>
      <c r="DS374" s="4" t="s">
        <v>241</v>
      </c>
      <c r="DV374" s="4" t="s">
        <v>4813</v>
      </c>
      <c r="DW374" s="4" t="s">
        <v>748</v>
      </c>
      <c r="HO374" s="4" t="s">
        <v>267</v>
      </c>
    </row>
    <row r="375" spans="1:223" ht="19.5" customHeight="1" x14ac:dyDescent="0.4">
      <c r="A375" s="4">
        <v>1</v>
      </c>
      <c r="B375" s="4" t="s">
        <v>239</v>
      </c>
      <c r="C375" s="4">
        <v>1110</v>
      </c>
      <c r="D375" s="4">
        <v>1</v>
      </c>
      <c r="E375" s="4">
        <v>1</v>
      </c>
      <c r="F375" s="4" t="s">
        <v>240</v>
      </c>
      <c r="G375" s="4" t="s">
        <v>241</v>
      </c>
      <c r="H375" s="4" t="s">
        <v>241</v>
      </c>
      <c r="I375" s="4" t="s">
        <v>4811</v>
      </c>
      <c r="J375" s="4" t="s">
        <v>596</v>
      </c>
      <c r="K375" s="4" t="s">
        <v>251</v>
      </c>
      <c r="L375" s="4" t="s">
        <v>4810</v>
      </c>
      <c r="M375" s="5" t="s">
        <v>4820</v>
      </c>
      <c r="N375" s="6">
        <f>347</f>
        <v>347</v>
      </c>
      <c r="O375" s="4" t="s">
        <v>265</v>
      </c>
      <c r="P375" s="6">
        <f>768605</f>
        <v>768605</v>
      </c>
      <c r="Q375" s="6">
        <f>0</f>
        <v>0</v>
      </c>
      <c r="S375" s="6">
        <f>0</f>
        <v>0</v>
      </c>
      <c r="T375" s="6">
        <f>768605</f>
        <v>768605</v>
      </c>
      <c r="U375" s="5" t="s">
        <v>245</v>
      </c>
      <c r="V375" s="4" t="s">
        <v>270</v>
      </c>
      <c r="W375" s="4" t="s">
        <v>242</v>
      </c>
      <c r="X375" s="4" t="s">
        <v>273</v>
      </c>
      <c r="Y375" s="4" t="s">
        <v>241</v>
      </c>
      <c r="AB375" s="4" t="s">
        <v>241</v>
      </c>
      <c r="AD375" s="5" t="s">
        <v>241</v>
      </c>
      <c r="AG375" s="5" t="s">
        <v>246</v>
      </c>
      <c r="AH375" s="4" t="s">
        <v>241</v>
      </c>
      <c r="AI375" s="4" t="s">
        <v>247</v>
      </c>
      <c r="AJ375" s="4" t="s">
        <v>248</v>
      </c>
      <c r="AZ375" s="4" t="s">
        <v>249</v>
      </c>
      <c r="BA375" s="4" t="s">
        <v>241</v>
      </c>
      <c r="BB375" s="4" t="s">
        <v>250</v>
      </c>
      <c r="BC375" s="4" t="s">
        <v>241</v>
      </c>
      <c r="BD375" s="4" t="s">
        <v>252</v>
      </c>
      <c r="BE375" s="4" t="s">
        <v>241</v>
      </c>
      <c r="BI375" s="4" t="s">
        <v>253</v>
      </c>
      <c r="BJ375" s="5" t="s">
        <v>246</v>
      </c>
      <c r="BK375" s="4" t="s">
        <v>254</v>
      </c>
      <c r="BL375" s="4" t="s">
        <v>255</v>
      </c>
      <c r="BM375" s="4" t="s">
        <v>241</v>
      </c>
      <c r="BN375" s="6">
        <f>0</f>
        <v>0</v>
      </c>
      <c r="BO375" s="6">
        <f>0</f>
        <v>0</v>
      </c>
      <c r="BP375" s="4" t="s">
        <v>256</v>
      </c>
      <c r="BQ375" s="4" t="s">
        <v>257</v>
      </c>
      <c r="CE375" s="4" t="s">
        <v>241</v>
      </c>
      <c r="CF375" s="4" t="s">
        <v>241</v>
      </c>
      <c r="CJ375" s="4" t="s">
        <v>258</v>
      </c>
      <c r="CK375" s="4" t="s">
        <v>259</v>
      </c>
      <c r="CL375" s="4" t="s">
        <v>241</v>
      </c>
      <c r="CO375" s="5" t="s">
        <v>260</v>
      </c>
      <c r="CP375" s="4" t="s">
        <v>241</v>
      </c>
      <c r="CQ375" s="4" t="s">
        <v>261</v>
      </c>
      <c r="CR375" s="4" t="s">
        <v>241</v>
      </c>
      <c r="CS375" s="4" t="s">
        <v>241</v>
      </c>
      <c r="CT375" s="4">
        <v>0</v>
      </c>
      <c r="CU375" s="4" t="s">
        <v>262</v>
      </c>
      <c r="CV375" s="4" t="s">
        <v>263</v>
      </c>
      <c r="CW375" s="4" t="s">
        <v>263</v>
      </c>
      <c r="CX375" s="4" t="s">
        <v>264</v>
      </c>
      <c r="DA375" s="6">
        <f>768605</f>
        <v>768605</v>
      </c>
      <c r="DC375" s="4" t="s">
        <v>422</v>
      </c>
      <c r="DD375" s="4" t="s">
        <v>241</v>
      </c>
      <c r="DF375" s="4" t="s">
        <v>387</v>
      </c>
      <c r="DG375" s="6">
        <f>347</f>
        <v>347</v>
      </c>
      <c r="DI375" s="4" t="s">
        <v>414</v>
      </c>
      <c r="DJ375" s="4" t="s">
        <v>241</v>
      </c>
      <c r="DK375" s="4" t="s">
        <v>241</v>
      </c>
      <c r="DL375" s="4" t="s">
        <v>241</v>
      </c>
      <c r="DP375" s="4" t="s">
        <v>241</v>
      </c>
      <c r="DQ375" s="4" t="s">
        <v>241</v>
      </c>
      <c r="DR375" s="4" t="s">
        <v>241</v>
      </c>
      <c r="DS375" s="4" t="s">
        <v>241</v>
      </c>
      <c r="DV375" s="4" t="s">
        <v>4813</v>
      </c>
      <c r="DW375" s="4" t="s">
        <v>719</v>
      </c>
      <c r="HO375" s="4" t="s">
        <v>267</v>
      </c>
    </row>
    <row r="376" spans="1:223" ht="19.5" customHeight="1" x14ac:dyDescent="0.4">
      <c r="A376" s="4">
        <v>1</v>
      </c>
      <c r="B376" s="4" t="s">
        <v>239</v>
      </c>
      <c r="C376" s="4">
        <v>1111</v>
      </c>
      <c r="D376" s="4">
        <v>1</v>
      </c>
      <c r="E376" s="4">
        <v>1</v>
      </c>
      <c r="F376" s="4" t="s">
        <v>240</v>
      </c>
      <c r="G376" s="4" t="s">
        <v>241</v>
      </c>
      <c r="H376" s="4" t="s">
        <v>241</v>
      </c>
      <c r="I376" s="4" t="s">
        <v>4811</v>
      </c>
      <c r="J376" s="4" t="s">
        <v>596</v>
      </c>
      <c r="K376" s="4" t="s">
        <v>251</v>
      </c>
      <c r="L376" s="4" t="s">
        <v>4810</v>
      </c>
      <c r="M376" s="5" t="s">
        <v>4821</v>
      </c>
      <c r="N376" s="6">
        <f>505</f>
        <v>505</v>
      </c>
      <c r="O376" s="4" t="s">
        <v>265</v>
      </c>
      <c r="P376" s="6">
        <f>1118575</f>
        <v>1118575</v>
      </c>
      <c r="Q376" s="6">
        <f>0</f>
        <v>0</v>
      </c>
      <c r="S376" s="6">
        <f>0</f>
        <v>0</v>
      </c>
      <c r="T376" s="6">
        <f>1118575</f>
        <v>1118575</v>
      </c>
      <c r="U376" s="5" t="s">
        <v>245</v>
      </c>
      <c r="V376" s="4" t="s">
        <v>270</v>
      </c>
      <c r="W376" s="4" t="s">
        <v>242</v>
      </c>
      <c r="X376" s="4" t="s">
        <v>273</v>
      </c>
      <c r="Y376" s="4" t="s">
        <v>241</v>
      </c>
      <c r="AB376" s="4" t="s">
        <v>241</v>
      </c>
      <c r="AD376" s="5" t="s">
        <v>241</v>
      </c>
      <c r="AG376" s="5" t="s">
        <v>246</v>
      </c>
      <c r="AH376" s="4" t="s">
        <v>241</v>
      </c>
      <c r="AI376" s="4" t="s">
        <v>247</v>
      </c>
      <c r="AJ376" s="4" t="s">
        <v>248</v>
      </c>
      <c r="AZ376" s="4" t="s">
        <v>249</v>
      </c>
      <c r="BA376" s="4" t="s">
        <v>241</v>
      </c>
      <c r="BB376" s="4" t="s">
        <v>250</v>
      </c>
      <c r="BC376" s="4" t="s">
        <v>241</v>
      </c>
      <c r="BD376" s="4" t="s">
        <v>252</v>
      </c>
      <c r="BE376" s="4" t="s">
        <v>241</v>
      </c>
      <c r="BI376" s="4" t="s">
        <v>253</v>
      </c>
      <c r="BJ376" s="5" t="s">
        <v>246</v>
      </c>
      <c r="BK376" s="4" t="s">
        <v>254</v>
      </c>
      <c r="BL376" s="4" t="s">
        <v>255</v>
      </c>
      <c r="BM376" s="4" t="s">
        <v>241</v>
      </c>
      <c r="BN376" s="6">
        <f>0</f>
        <v>0</v>
      </c>
      <c r="BO376" s="6">
        <f>0</f>
        <v>0</v>
      </c>
      <c r="BP376" s="4" t="s">
        <v>256</v>
      </c>
      <c r="BQ376" s="4" t="s">
        <v>257</v>
      </c>
      <c r="CE376" s="4" t="s">
        <v>241</v>
      </c>
      <c r="CF376" s="4" t="s">
        <v>241</v>
      </c>
      <c r="CJ376" s="4" t="s">
        <v>258</v>
      </c>
      <c r="CK376" s="4" t="s">
        <v>259</v>
      </c>
      <c r="CL376" s="4" t="s">
        <v>241</v>
      </c>
      <c r="CO376" s="5" t="s">
        <v>260</v>
      </c>
      <c r="CP376" s="4" t="s">
        <v>241</v>
      </c>
      <c r="CQ376" s="4" t="s">
        <v>261</v>
      </c>
      <c r="CR376" s="4" t="s">
        <v>241</v>
      </c>
      <c r="CS376" s="4" t="s">
        <v>241</v>
      </c>
      <c r="CT376" s="4">
        <v>0</v>
      </c>
      <c r="CU376" s="4" t="s">
        <v>262</v>
      </c>
      <c r="CV376" s="4" t="s">
        <v>263</v>
      </c>
      <c r="CW376" s="4" t="s">
        <v>263</v>
      </c>
      <c r="CX376" s="4" t="s">
        <v>264</v>
      </c>
      <c r="DA376" s="6">
        <f>1118575</f>
        <v>1118575</v>
      </c>
      <c r="DC376" s="4" t="s">
        <v>422</v>
      </c>
      <c r="DD376" s="4" t="s">
        <v>241</v>
      </c>
      <c r="DF376" s="4" t="s">
        <v>387</v>
      </c>
      <c r="DG376" s="6">
        <f>505</f>
        <v>505</v>
      </c>
      <c r="DI376" s="4" t="s">
        <v>414</v>
      </c>
      <c r="DJ376" s="4" t="s">
        <v>241</v>
      </c>
      <c r="DK376" s="4" t="s">
        <v>241</v>
      </c>
      <c r="DL376" s="4" t="s">
        <v>241</v>
      </c>
      <c r="DP376" s="4" t="s">
        <v>241</v>
      </c>
      <c r="DQ376" s="4" t="s">
        <v>241</v>
      </c>
      <c r="DR376" s="4" t="s">
        <v>241</v>
      </c>
      <c r="DS376" s="4" t="s">
        <v>241</v>
      </c>
      <c r="DV376" s="4" t="s">
        <v>4813</v>
      </c>
      <c r="DW376" s="4" t="s">
        <v>690</v>
      </c>
      <c r="HO376" s="4" t="s">
        <v>267</v>
      </c>
    </row>
    <row r="377" spans="1:223" ht="19.5" customHeight="1" x14ac:dyDescent="0.4">
      <c r="A377" s="4">
        <v>1</v>
      </c>
      <c r="B377" s="4" t="s">
        <v>239</v>
      </c>
      <c r="C377" s="4">
        <v>1112</v>
      </c>
      <c r="D377" s="4">
        <v>1</v>
      </c>
      <c r="E377" s="4">
        <v>1</v>
      </c>
      <c r="F377" s="4" t="s">
        <v>240</v>
      </c>
      <c r="G377" s="4" t="s">
        <v>241</v>
      </c>
      <c r="H377" s="4" t="s">
        <v>241</v>
      </c>
      <c r="I377" s="4" t="s">
        <v>4811</v>
      </c>
      <c r="J377" s="4" t="s">
        <v>596</v>
      </c>
      <c r="K377" s="4" t="s">
        <v>251</v>
      </c>
      <c r="L377" s="4" t="s">
        <v>4810</v>
      </c>
      <c r="M377" s="5" t="s">
        <v>4822</v>
      </c>
      <c r="N377" s="6">
        <f>889</f>
        <v>889</v>
      </c>
      <c r="O377" s="4" t="s">
        <v>265</v>
      </c>
      <c r="P377" s="6">
        <f>1969135</f>
        <v>1969135</v>
      </c>
      <c r="Q377" s="6">
        <f>0</f>
        <v>0</v>
      </c>
      <c r="S377" s="6">
        <f>0</f>
        <v>0</v>
      </c>
      <c r="T377" s="6">
        <f>1969135</f>
        <v>1969135</v>
      </c>
      <c r="U377" s="5" t="s">
        <v>245</v>
      </c>
      <c r="V377" s="4" t="s">
        <v>270</v>
      </c>
      <c r="W377" s="4" t="s">
        <v>242</v>
      </c>
      <c r="X377" s="4" t="s">
        <v>273</v>
      </c>
      <c r="Y377" s="4" t="s">
        <v>241</v>
      </c>
      <c r="AB377" s="4" t="s">
        <v>241</v>
      </c>
      <c r="AD377" s="5" t="s">
        <v>241</v>
      </c>
      <c r="AG377" s="5" t="s">
        <v>246</v>
      </c>
      <c r="AH377" s="4" t="s">
        <v>241</v>
      </c>
      <c r="AI377" s="4" t="s">
        <v>247</v>
      </c>
      <c r="AJ377" s="4" t="s">
        <v>248</v>
      </c>
      <c r="AZ377" s="4" t="s">
        <v>249</v>
      </c>
      <c r="BA377" s="4" t="s">
        <v>241</v>
      </c>
      <c r="BB377" s="4" t="s">
        <v>250</v>
      </c>
      <c r="BC377" s="4" t="s">
        <v>241</v>
      </c>
      <c r="BD377" s="4" t="s">
        <v>252</v>
      </c>
      <c r="BE377" s="4" t="s">
        <v>241</v>
      </c>
      <c r="BI377" s="4" t="s">
        <v>253</v>
      </c>
      <c r="BJ377" s="5" t="s">
        <v>246</v>
      </c>
      <c r="BK377" s="4" t="s">
        <v>254</v>
      </c>
      <c r="BL377" s="4" t="s">
        <v>255</v>
      </c>
      <c r="BM377" s="4" t="s">
        <v>241</v>
      </c>
      <c r="BN377" s="6">
        <f>0</f>
        <v>0</v>
      </c>
      <c r="BO377" s="6">
        <f>0</f>
        <v>0</v>
      </c>
      <c r="BP377" s="4" t="s">
        <v>256</v>
      </c>
      <c r="BQ377" s="4" t="s">
        <v>257</v>
      </c>
      <c r="CE377" s="4" t="s">
        <v>241</v>
      </c>
      <c r="CF377" s="4" t="s">
        <v>241</v>
      </c>
      <c r="CJ377" s="4" t="s">
        <v>258</v>
      </c>
      <c r="CK377" s="4" t="s">
        <v>259</v>
      </c>
      <c r="CL377" s="4" t="s">
        <v>241</v>
      </c>
      <c r="CO377" s="5" t="s">
        <v>260</v>
      </c>
      <c r="CP377" s="4" t="s">
        <v>241</v>
      </c>
      <c r="CQ377" s="4" t="s">
        <v>261</v>
      </c>
      <c r="CR377" s="4" t="s">
        <v>241</v>
      </c>
      <c r="CS377" s="4" t="s">
        <v>241</v>
      </c>
      <c r="CT377" s="4">
        <v>0</v>
      </c>
      <c r="CU377" s="4" t="s">
        <v>262</v>
      </c>
      <c r="CV377" s="4" t="s">
        <v>263</v>
      </c>
      <c r="CW377" s="4" t="s">
        <v>263</v>
      </c>
      <c r="CX377" s="4" t="s">
        <v>264</v>
      </c>
      <c r="DA377" s="6">
        <f>1969135</f>
        <v>1969135</v>
      </c>
      <c r="DC377" s="4" t="s">
        <v>422</v>
      </c>
      <c r="DD377" s="4" t="s">
        <v>241</v>
      </c>
      <c r="DF377" s="4" t="s">
        <v>387</v>
      </c>
      <c r="DG377" s="6">
        <f>889</f>
        <v>889</v>
      </c>
      <c r="DI377" s="4" t="s">
        <v>414</v>
      </c>
      <c r="DJ377" s="4" t="s">
        <v>241</v>
      </c>
      <c r="DK377" s="4" t="s">
        <v>241</v>
      </c>
      <c r="DL377" s="4" t="s">
        <v>241</v>
      </c>
      <c r="DP377" s="4" t="s">
        <v>241</v>
      </c>
      <c r="DQ377" s="4" t="s">
        <v>241</v>
      </c>
      <c r="DR377" s="4" t="s">
        <v>241</v>
      </c>
      <c r="DS377" s="4" t="s">
        <v>241</v>
      </c>
      <c r="DV377" s="4" t="s">
        <v>4813</v>
      </c>
      <c r="DW377" s="4" t="s">
        <v>628</v>
      </c>
      <c r="HO377" s="4" t="s">
        <v>267</v>
      </c>
    </row>
    <row r="378" spans="1:223" ht="19.5" customHeight="1" x14ac:dyDescent="0.4">
      <c r="A378" s="4">
        <v>1</v>
      </c>
      <c r="B378" s="4" t="s">
        <v>239</v>
      </c>
      <c r="C378" s="4">
        <v>1113</v>
      </c>
      <c r="D378" s="4">
        <v>1</v>
      </c>
      <c r="E378" s="4">
        <v>1</v>
      </c>
      <c r="F378" s="4" t="s">
        <v>240</v>
      </c>
      <c r="G378" s="4" t="s">
        <v>241</v>
      </c>
      <c r="H378" s="4" t="s">
        <v>241</v>
      </c>
      <c r="I378" s="4" t="s">
        <v>4811</v>
      </c>
      <c r="J378" s="4" t="s">
        <v>596</v>
      </c>
      <c r="K378" s="4" t="s">
        <v>251</v>
      </c>
      <c r="L378" s="4" t="s">
        <v>4810</v>
      </c>
      <c r="M378" s="5" t="s">
        <v>5471</v>
      </c>
      <c r="N378" s="6">
        <f>469</f>
        <v>469</v>
      </c>
      <c r="O378" s="4" t="s">
        <v>265</v>
      </c>
      <c r="P378" s="6">
        <f>1038835</f>
        <v>1038835</v>
      </c>
      <c r="Q378" s="6">
        <f>0</f>
        <v>0</v>
      </c>
      <c r="S378" s="6">
        <f>0</f>
        <v>0</v>
      </c>
      <c r="T378" s="6">
        <f>1038835</f>
        <v>1038835</v>
      </c>
      <c r="U378" s="5" t="s">
        <v>245</v>
      </c>
      <c r="V378" s="4" t="s">
        <v>270</v>
      </c>
      <c r="W378" s="4" t="s">
        <v>242</v>
      </c>
      <c r="X378" s="4" t="s">
        <v>273</v>
      </c>
      <c r="Y378" s="4" t="s">
        <v>241</v>
      </c>
      <c r="AB378" s="4" t="s">
        <v>241</v>
      </c>
      <c r="AD378" s="5" t="s">
        <v>241</v>
      </c>
      <c r="AG378" s="5" t="s">
        <v>246</v>
      </c>
      <c r="AH378" s="4" t="s">
        <v>241</v>
      </c>
      <c r="AI378" s="4" t="s">
        <v>247</v>
      </c>
      <c r="AJ378" s="4" t="s">
        <v>248</v>
      </c>
      <c r="AZ378" s="4" t="s">
        <v>249</v>
      </c>
      <c r="BA378" s="4" t="s">
        <v>241</v>
      </c>
      <c r="BB378" s="4" t="s">
        <v>250</v>
      </c>
      <c r="BC378" s="4" t="s">
        <v>241</v>
      </c>
      <c r="BD378" s="4" t="s">
        <v>252</v>
      </c>
      <c r="BE378" s="4" t="s">
        <v>241</v>
      </c>
      <c r="BI378" s="4" t="s">
        <v>253</v>
      </c>
      <c r="BJ378" s="5" t="s">
        <v>246</v>
      </c>
      <c r="BK378" s="4" t="s">
        <v>254</v>
      </c>
      <c r="BL378" s="4" t="s">
        <v>255</v>
      </c>
      <c r="BM378" s="4" t="s">
        <v>241</v>
      </c>
      <c r="BN378" s="6">
        <f>0</f>
        <v>0</v>
      </c>
      <c r="BO378" s="6">
        <f>0</f>
        <v>0</v>
      </c>
      <c r="BP378" s="4" t="s">
        <v>256</v>
      </c>
      <c r="BQ378" s="4" t="s">
        <v>257</v>
      </c>
      <c r="CE378" s="4" t="s">
        <v>241</v>
      </c>
      <c r="CF378" s="4" t="s">
        <v>241</v>
      </c>
      <c r="CJ378" s="4" t="s">
        <v>258</v>
      </c>
      <c r="CK378" s="4" t="s">
        <v>259</v>
      </c>
      <c r="CL378" s="4" t="s">
        <v>241</v>
      </c>
      <c r="CO378" s="5" t="s">
        <v>260</v>
      </c>
      <c r="CP378" s="4" t="s">
        <v>241</v>
      </c>
      <c r="CQ378" s="4" t="s">
        <v>261</v>
      </c>
      <c r="CR378" s="4" t="s">
        <v>241</v>
      </c>
      <c r="CS378" s="4" t="s">
        <v>241</v>
      </c>
      <c r="CT378" s="4">
        <v>0</v>
      </c>
      <c r="CU378" s="4" t="s">
        <v>262</v>
      </c>
      <c r="CV378" s="4" t="s">
        <v>263</v>
      </c>
      <c r="CW378" s="4" t="s">
        <v>263</v>
      </c>
      <c r="CX378" s="4" t="s">
        <v>264</v>
      </c>
      <c r="DA378" s="6">
        <f>1038835</f>
        <v>1038835</v>
      </c>
      <c r="DC378" s="4" t="s">
        <v>422</v>
      </c>
      <c r="DD378" s="4" t="s">
        <v>241</v>
      </c>
      <c r="DF378" s="4" t="s">
        <v>387</v>
      </c>
      <c r="DG378" s="6">
        <f>469</f>
        <v>469</v>
      </c>
      <c r="DI378" s="4" t="s">
        <v>414</v>
      </c>
      <c r="DJ378" s="4" t="s">
        <v>241</v>
      </c>
      <c r="DK378" s="4" t="s">
        <v>241</v>
      </c>
      <c r="DL378" s="4" t="s">
        <v>241</v>
      </c>
      <c r="DP378" s="4" t="s">
        <v>241</v>
      </c>
      <c r="DQ378" s="4" t="s">
        <v>241</v>
      </c>
      <c r="DR378" s="4" t="s">
        <v>241</v>
      </c>
      <c r="DS378" s="4" t="s">
        <v>241</v>
      </c>
      <c r="DV378" s="4" t="s">
        <v>4813</v>
      </c>
      <c r="DW378" s="4" t="s">
        <v>597</v>
      </c>
      <c r="HO378" s="4" t="s">
        <v>267</v>
      </c>
    </row>
    <row r="379" spans="1:223" ht="19.5" customHeight="1" x14ac:dyDescent="0.4">
      <c r="A379" s="4">
        <v>1</v>
      </c>
      <c r="B379" s="4" t="s">
        <v>239</v>
      </c>
      <c r="C379" s="4">
        <v>1114</v>
      </c>
      <c r="D379" s="4">
        <v>1</v>
      </c>
      <c r="E379" s="4">
        <v>1</v>
      </c>
      <c r="F379" s="4" t="s">
        <v>240</v>
      </c>
      <c r="G379" s="4" t="s">
        <v>241</v>
      </c>
      <c r="H379" s="4" t="s">
        <v>241</v>
      </c>
      <c r="I379" s="4" t="s">
        <v>4811</v>
      </c>
      <c r="J379" s="4" t="s">
        <v>596</v>
      </c>
      <c r="K379" s="4" t="s">
        <v>251</v>
      </c>
      <c r="L379" s="4" t="s">
        <v>4810</v>
      </c>
      <c r="M379" s="5" t="s">
        <v>4824</v>
      </c>
      <c r="N379" s="6">
        <f>963</f>
        <v>963</v>
      </c>
      <c r="O379" s="4" t="s">
        <v>265</v>
      </c>
      <c r="P379" s="6">
        <f>2133045</f>
        <v>2133045</v>
      </c>
      <c r="Q379" s="6">
        <f>0</f>
        <v>0</v>
      </c>
      <c r="S379" s="6">
        <f>0</f>
        <v>0</v>
      </c>
      <c r="T379" s="6">
        <f>2133045</f>
        <v>2133045</v>
      </c>
      <c r="U379" s="5" t="s">
        <v>245</v>
      </c>
      <c r="V379" s="4" t="s">
        <v>270</v>
      </c>
      <c r="W379" s="4" t="s">
        <v>242</v>
      </c>
      <c r="X379" s="4" t="s">
        <v>273</v>
      </c>
      <c r="Y379" s="4" t="s">
        <v>241</v>
      </c>
      <c r="AB379" s="4" t="s">
        <v>241</v>
      </c>
      <c r="AD379" s="5" t="s">
        <v>241</v>
      </c>
      <c r="AG379" s="5" t="s">
        <v>246</v>
      </c>
      <c r="AH379" s="4" t="s">
        <v>241</v>
      </c>
      <c r="AI379" s="4" t="s">
        <v>247</v>
      </c>
      <c r="AJ379" s="4" t="s">
        <v>248</v>
      </c>
      <c r="AZ379" s="4" t="s">
        <v>249</v>
      </c>
      <c r="BA379" s="4" t="s">
        <v>241</v>
      </c>
      <c r="BB379" s="4" t="s">
        <v>250</v>
      </c>
      <c r="BC379" s="4" t="s">
        <v>241</v>
      </c>
      <c r="BD379" s="4" t="s">
        <v>252</v>
      </c>
      <c r="BE379" s="4" t="s">
        <v>241</v>
      </c>
      <c r="BI379" s="4" t="s">
        <v>253</v>
      </c>
      <c r="BJ379" s="5" t="s">
        <v>246</v>
      </c>
      <c r="BK379" s="4" t="s">
        <v>254</v>
      </c>
      <c r="BL379" s="4" t="s">
        <v>255</v>
      </c>
      <c r="BM379" s="4" t="s">
        <v>241</v>
      </c>
      <c r="BN379" s="6">
        <f>0</f>
        <v>0</v>
      </c>
      <c r="BO379" s="6">
        <f>0</f>
        <v>0</v>
      </c>
      <c r="BP379" s="4" t="s">
        <v>256</v>
      </c>
      <c r="BQ379" s="4" t="s">
        <v>257</v>
      </c>
      <c r="CE379" s="4" t="s">
        <v>241</v>
      </c>
      <c r="CF379" s="4" t="s">
        <v>241</v>
      </c>
      <c r="CJ379" s="4" t="s">
        <v>258</v>
      </c>
      <c r="CK379" s="4" t="s">
        <v>259</v>
      </c>
      <c r="CL379" s="4" t="s">
        <v>241</v>
      </c>
      <c r="CO379" s="5" t="s">
        <v>260</v>
      </c>
      <c r="CP379" s="4" t="s">
        <v>241</v>
      </c>
      <c r="CQ379" s="4" t="s">
        <v>261</v>
      </c>
      <c r="CR379" s="4" t="s">
        <v>241</v>
      </c>
      <c r="CS379" s="4" t="s">
        <v>241</v>
      </c>
      <c r="CT379" s="4">
        <v>0</v>
      </c>
      <c r="CU379" s="4" t="s">
        <v>262</v>
      </c>
      <c r="CV379" s="4" t="s">
        <v>263</v>
      </c>
      <c r="CW379" s="4" t="s">
        <v>263</v>
      </c>
      <c r="CX379" s="4" t="s">
        <v>264</v>
      </c>
      <c r="DA379" s="6">
        <f>2133045</f>
        <v>2133045</v>
      </c>
      <c r="DC379" s="4" t="s">
        <v>422</v>
      </c>
      <c r="DD379" s="4" t="s">
        <v>241</v>
      </c>
      <c r="DF379" s="4" t="s">
        <v>387</v>
      </c>
      <c r="DG379" s="6">
        <f>963</f>
        <v>963</v>
      </c>
      <c r="DI379" s="4" t="s">
        <v>414</v>
      </c>
      <c r="DJ379" s="4" t="s">
        <v>241</v>
      </c>
      <c r="DK379" s="4" t="s">
        <v>241</v>
      </c>
      <c r="DL379" s="4" t="s">
        <v>241</v>
      </c>
      <c r="DP379" s="4" t="s">
        <v>241</v>
      </c>
      <c r="DQ379" s="4" t="s">
        <v>241</v>
      </c>
      <c r="DR379" s="4" t="s">
        <v>241</v>
      </c>
      <c r="DS379" s="4" t="s">
        <v>241</v>
      </c>
      <c r="DV379" s="4" t="s">
        <v>4813</v>
      </c>
      <c r="DW379" s="4" t="s">
        <v>1792</v>
      </c>
      <c r="HO379" s="4" t="s">
        <v>267</v>
      </c>
    </row>
    <row r="380" spans="1:223" ht="19.5" customHeight="1" x14ac:dyDescent="0.4">
      <c r="A380" s="4">
        <v>1</v>
      </c>
      <c r="B380" s="4" t="s">
        <v>239</v>
      </c>
      <c r="C380" s="4">
        <v>1115</v>
      </c>
      <c r="D380" s="4">
        <v>1</v>
      </c>
      <c r="E380" s="4">
        <v>1</v>
      </c>
      <c r="F380" s="4" t="s">
        <v>240</v>
      </c>
      <c r="G380" s="4" t="s">
        <v>241</v>
      </c>
      <c r="H380" s="4" t="s">
        <v>241</v>
      </c>
      <c r="I380" s="4" t="s">
        <v>4811</v>
      </c>
      <c r="J380" s="4" t="s">
        <v>596</v>
      </c>
      <c r="K380" s="4" t="s">
        <v>251</v>
      </c>
      <c r="L380" s="4" t="s">
        <v>4810</v>
      </c>
      <c r="M380" s="5" t="s">
        <v>4825</v>
      </c>
      <c r="N380" s="6">
        <f>933</f>
        <v>933</v>
      </c>
      <c r="O380" s="4" t="s">
        <v>265</v>
      </c>
      <c r="P380" s="6">
        <f>2066595</f>
        <v>2066595</v>
      </c>
      <c r="Q380" s="6">
        <f>0</f>
        <v>0</v>
      </c>
      <c r="S380" s="6">
        <f>0</f>
        <v>0</v>
      </c>
      <c r="T380" s="6">
        <f>2066595</f>
        <v>2066595</v>
      </c>
      <c r="U380" s="5" t="s">
        <v>245</v>
      </c>
      <c r="V380" s="4" t="s">
        <v>270</v>
      </c>
      <c r="W380" s="4" t="s">
        <v>242</v>
      </c>
      <c r="X380" s="4" t="s">
        <v>273</v>
      </c>
      <c r="Y380" s="4" t="s">
        <v>241</v>
      </c>
      <c r="AB380" s="4" t="s">
        <v>241</v>
      </c>
      <c r="AD380" s="5" t="s">
        <v>241</v>
      </c>
      <c r="AG380" s="5" t="s">
        <v>246</v>
      </c>
      <c r="AH380" s="4" t="s">
        <v>241</v>
      </c>
      <c r="AI380" s="4" t="s">
        <v>247</v>
      </c>
      <c r="AJ380" s="4" t="s">
        <v>248</v>
      </c>
      <c r="AZ380" s="4" t="s">
        <v>249</v>
      </c>
      <c r="BA380" s="4" t="s">
        <v>241</v>
      </c>
      <c r="BB380" s="4" t="s">
        <v>250</v>
      </c>
      <c r="BC380" s="4" t="s">
        <v>241</v>
      </c>
      <c r="BD380" s="4" t="s">
        <v>252</v>
      </c>
      <c r="BE380" s="4" t="s">
        <v>241</v>
      </c>
      <c r="BI380" s="4" t="s">
        <v>253</v>
      </c>
      <c r="BJ380" s="5" t="s">
        <v>246</v>
      </c>
      <c r="BK380" s="4" t="s">
        <v>254</v>
      </c>
      <c r="BL380" s="4" t="s">
        <v>255</v>
      </c>
      <c r="BM380" s="4" t="s">
        <v>241</v>
      </c>
      <c r="BN380" s="6">
        <f>0</f>
        <v>0</v>
      </c>
      <c r="BO380" s="6">
        <f>0</f>
        <v>0</v>
      </c>
      <c r="BP380" s="4" t="s">
        <v>256</v>
      </c>
      <c r="BQ380" s="4" t="s">
        <v>257</v>
      </c>
      <c r="CE380" s="4" t="s">
        <v>241</v>
      </c>
      <c r="CF380" s="4" t="s">
        <v>241</v>
      </c>
      <c r="CJ380" s="4" t="s">
        <v>258</v>
      </c>
      <c r="CK380" s="4" t="s">
        <v>259</v>
      </c>
      <c r="CL380" s="4" t="s">
        <v>241</v>
      </c>
      <c r="CO380" s="5" t="s">
        <v>260</v>
      </c>
      <c r="CP380" s="4" t="s">
        <v>241</v>
      </c>
      <c r="CQ380" s="4" t="s">
        <v>261</v>
      </c>
      <c r="CR380" s="4" t="s">
        <v>241</v>
      </c>
      <c r="CS380" s="4" t="s">
        <v>241</v>
      </c>
      <c r="CT380" s="4">
        <v>0</v>
      </c>
      <c r="CU380" s="4" t="s">
        <v>262</v>
      </c>
      <c r="CV380" s="4" t="s">
        <v>263</v>
      </c>
      <c r="CW380" s="4" t="s">
        <v>263</v>
      </c>
      <c r="CX380" s="4" t="s">
        <v>264</v>
      </c>
      <c r="DA380" s="6">
        <f>2066595</f>
        <v>2066595</v>
      </c>
      <c r="DC380" s="4" t="s">
        <v>422</v>
      </c>
      <c r="DD380" s="4" t="s">
        <v>241</v>
      </c>
      <c r="DF380" s="4" t="s">
        <v>387</v>
      </c>
      <c r="DG380" s="6">
        <f>933</f>
        <v>933</v>
      </c>
      <c r="DI380" s="4" t="s">
        <v>414</v>
      </c>
      <c r="DJ380" s="4" t="s">
        <v>241</v>
      </c>
      <c r="DK380" s="4" t="s">
        <v>241</v>
      </c>
      <c r="DL380" s="4" t="s">
        <v>241</v>
      </c>
      <c r="DP380" s="4" t="s">
        <v>241</v>
      </c>
      <c r="DQ380" s="4" t="s">
        <v>241</v>
      </c>
      <c r="DR380" s="4" t="s">
        <v>241</v>
      </c>
      <c r="DS380" s="4" t="s">
        <v>241</v>
      </c>
      <c r="DV380" s="4" t="s">
        <v>4813</v>
      </c>
      <c r="DW380" s="4" t="s">
        <v>1789</v>
      </c>
      <c r="HO380" s="4" t="s">
        <v>267</v>
      </c>
    </row>
    <row r="381" spans="1:223" ht="19.5" customHeight="1" x14ac:dyDescent="0.4">
      <c r="A381" s="4">
        <v>1</v>
      </c>
      <c r="B381" s="4" t="s">
        <v>239</v>
      </c>
      <c r="C381" s="4">
        <v>1116</v>
      </c>
      <c r="D381" s="4">
        <v>1</v>
      </c>
      <c r="E381" s="4">
        <v>1</v>
      </c>
      <c r="F381" s="4" t="s">
        <v>240</v>
      </c>
      <c r="G381" s="4" t="s">
        <v>241</v>
      </c>
      <c r="H381" s="4" t="s">
        <v>241</v>
      </c>
      <c r="I381" s="4" t="s">
        <v>4811</v>
      </c>
      <c r="J381" s="4" t="s">
        <v>596</v>
      </c>
      <c r="K381" s="4" t="s">
        <v>251</v>
      </c>
      <c r="L381" s="4" t="s">
        <v>4810</v>
      </c>
      <c r="M381" s="5" t="s">
        <v>4826</v>
      </c>
      <c r="N381" s="6">
        <f>906</f>
        <v>906</v>
      </c>
      <c r="O381" s="4" t="s">
        <v>265</v>
      </c>
      <c r="P381" s="6">
        <f>2006790</f>
        <v>2006790</v>
      </c>
      <c r="Q381" s="6">
        <f>0</f>
        <v>0</v>
      </c>
      <c r="S381" s="6">
        <f>0</f>
        <v>0</v>
      </c>
      <c r="T381" s="6">
        <f>2006790</f>
        <v>2006790</v>
      </c>
      <c r="U381" s="5" t="s">
        <v>245</v>
      </c>
      <c r="V381" s="4" t="s">
        <v>270</v>
      </c>
      <c r="W381" s="4" t="s">
        <v>242</v>
      </c>
      <c r="X381" s="4" t="s">
        <v>273</v>
      </c>
      <c r="Y381" s="4" t="s">
        <v>241</v>
      </c>
      <c r="AB381" s="4" t="s">
        <v>241</v>
      </c>
      <c r="AD381" s="5" t="s">
        <v>241</v>
      </c>
      <c r="AG381" s="5" t="s">
        <v>246</v>
      </c>
      <c r="AH381" s="4" t="s">
        <v>241</v>
      </c>
      <c r="AI381" s="4" t="s">
        <v>247</v>
      </c>
      <c r="AJ381" s="4" t="s">
        <v>248</v>
      </c>
      <c r="AZ381" s="4" t="s">
        <v>249</v>
      </c>
      <c r="BA381" s="4" t="s">
        <v>241</v>
      </c>
      <c r="BB381" s="4" t="s">
        <v>250</v>
      </c>
      <c r="BC381" s="4" t="s">
        <v>241</v>
      </c>
      <c r="BD381" s="4" t="s">
        <v>252</v>
      </c>
      <c r="BE381" s="4" t="s">
        <v>241</v>
      </c>
      <c r="BI381" s="4" t="s">
        <v>253</v>
      </c>
      <c r="BJ381" s="5" t="s">
        <v>246</v>
      </c>
      <c r="BK381" s="4" t="s">
        <v>254</v>
      </c>
      <c r="BL381" s="4" t="s">
        <v>255</v>
      </c>
      <c r="BM381" s="4" t="s">
        <v>241</v>
      </c>
      <c r="BN381" s="6">
        <f>0</f>
        <v>0</v>
      </c>
      <c r="BO381" s="6">
        <f>0</f>
        <v>0</v>
      </c>
      <c r="BP381" s="4" t="s">
        <v>256</v>
      </c>
      <c r="BQ381" s="4" t="s">
        <v>257</v>
      </c>
      <c r="CE381" s="4" t="s">
        <v>241</v>
      </c>
      <c r="CF381" s="4" t="s">
        <v>241</v>
      </c>
      <c r="CJ381" s="4" t="s">
        <v>258</v>
      </c>
      <c r="CK381" s="4" t="s">
        <v>259</v>
      </c>
      <c r="CL381" s="4" t="s">
        <v>241</v>
      </c>
      <c r="CO381" s="5" t="s">
        <v>260</v>
      </c>
      <c r="CP381" s="4" t="s">
        <v>241</v>
      </c>
      <c r="CQ381" s="4" t="s">
        <v>261</v>
      </c>
      <c r="CR381" s="4" t="s">
        <v>241</v>
      </c>
      <c r="CS381" s="4" t="s">
        <v>241</v>
      </c>
      <c r="CT381" s="4">
        <v>0</v>
      </c>
      <c r="CU381" s="4" t="s">
        <v>262</v>
      </c>
      <c r="CV381" s="4" t="s">
        <v>263</v>
      </c>
      <c r="CW381" s="4" t="s">
        <v>263</v>
      </c>
      <c r="CX381" s="4" t="s">
        <v>264</v>
      </c>
      <c r="DA381" s="6">
        <f>2006790</f>
        <v>2006790</v>
      </c>
      <c r="DC381" s="4" t="s">
        <v>422</v>
      </c>
      <c r="DD381" s="4" t="s">
        <v>241</v>
      </c>
      <c r="DF381" s="4" t="s">
        <v>348</v>
      </c>
      <c r="DG381" s="6">
        <f>906</f>
        <v>906</v>
      </c>
      <c r="DI381" s="4" t="s">
        <v>414</v>
      </c>
      <c r="DJ381" s="4" t="s">
        <v>241</v>
      </c>
      <c r="DK381" s="4" t="s">
        <v>241</v>
      </c>
      <c r="DL381" s="4" t="s">
        <v>241</v>
      </c>
      <c r="DP381" s="4" t="s">
        <v>241</v>
      </c>
      <c r="DQ381" s="4" t="s">
        <v>241</v>
      </c>
      <c r="DR381" s="4" t="s">
        <v>241</v>
      </c>
      <c r="DS381" s="4" t="s">
        <v>241</v>
      </c>
      <c r="DV381" s="4" t="s">
        <v>4813</v>
      </c>
      <c r="DW381" s="4" t="s">
        <v>1787</v>
      </c>
      <c r="HO381" s="4" t="s">
        <v>267</v>
      </c>
    </row>
    <row r="382" spans="1:223" ht="19.5" customHeight="1" x14ac:dyDescent="0.4">
      <c r="A382" s="4">
        <v>1</v>
      </c>
      <c r="B382" s="4" t="s">
        <v>239</v>
      </c>
      <c r="C382" s="4">
        <v>1117</v>
      </c>
      <c r="D382" s="4">
        <v>1</v>
      </c>
      <c r="E382" s="4">
        <v>1</v>
      </c>
      <c r="F382" s="4" t="s">
        <v>240</v>
      </c>
      <c r="G382" s="4" t="s">
        <v>241</v>
      </c>
      <c r="H382" s="4" t="s">
        <v>241</v>
      </c>
      <c r="I382" s="4" t="s">
        <v>4811</v>
      </c>
      <c r="J382" s="4" t="s">
        <v>596</v>
      </c>
      <c r="K382" s="4" t="s">
        <v>251</v>
      </c>
      <c r="L382" s="4" t="s">
        <v>4810</v>
      </c>
      <c r="M382" s="5" t="s">
        <v>4827</v>
      </c>
      <c r="N382" s="6">
        <f>208</f>
        <v>208</v>
      </c>
      <c r="O382" s="4" t="s">
        <v>265</v>
      </c>
      <c r="P382" s="6">
        <f>460720</f>
        <v>460720</v>
      </c>
      <c r="Q382" s="6">
        <f>0</f>
        <v>0</v>
      </c>
      <c r="S382" s="6">
        <f>0</f>
        <v>0</v>
      </c>
      <c r="T382" s="6">
        <f>460720</f>
        <v>460720</v>
      </c>
      <c r="U382" s="5" t="s">
        <v>245</v>
      </c>
      <c r="V382" s="4" t="s">
        <v>270</v>
      </c>
      <c r="W382" s="4" t="s">
        <v>242</v>
      </c>
      <c r="X382" s="4" t="s">
        <v>273</v>
      </c>
      <c r="Y382" s="4" t="s">
        <v>241</v>
      </c>
      <c r="AB382" s="4" t="s">
        <v>241</v>
      </c>
      <c r="AD382" s="5" t="s">
        <v>241</v>
      </c>
      <c r="AG382" s="5" t="s">
        <v>246</v>
      </c>
      <c r="AH382" s="4" t="s">
        <v>241</v>
      </c>
      <c r="AI382" s="4" t="s">
        <v>247</v>
      </c>
      <c r="AJ382" s="4" t="s">
        <v>248</v>
      </c>
      <c r="AZ382" s="4" t="s">
        <v>249</v>
      </c>
      <c r="BA382" s="4" t="s">
        <v>241</v>
      </c>
      <c r="BB382" s="4" t="s">
        <v>250</v>
      </c>
      <c r="BC382" s="4" t="s">
        <v>241</v>
      </c>
      <c r="BD382" s="4" t="s">
        <v>252</v>
      </c>
      <c r="BE382" s="4" t="s">
        <v>241</v>
      </c>
      <c r="BI382" s="4" t="s">
        <v>253</v>
      </c>
      <c r="BJ382" s="5" t="s">
        <v>246</v>
      </c>
      <c r="BK382" s="4" t="s">
        <v>254</v>
      </c>
      <c r="BL382" s="4" t="s">
        <v>255</v>
      </c>
      <c r="BM382" s="4" t="s">
        <v>241</v>
      </c>
      <c r="BN382" s="6">
        <f>0</f>
        <v>0</v>
      </c>
      <c r="BO382" s="6">
        <f>0</f>
        <v>0</v>
      </c>
      <c r="BP382" s="4" t="s">
        <v>256</v>
      </c>
      <c r="BQ382" s="4" t="s">
        <v>257</v>
      </c>
      <c r="CE382" s="4" t="s">
        <v>241</v>
      </c>
      <c r="CF382" s="4" t="s">
        <v>241</v>
      </c>
      <c r="CJ382" s="4" t="s">
        <v>258</v>
      </c>
      <c r="CK382" s="4" t="s">
        <v>259</v>
      </c>
      <c r="CL382" s="4" t="s">
        <v>241</v>
      </c>
      <c r="CO382" s="5" t="s">
        <v>260</v>
      </c>
      <c r="CP382" s="4" t="s">
        <v>241</v>
      </c>
      <c r="CQ382" s="4" t="s">
        <v>261</v>
      </c>
      <c r="CR382" s="4" t="s">
        <v>241</v>
      </c>
      <c r="CS382" s="4" t="s">
        <v>241</v>
      </c>
      <c r="CT382" s="4">
        <v>0</v>
      </c>
      <c r="CU382" s="4" t="s">
        <v>262</v>
      </c>
      <c r="CV382" s="4" t="s">
        <v>263</v>
      </c>
      <c r="CW382" s="4" t="s">
        <v>263</v>
      </c>
      <c r="CX382" s="4" t="s">
        <v>264</v>
      </c>
      <c r="DA382" s="6">
        <f>460720</f>
        <v>460720</v>
      </c>
      <c r="DC382" s="4" t="s">
        <v>422</v>
      </c>
      <c r="DD382" s="4" t="s">
        <v>241</v>
      </c>
      <c r="DF382" s="4" t="s">
        <v>348</v>
      </c>
      <c r="DG382" s="6">
        <f>208</f>
        <v>208</v>
      </c>
      <c r="DI382" s="4" t="s">
        <v>414</v>
      </c>
      <c r="DJ382" s="4" t="s">
        <v>241</v>
      </c>
      <c r="DK382" s="4" t="s">
        <v>241</v>
      </c>
      <c r="DL382" s="4" t="s">
        <v>241</v>
      </c>
      <c r="DP382" s="4" t="s">
        <v>241</v>
      </c>
      <c r="DQ382" s="4" t="s">
        <v>241</v>
      </c>
      <c r="DR382" s="4" t="s">
        <v>241</v>
      </c>
      <c r="DS382" s="4" t="s">
        <v>241</v>
      </c>
      <c r="DV382" s="4" t="s">
        <v>4813</v>
      </c>
      <c r="DW382" s="4" t="s">
        <v>1785</v>
      </c>
      <c r="HO382" s="4" t="s">
        <v>267</v>
      </c>
    </row>
    <row r="383" spans="1:223" ht="19.5" customHeight="1" x14ac:dyDescent="0.4">
      <c r="A383" s="4">
        <v>1</v>
      </c>
      <c r="B383" s="4" t="s">
        <v>239</v>
      </c>
      <c r="C383" s="4">
        <v>1118</v>
      </c>
      <c r="D383" s="4">
        <v>1</v>
      </c>
      <c r="E383" s="4">
        <v>1</v>
      </c>
      <c r="F383" s="4" t="s">
        <v>240</v>
      </c>
      <c r="G383" s="4" t="s">
        <v>241</v>
      </c>
      <c r="H383" s="4" t="s">
        <v>241</v>
      </c>
      <c r="I383" s="4" t="s">
        <v>4811</v>
      </c>
      <c r="J383" s="4" t="s">
        <v>596</v>
      </c>
      <c r="K383" s="4" t="s">
        <v>251</v>
      </c>
      <c r="L383" s="4" t="s">
        <v>4810</v>
      </c>
      <c r="M383" s="5" t="s">
        <v>4828</v>
      </c>
      <c r="N383" s="6">
        <f>749</f>
        <v>749</v>
      </c>
      <c r="O383" s="4" t="s">
        <v>265</v>
      </c>
      <c r="P383" s="6">
        <f>1659035</f>
        <v>1659035</v>
      </c>
      <c r="Q383" s="6">
        <f>0</f>
        <v>0</v>
      </c>
      <c r="S383" s="6">
        <f>0</f>
        <v>0</v>
      </c>
      <c r="T383" s="6">
        <f>1659035</f>
        <v>1659035</v>
      </c>
      <c r="U383" s="5" t="s">
        <v>245</v>
      </c>
      <c r="V383" s="4" t="s">
        <v>270</v>
      </c>
      <c r="W383" s="4" t="s">
        <v>242</v>
      </c>
      <c r="X383" s="4" t="s">
        <v>273</v>
      </c>
      <c r="Y383" s="4" t="s">
        <v>241</v>
      </c>
      <c r="AB383" s="4" t="s">
        <v>241</v>
      </c>
      <c r="AD383" s="5" t="s">
        <v>241</v>
      </c>
      <c r="AG383" s="5" t="s">
        <v>246</v>
      </c>
      <c r="AH383" s="4" t="s">
        <v>241</v>
      </c>
      <c r="AI383" s="4" t="s">
        <v>247</v>
      </c>
      <c r="AJ383" s="4" t="s">
        <v>248</v>
      </c>
      <c r="AZ383" s="4" t="s">
        <v>249</v>
      </c>
      <c r="BA383" s="4" t="s">
        <v>241</v>
      </c>
      <c r="BB383" s="4" t="s">
        <v>250</v>
      </c>
      <c r="BC383" s="4" t="s">
        <v>241</v>
      </c>
      <c r="BD383" s="4" t="s">
        <v>252</v>
      </c>
      <c r="BE383" s="4" t="s">
        <v>241</v>
      </c>
      <c r="BI383" s="4" t="s">
        <v>253</v>
      </c>
      <c r="BJ383" s="5" t="s">
        <v>246</v>
      </c>
      <c r="BK383" s="4" t="s">
        <v>254</v>
      </c>
      <c r="BL383" s="4" t="s">
        <v>255</v>
      </c>
      <c r="BM383" s="4" t="s">
        <v>241</v>
      </c>
      <c r="BN383" s="6">
        <f>0</f>
        <v>0</v>
      </c>
      <c r="BO383" s="6">
        <f>0</f>
        <v>0</v>
      </c>
      <c r="BP383" s="4" t="s">
        <v>256</v>
      </c>
      <c r="BQ383" s="4" t="s">
        <v>257</v>
      </c>
      <c r="CE383" s="4" t="s">
        <v>241</v>
      </c>
      <c r="CF383" s="4" t="s">
        <v>241</v>
      </c>
      <c r="CJ383" s="4" t="s">
        <v>258</v>
      </c>
      <c r="CK383" s="4" t="s">
        <v>259</v>
      </c>
      <c r="CL383" s="4" t="s">
        <v>241</v>
      </c>
      <c r="CO383" s="5" t="s">
        <v>260</v>
      </c>
      <c r="CP383" s="4" t="s">
        <v>241</v>
      </c>
      <c r="CQ383" s="4" t="s">
        <v>261</v>
      </c>
      <c r="CR383" s="4" t="s">
        <v>241</v>
      </c>
      <c r="CS383" s="4" t="s">
        <v>241</v>
      </c>
      <c r="CT383" s="4">
        <v>0</v>
      </c>
      <c r="CU383" s="4" t="s">
        <v>262</v>
      </c>
      <c r="CV383" s="4" t="s">
        <v>263</v>
      </c>
      <c r="CW383" s="4" t="s">
        <v>263</v>
      </c>
      <c r="CX383" s="4" t="s">
        <v>264</v>
      </c>
      <c r="DA383" s="6">
        <f>1659035</f>
        <v>1659035</v>
      </c>
      <c r="DC383" s="4" t="s">
        <v>422</v>
      </c>
      <c r="DD383" s="4" t="s">
        <v>241</v>
      </c>
      <c r="DF383" s="4" t="s">
        <v>348</v>
      </c>
      <c r="DG383" s="6">
        <f>749</f>
        <v>749</v>
      </c>
      <c r="DI383" s="4" t="s">
        <v>414</v>
      </c>
      <c r="DJ383" s="4" t="s">
        <v>241</v>
      </c>
      <c r="DK383" s="4" t="s">
        <v>241</v>
      </c>
      <c r="DL383" s="4" t="s">
        <v>241</v>
      </c>
      <c r="DP383" s="4" t="s">
        <v>241</v>
      </c>
      <c r="DQ383" s="4" t="s">
        <v>241</v>
      </c>
      <c r="DR383" s="4" t="s">
        <v>241</v>
      </c>
      <c r="DS383" s="4" t="s">
        <v>241</v>
      </c>
      <c r="DV383" s="4" t="s">
        <v>4813</v>
      </c>
      <c r="DW383" s="4" t="s">
        <v>1781</v>
      </c>
      <c r="HO383" s="4" t="s">
        <v>267</v>
      </c>
    </row>
    <row r="384" spans="1:223" ht="19.5" customHeight="1" x14ac:dyDescent="0.4">
      <c r="A384" s="4">
        <v>1</v>
      </c>
      <c r="B384" s="4" t="s">
        <v>239</v>
      </c>
      <c r="C384" s="4">
        <v>1119</v>
      </c>
      <c r="D384" s="4">
        <v>1</v>
      </c>
      <c r="E384" s="4">
        <v>1</v>
      </c>
      <c r="F384" s="4" t="s">
        <v>240</v>
      </c>
      <c r="G384" s="4" t="s">
        <v>241</v>
      </c>
      <c r="H384" s="4" t="s">
        <v>241</v>
      </c>
      <c r="I384" s="4" t="s">
        <v>4811</v>
      </c>
      <c r="J384" s="4" t="s">
        <v>596</v>
      </c>
      <c r="K384" s="4" t="s">
        <v>251</v>
      </c>
      <c r="L384" s="4" t="s">
        <v>4810</v>
      </c>
      <c r="M384" s="5" t="s">
        <v>4829</v>
      </c>
      <c r="N384" s="6">
        <f>758</f>
        <v>758</v>
      </c>
      <c r="O384" s="4" t="s">
        <v>265</v>
      </c>
      <c r="P384" s="6">
        <f>1678970</f>
        <v>1678970</v>
      </c>
      <c r="Q384" s="6">
        <f>0</f>
        <v>0</v>
      </c>
      <c r="S384" s="6">
        <f>0</f>
        <v>0</v>
      </c>
      <c r="T384" s="6">
        <f>1678970</f>
        <v>1678970</v>
      </c>
      <c r="U384" s="5" t="s">
        <v>245</v>
      </c>
      <c r="V384" s="4" t="s">
        <v>270</v>
      </c>
      <c r="W384" s="4" t="s">
        <v>242</v>
      </c>
      <c r="X384" s="4" t="s">
        <v>273</v>
      </c>
      <c r="Y384" s="4" t="s">
        <v>241</v>
      </c>
      <c r="AB384" s="4" t="s">
        <v>241</v>
      </c>
      <c r="AD384" s="5" t="s">
        <v>241</v>
      </c>
      <c r="AG384" s="5" t="s">
        <v>246</v>
      </c>
      <c r="AH384" s="4" t="s">
        <v>241</v>
      </c>
      <c r="AI384" s="4" t="s">
        <v>247</v>
      </c>
      <c r="AJ384" s="4" t="s">
        <v>248</v>
      </c>
      <c r="AZ384" s="4" t="s">
        <v>249</v>
      </c>
      <c r="BA384" s="4" t="s">
        <v>241</v>
      </c>
      <c r="BB384" s="4" t="s">
        <v>250</v>
      </c>
      <c r="BC384" s="4" t="s">
        <v>241</v>
      </c>
      <c r="BD384" s="4" t="s">
        <v>252</v>
      </c>
      <c r="BE384" s="4" t="s">
        <v>241</v>
      </c>
      <c r="BI384" s="4" t="s">
        <v>253</v>
      </c>
      <c r="BJ384" s="5" t="s">
        <v>246</v>
      </c>
      <c r="BK384" s="4" t="s">
        <v>254</v>
      </c>
      <c r="BL384" s="4" t="s">
        <v>255</v>
      </c>
      <c r="BM384" s="4" t="s">
        <v>241</v>
      </c>
      <c r="BN384" s="6">
        <f>0</f>
        <v>0</v>
      </c>
      <c r="BO384" s="6">
        <f>0</f>
        <v>0</v>
      </c>
      <c r="BP384" s="4" t="s">
        <v>256</v>
      </c>
      <c r="BQ384" s="4" t="s">
        <v>257</v>
      </c>
      <c r="CE384" s="4" t="s">
        <v>241</v>
      </c>
      <c r="CF384" s="4" t="s">
        <v>241</v>
      </c>
      <c r="CJ384" s="4" t="s">
        <v>258</v>
      </c>
      <c r="CK384" s="4" t="s">
        <v>259</v>
      </c>
      <c r="CL384" s="4" t="s">
        <v>241</v>
      </c>
      <c r="CO384" s="5" t="s">
        <v>260</v>
      </c>
      <c r="CP384" s="4" t="s">
        <v>241</v>
      </c>
      <c r="CQ384" s="4" t="s">
        <v>261</v>
      </c>
      <c r="CR384" s="4" t="s">
        <v>241</v>
      </c>
      <c r="CS384" s="4" t="s">
        <v>241</v>
      </c>
      <c r="CT384" s="4">
        <v>0</v>
      </c>
      <c r="CU384" s="4" t="s">
        <v>262</v>
      </c>
      <c r="CV384" s="4" t="s">
        <v>263</v>
      </c>
      <c r="CW384" s="4" t="s">
        <v>263</v>
      </c>
      <c r="CX384" s="4" t="s">
        <v>264</v>
      </c>
      <c r="DA384" s="6">
        <f>1678970</f>
        <v>1678970</v>
      </c>
      <c r="DC384" s="4" t="s">
        <v>422</v>
      </c>
      <c r="DD384" s="4" t="s">
        <v>241</v>
      </c>
      <c r="DF384" s="4" t="s">
        <v>387</v>
      </c>
      <c r="DG384" s="6">
        <f>758</f>
        <v>758</v>
      </c>
      <c r="DI384" s="4" t="s">
        <v>414</v>
      </c>
      <c r="DJ384" s="4" t="s">
        <v>241</v>
      </c>
      <c r="DK384" s="4" t="s">
        <v>241</v>
      </c>
      <c r="DL384" s="4" t="s">
        <v>241</v>
      </c>
      <c r="DP384" s="4" t="s">
        <v>241</v>
      </c>
      <c r="DQ384" s="4" t="s">
        <v>241</v>
      </c>
      <c r="DR384" s="4" t="s">
        <v>241</v>
      </c>
      <c r="DS384" s="4" t="s">
        <v>241</v>
      </c>
      <c r="DV384" s="4" t="s">
        <v>4813</v>
      </c>
      <c r="DW384" s="4" t="s">
        <v>2564</v>
      </c>
      <c r="HO384" s="4" t="s">
        <v>267</v>
      </c>
    </row>
    <row r="385" spans="1:223" ht="19.5" customHeight="1" x14ac:dyDescent="0.4">
      <c r="A385" s="4">
        <v>1</v>
      </c>
      <c r="B385" s="4" t="s">
        <v>239</v>
      </c>
      <c r="C385" s="4">
        <v>1120</v>
      </c>
      <c r="D385" s="4">
        <v>1</v>
      </c>
      <c r="E385" s="4">
        <v>1</v>
      </c>
      <c r="F385" s="4" t="s">
        <v>240</v>
      </c>
      <c r="G385" s="4" t="s">
        <v>241</v>
      </c>
      <c r="H385" s="4" t="s">
        <v>241</v>
      </c>
      <c r="I385" s="4" t="s">
        <v>4811</v>
      </c>
      <c r="J385" s="4" t="s">
        <v>596</v>
      </c>
      <c r="K385" s="4" t="s">
        <v>251</v>
      </c>
      <c r="L385" s="4" t="s">
        <v>4810</v>
      </c>
      <c r="M385" s="5" t="s">
        <v>4830</v>
      </c>
      <c r="N385" s="6">
        <f>211</f>
        <v>211</v>
      </c>
      <c r="O385" s="4" t="s">
        <v>265</v>
      </c>
      <c r="P385" s="6">
        <f>467365</f>
        <v>467365</v>
      </c>
      <c r="Q385" s="6">
        <f>0</f>
        <v>0</v>
      </c>
      <c r="S385" s="6">
        <f>0</f>
        <v>0</v>
      </c>
      <c r="T385" s="6">
        <f>467365</f>
        <v>467365</v>
      </c>
      <c r="U385" s="5" t="s">
        <v>245</v>
      </c>
      <c r="V385" s="4" t="s">
        <v>270</v>
      </c>
      <c r="W385" s="4" t="s">
        <v>242</v>
      </c>
      <c r="X385" s="4" t="s">
        <v>273</v>
      </c>
      <c r="Y385" s="4" t="s">
        <v>241</v>
      </c>
      <c r="AB385" s="4" t="s">
        <v>241</v>
      </c>
      <c r="AD385" s="5" t="s">
        <v>241</v>
      </c>
      <c r="AG385" s="5" t="s">
        <v>246</v>
      </c>
      <c r="AH385" s="4" t="s">
        <v>241</v>
      </c>
      <c r="AI385" s="4" t="s">
        <v>247</v>
      </c>
      <c r="AJ385" s="4" t="s">
        <v>248</v>
      </c>
      <c r="AZ385" s="4" t="s">
        <v>249</v>
      </c>
      <c r="BA385" s="4" t="s">
        <v>241</v>
      </c>
      <c r="BB385" s="4" t="s">
        <v>250</v>
      </c>
      <c r="BC385" s="4" t="s">
        <v>241</v>
      </c>
      <c r="BD385" s="4" t="s">
        <v>252</v>
      </c>
      <c r="BE385" s="4" t="s">
        <v>241</v>
      </c>
      <c r="BI385" s="4" t="s">
        <v>253</v>
      </c>
      <c r="BJ385" s="5" t="s">
        <v>246</v>
      </c>
      <c r="BK385" s="4" t="s">
        <v>254</v>
      </c>
      <c r="BL385" s="4" t="s">
        <v>255</v>
      </c>
      <c r="BM385" s="4" t="s">
        <v>241</v>
      </c>
      <c r="BN385" s="6">
        <f>0</f>
        <v>0</v>
      </c>
      <c r="BO385" s="6">
        <f>0</f>
        <v>0</v>
      </c>
      <c r="BP385" s="4" t="s">
        <v>256</v>
      </c>
      <c r="BQ385" s="4" t="s">
        <v>257</v>
      </c>
      <c r="CE385" s="4" t="s">
        <v>241</v>
      </c>
      <c r="CF385" s="4" t="s">
        <v>241</v>
      </c>
      <c r="CJ385" s="4" t="s">
        <v>258</v>
      </c>
      <c r="CK385" s="4" t="s">
        <v>259</v>
      </c>
      <c r="CL385" s="4" t="s">
        <v>241</v>
      </c>
      <c r="CO385" s="5" t="s">
        <v>260</v>
      </c>
      <c r="CP385" s="4" t="s">
        <v>241</v>
      </c>
      <c r="CQ385" s="4" t="s">
        <v>261</v>
      </c>
      <c r="CR385" s="4" t="s">
        <v>241</v>
      </c>
      <c r="CS385" s="4" t="s">
        <v>241</v>
      </c>
      <c r="CT385" s="4">
        <v>0</v>
      </c>
      <c r="CU385" s="4" t="s">
        <v>262</v>
      </c>
      <c r="CV385" s="4" t="s">
        <v>263</v>
      </c>
      <c r="CW385" s="4" t="s">
        <v>263</v>
      </c>
      <c r="CX385" s="4" t="s">
        <v>264</v>
      </c>
      <c r="DA385" s="6">
        <f>467365</f>
        <v>467365</v>
      </c>
      <c r="DC385" s="4" t="s">
        <v>422</v>
      </c>
      <c r="DD385" s="4" t="s">
        <v>241</v>
      </c>
      <c r="DF385" s="4" t="s">
        <v>348</v>
      </c>
      <c r="DG385" s="6">
        <f>211</f>
        <v>211</v>
      </c>
      <c r="DI385" s="4" t="s">
        <v>414</v>
      </c>
      <c r="DJ385" s="4" t="s">
        <v>241</v>
      </c>
      <c r="DK385" s="4" t="s">
        <v>241</v>
      </c>
      <c r="DL385" s="4" t="s">
        <v>241</v>
      </c>
      <c r="DP385" s="4" t="s">
        <v>241</v>
      </c>
      <c r="DQ385" s="4" t="s">
        <v>241</v>
      </c>
      <c r="DR385" s="4" t="s">
        <v>241</v>
      </c>
      <c r="DS385" s="4" t="s">
        <v>241</v>
      </c>
      <c r="DV385" s="4" t="s">
        <v>4813</v>
      </c>
      <c r="DW385" s="4" t="s">
        <v>1779</v>
      </c>
      <c r="HO385" s="4" t="s">
        <v>267</v>
      </c>
    </row>
    <row r="386" spans="1:223" ht="19.5" customHeight="1" x14ac:dyDescent="0.4">
      <c r="A386" s="4">
        <v>1</v>
      </c>
      <c r="B386" s="4" t="s">
        <v>239</v>
      </c>
      <c r="C386" s="4">
        <v>1121</v>
      </c>
      <c r="D386" s="4">
        <v>1</v>
      </c>
      <c r="E386" s="4">
        <v>1</v>
      </c>
      <c r="F386" s="4" t="s">
        <v>240</v>
      </c>
      <c r="G386" s="4" t="s">
        <v>241</v>
      </c>
      <c r="H386" s="4" t="s">
        <v>241</v>
      </c>
      <c r="I386" s="4" t="s">
        <v>4811</v>
      </c>
      <c r="J386" s="4" t="s">
        <v>596</v>
      </c>
      <c r="K386" s="4" t="s">
        <v>251</v>
      </c>
      <c r="L386" s="4" t="s">
        <v>4810</v>
      </c>
      <c r="M386" s="5" t="s">
        <v>5472</v>
      </c>
      <c r="N386" s="6">
        <f>436</f>
        <v>436</v>
      </c>
      <c r="O386" s="4" t="s">
        <v>265</v>
      </c>
      <c r="P386" s="6">
        <f>965740</f>
        <v>965740</v>
      </c>
      <c r="Q386" s="6">
        <f>0</f>
        <v>0</v>
      </c>
      <c r="S386" s="6">
        <f>0</f>
        <v>0</v>
      </c>
      <c r="T386" s="6">
        <f>965740</f>
        <v>965740</v>
      </c>
      <c r="U386" s="5" t="s">
        <v>245</v>
      </c>
      <c r="V386" s="4" t="s">
        <v>270</v>
      </c>
      <c r="W386" s="4" t="s">
        <v>242</v>
      </c>
      <c r="X386" s="4" t="s">
        <v>273</v>
      </c>
      <c r="Y386" s="4" t="s">
        <v>241</v>
      </c>
      <c r="AB386" s="4" t="s">
        <v>241</v>
      </c>
      <c r="AD386" s="5" t="s">
        <v>241</v>
      </c>
      <c r="AG386" s="5" t="s">
        <v>246</v>
      </c>
      <c r="AH386" s="4" t="s">
        <v>241</v>
      </c>
      <c r="AI386" s="4" t="s">
        <v>247</v>
      </c>
      <c r="AJ386" s="4" t="s">
        <v>248</v>
      </c>
      <c r="AZ386" s="4" t="s">
        <v>249</v>
      </c>
      <c r="BA386" s="4" t="s">
        <v>241</v>
      </c>
      <c r="BB386" s="4" t="s">
        <v>250</v>
      </c>
      <c r="BC386" s="4" t="s">
        <v>241</v>
      </c>
      <c r="BD386" s="4" t="s">
        <v>252</v>
      </c>
      <c r="BE386" s="4" t="s">
        <v>241</v>
      </c>
      <c r="BI386" s="4" t="s">
        <v>253</v>
      </c>
      <c r="BJ386" s="5" t="s">
        <v>246</v>
      </c>
      <c r="BK386" s="4" t="s">
        <v>254</v>
      </c>
      <c r="BL386" s="4" t="s">
        <v>255</v>
      </c>
      <c r="BM386" s="4" t="s">
        <v>241</v>
      </c>
      <c r="BN386" s="6">
        <f>0</f>
        <v>0</v>
      </c>
      <c r="BO386" s="6">
        <f>0</f>
        <v>0</v>
      </c>
      <c r="BP386" s="4" t="s">
        <v>256</v>
      </c>
      <c r="BQ386" s="4" t="s">
        <v>257</v>
      </c>
      <c r="CE386" s="4" t="s">
        <v>241</v>
      </c>
      <c r="CF386" s="4" t="s">
        <v>241</v>
      </c>
      <c r="CJ386" s="4" t="s">
        <v>258</v>
      </c>
      <c r="CK386" s="4" t="s">
        <v>259</v>
      </c>
      <c r="CL386" s="4" t="s">
        <v>241</v>
      </c>
      <c r="CO386" s="5" t="s">
        <v>260</v>
      </c>
      <c r="CP386" s="4" t="s">
        <v>241</v>
      </c>
      <c r="CQ386" s="4" t="s">
        <v>261</v>
      </c>
      <c r="CR386" s="4" t="s">
        <v>241</v>
      </c>
      <c r="CS386" s="4" t="s">
        <v>241</v>
      </c>
      <c r="CT386" s="4">
        <v>0</v>
      </c>
      <c r="CU386" s="4" t="s">
        <v>262</v>
      </c>
      <c r="CV386" s="4" t="s">
        <v>263</v>
      </c>
      <c r="CW386" s="4" t="s">
        <v>263</v>
      </c>
      <c r="CX386" s="4" t="s">
        <v>264</v>
      </c>
      <c r="DA386" s="6">
        <f>965740</f>
        <v>965740</v>
      </c>
      <c r="DC386" s="4" t="s">
        <v>422</v>
      </c>
      <c r="DD386" s="4" t="s">
        <v>241</v>
      </c>
      <c r="DF386" s="4" t="s">
        <v>387</v>
      </c>
      <c r="DG386" s="6">
        <f>436</f>
        <v>436</v>
      </c>
      <c r="DI386" s="4" t="s">
        <v>414</v>
      </c>
      <c r="DJ386" s="4" t="s">
        <v>241</v>
      </c>
      <c r="DK386" s="4" t="s">
        <v>241</v>
      </c>
      <c r="DL386" s="4" t="s">
        <v>241</v>
      </c>
      <c r="DP386" s="4" t="s">
        <v>241</v>
      </c>
      <c r="DQ386" s="4" t="s">
        <v>241</v>
      </c>
      <c r="DR386" s="4" t="s">
        <v>241</v>
      </c>
      <c r="DS386" s="4" t="s">
        <v>241</v>
      </c>
      <c r="DV386" s="4" t="s">
        <v>4813</v>
      </c>
      <c r="DW386" s="4" t="s">
        <v>1803</v>
      </c>
      <c r="HO386" s="4" t="s">
        <v>267</v>
      </c>
    </row>
    <row r="387" spans="1:223" ht="19.5" customHeight="1" x14ac:dyDescent="0.4">
      <c r="A387" s="4">
        <v>1</v>
      </c>
      <c r="B387" s="4" t="s">
        <v>239</v>
      </c>
      <c r="C387" s="4">
        <v>1122</v>
      </c>
      <c r="D387" s="4">
        <v>1</v>
      </c>
      <c r="E387" s="4">
        <v>1</v>
      </c>
      <c r="F387" s="4" t="s">
        <v>240</v>
      </c>
      <c r="G387" s="4" t="s">
        <v>241</v>
      </c>
      <c r="H387" s="4" t="s">
        <v>241</v>
      </c>
      <c r="I387" s="4" t="s">
        <v>4811</v>
      </c>
      <c r="J387" s="4" t="s">
        <v>596</v>
      </c>
      <c r="K387" s="4" t="s">
        <v>251</v>
      </c>
      <c r="L387" s="4" t="s">
        <v>4810</v>
      </c>
      <c r="M387" s="5" t="s">
        <v>4832</v>
      </c>
      <c r="N387" s="6">
        <f>1001</f>
        <v>1001</v>
      </c>
      <c r="O387" s="4" t="s">
        <v>265</v>
      </c>
      <c r="P387" s="6">
        <f>2217215</f>
        <v>2217215</v>
      </c>
      <c r="Q387" s="6">
        <f>0</f>
        <v>0</v>
      </c>
      <c r="S387" s="6">
        <f>0</f>
        <v>0</v>
      </c>
      <c r="T387" s="6">
        <f>2217215</f>
        <v>2217215</v>
      </c>
      <c r="U387" s="5" t="s">
        <v>245</v>
      </c>
      <c r="V387" s="4" t="s">
        <v>270</v>
      </c>
      <c r="W387" s="4" t="s">
        <v>242</v>
      </c>
      <c r="X387" s="4" t="s">
        <v>273</v>
      </c>
      <c r="Y387" s="4" t="s">
        <v>241</v>
      </c>
      <c r="AB387" s="4" t="s">
        <v>241</v>
      </c>
      <c r="AD387" s="5" t="s">
        <v>241</v>
      </c>
      <c r="AG387" s="5" t="s">
        <v>246</v>
      </c>
      <c r="AH387" s="4" t="s">
        <v>241</v>
      </c>
      <c r="AI387" s="4" t="s">
        <v>247</v>
      </c>
      <c r="AJ387" s="4" t="s">
        <v>248</v>
      </c>
      <c r="AZ387" s="4" t="s">
        <v>249</v>
      </c>
      <c r="BA387" s="4" t="s">
        <v>241</v>
      </c>
      <c r="BB387" s="4" t="s">
        <v>250</v>
      </c>
      <c r="BC387" s="4" t="s">
        <v>241</v>
      </c>
      <c r="BD387" s="4" t="s">
        <v>252</v>
      </c>
      <c r="BE387" s="4" t="s">
        <v>241</v>
      </c>
      <c r="BI387" s="4" t="s">
        <v>253</v>
      </c>
      <c r="BJ387" s="5" t="s">
        <v>246</v>
      </c>
      <c r="BK387" s="4" t="s">
        <v>254</v>
      </c>
      <c r="BL387" s="4" t="s">
        <v>255</v>
      </c>
      <c r="BM387" s="4" t="s">
        <v>241</v>
      </c>
      <c r="BN387" s="6">
        <f>0</f>
        <v>0</v>
      </c>
      <c r="BO387" s="6">
        <f>0</f>
        <v>0</v>
      </c>
      <c r="BP387" s="4" t="s">
        <v>256</v>
      </c>
      <c r="BQ387" s="4" t="s">
        <v>257</v>
      </c>
      <c r="CE387" s="4" t="s">
        <v>241</v>
      </c>
      <c r="CF387" s="4" t="s">
        <v>241</v>
      </c>
      <c r="CJ387" s="4" t="s">
        <v>258</v>
      </c>
      <c r="CK387" s="4" t="s">
        <v>259</v>
      </c>
      <c r="CL387" s="4" t="s">
        <v>241</v>
      </c>
      <c r="CO387" s="5" t="s">
        <v>260</v>
      </c>
      <c r="CP387" s="4" t="s">
        <v>241</v>
      </c>
      <c r="CQ387" s="4" t="s">
        <v>261</v>
      </c>
      <c r="CR387" s="4" t="s">
        <v>241</v>
      </c>
      <c r="CS387" s="4" t="s">
        <v>241</v>
      </c>
      <c r="CT387" s="4">
        <v>0</v>
      </c>
      <c r="CU387" s="4" t="s">
        <v>262</v>
      </c>
      <c r="CV387" s="4" t="s">
        <v>263</v>
      </c>
      <c r="CW387" s="4" t="s">
        <v>263</v>
      </c>
      <c r="CX387" s="4" t="s">
        <v>264</v>
      </c>
      <c r="DA387" s="6">
        <f>2217215</f>
        <v>2217215</v>
      </c>
      <c r="DC387" s="4" t="s">
        <v>422</v>
      </c>
      <c r="DD387" s="4" t="s">
        <v>241</v>
      </c>
      <c r="DF387" s="4" t="s">
        <v>387</v>
      </c>
      <c r="DG387" s="6">
        <f>1001</f>
        <v>1001</v>
      </c>
      <c r="DI387" s="4" t="s">
        <v>414</v>
      </c>
      <c r="DJ387" s="4" t="s">
        <v>241</v>
      </c>
      <c r="DK387" s="4" t="s">
        <v>241</v>
      </c>
      <c r="DL387" s="4" t="s">
        <v>241</v>
      </c>
      <c r="DP387" s="4" t="s">
        <v>241</v>
      </c>
      <c r="DQ387" s="4" t="s">
        <v>241</v>
      </c>
      <c r="DR387" s="4" t="s">
        <v>241</v>
      </c>
      <c r="DS387" s="4" t="s">
        <v>241</v>
      </c>
      <c r="DV387" s="4" t="s">
        <v>4813</v>
      </c>
      <c r="DW387" s="4" t="s">
        <v>1777</v>
      </c>
      <c r="HO387" s="4" t="s">
        <v>267</v>
      </c>
    </row>
    <row r="388" spans="1:223" ht="19.5" customHeight="1" x14ac:dyDescent="0.4">
      <c r="A388" s="4">
        <v>1</v>
      </c>
      <c r="B388" s="4" t="s">
        <v>239</v>
      </c>
      <c r="C388" s="4">
        <v>1123</v>
      </c>
      <c r="D388" s="4">
        <v>1</v>
      </c>
      <c r="E388" s="4">
        <v>1</v>
      </c>
      <c r="F388" s="4" t="s">
        <v>240</v>
      </c>
      <c r="G388" s="4" t="s">
        <v>241</v>
      </c>
      <c r="H388" s="4" t="s">
        <v>241</v>
      </c>
      <c r="I388" s="4" t="s">
        <v>4811</v>
      </c>
      <c r="J388" s="4" t="s">
        <v>596</v>
      </c>
      <c r="K388" s="4" t="s">
        <v>251</v>
      </c>
      <c r="L388" s="4" t="s">
        <v>4810</v>
      </c>
      <c r="M388" s="5" t="s">
        <v>4833</v>
      </c>
      <c r="N388" s="6">
        <f>406</f>
        <v>406</v>
      </c>
      <c r="O388" s="4" t="s">
        <v>265</v>
      </c>
      <c r="P388" s="6">
        <f>899290</f>
        <v>899290</v>
      </c>
      <c r="Q388" s="6">
        <f>0</f>
        <v>0</v>
      </c>
      <c r="S388" s="6">
        <f>0</f>
        <v>0</v>
      </c>
      <c r="T388" s="6">
        <f>899290</f>
        <v>899290</v>
      </c>
      <c r="U388" s="5" t="s">
        <v>245</v>
      </c>
      <c r="V388" s="4" t="s">
        <v>270</v>
      </c>
      <c r="W388" s="4" t="s">
        <v>242</v>
      </c>
      <c r="X388" s="4" t="s">
        <v>273</v>
      </c>
      <c r="Y388" s="4" t="s">
        <v>241</v>
      </c>
      <c r="AB388" s="4" t="s">
        <v>241</v>
      </c>
      <c r="AD388" s="5" t="s">
        <v>241</v>
      </c>
      <c r="AG388" s="5" t="s">
        <v>246</v>
      </c>
      <c r="AH388" s="4" t="s">
        <v>241</v>
      </c>
      <c r="AI388" s="4" t="s">
        <v>247</v>
      </c>
      <c r="AJ388" s="4" t="s">
        <v>248</v>
      </c>
      <c r="AZ388" s="4" t="s">
        <v>249</v>
      </c>
      <c r="BA388" s="4" t="s">
        <v>241</v>
      </c>
      <c r="BB388" s="4" t="s">
        <v>250</v>
      </c>
      <c r="BC388" s="4" t="s">
        <v>241</v>
      </c>
      <c r="BD388" s="4" t="s">
        <v>252</v>
      </c>
      <c r="BE388" s="4" t="s">
        <v>241</v>
      </c>
      <c r="BI388" s="4" t="s">
        <v>253</v>
      </c>
      <c r="BJ388" s="5" t="s">
        <v>246</v>
      </c>
      <c r="BK388" s="4" t="s">
        <v>254</v>
      </c>
      <c r="BL388" s="4" t="s">
        <v>255</v>
      </c>
      <c r="BM388" s="4" t="s">
        <v>241</v>
      </c>
      <c r="BN388" s="6">
        <f>0</f>
        <v>0</v>
      </c>
      <c r="BO388" s="6">
        <f>0</f>
        <v>0</v>
      </c>
      <c r="BP388" s="4" t="s">
        <v>256</v>
      </c>
      <c r="BQ388" s="4" t="s">
        <v>257</v>
      </c>
      <c r="CE388" s="4" t="s">
        <v>241</v>
      </c>
      <c r="CF388" s="4" t="s">
        <v>241</v>
      </c>
      <c r="CJ388" s="4" t="s">
        <v>258</v>
      </c>
      <c r="CK388" s="4" t="s">
        <v>259</v>
      </c>
      <c r="CL388" s="4" t="s">
        <v>241</v>
      </c>
      <c r="CO388" s="5" t="s">
        <v>260</v>
      </c>
      <c r="CP388" s="4" t="s">
        <v>241</v>
      </c>
      <c r="CQ388" s="4" t="s">
        <v>261</v>
      </c>
      <c r="CR388" s="4" t="s">
        <v>241</v>
      </c>
      <c r="CS388" s="4" t="s">
        <v>241</v>
      </c>
      <c r="CT388" s="4">
        <v>0</v>
      </c>
      <c r="CU388" s="4" t="s">
        <v>262</v>
      </c>
      <c r="CV388" s="4" t="s">
        <v>263</v>
      </c>
      <c r="CW388" s="4" t="s">
        <v>263</v>
      </c>
      <c r="CX388" s="4" t="s">
        <v>264</v>
      </c>
      <c r="DA388" s="6">
        <f>899290</f>
        <v>899290</v>
      </c>
      <c r="DC388" s="4" t="s">
        <v>422</v>
      </c>
      <c r="DD388" s="4" t="s">
        <v>241</v>
      </c>
      <c r="DF388" s="4" t="s">
        <v>348</v>
      </c>
      <c r="DG388" s="6">
        <f>406</f>
        <v>406</v>
      </c>
      <c r="DI388" s="4" t="s">
        <v>414</v>
      </c>
      <c r="DJ388" s="4" t="s">
        <v>241</v>
      </c>
      <c r="DK388" s="4" t="s">
        <v>241</v>
      </c>
      <c r="DL388" s="4" t="s">
        <v>241</v>
      </c>
      <c r="DP388" s="4" t="s">
        <v>241</v>
      </c>
      <c r="DQ388" s="4" t="s">
        <v>241</v>
      </c>
      <c r="DR388" s="4" t="s">
        <v>241</v>
      </c>
      <c r="DS388" s="4" t="s">
        <v>241</v>
      </c>
      <c r="DV388" s="4" t="s">
        <v>4813</v>
      </c>
      <c r="DW388" s="4" t="s">
        <v>1775</v>
      </c>
      <c r="HO388" s="4" t="s">
        <v>267</v>
      </c>
    </row>
    <row r="389" spans="1:223" ht="19.5" customHeight="1" x14ac:dyDescent="0.4">
      <c r="A389" s="4">
        <v>1</v>
      </c>
      <c r="B389" s="4" t="s">
        <v>239</v>
      </c>
      <c r="C389" s="4">
        <v>1124</v>
      </c>
      <c r="D389" s="4">
        <v>1</v>
      </c>
      <c r="E389" s="4">
        <v>1</v>
      </c>
      <c r="F389" s="4" t="s">
        <v>240</v>
      </c>
      <c r="G389" s="4" t="s">
        <v>241</v>
      </c>
      <c r="H389" s="4" t="s">
        <v>241</v>
      </c>
      <c r="I389" s="4" t="s">
        <v>4811</v>
      </c>
      <c r="J389" s="4" t="s">
        <v>596</v>
      </c>
      <c r="K389" s="4" t="s">
        <v>251</v>
      </c>
      <c r="L389" s="4" t="s">
        <v>4810</v>
      </c>
      <c r="M389" s="5" t="s">
        <v>4812</v>
      </c>
      <c r="N389" s="6">
        <f>611</f>
        <v>611</v>
      </c>
      <c r="O389" s="4" t="s">
        <v>265</v>
      </c>
      <c r="P389" s="6">
        <f>1353365</f>
        <v>1353365</v>
      </c>
      <c r="Q389" s="6">
        <f>0</f>
        <v>0</v>
      </c>
      <c r="S389" s="6">
        <f>0</f>
        <v>0</v>
      </c>
      <c r="T389" s="6">
        <f>1353365</f>
        <v>1353365</v>
      </c>
      <c r="U389" s="5" t="s">
        <v>245</v>
      </c>
      <c r="V389" s="4" t="s">
        <v>270</v>
      </c>
      <c r="W389" s="4" t="s">
        <v>242</v>
      </c>
      <c r="X389" s="4" t="s">
        <v>273</v>
      </c>
      <c r="Y389" s="4" t="s">
        <v>241</v>
      </c>
      <c r="AB389" s="4" t="s">
        <v>241</v>
      </c>
      <c r="AD389" s="5" t="s">
        <v>241</v>
      </c>
      <c r="AG389" s="5" t="s">
        <v>246</v>
      </c>
      <c r="AH389" s="4" t="s">
        <v>241</v>
      </c>
      <c r="AI389" s="4" t="s">
        <v>247</v>
      </c>
      <c r="AJ389" s="4" t="s">
        <v>248</v>
      </c>
      <c r="AZ389" s="4" t="s">
        <v>249</v>
      </c>
      <c r="BA389" s="4" t="s">
        <v>241</v>
      </c>
      <c r="BB389" s="4" t="s">
        <v>250</v>
      </c>
      <c r="BC389" s="4" t="s">
        <v>241</v>
      </c>
      <c r="BD389" s="4" t="s">
        <v>252</v>
      </c>
      <c r="BE389" s="4" t="s">
        <v>241</v>
      </c>
      <c r="BI389" s="4" t="s">
        <v>253</v>
      </c>
      <c r="BJ389" s="5" t="s">
        <v>246</v>
      </c>
      <c r="BK389" s="4" t="s">
        <v>254</v>
      </c>
      <c r="BL389" s="4" t="s">
        <v>255</v>
      </c>
      <c r="BM389" s="4" t="s">
        <v>241</v>
      </c>
      <c r="BN389" s="6">
        <f>0</f>
        <v>0</v>
      </c>
      <c r="BO389" s="6">
        <f>0</f>
        <v>0</v>
      </c>
      <c r="BP389" s="4" t="s">
        <v>256</v>
      </c>
      <c r="BQ389" s="4" t="s">
        <v>257</v>
      </c>
      <c r="CE389" s="4" t="s">
        <v>241</v>
      </c>
      <c r="CF389" s="4" t="s">
        <v>241</v>
      </c>
      <c r="CJ389" s="4" t="s">
        <v>258</v>
      </c>
      <c r="CK389" s="4" t="s">
        <v>259</v>
      </c>
      <c r="CL389" s="4" t="s">
        <v>241</v>
      </c>
      <c r="CO389" s="5" t="s">
        <v>260</v>
      </c>
      <c r="CP389" s="4" t="s">
        <v>241</v>
      </c>
      <c r="CQ389" s="4" t="s">
        <v>261</v>
      </c>
      <c r="CR389" s="4" t="s">
        <v>241</v>
      </c>
      <c r="CS389" s="4" t="s">
        <v>241</v>
      </c>
      <c r="CT389" s="4">
        <v>0</v>
      </c>
      <c r="CU389" s="4" t="s">
        <v>262</v>
      </c>
      <c r="CV389" s="4" t="s">
        <v>263</v>
      </c>
      <c r="CW389" s="4" t="s">
        <v>263</v>
      </c>
      <c r="CX389" s="4" t="s">
        <v>264</v>
      </c>
      <c r="DA389" s="6">
        <f>1353365</f>
        <v>1353365</v>
      </c>
      <c r="DC389" s="4" t="s">
        <v>422</v>
      </c>
      <c r="DD389" s="4" t="s">
        <v>241</v>
      </c>
      <c r="DF389" s="4" t="s">
        <v>387</v>
      </c>
      <c r="DG389" s="6">
        <f>611</f>
        <v>611</v>
      </c>
      <c r="DI389" s="4" t="s">
        <v>414</v>
      </c>
      <c r="DJ389" s="4" t="s">
        <v>241</v>
      </c>
      <c r="DK389" s="4" t="s">
        <v>241</v>
      </c>
      <c r="DL389" s="4" t="s">
        <v>241</v>
      </c>
      <c r="DP389" s="4" t="s">
        <v>241</v>
      </c>
      <c r="DQ389" s="4" t="s">
        <v>241</v>
      </c>
      <c r="DR389" s="4" t="s">
        <v>241</v>
      </c>
      <c r="DS389" s="4" t="s">
        <v>241</v>
      </c>
      <c r="DV389" s="4" t="s">
        <v>4813</v>
      </c>
      <c r="DW389" s="4" t="s">
        <v>1773</v>
      </c>
      <c r="HO389" s="4" t="s">
        <v>267</v>
      </c>
    </row>
    <row r="390" spans="1:223" ht="19.5" customHeight="1" x14ac:dyDescent="0.4">
      <c r="A390" s="4">
        <v>1</v>
      </c>
      <c r="B390" s="4" t="s">
        <v>239</v>
      </c>
      <c r="C390" s="4">
        <v>1125</v>
      </c>
      <c r="D390" s="4">
        <v>1</v>
      </c>
      <c r="E390" s="4">
        <v>1</v>
      </c>
      <c r="F390" s="4" t="s">
        <v>240</v>
      </c>
      <c r="G390" s="4" t="s">
        <v>241</v>
      </c>
      <c r="H390" s="4" t="s">
        <v>241</v>
      </c>
      <c r="I390" s="4" t="s">
        <v>4811</v>
      </c>
      <c r="J390" s="4" t="s">
        <v>596</v>
      </c>
      <c r="K390" s="4" t="s">
        <v>251</v>
      </c>
      <c r="L390" s="4" t="s">
        <v>4810</v>
      </c>
      <c r="M390" s="5" t="s">
        <v>4834</v>
      </c>
      <c r="N390" s="6">
        <f>1004</f>
        <v>1004</v>
      </c>
      <c r="O390" s="4" t="s">
        <v>265</v>
      </c>
      <c r="P390" s="6">
        <f>2223860</f>
        <v>2223860</v>
      </c>
      <c r="Q390" s="6">
        <f>0</f>
        <v>0</v>
      </c>
      <c r="S390" s="6">
        <f>0</f>
        <v>0</v>
      </c>
      <c r="T390" s="6">
        <f>2223860</f>
        <v>2223860</v>
      </c>
      <c r="U390" s="5" t="s">
        <v>245</v>
      </c>
      <c r="V390" s="4" t="s">
        <v>270</v>
      </c>
      <c r="W390" s="4" t="s">
        <v>242</v>
      </c>
      <c r="X390" s="4" t="s">
        <v>273</v>
      </c>
      <c r="Y390" s="4" t="s">
        <v>241</v>
      </c>
      <c r="AB390" s="4" t="s">
        <v>241</v>
      </c>
      <c r="AD390" s="5" t="s">
        <v>241</v>
      </c>
      <c r="AG390" s="5" t="s">
        <v>246</v>
      </c>
      <c r="AH390" s="4" t="s">
        <v>241</v>
      </c>
      <c r="AI390" s="4" t="s">
        <v>247</v>
      </c>
      <c r="AJ390" s="4" t="s">
        <v>248</v>
      </c>
      <c r="AZ390" s="4" t="s">
        <v>249</v>
      </c>
      <c r="BA390" s="4" t="s">
        <v>241</v>
      </c>
      <c r="BB390" s="4" t="s">
        <v>250</v>
      </c>
      <c r="BC390" s="4" t="s">
        <v>241</v>
      </c>
      <c r="BD390" s="4" t="s">
        <v>252</v>
      </c>
      <c r="BE390" s="4" t="s">
        <v>241</v>
      </c>
      <c r="BI390" s="4" t="s">
        <v>253</v>
      </c>
      <c r="BJ390" s="5" t="s">
        <v>246</v>
      </c>
      <c r="BK390" s="4" t="s">
        <v>254</v>
      </c>
      <c r="BL390" s="4" t="s">
        <v>255</v>
      </c>
      <c r="BM390" s="4" t="s">
        <v>241</v>
      </c>
      <c r="BN390" s="6">
        <f>0</f>
        <v>0</v>
      </c>
      <c r="BO390" s="6">
        <f>0</f>
        <v>0</v>
      </c>
      <c r="BP390" s="4" t="s">
        <v>256</v>
      </c>
      <c r="BQ390" s="4" t="s">
        <v>257</v>
      </c>
      <c r="CE390" s="4" t="s">
        <v>241</v>
      </c>
      <c r="CF390" s="4" t="s">
        <v>241</v>
      </c>
      <c r="CJ390" s="4" t="s">
        <v>258</v>
      </c>
      <c r="CK390" s="4" t="s">
        <v>259</v>
      </c>
      <c r="CL390" s="4" t="s">
        <v>241</v>
      </c>
      <c r="CO390" s="5" t="s">
        <v>260</v>
      </c>
      <c r="CP390" s="4" t="s">
        <v>241</v>
      </c>
      <c r="CQ390" s="4" t="s">
        <v>261</v>
      </c>
      <c r="CR390" s="4" t="s">
        <v>241</v>
      </c>
      <c r="CS390" s="4" t="s">
        <v>241</v>
      </c>
      <c r="CT390" s="4">
        <v>0</v>
      </c>
      <c r="CU390" s="4" t="s">
        <v>262</v>
      </c>
      <c r="CV390" s="4" t="s">
        <v>263</v>
      </c>
      <c r="CW390" s="4" t="s">
        <v>263</v>
      </c>
      <c r="CX390" s="4" t="s">
        <v>264</v>
      </c>
      <c r="DA390" s="6">
        <f>2223860</f>
        <v>2223860</v>
      </c>
      <c r="DC390" s="4" t="s">
        <v>422</v>
      </c>
      <c r="DD390" s="4" t="s">
        <v>241</v>
      </c>
      <c r="DF390" s="4" t="s">
        <v>387</v>
      </c>
      <c r="DG390" s="6">
        <f>1004</f>
        <v>1004</v>
      </c>
      <c r="DI390" s="4" t="s">
        <v>414</v>
      </c>
      <c r="DJ390" s="4" t="s">
        <v>241</v>
      </c>
      <c r="DK390" s="4" t="s">
        <v>241</v>
      </c>
      <c r="DL390" s="4" t="s">
        <v>241</v>
      </c>
      <c r="DP390" s="4" t="s">
        <v>241</v>
      </c>
      <c r="DQ390" s="4" t="s">
        <v>241</v>
      </c>
      <c r="DR390" s="4" t="s">
        <v>241</v>
      </c>
      <c r="DS390" s="4" t="s">
        <v>241</v>
      </c>
      <c r="DV390" s="4" t="s">
        <v>4813</v>
      </c>
      <c r="DW390" s="4" t="s">
        <v>2076</v>
      </c>
      <c r="HO390" s="4" t="s">
        <v>267</v>
      </c>
    </row>
    <row r="391" spans="1:223" ht="19.5" customHeight="1" x14ac:dyDescent="0.4">
      <c r="A391" s="4">
        <v>1</v>
      </c>
      <c r="B391" s="4" t="s">
        <v>239</v>
      </c>
      <c r="C391" s="4">
        <v>1126</v>
      </c>
      <c r="D391" s="4">
        <v>1</v>
      </c>
      <c r="E391" s="4">
        <v>1</v>
      </c>
      <c r="F391" s="4" t="s">
        <v>240</v>
      </c>
      <c r="G391" s="4" t="s">
        <v>241</v>
      </c>
      <c r="H391" s="4" t="s">
        <v>241</v>
      </c>
      <c r="I391" s="4" t="s">
        <v>4811</v>
      </c>
      <c r="J391" s="4" t="s">
        <v>596</v>
      </c>
      <c r="K391" s="4" t="s">
        <v>251</v>
      </c>
      <c r="L391" s="4" t="s">
        <v>4810</v>
      </c>
      <c r="M391" s="5" t="s">
        <v>5473</v>
      </c>
      <c r="N391" s="6">
        <f>1021</f>
        <v>1021</v>
      </c>
      <c r="O391" s="4" t="s">
        <v>265</v>
      </c>
      <c r="P391" s="6">
        <f>2261515</f>
        <v>2261515</v>
      </c>
      <c r="Q391" s="6">
        <f>0</f>
        <v>0</v>
      </c>
      <c r="S391" s="6">
        <f>0</f>
        <v>0</v>
      </c>
      <c r="T391" s="6">
        <f>2261515</f>
        <v>2261515</v>
      </c>
      <c r="U391" s="5" t="s">
        <v>245</v>
      </c>
      <c r="V391" s="4" t="s">
        <v>270</v>
      </c>
      <c r="W391" s="4" t="s">
        <v>242</v>
      </c>
      <c r="X391" s="4" t="s">
        <v>273</v>
      </c>
      <c r="Y391" s="4" t="s">
        <v>241</v>
      </c>
      <c r="AB391" s="4" t="s">
        <v>241</v>
      </c>
      <c r="AD391" s="5" t="s">
        <v>241</v>
      </c>
      <c r="AG391" s="5" t="s">
        <v>246</v>
      </c>
      <c r="AH391" s="4" t="s">
        <v>241</v>
      </c>
      <c r="AI391" s="4" t="s">
        <v>247</v>
      </c>
      <c r="AJ391" s="4" t="s">
        <v>248</v>
      </c>
      <c r="AZ391" s="4" t="s">
        <v>249</v>
      </c>
      <c r="BA391" s="4" t="s">
        <v>241</v>
      </c>
      <c r="BB391" s="4" t="s">
        <v>250</v>
      </c>
      <c r="BC391" s="4" t="s">
        <v>241</v>
      </c>
      <c r="BD391" s="4" t="s">
        <v>252</v>
      </c>
      <c r="BE391" s="4" t="s">
        <v>241</v>
      </c>
      <c r="BI391" s="4" t="s">
        <v>253</v>
      </c>
      <c r="BJ391" s="5" t="s">
        <v>246</v>
      </c>
      <c r="BK391" s="4" t="s">
        <v>254</v>
      </c>
      <c r="BL391" s="4" t="s">
        <v>255</v>
      </c>
      <c r="BM391" s="4" t="s">
        <v>241</v>
      </c>
      <c r="BN391" s="6">
        <f>0</f>
        <v>0</v>
      </c>
      <c r="BO391" s="6">
        <f>0</f>
        <v>0</v>
      </c>
      <c r="BP391" s="4" t="s">
        <v>256</v>
      </c>
      <c r="BQ391" s="4" t="s">
        <v>257</v>
      </c>
      <c r="CE391" s="4" t="s">
        <v>241</v>
      </c>
      <c r="CF391" s="4" t="s">
        <v>241</v>
      </c>
      <c r="CJ391" s="4" t="s">
        <v>258</v>
      </c>
      <c r="CK391" s="4" t="s">
        <v>259</v>
      </c>
      <c r="CL391" s="4" t="s">
        <v>241</v>
      </c>
      <c r="CO391" s="5" t="s">
        <v>260</v>
      </c>
      <c r="CP391" s="4" t="s">
        <v>241</v>
      </c>
      <c r="CQ391" s="4" t="s">
        <v>261</v>
      </c>
      <c r="CR391" s="4" t="s">
        <v>241</v>
      </c>
      <c r="CS391" s="4" t="s">
        <v>241</v>
      </c>
      <c r="CT391" s="4">
        <v>0</v>
      </c>
      <c r="CU391" s="4" t="s">
        <v>262</v>
      </c>
      <c r="CV391" s="4" t="s">
        <v>263</v>
      </c>
      <c r="CW391" s="4" t="s">
        <v>263</v>
      </c>
      <c r="CX391" s="4" t="s">
        <v>264</v>
      </c>
      <c r="DA391" s="6">
        <f>2261515</f>
        <v>2261515</v>
      </c>
      <c r="DC391" s="4" t="s">
        <v>422</v>
      </c>
      <c r="DD391" s="4" t="s">
        <v>241</v>
      </c>
      <c r="DF391" s="4" t="s">
        <v>387</v>
      </c>
      <c r="DG391" s="6">
        <f>1021</f>
        <v>1021</v>
      </c>
      <c r="DI391" s="4" t="s">
        <v>414</v>
      </c>
      <c r="DJ391" s="4" t="s">
        <v>241</v>
      </c>
      <c r="DK391" s="4" t="s">
        <v>241</v>
      </c>
      <c r="DL391" s="4" t="s">
        <v>241</v>
      </c>
      <c r="DP391" s="4" t="s">
        <v>241</v>
      </c>
      <c r="DQ391" s="4" t="s">
        <v>241</v>
      </c>
      <c r="DR391" s="4" t="s">
        <v>241</v>
      </c>
      <c r="DS391" s="4" t="s">
        <v>241</v>
      </c>
      <c r="DV391" s="4" t="s">
        <v>4813</v>
      </c>
      <c r="DW391" s="4" t="s">
        <v>1771</v>
      </c>
      <c r="HO391" s="4" t="s">
        <v>267</v>
      </c>
    </row>
    <row r="392" spans="1:223" ht="19.5" customHeight="1" x14ac:dyDescent="0.4">
      <c r="A392" s="4">
        <v>1</v>
      </c>
      <c r="B392" s="4" t="s">
        <v>239</v>
      </c>
      <c r="C392" s="4">
        <v>1127</v>
      </c>
      <c r="D392" s="4">
        <v>1</v>
      </c>
      <c r="E392" s="4">
        <v>1</v>
      </c>
      <c r="F392" s="4" t="s">
        <v>240</v>
      </c>
      <c r="G392" s="4" t="s">
        <v>241</v>
      </c>
      <c r="H392" s="4" t="s">
        <v>241</v>
      </c>
      <c r="I392" s="4" t="s">
        <v>4811</v>
      </c>
      <c r="J392" s="4" t="s">
        <v>596</v>
      </c>
      <c r="K392" s="4" t="s">
        <v>251</v>
      </c>
      <c r="L392" s="4" t="s">
        <v>4810</v>
      </c>
      <c r="M392" s="5" t="s">
        <v>4836</v>
      </c>
      <c r="N392" s="6">
        <f>1021</f>
        <v>1021</v>
      </c>
      <c r="O392" s="4" t="s">
        <v>265</v>
      </c>
      <c r="P392" s="6">
        <f>2261515</f>
        <v>2261515</v>
      </c>
      <c r="Q392" s="6">
        <f>0</f>
        <v>0</v>
      </c>
      <c r="S392" s="6">
        <f>0</f>
        <v>0</v>
      </c>
      <c r="T392" s="6">
        <f>2261515</f>
        <v>2261515</v>
      </c>
      <c r="U392" s="5" t="s">
        <v>245</v>
      </c>
      <c r="V392" s="4" t="s">
        <v>270</v>
      </c>
      <c r="W392" s="4" t="s">
        <v>242</v>
      </c>
      <c r="X392" s="4" t="s">
        <v>273</v>
      </c>
      <c r="Y392" s="4" t="s">
        <v>241</v>
      </c>
      <c r="AB392" s="4" t="s">
        <v>241</v>
      </c>
      <c r="AD392" s="5" t="s">
        <v>241</v>
      </c>
      <c r="AG392" s="5" t="s">
        <v>246</v>
      </c>
      <c r="AH392" s="4" t="s">
        <v>241</v>
      </c>
      <c r="AI392" s="4" t="s">
        <v>247</v>
      </c>
      <c r="AJ392" s="4" t="s">
        <v>248</v>
      </c>
      <c r="AZ392" s="4" t="s">
        <v>249</v>
      </c>
      <c r="BA392" s="4" t="s">
        <v>241</v>
      </c>
      <c r="BB392" s="4" t="s">
        <v>250</v>
      </c>
      <c r="BC392" s="4" t="s">
        <v>241</v>
      </c>
      <c r="BD392" s="4" t="s">
        <v>252</v>
      </c>
      <c r="BE392" s="4" t="s">
        <v>241</v>
      </c>
      <c r="BI392" s="4" t="s">
        <v>253</v>
      </c>
      <c r="BJ392" s="5" t="s">
        <v>246</v>
      </c>
      <c r="BK392" s="4" t="s">
        <v>254</v>
      </c>
      <c r="BL392" s="4" t="s">
        <v>255</v>
      </c>
      <c r="BM392" s="4" t="s">
        <v>241</v>
      </c>
      <c r="BN392" s="6">
        <f>0</f>
        <v>0</v>
      </c>
      <c r="BO392" s="6">
        <f>0</f>
        <v>0</v>
      </c>
      <c r="BP392" s="4" t="s">
        <v>256</v>
      </c>
      <c r="BQ392" s="4" t="s">
        <v>257</v>
      </c>
      <c r="CE392" s="4" t="s">
        <v>241</v>
      </c>
      <c r="CF392" s="4" t="s">
        <v>241</v>
      </c>
      <c r="CJ392" s="4" t="s">
        <v>258</v>
      </c>
      <c r="CK392" s="4" t="s">
        <v>259</v>
      </c>
      <c r="CL392" s="4" t="s">
        <v>241</v>
      </c>
      <c r="CO392" s="5" t="s">
        <v>260</v>
      </c>
      <c r="CP392" s="4" t="s">
        <v>241</v>
      </c>
      <c r="CQ392" s="4" t="s">
        <v>261</v>
      </c>
      <c r="CR392" s="4" t="s">
        <v>241</v>
      </c>
      <c r="CS392" s="4" t="s">
        <v>241</v>
      </c>
      <c r="CT392" s="4">
        <v>0</v>
      </c>
      <c r="CU392" s="4" t="s">
        <v>262</v>
      </c>
      <c r="CV392" s="4" t="s">
        <v>263</v>
      </c>
      <c r="CW392" s="4" t="s">
        <v>263</v>
      </c>
      <c r="CX392" s="4" t="s">
        <v>264</v>
      </c>
      <c r="DA392" s="6">
        <f>2261515</f>
        <v>2261515</v>
      </c>
      <c r="DC392" s="4" t="s">
        <v>422</v>
      </c>
      <c r="DD392" s="4" t="s">
        <v>241</v>
      </c>
      <c r="DF392" s="4" t="s">
        <v>387</v>
      </c>
      <c r="DG392" s="6">
        <f>1021</f>
        <v>1021</v>
      </c>
      <c r="DI392" s="4" t="s">
        <v>414</v>
      </c>
      <c r="DJ392" s="4" t="s">
        <v>241</v>
      </c>
      <c r="DK392" s="4" t="s">
        <v>241</v>
      </c>
      <c r="DL392" s="4" t="s">
        <v>241</v>
      </c>
      <c r="DP392" s="4" t="s">
        <v>241</v>
      </c>
      <c r="DQ392" s="4" t="s">
        <v>241</v>
      </c>
      <c r="DR392" s="4" t="s">
        <v>241</v>
      </c>
      <c r="DS392" s="4" t="s">
        <v>241</v>
      </c>
      <c r="DV392" s="4" t="s">
        <v>4813</v>
      </c>
      <c r="DW392" s="4" t="s">
        <v>1769</v>
      </c>
      <c r="HO392" s="4" t="s">
        <v>267</v>
      </c>
    </row>
    <row r="393" spans="1:223" ht="19.5" customHeight="1" x14ac:dyDescent="0.4">
      <c r="A393" s="4">
        <v>1</v>
      </c>
      <c r="B393" s="4" t="s">
        <v>239</v>
      </c>
      <c r="C393" s="4">
        <v>1128</v>
      </c>
      <c r="D393" s="4">
        <v>1</v>
      </c>
      <c r="E393" s="4">
        <v>1</v>
      </c>
      <c r="F393" s="4" t="s">
        <v>240</v>
      </c>
      <c r="G393" s="4" t="s">
        <v>241</v>
      </c>
      <c r="H393" s="4" t="s">
        <v>241</v>
      </c>
      <c r="I393" s="4" t="s">
        <v>4811</v>
      </c>
      <c r="J393" s="4" t="s">
        <v>596</v>
      </c>
      <c r="K393" s="4" t="s">
        <v>251</v>
      </c>
      <c r="L393" s="4" t="s">
        <v>4810</v>
      </c>
      <c r="M393" s="5" t="s">
        <v>4837</v>
      </c>
      <c r="N393" s="6">
        <f>1021</f>
        <v>1021</v>
      </c>
      <c r="O393" s="4" t="s">
        <v>265</v>
      </c>
      <c r="P393" s="6">
        <f>2261515</f>
        <v>2261515</v>
      </c>
      <c r="Q393" s="6">
        <f>0</f>
        <v>0</v>
      </c>
      <c r="S393" s="6">
        <f>0</f>
        <v>0</v>
      </c>
      <c r="T393" s="6">
        <f>2261515</f>
        <v>2261515</v>
      </c>
      <c r="U393" s="5" t="s">
        <v>245</v>
      </c>
      <c r="V393" s="4" t="s">
        <v>270</v>
      </c>
      <c r="W393" s="4" t="s">
        <v>242</v>
      </c>
      <c r="X393" s="4" t="s">
        <v>273</v>
      </c>
      <c r="Y393" s="4" t="s">
        <v>241</v>
      </c>
      <c r="AB393" s="4" t="s">
        <v>241</v>
      </c>
      <c r="AD393" s="5" t="s">
        <v>241</v>
      </c>
      <c r="AG393" s="5" t="s">
        <v>246</v>
      </c>
      <c r="AH393" s="4" t="s">
        <v>241</v>
      </c>
      <c r="AI393" s="4" t="s">
        <v>247</v>
      </c>
      <c r="AJ393" s="4" t="s">
        <v>248</v>
      </c>
      <c r="AZ393" s="4" t="s">
        <v>249</v>
      </c>
      <c r="BA393" s="4" t="s">
        <v>241</v>
      </c>
      <c r="BB393" s="4" t="s">
        <v>250</v>
      </c>
      <c r="BC393" s="4" t="s">
        <v>241</v>
      </c>
      <c r="BD393" s="4" t="s">
        <v>252</v>
      </c>
      <c r="BE393" s="4" t="s">
        <v>241</v>
      </c>
      <c r="BI393" s="4" t="s">
        <v>253</v>
      </c>
      <c r="BJ393" s="5" t="s">
        <v>246</v>
      </c>
      <c r="BK393" s="4" t="s">
        <v>254</v>
      </c>
      <c r="BL393" s="4" t="s">
        <v>255</v>
      </c>
      <c r="BM393" s="4" t="s">
        <v>241</v>
      </c>
      <c r="BN393" s="6">
        <f>0</f>
        <v>0</v>
      </c>
      <c r="BO393" s="6">
        <f>0</f>
        <v>0</v>
      </c>
      <c r="BP393" s="4" t="s">
        <v>256</v>
      </c>
      <c r="BQ393" s="4" t="s">
        <v>257</v>
      </c>
      <c r="CE393" s="4" t="s">
        <v>241</v>
      </c>
      <c r="CF393" s="4" t="s">
        <v>241</v>
      </c>
      <c r="CJ393" s="4" t="s">
        <v>258</v>
      </c>
      <c r="CK393" s="4" t="s">
        <v>259</v>
      </c>
      <c r="CL393" s="4" t="s">
        <v>241</v>
      </c>
      <c r="CO393" s="5" t="s">
        <v>260</v>
      </c>
      <c r="CP393" s="4" t="s">
        <v>241</v>
      </c>
      <c r="CQ393" s="4" t="s">
        <v>261</v>
      </c>
      <c r="CR393" s="4" t="s">
        <v>241</v>
      </c>
      <c r="CS393" s="4" t="s">
        <v>241</v>
      </c>
      <c r="CT393" s="4">
        <v>0</v>
      </c>
      <c r="CU393" s="4" t="s">
        <v>262</v>
      </c>
      <c r="CV393" s="4" t="s">
        <v>263</v>
      </c>
      <c r="CW393" s="4" t="s">
        <v>263</v>
      </c>
      <c r="CX393" s="4" t="s">
        <v>264</v>
      </c>
      <c r="DA393" s="6">
        <f>2261515</f>
        <v>2261515</v>
      </c>
      <c r="DC393" s="4" t="s">
        <v>422</v>
      </c>
      <c r="DD393" s="4" t="s">
        <v>241</v>
      </c>
      <c r="DF393" s="4" t="s">
        <v>387</v>
      </c>
      <c r="DG393" s="6">
        <f>1021</f>
        <v>1021</v>
      </c>
      <c r="DI393" s="4" t="s">
        <v>414</v>
      </c>
      <c r="DJ393" s="4" t="s">
        <v>241</v>
      </c>
      <c r="DK393" s="4" t="s">
        <v>241</v>
      </c>
      <c r="DL393" s="4" t="s">
        <v>241</v>
      </c>
      <c r="DP393" s="4" t="s">
        <v>241</v>
      </c>
      <c r="DQ393" s="4" t="s">
        <v>241</v>
      </c>
      <c r="DR393" s="4" t="s">
        <v>241</v>
      </c>
      <c r="DS393" s="4" t="s">
        <v>241</v>
      </c>
      <c r="DV393" s="4" t="s">
        <v>4813</v>
      </c>
      <c r="DW393" s="4" t="s">
        <v>1914</v>
      </c>
      <c r="HO393" s="4" t="s">
        <v>267</v>
      </c>
    </row>
    <row r="394" spans="1:223" ht="19.5" customHeight="1" x14ac:dyDescent="0.4">
      <c r="A394" s="4">
        <v>1</v>
      </c>
      <c r="B394" s="4" t="s">
        <v>239</v>
      </c>
      <c r="C394" s="4">
        <v>1129</v>
      </c>
      <c r="D394" s="4">
        <v>1</v>
      </c>
      <c r="E394" s="4">
        <v>1</v>
      </c>
      <c r="F394" s="4" t="s">
        <v>240</v>
      </c>
      <c r="G394" s="4" t="s">
        <v>241</v>
      </c>
      <c r="H394" s="4" t="s">
        <v>241</v>
      </c>
      <c r="I394" s="4" t="s">
        <v>4811</v>
      </c>
      <c r="J394" s="4" t="s">
        <v>596</v>
      </c>
      <c r="K394" s="4" t="s">
        <v>251</v>
      </c>
      <c r="L394" s="4" t="s">
        <v>4810</v>
      </c>
      <c r="M394" s="5" t="s">
        <v>4838</v>
      </c>
      <c r="N394" s="6">
        <f>1021</f>
        <v>1021</v>
      </c>
      <c r="O394" s="4" t="s">
        <v>265</v>
      </c>
      <c r="P394" s="6">
        <f>2261515</f>
        <v>2261515</v>
      </c>
      <c r="Q394" s="6">
        <f>0</f>
        <v>0</v>
      </c>
      <c r="S394" s="6">
        <f>0</f>
        <v>0</v>
      </c>
      <c r="T394" s="6">
        <f>2261515</f>
        <v>2261515</v>
      </c>
      <c r="U394" s="5" t="s">
        <v>245</v>
      </c>
      <c r="V394" s="4" t="s">
        <v>270</v>
      </c>
      <c r="W394" s="4" t="s">
        <v>242</v>
      </c>
      <c r="X394" s="4" t="s">
        <v>273</v>
      </c>
      <c r="Y394" s="4" t="s">
        <v>241</v>
      </c>
      <c r="AB394" s="4" t="s">
        <v>241</v>
      </c>
      <c r="AD394" s="5" t="s">
        <v>241</v>
      </c>
      <c r="AG394" s="5" t="s">
        <v>246</v>
      </c>
      <c r="AH394" s="4" t="s">
        <v>241</v>
      </c>
      <c r="AI394" s="4" t="s">
        <v>247</v>
      </c>
      <c r="AJ394" s="4" t="s">
        <v>248</v>
      </c>
      <c r="AZ394" s="4" t="s">
        <v>249</v>
      </c>
      <c r="BA394" s="4" t="s">
        <v>241</v>
      </c>
      <c r="BB394" s="4" t="s">
        <v>250</v>
      </c>
      <c r="BC394" s="4" t="s">
        <v>241</v>
      </c>
      <c r="BD394" s="4" t="s">
        <v>252</v>
      </c>
      <c r="BE394" s="4" t="s">
        <v>241</v>
      </c>
      <c r="BI394" s="4" t="s">
        <v>253</v>
      </c>
      <c r="BJ394" s="5" t="s">
        <v>246</v>
      </c>
      <c r="BK394" s="4" t="s">
        <v>254</v>
      </c>
      <c r="BL394" s="4" t="s">
        <v>255</v>
      </c>
      <c r="BM394" s="4" t="s">
        <v>241</v>
      </c>
      <c r="BN394" s="6">
        <f>0</f>
        <v>0</v>
      </c>
      <c r="BO394" s="6">
        <f>0</f>
        <v>0</v>
      </c>
      <c r="BP394" s="4" t="s">
        <v>256</v>
      </c>
      <c r="BQ394" s="4" t="s">
        <v>257</v>
      </c>
      <c r="CE394" s="4" t="s">
        <v>241</v>
      </c>
      <c r="CF394" s="4" t="s">
        <v>241</v>
      </c>
      <c r="CJ394" s="4" t="s">
        <v>258</v>
      </c>
      <c r="CK394" s="4" t="s">
        <v>259</v>
      </c>
      <c r="CL394" s="4" t="s">
        <v>241</v>
      </c>
      <c r="CO394" s="5" t="s">
        <v>260</v>
      </c>
      <c r="CP394" s="4" t="s">
        <v>241</v>
      </c>
      <c r="CQ394" s="4" t="s">
        <v>261</v>
      </c>
      <c r="CR394" s="4" t="s">
        <v>241</v>
      </c>
      <c r="CS394" s="4" t="s">
        <v>241</v>
      </c>
      <c r="CT394" s="4">
        <v>0</v>
      </c>
      <c r="CU394" s="4" t="s">
        <v>262</v>
      </c>
      <c r="CV394" s="4" t="s">
        <v>263</v>
      </c>
      <c r="CW394" s="4" t="s">
        <v>263</v>
      </c>
      <c r="CX394" s="4" t="s">
        <v>264</v>
      </c>
      <c r="DA394" s="6">
        <f>2261515</f>
        <v>2261515</v>
      </c>
      <c r="DC394" s="4" t="s">
        <v>422</v>
      </c>
      <c r="DD394" s="4" t="s">
        <v>241</v>
      </c>
      <c r="DF394" s="4" t="s">
        <v>387</v>
      </c>
      <c r="DG394" s="6">
        <f>1021</f>
        <v>1021</v>
      </c>
      <c r="DI394" s="4" t="s">
        <v>414</v>
      </c>
      <c r="DJ394" s="4" t="s">
        <v>241</v>
      </c>
      <c r="DK394" s="4" t="s">
        <v>241</v>
      </c>
      <c r="DL394" s="4" t="s">
        <v>241</v>
      </c>
      <c r="DP394" s="4" t="s">
        <v>241</v>
      </c>
      <c r="DQ394" s="4" t="s">
        <v>241</v>
      </c>
      <c r="DR394" s="4" t="s">
        <v>241</v>
      </c>
      <c r="DS394" s="4" t="s">
        <v>241</v>
      </c>
      <c r="DV394" s="4" t="s">
        <v>4813</v>
      </c>
      <c r="DW394" s="4" t="s">
        <v>1767</v>
      </c>
      <c r="HO394" s="4" t="s">
        <v>267</v>
      </c>
    </row>
    <row r="395" spans="1:223" ht="19.5" customHeight="1" x14ac:dyDescent="0.4">
      <c r="A395" s="4">
        <v>1</v>
      </c>
      <c r="B395" s="4" t="s">
        <v>239</v>
      </c>
      <c r="C395" s="4">
        <v>1130</v>
      </c>
      <c r="D395" s="4">
        <v>1</v>
      </c>
      <c r="E395" s="4">
        <v>1</v>
      </c>
      <c r="F395" s="4" t="s">
        <v>240</v>
      </c>
      <c r="G395" s="4" t="s">
        <v>241</v>
      </c>
      <c r="H395" s="4" t="s">
        <v>241</v>
      </c>
      <c r="I395" s="4" t="s">
        <v>4811</v>
      </c>
      <c r="J395" s="4" t="s">
        <v>596</v>
      </c>
      <c r="K395" s="4" t="s">
        <v>251</v>
      </c>
      <c r="L395" s="4" t="s">
        <v>4810</v>
      </c>
      <c r="M395" s="5" t="s">
        <v>5474</v>
      </c>
      <c r="N395" s="6">
        <f>307</f>
        <v>307</v>
      </c>
      <c r="O395" s="4" t="s">
        <v>265</v>
      </c>
      <c r="P395" s="6">
        <f>680005</f>
        <v>680005</v>
      </c>
      <c r="Q395" s="6">
        <f>0</f>
        <v>0</v>
      </c>
      <c r="S395" s="6">
        <f>0</f>
        <v>0</v>
      </c>
      <c r="T395" s="6">
        <f>680005</f>
        <v>680005</v>
      </c>
      <c r="U395" s="5" t="s">
        <v>245</v>
      </c>
      <c r="V395" s="4" t="s">
        <v>270</v>
      </c>
      <c r="W395" s="4" t="s">
        <v>242</v>
      </c>
      <c r="X395" s="4" t="s">
        <v>273</v>
      </c>
      <c r="Y395" s="4" t="s">
        <v>241</v>
      </c>
      <c r="AB395" s="4" t="s">
        <v>241</v>
      </c>
      <c r="AD395" s="5" t="s">
        <v>241</v>
      </c>
      <c r="AG395" s="5" t="s">
        <v>246</v>
      </c>
      <c r="AH395" s="4" t="s">
        <v>241</v>
      </c>
      <c r="AI395" s="4" t="s">
        <v>247</v>
      </c>
      <c r="AJ395" s="4" t="s">
        <v>248</v>
      </c>
      <c r="AZ395" s="4" t="s">
        <v>249</v>
      </c>
      <c r="BA395" s="4" t="s">
        <v>241</v>
      </c>
      <c r="BB395" s="4" t="s">
        <v>250</v>
      </c>
      <c r="BC395" s="4" t="s">
        <v>241</v>
      </c>
      <c r="BD395" s="4" t="s">
        <v>252</v>
      </c>
      <c r="BE395" s="4" t="s">
        <v>241</v>
      </c>
      <c r="BI395" s="4" t="s">
        <v>253</v>
      </c>
      <c r="BJ395" s="5" t="s">
        <v>246</v>
      </c>
      <c r="BK395" s="4" t="s">
        <v>254</v>
      </c>
      <c r="BL395" s="4" t="s">
        <v>255</v>
      </c>
      <c r="BM395" s="4" t="s">
        <v>241</v>
      </c>
      <c r="BN395" s="6">
        <f>0</f>
        <v>0</v>
      </c>
      <c r="BO395" s="6">
        <f>0</f>
        <v>0</v>
      </c>
      <c r="BP395" s="4" t="s">
        <v>256</v>
      </c>
      <c r="BQ395" s="4" t="s">
        <v>257</v>
      </c>
      <c r="CE395" s="4" t="s">
        <v>241</v>
      </c>
      <c r="CF395" s="4" t="s">
        <v>241</v>
      </c>
      <c r="CJ395" s="4" t="s">
        <v>258</v>
      </c>
      <c r="CK395" s="4" t="s">
        <v>259</v>
      </c>
      <c r="CL395" s="4" t="s">
        <v>241</v>
      </c>
      <c r="CO395" s="5" t="s">
        <v>260</v>
      </c>
      <c r="CP395" s="4" t="s">
        <v>241</v>
      </c>
      <c r="CQ395" s="4" t="s">
        <v>261</v>
      </c>
      <c r="CR395" s="4" t="s">
        <v>241</v>
      </c>
      <c r="CS395" s="4" t="s">
        <v>241</v>
      </c>
      <c r="CT395" s="4">
        <v>0</v>
      </c>
      <c r="CU395" s="4" t="s">
        <v>262</v>
      </c>
      <c r="CV395" s="4" t="s">
        <v>263</v>
      </c>
      <c r="CW395" s="4" t="s">
        <v>263</v>
      </c>
      <c r="CX395" s="4" t="s">
        <v>264</v>
      </c>
      <c r="DA395" s="6">
        <f>680005</f>
        <v>680005</v>
      </c>
      <c r="DC395" s="4" t="s">
        <v>422</v>
      </c>
      <c r="DD395" s="4" t="s">
        <v>241</v>
      </c>
      <c r="DF395" s="4" t="s">
        <v>387</v>
      </c>
      <c r="DG395" s="6">
        <f>307</f>
        <v>307</v>
      </c>
      <c r="DI395" s="4" t="s">
        <v>414</v>
      </c>
      <c r="DJ395" s="4" t="s">
        <v>241</v>
      </c>
      <c r="DK395" s="4" t="s">
        <v>241</v>
      </c>
      <c r="DL395" s="4" t="s">
        <v>241</v>
      </c>
      <c r="DP395" s="4" t="s">
        <v>241</v>
      </c>
      <c r="DQ395" s="4" t="s">
        <v>241</v>
      </c>
      <c r="DR395" s="4" t="s">
        <v>241</v>
      </c>
      <c r="DS395" s="4" t="s">
        <v>241</v>
      </c>
      <c r="DV395" s="4" t="s">
        <v>4813</v>
      </c>
      <c r="DW395" s="4" t="s">
        <v>1764</v>
      </c>
      <c r="HO395" s="4" t="s">
        <v>267</v>
      </c>
    </row>
    <row r="396" spans="1:223" ht="19.5" customHeight="1" x14ac:dyDescent="0.4">
      <c r="A396" s="4">
        <v>1</v>
      </c>
      <c r="B396" s="4" t="s">
        <v>239</v>
      </c>
      <c r="C396" s="4">
        <v>1131</v>
      </c>
      <c r="D396" s="4">
        <v>1</v>
      </c>
      <c r="E396" s="4">
        <v>1</v>
      </c>
      <c r="F396" s="4" t="s">
        <v>240</v>
      </c>
      <c r="G396" s="4" t="s">
        <v>241</v>
      </c>
      <c r="H396" s="4" t="s">
        <v>241</v>
      </c>
      <c r="I396" s="4" t="s">
        <v>4811</v>
      </c>
      <c r="J396" s="4" t="s">
        <v>596</v>
      </c>
      <c r="K396" s="4" t="s">
        <v>251</v>
      </c>
      <c r="L396" s="4" t="s">
        <v>4810</v>
      </c>
      <c r="M396" s="5" t="s">
        <v>4840</v>
      </c>
      <c r="N396" s="6">
        <f>707</f>
        <v>707</v>
      </c>
      <c r="O396" s="4" t="s">
        <v>265</v>
      </c>
      <c r="P396" s="6">
        <f>1566005</f>
        <v>1566005</v>
      </c>
      <c r="Q396" s="6">
        <f>0</f>
        <v>0</v>
      </c>
      <c r="S396" s="6">
        <f>0</f>
        <v>0</v>
      </c>
      <c r="T396" s="6">
        <f>1566005</f>
        <v>1566005</v>
      </c>
      <c r="U396" s="5" t="s">
        <v>245</v>
      </c>
      <c r="V396" s="4" t="s">
        <v>270</v>
      </c>
      <c r="W396" s="4" t="s">
        <v>242</v>
      </c>
      <c r="X396" s="4" t="s">
        <v>273</v>
      </c>
      <c r="Y396" s="4" t="s">
        <v>241</v>
      </c>
      <c r="AB396" s="4" t="s">
        <v>241</v>
      </c>
      <c r="AD396" s="5" t="s">
        <v>241</v>
      </c>
      <c r="AG396" s="5" t="s">
        <v>246</v>
      </c>
      <c r="AH396" s="4" t="s">
        <v>241</v>
      </c>
      <c r="AI396" s="4" t="s">
        <v>247</v>
      </c>
      <c r="AJ396" s="4" t="s">
        <v>248</v>
      </c>
      <c r="AZ396" s="4" t="s">
        <v>249</v>
      </c>
      <c r="BA396" s="4" t="s">
        <v>241</v>
      </c>
      <c r="BB396" s="4" t="s">
        <v>250</v>
      </c>
      <c r="BC396" s="4" t="s">
        <v>241</v>
      </c>
      <c r="BD396" s="4" t="s">
        <v>252</v>
      </c>
      <c r="BE396" s="4" t="s">
        <v>241</v>
      </c>
      <c r="BI396" s="4" t="s">
        <v>253</v>
      </c>
      <c r="BJ396" s="5" t="s">
        <v>246</v>
      </c>
      <c r="BK396" s="4" t="s">
        <v>254</v>
      </c>
      <c r="BL396" s="4" t="s">
        <v>255</v>
      </c>
      <c r="BM396" s="4" t="s">
        <v>241</v>
      </c>
      <c r="BN396" s="6">
        <f>0</f>
        <v>0</v>
      </c>
      <c r="BO396" s="6">
        <f>0</f>
        <v>0</v>
      </c>
      <c r="BP396" s="4" t="s">
        <v>256</v>
      </c>
      <c r="BQ396" s="4" t="s">
        <v>257</v>
      </c>
      <c r="CE396" s="4" t="s">
        <v>241</v>
      </c>
      <c r="CF396" s="4" t="s">
        <v>241</v>
      </c>
      <c r="CJ396" s="4" t="s">
        <v>258</v>
      </c>
      <c r="CK396" s="4" t="s">
        <v>259</v>
      </c>
      <c r="CL396" s="4" t="s">
        <v>241</v>
      </c>
      <c r="CO396" s="5" t="s">
        <v>260</v>
      </c>
      <c r="CP396" s="4" t="s">
        <v>241</v>
      </c>
      <c r="CQ396" s="4" t="s">
        <v>261</v>
      </c>
      <c r="CR396" s="4" t="s">
        <v>241</v>
      </c>
      <c r="CS396" s="4" t="s">
        <v>241</v>
      </c>
      <c r="CT396" s="4">
        <v>0</v>
      </c>
      <c r="CU396" s="4" t="s">
        <v>262</v>
      </c>
      <c r="CV396" s="4" t="s">
        <v>263</v>
      </c>
      <c r="CW396" s="4" t="s">
        <v>263</v>
      </c>
      <c r="CX396" s="4" t="s">
        <v>264</v>
      </c>
      <c r="DA396" s="6">
        <f>1566005</f>
        <v>1566005</v>
      </c>
      <c r="DC396" s="4" t="s">
        <v>422</v>
      </c>
      <c r="DD396" s="4" t="s">
        <v>241</v>
      </c>
      <c r="DF396" s="4" t="s">
        <v>387</v>
      </c>
      <c r="DG396" s="6">
        <f>707</f>
        <v>707</v>
      </c>
      <c r="DI396" s="4" t="s">
        <v>414</v>
      </c>
      <c r="DJ396" s="4" t="s">
        <v>241</v>
      </c>
      <c r="DK396" s="4" t="s">
        <v>241</v>
      </c>
      <c r="DL396" s="4" t="s">
        <v>241</v>
      </c>
      <c r="DP396" s="4" t="s">
        <v>241</v>
      </c>
      <c r="DQ396" s="4" t="s">
        <v>241</v>
      </c>
      <c r="DR396" s="4" t="s">
        <v>241</v>
      </c>
      <c r="DS396" s="4" t="s">
        <v>241</v>
      </c>
      <c r="DV396" s="4" t="s">
        <v>4813</v>
      </c>
      <c r="DW396" s="4" t="s">
        <v>1762</v>
      </c>
      <c r="HO396" s="4" t="s">
        <v>267</v>
      </c>
    </row>
    <row r="397" spans="1:223" ht="19.5" customHeight="1" x14ac:dyDescent="0.4">
      <c r="A397" s="4">
        <v>1</v>
      </c>
      <c r="B397" s="4" t="s">
        <v>239</v>
      </c>
      <c r="C397" s="4">
        <v>1132</v>
      </c>
      <c r="D397" s="4">
        <v>1</v>
      </c>
      <c r="E397" s="4">
        <v>1</v>
      </c>
      <c r="F397" s="4" t="s">
        <v>240</v>
      </c>
      <c r="G397" s="4" t="s">
        <v>241</v>
      </c>
      <c r="H397" s="4" t="s">
        <v>241</v>
      </c>
      <c r="I397" s="4" t="s">
        <v>4811</v>
      </c>
      <c r="J397" s="4" t="s">
        <v>596</v>
      </c>
      <c r="K397" s="4" t="s">
        <v>251</v>
      </c>
      <c r="L397" s="4" t="s">
        <v>4810</v>
      </c>
      <c r="M397" s="5" t="s">
        <v>4841</v>
      </c>
      <c r="N397" s="6">
        <f>201</f>
        <v>201</v>
      </c>
      <c r="O397" s="4" t="s">
        <v>265</v>
      </c>
      <c r="P397" s="6">
        <f>445215</f>
        <v>445215</v>
      </c>
      <c r="Q397" s="6">
        <f>0</f>
        <v>0</v>
      </c>
      <c r="S397" s="6">
        <f>0</f>
        <v>0</v>
      </c>
      <c r="T397" s="6">
        <f>445215</f>
        <v>445215</v>
      </c>
      <c r="U397" s="5" t="s">
        <v>245</v>
      </c>
      <c r="V397" s="4" t="s">
        <v>270</v>
      </c>
      <c r="W397" s="4" t="s">
        <v>242</v>
      </c>
      <c r="X397" s="4" t="s">
        <v>273</v>
      </c>
      <c r="Y397" s="4" t="s">
        <v>241</v>
      </c>
      <c r="AB397" s="4" t="s">
        <v>241</v>
      </c>
      <c r="AD397" s="5" t="s">
        <v>241</v>
      </c>
      <c r="AG397" s="5" t="s">
        <v>246</v>
      </c>
      <c r="AH397" s="4" t="s">
        <v>241</v>
      </c>
      <c r="AI397" s="4" t="s">
        <v>247</v>
      </c>
      <c r="AJ397" s="4" t="s">
        <v>248</v>
      </c>
      <c r="AZ397" s="4" t="s">
        <v>249</v>
      </c>
      <c r="BA397" s="4" t="s">
        <v>241</v>
      </c>
      <c r="BB397" s="4" t="s">
        <v>250</v>
      </c>
      <c r="BC397" s="4" t="s">
        <v>241</v>
      </c>
      <c r="BD397" s="4" t="s">
        <v>252</v>
      </c>
      <c r="BE397" s="4" t="s">
        <v>241</v>
      </c>
      <c r="BI397" s="4" t="s">
        <v>253</v>
      </c>
      <c r="BJ397" s="5" t="s">
        <v>246</v>
      </c>
      <c r="BK397" s="4" t="s">
        <v>254</v>
      </c>
      <c r="BL397" s="4" t="s">
        <v>255</v>
      </c>
      <c r="BM397" s="4" t="s">
        <v>241</v>
      </c>
      <c r="BN397" s="6">
        <f>0</f>
        <v>0</v>
      </c>
      <c r="BO397" s="6">
        <f>0</f>
        <v>0</v>
      </c>
      <c r="BP397" s="4" t="s">
        <v>256</v>
      </c>
      <c r="BQ397" s="4" t="s">
        <v>257</v>
      </c>
      <c r="CE397" s="4" t="s">
        <v>241</v>
      </c>
      <c r="CF397" s="4" t="s">
        <v>241</v>
      </c>
      <c r="CJ397" s="4" t="s">
        <v>258</v>
      </c>
      <c r="CK397" s="4" t="s">
        <v>259</v>
      </c>
      <c r="CL397" s="4" t="s">
        <v>241</v>
      </c>
      <c r="CO397" s="5" t="s">
        <v>260</v>
      </c>
      <c r="CP397" s="4" t="s">
        <v>241</v>
      </c>
      <c r="CQ397" s="4" t="s">
        <v>261</v>
      </c>
      <c r="CR397" s="4" t="s">
        <v>241</v>
      </c>
      <c r="CS397" s="4" t="s">
        <v>241</v>
      </c>
      <c r="CT397" s="4">
        <v>0</v>
      </c>
      <c r="CU397" s="4" t="s">
        <v>262</v>
      </c>
      <c r="CV397" s="4" t="s">
        <v>263</v>
      </c>
      <c r="CW397" s="4" t="s">
        <v>263</v>
      </c>
      <c r="CX397" s="4" t="s">
        <v>264</v>
      </c>
      <c r="DA397" s="6">
        <f>445215</f>
        <v>445215</v>
      </c>
      <c r="DC397" s="4" t="s">
        <v>422</v>
      </c>
      <c r="DD397" s="4" t="s">
        <v>241</v>
      </c>
      <c r="DF397" s="4" t="s">
        <v>387</v>
      </c>
      <c r="DG397" s="6">
        <f>201</f>
        <v>201</v>
      </c>
      <c r="DI397" s="4" t="s">
        <v>414</v>
      </c>
      <c r="DJ397" s="4" t="s">
        <v>241</v>
      </c>
      <c r="DK397" s="4" t="s">
        <v>241</v>
      </c>
      <c r="DL397" s="4" t="s">
        <v>241</v>
      </c>
      <c r="DP397" s="4" t="s">
        <v>241</v>
      </c>
      <c r="DQ397" s="4" t="s">
        <v>241</v>
      </c>
      <c r="DR397" s="4" t="s">
        <v>241</v>
      </c>
      <c r="DS397" s="4" t="s">
        <v>241</v>
      </c>
      <c r="DV397" s="4" t="s">
        <v>4813</v>
      </c>
      <c r="DW397" s="4" t="s">
        <v>1759</v>
      </c>
      <c r="HO397" s="4" t="s">
        <v>267</v>
      </c>
    </row>
    <row r="398" spans="1:223" ht="19.5" customHeight="1" x14ac:dyDescent="0.4">
      <c r="A398" s="4">
        <v>1</v>
      </c>
      <c r="B398" s="4" t="s">
        <v>239</v>
      </c>
      <c r="C398" s="4">
        <v>1133</v>
      </c>
      <c r="D398" s="4">
        <v>1</v>
      </c>
      <c r="E398" s="4">
        <v>1</v>
      </c>
      <c r="F398" s="4" t="s">
        <v>240</v>
      </c>
      <c r="G398" s="4" t="s">
        <v>241</v>
      </c>
      <c r="H398" s="4" t="s">
        <v>241</v>
      </c>
      <c r="I398" s="4" t="s">
        <v>4811</v>
      </c>
      <c r="J398" s="4" t="s">
        <v>596</v>
      </c>
      <c r="K398" s="4" t="s">
        <v>251</v>
      </c>
      <c r="L398" s="4" t="s">
        <v>4810</v>
      </c>
      <c r="M398" s="5" t="s">
        <v>4842</v>
      </c>
      <c r="N398" s="6">
        <f>499</f>
        <v>499</v>
      </c>
      <c r="O398" s="4" t="s">
        <v>265</v>
      </c>
      <c r="P398" s="6">
        <f>1105285</f>
        <v>1105285</v>
      </c>
      <c r="Q398" s="6">
        <f>0</f>
        <v>0</v>
      </c>
      <c r="S398" s="6">
        <f>0</f>
        <v>0</v>
      </c>
      <c r="T398" s="6">
        <f>1105285</f>
        <v>1105285</v>
      </c>
      <c r="U398" s="5" t="s">
        <v>245</v>
      </c>
      <c r="V398" s="4" t="s">
        <v>270</v>
      </c>
      <c r="W398" s="4" t="s">
        <v>242</v>
      </c>
      <c r="X398" s="4" t="s">
        <v>273</v>
      </c>
      <c r="Y398" s="4" t="s">
        <v>241</v>
      </c>
      <c r="AB398" s="4" t="s">
        <v>241</v>
      </c>
      <c r="AD398" s="5" t="s">
        <v>241</v>
      </c>
      <c r="AG398" s="5" t="s">
        <v>246</v>
      </c>
      <c r="AH398" s="4" t="s">
        <v>241</v>
      </c>
      <c r="AI398" s="4" t="s">
        <v>247</v>
      </c>
      <c r="AJ398" s="4" t="s">
        <v>248</v>
      </c>
      <c r="AZ398" s="4" t="s">
        <v>249</v>
      </c>
      <c r="BA398" s="4" t="s">
        <v>241</v>
      </c>
      <c r="BB398" s="4" t="s">
        <v>250</v>
      </c>
      <c r="BC398" s="4" t="s">
        <v>241</v>
      </c>
      <c r="BD398" s="4" t="s">
        <v>252</v>
      </c>
      <c r="BE398" s="4" t="s">
        <v>241</v>
      </c>
      <c r="BI398" s="4" t="s">
        <v>253</v>
      </c>
      <c r="BJ398" s="5" t="s">
        <v>246</v>
      </c>
      <c r="BK398" s="4" t="s">
        <v>254</v>
      </c>
      <c r="BL398" s="4" t="s">
        <v>255</v>
      </c>
      <c r="BM398" s="4" t="s">
        <v>241</v>
      </c>
      <c r="BN398" s="6">
        <f>0</f>
        <v>0</v>
      </c>
      <c r="BO398" s="6">
        <f>0</f>
        <v>0</v>
      </c>
      <c r="BP398" s="4" t="s">
        <v>256</v>
      </c>
      <c r="BQ398" s="4" t="s">
        <v>257</v>
      </c>
      <c r="CE398" s="4" t="s">
        <v>241</v>
      </c>
      <c r="CF398" s="4" t="s">
        <v>241</v>
      </c>
      <c r="CJ398" s="4" t="s">
        <v>258</v>
      </c>
      <c r="CK398" s="4" t="s">
        <v>259</v>
      </c>
      <c r="CL398" s="4" t="s">
        <v>241</v>
      </c>
      <c r="CO398" s="5" t="s">
        <v>260</v>
      </c>
      <c r="CP398" s="4" t="s">
        <v>241</v>
      </c>
      <c r="CQ398" s="4" t="s">
        <v>261</v>
      </c>
      <c r="CR398" s="4" t="s">
        <v>241</v>
      </c>
      <c r="CS398" s="4" t="s">
        <v>241</v>
      </c>
      <c r="CT398" s="4">
        <v>0</v>
      </c>
      <c r="CU398" s="4" t="s">
        <v>262</v>
      </c>
      <c r="CV398" s="4" t="s">
        <v>263</v>
      </c>
      <c r="CW398" s="4" t="s">
        <v>263</v>
      </c>
      <c r="CX398" s="4" t="s">
        <v>264</v>
      </c>
      <c r="DA398" s="6">
        <f>1105285</f>
        <v>1105285</v>
      </c>
      <c r="DC398" s="4" t="s">
        <v>422</v>
      </c>
      <c r="DD398" s="4" t="s">
        <v>241</v>
      </c>
      <c r="DF398" s="4" t="s">
        <v>387</v>
      </c>
      <c r="DG398" s="6">
        <f>499</f>
        <v>499</v>
      </c>
      <c r="DI398" s="4" t="s">
        <v>414</v>
      </c>
      <c r="DJ398" s="4" t="s">
        <v>241</v>
      </c>
      <c r="DK398" s="4" t="s">
        <v>241</v>
      </c>
      <c r="DL398" s="4" t="s">
        <v>241</v>
      </c>
      <c r="DP398" s="4" t="s">
        <v>241</v>
      </c>
      <c r="DQ398" s="4" t="s">
        <v>241</v>
      </c>
      <c r="DR398" s="4" t="s">
        <v>241</v>
      </c>
      <c r="DS398" s="4" t="s">
        <v>241</v>
      </c>
      <c r="DV398" s="4" t="s">
        <v>4813</v>
      </c>
      <c r="DW398" s="4" t="s">
        <v>1755</v>
      </c>
      <c r="HO398" s="4" t="s">
        <v>267</v>
      </c>
    </row>
    <row r="399" spans="1:223" ht="19.5" customHeight="1" x14ac:dyDescent="0.4">
      <c r="A399" s="4">
        <v>1</v>
      </c>
      <c r="B399" s="4" t="s">
        <v>239</v>
      </c>
      <c r="C399" s="4">
        <v>1134</v>
      </c>
      <c r="D399" s="4">
        <v>1</v>
      </c>
      <c r="E399" s="4">
        <v>1</v>
      </c>
      <c r="F399" s="4" t="s">
        <v>240</v>
      </c>
      <c r="G399" s="4" t="s">
        <v>241</v>
      </c>
      <c r="H399" s="4" t="s">
        <v>241</v>
      </c>
      <c r="I399" s="4" t="s">
        <v>4811</v>
      </c>
      <c r="J399" s="4" t="s">
        <v>596</v>
      </c>
      <c r="K399" s="4" t="s">
        <v>251</v>
      </c>
      <c r="L399" s="4" t="s">
        <v>4810</v>
      </c>
      <c r="M399" s="5" t="s">
        <v>4843</v>
      </c>
      <c r="N399" s="6">
        <f>310</f>
        <v>310</v>
      </c>
      <c r="O399" s="4" t="s">
        <v>265</v>
      </c>
      <c r="P399" s="6">
        <f>686650</f>
        <v>686650</v>
      </c>
      <c r="Q399" s="6">
        <f>0</f>
        <v>0</v>
      </c>
      <c r="S399" s="6">
        <f>0</f>
        <v>0</v>
      </c>
      <c r="T399" s="6">
        <f>686650</f>
        <v>686650</v>
      </c>
      <c r="U399" s="5" t="s">
        <v>245</v>
      </c>
      <c r="V399" s="4" t="s">
        <v>270</v>
      </c>
      <c r="W399" s="4" t="s">
        <v>242</v>
      </c>
      <c r="X399" s="4" t="s">
        <v>273</v>
      </c>
      <c r="Y399" s="4" t="s">
        <v>241</v>
      </c>
      <c r="AB399" s="4" t="s">
        <v>241</v>
      </c>
      <c r="AD399" s="5" t="s">
        <v>241</v>
      </c>
      <c r="AG399" s="5" t="s">
        <v>246</v>
      </c>
      <c r="AH399" s="4" t="s">
        <v>241</v>
      </c>
      <c r="AI399" s="4" t="s">
        <v>247</v>
      </c>
      <c r="AJ399" s="4" t="s">
        <v>248</v>
      </c>
      <c r="AZ399" s="4" t="s">
        <v>249</v>
      </c>
      <c r="BA399" s="4" t="s">
        <v>241</v>
      </c>
      <c r="BB399" s="4" t="s">
        <v>250</v>
      </c>
      <c r="BC399" s="4" t="s">
        <v>241</v>
      </c>
      <c r="BD399" s="4" t="s">
        <v>252</v>
      </c>
      <c r="BE399" s="4" t="s">
        <v>241</v>
      </c>
      <c r="BI399" s="4" t="s">
        <v>253</v>
      </c>
      <c r="BJ399" s="5" t="s">
        <v>246</v>
      </c>
      <c r="BK399" s="4" t="s">
        <v>254</v>
      </c>
      <c r="BL399" s="4" t="s">
        <v>255</v>
      </c>
      <c r="BM399" s="4" t="s">
        <v>241</v>
      </c>
      <c r="BN399" s="6">
        <f>0</f>
        <v>0</v>
      </c>
      <c r="BO399" s="6">
        <f>0</f>
        <v>0</v>
      </c>
      <c r="BP399" s="4" t="s">
        <v>256</v>
      </c>
      <c r="BQ399" s="4" t="s">
        <v>257</v>
      </c>
      <c r="CE399" s="4" t="s">
        <v>241</v>
      </c>
      <c r="CF399" s="4" t="s">
        <v>241</v>
      </c>
      <c r="CJ399" s="4" t="s">
        <v>258</v>
      </c>
      <c r="CK399" s="4" t="s">
        <v>259</v>
      </c>
      <c r="CL399" s="4" t="s">
        <v>241</v>
      </c>
      <c r="CO399" s="5" t="s">
        <v>260</v>
      </c>
      <c r="CP399" s="4" t="s">
        <v>241</v>
      </c>
      <c r="CQ399" s="4" t="s">
        <v>261</v>
      </c>
      <c r="CR399" s="4" t="s">
        <v>241</v>
      </c>
      <c r="CS399" s="4" t="s">
        <v>241</v>
      </c>
      <c r="CT399" s="4">
        <v>0</v>
      </c>
      <c r="CU399" s="4" t="s">
        <v>262</v>
      </c>
      <c r="CV399" s="4" t="s">
        <v>263</v>
      </c>
      <c r="CW399" s="4" t="s">
        <v>263</v>
      </c>
      <c r="CX399" s="4" t="s">
        <v>264</v>
      </c>
      <c r="DA399" s="6">
        <f>686650</f>
        <v>686650</v>
      </c>
      <c r="DC399" s="4" t="s">
        <v>422</v>
      </c>
      <c r="DD399" s="4" t="s">
        <v>241</v>
      </c>
      <c r="DF399" s="4" t="s">
        <v>387</v>
      </c>
      <c r="DG399" s="6">
        <f>310</f>
        <v>310</v>
      </c>
      <c r="DI399" s="4" t="s">
        <v>414</v>
      </c>
      <c r="DJ399" s="4" t="s">
        <v>241</v>
      </c>
      <c r="DK399" s="4" t="s">
        <v>241</v>
      </c>
      <c r="DL399" s="4" t="s">
        <v>241</v>
      </c>
      <c r="DP399" s="4" t="s">
        <v>241</v>
      </c>
      <c r="DQ399" s="4" t="s">
        <v>241</v>
      </c>
      <c r="DR399" s="4" t="s">
        <v>241</v>
      </c>
      <c r="DS399" s="4" t="s">
        <v>241</v>
      </c>
      <c r="DV399" s="4" t="s">
        <v>4813</v>
      </c>
      <c r="DW399" s="4" t="s">
        <v>1752</v>
      </c>
      <c r="HO399" s="4" t="s">
        <v>267</v>
      </c>
    </row>
    <row r="400" spans="1:223" ht="19.5" customHeight="1" x14ac:dyDescent="0.4">
      <c r="A400" s="4">
        <v>1</v>
      </c>
      <c r="B400" s="4" t="s">
        <v>239</v>
      </c>
      <c r="C400" s="4">
        <v>1135</v>
      </c>
      <c r="D400" s="4">
        <v>1</v>
      </c>
      <c r="E400" s="4">
        <v>1</v>
      </c>
      <c r="F400" s="4" t="s">
        <v>240</v>
      </c>
      <c r="G400" s="4" t="s">
        <v>241</v>
      </c>
      <c r="H400" s="4" t="s">
        <v>241</v>
      </c>
      <c r="I400" s="4" t="s">
        <v>4811</v>
      </c>
      <c r="J400" s="4" t="s">
        <v>596</v>
      </c>
      <c r="K400" s="4" t="s">
        <v>251</v>
      </c>
      <c r="L400" s="4" t="s">
        <v>4810</v>
      </c>
      <c r="M400" s="5" t="s">
        <v>4844</v>
      </c>
      <c r="N400" s="6">
        <f>70</f>
        <v>70</v>
      </c>
      <c r="O400" s="4" t="s">
        <v>265</v>
      </c>
      <c r="P400" s="6">
        <f>155050</f>
        <v>155050</v>
      </c>
      <c r="Q400" s="6">
        <f>0</f>
        <v>0</v>
      </c>
      <c r="S400" s="6">
        <f>0</f>
        <v>0</v>
      </c>
      <c r="T400" s="6">
        <f>155050</f>
        <v>155050</v>
      </c>
      <c r="U400" s="5" t="s">
        <v>245</v>
      </c>
      <c r="V400" s="4" t="s">
        <v>270</v>
      </c>
      <c r="W400" s="4" t="s">
        <v>242</v>
      </c>
      <c r="X400" s="4" t="s">
        <v>273</v>
      </c>
      <c r="Y400" s="4" t="s">
        <v>241</v>
      </c>
      <c r="AB400" s="4" t="s">
        <v>241</v>
      </c>
      <c r="AD400" s="5" t="s">
        <v>241</v>
      </c>
      <c r="AG400" s="5" t="s">
        <v>246</v>
      </c>
      <c r="AH400" s="4" t="s">
        <v>241</v>
      </c>
      <c r="AI400" s="4" t="s">
        <v>247</v>
      </c>
      <c r="AJ400" s="4" t="s">
        <v>248</v>
      </c>
      <c r="AZ400" s="4" t="s">
        <v>249</v>
      </c>
      <c r="BA400" s="4" t="s">
        <v>241</v>
      </c>
      <c r="BB400" s="4" t="s">
        <v>250</v>
      </c>
      <c r="BC400" s="4" t="s">
        <v>241</v>
      </c>
      <c r="BD400" s="4" t="s">
        <v>252</v>
      </c>
      <c r="BE400" s="4" t="s">
        <v>241</v>
      </c>
      <c r="BI400" s="4" t="s">
        <v>253</v>
      </c>
      <c r="BJ400" s="5" t="s">
        <v>246</v>
      </c>
      <c r="BK400" s="4" t="s">
        <v>254</v>
      </c>
      <c r="BL400" s="4" t="s">
        <v>255</v>
      </c>
      <c r="BM400" s="4" t="s">
        <v>241</v>
      </c>
      <c r="BN400" s="6">
        <f>0</f>
        <v>0</v>
      </c>
      <c r="BO400" s="6">
        <f>0</f>
        <v>0</v>
      </c>
      <c r="BP400" s="4" t="s">
        <v>256</v>
      </c>
      <c r="BQ400" s="4" t="s">
        <v>257</v>
      </c>
      <c r="CE400" s="4" t="s">
        <v>241</v>
      </c>
      <c r="CF400" s="4" t="s">
        <v>241</v>
      </c>
      <c r="CJ400" s="4" t="s">
        <v>258</v>
      </c>
      <c r="CK400" s="4" t="s">
        <v>259</v>
      </c>
      <c r="CL400" s="4" t="s">
        <v>241</v>
      </c>
      <c r="CO400" s="5" t="s">
        <v>260</v>
      </c>
      <c r="CP400" s="4" t="s">
        <v>241</v>
      </c>
      <c r="CQ400" s="4" t="s">
        <v>261</v>
      </c>
      <c r="CR400" s="4" t="s">
        <v>241</v>
      </c>
      <c r="CS400" s="4" t="s">
        <v>241</v>
      </c>
      <c r="CT400" s="4">
        <v>0</v>
      </c>
      <c r="CU400" s="4" t="s">
        <v>262</v>
      </c>
      <c r="CV400" s="4" t="s">
        <v>263</v>
      </c>
      <c r="CW400" s="4" t="s">
        <v>263</v>
      </c>
      <c r="CX400" s="4" t="s">
        <v>264</v>
      </c>
      <c r="DA400" s="6">
        <f>155050</f>
        <v>155050</v>
      </c>
      <c r="DC400" s="4" t="s">
        <v>422</v>
      </c>
      <c r="DD400" s="4" t="s">
        <v>241</v>
      </c>
      <c r="DF400" s="4" t="s">
        <v>348</v>
      </c>
      <c r="DG400" s="6">
        <f>70</f>
        <v>70</v>
      </c>
      <c r="DI400" s="4" t="s">
        <v>414</v>
      </c>
      <c r="DJ400" s="4" t="s">
        <v>241</v>
      </c>
      <c r="DK400" s="4" t="s">
        <v>241</v>
      </c>
      <c r="DL400" s="4" t="s">
        <v>241</v>
      </c>
      <c r="DP400" s="4" t="s">
        <v>241</v>
      </c>
      <c r="DQ400" s="4" t="s">
        <v>241</v>
      </c>
      <c r="DR400" s="4" t="s">
        <v>241</v>
      </c>
      <c r="DS400" s="4" t="s">
        <v>241</v>
      </c>
      <c r="DV400" s="4" t="s">
        <v>4813</v>
      </c>
      <c r="DW400" s="4" t="s">
        <v>1748</v>
      </c>
      <c r="HO400" s="4" t="s">
        <v>267</v>
      </c>
    </row>
    <row r="401" spans="1:223" ht="19.5" customHeight="1" x14ac:dyDescent="0.4">
      <c r="A401" s="4">
        <v>1</v>
      </c>
      <c r="B401" s="4" t="s">
        <v>239</v>
      </c>
      <c r="C401" s="4">
        <v>1136</v>
      </c>
      <c r="D401" s="4">
        <v>1</v>
      </c>
      <c r="E401" s="4">
        <v>1</v>
      </c>
      <c r="F401" s="4" t="s">
        <v>240</v>
      </c>
      <c r="G401" s="4" t="s">
        <v>241</v>
      </c>
      <c r="H401" s="4" t="s">
        <v>241</v>
      </c>
      <c r="I401" s="4" t="s">
        <v>4811</v>
      </c>
      <c r="J401" s="4" t="s">
        <v>596</v>
      </c>
      <c r="K401" s="4" t="s">
        <v>251</v>
      </c>
      <c r="L401" s="4" t="s">
        <v>4810</v>
      </c>
      <c r="M401" s="5" t="s">
        <v>4845</v>
      </c>
      <c r="N401" s="6">
        <f>89</f>
        <v>89</v>
      </c>
      <c r="O401" s="4" t="s">
        <v>265</v>
      </c>
      <c r="P401" s="6">
        <f>197135</f>
        <v>197135</v>
      </c>
      <c r="Q401" s="6">
        <f>0</f>
        <v>0</v>
      </c>
      <c r="S401" s="6">
        <f>0</f>
        <v>0</v>
      </c>
      <c r="T401" s="6">
        <f>197135</f>
        <v>197135</v>
      </c>
      <c r="U401" s="5" t="s">
        <v>245</v>
      </c>
      <c r="V401" s="4" t="s">
        <v>270</v>
      </c>
      <c r="W401" s="4" t="s">
        <v>242</v>
      </c>
      <c r="X401" s="4" t="s">
        <v>273</v>
      </c>
      <c r="Y401" s="4" t="s">
        <v>241</v>
      </c>
      <c r="AB401" s="4" t="s">
        <v>241</v>
      </c>
      <c r="AD401" s="5" t="s">
        <v>241</v>
      </c>
      <c r="AG401" s="5" t="s">
        <v>246</v>
      </c>
      <c r="AH401" s="4" t="s">
        <v>241</v>
      </c>
      <c r="AI401" s="4" t="s">
        <v>247</v>
      </c>
      <c r="AJ401" s="4" t="s">
        <v>248</v>
      </c>
      <c r="AZ401" s="4" t="s">
        <v>249</v>
      </c>
      <c r="BA401" s="4" t="s">
        <v>241</v>
      </c>
      <c r="BB401" s="4" t="s">
        <v>250</v>
      </c>
      <c r="BC401" s="4" t="s">
        <v>241</v>
      </c>
      <c r="BD401" s="4" t="s">
        <v>252</v>
      </c>
      <c r="BE401" s="4" t="s">
        <v>241</v>
      </c>
      <c r="BI401" s="4" t="s">
        <v>253</v>
      </c>
      <c r="BJ401" s="5" t="s">
        <v>246</v>
      </c>
      <c r="BK401" s="4" t="s">
        <v>254</v>
      </c>
      <c r="BL401" s="4" t="s">
        <v>255</v>
      </c>
      <c r="BM401" s="4" t="s">
        <v>241</v>
      </c>
      <c r="BN401" s="6">
        <f>0</f>
        <v>0</v>
      </c>
      <c r="BO401" s="6">
        <f>0</f>
        <v>0</v>
      </c>
      <c r="BP401" s="4" t="s">
        <v>256</v>
      </c>
      <c r="BQ401" s="4" t="s">
        <v>257</v>
      </c>
      <c r="CE401" s="4" t="s">
        <v>241</v>
      </c>
      <c r="CF401" s="4" t="s">
        <v>241</v>
      </c>
      <c r="CJ401" s="4" t="s">
        <v>258</v>
      </c>
      <c r="CK401" s="4" t="s">
        <v>259</v>
      </c>
      <c r="CL401" s="4" t="s">
        <v>241</v>
      </c>
      <c r="CO401" s="5" t="s">
        <v>260</v>
      </c>
      <c r="CP401" s="4" t="s">
        <v>241</v>
      </c>
      <c r="CQ401" s="4" t="s">
        <v>261</v>
      </c>
      <c r="CR401" s="4" t="s">
        <v>241</v>
      </c>
      <c r="CS401" s="4" t="s">
        <v>241</v>
      </c>
      <c r="CT401" s="4">
        <v>0</v>
      </c>
      <c r="CU401" s="4" t="s">
        <v>262</v>
      </c>
      <c r="CV401" s="4" t="s">
        <v>263</v>
      </c>
      <c r="CW401" s="4" t="s">
        <v>263</v>
      </c>
      <c r="CX401" s="4" t="s">
        <v>264</v>
      </c>
      <c r="DA401" s="6">
        <f>197135</f>
        <v>197135</v>
      </c>
      <c r="DC401" s="4" t="s">
        <v>422</v>
      </c>
      <c r="DD401" s="4" t="s">
        <v>241</v>
      </c>
      <c r="DF401" s="4" t="s">
        <v>348</v>
      </c>
      <c r="DG401" s="6">
        <f>89</f>
        <v>89</v>
      </c>
      <c r="DI401" s="4" t="s">
        <v>414</v>
      </c>
      <c r="DJ401" s="4" t="s">
        <v>241</v>
      </c>
      <c r="DK401" s="4" t="s">
        <v>241</v>
      </c>
      <c r="DL401" s="4" t="s">
        <v>241</v>
      </c>
      <c r="DP401" s="4" t="s">
        <v>241</v>
      </c>
      <c r="DQ401" s="4" t="s">
        <v>241</v>
      </c>
      <c r="DR401" s="4" t="s">
        <v>241</v>
      </c>
      <c r="DS401" s="4" t="s">
        <v>241</v>
      </c>
      <c r="DV401" s="4" t="s">
        <v>4813</v>
      </c>
      <c r="DW401" s="4" t="s">
        <v>1746</v>
      </c>
      <c r="HO401" s="4" t="s">
        <v>267</v>
      </c>
    </row>
    <row r="402" spans="1:223" ht="19.5" customHeight="1" x14ac:dyDescent="0.4">
      <c r="A402" s="4">
        <v>1</v>
      </c>
      <c r="B402" s="4" t="s">
        <v>239</v>
      </c>
      <c r="C402" s="4">
        <v>1137</v>
      </c>
      <c r="D402" s="4">
        <v>1</v>
      </c>
      <c r="E402" s="4">
        <v>1</v>
      </c>
      <c r="F402" s="4" t="s">
        <v>240</v>
      </c>
      <c r="G402" s="4" t="s">
        <v>241</v>
      </c>
      <c r="H402" s="4" t="s">
        <v>241</v>
      </c>
      <c r="I402" s="4" t="s">
        <v>4811</v>
      </c>
      <c r="J402" s="4" t="s">
        <v>596</v>
      </c>
      <c r="K402" s="4" t="s">
        <v>251</v>
      </c>
      <c r="L402" s="4" t="s">
        <v>4810</v>
      </c>
      <c r="M402" s="5" t="s">
        <v>4846</v>
      </c>
      <c r="N402" s="6">
        <f>91</f>
        <v>91</v>
      </c>
      <c r="O402" s="4" t="s">
        <v>265</v>
      </c>
      <c r="P402" s="6">
        <f>201565</f>
        <v>201565</v>
      </c>
      <c r="Q402" s="6">
        <f>0</f>
        <v>0</v>
      </c>
      <c r="S402" s="6">
        <f>0</f>
        <v>0</v>
      </c>
      <c r="T402" s="6">
        <f>201565</f>
        <v>201565</v>
      </c>
      <c r="U402" s="5" t="s">
        <v>245</v>
      </c>
      <c r="V402" s="4" t="s">
        <v>270</v>
      </c>
      <c r="W402" s="4" t="s">
        <v>242</v>
      </c>
      <c r="X402" s="4" t="s">
        <v>273</v>
      </c>
      <c r="Y402" s="4" t="s">
        <v>241</v>
      </c>
      <c r="AB402" s="4" t="s">
        <v>241</v>
      </c>
      <c r="AD402" s="5" t="s">
        <v>241</v>
      </c>
      <c r="AG402" s="5" t="s">
        <v>246</v>
      </c>
      <c r="AH402" s="4" t="s">
        <v>241</v>
      </c>
      <c r="AI402" s="4" t="s">
        <v>247</v>
      </c>
      <c r="AJ402" s="4" t="s">
        <v>248</v>
      </c>
      <c r="AZ402" s="4" t="s">
        <v>249</v>
      </c>
      <c r="BA402" s="4" t="s">
        <v>241</v>
      </c>
      <c r="BB402" s="4" t="s">
        <v>250</v>
      </c>
      <c r="BC402" s="4" t="s">
        <v>241</v>
      </c>
      <c r="BD402" s="4" t="s">
        <v>252</v>
      </c>
      <c r="BE402" s="4" t="s">
        <v>241</v>
      </c>
      <c r="BI402" s="4" t="s">
        <v>253</v>
      </c>
      <c r="BJ402" s="5" t="s">
        <v>246</v>
      </c>
      <c r="BK402" s="4" t="s">
        <v>254</v>
      </c>
      <c r="BL402" s="4" t="s">
        <v>255</v>
      </c>
      <c r="BM402" s="4" t="s">
        <v>241</v>
      </c>
      <c r="BN402" s="6">
        <f>0</f>
        <v>0</v>
      </c>
      <c r="BO402" s="6">
        <f>0</f>
        <v>0</v>
      </c>
      <c r="BP402" s="4" t="s">
        <v>256</v>
      </c>
      <c r="BQ402" s="4" t="s">
        <v>257</v>
      </c>
      <c r="CE402" s="4" t="s">
        <v>241</v>
      </c>
      <c r="CF402" s="4" t="s">
        <v>241</v>
      </c>
      <c r="CJ402" s="4" t="s">
        <v>258</v>
      </c>
      <c r="CK402" s="4" t="s">
        <v>259</v>
      </c>
      <c r="CL402" s="4" t="s">
        <v>241</v>
      </c>
      <c r="CO402" s="5" t="s">
        <v>260</v>
      </c>
      <c r="CP402" s="4" t="s">
        <v>241</v>
      </c>
      <c r="CQ402" s="4" t="s">
        <v>261</v>
      </c>
      <c r="CR402" s="4" t="s">
        <v>241</v>
      </c>
      <c r="CS402" s="4" t="s">
        <v>241</v>
      </c>
      <c r="CT402" s="4">
        <v>0</v>
      </c>
      <c r="CU402" s="4" t="s">
        <v>262</v>
      </c>
      <c r="CV402" s="4" t="s">
        <v>263</v>
      </c>
      <c r="CW402" s="4" t="s">
        <v>263</v>
      </c>
      <c r="CX402" s="4" t="s">
        <v>264</v>
      </c>
      <c r="DA402" s="6">
        <f>201565</f>
        <v>201565</v>
      </c>
      <c r="DC402" s="4" t="s">
        <v>422</v>
      </c>
      <c r="DD402" s="4" t="s">
        <v>241</v>
      </c>
      <c r="DF402" s="4" t="s">
        <v>348</v>
      </c>
      <c r="DG402" s="6">
        <f>91</f>
        <v>91</v>
      </c>
      <c r="DI402" s="4" t="s">
        <v>414</v>
      </c>
      <c r="DJ402" s="4" t="s">
        <v>241</v>
      </c>
      <c r="DK402" s="4" t="s">
        <v>241</v>
      </c>
      <c r="DL402" s="4" t="s">
        <v>241</v>
      </c>
      <c r="DP402" s="4" t="s">
        <v>241</v>
      </c>
      <c r="DQ402" s="4" t="s">
        <v>241</v>
      </c>
      <c r="DR402" s="4" t="s">
        <v>241</v>
      </c>
      <c r="DS402" s="4" t="s">
        <v>241</v>
      </c>
      <c r="DV402" s="4" t="s">
        <v>4813</v>
      </c>
      <c r="DW402" s="4" t="s">
        <v>1744</v>
      </c>
      <c r="HO402" s="4" t="s">
        <v>267</v>
      </c>
    </row>
    <row r="403" spans="1:223" ht="19.5" customHeight="1" x14ac:dyDescent="0.4">
      <c r="A403" s="4">
        <v>1</v>
      </c>
      <c r="B403" s="4" t="s">
        <v>239</v>
      </c>
      <c r="C403" s="4">
        <v>1138</v>
      </c>
      <c r="D403" s="4">
        <v>1</v>
      </c>
      <c r="E403" s="4">
        <v>1</v>
      </c>
      <c r="F403" s="4" t="s">
        <v>240</v>
      </c>
      <c r="G403" s="4" t="s">
        <v>241</v>
      </c>
      <c r="H403" s="4" t="s">
        <v>241</v>
      </c>
      <c r="I403" s="4" t="s">
        <v>4811</v>
      </c>
      <c r="J403" s="4" t="s">
        <v>596</v>
      </c>
      <c r="K403" s="4" t="s">
        <v>251</v>
      </c>
      <c r="L403" s="4" t="s">
        <v>4810</v>
      </c>
      <c r="M403" s="5" t="s">
        <v>5475</v>
      </c>
      <c r="N403" s="6">
        <f>207</f>
        <v>207</v>
      </c>
      <c r="O403" s="4" t="s">
        <v>265</v>
      </c>
      <c r="P403" s="6">
        <f>458505</f>
        <v>458505</v>
      </c>
      <c r="Q403" s="6">
        <f>0</f>
        <v>0</v>
      </c>
      <c r="S403" s="6">
        <f>0</f>
        <v>0</v>
      </c>
      <c r="T403" s="6">
        <f>458505</f>
        <v>458505</v>
      </c>
      <c r="U403" s="5" t="s">
        <v>245</v>
      </c>
      <c r="V403" s="4" t="s">
        <v>270</v>
      </c>
      <c r="W403" s="4" t="s">
        <v>242</v>
      </c>
      <c r="X403" s="4" t="s">
        <v>273</v>
      </c>
      <c r="Y403" s="4" t="s">
        <v>241</v>
      </c>
      <c r="AB403" s="4" t="s">
        <v>241</v>
      </c>
      <c r="AD403" s="5" t="s">
        <v>241</v>
      </c>
      <c r="AG403" s="5" t="s">
        <v>246</v>
      </c>
      <c r="AH403" s="4" t="s">
        <v>241</v>
      </c>
      <c r="AI403" s="4" t="s">
        <v>247</v>
      </c>
      <c r="AJ403" s="4" t="s">
        <v>248</v>
      </c>
      <c r="AZ403" s="4" t="s">
        <v>249</v>
      </c>
      <c r="BA403" s="4" t="s">
        <v>241</v>
      </c>
      <c r="BB403" s="4" t="s">
        <v>250</v>
      </c>
      <c r="BC403" s="4" t="s">
        <v>241</v>
      </c>
      <c r="BD403" s="4" t="s">
        <v>252</v>
      </c>
      <c r="BE403" s="4" t="s">
        <v>241</v>
      </c>
      <c r="BI403" s="4" t="s">
        <v>253</v>
      </c>
      <c r="BJ403" s="5" t="s">
        <v>246</v>
      </c>
      <c r="BK403" s="4" t="s">
        <v>254</v>
      </c>
      <c r="BL403" s="4" t="s">
        <v>255</v>
      </c>
      <c r="BM403" s="4" t="s">
        <v>241</v>
      </c>
      <c r="BN403" s="6">
        <f>0</f>
        <v>0</v>
      </c>
      <c r="BO403" s="6">
        <f>0</f>
        <v>0</v>
      </c>
      <c r="BP403" s="4" t="s">
        <v>256</v>
      </c>
      <c r="BQ403" s="4" t="s">
        <v>257</v>
      </c>
      <c r="CE403" s="4" t="s">
        <v>241</v>
      </c>
      <c r="CF403" s="4" t="s">
        <v>241</v>
      </c>
      <c r="CJ403" s="4" t="s">
        <v>258</v>
      </c>
      <c r="CK403" s="4" t="s">
        <v>259</v>
      </c>
      <c r="CL403" s="4" t="s">
        <v>241</v>
      </c>
      <c r="CO403" s="5" t="s">
        <v>260</v>
      </c>
      <c r="CP403" s="4" t="s">
        <v>241</v>
      </c>
      <c r="CQ403" s="4" t="s">
        <v>261</v>
      </c>
      <c r="CR403" s="4" t="s">
        <v>241</v>
      </c>
      <c r="CS403" s="4" t="s">
        <v>241</v>
      </c>
      <c r="CT403" s="4">
        <v>0</v>
      </c>
      <c r="CU403" s="4" t="s">
        <v>262</v>
      </c>
      <c r="CV403" s="4" t="s">
        <v>263</v>
      </c>
      <c r="CW403" s="4" t="s">
        <v>263</v>
      </c>
      <c r="CX403" s="4" t="s">
        <v>264</v>
      </c>
      <c r="DA403" s="6">
        <f>458505</f>
        <v>458505</v>
      </c>
      <c r="DC403" s="4" t="s">
        <v>422</v>
      </c>
      <c r="DD403" s="4" t="s">
        <v>241</v>
      </c>
      <c r="DF403" s="4" t="s">
        <v>348</v>
      </c>
      <c r="DG403" s="6">
        <f>207</f>
        <v>207</v>
      </c>
      <c r="DI403" s="4" t="s">
        <v>414</v>
      </c>
      <c r="DJ403" s="4" t="s">
        <v>241</v>
      </c>
      <c r="DK403" s="4" t="s">
        <v>241</v>
      </c>
      <c r="DL403" s="4" t="s">
        <v>241</v>
      </c>
      <c r="DP403" s="4" t="s">
        <v>241</v>
      </c>
      <c r="DQ403" s="4" t="s">
        <v>241</v>
      </c>
      <c r="DR403" s="4" t="s">
        <v>241</v>
      </c>
      <c r="DS403" s="4" t="s">
        <v>241</v>
      </c>
      <c r="DV403" s="4" t="s">
        <v>4813</v>
      </c>
      <c r="DW403" s="4" t="s">
        <v>1742</v>
      </c>
      <c r="HO403" s="4" t="s">
        <v>267</v>
      </c>
    </row>
    <row r="404" spans="1:223" ht="19.5" customHeight="1" x14ac:dyDescent="0.4">
      <c r="A404" s="4">
        <v>1</v>
      </c>
      <c r="B404" s="4" t="s">
        <v>239</v>
      </c>
      <c r="C404" s="4">
        <v>1139</v>
      </c>
      <c r="D404" s="4">
        <v>1</v>
      </c>
      <c r="E404" s="4">
        <v>1</v>
      </c>
      <c r="F404" s="4" t="s">
        <v>240</v>
      </c>
      <c r="G404" s="4" t="s">
        <v>241</v>
      </c>
      <c r="H404" s="4" t="s">
        <v>241</v>
      </c>
      <c r="I404" s="4" t="s">
        <v>4811</v>
      </c>
      <c r="J404" s="4" t="s">
        <v>596</v>
      </c>
      <c r="K404" s="4" t="s">
        <v>251</v>
      </c>
      <c r="L404" s="4" t="s">
        <v>4810</v>
      </c>
      <c r="M404" s="5" t="s">
        <v>4848</v>
      </c>
      <c r="N404" s="6">
        <f>167</f>
        <v>167</v>
      </c>
      <c r="O404" s="4" t="s">
        <v>265</v>
      </c>
      <c r="P404" s="6">
        <f>369905</f>
        <v>369905</v>
      </c>
      <c r="Q404" s="6">
        <f>0</f>
        <v>0</v>
      </c>
      <c r="S404" s="6">
        <f>0</f>
        <v>0</v>
      </c>
      <c r="T404" s="6">
        <f>369905</f>
        <v>369905</v>
      </c>
      <c r="U404" s="5" t="s">
        <v>245</v>
      </c>
      <c r="V404" s="4" t="s">
        <v>270</v>
      </c>
      <c r="W404" s="4" t="s">
        <v>242</v>
      </c>
      <c r="X404" s="4" t="s">
        <v>273</v>
      </c>
      <c r="Y404" s="4" t="s">
        <v>241</v>
      </c>
      <c r="AB404" s="4" t="s">
        <v>241</v>
      </c>
      <c r="AD404" s="5" t="s">
        <v>241</v>
      </c>
      <c r="AG404" s="5" t="s">
        <v>246</v>
      </c>
      <c r="AH404" s="4" t="s">
        <v>241</v>
      </c>
      <c r="AI404" s="4" t="s">
        <v>247</v>
      </c>
      <c r="AJ404" s="4" t="s">
        <v>248</v>
      </c>
      <c r="AZ404" s="4" t="s">
        <v>249</v>
      </c>
      <c r="BA404" s="4" t="s">
        <v>241</v>
      </c>
      <c r="BB404" s="4" t="s">
        <v>250</v>
      </c>
      <c r="BC404" s="4" t="s">
        <v>241</v>
      </c>
      <c r="BD404" s="4" t="s">
        <v>252</v>
      </c>
      <c r="BE404" s="4" t="s">
        <v>241</v>
      </c>
      <c r="BI404" s="4" t="s">
        <v>253</v>
      </c>
      <c r="BJ404" s="5" t="s">
        <v>246</v>
      </c>
      <c r="BK404" s="4" t="s">
        <v>254</v>
      </c>
      <c r="BL404" s="4" t="s">
        <v>255</v>
      </c>
      <c r="BM404" s="4" t="s">
        <v>241</v>
      </c>
      <c r="BN404" s="6">
        <f>0</f>
        <v>0</v>
      </c>
      <c r="BO404" s="6">
        <f>0</f>
        <v>0</v>
      </c>
      <c r="BP404" s="4" t="s">
        <v>256</v>
      </c>
      <c r="BQ404" s="4" t="s">
        <v>257</v>
      </c>
      <c r="CE404" s="4" t="s">
        <v>241</v>
      </c>
      <c r="CF404" s="4" t="s">
        <v>241</v>
      </c>
      <c r="CJ404" s="4" t="s">
        <v>258</v>
      </c>
      <c r="CK404" s="4" t="s">
        <v>259</v>
      </c>
      <c r="CL404" s="4" t="s">
        <v>241</v>
      </c>
      <c r="CO404" s="5" t="s">
        <v>260</v>
      </c>
      <c r="CP404" s="4" t="s">
        <v>241</v>
      </c>
      <c r="CQ404" s="4" t="s">
        <v>261</v>
      </c>
      <c r="CR404" s="4" t="s">
        <v>241</v>
      </c>
      <c r="CS404" s="4" t="s">
        <v>241</v>
      </c>
      <c r="CT404" s="4">
        <v>0</v>
      </c>
      <c r="CU404" s="4" t="s">
        <v>262</v>
      </c>
      <c r="CV404" s="4" t="s">
        <v>263</v>
      </c>
      <c r="CW404" s="4" t="s">
        <v>263</v>
      </c>
      <c r="CX404" s="4" t="s">
        <v>264</v>
      </c>
      <c r="DA404" s="6">
        <f>369905</f>
        <v>369905</v>
      </c>
      <c r="DC404" s="4" t="s">
        <v>422</v>
      </c>
      <c r="DD404" s="4" t="s">
        <v>241</v>
      </c>
      <c r="DF404" s="4" t="s">
        <v>387</v>
      </c>
      <c r="DG404" s="6">
        <f>167</f>
        <v>167</v>
      </c>
      <c r="DI404" s="4" t="s">
        <v>414</v>
      </c>
      <c r="DJ404" s="4" t="s">
        <v>241</v>
      </c>
      <c r="DK404" s="4" t="s">
        <v>241</v>
      </c>
      <c r="DL404" s="4" t="s">
        <v>241</v>
      </c>
      <c r="DP404" s="4" t="s">
        <v>241</v>
      </c>
      <c r="DQ404" s="4" t="s">
        <v>241</v>
      </c>
      <c r="DR404" s="4" t="s">
        <v>241</v>
      </c>
      <c r="DS404" s="4" t="s">
        <v>241</v>
      </c>
      <c r="DV404" s="4" t="s">
        <v>4813</v>
      </c>
      <c r="DW404" s="4" t="s">
        <v>1740</v>
      </c>
      <c r="HO404" s="4" t="s">
        <v>267</v>
      </c>
    </row>
    <row r="405" spans="1:223" ht="19.5" customHeight="1" x14ac:dyDescent="0.4">
      <c r="A405" s="4">
        <v>1</v>
      </c>
      <c r="B405" s="4" t="s">
        <v>239</v>
      </c>
      <c r="C405" s="4">
        <v>1140</v>
      </c>
      <c r="D405" s="4">
        <v>1</v>
      </c>
      <c r="E405" s="4">
        <v>1</v>
      </c>
      <c r="F405" s="4" t="s">
        <v>240</v>
      </c>
      <c r="G405" s="4" t="s">
        <v>241</v>
      </c>
      <c r="H405" s="4" t="s">
        <v>241</v>
      </c>
      <c r="I405" s="4" t="s">
        <v>4811</v>
      </c>
      <c r="J405" s="4" t="s">
        <v>596</v>
      </c>
      <c r="K405" s="4" t="s">
        <v>251</v>
      </c>
      <c r="L405" s="4" t="s">
        <v>4810</v>
      </c>
      <c r="M405" s="5" t="s">
        <v>4849</v>
      </c>
      <c r="N405" s="6">
        <f>671</f>
        <v>671</v>
      </c>
      <c r="O405" s="4" t="s">
        <v>265</v>
      </c>
      <c r="P405" s="6">
        <f>1486265</f>
        <v>1486265</v>
      </c>
      <c r="Q405" s="6">
        <f>0</f>
        <v>0</v>
      </c>
      <c r="S405" s="6">
        <f>0</f>
        <v>0</v>
      </c>
      <c r="T405" s="6">
        <f>1486265</f>
        <v>1486265</v>
      </c>
      <c r="U405" s="5" t="s">
        <v>245</v>
      </c>
      <c r="V405" s="4" t="s">
        <v>270</v>
      </c>
      <c r="W405" s="4" t="s">
        <v>242</v>
      </c>
      <c r="X405" s="4" t="s">
        <v>273</v>
      </c>
      <c r="Y405" s="4" t="s">
        <v>241</v>
      </c>
      <c r="AB405" s="4" t="s">
        <v>241</v>
      </c>
      <c r="AD405" s="5" t="s">
        <v>241</v>
      </c>
      <c r="AG405" s="5" t="s">
        <v>246</v>
      </c>
      <c r="AH405" s="4" t="s">
        <v>241</v>
      </c>
      <c r="AI405" s="4" t="s">
        <v>247</v>
      </c>
      <c r="AJ405" s="4" t="s">
        <v>248</v>
      </c>
      <c r="AZ405" s="4" t="s">
        <v>249</v>
      </c>
      <c r="BA405" s="4" t="s">
        <v>241</v>
      </c>
      <c r="BB405" s="4" t="s">
        <v>250</v>
      </c>
      <c r="BC405" s="4" t="s">
        <v>241</v>
      </c>
      <c r="BD405" s="4" t="s">
        <v>252</v>
      </c>
      <c r="BE405" s="4" t="s">
        <v>241</v>
      </c>
      <c r="BI405" s="4" t="s">
        <v>253</v>
      </c>
      <c r="BJ405" s="5" t="s">
        <v>246</v>
      </c>
      <c r="BK405" s="4" t="s">
        <v>254</v>
      </c>
      <c r="BL405" s="4" t="s">
        <v>255</v>
      </c>
      <c r="BM405" s="4" t="s">
        <v>241</v>
      </c>
      <c r="BN405" s="6">
        <f>0</f>
        <v>0</v>
      </c>
      <c r="BO405" s="6">
        <f>0</f>
        <v>0</v>
      </c>
      <c r="BP405" s="4" t="s">
        <v>256</v>
      </c>
      <c r="BQ405" s="4" t="s">
        <v>257</v>
      </c>
      <c r="CE405" s="4" t="s">
        <v>241</v>
      </c>
      <c r="CF405" s="4" t="s">
        <v>241</v>
      </c>
      <c r="CJ405" s="4" t="s">
        <v>258</v>
      </c>
      <c r="CK405" s="4" t="s">
        <v>259</v>
      </c>
      <c r="CL405" s="4" t="s">
        <v>241</v>
      </c>
      <c r="CO405" s="5" t="s">
        <v>260</v>
      </c>
      <c r="CP405" s="4" t="s">
        <v>241</v>
      </c>
      <c r="CQ405" s="4" t="s">
        <v>261</v>
      </c>
      <c r="CR405" s="4" t="s">
        <v>241</v>
      </c>
      <c r="CS405" s="4" t="s">
        <v>241</v>
      </c>
      <c r="CT405" s="4">
        <v>0</v>
      </c>
      <c r="CU405" s="4" t="s">
        <v>262</v>
      </c>
      <c r="CV405" s="4" t="s">
        <v>263</v>
      </c>
      <c r="CW405" s="4" t="s">
        <v>263</v>
      </c>
      <c r="CX405" s="4" t="s">
        <v>264</v>
      </c>
      <c r="DA405" s="6">
        <f>1486265</f>
        <v>1486265</v>
      </c>
      <c r="DC405" s="4" t="s">
        <v>422</v>
      </c>
      <c r="DD405" s="4" t="s">
        <v>241</v>
      </c>
      <c r="DF405" s="4" t="s">
        <v>348</v>
      </c>
      <c r="DG405" s="6">
        <f>671</f>
        <v>671</v>
      </c>
      <c r="DI405" s="4" t="s">
        <v>414</v>
      </c>
      <c r="DJ405" s="4" t="s">
        <v>241</v>
      </c>
      <c r="DK405" s="4" t="s">
        <v>241</v>
      </c>
      <c r="DL405" s="4" t="s">
        <v>241</v>
      </c>
      <c r="DP405" s="4" t="s">
        <v>241</v>
      </c>
      <c r="DQ405" s="4" t="s">
        <v>241</v>
      </c>
      <c r="DR405" s="4" t="s">
        <v>241</v>
      </c>
      <c r="DS405" s="4" t="s">
        <v>241</v>
      </c>
      <c r="DV405" s="4" t="s">
        <v>4813</v>
      </c>
      <c r="DW405" s="4" t="s">
        <v>1738</v>
      </c>
      <c r="HO405" s="4" t="s">
        <v>267</v>
      </c>
    </row>
    <row r="406" spans="1:223" ht="19.5" customHeight="1" x14ac:dyDescent="0.4">
      <c r="A406" s="4">
        <v>1</v>
      </c>
      <c r="B406" s="4" t="s">
        <v>239</v>
      </c>
      <c r="C406" s="4">
        <v>1141</v>
      </c>
      <c r="D406" s="4">
        <v>1</v>
      </c>
      <c r="E406" s="4">
        <v>1</v>
      </c>
      <c r="F406" s="4" t="s">
        <v>240</v>
      </c>
      <c r="G406" s="4" t="s">
        <v>241</v>
      </c>
      <c r="H406" s="4" t="s">
        <v>241</v>
      </c>
      <c r="I406" s="4" t="s">
        <v>4811</v>
      </c>
      <c r="J406" s="4" t="s">
        <v>596</v>
      </c>
      <c r="K406" s="4" t="s">
        <v>251</v>
      </c>
      <c r="L406" s="4" t="s">
        <v>4810</v>
      </c>
      <c r="M406" s="5" t="s">
        <v>4850</v>
      </c>
      <c r="N406" s="6">
        <f>370</f>
        <v>370</v>
      </c>
      <c r="O406" s="4" t="s">
        <v>265</v>
      </c>
      <c r="P406" s="6">
        <f>819550</f>
        <v>819550</v>
      </c>
      <c r="Q406" s="6">
        <f>0</f>
        <v>0</v>
      </c>
      <c r="S406" s="6">
        <f>0</f>
        <v>0</v>
      </c>
      <c r="T406" s="6">
        <f>819550</f>
        <v>819550</v>
      </c>
      <c r="U406" s="5" t="s">
        <v>245</v>
      </c>
      <c r="V406" s="4" t="s">
        <v>270</v>
      </c>
      <c r="W406" s="4" t="s">
        <v>242</v>
      </c>
      <c r="X406" s="4" t="s">
        <v>273</v>
      </c>
      <c r="Y406" s="4" t="s">
        <v>241</v>
      </c>
      <c r="AB406" s="4" t="s">
        <v>241</v>
      </c>
      <c r="AD406" s="5" t="s">
        <v>241</v>
      </c>
      <c r="AG406" s="5" t="s">
        <v>246</v>
      </c>
      <c r="AH406" s="4" t="s">
        <v>241</v>
      </c>
      <c r="AI406" s="4" t="s">
        <v>247</v>
      </c>
      <c r="AJ406" s="4" t="s">
        <v>248</v>
      </c>
      <c r="AZ406" s="4" t="s">
        <v>249</v>
      </c>
      <c r="BA406" s="4" t="s">
        <v>241</v>
      </c>
      <c r="BB406" s="4" t="s">
        <v>250</v>
      </c>
      <c r="BC406" s="4" t="s">
        <v>241</v>
      </c>
      <c r="BD406" s="4" t="s">
        <v>252</v>
      </c>
      <c r="BE406" s="4" t="s">
        <v>241</v>
      </c>
      <c r="BI406" s="4" t="s">
        <v>253</v>
      </c>
      <c r="BJ406" s="5" t="s">
        <v>246</v>
      </c>
      <c r="BK406" s="4" t="s">
        <v>254</v>
      </c>
      <c r="BL406" s="4" t="s">
        <v>255</v>
      </c>
      <c r="BM406" s="4" t="s">
        <v>241</v>
      </c>
      <c r="BN406" s="6">
        <f>0</f>
        <v>0</v>
      </c>
      <c r="BO406" s="6">
        <f>0</f>
        <v>0</v>
      </c>
      <c r="BP406" s="4" t="s">
        <v>256</v>
      </c>
      <c r="BQ406" s="4" t="s">
        <v>257</v>
      </c>
      <c r="CE406" s="4" t="s">
        <v>241</v>
      </c>
      <c r="CF406" s="4" t="s">
        <v>241</v>
      </c>
      <c r="CJ406" s="4" t="s">
        <v>258</v>
      </c>
      <c r="CK406" s="4" t="s">
        <v>259</v>
      </c>
      <c r="CL406" s="4" t="s">
        <v>241</v>
      </c>
      <c r="CO406" s="5" t="s">
        <v>260</v>
      </c>
      <c r="CP406" s="4" t="s">
        <v>241</v>
      </c>
      <c r="CQ406" s="4" t="s">
        <v>261</v>
      </c>
      <c r="CR406" s="4" t="s">
        <v>241</v>
      </c>
      <c r="CS406" s="4" t="s">
        <v>241</v>
      </c>
      <c r="CT406" s="4">
        <v>0</v>
      </c>
      <c r="CU406" s="4" t="s">
        <v>262</v>
      </c>
      <c r="CV406" s="4" t="s">
        <v>263</v>
      </c>
      <c r="CW406" s="4" t="s">
        <v>263</v>
      </c>
      <c r="CX406" s="4" t="s">
        <v>264</v>
      </c>
      <c r="DA406" s="6">
        <f>819550</f>
        <v>819550</v>
      </c>
      <c r="DC406" s="4" t="s">
        <v>422</v>
      </c>
      <c r="DD406" s="4" t="s">
        <v>241</v>
      </c>
      <c r="DF406" s="4" t="s">
        <v>348</v>
      </c>
      <c r="DG406" s="6">
        <f>370</f>
        <v>370</v>
      </c>
      <c r="DI406" s="4" t="s">
        <v>414</v>
      </c>
      <c r="DJ406" s="4" t="s">
        <v>241</v>
      </c>
      <c r="DK406" s="4" t="s">
        <v>241</v>
      </c>
      <c r="DL406" s="4" t="s">
        <v>241</v>
      </c>
      <c r="DP406" s="4" t="s">
        <v>241</v>
      </c>
      <c r="DQ406" s="4" t="s">
        <v>241</v>
      </c>
      <c r="DR406" s="4" t="s">
        <v>241</v>
      </c>
      <c r="DS406" s="4" t="s">
        <v>241</v>
      </c>
      <c r="DV406" s="4" t="s">
        <v>4813</v>
      </c>
      <c r="DW406" s="4" t="s">
        <v>1736</v>
      </c>
      <c r="HO406" s="4" t="s">
        <v>267</v>
      </c>
    </row>
    <row r="407" spans="1:223" ht="19.5" customHeight="1" x14ac:dyDescent="0.4">
      <c r="A407" s="4">
        <v>1</v>
      </c>
      <c r="B407" s="4" t="s">
        <v>239</v>
      </c>
      <c r="C407" s="4">
        <v>1142</v>
      </c>
      <c r="D407" s="4">
        <v>1</v>
      </c>
      <c r="E407" s="4">
        <v>1</v>
      </c>
      <c r="F407" s="4" t="s">
        <v>240</v>
      </c>
      <c r="G407" s="4" t="s">
        <v>241</v>
      </c>
      <c r="H407" s="4" t="s">
        <v>241</v>
      </c>
      <c r="I407" s="4" t="s">
        <v>4811</v>
      </c>
      <c r="J407" s="4" t="s">
        <v>596</v>
      </c>
      <c r="K407" s="4" t="s">
        <v>251</v>
      </c>
      <c r="L407" s="4" t="s">
        <v>4810</v>
      </c>
      <c r="M407" s="5" t="s">
        <v>5476</v>
      </c>
      <c r="N407" s="6">
        <f>102</f>
        <v>102</v>
      </c>
      <c r="O407" s="4" t="s">
        <v>265</v>
      </c>
      <c r="P407" s="6">
        <f>225930</f>
        <v>225930</v>
      </c>
      <c r="Q407" s="6">
        <f>0</f>
        <v>0</v>
      </c>
      <c r="S407" s="6">
        <f>0</f>
        <v>0</v>
      </c>
      <c r="T407" s="6">
        <f>225930</f>
        <v>225930</v>
      </c>
      <c r="U407" s="5" t="s">
        <v>245</v>
      </c>
      <c r="V407" s="4" t="s">
        <v>270</v>
      </c>
      <c r="W407" s="4" t="s">
        <v>242</v>
      </c>
      <c r="X407" s="4" t="s">
        <v>273</v>
      </c>
      <c r="Y407" s="4" t="s">
        <v>241</v>
      </c>
      <c r="AB407" s="4" t="s">
        <v>241</v>
      </c>
      <c r="AD407" s="5" t="s">
        <v>241</v>
      </c>
      <c r="AG407" s="5" t="s">
        <v>246</v>
      </c>
      <c r="AH407" s="4" t="s">
        <v>241</v>
      </c>
      <c r="AI407" s="4" t="s">
        <v>247</v>
      </c>
      <c r="AJ407" s="4" t="s">
        <v>248</v>
      </c>
      <c r="AZ407" s="4" t="s">
        <v>249</v>
      </c>
      <c r="BA407" s="4" t="s">
        <v>241</v>
      </c>
      <c r="BB407" s="4" t="s">
        <v>250</v>
      </c>
      <c r="BC407" s="4" t="s">
        <v>241</v>
      </c>
      <c r="BD407" s="4" t="s">
        <v>252</v>
      </c>
      <c r="BE407" s="4" t="s">
        <v>241</v>
      </c>
      <c r="BI407" s="4" t="s">
        <v>253</v>
      </c>
      <c r="BJ407" s="5" t="s">
        <v>246</v>
      </c>
      <c r="BK407" s="4" t="s">
        <v>254</v>
      </c>
      <c r="BL407" s="4" t="s">
        <v>255</v>
      </c>
      <c r="BM407" s="4" t="s">
        <v>241</v>
      </c>
      <c r="BN407" s="6">
        <f>0</f>
        <v>0</v>
      </c>
      <c r="BO407" s="6">
        <f>0</f>
        <v>0</v>
      </c>
      <c r="BP407" s="4" t="s">
        <v>256</v>
      </c>
      <c r="BQ407" s="4" t="s">
        <v>257</v>
      </c>
      <c r="CE407" s="4" t="s">
        <v>241</v>
      </c>
      <c r="CF407" s="4" t="s">
        <v>241</v>
      </c>
      <c r="CJ407" s="4" t="s">
        <v>258</v>
      </c>
      <c r="CK407" s="4" t="s">
        <v>259</v>
      </c>
      <c r="CL407" s="4" t="s">
        <v>241</v>
      </c>
      <c r="CO407" s="5" t="s">
        <v>260</v>
      </c>
      <c r="CP407" s="4" t="s">
        <v>241</v>
      </c>
      <c r="CQ407" s="4" t="s">
        <v>261</v>
      </c>
      <c r="CR407" s="4" t="s">
        <v>241</v>
      </c>
      <c r="CS407" s="4" t="s">
        <v>241</v>
      </c>
      <c r="CT407" s="4">
        <v>0</v>
      </c>
      <c r="CU407" s="4" t="s">
        <v>262</v>
      </c>
      <c r="CV407" s="4" t="s">
        <v>263</v>
      </c>
      <c r="CW407" s="4" t="s">
        <v>263</v>
      </c>
      <c r="CX407" s="4" t="s">
        <v>264</v>
      </c>
      <c r="DA407" s="6">
        <f>225930</f>
        <v>225930</v>
      </c>
      <c r="DC407" s="4" t="s">
        <v>422</v>
      </c>
      <c r="DD407" s="4" t="s">
        <v>241</v>
      </c>
      <c r="DF407" s="4" t="s">
        <v>387</v>
      </c>
      <c r="DG407" s="6">
        <f>102</f>
        <v>102</v>
      </c>
      <c r="DI407" s="4" t="s">
        <v>414</v>
      </c>
      <c r="DJ407" s="4" t="s">
        <v>241</v>
      </c>
      <c r="DK407" s="4" t="s">
        <v>241</v>
      </c>
      <c r="DL407" s="4" t="s">
        <v>241</v>
      </c>
      <c r="DP407" s="4" t="s">
        <v>241</v>
      </c>
      <c r="DQ407" s="4" t="s">
        <v>241</v>
      </c>
      <c r="DR407" s="4" t="s">
        <v>241</v>
      </c>
      <c r="DS407" s="4" t="s">
        <v>241</v>
      </c>
      <c r="DV407" s="4" t="s">
        <v>4813</v>
      </c>
      <c r="DW407" s="4" t="s">
        <v>605</v>
      </c>
      <c r="HO407" s="4" t="s">
        <v>267</v>
      </c>
    </row>
    <row r="408" spans="1:223" ht="19.5" customHeight="1" x14ac:dyDescent="0.4">
      <c r="A408" s="4">
        <v>1</v>
      </c>
      <c r="B408" s="4" t="s">
        <v>239</v>
      </c>
      <c r="C408" s="4">
        <v>1143</v>
      </c>
      <c r="D408" s="4">
        <v>1</v>
      </c>
      <c r="E408" s="4">
        <v>1</v>
      </c>
      <c r="F408" s="4" t="s">
        <v>240</v>
      </c>
      <c r="G408" s="4" t="s">
        <v>241</v>
      </c>
      <c r="H408" s="4" t="s">
        <v>241</v>
      </c>
      <c r="I408" s="4" t="s">
        <v>4811</v>
      </c>
      <c r="J408" s="4" t="s">
        <v>596</v>
      </c>
      <c r="K408" s="4" t="s">
        <v>251</v>
      </c>
      <c r="L408" s="4" t="s">
        <v>4810</v>
      </c>
      <c r="M408" s="5" t="s">
        <v>4852</v>
      </c>
      <c r="N408" s="6">
        <f>1540</f>
        <v>1540</v>
      </c>
      <c r="O408" s="4" t="s">
        <v>265</v>
      </c>
      <c r="P408" s="6">
        <f>3411100</f>
        <v>3411100</v>
      </c>
      <c r="Q408" s="6">
        <f>0</f>
        <v>0</v>
      </c>
      <c r="S408" s="6">
        <f>0</f>
        <v>0</v>
      </c>
      <c r="T408" s="6">
        <f>3411100</f>
        <v>3411100</v>
      </c>
      <c r="U408" s="5" t="s">
        <v>245</v>
      </c>
      <c r="V408" s="4" t="s">
        <v>270</v>
      </c>
      <c r="W408" s="4" t="s">
        <v>242</v>
      </c>
      <c r="X408" s="4" t="s">
        <v>273</v>
      </c>
      <c r="Y408" s="4" t="s">
        <v>241</v>
      </c>
      <c r="AB408" s="4" t="s">
        <v>241</v>
      </c>
      <c r="AD408" s="5" t="s">
        <v>241</v>
      </c>
      <c r="AG408" s="5" t="s">
        <v>246</v>
      </c>
      <c r="AH408" s="4" t="s">
        <v>241</v>
      </c>
      <c r="AI408" s="4" t="s">
        <v>247</v>
      </c>
      <c r="AJ408" s="4" t="s">
        <v>248</v>
      </c>
      <c r="AZ408" s="4" t="s">
        <v>249</v>
      </c>
      <c r="BA408" s="4" t="s">
        <v>241</v>
      </c>
      <c r="BB408" s="4" t="s">
        <v>250</v>
      </c>
      <c r="BC408" s="4" t="s">
        <v>241</v>
      </c>
      <c r="BD408" s="4" t="s">
        <v>252</v>
      </c>
      <c r="BE408" s="4" t="s">
        <v>241</v>
      </c>
      <c r="BI408" s="4" t="s">
        <v>253</v>
      </c>
      <c r="BJ408" s="5" t="s">
        <v>246</v>
      </c>
      <c r="BK408" s="4" t="s">
        <v>254</v>
      </c>
      <c r="BL408" s="4" t="s">
        <v>255</v>
      </c>
      <c r="BM408" s="4" t="s">
        <v>241</v>
      </c>
      <c r="BN408" s="6">
        <f>0</f>
        <v>0</v>
      </c>
      <c r="BO408" s="6">
        <f>0</f>
        <v>0</v>
      </c>
      <c r="BP408" s="4" t="s">
        <v>256</v>
      </c>
      <c r="BQ408" s="4" t="s">
        <v>257</v>
      </c>
      <c r="CE408" s="4" t="s">
        <v>241</v>
      </c>
      <c r="CF408" s="4" t="s">
        <v>241</v>
      </c>
      <c r="CJ408" s="4" t="s">
        <v>258</v>
      </c>
      <c r="CK408" s="4" t="s">
        <v>259</v>
      </c>
      <c r="CL408" s="4" t="s">
        <v>241</v>
      </c>
      <c r="CO408" s="5" t="s">
        <v>260</v>
      </c>
      <c r="CP408" s="4" t="s">
        <v>241</v>
      </c>
      <c r="CQ408" s="4" t="s">
        <v>261</v>
      </c>
      <c r="CR408" s="4" t="s">
        <v>241</v>
      </c>
      <c r="CS408" s="4" t="s">
        <v>241</v>
      </c>
      <c r="CT408" s="4">
        <v>0</v>
      </c>
      <c r="CU408" s="4" t="s">
        <v>262</v>
      </c>
      <c r="CV408" s="4" t="s">
        <v>263</v>
      </c>
      <c r="CW408" s="4" t="s">
        <v>263</v>
      </c>
      <c r="CX408" s="4" t="s">
        <v>264</v>
      </c>
      <c r="DA408" s="6">
        <f>3411100</f>
        <v>3411100</v>
      </c>
      <c r="DC408" s="4" t="s">
        <v>422</v>
      </c>
      <c r="DD408" s="4" t="s">
        <v>241</v>
      </c>
      <c r="DF408" s="4" t="s">
        <v>348</v>
      </c>
      <c r="DG408" s="6">
        <f>1540</f>
        <v>1540</v>
      </c>
      <c r="DI408" s="4" t="s">
        <v>414</v>
      </c>
      <c r="DJ408" s="4" t="s">
        <v>241</v>
      </c>
      <c r="DK408" s="4" t="s">
        <v>241</v>
      </c>
      <c r="DL408" s="4" t="s">
        <v>241</v>
      </c>
      <c r="DP408" s="4" t="s">
        <v>241</v>
      </c>
      <c r="DQ408" s="4" t="s">
        <v>241</v>
      </c>
      <c r="DR408" s="4" t="s">
        <v>241</v>
      </c>
      <c r="DS408" s="4" t="s">
        <v>241</v>
      </c>
      <c r="DV408" s="4" t="s">
        <v>4813</v>
      </c>
      <c r="DW408" s="4" t="s">
        <v>349</v>
      </c>
      <c r="HO408" s="4" t="s">
        <v>267</v>
      </c>
    </row>
    <row r="409" spans="1:223" ht="19.5" customHeight="1" x14ac:dyDescent="0.4">
      <c r="A409" s="4">
        <v>1</v>
      </c>
      <c r="B409" s="4" t="s">
        <v>239</v>
      </c>
      <c r="C409" s="4">
        <v>1144</v>
      </c>
      <c r="D409" s="4">
        <v>1</v>
      </c>
      <c r="E409" s="4">
        <v>1</v>
      </c>
      <c r="F409" s="4" t="s">
        <v>240</v>
      </c>
      <c r="G409" s="4" t="s">
        <v>241</v>
      </c>
      <c r="H409" s="4" t="s">
        <v>241</v>
      </c>
      <c r="I409" s="4" t="s">
        <v>4811</v>
      </c>
      <c r="J409" s="4" t="s">
        <v>596</v>
      </c>
      <c r="K409" s="4" t="s">
        <v>251</v>
      </c>
      <c r="L409" s="4" t="s">
        <v>4810</v>
      </c>
      <c r="M409" s="5" t="s">
        <v>5477</v>
      </c>
      <c r="N409" s="6">
        <f>1041</f>
        <v>1041</v>
      </c>
      <c r="O409" s="4" t="s">
        <v>265</v>
      </c>
      <c r="P409" s="6">
        <f>2305815</f>
        <v>2305815</v>
      </c>
      <c r="Q409" s="6">
        <f>0</f>
        <v>0</v>
      </c>
      <c r="S409" s="6">
        <f>0</f>
        <v>0</v>
      </c>
      <c r="T409" s="6">
        <f>2305815</f>
        <v>2305815</v>
      </c>
      <c r="U409" s="5" t="s">
        <v>245</v>
      </c>
      <c r="V409" s="4" t="s">
        <v>270</v>
      </c>
      <c r="W409" s="4" t="s">
        <v>242</v>
      </c>
      <c r="X409" s="4" t="s">
        <v>273</v>
      </c>
      <c r="Y409" s="4" t="s">
        <v>241</v>
      </c>
      <c r="AB409" s="4" t="s">
        <v>241</v>
      </c>
      <c r="AD409" s="5" t="s">
        <v>241</v>
      </c>
      <c r="AG409" s="5" t="s">
        <v>246</v>
      </c>
      <c r="AH409" s="4" t="s">
        <v>241</v>
      </c>
      <c r="AI409" s="4" t="s">
        <v>247</v>
      </c>
      <c r="AJ409" s="4" t="s">
        <v>248</v>
      </c>
      <c r="AZ409" s="4" t="s">
        <v>249</v>
      </c>
      <c r="BA409" s="4" t="s">
        <v>241</v>
      </c>
      <c r="BB409" s="4" t="s">
        <v>250</v>
      </c>
      <c r="BC409" s="4" t="s">
        <v>241</v>
      </c>
      <c r="BD409" s="4" t="s">
        <v>252</v>
      </c>
      <c r="BE409" s="4" t="s">
        <v>241</v>
      </c>
      <c r="BI409" s="4" t="s">
        <v>253</v>
      </c>
      <c r="BJ409" s="5" t="s">
        <v>246</v>
      </c>
      <c r="BK409" s="4" t="s">
        <v>254</v>
      </c>
      <c r="BL409" s="4" t="s">
        <v>255</v>
      </c>
      <c r="BM409" s="4" t="s">
        <v>241</v>
      </c>
      <c r="BN409" s="6">
        <f>0</f>
        <v>0</v>
      </c>
      <c r="BO409" s="6">
        <f>0</f>
        <v>0</v>
      </c>
      <c r="BP409" s="4" t="s">
        <v>256</v>
      </c>
      <c r="BQ409" s="4" t="s">
        <v>257</v>
      </c>
      <c r="CE409" s="4" t="s">
        <v>241</v>
      </c>
      <c r="CF409" s="4" t="s">
        <v>241</v>
      </c>
      <c r="CJ409" s="4" t="s">
        <v>258</v>
      </c>
      <c r="CK409" s="4" t="s">
        <v>259</v>
      </c>
      <c r="CL409" s="4" t="s">
        <v>241</v>
      </c>
      <c r="CO409" s="5" t="s">
        <v>260</v>
      </c>
      <c r="CP409" s="4" t="s">
        <v>241</v>
      </c>
      <c r="CQ409" s="4" t="s">
        <v>261</v>
      </c>
      <c r="CR409" s="4" t="s">
        <v>241</v>
      </c>
      <c r="CS409" s="4" t="s">
        <v>241</v>
      </c>
      <c r="CT409" s="4">
        <v>0</v>
      </c>
      <c r="CU409" s="4" t="s">
        <v>262</v>
      </c>
      <c r="CV409" s="4" t="s">
        <v>263</v>
      </c>
      <c r="CW409" s="4" t="s">
        <v>263</v>
      </c>
      <c r="CX409" s="4" t="s">
        <v>264</v>
      </c>
      <c r="DA409" s="6">
        <f>2305815</f>
        <v>2305815</v>
      </c>
      <c r="DC409" s="4" t="s">
        <v>422</v>
      </c>
      <c r="DD409" s="4" t="s">
        <v>241</v>
      </c>
      <c r="DF409" s="4" t="s">
        <v>348</v>
      </c>
      <c r="DG409" s="6">
        <f>1041</f>
        <v>1041</v>
      </c>
      <c r="DI409" s="4" t="s">
        <v>414</v>
      </c>
      <c r="DJ409" s="4" t="s">
        <v>241</v>
      </c>
      <c r="DK409" s="4" t="s">
        <v>241</v>
      </c>
      <c r="DL409" s="4" t="s">
        <v>241</v>
      </c>
      <c r="DP409" s="4" t="s">
        <v>241</v>
      </c>
      <c r="DQ409" s="4" t="s">
        <v>241</v>
      </c>
      <c r="DR409" s="4" t="s">
        <v>241</v>
      </c>
      <c r="DS409" s="4" t="s">
        <v>241</v>
      </c>
      <c r="DV409" s="4" t="s">
        <v>4813</v>
      </c>
      <c r="DW409" s="4" t="s">
        <v>420</v>
      </c>
      <c r="HO409" s="4" t="s">
        <v>267</v>
      </c>
    </row>
    <row r="410" spans="1:223" ht="19.5" customHeight="1" x14ac:dyDescent="0.4">
      <c r="A410" s="4">
        <v>1</v>
      </c>
      <c r="B410" s="4" t="s">
        <v>239</v>
      </c>
      <c r="C410" s="4">
        <v>1145</v>
      </c>
      <c r="D410" s="4">
        <v>1</v>
      </c>
      <c r="E410" s="4">
        <v>1</v>
      </c>
      <c r="F410" s="4" t="s">
        <v>240</v>
      </c>
      <c r="G410" s="4" t="s">
        <v>241</v>
      </c>
      <c r="H410" s="4" t="s">
        <v>241</v>
      </c>
      <c r="I410" s="4" t="s">
        <v>4811</v>
      </c>
      <c r="J410" s="4" t="s">
        <v>596</v>
      </c>
      <c r="K410" s="4" t="s">
        <v>251</v>
      </c>
      <c r="L410" s="4" t="s">
        <v>4810</v>
      </c>
      <c r="M410" s="5" t="s">
        <v>4854</v>
      </c>
      <c r="N410" s="6">
        <f>238</f>
        <v>238</v>
      </c>
      <c r="O410" s="4" t="s">
        <v>265</v>
      </c>
      <c r="P410" s="6">
        <f>527170</f>
        <v>527170</v>
      </c>
      <c r="Q410" s="6">
        <f>0</f>
        <v>0</v>
      </c>
      <c r="S410" s="6">
        <f>0</f>
        <v>0</v>
      </c>
      <c r="T410" s="6">
        <f>527170</f>
        <v>527170</v>
      </c>
      <c r="U410" s="5" t="s">
        <v>245</v>
      </c>
      <c r="V410" s="4" t="s">
        <v>270</v>
      </c>
      <c r="W410" s="4" t="s">
        <v>242</v>
      </c>
      <c r="X410" s="4" t="s">
        <v>273</v>
      </c>
      <c r="Y410" s="4" t="s">
        <v>241</v>
      </c>
      <c r="AB410" s="4" t="s">
        <v>241</v>
      </c>
      <c r="AD410" s="5" t="s">
        <v>241</v>
      </c>
      <c r="AG410" s="5" t="s">
        <v>246</v>
      </c>
      <c r="AH410" s="4" t="s">
        <v>241</v>
      </c>
      <c r="AI410" s="4" t="s">
        <v>247</v>
      </c>
      <c r="AJ410" s="4" t="s">
        <v>248</v>
      </c>
      <c r="AZ410" s="4" t="s">
        <v>249</v>
      </c>
      <c r="BA410" s="4" t="s">
        <v>241</v>
      </c>
      <c r="BB410" s="4" t="s">
        <v>250</v>
      </c>
      <c r="BC410" s="4" t="s">
        <v>241</v>
      </c>
      <c r="BD410" s="4" t="s">
        <v>252</v>
      </c>
      <c r="BE410" s="4" t="s">
        <v>241</v>
      </c>
      <c r="BI410" s="4" t="s">
        <v>253</v>
      </c>
      <c r="BJ410" s="5" t="s">
        <v>246</v>
      </c>
      <c r="BK410" s="4" t="s">
        <v>254</v>
      </c>
      <c r="BL410" s="4" t="s">
        <v>255</v>
      </c>
      <c r="BM410" s="4" t="s">
        <v>241</v>
      </c>
      <c r="BN410" s="6">
        <f>0</f>
        <v>0</v>
      </c>
      <c r="BO410" s="6">
        <f>0</f>
        <v>0</v>
      </c>
      <c r="BP410" s="4" t="s">
        <v>256</v>
      </c>
      <c r="BQ410" s="4" t="s">
        <v>257</v>
      </c>
      <c r="CE410" s="4" t="s">
        <v>241</v>
      </c>
      <c r="CF410" s="4" t="s">
        <v>241</v>
      </c>
      <c r="CJ410" s="4" t="s">
        <v>258</v>
      </c>
      <c r="CK410" s="4" t="s">
        <v>259</v>
      </c>
      <c r="CL410" s="4" t="s">
        <v>241</v>
      </c>
      <c r="CO410" s="5" t="s">
        <v>260</v>
      </c>
      <c r="CP410" s="4" t="s">
        <v>241</v>
      </c>
      <c r="CQ410" s="4" t="s">
        <v>261</v>
      </c>
      <c r="CR410" s="4" t="s">
        <v>241</v>
      </c>
      <c r="CS410" s="4" t="s">
        <v>241</v>
      </c>
      <c r="CT410" s="4">
        <v>0</v>
      </c>
      <c r="CU410" s="4" t="s">
        <v>262</v>
      </c>
      <c r="CV410" s="4" t="s">
        <v>263</v>
      </c>
      <c r="CW410" s="4" t="s">
        <v>263</v>
      </c>
      <c r="CX410" s="4" t="s">
        <v>264</v>
      </c>
      <c r="DA410" s="6">
        <f>527170</f>
        <v>527170</v>
      </c>
      <c r="DC410" s="4" t="s">
        <v>422</v>
      </c>
      <c r="DD410" s="4" t="s">
        <v>241</v>
      </c>
      <c r="DF410" s="4" t="s">
        <v>387</v>
      </c>
      <c r="DG410" s="6">
        <f>238</f>
        <v>238</v>
      </c>
      <c r="DI410" s="4" t="s">
        <v>414</v>
      </c>
      <c r="DJ410" s="4" t="s">
        <v>241</v>
      </c>
      <c r="DK410" s="4" t="s">
        <v>241</v>
      </c>
      <c r="DL410" s="4" t="s">
        <v>241</v>
      </c>
      <c r="DP410" s="4" t="s">
        <v>241</v>
      </c>
      <c r="DQ410" s="4" t="s">
        <v>241</v>
      </c>
      <c r="DR410" s="4" t="s">
        <v>241</v>
      </c>
      <c r="DS410" s="4" t="s">
        <v>241</v>
      </c>
      <c r="DV410" s="4" t="s">
        <v>4813</v>
      </c>
      <c r="DW410" s="4" t="s">
        <v>1732</v>
      </c>
      <c r="HO410" s="4" t="s">
        <v>267</v>
      </c>
    </row>
    <row r="411" spans="1:223" ht="19.5" customHeight="1" x14ac:dyDescent="0.4">
      <c r="A411" s="4">
        <v>1</v>
      </c>
      <c r="B411" s="4" t="s">
        <v>239</v>
      </c>
      <c r="C411" s="4">
        <v>1146</v>
      </c>
      <c r="D411" s="4">
        <v>1</v>
      </c>
      <c r="E411" s="4">
        <v>1</v>
      </c>
      <c r="F411" s="4" t="s">
        <v>240</v>
      </c>
      <c r="G411" s="4" t="s">
        <v>241</v>
      </c>
      <c r="H411" s="4" t="s">
        <v>241</v>
      </c>
      <c r="I411" s="4" t="s">
        <v>4811</v>
      </c>
      <c r="J411" s="4" t="s">
        <v>596</v>
      </c>
      <c r="K411" s="4" t="s">
        <v>251</v>
      </c>
      <c r="L411" s="4" t="s">
        <v>4810</v>
      </c>
      <c r="M411" s="5" t="s">
        <v>5478</v>
      </c>
      <c r="N411" s="6">
        <f>780</f>
        <v>780</v>
      </c>
      <c r="O411" s="4" t="s">
        <v>265</v>
      </c>
      <c r="P411" s="6">
        <f>1727700</f>
        <v>1727700</v>
      </c>
      <c r="Q411" s="6">
        <f>0</f>
        <v>0</v>
      </c>
      <c r="S411" s="6">
        <f>0</f>
        <v>0</v>
      </c>
      <c r="T411" s="6">
        <f>1727700</f>
        <v>1727700</v>
      </c>
      <c r="U411" s="5" t="s">
        <v>245</v>
      </c>
      <c r="V411" s="4" t="s">
        <v>270</v>
      </c>
      <c r="W411" s="4" t="s">
        <v>242</v>
      </c>
      <c r="X411" s="4" t="s">
        <v>273</v>
      </c>
      <c r="Y411" s="4" t="s">
        <v>241</v>
      </c>
      <c r="AB411" s="4" t="s">
        <v>241</v>
      </c>
      <c r="AD411" s="5" t="s">
        <v>241</v>
      </c>
      <c r="AG411" s="5" t="s">
        <v>246</v>
      </c>
      <c r="AH411" s="4" t="s">
        <v>241</v>
      </c>
      <c r="AI411" s="4" t="s">
        <v>247</v>
      </c>
      <c r="AJ411" s="4" t="s">
        <v>248</v>
      </c>
      <c r="AZ411" s="4" t="s">
        <v>249</v>
      </c>
      <c r="BA411" s="4" t="s">
        <v>241</v>
      </c>
      <c r="BB411" s="4" t="s">
        <v>250</v>
      </c>
      <c r="BC411" s="4" t="s">
        <v>241</v>
      </c>
      <c r="BD411" s="4" t="s">
        <v>252</v>
      </c>
      <c r="BE411" s="4" t="s">
        <v>241</v>
      </c>
      <c r="BI411" s="4" t="s">
        <v>253</v>
      </c>
      <c r="BJ411" s="5" t="s">
        <v>246</v>
      </c>
      <c r="BK411" s="4" t="s">
        <v>254</v>
      </c>
      <c r="BL411" s="4" t="s">
        <v>255</v>
      </c>
      <c r="BM411" s="4" t="s">
        <v>241</v>
      </c>
      <c r="BN411" s="6">
        <f>0</f>
        <v>0</v>
      </c>
      <c r="BO411" s="6">
        <f>0</f>
        <v>0</v>
      </c>
      <c r="BP411" s="4" t="s">
        <v>256</v>
      </c>
      <c r="BQ411" s="4" t="s">
        <v>257</v>
      </c>
      <c r="CE411" s="4" t="s">
        <v>241</v>
      </c>
      <c r="CF411" s="4" t="s">
        <v>241</v>
      </c>
      <c r="CJ411" s="4" t="s">
        <v>258</v>
      </c>
      <c r="CK411" s="4" t="s">
        <v>259</v>
      </c>
      <c r="CL411" s="4" t="s">
        <v>241</v>
      </c>
      <c r="CO411" s="5" t="s">
        <v>260</v>
      </c>
      <c r="CP411" s="4" t="s">
        <v>241</v>
      </c>
      <c r="CQ411" s="4" t="s">
        <v>261</v>
      </c>
      <c r="CR411" s="4" t="s">
        <v>241</v>
      </c>
      <c r="CS411" s="4" t="s">
        <v>241</v>
      </c>
      <c r="CT411" s="4">
        <v>0</v>
      </c>
      <c r="CU411" s="4" t="s">
        <v>262</v>
      </c>
      <c r="CV411" s="4" t="s">
        <v>263</v>
      </c>
      <c r="CW411" s="4" t="s">
        <v>263</v>
      </c>
      <c r="CX411" s="4" t="s">
        <v>264</v>
      </c>
      <c r="DA411" s="6">
        <f>1727700</f>
        <v>1727700</v>
      </c>
      <c r="DC411" s="4" t="s">
        <v>422</v>
      </c>
      <c r="DD411" s="4" t="s">
        <v>241</v>
      </c>
      <c r="DF411" s="4" t="s">
        <v>348</v>
      </c>
      <c r="DG411" s="6">
        <f>780</f>
        <v>780</v>
      </c>
      <c r="DI411" s="4" t="s">
        <v>414</v>
      </c>
      <c r="DJ411" s="4" t="s">
        <v>241</v>
      </c>
      <c r="DK411" s="4" t="s">
        <v>241</v>
      </c>
      <c r="DL411" s="4" t="s">
        <v>241</v>
      </c>
      <c r="DP411" s="4" t="s">
        <v>241</v>
      </c>
      <c r="DQ411" s="4" t="s">
        <v>241</v>
      </c>
      <c r="DR411" s="4" t="s">
        <v>241</v>
      </c>
      <c r="DS411" s="4" t="s">
        <v>241</v>
      </c>
      <c r="DV411" s="4" t="s">
        <v>4813</v>
      </c>
      <c r="DW411" s="4" t="s">
        <v>1730</v>
      </c>
      <c r="HO411" s="4" t="s">
        <v>267</v>
      </c>
    </row>
    <row r="412" spans="1:223" ht="19.5" customHeight="1" x14ac:dyDescent="0.4">
      <c r="A412" s="4">
        <v>1</v>
      </c>
      <c r="B412" s="4" t="s">
        <v>239</v>
      </c>
      <c r="C412" s="4">
        <v>1147</v>
      </c>
      <c r="D412" s="4">
        <v>1</v>
      </c>
      <c r="E412" s="4">
        <v>1</v>
      </c>
      <c r="F412" s="4" t="s">
        <v>240</v>
      </c>
      <c r="G412" s="4" t="s">
        <v>241</v>
      </c>
      <c r="H412" s="4" t="s">
        <v>241</v>
      </c>
      <c r="I412" s="4" t="s">
        <v>4811</v>
      </c>
      <c r="J412" s="4" t="s">
        <v>596</v>
      </c>
      <c r="K412" s="4" t="s">
        <v>251</v>
      </c>
      <c r="L412" s="4" t="s">
        <v>4810</v>
      </c>
      <c r="M412" s="5" t="s">
        <v>4856</v>
      </c>
      <c r="N412" s="6">
        <f>476</f>
        <v>476</v>
      </c>
      <c r="O412" s="4" t="s">
        <v>265</v>
      </c>
      <c r="P412" s="6">
        <f>1054340</f>
        <v>1054340</v>
      </c>
      <c r="Q412" s="6">
        <f>0</f>
        <v>0</v>
      </c>
      <c r="S412" s="6">
        <f>0</f>
        <v>0</v>
      </c>
      <c r="T412" s="6">
        <f>1054340</f>
        <v>1054340</v>
      </c>
      <c r="U412" s="5" t="s">
        <v>245</v>
      </c>
      <c r="V412" s="4" t="s">
        <v>270</v>
      </c>
      <c r="W412" s="4" t="s">
        <v>242</v>
      </c>
      <c r="X412" s="4" t="s">
        <v>273</v>
      </c>
      <c r="Y412" s="4" t="s">
        <v>241</v>
      </c>
      <c r="AB412" s="4" t="s">
        <v>241</v>
      </c>
      <c r="AD412" s="5" t="s">
        <v>241</v>
      </c>
      <c r="AG412" s="5" t="s">
        <v>246</v>
      </c>
      <c r="AH412" s="4" t="s">
        <v>241</v>
      </c>
      <c r="AI412" s="4" t="s">
        <v>247</v>
      </c>
      <c r="AJ412" s="4" t="s">
        <v>248</v>
      </c>
      <c r="AZ412" s="4" t="s">
        <v>249</v>
      </c>
      <c r="BA412" s="4" t="s">
        <v>241</v>
      </c>
      <c r="BB412" s="4" t="s">
        <v>250</v>
      </c>
      <c r="BC412" s="4" t="s">
        <v>241</v>
      </c>
      <c r="BD412" s="4" t="s">
        <v>252</v>
      </c>
      <c r="BE412" s="4" t="s">
        <v>241</v>
      </c>
      <c r="BI412" s="4" t="s">
        <v>253</v>
      </c>
      <c r="BJ412" s="5" t="s">
        <v>246</v>
      </c>
      <c r="BK412" s="4" t="s">
        <v>254</v>
      </c>
      <c r="BL412" s="4" t="s">
        <v>255</v>
      </c>
      <c r="BM412" s="4" t="s">
        <v>241</v>
      </c>
      <c r="BN412" s="6">
        <f>0</f>
        <v>0</v>
      </c>
      <c r="BO412" s="6">
        <f>0</f>
        <v>0</v>
      </c>
      <c r="BP412" s="4" t="s">
        <v>256</v>
      </c>
      <c r="BQ412" s="4" t="s">
        <v>257</v>
      </c>
      <c r="CE412" s="4" t="s">
        <v>241</v>
      </c>
      <c r="CF412" s="4" t="s">
        <v>241</v>
      </c>
      <c r="CJ412" s="4" t="s">
        <v>258</v>
      </c>
      <c r="CK412" s="4" t="s">
        <v>259</v>
      </c>
      <c r="CL412" s="4" t="s">
        <v>241</v>
      </c>
      <c r="CO412" s="5" t="s">
        <v>260</v>
      </c>
      <c r="CP412" s="4" t="s">
        <v>241</v>
      </c>
      <c r="CQ412" s="4" t="s">
        <v>261</v>
      </c>
      <c r="CR412" s="4" t="s">
        <v>241</v>
      </c>
      <c r="CS412" s="4" t="s">
        <v>241</v>
      </c>
      <c r="CT412" s="4">
        <v>0</v>
      </c>
      <c r="CU412" s="4" t="s">
        <v>262</v>
      </c>
      <c r="CV412" s="4" t="s">
        <v>263</v>
      </c>
      <c r="CW412" s="4" t="s">
        <v>263</v>
      </c>
      <c r="CX412" s="4" t="s">
        <v>264</v>
      </c>
      <c r="DA412" s="6">
        <f>1054340</f>
        <v>1054340</v>
      </c>
      <c r="DC412" s="4" t="s">
        <v>422</v>
      </c>
      <c r="DD412" s="4" t="s">
        <v>241</v>
      </c>
      <c r="DF412" s="4" t="s">
        <v>348</v>
      </c>
      <c r="DG412" s="6">
        <f>476</f>
        <v>476</v>
      </c>
      <c r="DI412" s="4" t="s">
        <v>414</v>
      </c>
      <c r="DJ412" s="4" t="s">
        <v>241</v>
      </c>
      <c r="DK412" s="4" t="s">
        <v>241</v>
      </c>
      <c r="DL412" s="4" t="s">
        <v>241</v>
      </c>
      <c r="DP412" s="4" t="s">
        <v>241</v>
      </c>
      <c r="DQ412" s="4" t="s">
        <v>241</v>
      </c>
      <c r="DR412" s="4" t="s">
        <v>241</v>
      </c>
      <c r="DS412" s="4" t="s">
        <v>241</v>
      </c>
      <c r="DV412" s="4" t="s">
        <v>4813</v>
      </c>
      <c r="DW412" s="4" t="s">
        <v>1728</v>
      </c>
      <c r="HO412" s="4" t="s">
        <v>267</v>
      </c>
    </row>
    <row r="413" spans="1:223" ht="19.5" customHeight="1" x14ac:dyDescent="0.4">
      <c r="A413" s="4">
        <v>1</v>
      </c>
      <c r="B413" s="4" t="s">
        <v>239</v>
      </c>
      <c r="C413" s="4">
        <v>1148</v>
      </c>
      <c r="D413" s="4">
        <v>1</v>
      </c>
      <c r="E413" s="4">
        <v>1</v>
      </c>
      <c r="F413" s="4" t="s">
        <v>240</v>
      </c>
      <c r="G413" s="4" t="s">
        <v>241</v>
      </c>
      <c r="H413" s="4" t="s">
        <v>241</v>
      </c>
      <c r="I413" s="4" t="s">
        <v>4811</v>
      </c>
      <c r="J413" s="4" t="s">
        <v>596</v>
      </c>
      <c r="K413" s="4" t="s">
        <v>251</v>
      </c>
      <c r="L413" s="4" t="s">
        <v>4810</v>
      </c>
      <c r="M413" s="5" t="s">
        <v>4857</v>
      </c>
      <c r="N413" s="6">
        <f>238</f>
        <v>238</v>
      </c>
      <c r="O413" s="4" t="s">
        <v>265</v>
      </c>
      <c r="P413" s="6">
        <f>527170</f>
        <v>527170</v>
      </c>
      <c r="Q413" s="6">
        <f>0</f>
        <v>0</v>
      </c>
      <c r="S413" s="6">
        <f>0</f>
        <v>0</v>
      </c>
      <c r="T413" s="6">
        <f>527170</f>
        <v>527170</v>
      </c>
      <c r="U413" s="5" t="s">
        <v>245</v>
      </c>
      <c r="V413" s="4" t="s">
        <v>270</v>
      </c>
      <c r="W413" s="4" t="s">
        <v>242</v>
      </c>
      <c r="X413" s="4" t="s">
        <v>273</v>
      </c>
      <c r="Y413" s="4" t="s">
        <v>241</v>
      </c>
      <c r="AB413" s="4" t="s">
        <v>241</v>
      </c>
      <c r="AD413" s="5" t="s">
        <v>241</v>
      </c>
      <c r="AG413" s="5" t="s">
        <v>246</v>
      </c>
      <c r="AH413" s="4" t="s">
        <v>241</v>
      </c>
      <c r="AI413" s="4" t="s">
        <v>247</v>
      </c>
      <c r="AJ413" s="4" t="s">
        <v>248</v>
      </c>
      <c r="AZ413" s="4" t="s">
        <v>249</v>
      </c>
      <c r="BA413" s="4" t="s">
        <v>241</v>
      </c>
      <c r="BB413" s="4" t="s">
        <v>250</v>
      </c>
      <c r="BC413" s="4" t="s">
        <v>241</v>
      </c>
      <c r="BD413" s="4" t="s">
        <v>252</v>
      </c>
      <c r="BE413" s="4" t="s">
        <v>241</v>
      </c>
      <c r="BI413" s="4" t="s">
        <v>253</v>
      </c>
      <c r="BJ413" s="5" t="s">
        <v>246</v>
      </c>
      <c r="BK413" s="4" t="s">
        <v>254</v>
      </c>
      <c r="BL413" s="4" t="s">
        <v>255</v>
      </c>
      <c r="BM413" s="4" t="s">
        <v>241</v>
      </c>
      <c r="BN413" s="6">
        <f>0</f>
        <v>0</v>
      </c>
      <c r="BO413" s="6">
        <f>0</f>
        <v>0</v>
      </c>
      <c r="BP413" s="4" t="s">
        <v>256</v>
      </c>
      <c r="BQ413" s="4" t="s">
        <v>257</v>
      </c>
      <c r="CE413" s="4" t="s">
        <v>241</v>
      </c>
      <c r="CF413" s="4" t="s">
        <v>241</v>
      </c>
      <c r="CJ413" s="4" t="s">
        <v>258</v>
      </c>
      <c r="CK413" s="4" t="s">
        <v>259</v>
      </c>
      <c r="CL413" s="4" t="s">
        <v>241</v>
      </c>
      <c r="CO413" s="5" t="s">
        <v>260</v>
      </c>
      <c r="CP413" s="4" t="s">
        <v>241</v>
      </c>
      <c r="CQ413" s="4" t="s">
        <v>261</v>
      </c>
      <c r="CR413" s="4" t="s">
        <v>241</v>
      </c>
      <c r="CS413" s="4" t="s">
        <v>241</v>
      </c>
      <c r="CT413" s="4">
        <v>0</v>
      </c>
      <c r="CU413" s="4" t="s">
        <v>262</v>
      </c>
      <c r="CV413" s="4" t="s">
        <v>263</v>
      </c>
      <c r="CW413" s="4" t="s">
        <v>263</v>
      </c>
      <c r="CX413" s="4" t="s">
        <v>264</v>
      </c>
      <c r="DA413" s="6">
        <f>527170</f>
        <v>527170</v>
      </c>
      <c r="DC413" s="4" t="s">
        <v>422</v>
      </c>
      <c r="DD413" s="4" t="s">
        <v>241</v>
      </c>
      <c r="DF413" s="4" t="s">
        <v>387</v>
      </c>
      <c r="DG413" s="6">
        <f>238</f>
        <v>238</v>
      </c>
      <c r="DI413" s="4" t="s">
        <v>414</v>
      </c>
      <c r="DJ413" s="4" t="s">
        <v>241</v>
      </c>
      <c r="DK413" s="4" t="s">
        <v>241</v>
      </c>
      <c r="DL413" s="4" t="s">
        <v>241</v>
      </c>
      <c r="DP413" s="4" t="s">
        <v>241</v>
      </c>
      <c r="DQ413" s="4" t="s">
        <v>241</v>
      </c>
      <c r="DR413" s="4" t="s">
        <v>241</v>
      </c>
      <c r="DS413" s="4" t="s">
        <v>241</v>
      </c>
      <c r="DV413" s="4" t="s">
        <v>4813</v>
      </c>
      <c r="DW413" s="4" t="s">
        <v>1726</v>
      </c>
      <c r="HO413" s="4" t="s">
        <v>267</v>
      </c>
    </row>
    <row r="414" spans="1:223" ht="19.5" customHeight="1" x14ac:dyDescent="0.4">
      <c r="A414" s="4">
        <v>1</v>
      </c>
      <c r="B414" s="4" t="s">
        <v>239</v>
      </c>
      <c r="C414" s="4">
        <v>1149</v>
      </c>
      <c r="D414" s="4">
        <v>1</v>
      </c>
      <c r="E414" s="4">
        <v>1</v>
      </c>
      <c r="F414" s="4" t="s">
        <v>240</v>
      </c>
      <c r="G414" s="4" t="s">
        <v>241</v>
      </c>
      <c r="H414" s="4" t="s">
        <v>241</v>
      </c>
      <c r="I414" s="4" t="s">
        <v>4811</v>
      </c>
      <c r="J414" s="4" t="s">
        <v>596</v>
      </c>
      <c r="K414" s="4" t="s">
        <v>251</v>
      </c>
      <c r="L414" s="4" t="s">
        <v>4810</v>
      </c>
      <c r="M414" s="5" t="s">
        <v>4858</v>
      </c>
      <c r="N414" s="6">
        <f>780</f>
        <v>780</v>
      </c>
      <c r="O414" s="4" t="s">
        <v>265</v>
      </c>
      <c r="P414" s="6">
        <f>1727700</f>
        <v>1727700</v>
      </c>
      <c r="Q414" s="6">
        <f>0</f>
        <v>0</v>
      </c>
      <c r="S414" s="6">
        <f>0</f>
        <v>0</v>
      </c>
      <c r="T414" s="6">
        <f>1727700</f>
        <v>1727700</v>
      </c>
      <c r="U414" s="5" t="s">
        <v>245</v>
      </c>
      <c r="V414" s="4" t="s">
        <v>270</v>
      </c>
      <c r="W414" s="4" t="s">
        <v>242</v>
      </c>
      <c r="X414" s="4" t="s">
        <v>273</v>
      </c>
      <c r="Y414" s="4" t="s">
        <v>241</v>
      </c>
      <c r="AB414" s="4" t="s">
        <v>241</v>
      </c>
      <c r="AD414" s="5" t="s">
        <v>241</v>
      </c>
      <c r="AG414" s="5" t="s">
        <v>246</v>
      </c>
      <c r="AH414" s="4" t="s">
        <v>241</v>
      </c>
      <c r="AI414" s="4" t="s">
        <v>247</v>
      </c>
      <c r="AJ414" s="4" t="s">
        <v>248</v>
      </c>
      <c r="AZ414" s="4" t="s">
        <v>249</v>
      </c>
      <c r="BA414" s="4" t="s">
        <v>241</v>
      </c>
      <c r="BB414" s="4" t="s">
        <v>250</v>
      </c>
      <c r="BC414" s="4" t="s">
        <v>241</v>
      </c>
      <c r="BD414" s="4" t="s">
        <v>252</v>
      </c>
      <c r="BE414" s="4" t="s">
        <v>241</v>
      </c>
      <c r="BI414" s="4" t="s">
        <v>253</v>
      </c>
      <c r="BJ414" s="5" t="s">
        <v>246</v>
      </c>
      <c r="BK414" s="4" t="s">
        <v>254</v>
      </c>
      <c r="BL414" s="4" t="s">
        <v>255</v>
      </c>
      <c r="BM414" s="4" t="s">
        <v>241</v>
      </c>
      <c r="BN414" s="6">
        <f>0</f>
        <v>0</v>
      </c>
      <c r="BO414" s="6">
        <f>0</f>
        <v>0</v>
      </c>
      <c r="BP414" s="4" t="s">
        <v>256</v>
      </c>
      <c r="BQ414" s="4" t="s">
        <v>257</v>
      </c>
      <c r="CE414" s="4" t="s">
        <v>241</v>
      </c>
      <c r="CF414" s="4" t="s">
        <v>241</v>
      </c>
      <c r="CJ414" s="4" t="s">
        <v>258</v>
      </c>
      <c r="CK414" s="4" t="s">
        <v>259</v>
      </c>
      <c r="CL414" s="4" t="s">
        <v>241</v>
      </c>
      <c r="CO414" s="5" t="s">
        <v>260</v>
      </c>
      <c r="CP414" s="4" t="s">
        <v>241</v>
      </c>
      <c r="CQ414" s="4" t="s">
        <v>261</v>
      </c>
      <c r="CR414" s="4" t="s">
        <v>241</v>
      </c>
      <c r="CS414" s="4" t="s">
        <v>241</v>
      </c>
      <c r="CT414" s="4">
        <v>0</v>
      </c>
      <c r="CU414" s="4" t="s">
        <v>262</v>
      </c>
      <c r="CV414" s="4" t="s">
        <v>263</v>
      </c>
      <c r="CW414" s="4" t="s">
        <v>263</v>
      </c>
      <c r="CX414" s="4" t="s">
        <v>264</v>
      </c>
      <c r="DA414" s="6">
        <f>1727700</f>
        <v>1727700</v>
      </c>
      <c r="DC414" s="4" t="s">
        <v>422</v>
      </c>
      <c r="DD414" s="4" t="s">
        <v>241</v>
      </c>
      <c r="DF414" s="4" t="s">
        <v>387</v>
      </c>
      <c r="DG414" s="6">
        <f>780</f>
        <v>780</v>
      </c>
      <c r="DI414" s="4" t="s">
        <v>414</v>
      </c>
      <c r="DJ414" s="4" t="s">
        <v>241</v>
      </c>
      <c r="DK414" s="4" t="s">
        <v>241</v>
      </c>
      <c r="DL414" s="4" t="s">
        <v>241</v>
      </c>
      <c r="DP414" s="4" t="s">
        <v>241</v>
      </c>
      <c r="DQ414" s="4" t="s">
        <v>241</v>
      </c>
      <c r="DR414" s="4" t="s">
        <v>241</v>
      </c>
      <c r="DS414" s="4" t="s">
        <v>241</v>
      </c>
      <c r="DV414" s="4" t="s">
        <v>4813</v>
      </c>
      <c r="DW414" s="4" t="s">
        <v>741</v>
      </c>
      <c r="HO414" s="4" t="s">
        <v>267</v>
      </c>
    </row>
    <row r="415" spans="1:223" ht="19.5" customHeight="1" x14ac:dyDescent="0.4">
      <c r="A415" s="4">
        <v>1</v>
      </c>
      <c r="B415" s="4" t="s">
        <v>239</v>
      </c>
      <c r="C415" s="4">
        <v>1150</v>
      </c>
      <c r="D415" s="4">
        <v>1</v>
      </c>
      <c r="E415" s="4">
        <v>1</v>
      </c>
      <c r="F415" s="4" t="s">
        <v>240</v>
      </c>
      <c r="G415" s="4" t="s">
        <v>241</v>
      </c>
      <c r="H415" s="4" t="s">
        <v>241</v>
      </c>
      <c r="I415" s="4" t="s">
        <v>4811</v>
      </c>
      <c r="J415" s="4" t="s">
        <v>596</v>
      </c>
      <c r="K415" s="4" t="s">
        <v>251</v>
      </c>
      <c r="L415" s="4" t="s">
        <v>4810</v>
      </c>
      <c r="M415" s="5" t="s">
        <v>4859</v>
      </c>
      <c r="N415" s="6">
        <f>780</f>
        <v>780</v>
      </c>
      <c r="O415" s="4" t="s">
        <v>265</v>
      </c>
      <c r="P415" s="6">
        <f>1727700</f>
        <v>1727700</v>
      </c>
      <c r="Q415" s="6">
        <f>0</f>
        <v>0</v>
      </c>
      <c r="S415" s="6">
        <f>0</f>
        <v>0</v>
      </c>
      <c r="T415" s="6">
        <f>1727700</f>
        <v>1727700</v>
      </c>
      <c r="U415" s="5" t="s">
        <v>245</v>
      </c>
      <c r="V415" s="4" t="s">
        <v>270</v>
      </c>
      <c r="W415" s="4" t="s">
        <v>242</v>
      </c>
      <c r="X415" s="4" t="s">
        <v>273</v>
      </c>
      <c r="Y415" s="4" t="s">
        <v>241</v>
      </c>
      <c r="AB415" s="4" t="s">
        <v>241</v>
      </c>
      <c r="AD415" s="5" t="s">
        <v>241</v>
      </c>
      <c r="AG415" s="5" t="s">
        <v>246</v>
      </c>
      <c r="AH415" s="4" t="s">
        <v>241</v>
      </c>
      <c r="AI415" s="4" t="s">
        <v>247</v>
      </c>
      <c r="AJ415" s="4" t="s">
        <v>248</v>
      </c>
      <c r="AZ415" s="4" t="s">
        <v>249</v>
      </c>
      <c r="BA415" s="4" t="s">
        <v>241</v>
      </c>
      <c r="BB415" s="4" t="s">
        <v>250</v>
      </c>
      <c r="BC415" s="4" t="s">
        <v>241</v>
      </c>
      <c r="BD415" s="4" t="s">
        <v>252</v>
      </c>
      <c r="BE415" s="4" t="s">
        <v>241</v>
      </c>
      <c r="BI415" s="4" t="s">
        <v>253</v>
      </c>
      <c r="BJ415" s="5" t="s">
        <v>246</v>
      </c>
      <c r="BK415" s="4" t="s">
        <v>254</v>
      </c>
      <c r="BL415" s="4" t="s">
        <v>255</v>
      </c>
      <c r="BM415" s="4" t="s">
        <v>241</v>
      </c>
      <c r="BN415" s="6">
        <f>0</f>
        <v>0</v>
      </c>
      <c r="BO415" s="6">
        <f>0</f>
        <v>0</v>
      </c>
      <c r="BP415" s="4" t="s">
        <v>256</v>
      </c>
      <c r="BQ415" s="4" t="s">
        <v>257</v>
      </c>
      <c r="CE415" s="4" t="s">
        <v>241</v>
      </c>
      <c r="CF415" s="4" t="s">
        <v>241</v>
      </c>
      <c r="CJ415" s="4" t="s">
        <v>258</v>
      </c>
      <c r="CK415" s="4" t="s">
        <v>259</v>
      </c>
      <c r="CL415" s="4" t="s">
        <v>241</v>
      </c>
      <c r="CO415" s="5" t="s">
        <v>260</v>
      </c>
      <c r="CP415" s="4" t="s">
        <v>241</v>
      </c>
      <c r="CQ415" s="4" t="s">
        <v>261</v>
      </c>
      <c r="CR415" s="4" t="s">
        <v>241</v>
      </c>
      <c r="CS415" s="4" t="s">
        <v>241</v>
      </c>
      <c r="CT415" s="4">
        <v>0</v>
      </c>
      <c r="CU415" s="4" t="s">
        <v>262</v>
      </c>
      <c r="CV415" s="4" t="s">
        <v>263</v>
      </c>
      <c r="CW415" s="4" t="s">
        <v>263</v>
      </c>
      <c r="CX415" s="4" t="s">
        <v>264</v>
      </c>
      <c r="DA415" s="6">
        <f>1727700</f>
        <v>1727700</v>
      </c>
      <c r="DC415" s="4" t="s">
        <v>422</v>
      </c>
      <c r="DD415" s="4" t="s">
        <v>241</v>
      </c>
      <c r="DF415" s="4" t="s">
        <v>387</v>
      </c>
      <c r="DG415" s="6">
        <f>780</f>
        <v>780</v>
      </c>
      <c r="DI415" s="4" t="s">
        <v>414</v>
      </c>
      <c r="DJ415" s="4" t="s">
        <v>241</v>
      </c>
      <c r="DK415" s="4" t="s">
        <v>241</v>
      </c>
      <c r="DL415" s="4" t="s">
        <v>241</v>
      </c>
      <c r="DP415" s="4" t="s">
        <v>241</v>
      </c>
      <c r="DQ415" s="4" t="s">
        <v>241</v>
      </c>
      <c r="DR415" s="4" t="s">
        <v>241</v>
      </c>
      <c r="DS415" s="4" t="s">
        <v>241</v>
      </c>
      <c r="DV415" s="4" t="s">
        <v>4813</v>
      </c>
      <c r="DW415" s="4" t="s">
        <v>1723</v>
      </c>
      <c r="HO415" s="4" t="s">
        <v>267</v>
      </c>
    </row>
    <row r="416" spans="1:223" ht="19.5" customHeight="1" x14ac:dyDescent="0.4">
      <c r="A416" s="4">
        <v>1</v>
      </c>
      <c r="B416" s="4" t="s">
        <v>239</v>
      </c>
      <c r="C416" s="4">
        <v>1151</v>
      </c>
      <c r="D416" s="4">
        <v>1</v>
      </c>
      <c r="E416" s="4">
        <v>1</v>
      </c>
      <c r="F416" s="4" t="s">
        <v>240</v>
      </c>
      <c r="G416" s="4" t="s">
        <v>241</v>
      </c>
      <c r="H416" s="4" t="s">
        <v>241</v>
      </c>
      <c r="I416" s="4" t="s">
        <v>4811</v>
      </c>
      <c r="J416" s="4" t="s">
        <v>596</v>
      </c>
      <c r="K416" s="4" t="s">
        <v>251</v>
      </c>
      <c r="L416" s="4" t="s">
        <v>4810</v>
      </c>
      <c r="M416" s="5" t="s">
        <v>4860</v>
      </c>
      <c r="N416" s="6">
        <f>780</f>
        <v>780</v>
      </c>
      <c r="O416" s="4" t="s">
        <v>265</v>
      </c>
      <c r="P416" s="6">
        <f>1727700</f>
        <v>1727700</v>
      </c>
      <c r="Q416" s="6">
        <f>0</f>
        <v>0</v>
      </c>
      <c r="S416" s="6">
        <f>0</f>
        <v>0</v>
      </c>
      <c r="T416" s="6">
        <f>1727700</f>
        <v>1727700</v>
      </c>
      <c r="U416" s="5" t="s">
        <v>245</v>
      </c>
      <c r="V416" s="4" t="s">
        <v>270</v>
      </c>
      <c r="W416" s="4" t="s">
        <v>242</v>
      </c>
      <c r="X416" s="4" t="s">
        <v>273</v>
      </c>
      <c r="Y416" s="4" t="s">
        <v>241</v>
      </c>
      <c r="AB416" s="4" t="s">
        <v>241</v>
      </c>
      <c r="AD416" s="5" t="s">
        <v>241</v>
      </c>
      <c r="AG416" s="5" t="s">
        <v>246</v>
      </c>
      <c r="AH416" s="4" t="s">
        <v>241</v>
      </c>
      <c r="AI416" s="4" t="s">
        <v>247</v>
      </c>
      <c r="AJ416" s="4" t="s">
        <v>248</v>
      </c>
      <c r="AZ416" s="4" t="s">
        <v>249</v>
      </c>
      <c r="BA416" s="4" t="s">
        <v>241</v>
      </c>
      <c r="BB416" s="4" t="s">
        <v>250</v>
      </c>
      <c r="BC416" s="4" t="s">
        <v>241</v>
      </c>
      <c r="BD416" s="4" t="s">
        <v>252</v>
      </c>
      <c r="BE416" s="4" t="s">
        <v>241</v>
      </c>
      <c r="BI416" s="4" t="s">
        <v>253</v>
      </c>
      <c r="BJ416" s="5" t="s">
        <v>246</v>
      </c>
      <c r="BK416" s="4" t="s">
        <v>254</v>
      </c>
      <c r="BL416" s="4" t="s">
        <v>255</v>
      </c>
      <c r="BM416" s="4" t="s">
        <v>241</v>
      </c>
      <c r="BN416" s="6">
        <f>0</f>
        <v>0</v>
      </c>
      <c r="BO416" s="6">
        <f>0</f>
        <v>0</v>
      </c>
      <c r="BP416" s="4" t="s">
        <v>256</v>
      </c>
      <c r="BQ416" s="4" t="s">
        <v>257</v>
      </c>
      <c r="CE416" s="4" t="s">
        <v>241</v>
      </c>
      <c r="CF416" s="4" t="s">
        <v>241</v>
      </c>
      <c r="CJ416" s="4" t="s">
        <v>258</v>
      </c>
      <c r="CK416" s="4" t="s">
        <v>259</v>
      </c>
      <c r="CL416" s="4" t="s">
        <v>241</v>
      </c>
      <c r="CO416" s="5" t="s">
        <v>260</v>
      </c>
      <c r="CP416" s="4" t="s">
        <v>241</v>
      </c>
      <c r="CQ416" s="4" t="s">
        <v>261</v>
      </c>
      <c r="CR416" s="4" t="s">
        <v>241</v>
      </c>
      <c r="CS416" s="4" t="s">
        <v>241</v>
      </c>
      <c r="CT416" s="4">
        <v>0</v>
      </c>
      <c r="CU416" s="4" t="s">
        <v>262</v>
      </c>
      <c r="CV416" s="4" t="s">
        <v>263</v>
      </c>
      <c r="CW416" s="4" t="s">
        <v>263</v>
      </c>
      <c r="CX416" s="4" t="s">
        <v>264</v>
      </c>
      <c r="DA416" s="6">
        <f>1727700</f>
        <v>1727700</v>
      </c>
      <c r="DC416" s="4" t="s">
        <v>422</v>
      </c>
      <c r="DD416" s="4" t="s">
        <v>241</v>
      </c>
      <c r="DF416" s="4" t="s">
        <v>348</v>
      </c>
      <c r="DG416" s="6">
        <f>780</f>
        <v>780</v>
      </c>
      <c r="DI416" s="4" t="s">
        <v>414</v>
      </c>
      <c r="DJ416" s="4" t="s">
        <v>241</v>
      </c>
      <c r="DK416" s="4" t="s">
        <v>241</v>
      </c>
      <c r="DL416" s="4" t="s">
        <v>241</v>
      </c>
      <c r="DP416" s="4" t="s">
        <v>241</v>
      </c>
      <c r="DQ416" s="4" t="s">
        <v>241</v>
      </c>
      <c r="DR416" s="4" t="s">
        <v>241</v>
      </c>
      <c r="DS416" s="4" t="s">
        <v>241</v>
      </c>
      <c r="DV416" s="4" t="s">
        <v>4813</v>
      </c>
      <c r="DW416" s="4" t="s">
        <v>1721</v>
      </c>
      <c r="HO416" s="4" t="s">
        <v>267</v>
      </c>
    </row>
    <row r="417" spans="1:223" ht="19.5" customHeight="1" x14ac:dyDescent="0.4">
      <c r="A417" s="4">
        <v>1</v>
      </c>
      <c r="B417" s="4" t="s">
        <v>239</v>
      </c>
      <c r="C417" s="4">
        <v>1152</v>
      </c>
      <c r="D417" s="4">
        <v>1</v>
      </c>
      <c r="E417" s="4">
        <v>1</v>
      </c>
      <c r="F417" s="4" t="s">
        <v>240</v>
      </c>
      <c r="G417" s="4" t="s">
        <v>241</v>
      </c>
      <c r="H417" s="4" t="s">
        <v>241</v>
      </c>
      <c r="I417" s="4" t="s">
        <v>4811</v>
      </c>
      <c r="J417" s="4" t="s">
        <v>596</v>
      </c>
      <c r="K417" s="4" t="s">
        <v>251</v>
      </c>
      <c r="L417" s="4" t="s">
        <v>4810</v>
      </c>
      <c r="M417" s="5" t="s">
        <v>4861</v>
      </c>
      <c r="N417" s="6">
        <f>663</f>
        <v>663</v>
      </c>
      <c r="O417" s="4" t="s">
        <v>265</v>
      </c>
      <c r="P417" s="6">
        <f>1468545</f>
        <v>1468545</v>
      </c>
      <c r="Q417" s="6">
        <f>0</f>
        <v>0</v>
      </c>
      <c r="S417" s="6">
        <f>0</f>
        <v>0</v>
      </c>
      <c r="T417" s="6">
        <f>1468545</f>
        <v>1468545</v>
      </c>
      <c r="U417" s="5" t="s">
        <v>245</v>
      </c>
      <c r="V417" s="4" t="s">
        <v>270</v>
      </c>
      <c r="W417" s="4" t="s">
        <v>242</v>
      </c>
      <c r="X417" s="4" t="s">
        <v>273</v>
      </c>
      <c r="Y417" s="4" t="s">
        <v>241</v>
      </c>
      <c r="AB417" s="4" t="s">
        <v>241</v>
      </c>
      <c r="AD417" s="5" t="s">
        <v>241</v>
      </c>
      <c r="AG417" s="5" t="s">
        <v>246</v>
      </c>
      <c r="AH417" s="4" t="s">
        <v>241</v>
      </c>
      <c r="AI417" s="4" t="s">
        <v>247</v>
      </c>
      <c r="AJ417" s="4" t="s">
        <v>248</v>
      </c>
      <c r="AZ417" s="4" t="s">
        <v>249</v>
      </c>
      <c r="BA417" s="4" t="s">
        <v>241</v>
      </c>
      <c r="BB417" s="4" t="s">
        <v>250</v>
      </c>
      <c r="BC417" s="4" t="s">
        <v>241</v>
      </c>
      <c r="BD417" s="4" t="s">
        <v>252</v>
      </c>
      <c r="BE417" s="4" t="s">
        <v>241</v>
      </c>
      <c r="BI417" s="4" t="s">
        <v>253</v>
      </c>
      <c r="BJ417" s="5" t="s">
        <v>246</v>
      </c>
      <c r="BK417" s="4" t="s">
        <v>254</v>
      </c>
      <c r="BL417" s="4" t="s">
        <v>255</v>
      </c>
      <c r="BM417" s="4" t="s">
        <v>241</v>
      </c>
      <c r="BN417" s="6">
        <f>0</f>
        <v>0</v>
      </c>
      <c r="BO417" s="6">
        <f>0</f>
        <v>0</v>
      </c>
      <c r="BP417" s="4" t="s">
        <v>256</v>
      </c>
      <c r="BQ417" s="4" t="s">
        <v>257</v>
      </c>
      <c r="CE417" s="4" t="s">
        <v>241</v>
      </c>
      <c r="CF417" s="4" t="s">
        <v>241</v>
      </c>
      <c r="CJ417" s="4" t="s">
        <v>258</v>
      </c>
      <c r="CK417" s="4" t="s">
        <v>259</v>
      </c>
      <c r="CL417" s="4" t="s">
        <v>241</v>
      </c>
      <c r="CO417" s="5" t="s">
        <v>260</v>
      </c>
      <c r="CP417" s="4" t="s">
        <v>241</v>
      </c>
      <c r="CQ417" s="4" t="s">
        <v>261</v>
      </c>
      <c r="CR417" s="4" t="s">
        <v>241</v>
      </c>
      <c r="CS417" s="4" t="s">
        <v>241</v>
      </c>
      <c r="CT417" s="4">
        <v>0</v>
      </c>
      <c r="CU417" s="4" t="s">
        <v>262</v>
      </c>
      <c r="CV417" s="4" t="s">
        <v>263</v>
      </c>
      <c r="CW417" s="4" t="s">
        <v>263</v>
      </c>
      <c r="CX417" s="4" t="s">
        <v>264</v>
      </c>
      <c r="DA417" s="6">
        <f>1468545</f>
        <v>1468545</v>
      </c>
      <c r="DC417" s="4" t="s">
        <v>422</v>
      </c>
      <c r="DD417" s="4" t="s">
        <v>241</v>
      </c>
      <c r="DF417" s="4" t="s">
        <v>387</v>
      </c>
      <c r="DG417" s="6">
        <f>663</f>
        <v>663</v>
      </c>
      <c r="DI417" s="4" t="s">
        <v>414</v>
      </c>
      <c r="DJ417" s="4" t="s">
        <v>241</v>
      </c>
      <c r="DK417" s="4" t="s">
        <v>241</v>
      </c>
      <c r="DL417" s="4" t="s">
        <v>241</v>
      </c>
      <c r="DP417" s="4" t="s">
        <v>241</v>
      </c>
      <c r="DQ417" s="4" t="s">
        <v>241</v>
      </c>
      <c r="DR417" s="4" t="s">
        <v>241</v>
      </c>
      <c r="DS417" s="4" t="s">
        <v>241</v>
      </c>
      <c r="DV417" s="4" t="s">
        <v>4813</v>
      </c>
      <c r="DW417" s="4" t="s">
        <v>1719</v>
      </c>
      <c r="HO417" s="4" t="s">
        <v>267</v>
      </c>
    </row>
    <row r="418" spans="1:223" ht="19.5" customHeight="1" x14ac:dyDescent="0.4">
      <c r="A418" s="4">
        <v>1</v>
      </c>
      <c r="B418" s="4" t="s">
        <v>239</v>
      </c>
      <c r="C418" s="4">
        <v>1153</v>
      </c>
      <c r="D418" s="4">
        <v>1</v>
      </c>
      <c r="E418" s="4">
        <v>1</v>
      </c>
      <c r="F418" s="4" t="s">
        <v>240</v>
      </c>
      <c r="G418" s="4" t="s">
        <v>241</v>
      </c>
      <c r="H418" s="4" t="s">
        <v>241</v>
      </c>
      <c r="I418" s="4" t="s">
        <v>4811</v>
      </c>
      <c r="J418" s="4" t="s">
        <v>596</v>
      </c>
      <c r="K418" s="4" t="s">
        <v>251</v>
      </c>
      <c r="L418" s="4" t="s">
        <v>4810</v>
      </c>
      <c r="M418" s="5" t="s">
        <v>4862</v>
      </c>
      <c r="N418" s="6">
        <f>780</f>
        <v>780</v>
      </c>
      <c r="O418" s="4" t="s">
        <v>265</v>
      </c>
      <c r="P418" s="6">
        <f>1727700</f>
        <v>1727700</v>
      </c>
      <c r="Q418" s="6">
        <f>0</f>
        <v>0</v>
      </c>
      <c r="S418" s="6">
        <f>0</f>
        <v>0</v>
      </c>
      <c r="T418" s="6">
        <f>1727700</f>
        <v>1727700</v>
      </c>
      <c r="U418" s="5" t="s">
        <v>245</v>
      </c>
      <c r="V418" s="4" t="s">
        <v>270</v>
      </c>
      <c r="W418" s="4" t="s">
        <v>242</v>
      </c>
      <c r="X418" s="4" t="s">
        <v>273</v>
      </c>
      <c r="Y418" s="4" t="s">
        <v>241</v>
      </c>
      <c r="AB418" s="4" t="s">
        <v>241</v>
      </c>
      <c r="AD418" s="5" t="s">
        <v>241</v>
      </c>
      <c r="AG418" s="5" t="s">
        <v>246</v>
      </c>
      <c r="AH418" s="4" t="s">
        <v>241</v>
      </c>
      <c r="AI418" s="4" t="s">
        <v>247</v>
      </c>
      <c r="AJ418" s="4" t="s">
        <v>248</v>
      </c>
      <c r="AZ418" s="4" t="s">
        <v>249</v>
      </c>
      <c r="BA418" s="4" t="s">
        <v>241</v>
      </c>
      <c r="BB418" s="4" t="s">
        <v>250</v>
      </c>
      <c r="BC418" s="4" t="s">
        <v>241</v>
      </c>
      <c r="BD418" s="4" t="s">
        <v>252</v>
      </c>
      <c r="BE418" s="4" t="s">
        <v>241</v>
      </c>
      <c r="BI418" s="4" t="s">
        <v>253</v>
      </c>
      <c r="BJ418" s="5" t="s">
        <v>246</v>
      </c>
      <c r="BK418" s="4" t="s">
        <v>254</v>
      </c>
      <c r="BL418" s="4" t="s">
        <v>255</v>
      </c>
      <c r="BM418" s="4" t="s">
        <v>241</v>
      </c>
      <c r="BN418" s="6">
        <f>0</f>
        <v>0</v>
      </c>
      <c r="BO418" s="6">
        <f>0</f>
        <v>0</v>
      </c>
      <c r="BP418" s="4" t="s">
        <v>256</v>
      </c>
      <c r="BQ418" s="4" t="s">
        <v>257</v>
      </c>
      <c r="CE418" s="4" t="s">
        <v>241</v>
      </c>
      <c r="CF418" s="4" t="s">
        <v>241</v>
      </c>
      <c r="CJ418" s="4" t="s">
        <v>258</v>
      </c>
      <c r="CK418" s="4" t="s">
        <v>259</v>
      </c>
      <c r="CL418" s="4" t="s">
        <v>241</v>
      </c>
      <c r="CO418" s="5" t="s">
        <v>260</v>
      </c>
      <c r="CP418" s="4" t="s">
        <v>241</v>
      </c>
      <c r="CQ418" s="4" t="s">
        <v>261</v>
      </c>
      <c r="CR418" s="4" t="s">
        <v>241</v>
      </c>
      <c r="CS418" s="4" t="s">
        <v>241</v>
      </c>
      <c r="CT418" s="4">
        <v>0</v>
      </c>
      <c r="CU418" s="4" t="s">
        <v>262</v>
      </c>
      <c r="CV418" s="4" t="s">
        <v>263</v>
      </c>
      <c r="CW418" s="4" t="s">
        <v>263</v>
      </c>
      <c r="CX418" s="4" t="s">
        <v>264</v>
      </c>
      <c r="DA418" s="6">
        <f>1727700</f>
        <v>1727700</v>
      </c>
      <c r="DC418" s="4" t="s">
        <v>422</v>
      </c>
      <c r="DD418" s="4" t="s">
        <v>241</v>
      </c>
      <c r="DF418" s="4" t="s">
        <v>387</v>
      </c>
      <c r="DG418" s="6">
        <f>780</f>
        <v>780</v>
      </c>
      <c r="DI418" s="4" t="s">
        <v>414</v>
      </c>
      <c r="DJ418" s="4" t="s">
        <v>241</v>
      </c>
      <c r="DK418" s="4" t="s">
        <v>241</v>
      </c>
      <c r="DL418" s="4" t="s">
        <v>241</v>
      </c>
      <c r="DP418" s="4" t="s">
        <v>241</v>
      </c>
      <c r="DQ418" s="4" t="s">
        <v>241</v>
      </c>
      <c r="DR418" s="4" t="s">
        <v>241</v>
      </c>
      <c r="DS418" s="4" t="s">
        <v>241</v>
      </c>
      <c r="DV418" s="4" t="s">
        <v>4813</v>
      </c>
      <c r="DW418" s="4" t="s">
        <v>1715</v>
      </c>
      <c r="HO418" s="4" t="s">
        <v>267</v>
      </c>
    </row>
    <row r="419" spans="1:223" ht="19.5" customHeight="1" x14ac:dyDescent="0.4">
      <c r="A419" s="4">
        <v>1</v>
      </c>
      <c r="B419" s="4" t="s">
        <v>239</v>
      </c>
      <c r="C419" s="4">
        <v>1154</v>
      </c>
      <c r="D419" s="4">
        <v>1</v>
      </c>
      <c r="E419" s="4">
        <v>1</v>
      </c>
      <c r="F419" s="4" t="s">
        <v>240</v>
      </c>
      <c r="G419" s="4" t="s">
        <v>241</v>
      </c>
      <c r="H419" s="4" t="s">
        <v>241</v>
      </c>
      <c r="I419" s="4" t="s">
        <v>4811</v>
      </c>
      <c r="J419" s="4" t="s">
        <v>596</v>
      </c>
      <c r="K419" s="4" t="s">
        <v>251</v>
      </c>
      <c r="L419" s="4" t="s">
        <v>4810</v>
      </c>
      <c r="M419" s="5" t="s">
        <v>4863</v>
      </c>
      <c r="N419" s="6">
        <f>780</f>
        <v>780</v>
      </c>
      <c r="O419" s="4" t="s">
        <v>265</v>
      </c>
      <c r="P419" s="6">
        <f>1727700</f>
        <v>1727700</v>
      </c>
      <c r="Q419" s="6">
        <f>0</f>
        <v>0</v>
      </c>
      <c r="S419" s="6">
        <f>0</f>
        <v>0</v>
      </c>
      <c r="T419" s="6">
        <f>1727700</f>
        <v>1727700</v>
      </c>
      <c r="U419" s="5" t="s">
        <v>245</v>
      </c>
      <c r="V419" s="4" t="s">
        <v>270</v>
      </c>
      <c r="W419" s="4" t="s">
        <v>242</v>
      </c>
      <c r="X419" s="4" t="s">
        <v>273</v>
      </c>
      <c r="Y419" s="4" t="s">
        <v>241</v>
      </c>
      <c r="AB419" s="4" t="s">
        <v>241</v>
      </c>
      <c r="AD419" s="5" t="s">
        <v>241</v>
      </c>
      <c r="AG419" s="5" t="s">
        <v>246</v>
      </c>
      <c r="AH419" s="4" t="s">
        <v>241</v>
      </c>
      <c r="AI419" s="4" t="s">
        <v>247</v>
      </c>
      <c r="AJ419" s="4" t="s">
        <v>248</v>
      </c>
      <c r="AZ419" s="4" t="s">
        <v>249</v>
      </c>
      <c r="BA419" s="4" t="s">
        <v>241</v>
      </c>
      <c r="BB419" s="4" t="s">
        <v>250</v>
      </c>
      <c r="BC419" s="4" t="s">
        <v>241</v>
      </c>
      <c r="BD419" s="4" t="s">
        <v>252</v>
      </c>
      <c r="BE419" s="4" t="s">
        <v>241</v>
      </c>
      <c r="BI419" s="4" t="s">
        <v>253</v>
      </c>
      <c r="BJ419" s="5" t="s">
        <v>246</v>
      </c>
      <c r="BK419" s="4" t="s">
        <v>254</v>
      </c>
      <c r="BL419" s="4" t="s">
        <v>255</v>
      </c>
      <c r="BM419" s="4" t="s">
        <v>241</v>
      </c>
      <c r="BN419" s="6">
        <f>0</f>
        <v>0</v>
      </c>
      <c r="BO419" s="6">
        <f>0</f>
        <v>0</v>
      </c>
      <c r="BP419" s="4" t="s">
        <v>256</v>
      </c>
      <c r="BQ419" s="4" t="s">
        <v>257</v>
      </c>
      <c r="CE419" s="4" t="s">
        <v>241</v>
      </c>
      <c r="CF419" s="4" t="s">
        <v>241</v>
      </c>
      <c r="CJ419" s="4" t="s">
        <v>258</v>
      </c>
      <c r="CK419" s="4" t="s">
        <v>259</v>
      </c>
      <c r="CL419" s="4" t="s">
        <v>241</v>
      </c>
      <c r="CO419" s="5" t="s">
        <v>260</v>
      </c>
      <c r="CP419" s="4" t="s">
        <v>241</v>
      </c>
      <c r="CQ419" s="4" t="s">
        <v>261</v>
      </c>
      <c r="CR419" s="4" t="s">
        <v>241</v>
      </c>
      <c r="CS419" s="4" t="s">
        <v>241</v>
      </c>
      <c r="CT419" s="4">
        <v>0</v>
      </c>
      <c r="CU419" s="4" t="s">
        <v>262</v>
      </c>
      <c r="CV419" s="4" t="s">
        <v>263</v>
      </c>
      <c r="CW419" s="4" t="s">
        <v>263</v>
      </c>
      <c r="CX419" s="4" t="s">
        <v>264</v>
      </c>
      <c r="DA419" s="6">
        <f>1727700</f>
        <v>1727700</v>
      </c>
      <c r="DC419" s="4" t="s">
        <v>422</v>
      </c>
      <c r="DD419" s="4" t="s">
        <v>241</v>
      </c>
      <c r="DF419" s="4" t="s">
        <v>387</v>
      </c>
      <c r="DG419" s="6">
        <f>780</f>
        <v>780</v>
      </c>
      <c r="DI419" s="4" t="s">
        <v>414</v>
      </c>
      <c r="DJ419" s="4" t="s">
        <v>241</v>
      </c>
      <c r="DK419" s="4" t="s">
        <v>241</v>
      </c>
      <c r="DL419" s="4" t="s">
        <v>241</v>
      </c>
      <c r="DP419" s="4" t="s">
        <v>241</v>
      </c>
      <c r="DQ419" s="4" t="s">
        <v>241</v>
      </c>
      <c r="DR419" s="4" t="s">
        <v>241</v>
      </c>
      <c r="DS419" s="4" t="s">
        <v>241</v>
      </c>
      <c r="DV419" s="4" t="s">
        <v>4813</v>
      </c>
      <c r="DW419" s="4" t="s">
        <v>1713</v>
      </c>
      <c r="HO419" s="4" t="s">
        <v>267</v>
      </c>
    </row>
    <row r="420" spans="1:223" ht="19.5" customHeight="1" x14ac:dyDescent="0.4">
      <c r="A420" s="4">
        <v>1</v>
      </c>
      <c r="B420" s="4" t="s">
        <v>239</v>
      </c>
      <c r="C420" s="4">
        <v>1155</v>
      </c>
      <c r="D420" s="4">
        <v>1</v>
      </c>
      <c r="E420" s="4">
        <v>1</v>
      </c>
      <c r="F420" s="4" t="s">
        <v>240</v>
      </c>
      <c r="G420" s="4" t="s">
        <v>241</v>
      </c>
      <c r="H420" s="4" t="s">
        <v>241</v>
      </c>
      <c r="I420" s="4" t="s">
        <v>4811</v>
      </c>
      <c r="J420" s="4" t="s">
        <v>596</v>
      </c>
      <c r="K420" s="4" t="s">
        <v>251</v>
      </c>
      <c r="L420" s="4" t="s">
        <v>4810</v>
      </c>
      <c r="M420" s="5" t="s">
        <v>4864</v>
      </c>
      <c r="N420" s="6">
        <f>614</f>
        <v>614</v>
      </c>
      <c r="O420" s="4" t="s">
        <v>265</v>
      </c>
      <c r="P420" s="6">
        <f>1360010</f>
        <v>1360010</v>
      </c>
      <c r="Q420" s="6">
        <f>0</f>
        <v>0</v>
      </c>
      <c r="S420" s="6">
        <f>0</f>
        <v>0</v>
      </c>
      <c r="T420" s="6">
        <f>1360010</f>
        <v>1360010</v>
      </c>
      <c r="U420" s="5" t="s">
        <v>245</v>
      </c>
      <c r="V420" s="4" t="s">
        <v>270</v>
      </c>
      <c r="W420" s="4" t="s">
        <v>242</v>
      </c>
      <c r="X420" s="4" t="s">
        <v>273</v>
      </c>
      <c r="Y420" s="4" t="s">
        <v>241</v>
      </c>
      <c r="AB420" s="4" t="s">
        <v>241</v>
      </c>
      <c r="AD420" s="5" t="s">
        <v>241</v>
      </c>
      <c r="AG420" s="5" t="s">
        <v>246</v>
      </c>
      <c r="AH420" s="4" t="s">
        <v>241</v>
      </c>
      <c r="AI420" s="4" t="s">
        <v>247</v>
      </c>
      <c r="AJ420" s="4" t="s">
        <v>248</v>
      </c>
      <c r="AZ420" s="4" t="s">
        <v>249</v>
      </c>
      <c r="BA420" s="4" t="s">
        <v>241</v>
      </c>
      <c r="BB420" s="4" t="s">
        <v>250</v>
      </c>
      <c r="BC420" s="4" t="s">
        <v>241</v>
      </c>
      <c r="BD420" s="4" t="s">
        <v>252</v>
      </c>
      <c r="BE420" s="4" t="s">
        <v>241</v>
      </c>
      <c r="BI420" s="4" t="s">
        <v>253</v>
      </c>
      <c r="BJ420" s="5" t="s">
        <v>246</v>
      </c>
      <c r="BK420" s="4" t="s">
        <v>254</v>
      </c>
      <c r="BL420" s="4" t="s">
        <v>255</v>
      </c>
      <c r="BM420" s="4" t="s">
        <v>241</v>
      </c>
      <c r="BN420" s="6">
        <f>0</f>
        <v>0</v>
      </c>
      <c r="BO420" s="6">
        <f>0</f>
        <v>0</v>
      </c>
      <c r="BP420" s="4" t="s">
        <v>256</v>
      </c>
      <c r="BQ420" s="4" t="s">
        <v>257</v>
      </c>
      <c r="CE420" s="4" t="s">
        <v>241</v>
      </c>
      <c r="CF420" s="4" t="s">
        <v>241</v>
      </c>
      <c r="CJ420" s="4" t="s">
        <v>258</v>
      </c>
      <c r="CK420" s="4" t="s">
        <v>259</v>
      </c>
      <c r="CL420" s="4" t="s">
        <v>241</v>
      </c>
      <c r="CO420" s="5" t="s">
        <v>260</v>
      </c>
      <c r="CP420" s="4" t="s">
        <v>241</v>
      </c>
      <c r="CQ420" s="4" t="s">
        <v>261</v>
      </c>
      <c r="CR420" s="4" t="s">
        <v>241</v>
      </c>
      <c r="CS420" s="4" t="s">
        <v>241</v>
      </c>
      <c r="CT420" s="4">
        <v>0</v>
      </c>
      <c r="CU420" s="4" t="s">
        <v>262</v>
      </c>
      <c r="CV420" s="4" t="s">
        <v>263</v>
      </c>
      <c r="CW420" s="4" t="s">
        <v>263</v>
      </c>
      <c r="CX420" s="4" t="s">
        <v>264</v>
      </c>
      <c r="DA420" s="6">
        <f>1360010</f>
        <v>1360010</v>
      </c>
      <c r="DC420" s="4" t="s">
        <v>422</v>
      </c>
      <c r="DD420" s="4" t="s">
        <v>241</v>
      </c>
      <c r="DF420" s="4" t="s">
        <v>387</v>
      </c>
      <c r="DG420" s="6">
        <f>614</f>
        <v>614</v>
      </c>
      <c r="DI420" s="4" t="s">
        <v>414</v>
      </c>
      <c r="DJ420" s="4" t="s">
        <v>241</v>
      </c>
      <c r="DK420" s="4" t="s">
        <v>241</v>
      </c>
      <c r="DL420" s="4" t="s">
        <v>241</v>
      </c>
      <c r="DP420" s="4" t="s">
        <v>241</v>
      </c>
      <c r="DQ420" s="4" t="s">
        <v>241</v>
      </c>
      <c r="DR420" s="4" t="s">
        <v>241</v>
      </c>
      <c r="DS420" s="4" t="s">
        <v>241</v>
      </c>
      <c r="DV420" s="4" t="s">
        <v>4813</v>
      </c>
      <c r="DW420" s="4" t="s">
        <v>1711</v>
      </c>
      <c r="HO420" s="4" t="s">
        <v>267</v>
      </c>
    </row>
    <row r="421" spans="1:223" ht="19.5" customHeight="1" x14ac:dyDescent="0.4">
      <c r="A421" s="4">
        <v>1</v>
      </c>
      <c r="B421" s="4" t="s">
        <v>239</v>
      </c>
      <c r="C421" s="4">
        <v>1156</v>
      </c>
      <c r="D421" s="4">
        <v>1</v>
      </c>
      <c r="E421" s="4">
        <v>1</v>
      </c>
      <c r="F421" s="4" t="s">
        <v>240</v>
      </c>
      <c r="G421" s="4" t="s">
        <v>241</v>
      </c>
      <c r="H421" s="4" t="s">
        <v>241</v>
      </c>
      <c r="I421" s="4" t="s">
        <v>4811</v>
      </c>
      <c r="J421" s="4" t="s">
        <v>596</v>
      </c>
      <c r="K421" s="4" t="s">
        <v>251</v>
      </c>
      <c r="L421" s="4" t="s">
        <v>4810</v>
      </c>
      <c r="M421" s="5" t="s">
        <v>4865</v>
      </c>
      <c r="N421" s="6">
        <f>758</f>
        <v>758</v>
      </c>
      <c r="O421" s="4" t="s">
        <v>265</v>
      </c>
      <c r="P421" s="6">
        <f>1678970</f>
        <v>1678970</v>
      </c>
      <c r="Q421" s="6">
        <f>0</f>
        <v>0</v>
      </c>
      <c r="S421" s="6">
        <f>0</f>
        <v>0</v>
      </c>
      <c r="T421" s="6">
        <f>1678970</f>
        <v>1678970</v>
      </c>
      <c r="U421" s="5" t="s">
        <v>245</v>
      </c>
      <c r="V421" s="4" t="s">
        <v>270</v>
      </c>
      <c r="W421" s="4" t="s">
        <v>242</v>
      </c>
      <c r="X421" s="4" t="s">
        <v>273</v>
      </c>
      <c r="Y421" s="4" t="s">
        <v>241</v>
      </c>
      <c r="AB421" s="4" t="s">
        <v>241</v>
      </c>
      <c r="AD421" s="5" t="s">
        <v>241</v>
      </c>
      <c r="AG421" s="5" t="s">
        <v>246</v>
      </c>
      <c r="AH421" s="4" t="s">
        <v>241</v>
      </c>
      <c r="AI421" s="4" t="s">
        <v>247</v>
      </c>
      <c r="AJ421" s="4" t="s">
        <v>248</v>
      </c>
      <c r="AZ421" s="4" t="s">
        <v>249</v>
      </c>
      <c r="BA421" s="4" t="s">
        <v>241</v>
      </c>
      <c r="BB421" s="4" t="s">
        <v>250</v>
      </c>
      <c r="BC421" s="4" t="s">
        <v>241</v>
      </c>
      <c r="BD421" s="4" t="s">
        <v>252</v>
      </c>
      <c r="BE421" s="4" t="s">
        <v>241</v>
      </c>
      <c r="BI421" s="4" t="s">
        <v>253</v>
      </c>
      <c r="BJ421" s="5" t="s">
        <v>246</v>
      </c>
      <c r="BK421" s="4" t="s">
        <v>254</v>
      </c>
      <c r="BL421" s="4" t="s">
        <v>255</v>
      </c>
      <c r="BM421" s="4" t="s">
        <v>241</v>
      </c>
      <c r="BN421" s="6">
        <f>0</f>
        <v>0</v>
      </c>
      <c r="BO421" s="6">
        <f>0</f>
        <v>0</v>
      </c>
      <c r="BP421" s="4" t="s">
        <v>256</v>
      </c>
      <c r="BQ421" s="4" t="s">
        <v>257</v>
      </c>
      <c r="CE421" s="4" t="s">
        <v>241</v>
      </c>
      <c r="CF421" s="4" t="s">
        <v>241</v>
      </c>
      <c r="CJ421" s="4" t="s">
        <v>258</v>
      </c>
      <c r="CK421" s="4" t="s">
        <v>259</v>
      </c>
      <c r="CL421" s="4" t="s">
        <v>241</v>
      </c>
      <c r="CO421" s="5" t="s">
        <v>260</v>
      </c>
      <c r="CP421" s="4" t="s">
        <v>241</v>
      </c>
      <c r="CQ421" s="4" t="s">
        <v>261</v>
      </c>
      <c r="CR421" s="4" t="s">
        <v>241</v>
      </c>
      <c r="CS421" s="4" t="s">
        <v>241</v>
      </c>
      <c r="CT421" s="4">
        <v>0</v>
      </c>
      <c r="CU421" s="4" t="s">
        <v>262</v>
      </c>
      <c r="CV421" s="4" t="s">
        <v>263</v>
      </c>
      <c r="CW421" s="4" t="s">
        <v>263</v>
      </c>
      <c r="CX421" s="4" t="s">
        <v>264</v>
      </c>
      <c r="DA421" s="6">
        <f>1678970</f>
        <v>1678970</v>
      </c>
      <c r="DC421" s="4" t="s">
        <v>422</v>
      </c>
      <c r="DD421" s="4" t="s">
        <v>241</v>
      </c>
      <c r="DF421" s="4" t="s">
        <v>387</v>
      </c>
      <c r="DG421" s="6">
        <f>758</f>
        <v>758</v>
      </c>
      <c r="DI421" s="4" t="s">
        <v>414</v>
      </c>
      <c r="DJ421" s="4" t="s">
        <v>241</v>
      </c>
      <c r="DK421" s="4" t="s">
        <v>241</v>
      </c>
      <c r="DL421" s="4" t="s">
        <v>241</v>
      </c>
      <c r="DP421" s="4" t="s">
        <v>241</v>
      </c>
      <c r="DQ421" s="4" t="s">
        <v>241</v>
      </c>
      <c r="DR421" s="4" t="s">
        <v>241</v>
      </c>
      <c r="DS421" s="4" t="s">
        <v>241</v>
      </c>
      <c r="DV421" s="4" t="s">
        <v>4813</v>
      </c>
      <c r="DW421" s="4" t="s">
        <v>1709</v>
      </c>
      <c r="HO421" s="4" t="s">
        <v>267</v>
      </c>
    </row>
    <row r="422" spans="1:223" ht="19.5" customHeight="1" x14ac:dyDescent="0.4">
      <c r="A422" s="4">
        <v>1</v>
      </c>
      <c r="B422" s="4" t="s">
        <v>239</v>
      </c>
      <c r="C422" s="4">
        <v>1157</v>
      </c>
      <c r="D422" s="4">
        <v>1</v>
      </c>
      <c r="E422" s="4">
        <v>1</v>
      </c>
      <c r="F422" s="4" t="s">
        <v>240</v>
      </c>
      <c r="G422" s="4" t="s">
        <v>241</v>
      </c>
      <c r="H422" s="4" t="s">
        <v>241</v>
      </c>
      <c r="I422" s="4" t="s">
        <v>4811</v>
      </c>
      <c r="J422" s="4" t="s">
        <v>596</v>
      </c>
      <c r="K422" s="4" t="s">
        <v>251</v>
      </c>
      <c r="L422" s="4" t="s">
        <v>4810</v>
      </c>
      <c r="M422" s="5" t="s">
        <v>4866</v>
      </c>
      <c r="N422" s="6">
        <f>939</f>
        <v>939</v>
      </c>
      <c r="O422" s="4" t="s">
        <v>265</v>
      </c>
      <c r="P422" s="6">
        <f>2079885</f>
        <v>2079885</v>
      </c>
      <c r="Q422" s="6">
        <f>0</f>
        <v>0</v>
      </c>
      <c r="S422" s="6">
        <f>0</f>
        <v>0</v>
      </c>
      <c r="T422" s="6">
        <f>2079885</f>
        <v>2079885</v>
      </c>
      <c r="U422" s="5" t="s">
        <v>245</v>
      </c>
      <c r="V422" s="4" t="s">
        <v>270</v>
      </c>
      <c r="W422" s="4" t="s">
        <v>242</v>
      </c>
      <c r="X422" s="4" t="s">
        <v>273</v>
      </c>
      <c r="Y422" s="4" t="s">
        <v>241</v>
      </c>
      <c r="AB422" s="4" t="s">
        <v>241</v>
      </c>
      <c r="AD422" s="5" t="s">
        <v>241</v>
      </c>
      <c r="AG422" s="5" t="s">
        <v>246</v>
      </c>
      <c r="AH422" s="4" t="s">
        <v>241</v>
      </c>
      <c r="AI422" s="4" t="s">
        <v>247</v>
      </c>
      <c r="AJ422" s="4" t="s">
        <v>248</v>
      </c>
      <c r="AZ422" s="4" t="s">
        <v>249</v>
      </c>
      <c r="BA422" s="4" t="s">
        <v>241</v>
      </c>
      <c r="BB422" s="4" t="s">
        <v>250</v>
      </c>
      <c r="BC422" s="4" t="s">
        <v>241</v>
      </c>
      <c r="BD422" s="4" t="s">
        <v>252</v>
      </c>
      <c r="BE422" s="4" t="s">
        <v>241</v>
      </c>
      <c r="BI422" s="4" t="s">
        <v>253</v>
      </c>
      <c r="BJ422" s="5" t="s">
        <v>246</v>
      </c>
      <c r="BK422" s="4" t="s">
        <v>254</v>
      </c>
      <c r="BL422" s="4" t="s">
        <v>255</v>
      </c>
      <c r="BM422" s="4" t="s">
        <v>241</v>
      </c>
      <c r="BN422" s="6">
        <f>0</f>
        <v>0</v>
      </c>
      <c r="BO422" s="6">
        <f>0</f>
        <v>0</v>
      </c>
      <c r="BP422" s="4" t="s">
        <v>256</v>
      </c>
      <c r="BQ422" s="4" t="s">
        <v>257</v>
      </c>
      <c r="CE422" s="4" t="s">
        <v>241</v>
      </c>
      <c r="CF422" s="4" t="s">
        <v>241</v>
      </c>
      <c r="CJ422" s="4" t="s">
        <v>258</v>
      </c>
      <c r="CK422" s="4" t="s">
        <v>259</v>
      </c>
      <c r="CL422" s="4" t="s">
        <v>241</v>
      </c>
      <c r="CO422" s="5" t="s">
        <v>260</v>
      </c>
      <c r="CP422" s="4" t="s">
        <v>241</v>
      </c>
      <c r="CQ422" s="4" t="s">
        <v>261</v>
      </c>
      <c r="CR422" s="4" t="s">
        <v>241</v>
      </c>
      <c r="CS422" s="4" t="s">
        <v>241</v>
      </c>
      <c r="CT422" s="4">
        <v>0</v>
      </c>
      <c r="CU422" s="4" t="s">
        <v>262</v>
      </c>
      <c r="CV422" s="4" t="s">
        <v>263</v>
      </c>
      <c r="CW422" s="4" t="s">
        <v>263</v>
      </c>
      <c r="CX422" s="4" t="s">
        <v>264</v>
      </c>
      <c r="DA422" s="6">
        <f>2079885</f>
        <v>2079885</v>
      </c>
      <c r="DC422" s="4" t="s">
        <v>422</v>
      </c>
      <c r="DD422" s="4" t="s">
        <v>241</v>
      </c>
      <c r="DF422" s="4" t="s">
        <v>387</v>
      </c>
      <c r="DG422" s="6">
        <f>939</f>
        <v>939</v>
      </c>
      <c r="DI422" s="4" t="s">
        <v>414</v>
      </c>
      <c r="DJ422" s="4" t="s">
        <v>241</v>
      </c>
      <c r="DK422" s="4" t="s">
        <v>241</v>
      </c>
      <c r="DL422" s="4" t="s">
        <v>241</v>
      </c>
      <c r="DP422" s="4" t="s">
        <v>241</v>
      </c>
      <c r="DQ422" s="4" t="s">
        <v>241</v>
      </c>
      <c r="DR422" s="4" t="s">
        <v>241</v>
      </c>
      <c r="DS422" s="4" t="s">
        <v>241</v>
      </c>
      <c r="DV422" s="4" t="s">
        <v>4813</v>
      </c>
      <c r="DW422" s="4" t="s">
        <v>737</v>
      </c>
      <c r="HO422" s="4" t="s">
        <v>267</v>
      </c>
    </row>
    <row r="423" spans="1:223" ht="19.5" customHeight="1" x14ac:dyDescent="0.4">
      <c r="A423" s="4">
        <v>1</v>
      </c>
      <c r="B423" s="4" t="s">
        <v>239</v>
      </c>
      <c r="C423" s="4">
        <v>1158</v>
      </c>
      <c r="D423" s="4">
        <v>1</v>
      </c>
      <c r="E423" s="4">
        <v>1</v>
      </c>
      <c r="F423" s="4" t="s">
        <v>240</v>
      </c>
      <c r="G423" s="4" t="s">
        <v>241</v>
      </c>
      <c r="H423" s="4" t="s">
        <v>241</v>
      </c>
      <c r="I423" s="4" t="s">
        <v>4811</v>
      </c>
      <c r="J423" s="4" t="s">
        <v>596</v>
      </c>
      <c r="K423" s="4" t="s">
        <v>251</v>
      </c>
      <c r="L423" s="4" t="s">
        <v>4810</v>
      </c>
      <c r="M423" s="5" t="s">
        <v>4867</v>
      </c>
      <c r="N423" s="6">
        <f>939</f>
        <v>939</v>
      </c>
      <c r="O423" s="4" t="s">
        <v>265</v>
      </c>
      <c r="P423" s="6">
        <f>2079885</f>
        <v>2079885</v>
      </c>
      <c r="Q423" s="6">
        <f>0</f>
        <v>0</v>
      </c>
      <c r="S423" s="6">
        <f>0</f>
        <v>0</v>
      </c>
      <c r="T423" s="6">
        <f>2079885</f>
        <v>2079885</v>
      </c>
      <c r="U423" s="5" t="s">
        <v>245</v>
      </c>
      <c r="V423" s="4" t="s">
        <v>270</v>
      </c>
      <c r="W423" s="4" t="s">
        <v>242</v>
      </c>
      <c r="X423" s="4" t="s">
        <v>273</v>
      </c>
      <c r="Y423" s="4" t="s">
        <v>241</v>
      </c>
      <c r="AB423" s="4" t="s">
        <v>241</v>
      </c>
      <c r="AD423" s="5" t="s">
        <v>241</v>
      </c>
      <c r="AG423" s="5" t="s">
        <v>246</v>
      </c>
      <c r="AH423" s="4" t="s">
        <v>241</v>
      </c>
      <c r="AI423" s="4" t="s">
        <v>247</v>
      </c>
      <c r="AJ423" s="4" t="s">
        <v>248</v>
      </c>
      <c r="AZ423" s="4" t="s">
        <v>249</v>
      </c>
      <c r="BA423" s="4" t="s">
        <v>241</v>
      </c>
      <c r="BB423" s="4" t="s">
        <v>250</v>
      </c>
      <c r="BC423" s="4" t="s">
        <v>241</v>
      </c>
      <c r="BD423" s="4" t="s">
        <v>252</v>
      </c>
      <c r="BE423" s="4" t="s">
        <v>241</v>
      </c>
      <c r="BI423" s="4" t="s">
        <v>253</v>
      </c>
      <c r="BJ423" s="5" t="s">
        <v>246</v>
      </c>
      <c r="BK423" s="4" t="s">
        <v>254</v>
      </c>
      <c r="BL423" s="4" t="s">
        <v>255</v>
      </c>
      <c r="BM423" s="4" t="s">
        <v>241</v>
      </c>
      <c r="BN423" s="6">
        <f>0</f>
        <v>0</v>
      </c>
      <c r="BO423" s="6">
        <f>0</f>
        <v>0</v>
      </c>
      <c r="BP423" s="4" t="s">
        <v>256</v>
      </c>
      <c r="BQ423" s="4" t="s">
        <v>257</v>
      </c>
      <c r="CE423" s="4" t="s">
        <v>241</v>
      </c>
      <c r="CF423" s="4" t="s">
        <v>241</v>
      </c>
      <c r="CJ423" s="4" t="s">
        <v>258</v>
      </c>
      <c r="CK423" s="4" t="s">
        <v>259</v>
      </c>
      <c r="CL423" s="4" t="s">
        <v>241</v>
      </c>
      <c r="CO423" s="5" t="s">
        <v>260</v>
      </c>
      <c r="CP423" s="4" t="s">
        <v>241</v>
      </c>
      <c r="CQ423" s="4" t="s">
        <v>261</v>
      </c>
      <c r="CR423" s="4" t="s">
        <v>241</v>
      </c>
      <c r="CS423" s="4" t="s">
        <v>241</v>
      </c>
      <c r="CT423" s="4">
        <v>0</v>
      </c>
      <c r="CU423" s="4" t="s">
        <v>262</v>
      </c>
      <c r="CV423" s="4" t="s">
        <v>263</v>
      </c>
      <c r="CW423" s="4" t="s">
        <v>263</v>
      </c>
      <c r="CX423" s="4" t="s">
        <v>264</v>
      </c>
      <c r="DA423" s="6">
        <f>2079885</f>
        <v>2079885</v>
      </c>
      <c r="DC423" s="4" t="s">
        <v>422</v>
      </c>
      <c r="DD423" s="4" t="s">
        <v>241</v>
      </c>
      <c r="DF423" s="4" t="s">
        <v>387</v>
      </c>
      <c r="DG423" s="6">
        <f>939</f>
        <v>939</v>
      </c>
      <c r="DI423" s="4" t="s">
        <v>414</v>
      </c>
      <c r="DJ423" s="4" t="s">
        <v>241</v>
      </c>
      <c r="DK423" s="4" t="s">
        <v>241</v>
      </c>
      <c r="DL423" s="4" t="s">
        <v>241</v>
      </c>
      <c r="DP423" s="4" t="s">
        <v>241</v>
      </c>
      <c r="DQ423" s="4" t="s">
        <v>241</v>
      </c>
      <c r="DR423" s="4" t="s">
        <v>241</v>
      </c>
      <c r="DS423" s="4" t="s">
        <v>241</v>
      </c>
      <c r="DV423" s="4" t="s">
        <v>4813</v>
      </c>
      <c r="DW423" s="4" t="s">
        <v>1832</v>
      </c>
      <c r="HO423" s="4" t="s">
        <v>267</v>
      </c>
    </row>
    <row r="424" spans="1:223" ht="19.5" customHeight="1" x14ac:dyDescent="0.4">
      <c r="A424" s="4">
        <v>1</v>
      </c>
      <c r="B424" s="4" t="s">
        <v>239</v>
      </c>
      <c r="C424" s="4">
        <v>1159</v>
      </c>
      <c r="D424" s="4">
        <v>1</v>
      </c>
      <c r="E424" s="4">
        <v>1</v>
      </c>
      <c r="F424" s="4" t="s">
        <v>240</v>
      </c>
      <c r="G424" s="4" t="s">
        <v>241</v>
      </c>
      <c r="H424" s="4" t="s">
        <v>241</v>
      </c>
      <c r="I424" s="4" t="s">
        <v>4811</v>
      </c>
      <c r="J424" s="4" t="s">
        <v>596</v>
      </c>
      <c r="K424" s="4" t="s">
        <v>251</v>
      </c>
      <c r="L424" s="4" t="s">
        <v>4810</v>
      </c>
      <c r="M424" s="5" t="s">
        <v>4868</v>
      </c>
      <c r="N424" s="6">
        <f>939</f>
        <v>939</v>
      </c>
      <c r="O424" s="4" t="s">
        <v>265</v>
      </c>
      <c r="P424" s="6">
        <f>2079885</f>
        <v>2079885</v>
      </c>
      <c r="Q424" s="6">
        <f>0</f>
        <v>0</v>
      </c>
      <c r="S424" s="6">
        <f>0</f>
        <v>0</v>
      </c>
      <c r="T424" s="6">
        <f>2079885</f>
        <v>2079885</v>
      </c>
      <c r="U424" s="5" t="s">
        <v>245</v>
      </c>
      <c r="V424" s="4" t="s">
        <v>270</v>
      </c>
      <c r="W424" s="4" t="s">
        <v>242</v>
      </c>
      <c r="X424" s="4" t="s">
        <v>273</v>
      </c>
      <c r="Y424" s="4" t="s">
        <v>241</v>
      </c>
      <c r="AB424" s="4" t="s">
        <v>241</v>
      </c>
      <c r="AD424" s="5" t="s">
        <v>241</v>
      </c>
      <c r="AG424" s="5" t="s">
        <v>246</v>
      </c>
      <c r="AH424" s="4" t="s">
        <v>241</v>
      </c>
      <c r="AI424" s="4" t="s">
        <v>247</v>
      </c>
      <c r="AJ424" s="4" t="s">
        <v>248</v>
      </c>
      <c r="AZ424" s="4" t="s">
        <v>249</v>
      </c>
      <c r="BA424" s="4" t="s">
        <v>241</v>
      </c>
      <c r="BB424" s="4" t="s">
        <v>250</v>
      </c>
      <c r="BC424" s="4" t="s">
        <v>241</v>
      </c>
      <c r="BD424" s="4" t="s">
        <v>252</v>
      </c>
      <c r="BE424" s="4" t="s">
        <v>241</v>
      </c>
      <c r="BI424" s="4" t="s">
        <v>253</v>
      </c>
      <c r="BJ424" s="5" t="s">
        <v>246</v>
      </c>
      <c r="BK424" s="4" t="s">
        <v>254</v>
      </c>
      <c r="BL424" s="4" t="s">
        <v>255</v>
      </c>
      <c r="BM424" s="4" t="s">
        <v>241</v>
      </c>
      <c r="BN424" s="6">
        <f>0</f>
        <v>0</v>
      </c>
      <c r="BO424" s="6">
        <f>0</f>
        <v>0</v>
      </c>
      <c r="BP424" s="4" t="s">
        <v>256</v>
      </c>
      <c r="BQ424" s="4" t="s">
        <v>257</v>
      </c>
      <c r="CE424" s="4" t="s">
        <v>241</v>
      </c>
      <c r="CF424" s="4" t="s">
        <v>241</v>
      </c>
      <c r="CJ424" s="4" t="s">
        <v>258</v>
      </c>
      <c r="CK424" s="4" t="s">
        <v>259</v>
      </c>
      <c r="CL424" s="4" t="s">
        <v>241</v>
      </c>
      <c r="CO424" s="5" t="s">
        <v>260</v>
      </c>
      <c r="CP424" s="4" t="s">
        <v>241</v>
      </c>
      <c r="CQ424" s="4" t="s">
        <v>261</v>
      </c>
      <c r="CR424" s="4" t="s">
        <v>241</v>
      </c>
      <c r="CS424" s="4" t="s">
        <v>241</v>
      </c>
      <c r="CT424" s="4">
        <v>0</v>
      </c>
      <c r="CU424" s="4" t="s">
        <v>262</v>
      </c>
      <c r="CV424" s="4" t="s">
        <v>263</v>
      </c>
      <c r="CW424" s="4" t="s">
        <v>263</v>
      </c>
      <c r="CX424" s="4" t="s">
        <v>264</v>
      </c>
      <c r="DA424" s="6">
        <f>2079885</f>
        <v>2079885</v>
      </c>
      <c r="DC424" s="4" t="s">
        <v>422</v>
      </c>
      <c r="DD424" s="4" t="s">
        <v>241</v>
      </c>
      <c r="DF424" s="4" t="s">
        <v>387</v>
      </c>
      <c r="DG424" s="6">
        <f>939</f>
        <v>939</v>
      </c>
      <c r="DI424" s="4" t="s">
        <v>414</v>
      </c>
      <c r="DJ424" s="4" t="s">
        <v>241</v>
      </c>
      <c r="DK424" s="4" t="s">
        <v>241</v>
      </c>
      <c r="DL424" s="4" t="s">
        <v>241</v>
      </c>
      <c r="DP424" s="4" t="s">
        <v>241</v>
      </c>
      <c r="DQ424" s="4" t="s">
        <v>241</v>
      </c>
      <c r="DR424" s="4" t="s">
        <v>241</v>
      </c>
      <c r="DS424" s="4" t="s">
        <v>241</v>
      </c>
      <c r="DV424" s="4" t="s">
        <v>4813</v>
      </c>
      <c r="DW424" s="4" t="s">
        <v>1885</v>
      </c>
      <c r="HO424" s="4" t="s">
        <v>267</v>
      </c>
    </row>
    <row r="425" spans="1:223" ht="19.5" customHeight="1" x14ac:dyDescent="0.4">
      <c r="A425" s="4">
        <v>1</v>
      </c>
      <c r="B425" s="4" t="s">
        <v>239</v>
      </c>
      <c r="C425" s="4">
        <v>1160</v>
      </c>
      <c r="D425" s="4">
        <v>1</v>
      </c>
      <c r="E425" s="4">
        <v>1</v>
      </c>
      <c r="F425" s="4" t="s">
        <v>240</v>
      </c>
      <c r="G425" s="4" t="s">
        <v>241</v>
      </c>
      <c r="H425" s="4" t="s">
        <v>241</v>
      </c>
      <c r="I425" s="4" t="s">
        <v>4811</v>
      </c>
      <c r="J425" s="4" t="s">
        <v>596</v>
      </c>
      <c r="K425" s="4" t="s">
        <v>251</v>
      </c>
      <c r="L425" s="4" t="s">
        <v>4810</v>
      </c>
      <c r="M425" s="5" t="s">
        <v>4869</v>
      </c>
      <c r="N425" s="6">
        <f>939</f>
        <v>939</v>
      </c>
      <c r="O425" s="4" t="s">
        <v>265</v>
      </c>
      <c r="P425" s="6">
        <f>2079885</f>
        <v>2079885</v>
      </c>
      <c r="Q425" s="6">
        <f>0</f>
        <v>0</v>
      </c>
      <c r="S425" s="6">
        <f>0</f>
        <v>0</v>
      </c>
      <c r="T425" s="6">
        <f>2079885</f>
        <v>2079885</v>
      </c>
      <c r="U425" s="5" t="s">
        <v>245</v>
      </c>
      <c r="V425" s="4" t="s">
        <v>270</v>
      </c>
      <c r="W425" s="4" t="s">
        <v>242</v>
      </c>
      <c r="X425" s="4" t="s">
        <v>273</v>
      </c>
      <c r="Y425" s="4" t="s">
        <v>241</v>
      </c>
      <c r="AB425" s="4" t="s">
        <v>241</v>
      </c>
      <c r="AD425" s="5" t="s">
        <v>241</v>
      </c>
      <c r="AG425" s="5" t="s">
        <v>246</v>
      </c>
      <c r="AH425" s="4" t="s">
        <v>241</v>
      </c>
      <c r="AI425" s="4" t="s">
        <v>247</v>
      </c>
      <c r="AJ425" s="4" t="s">
        <v>248</v>
      </c>
      <c r="AZ425" s="4" t="s">
        <v>249</v>
      </c>
      <c r="BA425" s="4" t="s">
        <v>241</v>
      </c>
      <c r="BB425" s="4" t="s">
        <v>250</v>
      </c>
      <c r="BC425" s="4" t="s">
        <v>241</v>
      </c>
      <c r="BD425" s="4" t="s">
        <v>252</v>
      </c>
      <c r="BE425" s="4" t="s">
        <v>241</v>
      </c>
      <c r="BI425" s="4" t="s">
        <v>253</v>
      </c>
      <c r="BJ425" s="5" t="s">
        <v>246</v>
      </c>
      <c r="BK425" s="4" t="s">
        <v>254</v>
      </c>
      <c r="BL425" s="4" t="s">
        <v>255</v>
      </c>
      <c r="BM425" s="4" t="s">
        <v>241</v>
      </c>
      <c r="BN425" s="6">
        <f>0</f>
        <v>0</v>
      </c>
      <c r="BO425" s="6">
        <f>0</f>
        <v>0</v>
      </c>
      <c r="BP425" s="4" t="s">
        <v>256</v>
      </c>
      <c r="BQ425" s="4" t="s">
        <v>257</v>
      </c>
      <c r="CE425" s="4" t="s">
        <v>241</v>
      </c>
      <c r="CF425" s="4" t="s">
        <v>241</v>
      </c>
      <c r="CJ425" s="4" t="s">
        <v>258</v>
      </c>
      <c r="CK425" s="4" t="s">
        <v>259</v>
      </c>
      <c r="CL425" s="4" t="s">
        <v>241</v>
      </c>
      <c r="CO425" s="5" t="s">
        <v>260</v>
      </c>
      <c r="CP425" s="4" t="s">
        <v>241</v>
      </c>
      <c r="CQ425" s="4" t="s">
        <v>261</v>
      </c>
      <c r="CR425" s="4" t="s">
        <v>241</v>
      </c>
      <c r="CS425" s="4" t="s">
        <v>241</v>
      </c>
      <c r="CT425" s="4">
        <v>0</v>
      </c>
      <c r="CU425" s="4" t="s">
        <v>262</v>
      </c>
      <c r="CV425" s="4" t="s">
        <v>263</v>
      </c>
      <c r="CW425" s="4" t="s">
        <v>263</v>
      </c>
      <c r="CX425" s="4" t="s">
        <v>264</v>
      </c>
      <c r="DA425" s="6">
        <f>2079885</f>
        <v>2079885</v>
      </c>
      <c r="DC425" s="4" t="s">
        <v>422</v>
      </c>
      <c r="DD425" s="4" t="s">
        <v>241</v>
      </c>
      <c r="DF425" s="4" t="s">
        <v>387</v>
      </c>
      <c r="DG425" s="6">
        <f>939</f>
        <v>939</v>
      </c>
      <c r="DI425" s="4" t="s">
        <v>414</v>
      </c>
      <c r="DJ425" s="4" t="s">
        <v>241</v>
      </c>
      <c r="DK425" s="4" t="s">
        <v>241</v>
      </c>
      <c r="DL425" s="4" t="s">
        <v>241</v>
      </c>
      <c r="DP425" s="4" t="s">
        <v>241</v>
      </c>
      <c r="DQ425" s="4" t="s">
        <v>241</v>
      </c>
      <c r="DR425" s="4" t="s">
        <v>241</v>
      </c>
      <c r="DS425" s="4" t="s">
        <v>241</v>
      </c>
      <c r="DV425" s="4" t="s">
        <v>4813</v>
      </c>
      <c r="DW425" s="4" t="s">
        <v>1897</v>
      </c>
      <c r="HO425" s="4" t="s">
        <v>267</v>
      </c>
    </row>
    <row r="426" spans="1:223" ht="19.5" customHeight="1" x14ac:dyDescent="0.4">
      <c r="A426" s="4">
        <v>1</v>
      </c>
      <c r="B426" s="4" t="s">
        <v>239</v>
      </c>
      <c r="C426" s="4">
        <v>1161</v>
      </c>
      <c r="D426" s="4">
        <v>1</v>
      </c>
      <c r="E426" s="4">
        <v>1</v>
      </c>
      <c r="F426" s="4" t="s">
        <v>240</v>
      </c>
      <c r="G426" s="4" t="s">
        <v>241</v>
      </c>
      <c r="H426" s="4" t="s">
        <v>241</v>
      </c>
      <c r="I426" s="4" t="s">
        <v>4811</v>
      </c>
      <c r="J426" s="4" t="s">
        <v>596</v>
      </c>
      <c r="K426" s="4" t="s">
        <v>251</v>
      </c>
      <c r="L426" s="4" t="s">
        <v>4810</v>
      </c>
      <c r="M426" s="5" t="s">
        <v>4870</v>
      </c>
      <c r="N426" s="6">
        <f>509</f>
        <v>509</v>
      </c>
      <c r="O426" s="4" t="s">
        <v>265</v>
      </c>
      <c r="P426" s="6">
        <f>1127435</f>
        <v>1127435</v>
      </c>
      <c r="Q426" s="6">
        <f>0</f>
        <v>0</v>
      </c>
      <c r="S426" s="6">
        <f>0</f>
        <v>0</v>
      </c>
      <c r="T426" s="6">
        <f>1127435</f>
        <v>1127435</v>
      </c>
      <c r="U426" s="5" t="s">
        <v>245</v>
      </c>
      <c r="V426" s="4" t="s">
        <v>270</v>
      </c>
      <c r="W426" s="4" t="s">
        <v>242</v>
      </c>
      <c r="X426" s="4" t="s">
        <v>273</v>
      </c>
      <c r="Y426" s="4" t="s">
        <v>241</v>
      </c>
      <c r="AB426" s="4" t="s">
        <v>241</v>
      </c>
      <c r="AD426" s="5" t="s">
        <v>241</v>
      </c>
      <c r="AG426" s="5" t="s">
        <v>246</v>
      </c>
      <c r="AH426" s="4" t="s">
        <v>241</v>
      </c>
      <c r="AI426" s="4" t="s">
        <v>247</v>
      </c>
      <c r="AJ426" s="4" t="s">
        <v>248</v>
      </c>
      <c r="AZ426" s="4" t="s">
        <v>249</v>
      </c>
      <c r="BA426" s="4" t="s">
        <v>241</v>
      </c>
      <c r="BB426" s="4" t="s">
        <v>250</v>
      </c>
      <c r="BC426" s="4" t="s">
        <v>241</v>
      </c>
      <c r="BD426" s="4" t="s">
        <v>252</v>
      </c>
      <c r="BE426" s="4" t="s">
        <v>241</v>
      </c>
      <c r="BI426" s="4" t="s">
        <v>253</v>
      </c>
      <c r="BJ426" s="5" t="s">
        <v>246</v>
      </c>
      <c r="BK426" s="4" t="s">
        <v>254</v>
      </c>
      <c r="BL426" s="4" t="s">
        <v>255</v>
      </c>
      <c r="BM426" s="4" t="s">
        <v>241</v>
      </c>
      <c r="BN426" s="6">
        <f>0</f>
        <v>0</v>
      </c>
      <c r="BO426" s="6">
        <f>0</f>
        <v>0</v>
      </c>
      <c r="BP426" s="4" t="s">
        <v>256</v>
      </c>
      <c r="BQ426" s="4" t="s">
        <v>257</v>
      </c>
      <c r="CE426" s="4" t="s">
        <v>241</v>
      </c>
      <c r="CF426" s="4" t="s">
        <v>241</v>
      </c>
      <c r="CJ426" s="4" t="s">
        <v>258</v>
      </c>
      <c r="CK426" s="4" t="s">
        <v>259</v>
      </c>
      <c r="CL426" s="4" t="s">
        <v>241</v>
      </c>
      <c r="CO426" s="5" t="s">
        <v>260</v>
      </c>
      <c r="CP426" s="4" t="s">
        <v>241</v>
      </c>
      <c r="CQ426" s="4" t="s">
        <v>261</v>
      </c>
      <c r="CR426" s="4" t="s">
        <v>241</v>
      </c>
      <c r="CS426" s="4" t="s">
        <v>241</v>
      </c>
      <c r="CT426" s="4">
        <v>0</v>
      </c>
      <c r="CU426" s="4" t="s">
        <v>262</v>
      </c>
      <c r="CV426" s="4" t="s">
        <v>263</v>
      </c>
      <c r="CW426" s="4" t="s">
        <v>263</v>
      </c>
      <c r="CX426" s="4" t="s">
        <v>264</v>
      </c>
      <c r="DA426" s="6">
        <f>1127435</f>
        <v>1127435</v>
      </c>
      <c r="DC426" s="4" t="s">
        <v>422</v>
      </c>
      <c r="DD426" s="4" t="s">
        <v>241</v>
      </c>
      <c r="DF426" s="4" t="s">
        <v>348</v>
      </c>
      <c r="DG426" s="6">
        <f>509</f>
        <v>509</v>
      </c>
      <c r="DI426" s="4" t="s">
        <v>414</v>
      </c>
      <c r="DJ426" s="4" t="s">
        <v>241</v>
      </c>
      <c r="DK426" s="4" t="s">
        <v>241</v>
      </c>
      <c r="DL426" s="4" t="s">
        <v>241</v>
      </c>
      <c r="DP426" s="4" t="s">
        <v>241</v>
      </c>
      <c r="DQ426" s="4" t="s">
        <v>241</v>
      </c>
      <c r="DR426" s="4" t="s">
        <v>241</v>
      </c>
      <c r="DS426" s="4" t="s">
        <v>241</v>
      </c>
      <c r="DV426" s="4" t="s">
        <v>4813</v>
      </c>
      <c r="DW426" s="4" t="s">
        <v>1909</v>
      </c>
      <c r="HO426" s="4" t="s">
        <v>267</v>
      </c>
    </row>
    <row r="427" spans="1:223" ht="19.5" customHeight="1" x14ac:dyDescent="0.4">
      <c r="A427" s="4">
        <v>1</v>
      </c>
      <c r="B427" s="4" t="s">
        <v>239</v>
      </c>
      <c r="C427" s="4">
        <v>1162</v>
      </c>
      <c r="D427" s="4">
        <v>1</v>
      </c>
      <c r="E427" s="4">
        <v>1</v>
      </c>
      <c r="F427" s="4" t="s">
        <v>240</v>
      </c>
      <c r="G427" s="4" t="s">
        <v>241</v>
      </c>
      <c r="H427" s="4" t="s">
        <v>241</v>
      </c>
      <c r="I427" s="4" t="s">
        <v>4811</v>
      </c>
      <c r="J427" s="4" t="s">
        <v>596</v>
      </c>
      <c r="K427" s="4" t="s">
        <v>251</v>
      </c>
      <c r="L427" s="4" t="s">
        <v>4810</v>
      </c>
      <c r="M427" s="5" t="s">
        <v>5479</v>
      </c>
      <c r="N427" s="6">
        <f>442</f>
        <v>442</v>
      </c>
      <c r="O427" s="4" t="s">
        <v>265</v>
      </c>
      <c r="P427" s="6">
        <f>979030</f>
        <v>979030</v>
      </c>
      <c r="Q427" s="6">
        <f>0</f>
        <v>0</v>
      </c>
      <c r="S427" s="6">
        <f>0</f>
        <v>0</v>
      </c>
      <c r="T427" s="6">
        <f>979030</f>
        <v>979030</v>
      </c>
      <c r="U427" s="5" t="s">
        <v>245</v>
      </c>
      <c r="V427" s="4" t="s">
        <v>270</v>
      </c>
      <c r="W427" s="4" t="s">
        <v>242</v>
      </c>
      <c r="X427" s="4" t="s">
        <v>273</v>
      </c>
      <c r="Y427" s="4" t="s">
        <v>241</v>
      </c>
      <c r="AB427" s="4" t="s">
        <v>241</v>
      </c>
      <c r="AD427" s="5" t="s">
        <v>241</v>
      </c>
      <c r="AG427" s="5" t="s">
        <v>246</v>
      </c>
      <c r="AH427" s="4" t="s">
        <v>241</v>
      </c>
      <c r="AI427" s="4" t="s">
        <v>247</v>
      </c>
      <c r="AJ427" s="4" t="s">
        <v>248</v>
      </c>
      <c r="AZ427" s="4" t="s">
        <v>249</v>
      </c>
      <c r="BA427" s="4" t="s">
        <v>241</v>
      </c>
      <c r="BB427" s="4" t="s">
        <v>250</v>
      </c>
      <c r="BC427" s="4" t="s">
        <v>241</v>
      </c>
      <c r="BD427" s="4" t="s">
        <v>252</v>
      </c>
      <c r="BE427" s="4" t="s">
        <v>241</v>
      </c>
      <c r="BI427" s="4" t="s">
        <v>253</v>
      </c>
      <c r="BJ427" s="5" t="s">
        <v>246</v>
      </c>
      <c r="BK427" s="4" t="s">
        <v>254</v>
      </c>
      <c r="BL427" s="4" t="s">
        <v>255</v>
      </c>
      <c r="BM427" s="4" t="s">
        <v>241</v>
      </c>
      <c r="BN427" s="6">
        <f>0</f>
        <v>0</v>
      </c>
      <c r="BO427" s="6">
        <f>0</f>
        <v>0</v>
      </c>
      <c r="BP427" s="4" t="s">
        <v>256</v>
      </c>
      <c r="BQ427" s="4" t="s">
        <v>257</v>
      </c>
      <c r="CE427" s="4" t="s">
        <v>241</v>
      </c>
      <c r="CF427" s="4" t="s">
        <v>241</v>
      </c>
      <c r="CJ427" s="4" t="s">
        <v>258</v>
      </c>
      <c r="CK427" s="4" t="s">
        <v>259</v>
      </c>
      <c r="CL427" s="4" t="s">
        <v>241</v>
      </c>
      <c r="CO427" s="5" t="s">
        <v>260</v>
      </c>
      <c r="CP427" s="4" t="s">
        <v>241</v>
      </c>
      <c r="CQ427" s="4" t="s">
        <v>261</v>
      </c>
      <c r="CR427" s="4" t="s">
        <v>241</v>
      </c>
      <c r="CS427" s="4" t="s">
        <v>241</v>
      </c>
      <c r="CT427" s="4">
        <v>0</v>
      </c>
      <c r="CU427" s="4" t="s">
        <v>262</v>
      </c>
      <c r="CV427" s="4" t="s">
        <v>263</v>
      </c>
      <c r="CW427" s="4" t="s">
        <v>263</v>
      </c>
      <c r="CX427" s="4" t="s">
        <v>264</v>
      </c>
      <c r="DA427" s="6">
        <f>979030</f>
        <v>979030</v>
      </c>
      <c r="DC427" s="4" t="s">
        <v>422</v>
      </c>
      <c r="DD427" s="4" t="s">
        <v>241</v>
      </c>
      <c r="DF427" s="4" t="s">
        <v>387</v>
      </c>
      <c r="DG427" s="6">
        <f>442</f>
        <v>442</v>
      </c>
      <c r="DI427" s="4" t="s">
        <v>414</v>
      </c>
      <c r="DJ427" s="4" t="s">
        <v>241</v>
      </c>
      <c r="DK427" s="4" t="s">
        <v>241</v>
      </c>
      <c r="DL427" s="4" t="s">
        <v>241</v>
      </c>
      <c r="DP427" s="4" t="s">
        <v>241</v>
      </c>
      <c r="DQ427" s="4" t="s">
        <v>241</v>
      </c>
      <c r="DR427" s="4" t="s">
        <v>241</v>
      </c>
      <c r="DS427" s="4" t="s">
        <v>241</v>
      </c>
      <c r="DV427" s="4" t="s">
        <v>4813</v>
      </c>
      <c r="DW427" s="4" t="s">
        <v>2548</v>
      </c>
      <c r="HO427" s="4" t="s">
        <v>267</v>
      </c>
    </row>
    <row r="428" spans="1:223" ht="19.5" customHeight="1" x14ac:dyDescent="0.4">
      <c r="A428" s="4">
        <v>1</v>
      </c>
      <c r="B428" s="4" t="s">
        <v>239</v>
      </c>
      <c r="C428" s="4">
        <v>1163</v>
      </c>
      <c r="D428" s="4">
        <v>1</v>
      </c>
      <c r="E428" s="4">
        <v>1</v>
      </c>
      <c r="F428" s="4" t="s">
        <v>240</v>
      </c>
      <c r="G428" s="4" t="s">
        <v>241</v>
      </c>
      <c r="H428" s="4" t="s">
        <v>241</v>
      </c>
      <c r="I428" s="4" t="s">
        <v>4811</v>
      </c>
      <c r="J428" s="4" t="s">
        <v>596</v>
      </c>
      <c r="K428" s="4" t="s">
        <v>251</v>
      </c>
      <c r="L428" s="4" t="s">
        <v>4810</v>
      </c>
      <c r="M428" s="5" t="s">
        <v>4872</v>
      </c>
      <c r="N428" s="6">
        <f>923</f>
        <v>923</v>
      </c>
      <c r="O428" s="4" t="s">
        <v>265</v>
      </c>
      <c r="P428" s="6">
        <f>2044445</f>
        <v>2044445</v>
      </c>
      <c r="Q428" s="6">
        <f>0</f>
        <v>0</v>
      </c>
      <c r="S428" s="6">
        <f>0</f>
        <v>0</v>
      </c>
      <c r="T428" s="6">
        <f>2044445</f>
        <v>2044445</v>
      </c>
      <c r="U428" s="5" t="s">
        <v>245</v>
      </c>
      <c r="V428" s="4" t="s">
        <v>270</v>
      </c>
      <c r="W428" s="4" t="s">
        <v>242</v>
      </c>
      <c r="X428" s="4" t="s">
        <v>273</v>
      </c>
      <c r="Y428" s="4" t="s">
        <v>241</v>
      </c>
      <c r="AB428" s="4" t="s">
        <v>241</v>
      </c>
      <c r="AD428" s="5" t="s">
        <v>241</v>
      </c>
      <c r="AG428" s="5" t="s">
        <v>246</v>
      </c>
      <c r="AH428" s="4" t="s">
        <v>241</v>
      </c>
      <c r="AI428" s="4" t="s">
        <v>247</v>
      </c>
      <c r="AJ428" s="4" t="s">
        <v>248</v>
      </c>
      <c r="AZ428" s="4" t="s">
        <v>249</v>
      </c>
      <c r="BA428" s="4" t="s">
        <v>241</v>
      </c>
      <c r="BB428" s="4" t="s">
        <v>250</v>
      </c>
      <c r="BC428" s="4" t="s">
        <v>241</v>
      </c>
      <c r="BD428" s="4" t="s">
        <v>252</v>
      </c>
      <c r="BE428" s="4" t="s">
        <v>241</v>
      </c>
      <c r="BI428" s="4" t="s">
        <v>253</v>
      </c>
      <c r="BJ428" s="5" t="s">
        <v>246</v>
      </c>
      <c r="BK428" s="4" t="s">
        <v>254</v>
      </c>
      <c r="BL428" s="4" t="s">
        <v>255</v>
      </c>
      <c r="BM428" s="4" t="s">
        <v>241</v>
      </c>
      <c r="BN428" s="6">
        <f>0</f>
        <v>0</v>
      </c>
      <c r="BO428" s="6">
        <f>0</f>
        <v>0</v>
      </c>
      <c r="BP428" s="4" t="s">
        <v>256</v>
      </c>
      <c r="BQ428" s="4" t="s">
        <v>257</v>
      </c>
      <c r="CE428" s="4" t="s">
        <v>241</v>
      </c>
      <c r="CF428" s="4" t="s">
        <v>241</v>
      </c>
      <c r="CJ428" s="4" t="s">
        <v>258</v>
      </c>
      <c r="CK428" s="4" t="s">
        <v>259</v>
      </c>
      <c r="CL428" s="4" t="s">
        <v>241</v>
      </c>
      <c r="CO428" s="5" t="s">
        <v>260</v>
      </c>
      <c r="CP428" s="4" t="s">
        <v>241</v>
      </c>
      <c r="CQ428" s="4" t="s">
        <v>261</v>
      </c>
      <c r="CR428" s="4" t="s">
        <v>241</v>
      </c>
      <c r="CS428" s="4" t="s">
        <v>241</v>
      </c>
      <c r="CT428" s="4">
        <v>0</v>
      </c>
      <c r="CU428" s="4" t="s">
        <v>262</v>
      </c>
      <c r="CV428" s="4" t="s">
        <v>263</v>
      </c>
      <c r="CW428" s="4" t="s">
        <v>263</v>
      </c>
      <c r="CX428" s="4" t="s">
        <v>264</v>
      </c>
      <c r="DA428" s="6">
        <f>2044445</f>
        <v>2044445</v>
      </c>
      <c r="DC428" s="4" t="s">
        <v>422</v>
      </c>
      <c r="DD428" s="4" t="s">
        <v>241</v>
      </c>
      <c r="DF428" s="4" t="s">
        <v>387</v>
      </c>
      <c r="DG428" s="6">
        <f>923</f>
        <v>923</v>
      </c>
      <c r="DI428" s="4" t="s">
        <v>414</v>
      </c>
      <c r="DJ428" s="4" t="s">
        <v>241</v>
      </c>
      <c r="DK428" s="4" t="s">
        <v>241</v>
      </c>
      <c r="DL428" s="4" t="s">
        <v>241</v>
      </c>
      <c r="DP428" s="4" t="s">
        <v>241</v>
      </c>
      <c r="DQ428" s="4" t="s">
        <v>241</v>
      </c>
      <c r="DR428" s="4" t="s">
        <v>241</v>
      </c>
      <c r="DS428" s="4" t="s">
        <v>241</v>
      </c>
      <c r="DV428" s="4" t="s">
        <v>4813</v>
      </c>
      <c r="DW428" s="4" t="s">
        <v>2552</v>
      </c>
      <c r="HO428" s="4" t="s">
        <v>267</v>
      </c>
    </row>
    <row r="429" spans="1:223" ht="19.5" customHeight="1" x14ac:dyDescent="0.4">
      <c r="A429" s="4">
        <v>1</v>
      </c>
      <c r="B429" s="4" t="s">
        <v>239</v>
      </c>
      <c r="C429" s="4">
        <v>1164</v>
      </c>
      <c r="D429" s="4">
        <v>1</v>
      </c>
      <c r="E429" s="4">
        <v>1</v>
      </c>
      <c r="F429" s="4" t="s">
        <v>240</v>
      </c>
      <c r="G429" s="4" t="s">
        <v>241</v>
      </c>
      <c r="H429" s="4" t="s">
        <v>241</v>
      </c>
      <c r="I429" s="4" t="s">
        <v>4811</v>
      </c>
      <c r="J429" s="4" t="s">
        <v>596</v>
      </c>
      <c r="K429" s="4" t="s">
        <v>251</v>
      </c>
      <c r="L429" s="4" t="s">
        <v>4810</v>
      </c>
      <c r="M429" s="5" t="s">
        <v>4873</v>
      </c>
      <c r="N429" s="6">
        <f>939</f>
        <v>939</v>
      </c>
      <c r="O429" s="4" t="s">
        <v>265</v>
      </c>
      <c r="P429" s="6">
        <f>2079885</f>
        <v>2079885</v>
      </c>
      <c r="Q429" s="6">
        <f>0</f>
        <v>0</v>
      </c>
      <c r="S429" s="6">
        <f>0</f>
        <v>0</v>
      </c>
      <c r="T429" s="6">
        <f>2079885</f>
        <v>2079885</v>
      </c>
      <c r="U429" s="5" t="s">
        <v>245</v>
      </c>
      <c r="V429" s="4" t="s">
        <v>270</v>
      </c>
      <c r="W429" s="4" t="s">
        <v>242</v>
      </c>
      <c r="X429" s="4" t="s">
        <v>273</v>
      </c>
      <c r="Y429" s="4" t="s">
        <v>241</v>
      </c>
      <c r="AB429" s="4" t="s">
        <v>241</v>
      </c>
      <c r="AD429" s="5" t="s">
        <v>241</v>
      </c>
      <c r="AG429" s="5" t="s">
        <v>246</v>
      </c>
      <c r="AH429" s="4" t="s">
        <v>241</v>
      </c>
      <c r="AI429" s="4" t="s">
        <v>247</v>
      </c>
      <c r="AJ429" s="4" t="s">
        <v>248</v>
      </c>
      <c r="AZ429" s="4" t="s">
        <v>249</v>
      </c>
      <c r="BA429" s="4" t="s">
        <v>241</v>
      </c>
      <c r="BB429" s="4" t="s">
        <v>250</v>
      </c>
      <c r="BC429" s="4" t="s">
        <v>241</v>
      </c>
      <c r="BD429" s="4" t="s">
        <v>252</v>
      </c>
      <c r="BE429" s="4" t="s">
        <v>241</v>
      </c>
      <c r="BI429" s="4" t="s">
        <v>253</v>
      </c>
      <c r="BJ429" s="5" t="s">
        <v>246</v>
      </c>
      <c r="BK429" s="4" t="s">
        <v>254</v>
      </c>
      <c r="BL429" s="4" t="s">
        <v>255</v>
      </c>
      <c r="BM429" s="4" t="s">
        <v>241</v>
      </c>
      <c r="BN429" s="6">
        <f>0</f>
        <v>0</v>
      </c>
      <c r="BO429" s="6">
        <f>0</f>
        <v>0</v>
      </c>
      <c r="BP429" s="4" t="s">
        <v>256</v>
      </c>
      <c r="BQ429" s="4" t="s">
        <v>257</v>
      </c>
      <c r="CE429" s="4" t="s">
        <v>241</v>
      </c>
      <c r="CF429" s="4" t="s">
        <v>241</v>
      </c>
      <c r="CJ429" s="4" t="s">
        <v>258</v>
      </c>
      <c r="CK429" s="4" t="s">
        <v>259</v>
      </c>
      <c r="CL429" s="4" t="s">
        <v>241</v>
      </c>
      <c r="CO429" s="5" t="s">
        <v>260</v>
      </c>
      <c r="CP429" s="4" t="s">
        <v>241</v>
      </c>
      <c r="CQ429" s="4" t="s">
        <v>261</v>
      </c>
      <c r="CR429" s="4" t="s">
        <v>241</v>
      </c>
      <c r="CS429" s="4" t="s">
        <v>241</v>
      </c>
      <c r="CT429" s="4">
        <v>0</v>
      </c>
      <c r="CU429" s="4" t="s">
        <v>262</v>
      </c>
      <c r="CV429" s="4" t="s">
        <v>263</v>
      </c>
      <c r="CW429" s="4" t="s">
        <v>263</v>
      </c>
      <c r="CX429" s="4" t="s">
        <v>264</v>
      </c>
      <c r="DA429" s="6">
        <f>2079885</f>
        <v>2079885</v>
      </c>
      <c r="DC429" s="4" t="s">
        <v>422</v>
      </c>
      <c r="DD429" s="4" t="s">
        <v>241</v>
      </c>
      <c r="DF429" s="4" t="s">
        <v>387</v>
      </c>
      <c r="DG429" s="6">
        <f>939</f>
        <v>939</v>
      </c>
      <c r="DI429" s="4" t="s">
        <v>414</v>
      </c>
      <c r="DJ429" s="4" t="s">
        <v>241</v>
      </c>
      <c r="DK429" s="4" t="s">
        <v>241</v>
      </c>
      <c r="DL429" s="4" t="s">
        <v>241</v>
      </c>
      <c r="DP429" s="4" t="s">
        <v>241</v>
      </c>
      <c r="DQ429" s="4" t="s">
        <v>241</v>
      </c>
      <c r="DR429" s="4" t="s">
        <v>241</v>
      </c>
      <c r="DS429" s="4" t="s">
        <v>241</v>
      </c>
      <c r="DV429" s="4" t="s">
        <v>4813</v>
      </c>
      <c r="DW429" s="4" t="s">
        <v>2554</v>
      </c>
      <c r="HO429" s="4" t="s">
        <v>267</v>
      </c>
    </row>
    <row r="430" spans="1:223" ht="19.5" customHeight="1" x14ac:dyDescent="0.4">
      <c r="A430" s="4">
        <v>1</v>
      </c>
      <c r="B430" s="4" t="s">
        <v>239</v>
      </c>
      <c r="C430" s="4">
        <v>1165</v>
      </c>
      <c r="D430" s="4">
        <v>1</v>
      </c>
      <c r="E430" s="4">
        <v>1</v>
      </c>
      <c r="F430" s="4" t="s">
        <v>240</v>
      </c>
      <c r="G430" s="4" t="s">
        <v>241</v>
      </c>
      <c r="H430" s="4" t="s">
        <v>241</v>
      </c>
      <c r="I430" s="4" t="s">
        <v>4811</v>
      </c>
      <c r="J430" s="4" t="s">
        <v>596</v>
      </c>
      <c r="K430" s="4" t="s">
        <v>251</v>
      </c>
      <c r="L430" s="4" t="s">
        <v>4810</v>
      </c>
      <c r="M430" s="5" t="s">
        <v>4874</v>
      </c>
      <c r="N430" s="6">
        <f>483</f>
        <v>483</v>
      </c>
      <c r="O430" s="4" t="s">
        <v>265</v>
      </c>
      <c r="P430" s="6">
        <f>1069845</f>
        <v>1069845</v>
      </c>
      <c r="Q430" s="6">
        <f>0</f>
        <v>0</v>
      </c>
      <c r="S430" s="6">
        <f>0</f>
        <v>0</v>
      </c>
      <c r="T430" s="6">
        <f>1069845</f>
        <v>1069845</v>
      </c>
      <c r="U430" s="5" t="s">
        <v>245</v>
      </c>
      <c r="V430" s="4" t="s">
        <v>270</v>
      </c>
      <c r="W430" s="4" t="s">
        <v>242</v>
      </c>
      <c r="X430" s="4" t="s">
        <v>273</v>
      </c>
      <c r="Y430" s="4" t="s">
        <v>241</v>
      </c>
      <c r="AB430" s="4" t="s">
        <v>241</v>
      </c>
      <c r="AD430" s="5" t="s">
        <v>241</v>
      </c>
      <c r="AG430" s="5" t="s">
        <v>246</v>
      </c>
      <c r="AH430" s="4" t="s">
        <v>241</v>
      </c>
      <c r="AI430" s="4" t="s">
        <v>247</v>
      </c>
      <c r="AJ430" s="4" t="s">
        <v>248</v>
      </c>
      <c r="AZ430" s="4" t="s">
        <v>249</v>
      </c>
      <c r="BA430" s="4" t="s">
        <v>241</v>
      </c>
      <c r="BB430" s="4" t="s">
        <v>250</v>
      </c>
      <c r="BC430" s="4" t="s">
        <v>241</v>
      </c>
      <c r="BD430" s="4" t="s">
        <v>252</v>
      </c>
      <c r="BE430" s="4" t="s">
        <v>241</v>
      </c>
      <c r="BI430" s="4" t="s">
        <v>253</v>
      </c>
      <c r="BJ430" s="5" t="s">
        <v>246</v>
      </c>
      <c r="BK430" s="4" t="s">
        <v>254</v>
      </c>
      <c r="BL430" s="4" t="s">
        <v>255</v>
      </c>
      <c r="BM430" s="4" t="s">
        <v>241</v>
      </c>
      <c r="BN430" s="6">
        <f>0</f>
        <v>0</v>
      </c>
      <c r="BO430" s="6">
        <f>0</f>
        <v>0</v>
      </c>
      <c r="BP430" s="4" t="s">
        <v>256</v>
      </c>
      <c r="BQ430" s="4" t="s">
        <v>257</v>
      </c>
      <c r="CE430" s="4" t="s">
        <v>241</v>
      </c>
      <c r="CF430" s="4" t="s">
        <v>241</v>
      </c>
      <c r="CJ430" s="4" t="s">
        <v>258</v>
      </c>
      <c r="CK430" s="4" t="s">
        <v>259</v>
      </c>
      <c r="CL430" s="4" t="s">
        <v>241</v>
      </c>
      <c r="CO430" s="5" t="s">
        <v>260</v>
      </c>
      <c r="CP430" s="4" t="s">
        <v>241</v>
      </c>
      <c r="CQ430" s="4" t="s">
        <v>261</v>
      </c>
      <c r="CR430" s="4" t="s">
        <v>241</v>
      </c>
      <c r="CS430" s="4" t="s">
        <v>241</v>
      </c>
      <c r="CT430" s="4">
        <v>0</v>
      </c>
      <c r="CU430" s="4" t="s">
        <v>262</v>
      </c>
      <c r="CV430" s="4" t="s">
        <v>263</v>
      </c>
      <c r="CW430" s="4" t="s">
        <v>263</v>
      </c>
      <c r="CX430" s="4" t="s">
        <v>264</v>
      </c>
      <c r="DA430" s="6">
        <f>1069845</f>
        <v>1069845</v>
      </c>
      <c r="DC430" s="4" t="s">
        <v>422</v>
      </c>
      <c r="DD430" s="4" t="s">
        <v>241</v>
      </c>
      <c r="DF430" s="4" t="s">
        <v>348</v>
      </c>
      <c r="DG430" s="6">
        <f>483</f>
        <v>483</v>
      </c>
      <c r="DI430" s="4" t="s">
        <v>414</v>
      </c>
      <c r="DJ430" s="4" t="s">
        <v>241</v>
      </c>
      <c r="DK430" s="4" t="s">
        <v>241</v>
      </c>
      <c r="DL430" s="4" t="s">
        <v>241</v>
      </c>
      <c r="DP430" s="4" t="s">
        <v>241</v>
      </c>
      <c r="DQ430" s="4" t="s">
        <v>241</v>
      </c>
      <c r="DR430" s="4" t="s">
        <v>241</v>
      </c>
      <c r="DS430" s="4" t="s">
        <v>241</v>
      </c>
      <c r="DV430" s="4" t="s">
        <v>4813</v>
      </c>
      <c r="DW430" s="4" t="s">
        <v>735</v>
      </c>
      <c r="HO430" s="4" t="s">
        <v>267</v>
      </c>
    </row>
    <row r="431" spans="1:223" ht="19.5" customHeight="1" x14ac:dyDescent="0.4">
      <c r="A431" s="4">
        <v>1</v>
      </c>
      <c r="B431" s="4" t="s">
        <v>239</v>
      </c>
      <c r="C431" s="4">
        <v>1166</v>
      </c>
      <c r="D431" s="4">
        <v>1</v>
      </c>
      <c r="E431" s="4">
        <v>1</v>
      </c>
      <c r="F431" s="4" t="s">
        <v>240</v>
      </c>
      <c r="G431" s="4" t="s">
        <v>241</v>
      </c>
      <c r="H431" s="4" t="s">
        <v>241</v>
      </c>
      <c r="I431" s="4" t="s">
        <v>4811</v>
      </c>
      <c r="J431" s="4" t="s">
        <v>596</v>
      </c>
      <c r="K431" s="4" t="s">
        <v>251</v>
      </c>
      <c r="L431" s="4" t="s">
        <v>4810</v>
      </c>
      <c r="M431" s="5" t="s">
        <v>4875</v>
      </c>
      <c r="N431" s="6">
        <f>468</f>
        <v>468</v>
      </c>
      <c r="O431" s="4" t="s">
        <v>265</v>
      </c>
      <c r="P431" s="6">
        <f>1036620</f>
        <v>1036620</v>
      </c>
      <c r="Q431" s="6">
        <f>0</f>
        <v>0</v>
      </c>
      <c r="S431" s="6">
        <f>0</f>
        <v>0</v>
      </c>
      <c r="T431" s="6">
        <f>1036620</f>
        <v>1036620</v>
      </c>
      <c r="U431" s="5" t="s">
        <v>245</v>
      </c>
      <c r="V431" s="4" t="s">
        <v>270</v>
      </c>
      <c r="W431" s="4" t="s">
        <v>242</v>
      </c>
      <c r="X431" s="4" t="s">
        <v>273</v>
      </c>
      <c r="Y431" s="4" t="s">
        <v>241</v>
      </c>
      <c r="AB431" s="4" t="s">
        <v>241</v>
      </c>
      <c r="AD431" s="5" t="s">
        <v>241</v>
      </c>
      <c r="AG431" s="5" t="s">
        <v>246</v>
      </c>
      <c r="AH431" s="4" t="s">
        <v>241</v>
      </c>
      <c r="AI431" s="4" t="s">
        <v>247</v>
      </c>
      <c r="AJ431" s="4" t="s">
        <v>248</v>
      </c>
      <c r="AZ431" s="4" t="s">
        <v>249</v>
      </c>
      <c r="BA431" s="4" t="s">
        <v>241</v>
      </c>
      <c r="BB431" s="4" t="s">
        <v>250</v>
      </c>
      <c r="BC431" s="4" t="s">
        <v>241</v>
      </c>
      <c r="BD431" s="4" t="s">
        <v>252</v>
      </c>
      <c r="BE431" s="4" t="s">
        <v>241</v>
      </c>
      <c r="BI431" s="4" t="s">
        <v>253</v>
      </c>
      <c r="BJ431" s="5" t="s">
        <v>246</v>
      </c>
      <c r="BK431" s="4" t="s">
        <v>254</v>
      </c>
      <c r="BL431" s="4" t="s">
        <v>255</v>
      </c>
      <c r="BM431" s="4" t="s">
        <v>241</v>
      </c>
      <c r="BN431" s="6">
        <f>0</f>
        <v>0</v>
      </c>
      <c r="BO431" s="6">
        <f>0</f>
        <v>0</v>
      </c>
      <c r="BP431" s="4" t="s">
        <v>256</v>
      </c>
      <c r="BQ431" s="4" t="s">
        <v>257</v>
      </c>
      <c r="CE431" s="4" t="s">
        <v>241</v>
      </c>
      <c r="CF431" s="4" t="s">
        <v>241</v>
      </c>
      <c r="CJ431" s="4" t="s">
        <v>258</v>
      </c>
      <c r="CK431" s="4" t="s">
        <v>259</v>
      </c>
      <c r="CL431" s="4" t="s">
        <v>241</v>
      </c>
      <c r="CO431" s="5" t="s">
        <v>260</v>
      </c>
      <c r="CP431" s="4" t="s">
        <v>241</v>
      </c>
      <c r="CQ431" s="4" t="s">
        <v>261</v>
      </c>
      <c r="CR431" s="4" t="s">
        <v>241</v>
      </c>
      <c r="CS431" s="4" t="s">
        <v>241</v>
      </c>
      <c r="CT431" s="4">
        <v>0</v>
      </c>
      <c r="CU431" s="4" t="s">
        <v>262</v>
      </c>
      <c r="CV431" s="4" t="s">
        <v>263</v>
      </c>
      <c r="CW431" s="4" t="s">
        <v>263</v>
      </c>
      <c r="CX431" s="4" t="s">
        <v>264</v>
      </c>
      <c r="DA431" s="6">
        <f>1036620</f>
        <v>1036620</v>
      </c>
      <c r="DC431" s="4" t="s">
        <v>422</v>
      </c>
      <c r="DD431" s="4" t="s">
        <v>241</v>
      </c>
      <c r="DF431" s="4" t="s">
        <v>348</v>
      </c>
      <c r="DG431" s="6">
        <f>468</f>
        <v>468</v>
      </c>
      <c r="DI431" s="4" t="s">
        <v>414</v>
      </c>
      <c r="DJ431" s="4" t="s">
        <v>241</v>
      </c>
      <c r="DK431" s="4" t="s">
        <v>241</v>
      </c>
      <c r="DL431" s="4" t="s">
        <v>241</v>
      </c>
      <c r="DP431" s="4" t="s">
        <v>241</v>
      </c>
      <c r="DQ431" s="4" t="s">
        <v>241</v>
      </c>
      <c r="DR431" s="4" t="s">
        <v>241</v>
      </c>
      <c r="DS431" s="4" t="s">
        <v>241</v>
      </c>
      <c r="DV431" s="4" t="s">
        <v>4813</v>
      </c>
      <c r="DW431" s="4" t="s">
        <v>2503</v>
      </c>
      <c r="HO431" s="4" t="s">
        <v>267</v>
      </c>
    </row>
    <row r="432" spans="1:223" ht="19.5" customHeight="1" x14ac:dyDescent="0.4">
      <c r="A432" s="4">
        <v>1</v>
      </c>
      <c r="B432" s="4" t="s">
        <v>239</v>
      </c>
      <c r="C432" s="4">
        <v>1167</v>
      </c>
      <c r="D432" s="4">
        <v>1</v>
      </c>
      <c r="E432" s="4">
        <v>1</v>
      </c>
      <c r="F432" s="4" t="s">
        <v>240</v>
      </c>
      <c r="G432" s="4" t="s">
        <v>241</v>
      </c>
      <c r="H432" s="4" t="s">
        <v>241</v>
      </c>
      <c r="I432" s="4" t="s">
        <v>4811</v>
      </c>
      <c r="J432" s="4" t="s">
        <v>596</v>
      </c>
      <c r="K432" s="4" t="s">
        <v>251</v>
      </c>
      <c r="L432" s="4" t="s">
        <v>4810</v>
      </c>
      <c r="M432" s="5" t="s">
        <v>4876</v>
      </c>
      <c r="N432" s="6">
        <f>468</f>
        <v>468</v>
      </c>
      <c r="O432" s="4" t="s">
        <v>265</v>
      </c>
      <c r="P432" s="6">
        <f>1036620</f>
        <v>1036620</v>
      </c>
      <c r="Q432" s="6">
        <f>0</f>
        <v>0</v>
      </c>
      <c r="S432" s="6">
        <f>0</f>
        <v>0</v>
      </c>
      <c r="T432" s="6">
        <f>1036620</f>
        <v>1036620</v>
      </c>
      <c r="U432" s="5" t="s">
        <v>245</v>
      </c>
      <c r="V432" s="4" t="s">
        <v>270</v>
      </c>
      <c r="W432" s="4" t="s">
        <v>242</v>
      </c>
      <c r="X432" s="4" t="s">
        <v>273</v>
      </c>
      <c r="Y432" s="4" t="s">
        <v>241</v>
      </c>
      <c r="AB432" s="4" t="s">
        <v>241</v>
      </c>
      <c r="AD432" s="5" t="s">
        <v>241</v>
      </c>
      <c r="AG432" s="5" t="s">
        <v>246</v>
      </c>
      <c r="AH432" s="4" t="s">
        <v>241</v>
      </c>
      <c r="AI432" s="4" t="s">
        <v>247</v>
      </c>
      <c r="AJ432" s="4" t="s">
        <v>248</v>
      </c>
      <c r="AZ432" s="4" t="s">
        <v>249</v>
      </c>
      <c r="BA432" s="4" t="s">
        <v>241</v>
      </c>
      <c r="BB432" s="4" t="s">
        <v>250</v>
      </c>
      <c r="BC432" s="4" t="s">
        <v>241</v>
      </c>
      <c r="BD432" s="4" t="s">
        <v>252</v>
      </c>
      <c r="BE432" s="4" t="s">
        <v>241</v>
      </c>
      <c r="BI432" s="4" t="s">
        <v>253</v>
      </c>
      <c r="BJ432" s="5" t="s">
        <v>246</v>
      </c>
      <c r="BK432" s="4" t="s">
        <v>254</v>
      </c>
      <c r="BL432" s="4" t="s">
        <v>255</v>
      </c>
      <c r="BM432" s="4" t="s">
        <v>241</v>
      </c>
      <c r="BN432" s="6">
        <f>0</f>
        <v>0</v>
      </c>
      <c r="BO432" s="6">
        <f>0</f>
        <v>0</v>
      </c>
      <c r="BP432" s="4" t="s">
        <v>256</v>
      </c>
      <c r="BQ432" s="4" t="s">
        <v>257</v>
      </c>
      <c r="CE432" s="4" t="s">
        <v>241</v>
      </c>
      <c r="CF432" s="4" t="s">
        <v>241</v>
      </c>
      <c r="CJ432" s="4" t="s">
        <v>258</v>
      </c>
      <c r="CK432" s="4" t="s">
        <v>259</v>
      </c>
      <c r="CL432" s="4" t="s">
        <v>241</v>
      </c>
      <c r="CO432" s="5" t="s">
        <v>260</v>
      </c>
      <c r="CP432" s="4" t="s">
        <v>241</v>
      </c>
      <c r="CQ432" s="4" t="s">
        <v>261</v>
      </c>
      <c r="CR432" s="4" t="s">
        <v>241</v>
      </c>
      <c r="CS432" s="4" t="s">
        <v>241</v>
      </c>
      <c r="CT432" s="4">
        <v>0</v>
      </c>
      <c r="CU432" s="4" t="s">
        <v>262</v>
      </c>
      <c r="CV432" s="4" t="s">
        <v>263</v>
      </c>
      <c r="CW432" s="4" t="s">
        <v>263</v>
      </c>
      <c r="CX432" s="4" t="s">
        <v>264</v>
      </c>
      <c r="DA432" s="6">
        <f>1036620</f>
        <v>1036620</v>
      </c>
      <c r="DC432" s="4" t="s">
        <v>422</v>
      </c>
      <c r="DD432" s="4" t="s">
        <v>241</v>
      </c>
      <c r="DF432" s="4" t="s">
        <v>348</v>
      </c>
      <c r="DG432" s="6">
        <f>468</f>
        <v>468</v>
      </c>
      <c r="DI432" s="4" t="s">
        <v>414</v>
      </c>
      <c r="DJ432" s="4" t="s">
        <v>241</v>
      </c>
      <c r="DK432" s="4" t="s">
        <v>241</v>
      </c>
      <c r="DL432" s="4" t="s">
        <v>241</v>
      </c>
      <c r="DP432" s="4" t="s">
        <v>241</v>
      </c>
      <c r="DQ432" s="4" t="s">
        <v>241</v>
      </c>
      <c r="DR432" s="4" t="s">
        <v>241</v>
      </c>
      <c r="DS432" s="4" t="s">
        <v>241</v>
      </c>
      <c r="DV432" s="4" t="s">
        <v>4813</v>
      </c>
      <c r="DW432" s="4" t="s">
        <v>2500</v>
      </c>
      <c r="HO432" s="4" t="s">
        <v>267</v>
      </c>
    </row>
    <row r="433" spans="1:223" ht="19.5" customHeight="1" x14ac:dyDescent="0.4">
      <c r="A433" s="4">
        <v>1</v>
      </c>
      <c r="B433" s="4" t="s">
        <v>239</v>
      </c>
      <c r="C433" s="4">
        <v>1168</v>
      </c>
      <c r="D433" s="4">
        <v>1</v>
      </c>
      <c r="E433" s="4">
        <v>1</v>
      </c>
      <c r="F433" s="4" t="s">
        <v>240</v>
      </c>
      <c r="G433" s="4" t="s">
        <v>241</v>
      </c>
      <c r="H433" s="4" t="s">
        <v>241</v>
      </c>
      <c r="I433" s="4" t="s">
        <v>4811</v>
      </c>
      <c r="J433" s="4" t="s">
        <v>596</v>
      </c>
      <c r="K433" s="4" t="s">
        <v>251</v>
      </c>
      <c r="L433" s="4" t="s">
        <v>4810</v>
      </c>
      <c r="M433" s="5" t="s">
        <v>4877</v>
      </c>
      <c r="N433" s="6">
        <f>468</f>
        <v>468</v>
      </c>
      <c r="O433" s="4" t="s">
        <v>265</v>
      </c>
      <c r="P433" s="6">
        <f>1036620</f>
        <v>1036620</v>
      </c>
      <c r="Q433" s="6">
        <f>0</f>
        <v>0</v>
      </c>
      <c r="S433" s="6">
        <f>0</f>
        <v>0</v>
      </c>
      <c r="T433" s="6">
        <f>1036620</f>
        <v>1036620</v>
      </c>
      <c r="U433" s="5" t="s">
        <v>245</v>
      </c>
      <c r="V433" s="4" t="s">
        <v>270</v>
      </c>
      <c r="W433" s="4" t="s">
        <v>242</v>
      </c>
      <c r="X433" s="4" t="s">
        <v>273</v>
      </c>
      <c r="Y433" s="4" t="s">
        <v>241</v>
      </c>
      <c r="AB433" s="4" t="s">
        <v>241</v>
      </c>
      <c r="AD433" s="5" t="s">
        <v>241</v>
      </c>
      <c r="AG433" s="5" t="s">
        <v>246</v>
      </c>
      <c r="AH433" s="4" t="s">
        <v>241</v>
      </c>
      <c r="AI433" s="4" t="s">
        <v>247</v>
      </c>
      <c r="AJ433" s="4" t="s">
        <v>248</v>
      </c>
      <c r="AZ433" s="4" t="s">
        <v>249</v>
      </c>
      <c r="BA433" s="4" t="s">
        <v>241</v>
      </c>
      <c r="BB433" s="4" t="s">
        <v>250</v>
      </c>
      <c r="BC433" s="4" t="s">
        <v>241</v>
      </c>
      <c r="BD433" s="4" t="s">
        <v>252</v>
      </c>
      <c r="BE433" s="4" t="s">
        <v>241</v>
      </c>
      <c r="BI433" s="4" t="s">
        <v>253</v>
      </c>
      <c r="BJ433" s="5" t="s">
        <v>246</v>
      </c>
      <c r="BK433" s="4" t="s">
        <v>254</v>
      </c>
      <c r="BL433" s="4" t="s">
        <v>255</v>
      </c>
      <c r="BM433" s="4" t="s">
        <v>241</v>
      </c>
      <c r="BN433" s="6">
        <f>0</f>
        <v>0</v>
      </c>
      <c r="BO433" s="6">
        <f>0</f>
        <v>0</v>
      </c>
      <c r="BP433" s="4" t="s">
        <v>256</v>
      </c>
      <c r="BQ433" s="4" t="s">
        <v>257</v>
      </c>
      <c r="CE433" s="4" t="s">
        <v>241</v>
      </c>
      <c r="CF433" s="4" t="s">
        <v>241</v>
      </c>
      <c r="CJ433" s="4" t="s">
        <v>258</v>
      </c>
      <c r="CK433" s="4" t="s">
        <v>259</v>
      </c>
      <c r="CL433" s="4" t="s">
        <v>241</v>
      </c>
      <c r="CO433" s="5" t="s">
        <v>260</v>
      </c>
      <c r="CP433" s="4" t="s">
        <v>241</v>
      </c>
      <c r="CQ433" s="4" t="s">
        <v>261</v>
      </c>
      <c r="CR433" s="4" t="s">
        <v>241</v>
      </c>
      <c r="CS433" s="4" t="s">
        <v>241</v>
      </c>
      <c r="CT433" s="4">
        <v>0</v>
      </c>
      <c r="CU433" s="4" t="s">
        <v>262</v>
      </c>
      <c r="CV433" s="4" t="s">
        <v>263</v>
      </c>
      <c r="CW433" s="4" t="s">
        <v>263</v>
      </c>
      <c r="CX433" s="4" t="s">
        <v>264</v>
      </c>
      <c r="DA433" s="6">
        <f>1036620</f>
        <v>1036620</v>
      </c>
      <c r="DC433" s="4" t="s">
        <v>422</v>
      </c>
      <c r="DD433" s="4" t="s">
        <v>241</v>
      </c>
      <c r="DF433" s="4" t="s">
        <v>348</v>
      </c>
      <c r="DG433" s="6">
        <f>468</f>
        <v>468</v>
      </c>
      <c r="DI433" s="4" t="s">
        <v>414</v>
      </c>
      <c r="DJ433" s="4" t="s">
        <v>241</v>
      </c>
      <c r="DK433" s="4" t="s">
        <v>241</v>
      </c>
      <c r="DL433" s="4" t="s">
        <v>241</v>
      </c>
      <c r="DP433" s="4" t="s">
        <v>241</v>
      </c>
      <c r="DQ433" s="4" t="s">
        <v>241</v>
      </c>
      <c r="DR433" s="4" t="s">
        <v>241</v>
      </c>
      <c r="DS433" s="4" t="s">
        <v>241</v>
      </c>
      <c r="DV433" s="4" t="s">
        <v>4813</v>
      </c>
      <c r="DW433" s="4" t="s">
        <v>2665</v>
      </c>
      <c r="HO433" s="4" t="s">
        <v>267</v>
      </c>
    </row>
    <row r="434" spans="1:223" ht="19.5" customHeight="1" x14ac:dyDescent="0.4">
      <c r="A434" s="4">
        <v>1</v>
      </c>
      <c r="B434" s="4" t="s">
        <v>239</v>
      </c>
      <c r="C434" s="4">
        <v>1169</v>
      </c>
      <c r="D434" s="4">
        <v>1</v>
      </c>
      <c r="E434" s="4">
        <v>1</v>
      </c>
      <c r="F434" s="4" t="s">
        <v>240</v>
      </c>
      <c r="G434" s="4" t="s">
        <v>241</v>
      </c>
      <c r="H434" s="4" t="s">
        <v>241</v>
      </c>
      <c r="I434" s="4" t="s">
        <v>4811</v>
      </c>
      <c r="J434" s="4" t="s">
        <v>596</v>
      </c>
      <c r="K434" s="4" t="s">
        <v>251</v>
      </c>
      <c r="L434" s="4" t="s">
        <v>4810</v>
      </c>
      <c r="M434" s="5" t="s">
        <v>4878</v>
      </c>
      <c r="N434" s="6">
        <f>468</f>
        <v>468</v>
      </c>
      <c r="O434" s="4" t="s">
        <v>265</v>
      </c>
      <c r="P434" s="6">
        <f>1036620</f>
        <v>1036620</v>
      </c>
      <c r="Q434" s="6">
        <f>0</f>
        <v>0</v>
      </c>
      <c r="S434" s="6">
        <f>0</f>
        <v>0</v>
      </c>
      <c r="T434" s="6">
        <f>1036620</f>
        <v>1036620</v>
      </c>
      <c r="U434" s="5" t="s">
        <v>245</v>
      </c>
      <c r="V434" s="4" t="s">
        <v>270</v>
      </c>
      <c r="W434" s="4" t="s">
        <v>242</v>
      </c>
      <c r="X434" s="4" t="s">
        <v>273</v>
      </c>
      <c r="Y434" s="4" t="s">
        <v>241</v>
      </c>
      <c r="AB434" s="4" t="s">
        <v>241</v>
      </c>
      <c r="AD434" s="5" t="s">
        <v>241</v>
      </c>
      <c r="AG434" s="5" t="s">
        <v>246</v>
      </c>
      <c r="AH434" s="4" t="s">
        <v>241</v>
      </c>
      <c r="AI434" s="4" t="s">
        <v>247</v>
      </c>
      <c r="AJ434" s="4" t="s">
        <v>248</v>
      </c>
      <c r="AZ434" s="4" t="s">
        <v>249</v>
      </c>
      <c r="BA434" s="4" t="s">
        <v>241</v>
      </c>
      <c r="BB434" s="4" t="s">
        <v>250</v>
      </c>
      <c r="BC434" s="4" t="s">
        <v>241</v>
      </c>
      <c r="BD434" s="4" t="s">
        <v>252</v>
      </c>
      <c r="BE434" s="4" t="s">
        <v>241</v>
      </c>
      <c r="BI434" s="4" t="s">
        <v>253</v>
      </c>
      <c r="BJ434" s="5" t="s">
        <v>246</v>
      </c>
      <c r="BK434" s="4" t="s">
        <v>254</v>
      </c>
      <c r="BL434" s="4" t="s">
        <v>255</v>
      </c>
      <c r="BM434" s="4" t="s">
        <v>241</v>
      </c>
      <c r="BN434" s="6">
        <f>0</f>
        <v>0</v>
      </c>
      <c r="BO434" s="6">
        <f>0</f>
        <v>0</v>
      </c>
      <c r="BP434" s="4" t="s">
        <v>256</v>
      </c>
      <c r="BQ434" s="4" t="s">
        <v>257</v>
      </c>
      <c r="CE434" s="4" t="s">
        <v>241</v>
      </c>
      <c r="CF434" s="4" t="s">
        <v>241</v>
      </c>
      <c r="CJ434" s="4" t="s">
        <v>258</v>
      </c>
      <c r="CK434" s="4" t="s">
        <v>259</v>
      </c>
      <c r="CL434" s="4" t="s">
        <v>241</v>
      </c>
      <c r="CO434" s="5" t="s">
        <v>260</v>
      </c>
      <c r="CP434" s="4" t="s">
        <v>241</v>
      </c>
      <c r="CQ434" s="4" t="s">
        <v>261</v>
      </c>
      <c r="CR434" s="4" t="s">
        <v>241</v>
      </c>
      <c r="CS434" s="4" t="s">
        <v>241</v>
      </c>
      <c r="CT434" s="4">
        <v>0</v>
      </c>
      <c r="CU434" s="4" t="s">
        <v>262</v>
      </c>
      <c r="CV434" s="4" t="s">
        <v>263</v>
      </c>
      <c r="CW434" s="4" t="s">
        <v>263</v>
      </c>
      <c r="CX434" s="4" t="s">
        <v>264</v>
      </c>
      <c r="DA434" s="6">
        <f>1036620</f>
        <v>1036620</v>
      </c>
      <c r="DC434" s="4" t="s">
        <v>422</v>
      </c>
      <c r="DD434" s="4" t="s">
        <v>241</v>
      </c>
      <c r="DF434" s="4" t="s">
        <v>387</v>
      </c>
      <c r="DG434" s="6">
        <f>468</f>
        <v>468</v>
      </c>
      <c r="DI434" s="4" t="s">
        <v>414</v>
      </c>
      <c r="DJ434" s="4" t="s">
        <v>241</v>
      </c>
      <c r="DK434" s="4" t="s">
        <v>241</v>
      </c>
      <c r="DL434" s="4" t="s">
        <v>241</v>
      </c>
      <c r="DP434" s="4" t="s">
        <v>241</v>
      </c>
      <c r="DQ434" s="4" t="s">
        <v>241</v>
      </c>
      <c r="DR434" s="4" t="s">
        <v>241</v>
      </c>
      <c r="DS434" s="4" t="s">
        <v>241</v>
      </c>
      <c r="DV434" s="4" t="s">
        <v>4813</v>
      </c>
      <c r="DW434" s="4" t="s">
        <v>2497</v>
      </c>
      <c r="HO434" s="4" t="s">
        <v>267</v>
      </c>
    </row>
    <row r="435" spans="1:223" ht="19.5" customHeight="1" x14ac:dyDescent="0.4">
      <c r="A435" s="4">
        <v>1</v>
      </c>
      <c r="B435" s="4" t="s">
        <v>239</v>
      </c>
      <c r="C435" s="4">
        <v>1170</v>
      </c>
      <c r="D435" s="4">
        <v>1</v>
      </c>
      <c r="E435" s="4">
        <v>1</v>
      </c>
      <c r="F435" s="4" t="s">
        <v>240</v>
      </c>
      <c r="G435" s="4" t="s">
        <v>241</v>
      </c>
      <c r="H435" s="4" t="s">
        <v>241</v>
      </c>
      <c r="I435" s="4" t="s">
        <v>4811</v>
      </c>
      <c r="J435" s="4" t="s">
        <v>596</v>
      </c>
      <c r="K435" s="4" t="s">
        <v>251</v>
      </c>
      <c r="L435" s="4" t="s">
        <v>4810</v>
      </c>
      <c r="M435" s="5" t="s">
        <v>4814</v>
      </c>
      <c r="N435" s="6">
        <f>455</f>
        <v>455</v>
      </c>
      <c r="O435" s="4" t="s">
        <v>265</v>
      </c>
      <c r="P435" s="6">
        <f>1007825</f>
        <v>1007825</v>
      </c>
      <c r="Q435" s="6">
        <f>0</f>
        <v>0</v>
      </c>
      <c r="S435" s="6">
        <f>0</f>
        <v>0</v>
      </c>
      <c r="T435" s="6">
        <f>1007825</f>
        <v>1007825</v>
      </c>
      <c r="U435" s="5" t="s">
        <v>245</v>
      </c>
      <c r="V435" s="4" t="s">
        <v>270</v>
      </c>
      <c r="W435" s="4" t="s">
        <v>242</v>
      </c>
      <c r="X435" s="4" t="s">
        <v>273</v>
      </c>
      <c r="Y435" s="4" t="s">
        <v>241</v>
      </c>
      <c r="AB435" s="4" t="s">
        <v>241</v>
      </c>
      <c r="AD435" s="5" t="s">
        <v>241</v>
      </c>
      <c r="AG435" s="5" t="s">
        <v>246</v>
      </c>
      <c r="AH435" s="4" t="s">
        <v>241</v>
      </c>
      <c r="AI435" s="4" t="s">
        <v>247</v>
      </c>
      <c r="AJ435" s="4" t="s">
        <v>248</v>
      </c>
      <c r="AZ435" s="4" t="s">
        <v>249</v>
      </c>
      <c r="BA435" s="4" t="s">
        <v>241</v>
      </c>
      <c r="BB435" s="4" t="s">
        <v>250</v>
      </c>
      <c r="BC435" s="4" t="s">
        <v>241</v>
      </c>
      <c r="BD435" s="4" t="s">
        <v>252</v>
      </c>
      <c r="BE435" s="4" t="s">
        <v>241</v>
      </c>
      <c r="BI435" s="4" t="s">
        <v>253</v>
      </c>
      <c r="BJ435" s="5" t="s">
        <v>246</v>
      </c>
      <c r="BK435" s="4" t="s">
        <v>254</v>
      </c>
      <c r="BL435" s="4" t="s">
        <v>255</v>
      </c>
      <c r="BM435" s="4" t="s">
        <v>241</v>
      </c>
      <c r="BN435" s="6">
        <f>0</f>
        <v>0</v>
      </c>
      <c r="BO435" s="6">
        <f>0</f>
        <v>0</v>
      </c>
      <c r="BP435" s="4" t="s">
        <v>256</v>
      </c>
      <c r="BQ435" s="4" t="s">
        <v>257</v>
      </c>
      <c r="CE435" s="4" t="s">
        <v>241</v>
      </c>
      <c r="CF435" s="4" t="s">
        <v>241</v>
      </c>
      <c r="CJ435" s="4" t="s">
        <v>258</v>
      </c>
      <c r="CK435" s="4" t="s">
        <v>259</v>
      </c>
      <c r="CL435" s="4" t="s">
        <v>241</v>
      </c>
      <c r="CO435" s="5" t="s">
        <v>260</v>
      </c>
      <c r="CP435" s="4" t="s">
        <v>241</v>
      </c>
      <c r="CQ435" s="4" t="s">
        <v>261</v>
      </c>
      <c r="CR435" s="4" t="s">
        <v>241</v>
      </c>
      <c r="CS435" s="4" t="s">
        <v>241</v>
      </c>
      <c r="CT435" s="4">
        <v>0</v>
      </c>
      <c r="CU435" s="4" t="s">
        <v>262</v>
      </c>
      <c r="CV435" s="4" t="s">
        <v>263</v>
      </c>
      <c r="CW435" s="4" t="s">
        <v>263</v>
      </c>
      <c r="CX435" s="4" t="s">
        <v>264</v>
      </c>
      <c r="DA435" s="6">
        <f>1007825</f>
        <v>1007825</v>
      </c>
      <c r="DC435" s="4" t="s">
        <v>422</v>
      </c>
      <c r="DD435" s="4" t="s">
        <v>241</v>
      </c>
      <c r="DF435" s="4" t="s">
        <v>387</v>
      </c>
      <c r="DG435" s="6">
        <f>455</f>
        <v>455</v>
      </c>
      <c r="DI435" s="4" t="s">
        <v>414</v>
      </c>
      <c r="DJ435" s="4" t="s">
        <v>241</v>
      </c>
      <c r="DK435" s="4" t="s">
        <v>241</v>
      </c>
      <c r="DL435" s="4" t="s">
        <v>241</v>
      </c>
      <c r="DP435" s="4" t="s">
        <v>241</v>
      </c>
      <c r="DQ435" s="4" t="s">
        <v>241</v>
      </c>
      <c r="DR435" s="4" t="s">
        <v>241</v>
      </c>
      <c r="DS435" s="4" t="s">
        <v>241</v>
      </c>
      <c r="DV435" s="4" t="s">
        <v>4813</v>
      </c>
      <c r="DW435" s="4" t="s">
        <v>2669</v>
      </c>
      <c r="HO435" s="4" t="s">
        <v>267</v>
      </c>
    </row>
    <row r="436" spans="1:223" ht="19.5" customHeight="1" x14ac:dyDescent="0.4">
      <c r="A436" s="4">
        <v>1</v>
      </c>
      <c r="B436" s="4" t="s">
        <v>239</v>
      </c>
      <c r="C436" s="4">
        <v>1171</v>
      </c>
      <c r="D436" s="4">
        <v>1</v>
      </c>
      <c r="E436" s="4">
        <v>1</v>
      </c>
      <c r="F436" s="4" t="s">
        <v>240</v>
      </c>
      <c r="G436" s="4" t="s">
        <v>241</v>
      </c>
      <c r="H436" s="4" t="s">
        <v>241</v>
      </c>
      <c r="I436" s="4" t="s">
        <v>4811</v>
      </c>
      <c r="J436" s="4" t="s">
        <v>596</v>
      </c>
      <c r="K436" s="4" t="s">
        <v>251</v>
      </c>
      <c r="L436" s="4" t="s">
        <v>4810</v>
      </c>
      <c r="M436" s="5" t="s">
        <v>5470</v>
      </c>
      <c r="N436" s="6">
        <f>242</f>
        <v>242</v>
      </c>
      <c r="O436" s="4" t="s">
        <v>265</v>
      </c>
      <c r="P436" s="6">
        <f>536030</f>
        <v>536030</v>
      </c>
      <c r="Q436" s="6">
        <f>0</f>
        <v>0</v>
      </c>
      <c r="S436" s="6">
        <f>0</f>
        <v>0</v>
      </c>
      <c r="T436" s="6">
        <f>536030</f>
        <v>536030</v>
      </c>
      <c r="U436" s="5" t="s">
        <v>245</v>
      </c>
      <c r="V436" s="4" t="s">
        <v>270</v>
      </c>
      <c r="W436" s="4" t="s">
        <v>242</v>
      </c>
      <c r="X436" s="4" t="s">
        <v>273</v>
      </c>
      <c r="Y436" s="4" t="s">
        <v>241</v>
      </c>
      <c r="AB436" s="4" t="s">
        <v>241</v>
      </c>
      <c r="AD436" s="5" t="s">
        <v>241</v>
      </c>
      <c r="AG436" s="5" t="s">
        <v>246</v>
      </c>
      <c r="AH436" s="4" t="s">
        <v>241</v>
      </c>
      <c r="AI436" s="4" t="s">
        <v>247</v>
      </c>
      <c r="AJ436" s="4" t="s">
        <v>248</v>
      </c>
      <c r="AZ436" s="4" t="s">
        <v>249</v>
      </c>
      <c r="BA436" s="4" t="s">
        <v>241</v>
      </c>
      <c r="BB436" s="4" t="s">
        <v>250</v>
      </c>
      <c r="BC436" s="4" t="s">
        <v>241</v>
      </c>
      <c r="BD436" s="4" t="s">
        <v>252</v>
      </c>
      <c r="BE436" s="4" t="s">
        <v>241</v>
      </c>
      <c r="BI436" s="4" t="s">
        <v>253</v>
      </c>
      <c r="BJ436" s="5" t="s">
        <v>246</v>
      </c>
      <c r="BK436" s="4" t="s">
        <v>254</v>
      </c>
      <c r="BL436" s="4" t="s">
        <v>255</v>
      </c>
      <c r="BM436" s="4" t="s">
        <v>241</v>
      </c>
      <c r="BN436" s="6">
        <f>0</f>
        <v>0</v>
      </c>
      <c r="BO436" s="6">
        <f>0</f>
        <v>0</v>
      </c>
      <c r="BP436" s="4" t="s">
        <v>256</v>
      </c>
      <c r="BQ436" s="4" t="s">
        <v>257</v>
      </c>
      <c r="CE436" s="4" t="s">
        <v>241</v>
      </c>
      <c r="CF436" s="4" t="s">
        <v>241</v>
      </c>
      <c r="CJ436" s="4" t="s">
        <v>258</v>
      </c>
      <c r="CK436" s="4" t="s">
        <v>259</v>
      </c>
      <c r="CL436" s="4" t="s">
        <v>241</v>
      </c>
      <c r="CO436" s="5" t="s">
        <v>260</v>
      </c>
      <c r="CP436" s="4" t="s">
        <v>241</v>
      </c>
      <c r="CQ436" s="4" t="s">
        <v>261</v>
      </c>
      <c r="CR436" s="4" t="s">
        <v>241</v>
      </c>
      <c r="CS436" s="4" t="s">
        <v>241</v>
      </c>
      <c r="CT436" s="4">
        <v>0</v>
      </c>
      <c r="CU436" s="4" t="s">
        <v>262</v>
      </c>
      <c r="CV436" s="4" t="s">
        <v>263</v>
      </c>
      <c r="CW436" s="4" t="s">
        <v>263</v>
      </c>
      <c r="CX436" s="4" t="s">
        <v>264</v>
      </c>
      <c r="DA436" s="6">
        <f>536030</f>
        <v>536030</v>
      </c>
      <c r="DC436" s="4" t="s">
        <v>422</v>
      </c>
      <c r="DD436" s="4" t="s">
        <v>241</v>
      </c>
      <c r="DF436" s="4" t="s">
        <v>3160</v>
      </c>
      <c r="DG436" s="6">
        <f>242</f>
        <v>242</v>
      </c>
      <c r="DI436" s="4" t="s">
        <v>414</v>
      </c>
      <c r="DJ436" s="4" t="s">
        <v>241</v>
      </c>
      <c r="DK436" s="4" t="s">
        <v>241</v>
      </c>
      <c r="DL436" s="4" t="s">
        <v>241</v>
      </c>
      <c r="DP436" s="4" t="s">
        <v>241</v>
      </c>
      <c r="DQ436" s="4" t="s">
        <v>241</v>
      </c>
      <c r="DR436" s="4" t="s">
        <v>241</v>
      </c>
      <c r="DS436" s="4" t="s">
        <v>241</v>
      </c>
      <c r="DV436" s="4" t="s">
        <v>4813</v>
      </c>
      <c r="DW436" s="4" t="s">
        <v>2673</v>
      </c>
      <c r="HO436" s="4" t="s">
        <v>267</v>
      </c>
    </row>
    <row r="437" spans="1:223" ht="19.5" customHeight="1" x14ac:dyDescent="0.4">
      <c r="A437" s="4">
        <v>1</v>
      </c>
      <c r="B437" s="4" t="s">
        <v>239</v>
      </c>
      <c r="C437" s="4">
        <v>1172</v>
      </c>
      <c r="D437" s="4">
        <v>1</v>
      </c>
      <c r="E437" s="4">
        <v>1</v>
      </c>
      <c r="F437" s="4" t="s">
        <v>240</v>
      </c>
      <c r="G437" s="4" t="s">
        <v>241</v>
      </c>
      <c r="H437" s="4" t="s">
        <v>241</v>
      </c>
      <c r="I437" s="4" t="s">
        <v>4807</v>
      </c>
      <c r="J437" s="4" t="s">
        <v>3158</v>
      </c>
      <c r="K437" s="4" t="s">
        <v>251</v>
      </c>
      <c r="L437" s="4" t="s">
        <v>4806</v>
      </c>
      <c r="M437" s="5" t="s">
        <v>4808</v>
      </c>
      <c r="N437" s="6">
        <f>1603</f>
        <v>1603</v>
      </c>
      <c r="O437" s="4" t="s">
        <v>265</v>
      </c>
      <c r="P437" s="6">
        <f>3550645</f>
        <v>3550645</v>
      </c>
      <c r="Q437" s="6">
        <f>0</f>
        <v>0</v>
      </c>
      <c r="S437" s="6">
        <f>0</f>
        <v>0</v>
      </c>
      <c r="T437" s="6">
        <f>3550645</f>
        <v>3550645</v>
      </c>
      <c r="U437" s="5" t="s">
        <v>245</v>
      </c>
      <c r="V437" s="4" t="s">
        <v>270</v>
      </c>
      <c r="W437" s="4" t="s">
        <v>242</v>
      </c>
      <c r="X437" s="4" t="s">
        <v>273</v>
      </c>
      <c r="Y437" s="4" t="s">
        <v>241</v>
      </c>
      <c r="AB437" s="4" t="s">
        <v>241</v>
      </c>
      <c r="AD437" s="5" t="s">
        <v>241</v>
      </c>
      <c r="AG437" s="5" t="s">
        <v>246</v>
      </c>
      <c r="AH437" s="4" t="s">
        <v>241</v>
      </c>
      <c r="AI437" s="4" t="s">
        <v>247</v>
      </c>
      <c r="AJ437" s="4" t="s">
        <v>248</v>
      </c>
      <c r="AZ437" s="4" t="s">
        <v>249</v>
      </c>
      <c r="BA437" s="4" t="s">
        <v>241</v>
      </c>
      <c r="BB437" s="4" t="s">
        <v>250</v>
      </c>
      <c r="BC437" s="4" t="s">
        <v>241</v>
      </c>
      <c r="BD437" s="4" t="s">
        <v>252</v>
      </c>
      <c r="BE437" s="4" t="s">
        <v>241</v>
      </c>
      <c r="BG437" s="4" t="s">
        <v>4227</v>
      </c>
      <c r="BI437" s="4" t="s">
        <v>253</v>
      </c>
      <c r="BJ437" s="5" t="s">
        <v>246</v>
      </c>
      <c r="BK437" s="4" t="s">
        <v>254</v>
      </c>
      <c r="BL437" s="4" t="s">
        <v>255</v>
      </c>
      <c r="BM437" s="4" t="s">
        <v>241</v>
      </c>
      <c r="BN437" s="6">
        <f>0</f>
        <v>0</v>
      </c>
      <c r="BO437" s="6">
        <f>0</f>
        <v>0</v>
      </c>
      <c r="BP437" s="4" t="s">
        <v>256</v>
      </c>
      <c r="BQ437" s="4" t="s">
        <v>257</v>
      </c>
      <c r="CE437" s="4" t="s">
        <v>241</v>
      </c>
      <c r="CF437" s="4" t="s">
        <v>241</v>
      </c>
      <c r="CJ437" s="4" t="s">
        <v>258</v>
      </c>
      <c r="CK437" s="4" t="s">
        <v>259</v>
      </c>
      <c r="CL437" s="4" t="s">
        <v>241</v>
      </c>
      <c r="CO437" s="5" t="s">
        <v>260</v>
      </c>
      <c r="CP437" s="4" t="s">
        <v>241</v>
      </c>
      <c r="CQ437" s="4" t="s">
        <v>261</v>
      </c>
      <c r="CR437" s="4" t="s">
        <v>241</v>
      </c>
      <c r="CS437" s="4" t="s">
        <v>241</v>
      </c>
      <c r="CT437" s="4">
        <v>0</v>
      </c>
      <c r="CU437" s="4" t="s">
        <v>262</v>
      </c>
      <c r="CV437" s="4" t="s">
        <v>263</v>
      </c>
      <c r="CW437" s="4" t="s">
        <v>263</v>
      </c>
      <c r="CX437" s="4" t="s">
        <v>264</v>
      </c>
      <c r="DA437" s="6">
        <f>3550645</f>
        <v>3550645</v>
      </c>
      <c r="DC437" s="4" t="s">
        <v>422</v>
      </c>
      <c r="DD437" s="4" t="s">
        <v>241</v>
      </c>
      <c r="DF437" s="4" t="s">
        <v>422</v>
      </c>
      <c r="DG437" s="6">
        <f>0</f>
        <v>0</v>
      </c>
      <c r="DI437" s="4" t="s">
        <v>414</v>
      </c>
      <c r="DJ437" s="4" t="s">
        <v>241</v>
      </c>
      <c r="DK437" s="4" t="s">
        <v>241</v>
      </c>
      <c r="DL437" s="4" t="s">
        <v>241</v>
      </c>
      <c r="DP437" s="4" t="s">
        <v>241</v>
      </c>
      <c r="DQ437" s="4" t="s">
        <v>241</v>
      </c>
      <c r="DR437" s="4" t="s">
        <v>241</v>
      </c>
      <c r="DS437" s="4" t="s">
        <v>241</v>
      </c>
      <c r="DV437" s="4" t="s">
        <v>4809</v>
      </c>
      <c r="DW437" s="4" t="s">
        <v>267</v>
      </c>
      <c r="HO437" s="4" t="s">
        <v>267</v>
      </c>
    </row>
    <row r="438" spans="1:223" ht="19.5" customHeight="1" x14ac:dyDescent="0.4">
      <c r="A438" s="4">
        <v>1</v>
      </c>
      <c r="B438" s="4" t="s">
        <v>239</v>
      </c>
      <c r="C438" s="4">
        <v>1173</v>
      </c>
      <c r="D438" s="4">
        <v>1</v>
      </c>
      <c r="E438" s="4">
        <v>1</v>
      </c>
      <c r="F438" s="4" t="s">
        <v>240</v>
      </c>
      <c r="G438" s="4" t="s">
        <v>241</v>
      </c>
      <c r="H438" s="4" t="s">
        <v>241</v>
      </c>
      <c r="I438" s="4" t="s">
        <v>4800</v>
      </c>
      <c r="J438" s="4" t="s">
        <v>4219</v>
      </c>
      <c r="K438" s="4" t="s">
        <v>251</v>
      </c>
      <c r="L438" s="4" t="s">
        <v>4799</v>
      </c>
      <c r="M438" s="5" t="s">
        <v>4801</v>
      </c>
      <c r="N438" s="6">
        <f>31952</f>
        <v>31952</v>
      </c>
      <c r="O438" s="4" t="s">
        <v>265</v>
      </c>
      <c r="P438" s="6">
        <f>70773680</f>
        <v>70773680</v>
      </c>
      <c r="Q438" s="6">
        <f>0</f>
        <v>0</v>
      </c>
      <c r="S438" s="6">
        <f>0</f>
        <v>0</v>
      </c>
      <c r="T438" s="6">
        <f>70773680</f>
        <v>70773680</v>
      </c>
      <c r="U438" s="5" t="s">
        <v>245</v>
      </c>
      <c r="V438" s="4" t="s">
        <v>270</v>
      </c>
      <c r="W438" s="4" t="s">
        <v>242</v>
      </c>
      <c r="X438" s="4" t="s">
        <v>273</v>
      </c>
      <c r="Y438" s="4" t="s">
        <v>241</v>
      </c>
      <c r="AB438" s="4" t="s">
        <v>241</v>
      </c>
      <c r="AD438" s="5" t="s">
        <v>241</v>
      </c>
      <c r="AG438" s="5" t="s">
        <v>246</v>
      </c>
      <c r="AH438" s="4" t="s">
        <v>241</v>
      </c>
      <c r="AI438" s="4" t="s">
        <v>247</v>
      </c>
      <c r="AJ438" s="4" t="s">
        <v>248</v>
      </c>
      <c r="AZ438" s="4" t="s">
        <v>249</v>
      </c>
      <c r="BA438" s="4" t="s">
        <v>241</v>
      </c>
      <c r="BB438" s="4" t="s">
        <v>250</v>
      </c>
      <c r="BC438" s="4" t="s">
        <v>241</v>
      </c>
      <c r="BD438" s="4" t="s">
        <v>252</v>
      </c>
      <c r="BE438" s="4" t="s">
        <v>241</v>
      </c>
      <c r="BG438" s="4" t="s">
        <v>4227</v>
      </c>
      <c r="BI438" s="4" t="s">
        <v>253</v>
      </c>
      <c r="BJ438" s="5" t="s">
        <v>246</v>
      </c>
      <c r="BK438" s="4" t="s">
        <v>254</v>
      </c>
      <c r="BL438" s="4" t="s">
        <v>255</v>
      </c>
      <c r="BM438" s="4" t="s">
        <v>241</v>
      </c>
      <c r="BN438" s="6">
        <f>0</f>
        <v>0</v>
      </c>
      <c r="BO438" s="6">
        <f>0</f>
        <v>0</v>
      </c>
      <c r="BP438" s="4" t="s">
        <v>256</v>
      </c>
      <c r="BQ438" s="4" t="s">
        <v>257</v>
      </c>
      <c r="CE438" s="4" t="s">
        <v>241</v>
      </c>
      <c r="CF438" s="4" t="s">
        <v>241</v>
      </c>
      <c r="CJ438" s="4" t="s">
        <v>258</v>
      </c>
      <c r="CK438" s="4" t="s">
        <v>259</v>
      </c>
      <c r="CL438" s="4" t="s">
        <v>241</v>
      </c>
      <c r="CO438" s="5" t="s">
        <v>260</v>
      </c>
      <c r="CP438" s="4" t="s">
        <v>241</v>
      </c>
      <c r="CQ438" s="4" t="s">
        <v>261</v>
      </c>
      <c r="CR438" s="4" t="s">
        <v>241</v>
      </c>
      <c r="CS438" s="4" t="s">
        <v>241</v>
      </c>
      <c r="CT438" s="4">
        <v>0</v>
      </c>
      <c r="CU438" s="4" t="s">
        <v>262</v>
      </c>
      <c r="CV438" s="4" t="s">
        <v>263</v>
      </c>
      <c r="CW438" s="4" t="s">
        <v>263</v>
      </c>
      <c r="CX438" s="4" t="s">
        <v>264</v>
      </c>
      <c r="DA438" s="6">
        <f>70773680</f>
        <v>70773680</v>
      </c>
      <c r="DC438" s="4" t="s">
        <v>422</v>
      </c>
      <c r="DD438" s="4" t="s">
        <v>241</v>
      </c>
      <c r="DF438" s="4" t="s">
        <v>287</v>
      </c>
      <c r="DG438" s="6">
        <f>0</f>
        <v>0</v>
      </c>
      <c r="DI438" s="4" t="s">
        <v>414</v>
      </c>
      <c r="DJ438" s="4" t="s">
        <v>241</v>
      </c>
      <c r="DK438" s="4" t="s">
        <v>241</v>
      </c>
      <c r="DL438" s="4" t="s">
        <v>241</v>
      </c>
      <c r="DP438" s="4" t="s">
        <v>241</v>
      </c>
      <c r="DQ438" s="4" t="s">
        <v>241</v>
      </c>
      <c r="DR438" s="4" t="s">
        <v>241</v>
      </c>
      <c r="DS438" s="4" t="s">
        <v>241</v>
      </c>
      <c r="DV438" s="4" t="s">
        <v>4802</v>
      </c>
      <c r="DW438" s="4" t="s">
        <v>267</v>
      </c>
      <c r="HO438" s="4" t="s">
        <v>267</v>
      </c>
    </row>
    <row r="439" spans="1:223" ht="19.5" customHeight="1" x14ac:dyDescent="0.4">
      <c r="A439" s="4">
        <v>1</v>
      </c>
      <c r="B439" s="4" t="s">
        <v>239</v>
      </c>
      <c r="C439" s="4">
        <v>1174</v>
      </c>
      <c r="D439" s="4">
        <v>1</v>
      </c>
      <c r="E439" s="4">
        <v>1</v>
      </c>
      <c r="F439" s="4" t="s">
        <v>240</v>
      </c>
      <c r="G439" s="4" t="s">
        <v>241</v>
      </c>
      <c r="H439" s="4" t="s">
        <v>241</v>
      </c>
      <c r="I439" s="4" t="s">
        <v>4800</v>
      </c>
      <c r="J439" s="4" t="s">
        <v>4219</v>
      </c>
      <c r="K439" s="4" t="s">
        <v>251</v>
      </c>
      <c r="L439" s="4" t="s">
        <v>4799</v>
      </c>
      <c r="M439" s="5" t="s">
        <v>4803</v>
      </c>
      <c r="N439" s="6">
        <f>3296</f>
        <v>3296</v>
      </c>
      <c r="O439" s="4" t="s">
        <v>265</v>
      </c>
      <c r="P439" s="6">
        <f>7300640</f>
        <v>7300640</v>
      </c>
      <c r="Q439" s="6">
        <f>0</f>
        <v>0</v>
      </c>
      <c r="S439" s="6">
        <f>0</f>
        <v>0</v>
      </c>
      <c r="T439" s="6">
        <f>7300640</f>
        <v>7300640</v>
      </c>
      <c r="U439" s="5" t="s">
        <v>245</v>
      </c>
      <c r="V439" s="4" t="s">
        <v>270</v>
      </c>
      <c r="W439" s="4" t="s">
        <v>242</v>
      </c>
      <c r="X439" s="4" t="s">
        <v>273</v>
      </c>
      <c r="Y439" s="4" t="s">
        <v>241</v>
      </c>
      <c r="AB439" s="4" t="s">
        <v>241</v>
      </c>
      <c r="AD439" s="5" t="s">
        <v>241</v>
      </c>
      <c r="AG439" s="5" t="s">
        <v>246</v>
      </c>
      <c r="AH439" s="4" t="s">
        <v>241</v>
      </c>
      <c r="AI439" s="4" t="s">
        <v>247</v>
      </c>
      <c r="AJ439" s="4" t="s">
        <v>248</v>
      </c>
      <c r="AZ439" s="4" t="s">
        <v>249</v>
      </c>
      <c r="BA439" s="4" t="s">
        <v>241</v>
      </c>
      <c r="BB439" s="4" t="s">
        <v>250</v>
      </c>
      <c r="BC439" s="4" t="s">
        <v>241</v>
      </c>
      <c r="BD439" s="4" t="s">
        <v>252</v>
      </c>
      <c r="BE439" s="4" t="s">
        <v>241</v>
      </c>
      <c r="BI439" s="4" t="s">
        <v>253</v>
      </c>
      <c r="BJ439" s="5" t="s">
        <v>246</v>
      </c>
      <c r="BK439" s="4" t="s">
        <v>254</v>
      </c>
      <c r="BL439" s="4" t="s">
        <v>255</v>
      </c>
      <c r="BM439" s="4" t="s">
        <v>241</v>
      </c>
      <c r="BN439" s="6">
        <f>0</f>
        <v>0</v>
      </c>
      <c r="BO439" s="6">
        <f>0</f>
        <v>0</v>
      </c>
      <c r="BP439" s="4" t="s">
        <v>256</v>
      </c>
      <c r="BQ439" s="4" t="s">
        <v>257</v>
      </c>
      <c r="CE439" s="4" t="s">
        <v>241</v>
      </c>
      <c r="CF439" s="4" t="s">
        <v>241</v>
      </c>
      <c r="CJ439" s="4" t="s">
        <v>258</v>
      </c>
      <c r="CK439" s="4" t="s">
        <v>259</v>
      </c>
      <c r="CL439" s="4" t="s">
        <v>241</v>
      </c>
      <c r="CO439" s="5" t="s">
        <v>260</v>
      </c>
      <c r="CP439" s="4" t="s">
        <v>241</v>
      </c>
      <c r="CQ439" s="4" t="s">
        <v>261</v>
      </c>
      <c r="CR439" s="4" t="s">
        <v>241</v>
      </c>
      <c r="CS439" s="4" t="s">
        <v>241</v>
      </c>
      <c r="CT439" s="4">
        <v>0</v>
      </c>
      <c r="CU439" s="4" t="s">
        <v>262</v>
      </c>
      <c r="CV439" s="4" t="s">
        <v>263</v>
      </c>
      <c r="CW439" s="4" t="s">
        <v>263</v>
      </c>
      <c r="CX439" s="4" t="s">
        <v>264</v>
      </c>
      <c r="DA439" s="6">
        <f>7300640</f>
        <v>7300640</v>
      </c>
      <c r="DC439" s="4" t="s">
        <v>422</v>
      </c>
      <c r="DD439" s="4" t="s">
        <v>241</v>
      </c>
      <c r="DF439" s="4" t="s">
        <v>287</v>
      </c>
      <c r="DG439" s="6">
        <f>0</f>
        <v>0</v>
      </c>
      <c r="DI439" s="4" t="s">
        <v>414</v>
      </c>
      <c r="DJ439" s="4" t="s">
        <v>241</v>
      </c>
      <c r="DK439" s="4" t="s">
        <v>241</v>
      </c>
      <c r="DL439" s="4" t="s">
        <v>241</v>
      </c>
      <c r="DP439" s="4" t="s">
        <v>241</v>
      </c>
      <c r="DQ439" s="4" t="s">
        <v>241</v>
      </c>
      <c r="DR439" s="4" t="s">
        <v>241</v>
      </c>
      <c r="DS439" s="4" t="s">
        <v>241</v>
      </c>
      <c r="DV439" s="4" t="s">
        <v>4802</v>
      </c>
      <c r="DW439" s="4" t="s">
        <v>416</v>
      </c>
      <c r="HO439" s="4" t="s">
        <v>267</v>
      </c>
    </row>
    <row r="440" spans="1:223" ht="19.5" customHeight="1" x14ac:dyDescent="0.4">
      <c r="A440" s="4">
        <v>1</v>
      </c>
      <c r="B440" s="4" t="s">
        <v>239</v>
      </c>
      <c r="C440" s="4">
        <v>1175</v>
      </c>
      <c r="D440" s="4">
        <v>1</v>
      </c>
      <c r="E440" s="4">
        <v>1</v>
      </c>
      <c r="F440" s="4" t="s">
        <v>240</v>
      </c>
      <c r="G440" s="4" t="s">
        <v>241</v>
      </c>
      <c r="H440" s="4" t="s">
        <v>241</v>
      </c>
      <c r="I440" s="4" t="s">
        <v>4800</v>
      </c>
      <c r="J440" s="4" t="s">
        <v>4219</v>
      </c>
      <c r="K440" s="4" t="s">
        <v>251</v>
      </c>
      <c r="L440" s="4" t="s">
        <v>4799</v>
      </c>
      <c r="M440" s="5" t="s">
        <v>4804</v>
      </c>
      <c r="N440" s="6">
        <f>4916</f>
        <v>4916</v>
      </c>
      <c r="O440" s="4" t="s">
        <v>265</v>
      </c>
      <c r="P440" s="6">
        <f>10888940</f>
        <v>10888940</v>
      </c>
      <c r="Q440" s="6">
        <f>0</f>
        <v>0</v>
      </c>
      <c r="S440" s="6">
        <f>0</f>
        <v>0</v>
      </c>
      <c r="T440" s="6">
        <f>10888940</f>
        <v>10888940</v>
      </c>
      <c r="U440" s="5" t="s">
        <v>245</v>
      </c>
      <c r="V440" s="4" t="s">
        <v>270</v>
      </c>
      <c r="W440" s="4" t="s">
        <v>242</v>
      </c>
      <c r="X440" s="4" t="s">
        <v>273</v>
      </c>
      <c r="Y440" s="4" t="s">
        <v>241</v>
      </c>
      <c r="AB440" s="4" t="s">
        <v>241</v>
      </c>
      <c r="AD440" s="5" t="s">
        <v>241</v>
      </c>
      <c r="AG440" s="5" t="s">
        <v>246</v>
      </c>
      <c r="AH440" s="4" t="s">
        <v>241</v>
      </c>
      <c r="AI440" s="4" t="s">
        <v>247</v>
      </c>
      <c r="AJ440" s="4" t="s">
        <v>248</v>
      </c>
      <c r="AZ440" s="4" t="s">
        <v>249</v>
      </c>
      <c r="BA440" s="4" t="s">
        <v>241</v>
      </c>
      <c r="BB440" s="4" t="s">
        <v>250</v>
      </c>
      <c r="BC440" s="4" t="s">
        <v>241</v>
      </c>
      <c r="BD440" s="4" t="s">
        <v>252</v>
      </c>
      <c r="BE440" s="4" t="s">
        <v>241</v>
      </c>
      <c r="BI440" s="4" t="s">
        <v>253</v>
      </c>
      <c r="BJ440" s="5" t="s">
        <v>246</v>
      </c>
      <c r="BK440" s="4" t="s">
        <v>254</v>
      </c>
      <c r="BL440" s="4" t="s">
        <v>255</v>
      </c>
      <c r="BM440" s="4" t="s">
        <v>241</v>
      </c>
      <c r="BN440" s="6">
        <f>0</f>
        <v>0</v>
      </c>
      <c r="BO440" s="6">
        <f>0</f>
        <v>0</v>
      </c>
      <c r="BP440" s="4" t="s">
        <v>256</v>
      </c>
      <c r="BQ440" s="4" t="s">
        <v>257</v>
      </c>
      <c r="CE440" s="4" t="s">
        <v>241</v>
      </c>
      <c r="CF440" s="4" t="s">
        <v>241</v>
      </c>
      <c r="CJ440" s="4" t="s">
        <v>258</v>
      </c>
      <c r="CK440" s="4" t="s">
        <v>259</v>
      </c>
      <c r="CL440" s="4" t="s">
        <v>241</v>
      </c>
      <c r="CO440" s="5" t="s">
        <v>260</v>
      </c>
      <c r="CP440" s="4" t="s">
        <v>241</v>
      </c>
      <c r="CQ440" s="4" t="s">
        <v>261</v>
      </c>
      <c r="CR440" s="4" t="s">
        <v>241</v>
      </c>
      <c r="CS440" s="4" t="s">
        <v>241</v>
      </c>
      <c r="CT440" s="4">
        <v>0</v>
      </c>
      <c r="CU440" s="4" t="s">
        <v>262</v>
      </c>
      <c r="CV440" s="4" t="s">
        <v>263</v>
      </c>
      <c r="CW440" s="4" t="s">
        <v>263</v>
      </c>
      <c r="CX440" s="4" t="s">
        <v>264</v>
      </c>
      <c r="DA440" s="6">
        <f>10888940</f>
        <v>10888940</v>
      </c>
      <c r="DC440" s="4" t="s">
        <v>422</v>
      </c>
      <c r="DD440" s="4" t="s">
        <v>241</v>
      </c>
      <c r="DF440" s="4" t="s">
        <v>287</v>
      </c>
      <c r="DG440" s="6">
        <f>0</f>
        <v>0</v>
      </c>
      <c r="DI440" s="4" t="s">
        <v>414</v>
      </c>
      <c r="DJ440" s="4" t="s">
        <v>241</v>
      </c>
      <c r="DK440" s="4" t="s">
        <v>241</v>
      </c>
      <c r="DL440" s="4" t="s">
        <v>241</v>
      </c>
      <c r="DP440" s="4" t="s">
        <v>241</v>
      </c>
      <c r="DQ440" s="4" t="s">
        <v>241</v>
      </c>
      <c r="DR440" s="4" t="s">
        <v>241</v>
      </c>
      <c r="DS440" s="4" t="s">
        <v>241</v>
      </c>
      <c r="DV440" s="4" t="s">
        <v>4802</v>
      </c>
      <c r="DW440" s="4" t="s">
        <v>388</v>
      </c>
      <c r="HO440" s="4" t="s">
        <v>267</v>
      </c>
    </row>
    <row r="441" spans="1:223" ht="19.5" customHeight="1" x14ac:dyDescent="0.4">
      <c r="A441" s="4">
        <v>1</v>
      </c>
      <c r="B441" s="4" t="s">
        <v>239</v>
      </c>
      <c r="C441" s="4">
        <v>1176</v>
      </c>
      <c r="D441" s="4">
        <v>1</v>
      </c>
      <c r="E441" s="4">
        <v>1</v>
      </c>
      <c r="F441" s="4" t="s">
        <v>240</v>
      </c>
      <c r="G441" s="4" t="s">
        <v>241</v>
      </c>
      <c r="H441" s="4" t="s">
        <v>241</v>
      </c>
      <c r="I441" s="4" t="s">
        <v>4800</v>
      </c>
      <c r="J441" s="4" t="s">
        <v>4219</v>
      </c>
      <c r="K441" s="4" t="s">
        <v>251</v>
      </c>
      <c r="L441" s="4" t="s">
        <v>4799</v>
      </c>
      <c r="M441" s="5" t="s">
        <v>4805</v>
      </c>
      <c r="N441" s="6">
        <f>6036</f>
        <v>6036</v>
      </c>
      <c r="O441" s="4" t="s">
        <v>265</v>
      </c>
      <c r="P441" s="6">
        <f>13369740</f>
        <v>13369740</v>
      </c>
      <c r="Q441" s="6">
        <f>0</f>
        <v>0</v>
      </c>
      <c r="S441" s="6">
        <f>0</f>
        <v>0</v>
      </c>
      <c r="T441" s="6">
        <f>13369740</f>
        <v>13369740</v>
      </c>
      <c r="U441" s="5" t="s">
        <v>245</v>
      </c>
      <c r="V441" s="4" t="s">
        <v>270</v>
      </c>
      <c r="W441" s="4" t="s">
        <v>242</v>
      </c>
      <c r="X441" s="4" t="s">
        <v>273</v>
      </c>
      <c r="Y441" s="4" t="s">
        <v>241</v>
      </c>
      <c r="AB441" s="4" t="s">
        <v>241</v>
      </c>
      <c r="AD441" s="5" t="s">
        <v>241</v>
      </c>
      <c r="AG441" s="5" t="s">
        <v>246</v>
      </c>
      <c r="AH441" s="4" t="s">
        <v>241</v>
      </c>
      <c r="AI441" s="4" t="s">
        <v>247</v>
      </c>
      <c r="AJ441" s="4" t="s">
        <v>248</v>
      </c>
      <c r="AZ441" s="4" t="s">
        <v>249</v>
      </c>
      <c r="BA441" s="4" t="s">
        <v>241</v>
      </c>
      <c r="BB441" s="4" t="s">
        <v>250</v>
      </c>
      <c r="BC441" s="4" t="s">
        <v>241</v>
      </c>
      <c r="BD441" s="4" t="s">
        <v>252</v>
      </c>
      <c r="BE441" s="4" t="s">
        <v>241</v>
      </c>
      <c r="BI441" s="4" t="s">
        <v>253</v>
      </c>
      <c r="BJ441" s="5" t="s">
        <v>246</v>
      </c>
      <c r="BK441" s="4" t="s">
        <v>254</v>
      </c>
      <c r="BL441" s="4" t="s">
        <v>255</v>
      </c>
      <c r="BM441" s="4" t="s">
        <v>241</v>
      </c>
      <c r="BN441" s="6">
        <f>0</f>
        <v>0</v>
      </c>
      <c r="BO441" s="6">
        <f>0</f>
        <v>0</v>
      </c>
      <c r="BP441" s="4" t="s">
        <v>256</v>
      </c>
      <c r="BQ441" s="4" t="s">
        <v>257</v>
      </c>
      <c r="CE441" s="4" t="s">
        <v>241</v>
      </c>
      <c r="CF441" s="4" t="s">
        <v>241</v>
      </c>
      <c r="CJ441" s="4" t="s">
        <v>258</v>
      </c>
      <c r="CK441" s="4" t="s">
        <v>259</v>
      </c>
      <c r="CL441" s="4" t="s">
        <v>241</v>
      </c>
      <c r="CO441" s="5" t="s">
        <v>260</v>
      </c>
      <c r="CP441" s="4" t="s">
        <v>241</v>
      </c>
      <c r="CQ441" s="4" t="s">
        <v>261</v>
      </c>
      <c r="CR441" s="4" t="s">
        <v>241</v>
      </c>
      <c r="CS441" s="4" t="s">
        <v>241</v>
      </c>
      <c r="CT441" s="4">
        <v>0</v>
      </c>
      <c r="CU441" s="4" t="s">
        <v>262</v>
      </c>
      <c r="CV441" s="4" t="s">
        <v>263</v>
      </c>
      <c r="CW441" s="4" t="s">
        <v>263</v>
      </c>
      <c r="CX441" s="4" t="s">
        <v>264</v>
      </c>
      <c r="DA441" s="6">
        <f>13369740</f>
        <v>13369740</v>
      </c>
      <c r="DC441" s="4" t="s">
        <v>422</v>
      </c>
      <c r="DD441" s="4" t="s">
        <v>241</v>
      </c>
      <c r="DF441" s="4" t="s">
        <v>287</v>
      </c>
      <c r="DG441" s="6">
        <f>0</f>
        <v>0</v>
      </c>
      <c r="DI441" s="4" t="s">
        <v>414</v>
      </c>
      <c r="DJ441" s="4" t="s">
        <v>241</v>
      </c>
      <c r="DK441" s="4" t="s">
        <v>241</v>
      </c>
      <c r="DL441" s="4" t="s">
        <v>241</v>
      </c>
      <c r="DP441" s="4" t="s">
        <v>241</v>
      </c>
      <c r="DQ441" s="4" t="s">
        <v>241</v>
      </c>
      <c r="DR441" s="4" t="s">
        <v>241</v>
      </c>
      <c r="DS441" s="4" t="s">
        <v>241</v>
      </c>
      <c r="DV441" s="4" t="s">
        <v>4802</v>
      </c>
      <c r="DW441" s="4" t="s">
        <v>327</v>
      </c>
      <c r="HO441" s="4" t="s">
        <v>267</v>
      </c>
    </row>
    <row r="442" spans="1:223" ht="19.5" customHeight="1" x14ac:dyDescent="0.4">
      <c r="A442" s="4">
        <v>1</v>
      </c>
      <c r="B442" s="4" t="s">
        <v>239</v>
      </c>
      <c r="C442" s="4">
        <v>1177</v>
      </c>
      <c r="D442" s="4">
        <v>1</v>
      </c>
      <c r="E442" s="4">
        <v>1</v>
      </c>
      <c r="F442" s="4" t="s">
        <v>240</v>
      </c>
      <c r="G442" s="4" t="s">
        <v>241</v>
      </c>
      <c r="H442" s="4" t="s">
        <v>241</v>
      </c>
      <c r="I442" s="4" t="s">
        <v>4786</v>
      </c>
      <c r="J442" s="4" t="s">
        <v>3152</v>
      </c>
      <c r="K442" s="4" t="s">
        <v>251</v>
      </c>
      <c r="L442" s="4" t="s">
        <v>4785</v>
      </c>
      <c r="M442" s="5" t="s">
        <v>4790</v>
      </c>
      <c r="N442" s="6">
        <f>3297</f>
        <v>3297</v>
      </c>
      <c r="O442" s="4" t="s">
        <v>265</v>
      </c>
      <c r="P442" s="6">
        <f>15166200</f>
        <v>15166200</v>
      </c>
      <c r="Q442" s="6">
        <f>0</f>
        <v>0</v>
      </c>
      <c r="S442" s="6">
        <f>0</f>
        <v>0</v>
      </c>
      <c r="T442" s="6">
        <f>15166200</f>
        <v>15166200</v>
      </c>
      <c r="U442" s="5" t="s">
        <v>245</v>
      </c>
      <c r="V442" s="4" t="s">
        <v>270</v>
      </c>
      <c r="W442" s="4" t="s">
        <v>242</v>
      </c>
      <c r="X442" s="4" t="s">
        <v>273</v>
      </c>
      <c r="Y442" s="4" t="s">
        <v>241</v>
      </c>
      <c r="AB442" s="4" t="s">
        <v>241</v>
      </c>
      <c r="AD442" s="5" t="s">
        <v>241</v>
      </c>
      <c r="AG442" s="5" t="s">
        <v>246</v>
      </c>
      <c r="AH442" s="4" t="s">
        <v>241</v>
      </c>
      <c r="AI442" s="4" t="s">
        <v>247</v>
      </c>
      <c r="AJ442" s="4" t="s">
        <v>248</v>
      </c>
      <c r="AZ442" s="4" t="s">
        <v>249</v>
      </c>
      <c r="BA442" s="4" t="s">
        <v>241</v>
      </c>
      <c r="BB442" s="4" t="s">
        <v>250</v>
      </c>
      <c r="BC442" s="4" t="s">
        <v>241</v>
      </c>
      <c r="BD442" s="4" t="s">
        <v>252</v>
      </c>
      <c r="BE442" s="4" t="s">
        <v>241</v>
      </c>
      <c r="BG442" s="4" t="s">
        <v>4227</v>
      </c>
      <c r="BI442" s="4" t="s">
        <v>253</v>
      </c>
      <c r="BJ442" s="5" t="s">
        <v>246</v>
      </c>
      <c r="BK442" s="4" t="s">
        <v>254</v>
      </c>
      <c r="BL442" s="4" t="s">
        <v>255</v>
      </c>
      <c r="BM442" s="4" t="s">
        <v>241</v>
      </c>
      <c r="BN442" s="6">
        <f>0</f>
        <v>0</v>
      </c>
      <c r="BO442" s="6">
        <f>0</f>
        <v>0</v>
      </c>
      <c r="BP442" s="4" t="s">
        <v>256</v>
      </c>
      <c r="BQ442" s="4" t="s">
        <v>257</v>
      </c>
      <c r="CE442" s="4" t="s">
        <v>241</v>
      </c>
      <c r="CF442" s="4" t="s">
        <v>241</v>
      </c>
      <c r="CJ442" s="4" t="s">
        <v>258</v>
      </c>
      <c r="CK442" s="4" t="s">
        <v>259</v>
      </c>
      <c r="CL442" s="4" t="s">
        <v>241</v>
      </c>
      <c r="CO442" s="5" t="s">
        <v>260</v>
      </c>
      <c r="CP442" s="4" t="s">
        <v>241</v>
      </c>
      <c r="CQ442" s="4" t="s">
        <v>261</v>
      </c>
      <c r="CR442" s="4" t="s">
        <v>241</v>
      </c>
      <c r="CS442" s="4" t="s">
        <v>241</v>
      </c>
      <c r="CT442" s="4">
        <v>0</v>
      </c>
      <c r="CU442" s="4" t="s">
        <v>262</v>
      </c>
      <c r="CV442" s="4" t="s">
        <v>263</v>
      </c>
      <c r="CW442" s="4" t="s">
        <v>263</v>
      </c>
      <c r="CX442" s="4" t="s">
        <v>264</v>
      </c>
      <c r="DA442" s="6">
        <f>15166200</f>
        <v>15166200</v>
      </c>
      <c r="DC442" s="4" t="s">
        <v>266</v>
      </c>
      <c r="DD442" s="4" t="s">
        <v>241</v>
      </c>
      <c r="DF442" s="4" t="s">
        <v>287</v>
      </c>
      <c r="DG442" s="6">
        <f>0</f>
        <v>0</v>
      </c>
      <c r="DI442" s="4" t="s">
        <v>266</v>
      </c>
      <c r="DJ442" s="4" t="s">
        <v>241</v>
      </c>
      <c r="DK442" s="4" t="s">
        <v>241</v>
      </c>
      <c r="DL442" s="4" t="s">
        <v>241</v>
      </c>
      <c r="DP442" s="4" t="s">
        <v>241</v>
      </c>
      <c r="DQ442" s="4" t="s">
        <v>241</v>
      </c>
      <c r="DR442" s="4" t="s">
        <v>241</v>
      </c>
      <c r="DS442" s="4" t="s">
        <v>241</v>
      </c>
      <c r="DV442" s="4" t="s">
        <v>4788</v>
      </c>
      <c r="DW442" s="4" t="s">
        <v>267</v>
      </c>
      <c r="HO442" s="4" t="s">
        <v>267</v>
      </c>
    </row>
    <row r="443" spans="1:223" ht="19.5" customHeight="1" x14ac:dyDescent="0.4">
      <c r="A443" s="4">
        <v>1</v>
      </c>
      <c r="B443" s="4" t="s">
        <v>239</v>
      </c>
      <c r="C443" s="4">
        <v>1178</v>
      </c>
      <c r="D443" s="4">
        <v>1</v>
      </c>
      <c r="E443" s="4">
        <v>1</v>
      </c>
      <c r="F443" s="4" t="s">
        <v>240</v>
      </c>
      <c r="G443" s="4" t="s">
        <v>241</v>
      </c>
      <c r="H443" s="4" t="s">
        <v>241</v>
      </c>
      <c r="I443" s="4" t="s">
        <v>4786</v>
      </c>
      <c r="J443" s="4" t="s">
        <v>3152</v>
      </c>
      <c r="K443" s="4" t="s">
        <v>251</v>
      </c>
      <c r="L443" s="4" t="s">
        <v>4785</v>
      </c>
      <c r="M443" s="5" t="s">
        <v>4787</v>
      </c>
      <c r="N443" s="6">
        <f>1105.9</f>
        <v>1105.9000000000001</v>
      </c>
      <c r="O443" s="4" t="s">
        <v>265</v>
      </c>
      <c r="P443" s="6">
        <f>5087140</f>
        <v>5087140</v>
      </c>
      <c r="Q443" s="6">
        <f>0</f>
        <v>0</v>
      </c>
      <c r="S443" s="6">
        <f>0</f>
        <v>0</v>
      </c>
      <c r="T443" s="6">
        <f>5087140</f>
        <v>5087140</v>
      </c>
      <c r="U443" s="5" t="s">
        <v>245</v>
      </c>
      <c r="V443" s="4" t="s">
        <v>270</v>
      </c>
      <c r="W443" s="4" t="s">
        <v>242</v>
      </c>
      <c r="X443" s="4" t="s">
        <v>273</v>
      </c>
      <c r="Y443" s="4" t="s">
        <v>241</v>
      </c>
      <c r="AB443" s="4" t="s">
        <v>241</v>
      </c>
      <c r="AD443" s="5" t="s">
        <v>241</v>
      </c>
      <c r="AG443" s="5" t="s">
        <v>246</v>
      </c>
      <c r="AH443" s="4" t="s">
        <v>241</v>
      </c>
      <c r="AI443" s="4" t="s">
        <v>247</v>
      </c>
      <c r="AJ443" s="4" t="s">
        <v>248</v>
      </c>
      <c r="AZ443" s="4" t="s">
        <v>249</v>
      </c>
      <c r="BA443" s="4" t="s">
        <v>241</v>
      </c>
      <c r="BB443" s="4" t="s">
        <v>250</v>
      </c>
      <c r="BC443" s="4" t="s">
        <v>241</v>
      </c>
      <c r="BD443" s="4" t="s">
        <v>252</v>
      </c>
      <c r="BE443" s="4" t="s">
        <v>241</v>
      </c>
      <c r="BI443" s="4" t="s">
        <v>253</v>
      </c>
      <c r="BJ443" s="5" t="s">
        <v>246</v>
      </c>
      <c r="BK443" s="4" t="s">
        <v>254</v>
      </c>
      <c r="BL443" s="4" t="s">
        <v>255</v>
      </c>
      <c r="BM443" s="4" t="s">
        <v>241</v>
      </c>
      <c r="BN443" s="6">
        <f>0</f>
        <v>0</v>
      </c>
      <c r="BO443" s="6">
        <f>0</f>
        <v>0</v>
      </c>
      <c r="BP443" s="4" t="s">
        <v>256</v>
      </c>
      <c r="BQ443" s="4" t="s">
        <v>257</v>
      </c>
      <c r="CE443" s="4" t="s">
        <v>241</v>
      </c>
      <c r="CF443" s="4" t="s">
        <v>241</v>
      </c>
      <c r="CJ443" s="4" t="s">
        <v>258</v>
      </c>
      <c r="CK443" s="4" t="s">
        <v>259</v>
      </c>
      <c r="CL443" s="4" t="s">
        <v>241</v>
      </c>
      <c r="CO443" s="5" t="s">
        <v>260</v>
      </c>
      <c r="CP443" s="4" t="s">
        <v>241</v>
      </c>
      <c r="CQ443" s="4" t="s">
        <v>261</v>
      </c>
      <c r="CR443" s="4" t="s">
        <v>241</v>
      </c>
      <c r="CS443" s="4" t="s">
        <v>241</v>
      </c>
      <c r="CT443" s="4">
        <v>0</v>
      </c>
      <c r="CU443" s="4" t="s">
        <v>262</v>
      </c>
      <c r="CV443" s="4" t="s">
        <v>263</v>
      </c>
      <c r="CW443" s="4" t="s">
        <v>263</v>
      </c>
      <c r="CX443" s="4" t="s">
        <v>264</v>
      </c>
      <c r="DA443" s="6">
        <f>5087140</f>
        <v>5087140</v>
      </c>
      <c r="DC443" s="4" t="s">
        <v>266</v>
      </c>
      <c r="DD443" s="4" t="s">
        <v>241</v>
      </c>
      <c r="DF443" s="4" t="s">
        <v>287</v>
      </c>
      <c r="DG443" s="6">
        <f>0</f>
        <v>0</v>
      </c>
      <c r="DI443" s="4" t="s">
        <v>266</v>
      </c>
      <c r="DJ443" s="4" t="s">
        <v>241</v>
      </c>
      <c r="DK443" s="4" t="s">
        <v>241</v>
      </c>
      <c r="DL443" s="4" t="s">
        <v>241</v>
      </c>
      <c r="DP443" s="4" t="s">
        <v>241</v>
      </c>
      <c r="DQ443" s="4" t="s">
        <v>241</v>
      </c>
      <c r="DR443" s="4" t="s">
        <v>241</v>
      </c>
      <c r="DS443" s="4" t="s">
        <v>241</v>
      </c>
      <c r="DV443" s="4" t="s">
        <v>4788</v>
      </c>
      <c r="DW443" s="4" t="s">
        <v>416</v>
      </c>
      <c r="HO443" s="4" t="s">
        <v>267</v>
      </c>
    </row>
    <row r="444" spans="1:223" ht="19.5" customHeight="1" x14ac:dyDescent="0.4">
      <c r="A444" s="4">
        <v>1</v>
      </c>
      <c r="B444" s="4" t="s">
        <v>239</v>
      </c>
      <c r="C444" s="4">
        <v>1179</v>
      </c>
      <c r="D444" s="4">
        <v>1</v>
      </c>
      <c r="E444" s="4">
        <v>1</v>
      </c>
      <c r="F444" s="4" t="s">
        <v>240</v>
      </c>
      <c r="G444" s="4" t="s">
        <v>241</v>
      </c>
      <c r="H444" s="4" t="s">
        <v>241</v>
      </c>
      <c r="I444" s="4" t="s">
        <v>4786</v>
      </c>
      <c r="J444" s="4" t="s">
        <v>3152</v>
      </c>
      <c r="K444" s="4" t="s">
        <v>251</v>
      </c>
      <c r="L444" s="4" t="s">
        <v>4785</v>
      </c>
      <c r="M444" s="5" t="s">
        <v>4792</v>
      </c>
      <c r="N444" s="6">
        <f>668</f>
        <v>668</v>
      </c>
      <c r="O444" s="4" t="s">
        <v>265</v>
      </c>
      <c r="P444" s="6">
        <f>18704</f>
        <v>18704</v>
      </c>
      <c r="Q444" s="6">
        <f>0</f>
        <v>0</v>
      </c>
      <c r="S444" s="6">
        <f>0</f>
        <v>0</v>
      </c>
      <c r="T444" s="6">
        <f>18704</f>
        <v>18704</v>
      </c>
      <c r="U444" s="5" t="s">
        <v>245</v>
      </c>
      <c r="V444" s="4" t="s">
        <v>270</v>
      </c>
      <c r="W444" s="4" t="s">
        <v>242</v>
      </c>
      <c r="X444" s="4" t="s">
        <v>273</v>
      </c>
      <c r="Y444" s="4" t="s">
        <v>241</v>
      </c>
      <c r="AB444" s="4" t="s">
        <v>241</v>
      </c>
      <c r="AD444" s="5" t="s">
        <v>241</v>
      </c>
      <c r="AG444" s="5" t="s">
        <v>246</v>
      </c>
      <c r="AH444" s="4" t="s">
        <v>241</v>
      </c>
      <c r="AI444" s="4" t="s">
        <v>247</v>
      </c>
      <c r="AJ444" s="4" t="s">
        <v>248</v>
      </c>
      <c r="AZ444" s="4" t="s">
        <v>249</v>
      </c>
      <c r="BA444" s="4" t="s">
        <v>241</v>
      </c>
      <c r="BB444" s="4" t="s">
        <v>250</v>
      </c>
      <c r="BC444" s="4" t="s">
        <v>241</v>
      </c>
      <c r="BD444" s="4" t="s">
        <v>252</v>
      </c>
      <c r="BE444" s="4" t="s">
        <v>241</v>
      </c>
      <c r="BI444" s="4" t="s">
        <v>253</v>
      </c>
      <c r="BJ444" s="5" t="s">
        <v>246</v>
      </c>
      <c r="BK444" s="4" t="s">
        <v>254</v>
      </c>
      <c r="BL444" s="4" t="s">
        <v>255</v>
      </c>
      <c r="BM444" s="4" t="s">
        <v>241</v>
      </c>
      <c r="BN444" s="6">
        <f>0</f>
        <v>0</v>
      </c>
      <c r="BO444" s="6">
        <f>0</f>
        <v>0</v>
      </c>
      <c r="BP444" s="4" t="s">
        <v>256</v>
      </c>
      <c r="BQ444" s="4" t="s">
        <v>257</v>
      </c>
      <c r="CE444" s="4" t="s">
        <v>241</v>
      </c>
      <c r="CF444" s="4" t="s">
        <v>241</v>
      </c>
      <c r="CJ444" s="4" t="s">
        <v>258</v>
      </c>
      <c r="CK444" s="4" t="s">
        <v>259</v>
      </c>
      <c r="CL444" s="4" t="s">
        <v>241</v>
      </c>
      <c r="CO444" s="5" t="s">
        <v>260</v>
      </c>
      <c r="CP444" s="4" t="s">
        <v>241</v>
      </c>
      <c r="CQ444" s="4" t="s">
        <v>261</v>
      </c>
      <c r="CR444" s="4" t="s">
        <v>241</v>
      </c>
      <c r="CS444" s="4" t="s">
        <v>241</v>
      </c>
      <c r="CT444" s="4">
        <v>0</v>
      </c>
      <c r="CU444" s="4" t="s">
        <v>262</v>
      </c>
      <c r="CV444" s="4" t="s">
        <v>263</v>
      </c>
      <c r="CW444" s="4" t="s">
        <v>263</v>
      </c>
      <c r="CX444" s="4" t="s">
        <v>264</v>
      </c>
      <c r="DA444" s="6">
        <f>18704</f>
        <v>18704</v>
      </c>
      <c r="DC444" s="4" t="s">
        <v>324</v>
      </c>
      <c r="DD444" s="4" t="s">
        <v>241</v>
      </c>
      <c r="DF444" s="4" t="s">
        <v>287</v>
      </c>
      <c r="DG444" s="6">
        <f>0</f>
        <v>0</v>
      </c>
      <c r="DI444" s="4" t="s">
        <v>324</v>
      </c>
      <c r="DJ444" s="4" t="s">
        <v>241</v>
      </c>
      <c r="DK444" s="4" t="s">
        <v>241</v>
      </c>
      <c r="DL444" s="4" t="s">
        <v>241</v>
      </c>
      <c r="DP444" s="4" t="s">
        <v>241</v>
      </c>
      <c r="DQ444" s="4" t="s">
        <v>241</v>
      </c>
      <c r="DR444" s="4" t="s">
        <v>241</v>
      </c>
      <c r="DS444" s="4" t="s">
        <v>241</v>
      </c>
      <c r="DV444" s="4" t="s">
        <v>4788</v>
      </c>
      <c r="DW444" s="4" t="s">
        <v>388</v>
      </c>
      <c r="HO444" s="4" t="s">
        <v>267</v>
      </c>
    </row>
    <row r="445" spans="1:223" ht="19.5" customHeight="1" x14ac:dyDescent="0.4">
      <c r="A445" s="4">
        <v>1</v>
      </c>
      <c r="B445" s="4" t="s">
        <v>239</v>
      </c>
      <c r="C445" s="4">
        <v>1180</v>
      </c>
      <c r="D445" s="4">
        <v>1</v>
      </c>
      <c r="E445" s="4">
        <v>1</v>
      </c>
      <c r="F445" s="4" t="s">
        <v>240</v>
      </c>
      <c r="G445" s="4" t="s">
        <v>241</v>
      </c>
      <c r="H445" s="4" t="s">
        <v>241</v>
      </c>
      <c r="I445" s="4" t="s">
        <v>4786</v>
      </c>
      <c r="J445" s="4" t="s">
        <v>3152</v>
      </c>
      <c r="K445" s="4" t="s">
        <v>251</v>
      </c>
      <c r="L445" s="4" t="s">
        <v>4785</v>
      </c>
      <c r="M445" s="5" t="s">
        <v>4793</v>
      </c>
      <c r="N445" s="6">
        <f>1660</f>
        <v>1660</v>
      </c>
      <c r="O445" s="4" t="s">
        <v>265</v>
      </c>
      <c r="P445" s="6">
        <f>3676900</f>
        <v>3676900</v>
      </c>
      <c r="Q445" s="6">
        <f>0</f>
        <v>0</v>
      </c>
      <c r="S445" s="6">
        <f>0</f>
        <v>0</v>
      </c>
      <c r="T445" s="6">
        <f>3676900</f>
        <v>3676900</v>
      </c>
      <c r="U445" s="5" t="s">
        <v>245</v>
      </c>
      <c r="V445" s="4" t="s">
        <v>270</v>
      </c>
      <c r="W445" s="4" t="s">
        <v>242</v>
      </c>
      <c r="X445" s="4" t="s">
        <v>273</v>
      </c>
      <c r="Y445" s="4" t="s">
        <v>241</v>
      </c>
      <c r="AB445" s="4" t="s">
        <v>241</v>
      </c>
      <c r="AD445" s="5" t="s">
        <v>241</v>
      </c>
      <c r="AG445" s="5" t="s">
        <v>246</v>
      </c>
      <c r="AH445" s="4" t="s">
        <v>241</v>
      </c>
      <c r="AI445" s="4" t="s">
        <v>247</v>
      </c>
      <c r="AJ445" s="4" t="s">
        <v>248</v>
      </c>
      <c r="AZ445" s="4" t="s">
        <v>249</v>
      </c>
      <c r="BA445" s="4" t="s">
        <v>241</v>
      </c>
      <c r="BB445" s="4" t="s">
        <v>250</v>
      </c>
      <c r="BC445" s="4" t="s">
        <v>241</v>
      </c>
      <c r="BD445" s="4" t="s">
        <v>252</v>
      </c>
      <c r="BE445" s="4" t="s">
        <v>241</v>
      </c>
      <c r="BI445" s="4" t="s">
        <v>253</v>
      </c>
      <c r="BJ445" s="5" t="s">
        <v>246</v>
      </c>
      <c r="BK445" s="4" t="s">
        <v>254</v>
      </c>
      <c r="BL445" s="4" t="s">
        <v>255</v>
      </c>
      <c r="BM445" s="4" t="s">
        <v>241</v>
      </c>
      <c r="BN445" s="6">
        <f>0</f>
        <v>0</v>
      </c>
      <c r="BO445" s="6">
        <f>0</f>
        <v>0</v>
      </c>
      <c r="BP445" s="4" t="s">
        <v>256</v>
      </c>
      <c r="BQ445" s="4" t="s">
        <v>257</v>
      </c>
      <c r="CE445" s="4" t="s">
        <v>241</v>
      </c>
      <c r="CF445" s="4" t="s">
        <v>241</v>
      </c>
      <c r="CJ445" s="4" t="s">
        <v>258</v>
      </c>
      <c r="CK445" s="4" t="s">
        <v>259</v>
      </c>
      <c r="CL445" s="4" t="s">
        <v>241</v>
      </c>
      <c r="CO445" s="5" t="s">
        <v>260</v>
      </c>
      <c r="CP445" s="4" t="s">
        <v>241</v>
      </c>
      <c r="CQ445" s="4" t="s">
        <v>261</v>
      </c>
      <c r="CR445" s="4" t="s">
        <v>241</v>
      </c>
      <c r="CS445" s="4" t="s">
        <v>241</v>
      </c>
      <c r="CT445" s="4">
        <v>0</v>
      </c>
      <c r="CU445" s="4" t="s">
        <v>262</v>
      </c>
      <c r="CV445" s="4" t="s">
        <v>263</v>
      </c>
      <c r="CW445" s="4" t="s">
        <v>263</v>
      </c>
      <c r="CX445" s="4" t="s">
        <v>264</v>
      </c>
      <c r="DA445" s="6">
        <f>3676900</f>
        <v>3676900</v>
      </c>
      <c r="DC445" s="4" t="s">
        <v>414</v>
      </c>
      <c r="DD445" s="4" t="s">
        <v>241</v>
      </c>
      <c r="DF445" s="4" t="s">
        <v>287</v>
      </c>
      <c r="DG445" s="6">
        <f>0</f>
        <v>0</v>
      </c>
      <c r="DI445" s="4" t="s">
        <v>414</v>
      </c>
      <c r="DJ445" s="4" t="s">
        <v>241</v>
      </c>
      <c r="DK445" s="4" t="s">
        <v>241</v>
      </c>
      <c r="DL445" s="4" t="s">
        <v>241</v>
      </c>
      <c r="DP445" s="4" t="s">
        <v>241</v>
      </c>
      <c r="DQ445" s="4" t="s">
        <v>241</v>
      </c>
      <c r="DR445" s="4" t="s">
        <v>241</v>
      </c>
      <c r="DS445" s="4" t="s">
        <v>241</v>
      </c>
      <c r="DV445" s="4" t="s">
        <v>4788</v>
      </c>
      <c r="DW445" s="4" t="s">
        <v>327</v>
      </c>
      <c r="HO445" s="4" t="s">
        <v>267</v>
      </c>
    </row>
    <row r="446" spans="1:223" ht="19.5" customHeight="1" x14ac:dyDescent="0.4">
      <c r="A446" s="4">
        <v>1</v>
      </c>
      <c r="B446" s="4" t="s">
        <v>239</v>
      </c>
      <c r="C446" s="4">
        <v>1181</v>
      </c>
      <c r="D446" s="4">
        <v>1</v>
      </c>
      <c r="E446" s="4">
        <v>1</v>
      </c>
      <c r="F446" s="4" t="s">
        <v>240</v>
      </c>
      <c r="G446" s="4" t="s">
        <v>241</v>
      </c>
      <c r="H446" s="4" t="s">
        <v>241</v>
      </c>
      <c r="I446" s="4" t="s">
        <v>4786</v>
      </c>
      <c r="J446" s="4" t="s">
        <v>3152</v>
      </c>
      <c r="K446" s="4" t="s">
        <v>251</v>
      </c>
      <c r="L446" s="4" t="s">
        <v>4785</v>
      </c>
      <c r="M446" s="5" t="s">
        <v>4794</v>
      </c>
      <c r="N446" s="6">
        <f>8132</f>
        <v>8132</v>
      </c>
      <c r="O446" s="4" t="s">
        <v>265</v>
      </c>
      <c r="P446" s="6">
        <f>18012380</f>
        <v>18012380</v>
      </c>
      <c r="Q446" s="6">
        <f>0</f>
        <v>0</v>
      </c>
      <c r="S446" s="6">
        <f>0</f>
        <v>0</v>
      </c>
      <c r="T446" s="6">
        <f>18012380</f>
        <v>18012380</v>
      </c>
      <c r="U446" s="5" t="s">
        <v>245</v>
      </c>
      <c r="V446" s="4" t="s">
        <v>270</v>
      </c>
      <c r="W446" s="4" t="s">
        <v>242</v>
      </c>
      <c r="X446" s="4" t="s">
        <v>273</v>
      </c>
      <c r="Y446" s="4" t="s">
        <v>241</v>
      </c>
      <c r="AB446" s="4" t="s">
        <v>241</v>
      </c>
      <c r="AD446" s="5" t="s">
        <v>241</v>
      </c>
      <c r="AG446" s="5" t="s">
        <v>246</v>
      </c>
      <c r="AH446" s="4" t="s">
        <v>241</v>
      </c>
      <c r="AI446" s="4" t="s">
        <v>247</v>
      </c>
      <c r="AJ446" s="4" t="s">
        <v>248</v>
      </c>
      <c r="AZ446" s="4" t="s">
        <v>249</v>
      </c>
      <c r="BA446" s="4" t="s">
        <v>241</v>
      </c>
      <c r="BB446" s="4" t="s">
        <v>250</v>
      </c>
      <c r="BC446" s="4" t="s">
        <v>241</v>
      </c>
      <c r="BD446" s="4" t="s">
        <v>252</v>
      </c>
      <c r="BE446" s="4" t="s">
        <v>241</v>
      </c>
      <c r="BI446" s="4" t="s">
        <v>253</v>
      </c>
      <c r="BJ446" s="5" t="s">
        <v>246</v>
      </c>
      <c r="BK446" s="4" t="s">
        <v>254</v>
      </c>
      <c r="BL446" s="4" t="s">
        <v>255</v>
      </c>
      <c r="BM446" s="4" t="s">
        <v>241</v>
      </c>
      <c r="BN446" s="6">
        <f>0</f>
        <v>0</v>
      </c>
      <c r="BO446" s="6">
        <f>0</f>
        <v>0</v>
      </c>
      <c r="BP446" s="4" t="s">
        <v>256</v>
      </c>
      <c r="BQ446" s="4" t="s">
        <v>257</v>
      </c>
      <c r="CE446" s="4" t="s">
        <v>241</v>
      </c>
      <c r="CF446" s="4" t="s">
        <v>241</v>
      </c>
      <c r="CJ446" s="4" t="s">
        <v>258</v>
      </c>
      <c r="CK446" s="4" t="s">
        <v>259</v>
      </c>
      <c r="CL446" s="4" t="s">
        <v>241</v>
      </c>
      <c r="CO446" s="5" t="s">
        <v>260</v>
      </c>
      <c r="CP446" s="4" t="s">
        <v>241</v>
      </c>
      <c r="CQ446" s="4" t="s">
        <v>261</v>
      </c>
      <c r="CR446" s="4" t="s">
        <v>241</v>
      </c>
      <c r="CS446" s="4" t="s">
        <v>241</v>
      </c>
      <c r="CT446" s="4">
        <v>0</v>
      </c>
      <c r="CU446" s="4" t="s">
        <v>262</v>
      </c>
      <c r="CV446" s="4" t="s">
        <v>263</v>
      </c>
      <c r="CW446" s="4" t="s">
        <v>263</v>
      </c>
      <c r="CX446" s="4" t="s">
        <v>264</v>
      </c>
      <c r="DA446" s="6">
        <f>18012380</f>
        <v>18012380</v>
      </c>
      <c r="DC446" s="4" t="s">
        <v>414</v>
      </c>
      <c r="DD446" s="4" t="s">
        <v>241</v>
      </c>
      <c r="DF446" s="4" t="s">
        <v>287</v>
      </c>
      <c r="DG446" s="6">
        <f>0</f>
        <v>0</v>
      </c>
      <c r="DI446" s="4" t="s">
        <v>414</v>
      </c>
      <c r="DJ446" s="4" t="s">
        <v>241</v>
      </c>
      <c r="DK446" s="4" t="s">
        <v>241</v>
      </c>
      <c r="DL446" s="4" t="s">
        <v>241</v>
      </c>
      <c r="DP446" s="4" t="s">
        <v>241</v>
      </c>
      <c r="DQ446" s="4" t="s">
        <v>241</v>
      </c>
      <c r="DR446" s="4" t="s">
        <v>241</v>
      </c>
      <c r="DS446" s="4" t="s">
        <v>241</v>
      </c>
      <c r="DV446" s="4" t="s">
        <v>4788</v>
      </c>
      <c r="DW446" s="4" t="s">
        <v>748</v>
      </c>
      <c r="HO446" s="4" t="s">
        <v>267</v>
      </c>
    </row>
    <row r="447" spans="1:223" ht="19.5" customHeight="1" x14ac:dyDescent="0.4">
      <c r="A447" s="4">
        <v>1</v>
      </c>
      <c r="B447" s="4" t="s">
        <v>239</v>
      </c>
      <c r="C447" s="4">
        <v>1182</v>
      </c>
      <c r="D447" s="4">
        <v>1</v>
      </c>
      <c r="E447" s="4">
        <v>1</v>
      </c>
      <c r="F447" s="4" t="s">
        <v>240</v>
      </c>
      <c r="G447" s="4" t="s">
        <v>241</v>
      </c>
      <c r="H447" s="4" t="s">
        <v>241</v>
      </c>
      <c r="I447" s="4" t="s">
        <v>4786</v>
      </c>
      <c r="J447" s="4" t="s">
        <v>3152</v>
      </c>
      <c r="K447" s="4" t="s">
        <v>251</v>
      </c>
      <c r="L447" s="4" t="s">
        <v>4785</v>
      </c>
      <c r="M447" s="5" t="s">
        <v>4789</v>
      </c>
      <c r="N447" s="6">
        <f>3553</f>
        <v>3553</v>
      </c>
      <c r="O447" s="4" t="s">
        <v>265</v>
      </c>
      <c r="P447" s="6">
        <f>7869895</f>
        <v>7869895</v>
      </c>
      <c r="Q447" s="6">
        <f>0</f>
        <v>0</v>
      </c>
      <c r="S447" s="6">
        <f>0</f>
        <v>0</v>
      </c>
      <c r="T447" s="6">
        <f>7869895</f>
        <v>7869895</v>
      </c>
      <c r="U447" s="5" t="s">
        <v>245</v>
      </c>
      <c r="V447" s="4" t="s">
        <v>270</v>
      </c>
      <c r="W447" s="4" t="s">
        <v>242</v>
      </c>
      <c r="X447" s="4" t="s">
        <v>273</v>
      </c>
      <c r="Y447" s="4" t="s">
        <v>241</v>
      </c>
      <c r="AB447" s="4" t="s">
        <v>241</v>
      </c>
      <c r="AD447" s="5" t="s">
        <v>241</v>
      </c>
      <c r="AG447" s="5" t="s">
        <v>246</v>
      </c>
      <c r="AH447" s="4" t="s">
        <v>241</v>
      </c>
      <c r="AI447" s="4" t="s">
        <v>247</v>
      </c>
      <c r="AJ447" s="4" t="s">
        <v>248</v>
      </c>
      <c r="AZ447" s="4" t="s">
        <v>249</v>
      </c>
      <c r="BA447" s="4" t="s">
        <v>241</v>
      </c>
      <c r="BB447" s="4" t="s">
        <v>250</v>
      </c>
      <c r="BC447" s="4" t="s">
        <v>241</v>
      </c>
      <c r="BD447" s="4" t="s">
        <v>252</v>
      </c>
      <c r="BE447" s="4" t="s">
        <v>241</v>
      </c>
      <c r="BI447" s="4" t="s">
        <v>253</v>
      </c>
      <c r="BJ447" s="5" t="s">
        <v>246</v>
      </c>
      <c r="BK447" s="4" t="s">
        <v>254</v>
      </c>
      <c r="BL447" s="4" t="s">
        <v>255</v>
      </c>
      <c r="BM447" s="4" t="s">
        <v>241</v>
      </c>
      <c r="BN447" s="6">
        <f>0</f>
        <v>0</v>
      </c>
      <c r="BO447" s="6">
        <f>0</f>
        <v>0</v>
      </c>
      <c r="BP447" s="4" t="s">
        <v>256</v>
      </c>
      <c r="BQ447" s="4" t="s">
        <v>257</v>
      </c>
      <c r="CE447" s="4" t="s">
        <v>241</v>
      </c>
      <c r="CF447" s="4" t="s">
        <v>241</v>
      </c>
      <c r="CJ447" s="4" t="s">
        <v>258</v>
      </c>
      <c r="CK447" s="4" t="s">
        <v>259</v>
      </c>
      <c r="CL447" s="4" t="s">
        <v>241</v>
      </c>
      <c r="CO447" s="5" t="s">
        <v>260</v>
      </c>
      <c r="CP447" s="4" t="s">
        <v>241</v>
      </c>
      <c r="CQ447" s="4" t="s">
        <v>261</v>
      </c>
      <c r="CR447" s="4" t="s">
        <v>241</v>
      </c>
      <c r="CS447" s="4" t="s">
        <v>241</v>
      </c>
      <c r="CT447" s="4">
        <v>0</v>
      </c>
      <c r="CU447" s="4" t="s">
        <v>262</v>
      </c>
      <c r="CV447" s="4" t="s">
        <v>263</v>
      </c>
      <c r="CW447" s="4" t="s">
        <v>263</v>
      </c>
      <c r="CX447" s="4" t="s">
        <v>264</v>
      </c>
      <c r="DA447" s="6">
        <f>7869895</f>
        <v>7869895</v>
      </c>
      <c r="DC447" s="4" t="s">
        <v>414</v>
      </c>
      <c r="DD447" s="4" t="s">
        <v>241</v>
      </c>
      <c r="DF447" s="4" t="s">
        <v>287</v>
      </c>
      <c r="DG447" s="6">
        <f>0</f>
        <v>0</v>
      </c>
      <c r="DI447" s="4" t="s">
        <v>414</v>
      </c>
      <c r="DJ447" s="4" t="s">
        <v>241</v>
      </c>
      <c r="DK447" s="4" t="s">
        <v>241</v>
      </c>
      <c r="DL447" s="4" t="s">
        <v>241</v>
      </c>
      <c r="DP447" s="4" t="s">
        <v>241</v>
      </c>
      <c r="DQ447" s="4" t="s">
        <v>241</v>
      </c>
      <c r="DR447" s="4" t="s">
        <v>241</v>
      </c>
      <c r="DS447" s="4" t="s">
        <v>241</v>
      </c>
      <c r="DV447" s="4" t="s">
        <v>4788</v>
      </c>
      <c r="DW447" s="4" t="s">
        <v>719</v>
      </c>
      <c r="HO447" s="4" t="s">
        <v>267</v>
      </c>
    </row>
    <row r="448" spans="1:223" ht="19.5" customHeight="1" x14ac:dyDescent="0.4">
      <c r="A448" s="4">
        <v>1</v>
      </c>
      <c r="B448" s="4" t="s">
        <v>239</v>
      </c>
      <c r="C448" s="4">
        <v>1183</v>
      </c>
      <c r="D448" s="4">
        <v>1</v>
      </c>
      <c r="E448" s="4">
        <v>1</v>
      </c>
      <c r="F448" s="4" t="s">
        <v>240</v>
      </c>
      <c r="G448" s="4" t="s">
        <v>241</v>
      </c>
      <c r="H448" s="4" t="s">
        <v>241</v>
      </c>
      <c r="I448" s="4" t="s">
        <v>4786</v>
      </c>
      <c r="J448" s="4" t="s">
        <v>3152</v>
      </c>
      <c r="K448" s="4" t="s">
        <v>251</v>
      </c>
      <c r="L448" s="4" t="s">
        <v>4785</v>
      </c>
      <c r="M448" s="5" t="s">
        <v>4796</v>
      </c>
      <c r="N448" s="6">
        <f>4505</f>
        <v>4505</v>
      </c>
      <c r="O448" s="4" t="s">
        <v>265</v>
      </c>
      <c r="P448" s="6">
        <f>9978575</f>
        <v>9978575</v>
      </c>
      <c r="Q448" s="6">
        <f>0</f>
        <v>0</v>
      </c>
      <c r="S448" s="6">
        <f>0</f>
        <v>0</v>
      </c>
      <c r="T448" s="6">
        <f>9978575</f>
        <v>9978575</v>
      </c>
      <c r="U448" s="5" t="s">
        <v>245</v>
      </c>
      <c r="V448" s="4" t="s">
        <v>270</v>
      </c>
      <c r="W448" s="4" t="s">
        <v>242</v>
      </c>
      <c r="X448" s="4" t="s">
        <v>273</v>
      </c>
      <c r="Y448" s="4" t="s">
        <v>241</v>
      </c>
      <c r="AB448" s="4" t="s">
        <v>241</v>
      </c>
      <c r="AD448" s="5" t="s">
        <v>241</v>
      </c>
      <c r="AG448" s="5" t="s">
        <v>246</v>
      </c>
      <c r="AH448" s="4" t="s">
        <v>241</v>
      </c>
      <c r="AI448" s="4" t="s">
        <v>247</v>
      </c>
      <c r="AJ448" s="4" t="s">
        <v>248</v>
      </c>
      <c r="AZ448" s="4" t="s">
        <v>249</v>
      </c>
      <c r="BA448" s="4" t="s">
        <v>241</v>
      </c>
      <c r="BB448" s="4" t="s">
        <v>250</v>
      </c>
      <c r="BC448" s="4" t="s">
        <v>241</v>
      </c>
      <c r="BD448" s="4" t="s">
        <v>252</v>
      </c>
      <c r="BE448" s="4" t="s">
        <v>241</v>
      </c>
      <c r="BI448" s="4" t="s">
        <v>253</v>
      </c>
      <c r="BJ448" s="5" t="s">
        <v>246</v>
      </c>
      <c r="BK448" s="4" t="s">
        <v>254</v>
      </c>
      <c r="BL448" s="4" t="s">
        <v>255</v>
      </c>
      <c r="BM448" s="4" t="s">
        <v>241</v>
      </c>
      <c r="BN448" s="6">
        <f>0</f>
        <v>0</v>
      </c>
      <c r="BO448" s="6">
        <f>0</f>
        <v>0</v>
      </c>
      <c r="BP448" s="4" t="s">
        <v>256</v>
      </c>
      <c r="BQ448" s="4" t="s">
        <v>257</v>
      </c>
      <c r="CE448" s="4" t="s">
        <v>241</v>
      </c>
      <c r="CF448" s="4" t="s">
        <v>241</v>
      </c>
      <c r="CJ448" s="4" t="s">
        <v>258</v>
      </c>
      <c r="CK448" s="4" t="s">
        <v>259</v>
      </c>
      <c r="CL448" s="4" t="s">
        <v>241</v>
      </c>
      <c r="CO448" s="5" t="s">
        <v>260</v>
      </c>
      <c r="CP448" s="4" t="s">
        <v>241</v>
      </c>
      <c r="CQ448" s="4" t="s">
        <v>261</v>
      </c>
      <c r="CR448" s="4" t="s">
        <v>241</v>
      </c>
      <c r="CS448" s="4" t="s">
        <v>241</v>
      </c>
      <c r="CT448" s="4">
        <v>0</v>
      </c>
      <c r="CU448" s="4" t="s">
        <v>262</v>
      </c>
      <c r="CV448" s="4" t="s">
        <v>263</v>
      </c>
      <c r="CW448" s="4" t="s">
        <v>263</v>
      </c>
      <c r="CX448" s="4" t="s">
        <v>264</v>
      </c>
      <c r="DA448" s="6">
        <f>9978575</f>
        <v>9978575</v>
      </c>
      <c r="DC448" s="4" t="s">
        <v>414</v>
      </c>
      <c r="DD448" s="4" t="s">
        <v>241</v>
      </c>
      <c r="DF448" s="4" t="s">
        <v>287</v>
      </c>
      <c r="DG448" s="6">
        <f>0</f>
        <v>0</v>
      </c>
      <c r="DI448" s="4" t="s">
        <v>414</v>
      </c>
      <c r="DJ448" s="4" t="s">
        <v>241</v>
      </c>
      <c r="DK448" s="4" t="s">
        <v>241</v>
      </c>
      <c r="DL448" s="4" t="s">
        <v>241</v>
      </c>
      <c r="DP448" s="4" t="s">
        <v>241</v>
      </c>
      <c r="DQ448" s="4" t="s">
        <v>241</v>
      </c>
      <c r="DR448" s="4" t="s">
        <v>241</v>
      </c>
      <c r="DS448" s="4" t="s">
        <v>241</v>
      </c>
      <c r="DV448" s="4" t="s">
        <v>4788</v>
      </c>
      <c r="DW448" s="4" t="s">
        <v>690</v>
      </c>
      <c r="HO448" s="4" t="s">
        <v>267</v>
      </c>
    </row>
    <row r="449" spans="1:223" ht="19.5" customHeight="1" x14ac:dyDescent="0.4">
      <c r="A449" s="4">
        <v>1</v>
      </c>
      <c r="B449" s="4" t="s">
        <v>239</v>
      </c>
      <c r="C449" s="4">
        <v>1184</v>
      </c>
      <c r="D449" s="4">
        <v>1</v>
      </c>
      <c r="E449" s="4">
        <v>1</v>
      </c>
      <c r="F449" s="4" t="s">
        <v>240</v>
      </c>
      <c r="G449" s="4" t="s">
        <v>241</v>
      </c>
      <c r="H449" s="4" t="s">
        <v>241</v>
      </c>
      <c r="I449" s="4" t="s">
        <v>4786</v>
      </c>
      <c r="J449" s="4" t="s">
        <v>3152</v>
      </c>
      <c r="K449" s="4" t="s">
        <v>251</v>
      </c>
      <c r="L449" s="4" t="s">
        <v>4785</v>
      </c>
      <c r="M449" s="5" t="s">
        <v>4797</v>
      </c>
      <c r="N449" s="6">
        <f>977</f>
        <v>977</v>
      </c>
      <c r="O449" s="4" t="s">
        <v>265</v>
      </c>
      <c r="P449" s="6">
        <f>2164055</f>
        <v>2164055</v>
      </c>
      <c r="Q449" s="6">
        <f>0</f>
        <v>0</v>
      </c>
      <c r="S449" s="6">
        <f>0</f>
        <v>0</v>
      </c>
      <c r="T449" s="6">
        <f>2164055</f>
        <v>2164055</v>
      </c>
      <c r="U449" s="5" t="s">
        <v>245</v>
      </c>
      <c r="V449" s="4" t="s">
        <v>270</v>
      </c>
      <c r="W449" s="4" t="s">
        <v>242</v>
      </c>
      <c r="X449" s="4" t="s">
        <v>273</v>
      </c>
      <c r="Y449" s="4" t="s">
        <v>241</v>
      </c>
      <c r="AB449" s="4" t="s">
        <v>241</v>
      </c>
      <c r="AD449" s="5" t="s">
        <v>241</v>
      </c>
      <c r="AG449" s="5" t="s">
        <v>246</v>
      </c>
      <c r="AH449" s="4" t="s">
        <v>241</v>
      </c>
      <c r="AI449" s="4" t="s">
        <v>247</v>
      </c>
      <c r="AJ449" s="4" t="s">
        <v>248</v>
      </c>
      <c r="AZ449" s="4" t="s">
        <v>249</v>
      </c>
      <c r="BA449" s="4" t="s">
        <v>241</v>
      </c>
      <c r="BB449" s="4" t="s">
        <v>250</v>
      </c>
      <c r="BC449" s="4" t="s">
        <v>241</v>
      </c>
      <c r="BD449" s="4" t="s">
        <v>252</v>
      </c>
      <c r="BE449" s="4" t="s">
        <v>241</v>
      </c>
      <c r="BI449" s="4" t="s">
        <v>253</v>
      </c>
      <c r="BJ449" s="5" t="s">
        <v>246</v>
      </c>
      <c r="BK449" s="4" t="s">
        <v>254</v>
      </c>
      <c r="BL449" s="4" t="s">
        <v>255</v>
      </c>
      <c r="BM449" s="4" t="s">
        <v>241</v>
      </c>
      <c r="BN449" s="6">
        <f>0</f>
        <v>0</v>
      </c>
      <c r="BO449" s="6">
        <f>0</f>
        <v>0</v>
      </c>
      <c r="BP449" s="4" t="s">
        <v>256</v>
      </c>
      <c r="BQ449" s="4" t="s">
        <v>257</v>
      </c>
      <c r="CE449" s="4" t="s">
        <v>241</v>
      </c>
      <c r="CF449" s="4" t="s">
        <v>241</v>
      </c>
      <c r="CJ449" s="4" t="s">
        <v>258</v>
      </c>
      <c r="CK449" s="4" t="s">
        <v>259</v>
      </c>
      <c r="CL449" s="4" t="s">
        <v>241</v>
      </c>
      <c r="CO449" s="5" t="s">
        <v>260</v>
      </c>
      <c r="CP449" s="4" t="s">
        <v>241</v>
      </c>
      <c r="CQ449" s="4" t="s">
        <v>261</v>
      </c>
      <c r="CR449" s="4" t="s">
        <v>241</v>
      </c>
      <c r="CS449" s="4" t="s">
        <v>241</v>
      </c>
      <c r="CT449" s="4">
        <v>0</v>
      </c>
      <c r="CU449" s="4" t="s">
        <v>262</v>
      </c>
      <c r="CV449" s="4" t="s">
        <v>263</v>
      </c>
      <c r="CW449" s="4" t="s">
        <v>263</v>
      </c>
      <c r="CX449" s="4" t="s">
        <v>264</v>
      </c>
      <c r="DA449" s="6">
        <f>2164055</f>
        <v>2164055</v>
      </c>
      <c r="DC449" s="4" t="s">
        <v>414</v>
      </c>
      <c r="DD449" s="4" t="s">
        <v>241</v>
      </c>
      <c r="DF449" s="4" t="s">
        <v>287</v>
      </c>
      <c r="DG449" s="6">
        <f>0</f>
        <v>0</v>
      </c>
      <c r="DI449" s="4" t="s">
        <v>414</v>
      </c>
      <c r="DJ449" s="4" t="s">
        <v>241</v>
      </c>
      <c r="DK449" s="4" t="s">
        <v>241</v>
      </c>
      <c r="DL449" s="4" t="s">
        <v>241</v>
      </c>
      <c r="DP449" s="4" t="s">
        <v>241</v>
      </c>
      <c r="DQ449" s="4" t="s">
        <v>241</v>
      </c>
      <c r="DR449" s="4" t="s">
        <v>241</v>
      </c>
      <c r="DS449" s="4" t="s">
        <v>241</v>
      </c>
      <c r="DV449" s="4" t="s">
        <v>4788</v>
      </c>
      <c r="DW449" s="4" t="s">
        <v>628</v>
      </c>
      <c r="HO449" s="4" t="s">
        <v>267</v>
      </c>
    </row>
    <row r="450" spans="1:223" ht="19.5" customHeight="1" x14ac:dyDescent="0.4">
      <c r="A450" s="4">
        <v>1</v>
      </c>
      <c r="B450" s="4" t="s">
        <v>239</v>
      </c>
      <c r="C450" s="4">
        <v>1185</v>
      </c>
      <c r="D450" s="4">
        <v>1</v>
      </c>
      <c r="E450" s="4">
        <v>1</v>
      </c>
      <c r="F450" s="4" t="s">
        <v>240</v>
      </c>
      <c r="G450" s="4" t="s">
        <v>241</v>
      </c>
      <c r="H450" s="4" t="s">
        <v>241</v>
      </c>
      <c r="I450" s="4" t="s">
        <v>4786</v>
      </c>
      <c r="J450" s="4" t="s">
        <v>3152</v>
      </c>
      <c r="K450" s="4" t="s">
        <v>251</v>
      </c>
      <c r="L450" s="4" t="s">
        <v>4785</v>
      </c>
      <c r="M450" s="5" t="s">
        <v>4791</v>
      </c>
      <c r="N450" s="6">
        <f>273</f>
        <v>273</v>
      </c>
      <c r="O450" s="4" t="s">
        <v>265</v>
      </c>
      <c r="P450" s="6">
        <f>604695</f>
        <v>604695</v>
      </c>
      <c r="Q450" s="6">
        <f>0</f>
        <v>0</v>
      </c>
      <c r="S450" s="6">
        <f>0</f>
        <v>0</v>
      </c>
      <c r="T450" s="6">
        <f>604695</f>
        <v>604695</v>
      </c>
      <c r="U450" s="5" t="s">
        <v>245</v>
      </c>
      <c r="V450" s="4" t="s">
        <v>270</v>
      </c>
      <c r="W450" s="4" t="s">
        <v>242</v>
      </c>
      <c r="X450" s="4" t="s">
        <v>273</v>
      </c>
      <c r="Y450" s="4" t="s">
        <v>241</v>
      </c>
      <c r="AB450" s="4" t="s">
        <v>241</v>
      </c>
      <c r="AD450" s="5" t="s">
        <v>241</v>
      </c>
      <c r="AG450" s="5" t="s">
        <v>246</v>
      </c>
      <c r="AH450" s="4" t="s">
        <v>241</v>
      </c>
      <c r="AI450" s="4" t="s">
        <v>247</v>
      </c>
      <c r="AJ450" s="4" t="s">
        <v>248</v>
      </c>
      <c r="AZ450" s="4" t="s">
        <v>249</v>
      </c>
      <c r="BA450" s="4" t="s">
        <v>241</v>
      </c>
      <c r="BB450" s="4" t="s">
        <v>250</v>
      </c>
      <c r="BC450" s="4" t="s">
        <v>241</v>
      </c>
      <c r="BD450" s="4" t="s">
        <v>252</v>
      </c>
      <c r="BE450" s="4" t="s">
        <v>241</v>
      </c>
      <c r="BI450" s="4" t="s">
        <v>253</v>
      </c>
      <c r="BJ450" s="5" t="s">
        <v>246</v>
      </c>
      <c r="BK450" s="4" t="s">
        <v>254</v>
      </c>
      <c r="BL450" s="4" t="s">
        <v>255</v>
      </c>
      <c r="BM450" s="4" t="s">
        <v>241</v>
      </c>
      <c r="BN450" s="6">
        <f>0</f>
        <v>0</v>
      </c>
      <c r="BO450" s="6">
        <f>0</f>
        <v>0</v>
      </c>
      <c r="BP450" s="4" t="s">
        <v>256</v>
      </c>
      <c r="BQ450" s="4" t="s">
        <v>257</v>
      </c>
      <c r="CE450" s="4" t="s">
        <v>241</v>
      </c>
      <c r="CF450" s="4" t="s">
        <v>241</v>
      </c>
      <c r="CJ450" s="4" t="s">
        <v>258</v>
      </c>
      <c r="CK450" s="4" t="s">
        <v>259</v>
      </c>
      <c r="CL450" s="4" t="s">
        <v>241</v>
      </c>
      <c r="CO450" s="5" t="s">
        <v>260</v>
      </c>
      <c r="CP450" s="4" t="s">
        <v>241</v>
      </c>
      <c r="CQ450" s="4" t="s">
        <v>261</v>
      </c>
      <c r="CR450" s="4" t="s">
        <v>241</v>
      </c>
      <c r="CS450" s="4" t="s">
        <v>241</v>
      </c>
      <c r="CT450" s="4">
        <v>0</v>
      </c>
      <c r="CU450" s="4" t="s">
        <v>262</v>
      </c>
      <c r="CV450" s="4" t="s">
        <v>263</v>
      </c>
      <c r="CW450" s="4" t="s">
        <v>263</v>
      </c>
      <c r="CX450" s="4" t="s">
        <v>264</v>
      </c>
      <c r="DA450" s="6">
        <f>604695</f>
        <v>604695</v>
      </c>
      <c r="DC450" s="4" t="s">
        <v>414</v>
      </c>
      <c r="DD450" s="4" t="s">
        <v>241</v>
      </c>
      <c r="DF450" s="4" t="s">
        <v>287</v>
      </c>
      <c r="DG450" s="6">
        <f>0</f>
        <v>0</v>
      </c>
      <c r="DI450" s="4" t="s">
        <v>414</v>
      </c>
      <c r="DJ450" s="4" t="s">
        <v>241</v>
      </c>
      <c r="DK450" s="4" t="s">
        <v>241</v>
      </c>
      <c r="DL450" s="4" t="s">
        <v>241</v>
      </c>
      <c r="DP450" s="4" t="s">
        <v>241</v>
      </c>
      <c r="DQ450" s="4" t="s">
        <v>241</v>
      </c>
      <c r="DR450" s="4" t="s">
        <v>241</v>
      </c>
      <c r="DS450" s="4" t="s">
        <v>241</v>
      </c>
      <c r="DV450" s="4" t="s">
        <v>4788</v>
      </c>
      <c r="DW450" s="4" t="s">
        <v>597</v>
      </c>
      <c r="HO450" s="4" t="s">
        <v>267</v>
      </c>
    </row>
    <row r="451" spans="1:223" ht="19.5" customHeight="1" x14ac:dyDescent="0.4">
      <c r="A451" s="4">
        <v>1</v>
      </c>
      <c r="B451" s="4" t="s">
        <v>239</v>
      </c>
      <c r="C451" s="4">
        <v>1186</v>
      </c>
      <c r="D451" s="4">
        <v>1</v>
      </c>
      <c r="E451" s="4">
        <v>1</v>
      </c>
      <c r="F451" s="4" t="s">
        <v>240</v>
      </c>
      <c r="G451" s="4" t="s">
        <v>241</v>
      </c>
      <c r="H451" s="4" t="s">
        <v>241</v>
      </c>
      <c r="I451" s="4" t="s">
        <v>4786</v>
      </c>
      <c r="J451" s="4" t="s">
        <v>3152</v>
      </c>
      <c r="K451" s="4" t="s">
        <v>251</v>
      </c>
      <c r="L451" s="4" t="s">
        <v>4785</v>
      </c>
      <c r="M451" s="5" t="s">
        <v>4795</v>
      </c>
      <c r="N451" s="6">
        <f>0.85</f>
        <v>0.85</v>
      </c>
      <c r="O451" s="4" t="s">
        <v>265</v>
      </c>
      <c r="P451" s="6">
        <f>3910</f>
        <v>3910</v>
      </c>
      <c r="Q451" s="6">
        <f>0</f>
        <v>0</v>
      </c>
      <c r="S451" s="6">
        <f>0</f>
        <v>0</v>
      </c>
      <c r="T451" s="6">
        <f>3910</f>
        <v>3910</v>
      </c>
      <c r="U451" s="5" t="s">
        <v>245</v>
      </c>
      <c r="V451" s="4" t="s">
        <v>270</v>
      </c>
      <c r="W451" s="4" t="s">
        <v>242</v>
      </c>
      <c r="X451" s="4" t="s">
        <v>273</v>
      </c>
      <c r="Y451" s="4" t="s">
        <v>241</v>
      </c>
      <c r="AB451" s="4" t="s">
        <v>241</v>
      </c>
      <c r="AD451" s="5" t="s">
        <v>241</v>
      </c>
      <c r="AG451" s="5" t="s">
        <v>246</v>
      </c>
      <c r="AH451" s="4" t="s">
        <v>241</v>
      </c>
      <c r="AI451" s="4" t="s">
        <v>247</v>
      </c>
      <c r="AJ451" s="4" t="s">
        <v>248</v>
      </c>
      <c r="AZ451" s="4" t="s">
        <v>249</v>
      </c>
      <c r="BA451" s="4" t="s">
        <v>241</v>
      </c>
      <c r="BB451" s="4" t="s">
        <v>250</v>
      </c>
      <c r="BC451" s="4" t="s">
        <v>241</v>
      </c>
      <c r="BD451" s="4" t="s">
        <v>252</v>
      </c>
      <c r="BE451" s="4" t="s">
        <v>241</v>
      </c>
      <c r="BI451" s="4" t="s">
        <v>253</v>
      </c>
      <c r="BJ451" s="5" t="s">
        <v>246</v>
      </c>
      <c r="BK451" s="4" t="s">
        <v>254</v>
      </c>
      <c r="BL451" s="4" t="s">
        <v>255</v>
      </c>
      <c r="BM451" s="4" t="s">
        <v>241</v>
      </c>
      <c r="BN451" s="6">
        <f>0</f>
        <v>0</v>
      </c>
      <c r="BO451" s="6">
        <f>0</f>
        <v>0</v>
      </c>
      <c r="BP451" s="4" t="s">
        <v>256</v>
      </c>
      <c r="BQ451" s="4" t="s">
        <v>257</v>
      </c>
      <c r="CE451" s="4" t="s">
        <v>241</v>
      </c>
      <c r="CF451" s="4" t="s">
        <v>241</v>
      </c>
      <c r="CJ451" s="4" t="s">
        <v>258</v>
      </c>
      <c r="CK451" s="4" t="s">
        <v>259</v>
      </c>
      <c r="CL451" s="4" t="s">
        <v>241</v>
      </c>
      <c r="CO451" s="5" t="s">
        <v>260</v>
      </c>
      <c r="CP451" s="4" t="s">
        <v>241</v>
      </c>
      <c r="CQ451" s="4" t="s">
        <v>261</v>
      </c>
      <c r="CR451" s="4" t="s">
        <v>241</v>
      </c>
      <c r="CS451" s="4" t="s">
        <v>241</v>
      </c>
      <c r="CT451" s="4">
        <v>0</v>
      </c>
      <c r="CU451" s="4" t="s">
        <v>262</v>
      </c>
      <c r="CV451" s="4" t="s">
        <v>263</v>
      </c>
      <c r="CW451" s="4" t="s">
        <v>263</v>
      </c>
      <c r="CX451" s="4" t="s">
        <v>264</v>
      </c>
      <c r="DA451" s="6">
        <f>3910</f>
        <v>3910</v>
      </c>
      <c r="DC451" s="4" t="s">
        <v>266</v>
      </c>
      <c r="DD451" s="4" t="s">
        <v>241</v>
      </c>
      <c r="DF451" s="4" t="s">
        <v>287</v>
      </c>
      <c r="DG451" s="6">
        <f>0</f>
        <v>0</v>
      </c>
      <c r="DI451" s="4" t="s">
        <v>266</v>
      </c>
      <c r="DJ451" s="4" t="s">
        <v>241</v>
      </c>
      <c r="DK451" s="4" t="s">
        <v>241</v>
      </c>
      <c r="DL451" s="4" t="s">
        <v>241</v>
      </c>
      <c r="DP451" s="4" t="s">
        <v>241</v>
      </c>
      <c r="DQ451" s="4" t="s">
        <v>241</v>
      </c>
      <c r="DR451" s="4" t="s">
        <v>241</v>
      </c>
      <c r="DS451" s="4" t="s">
        <v>241</v>
      </c>
      <c r="DV451" s="4" t="s">
        <v>4788</v>
      </c>
      <c r="DW451" s="4" t="s">
        <v>1792</v>
      </c>
      <c r="HO451" s="4" t="s">
        <v>267</v>
      </c>
    </row>
    <row r="452" spans="1:223" ht="19.5" customHeight="1" x14ac:dyDescent="0.4">
      <c r="A452" s="4">
        <v>1</v>
      </c>
      <c r="B452" s="4" t="s">
        <v>239</v>
      </c>
      <c r="C452" s="4">
        <v>1187</v>
      </c>
      <c r="D452" s="4">
        <v>1</v>
      </c>
      <c r="E452" s="4">
        <v>1</v>
      </c>
      <c r="F452" s="4" t="s">
        <v>240</v>
      </c>
      <c r="G452" s="4" t="s">
        <v>241</v>
      </c>
      <c r="H452" s="4" t="s">
        <v>241</v>
      </c>
      <c r="I452" s="4" t="s">
        <v>4786</v>
      </c>
      <c r="J452" s="4" t="s">
        <v>3152</v>
      </c>
      <c r="K452" s="4" t="s">
        <v>251</v>
      </c>
      <c r="L452" s="4" t="s">
        <v>4785</v>
      </c>
      <c r="M452" s="5" t="s">
        <v>5469</v>
      </c>
      <c r="N452" s="6">
        <f>146.29</f>
        <v>146.29</v>
      </c>
      <c r="O452" s="4" t="s">
        <v>265</v>
      </c>
      <c r="P452" s="6">
        <f>672934</f>
        <v>672934</v>
      </c>
      <c r="Q452" s="6">
        <f>0</f>
        <v>0</v>
      </c>
      <c r="S452" s="6">
        <f>0</f>
        <v>0</v>
      </c>
      <c r="T452" s="6">
        <f>672934</f>
        <v>672934</v>
      </c>
      <c r="U452" s="5" t="s">
        <v>245</v>
      </c>
      <c r="V452" s="4" t="s">
        <v>270</v>
      </c>
      <c r="W452" s="4" t="s">
        <v>242</v>
      </c>
      <c r="X452" s="4" t="s">
        <v>273</v>
      </c>
      <c r="Y452" s="4" t="s">
        <v>241</v>
      </c>
      <c r="AB452" s="4" t="s">
        <v>241</v>
      </c>
      <c r="AD452" s="5" t="s">
        <v>241</v>
      </c>
      <c r="AG452" s="5" t="s">
        <v>246</v>
      </c>
      <c r="AH452" s="4" t="s">
        <v>241</v>
      </c>
      <c r="AI452" s="4" t="s">
        <v>247</v>
      </c>
      <c r="AJ452" s="4" t="s">
        <v>248</v>
      </c>
      <c r="AZ452" s="4" t="s">
        <v>249</v>
      </c>
      <c r="BA452" s="4" t="s">
        <v>241</v>
      </c>
      <c r="BB452" s="4" t="s">
        <v>250</v>
      </c>
      <c r="BC452" s="4" t="s">
        <v>241</v>
      </c>
      <c r="BD452" s="4" t="s">
        <v>252</v>
      </c>
      <c r="BE452" s="4" t="s">
        <v>241</v>
      </c>
      <c r="BI452" s="4" t="s">
        <v>253</v>
      </c>
      <c r="BJ452" s="5" t="s">
        <v>246</v>
      </c>
      <c r="BK452" s="4" t="s">
        <v>254</v>
      </c>
      <c r="BL452" s="4" t="s">
        <v>255</v>
      </c>
      <c r="BM452" s="4" t="s">
        <v>241</v>
      </c>
      <c r="BN452" s="6">
        <f>0</f>
        <v>0</v>
      </c>
      <c r="BO452" s="6">
        <f>0</f>
        <v>0</v>
      </c>
      <c r="BP452" s="4" t="s">
        <v>256</v>
      </c>
      <c r="BQ452" s="4" t="s">
        <v>257</v>
      </c>
      <c r="CE452" s="4" t="s">
        <v>241</v>
      </c>
      <c r="CF452" s="4" t="s">
        <v>241</v>
      </c>
      <c r="CJ452" s="4" t="s">
        <v>258</v>
      </c>
      <c r="CK452" s="4" t="s">
        <v>259</v>
      </c>
      <c r="CL452" s="4" t="s">
        <v>241</v>
      </c>
      <c r="CO452" s="5" t="s">
        <v>260</v>
      </c>
      <c r="CP452" s="4" t="s">
        <v>241</v>
      </c>
      <c r="CQ452" s="4" t="s">
        <v>261</v>
      </c>
      <c r="CR452" s="4" t="s">
        <v>241</v>
      </c>
      <c r="CS452" s="4" t="s">
        <v>241</v>
      </c>
      <c r="CT452" s="4">
        <v>0</v>
      </c>
      <c r="CU452" s="4" t="s">
        <v>262</v>
      </c>
      <c r="CV452" s="4" t="s">
        <v>263</v>
      </c>
      <c r="CW452" s="4" t="s">
        <v>263</v>
      </c>
      <c r="CX452" s="4" t="s">
        <v>264</v>
      </c>
      <c r="DA452" s="6">
        <f>672934</f>
        <v>672934</v>
      </c>
      <c r="DC452" s="4" t="s">
        <v>266</v>
      </c>
      <c r="DD452" s="4" t="s">
        <v>241</v>
      </c>
      <c r="DF452" s="4" t="s">
        <v>287</v>
      </c>
      <c r="DG452" s="6">
        <f>0</f>
        <v>0</v>
      </c>
      <c r="DI452" s="4" t="s">
        <v>266</v>
      </c>
      <c r="DJ452" s="4" t="s">
        <v>241</v>
      </c>
      <c r="DK452" s="4" t="s">
        <v>241</v>
      </c>
      <c r="DL452" s="4" t="s">
        <v>241</v>
      </c>
      <c r="DP452" s="4" t="s">
        <v>241</v>
      </c>
      <c r="DQ452" s="4" t="s">
        <v>241</v>
      </c>
      <c r="DR452" s="4" t="s">
        <v>241</v>
      </c>
      <c r="DS452" s="4" t="s">
        <v>241</v>
      </c>
      <c r="DV452" s="4" t="s">
        <v>4788</v>
      </c>
      <c r="DW452" s="4" t="s">
        <v>1789</v>
      </c>
      <c r="HO452" s="4" t="s">
        <v>267</v>
      </c>
    </row>
    <row r="453" spans="1:223" ht="19.5" customHeight="1" x14ac:dyDescent="0.4">
      <c r="A453" s="4">
        <v>1</v>
      </c>
      <c r="B453" s="4" t="s">
        <v>239</v>
      </c>
      <c r="C453" s="4">
        <v>1188</v>
      </c>
      <c r="D453" s="4">
        <v>1</v>
      </c>
      <c r="E453" s="4">
        <v>1</v>
      </c>
      <c r="F453" s="4" t="s">
        <v>240</v>
      </c>
      <c r="G453" s="4" t="s">
        <v>241</v>
      </c>
      <c r="H453" s="4" t="s">
        <v>241</v>
      </c>
      <c r="I453" s="4" t="s">
        <v>4782</v>
      </c>
      <c r="J453" s="4" t="s">
        <v>418</v>
      </c>
      <c r="K453" s="4" t="s">
        <v>251</v>
      </c>
      <c r="L453" s="4" t="s">
        <v>4781</v>
      </c>
      <c r="M453" s="5" t="s">
        <v>4783</v>
      </c>
      <c r="N453" s="6">
        <f>468.25</f>
        <v>468.25</v>
      </c>
      <c r="O453" s="4" t="s">
        <v>265</v>
      </c>
      <c r="P453" s="6">
        <f>1305766</f>
        <v>1305766</v>
      </c>
      <c r="Q453" s="6">
        <f>0</f>
        <v>0</v>
      </c>
      <c r="S453" s="6">
        <f>0</f>
        <v>0</v>
      </c>
      <c r="T453" s="6">
        <f>1305766</f>
        <v>1305766</v>
      </c>
      <c r="U453" s="5" t="s">
        <v>4222</v>
      </c>
      <c r="V453" s="4" t="s">
        <v>270</v>
      </c>
      <c r="W453" s="4" t="s">
        <v>242</v>
      </c>
      <c r="X453" s="4" t="s">
        <v>273</v>
      </c>
      <c r="Y453" s="4" t="s">
        <v>241</v>
      </c>
      <c r="AB453" s="4" t="s">
        <v>241</v>
      </c>
      <c r="AD453" s="5" t="s">
        <v>241</v>
      </c>
      <c r="AG453" s="5" t="s">
        <v>246</v>
      </c>
      <c r="AH453" s="4" t="s">
        <v>241</v>
      </c>
      <c r="AI453" s="4" t="s">
        <v>247</v>
      </c>
      <c r="AJ453" s="4" t="s">
        <v>248</v>
      </c>
      <c r="AZ453" s="4" t="s">
        <v>249</v>
      </c>
      <c r="BA453" s="4" t="s">
        <v>241</v>
      </c>
      <c r="BB453" s="4" t="s">
        <v>250</v>
      </c>
      <c r="BC453" s="4" t="s">
        <v>241</v>
      </c>
      <c r="BD453" s="4" t="s">
        <v>252</v>
      </c>
      <c r="BE453" s="4" t="s">
        <v>241</v>
      </c>
      <c r="BG453" s="4" t="s">
        <v>4227</v>
      </c>
      <c r="BI453" s="4" t="s">
        <v>253</v>
      </c>
      <c r="BJ453" s="5" t="s">
        <v>246</v>
      </c>
      <c r="BK453" s="4" t="s">
        <v>254</v>
      </c>
      <c r="BL453" s="4" t="s">
        <v>255</v>
      </c>
      <c r="BM453" s="4" t="s">
        <v>241</v>
      </c>
      <c r="BN453" s="6">
        <f>0</f>
        <v>0</v>
      </c>
      <c r="BO453" s="6">
        <f>0</f>
        <v>0</v>
      </c>
      <c r="BP453" s="4" t="s">
        <v>256</v>
      </c>
      <c r="BQ453" s="4" t="s">
        <v>257</v>
      </c>
      <c r="CE453" s="4" t="s">
        <v>241</v>
      </c>
      <c r="CF453" s="4" t="s">
        <v>241</v>
      </c>
      <c r="CJ453" s="4" t="s">
        <v>286</v>
      </c>
      <c r="CK453" s="4" t="s">
        <v>259</v>
      </c>
      <c r="CL453" s="4" t="s">
        <v>241</v>
      </c>
      <c r="CO453" s="5" t="s">
        <v>260</v>
      </c>
      <c r="CP453" s="4" t="s">
        <v>241</v>
      </c>
      <c r="CQ453" s="4" t="s">
        <v>261</v>
      </c>
      <c r="CR453" s="4" t="s">
        <v>241</v>
      </c>
      <c r="CS453" s="4" t="s">
        <v>241</v>
      </c>
      <c r="CT453" s="4">
        <v>0</v>
      </c>
      <c r="CU453" s="4" t="s">
        <v>262</v>
      </c>
      <c r="CV453" s="4" t="s">
        <v>263</v>
      </c>
      <c r="CW453" s="4" t="s">
        <v>263</v>
      </c>
      <c r="CX453" s="4" t="s">
        <v>264</v>
      </c>
      <c r="DA453" s="6">
        <f>1305766</f>
        <v>1305766</v>
      </c>
      <c r="DC453" s="4" t="s">
        <v>422</v>
      </c>
      <c r="DD453" s="4" t="s">
        <v>241</v>
      </c>
      <c r="DF453" s="4" t="s">
        <v>422</v>
      </c>
      <c r="DG453" s="6">
        <f>468</f>
        <v>468</v>
      </c>
      <c r="DI453" s="4" t="s">
        <v>414</v>
      </c>
      <c r="DJ453" s="4" t="s">
        <v>241</v>
      </c>
      <c r="DK453" s="4" t="s">
        <v>241</v>
      </c>
      <c r="DL453" s="4" t="s">
        <v>241</v>
      </c>
      <c r="DP453" s="4" t="s">
        <v>241</v>
      </c>
      <c r="DQ453" s="4" t="s">
        <v>241</v>
      </c>
      <c r="DR453" s="4" t="s">
        <v>241</v>
      </c>
      <c r="DS453" s="4" t="s">
        <v>241</v>
      </c>
      <c r="DV453" s="4" t="s">
        <v>4784</v>
      </c>
      <c r="DW453" s="4" t="s">
        <v>267</v>
      </c>
      <c r="HO453" s="4" t="s">
        <v>267</v>
      </c>
    </row>
    <row r="454" spans="1:223" ht="19.5" customHeight="1" x14ac:dyDescent="0.4">
      <c r="A454" s="4">
        <v>1</v>
      </c>
      <c r="B454" s="4" t="s">
        <v>239</v>
      </c>
      <c r="C454" s="4">
        <v>1189</v>
      </c>
      <c r="D454" s="4">
        <v>1</v>
      </c>
      <c r="E454" s="4">
        <v>1</v>
      </c>
      <c r="F454" s="4" t="s">
        <v>240</v>
      </c>
      <c r="G454" s="4" t="s">
        <v>241</v>
      </c>
      <c r="H454" s="4" t="s">
        <v>241</v>
      </c>
      <c r="I454" s="4" t="s">
        <v>4778</v>
      </c>
      <c r="J454" s="4" t="s">
        <v>418</v>
      </c>
      <c r="K454" s="4" t="s">
        <v>251</v>
      </c>
      <c r="L454" s="4" t="s">
        <v>4777</v>
      </c>
      <c r="M454" s="5" t="s">
        <v>4779</v>
      </c>
      <c r="N454" s="6">
        <f>1215.13</f>
        <v>1215.1300000000001</v>
      </c>
      <c r="O454" s="4" t="s">
        <v>265</v>
      </c>
      <c r="P454" s="6">
        <f>3477774</f>
        <v>3477774</v>
      </c>
      <c r="Q454" s="6">
        <f>0</f>
        <v>0</v>
      </c>
      <c r="S454" s="6">
        <f>0</f>
        <v>0</v>
      </c>
      <c r="T454" s="6">
        <f>3477774</f>
        <v>3477774</v>
      </c>
      <c r="U454" s="5" t="s">
        <v>4222</v>
      </c>
      <c r="V454" s="4" t="s">
        <v>270</v>
      </c>
      <c r="W454" s="4" t="s">
        <v>242</v>
      </c>
      <c r="X454" s="4" t="s">
        <v>273</v>
      </c>
      <c r="Y454" s="4" t="s">
        <v>241</v>
      </c>
      <c r="AB454" s="4" t="s">
        <v>241</v>
      </c>
      <c r="AD454" s="5" t="s">
        <v>241</v>
      </c>
      <c r="AG454" s="5" t="s">
        <v>246</v>
      </c>
      <c r="AH454" s="4" t="s">
        <v>241</v>
      </c>
      <c r="AI454" s="4" t="s">
        <v>247</v>
      </c>
      <c r="AJ454" s="4" t="s">
        <v>248</v>
      </c>
      <c r="AZ454" s="4" t="s">
        <v>249</v>
      </c>
      <c r="BA454" s="4" t="s">
        <v>241</v>
      </c>
      <c r="BB454" s="4" t="s">
        <v>250</v>
      </c>
      <c r="BC454" s="4" t="s">
        <v>241</v>
      </c>
      <c r="BD454" s="4" t="s">
        <v>252</v>
      </c>
      <c r="BE454" s="4" t="s">
        <v>241</v>
      </c>
      <c r="BG454" s="4" t="s">
        <v>4227</v>
      </c>
      <c r="BI454" s="4" t="s">
        <v>253</v>
      </c>
      <c r="BJ454" s="5" t="s">
        <v>246</v>
      </c>
      <c r="BK454" s="4" t="s">
        <v>254</v>
      </c>
      <c r="BL454" s="4" t="s">
        <v>255</v>
      </c>
      <c r="BM454" s="4" t="s">
        <v>241</v>
      </c>
      <c r="BN454" s="6">
        <f>0</f>
        <v>0</v>
      </c>
      <c r="BO454" s="6">
        <f>0</f>
        <v>0</v>
      </c>
      <c r="BP454" s="4" t="s">
        <v>256</v>
      </c>
      <c r="BQ454" s="4" t="s">
        <v>257</v>
      </c>
      <c r="CE454" s="4" t="s">
        <v>241</v>
      </c>
      <c r="CF454" s="4" t="s">
        <v>241</v>
      </c>
      <c r="CJ454" s="4" t="s">
        <v>286</v>
      </c>
      <c r="CK454" s="4" t="s">
        <v>259</v>
      </c>
      <c r="CL454" s="4" t="s">
        <v>241</v>
      </c>
      <c r="CO454" s="5" t="s">
        <v>260</v>
      </c>
      <c r="CP454" s="4" t="s">
        <v>241</v>
      </c>
      <c r="CQ454" s="4" t="s">
        <v>261</v>
      </c>
      <c r="CR454" s="4" t="s">
        <v>241</v>
      </c>
      <c r="CS454" s="4" t="s">
        <v>241</v>
      </c>
      <c r="CT454" s="4">
        <v>0</v>
      </c>
      <c r="CU454" s="4" t="s">
        <v>262</v>
      </c>
      <c r="CV454" s="4" t="s">
        <v>263</v>
      </c>
      <c r="CW454" s="4" t="s">
        <v>263</v>
      </c>
      <c r="CX454" s="4" t="s">
        <v>264</v>
      </c>
      <c r="DA454" s="6">
        <f>3477774</f>
        <v>3477774</v>
      </c>
      <c r="DC454" s="4" t="s">
        <v>422</v>
      </c>
      <c r="DD454" s="4" t="s">
        <v>241</v>
      </c>
      <c r="DF454" s="4" t="s">
        <v>422</v>
      </c>
      <c r="DG454" s="6">
        <f>1210.73</f>
        <v>1210.73</v>
      </c>
      <c r="DH454" s="5" t="s">
        <v>4222</v>
      </c>
      <c r="DI454" s="4" t="s">
        <v>414</v>
      </c>
      <c r="DJ454" s="4" t="s">
        <v>241</v>
      </c>
      <c r="DK454" s="4" t="s">
        <v>241</v>
      </c>
      <c r="DL454" s="4" t="s">
        <v>241</v>
      </c>
      <c r="DP454" s="4" t="s">
        <v>241</v>
      </c>
      <c r="DQ454" s="4" t="s">
        <v>241</v>
      </c>
      <c r="DR454" s="4" t="s">
        <v>241</v>
      </c>
      <c r="DS454" s="4" t="s">
        <v>241</v>
      </c>
      <c r="DV454" s="4" t="s">
        <v>4780</v>
      </c>
      <c r="DW454" s="4" t="s">
        <v>267</v>
      </c>
      <c r="HO454" s="4" t="s">
        <v>267</v>
      </c>
    </row>
    <row r="455" spans="1:223" ht="19.5" customHeight="1" x14ac:dyDescent="0.4">
      <c r="A455" s="4">
        <v>1</v>
      </c>
      <c r="B455" s="4" t="s">
        <v>239</v>
      </c>
      <c r="C455" s="4">
        <v>1190</v>
      </c>
      <c r="D455" s="4">
        <v>1</v>
      </c>
      <c r="E455" s="4">
        <v>1</v>
      </c>
      <c r="F455" s="4" t="s">
        <v>240</v>
      </c>
      <c r="G455" s="4" t="s">
        <v>241</v>
      </c>
      <c r="H455" s="4" t="s">
        <v>241</v>
      </c>
      <c r="I455" s="4" t="s">
        <v>4772</v>
      </c>
      <c r="J455" s="4" t="s">
        <v>418</v>
      </c>
      <c r="K455" s="4" t="s">
        <v>251</v>
      </c>
      <c r="L455" s="4" t="s">
        <v>4771</v>
      </c>
      <c r="M455" s="5" t="s">
        <v>4775</v>
      </c>
      <c r="N455" s="6">
        <f>375.76</f>
        <v>375.76</v>
      </c>
      <c r="O455" s="4" t="s">
        <v>265</v>
      </c>
      <c r="P455" s="6">
        <f>6538224</f>
        <v>6538224</v>
      </c>
      <c r="Q455" s="6">
        <f>0</f>
        <v>0</v>
      </c>
      <c r="S455" s="6">
        <f>0</f>
        <v>0</v>
      </c>
      <c r="T455" s="6">
        <f>6538224</f>
        <v>6538224</v>
      </c>
      <c r="U455" s="5" t="s">
        <v>4773</v>
      </c>
      <c r="V455" s="4" t="s">
        <v>270</v>
      </c>
      <c r="W455" s="4" t="s">
        <v>242</v>
      </c>
      <c r="X455" s="4" t="s">
        <v>273</v>
      </c>
      <c r="Y455" s="4" t="s">
        <v>241</v>
      </c>
      <c r="AB455" s="4" t="s">
        <v>241</v>
      </c>
      <c r="AD455" s="5" t="s">
        <v>241</v>
      </c>
      <c r="AG455" s="5" t="s">
        <v>246</v>
      </c>
      <c r="AH455" s="4" t="s">
        <v>4774</v>
      </c>
      <c r="AI455" s="4" t="s">
        <v>247</v>
      </c>
      <c r="AJ455" s="4" t="s">
        <v>248</v>
      </c>
      <c r="AZ455" s="4" t="s">
        <v>249</v>
      </c>
      <c r="BA455" s="4" t="s">
        <v>241</v>
      </c>
      <c r="BB455" s="4" t="s">
        <v>250</v>
      </c>
      <c r="BC455" s="4" t="s">
        <v>241</v>
      </c>
      <c r="BD455" s="4" t="s">
        <v>252</v>
      </c>
      <c r="BE455" s="4" t="s">
        <v>241</v>
      </c>
      <c r="BG455" s="4" t="s">
        <v>4227</v>
      </c>
      <c r="BI455" s="4" t="s">
        <v>253</v>
      </c>
      <c r="BJ455" s="5" t="s">
        <v>246</v>
      </c>
      <c r="BK455" s="4" t="s">
        <v>254</v>
      </c>
      <c r="BL455" s="4" t="s">
        <v>255</v>
      </c>
      <c r="BM455" s="4" t="s">
        <v>241</v>
      </c>
      <c r="BN455" s="6">
        <f>0</f>
        <v>0</v>
      </c>
      <c r="BO455" s="6">
        <f>0</f>
        <v>0</v>
      </c>
      <c r="BP455" s="4" t="s">
        <v>256</v>
      </c>
      <c r="BQ455" s="4" t="s">
        <v>257</v>
      </c>
      <c r="CE455" s="4" t="s">
        <v>241</v>
      </c>
      <c r="CF455" s="4" t="s">
        <v>241</v>
      </c>
      <c r="CJ455" s="4" t="s">
        <v>286</v>
      </c>
      <c r="CK455" s="4" t="s">
        <v>259</v>
      </c>
      <c r="CL455" s="4" t="s">
        <v>241</v>
      </c>
      <c r="CO455" s="5" t="s">
        <v>260</v>
      </c>
      <c r="CP455" s="4" t="s">
        <v>241</v>
      </c>
      <c r="CQ455" s="4" t="s">
        <v>261</v>
      </c>
      <c r="CR455" s="4" t="s">
        <v>241</v>
      </c>
      <c r="CS455" s="4" t="s">
        <v>241</v>
      </c>
      <c r="CT455" s="4">
        <v>0</v>
      </c>
      <c r="CU455" s="4" t="s">
        <v>262</v>
      </c>
      <c r="CV455" s="4" t="s">
        <v>263</v>
      </c>
      <c r="CW455" s="4" t="s">
        <v>263</v>
      </c>
      <c r="CX455" s="4" t="s">
        <v>264</v>
      </c>
      <c r="DA455" s="6">
        <f>6538224</f>
        <v>6538224</v>
      </c>
      <c r="DC455" s="4" t="s">
        <v>266</v>
      </c>
      <c r="DD455" s="4" t="s">
        <v>241</v>
      </c>
      <c r="DF455" s="4" t="s">
        <v>266</v>
      </c>
      <c r="DG455" s="6">
        <f>375.76</f>
        <v>375.76</v>
      </c>
      <c r="DH455" s="5" t="s">
        <v>4222</v>
      </c>
      <c r="DI455" s="4" t="s">
        <v>266</v>
      </c>
      <c r="DJ455" s="4" t="s">
        <v>241</v>
      </c>
      <c r="DK455" s="4" t="s">
        <v>241</v>
      </c>
      <c r="DL455" s="4" t="s">
        <v>241</v>
      </c>
      <c r="DP455" s="4" t="s">
        <v>241</v>
      </c>
      <c r="DQ455" s="4" t="s">
        <v>241</v>
      </c>
      <c r="DR455" s="4" t="s">
        <v>241</v>
      </c>
      <c r="DS455" s="4" t="s">
        <v>241</v>
      </c>
      <c r="DV455" s="4" t="s">
        <v>4776</v>
      </c>
      <c r="DW455" s="4" t="s">
        <v>267</v>
      </c>
      <c r="HO455" s="4" t="s">
        <v>267</v>
      </c>
    </row>
    <row r="456" spans="1:223" ht="19.5" customHeight="1" x14ac:dyDescent="0.4">
      <c r="A456" s="4">
        <v>1</v>
      </c>
      <c r="B456" s="4" t="s">
        <v>239</v>
      </c>
      <c r="C456" s="4">
        <v>1191</v>
      </c>
      <c r="D456" s="4">
        <v>1</v>
      </c>
      <c r="E456" s="4">
        <v>1</v>
      </c>
      <c r="F456" s="4" t="s">
        <v>240</v>
      </c>
      <c r="G456" s="4" t="s">
        <v>241</v>
      </c>
      <c r="H456" s="4" t="s">
        <v>241</v>
      </c>
      <c r="I456" s="4" t="s">
        <v>4767</v>
      </c>
      <c r="J456" s="4" t="s">
        <v>244</v>
      </c>
      <c r="K456" s="4" t="s">
        <v>251</v>
      </c>
      <c r="L456" s="4" t="s">
        <v>4766</v>
      </c>
      <c r="M456" s="5" t="s">
        <v>4768</v>
      </c>
      <c r="N456" s="6">
        <f>1114</f>
        <v>1114</v>
      </c>
      <c r="O456" s="4" t="s">
        <v>265</v>
      </c>
      <c r="P456" s="6">
        <f>2467510</f>
        <v>2467510</v>
      </c>
      <c r="Q456" s="6">
        <f>0</f>
        <v>0</v>
      </c>
      <c r="S456" s="6">
        <f>0</f>
        <v>0</v>
      </c>
      <c r="T456" s="6">
        <f>2467510</f>
        <v>2467510</v>
      </c>
      <c r="U456" s="5" t="s">
        <v>245</v>
      </c>
      <c r="V456" s="4" t="s">
        <v>270</v>
      </c>
      <c r="W456" s="4" t="s">
        <v>242</v>
      </c>
      <c r="X456" s="4" t="s">
        <v>273</v>
      </c>
      <c r="Y456" s="4" t="s">
        <v>241</v>
      </c>
      <c r="AB456" s="4" t="s">
        <v>241</v>
      </c>
      <c r="AD456" s="5" t="s">
        <v>241</v>
      </c>
      <c r="AG456" s="5" t="s">
        <v>246</v>
      </c>
      <c r="AH456" s="4" t="s">
        <v>241</v>
      </c>
      <c r="AI456" s="4" t="s">
        <v>247</v>
      </c>
      <c r="AJ456" s="4" t="s">
        <v>248</v>
      </c>
      <c r="AZ456" s="4" t="s">
        <v>249</v>
      </c>
      <c r="BA456" s="4" t="s">
        <v>241</v>
      </c>
      <c r="BB456" s="4" t="s">
        <v>250</v>
      </c>
      <c r="BC456" s="4" t="s">
        <v>241</v>
      </c>
      <c r="BD456" s="4" t="s">
        <v>252</v>
      </c>
      <c r="BE456" s="4" t="s">
        <v>241</v>
      </c>
      <c r="BG456" s="4" t="s">
        <v>4227</v>
      </c>
      <c r="BI456" s="4" t="s">
        <v>253</v>
      </c>
      <c r="BJ456" s="5" t="s">
        <v>246</v>
      </c>
      <c r="BK456" s="4" t="s">
        <v>254</v>
      </c>
      <c r="BL456" s="4" t="s">
        <v>255</v>
      </c>
      <c r="BM456" s="4" t="s">
        <v>241</v>
      </c>
      <c r="BN456" s="6">
        <f>0</f>
        <v>0</v>
      </c>
      <c r="BO456" s="6">
        <f>0</f>
        <v>0</v>
      </c>
      <c r="BP456" s="4" t="s">
        <v>256</v>
      </c>
      <c r="BQ456" s="4" t="s">
        <v>257</v>
      </c>
      <c r="CE456" s="4" t="s">
        <v>241</v>
      </c>
      <c r="CF456" s="4" t="s">
        <v>241</v>
      </c>
      <c r="CJ456" s="4" t="s">
        <v>258</v>
      </c>
      <c r="CK456" s="4" t="s">
        <v>259</v>
      </c>
      <c r="CL456" s="4" t="s">
        <v>241</v>
      </c>
      <c r="CO456" s="5" t="s">
        <v>260</v>
      </c>
      <c r="CP456" s="4" t="s">
        <v>241</v>
      </c>
      <c r="CQ456" s="4" t="s">
        <v>261</v>
      </c>
      <c r="CR456" s="4" t="s">
        <v>241</v>
      </c>
      <c r="CS456" s="4" t="s">
        <v>241</v>
      </c>
      <c r="CT456" s="4">
        <v>0</v>
      </c>
      <c r="CU456" s="4" t="s">
        <v>262</v>
      </c>
      <c r="CV456" s="4" t="s">
        <v>263</v>
      </c>
      <c r="CW456" s="4" t="s">
        <v>263</v>
      </c>
      <c r="CX456" s="4" t="s">
        <v>264</v>
      </c>
      <c r="DA456" s="6">
        <f>2467510</f>
        <v>2467510</v>
      </c>
      <c r="DC456" s="4" t="s">
        <v>422</v>
      </c>
      <c r="DD456" s="4" t="s">
        <v>241</v>
      </c>
      <c r="DF456" s="4" t="s">
        <v>422</v>
      </c>
      <c r="DG456" s="6">
        <f>0</f>
        <v>0</v>
      </c>
      <c r="DH456" s="5" t="s">
        <v>4769</v>
      </c>
      <c r="DI456" s="4" t="s">
        <v>414</v>
      </c>
      <c r="DJ456" s="4" t="s">
        <v>241</v>
      </c>
      <c r="DK456" s="4" t="s">
        <v>241</v>
      </c>
      <c r="DL456" s="4" t="s">
        <v>241</v>
      </c>
      <c r="DP456" s="4" t="s">
        <v>241</v>
      </c>
      <c r="DQ456" s="4" t="s">
        <v>241</v>
      </c>
      <c r="DR456" s="4" t="s">
        <v>241</v>
      </c>
      <c r="DS456" s="4" t="s">
        <v>241</v>
      </c>
      <c r="DV456" s="4" t="s">
        <v>4770</v>
      </c>
      <c r="DW456" s="4" t="s">
        <v>267</v>
      </c>
      <c r="HO456" s="4" t="s">
        <v>267</v>
      </c>
    </row>
    <row r="457" spans="1:223" ht="19.5" customHeight="1" x14ac:dyDescent="0.4">
      <c r="A457" s="4">
        <v>1</v>
      </c>
      <c r="B457" s="4" t="s">
        <v>239</v>
      </c>
      <c r="C457" s="4">
        <v>1192</v>
      </c>
      <c r="D457" s="4">
        <v>1</v>
      </c>
      <c r="E457" s="4">
        <v>1</v>
      </c>
      <c r="F457" s="4" t="s">
        <v>240</v>
      </c>
      <c r="G457" s="4" t="s">
        <v>241</v>
      </c>
      <c r="H457" s="4" t="s">
        <v>241</v>
      </c>
      <c r="I457" s="4" t="s">
        <v>4759</v>
      </c>
      <c r="J457" s="4" t="s">
        <v>244</v>
      </c>
      <c r="K457" s="4" t="s">
        <v>251</v>
      </c>
      <c r="L457" s="4" t="s">
        <v>4758</v>
      </c>
      <c r="M457" s="5" t="s">
        <v>4762</v>
      </c>
      <c r="N457" s="6">
        <f>101.26</f>
        <v>101.26</v>
      </c>
      <c r="O457" s="4" t="s">
        <v>265</v>
      </c>
      <c r="P457" s="6">
        <f>668316</f>
        <v>668316</v>
      </c>
      <c r="Q457" s="6">
        <f>0</f>
        <v>0</v>
      </c>
      <c r="S457" s="6">
        <f>0</f>
        <v>0</v>
      </c>
      <c r="T457" s="6">
        <f>668316</f>
        <v>668316</v>
      </c>
      <c r="U457" s="5" t="s">
        <v>245</v>
      </c>
      <c r="V457" s="4" t="s">
        <v>270</v>
      </c>
      <c r="W457" s="4" t="s">
        <v>242</v>
      </c>
      <c r="X457" s="4" t="s">
        <v>273</v>
      </c>
      <c r="Y457" s="4" t="s">
        <v>241</v>
      </c>
      <c r="AB457" s="4" t="s">
        <v>241</v>
      </c>
      <c r="AD457" s="5" t="s">
        <v>241</v>
      </c>
      <c r="AG457" s="5" t="s">
        <v>246</v>
      </c>
      <c r="AH457" s="4" t="s">
        <v>241</v>
      </c>
      <c r="AI457" s="4" t="s">
        <v>247</v>
      </c>
      <c r="AJ457" s="4" t="s">
        <v>248</v>
      </c>
      <c r="AZ457" s="4" t="s">
        <v>249</v>
      </c>
      <c r="BA457" s="4" t="s">
        <v>241</v>
      </c>
      <c r="BB457" s="4" t="s">
        <v>250</v>
      </c>
      <c r="BC457" s="4" t="s">
        <v>241</v>
      </c>
      <c r="BD457" s="4" t="s">
        <v>252</v>
      </c>
      <c r="BE457" s="4" t="s">
        <v>241</v>
      </c>
      <c r="BG457" s="4" t="s">
        <v>4227</v>
      </c>
      <c r="BI457" s="4" t="s">
        <v>253</v>
      </c>
      <c r="BJ457" s="5" t="s">
        <v>246</v>
      </c>
      <c r="BK457" s="4" t="s">
        <v>254</v>
      </c>
      <c r="BL457" s="4" t="s">
        <v>255</v>
      </c>
      <c r="BM457" s="4" t="s">
        <v>241</v>
      </c>
      <c r="BN457" s="6">
        <f>0</f>
        <v>0</v>
      </c>
      <c r="BO457" s="6">
        <f>0</f>
        <v>0</v>
      </c>
      <c r="BP457" s="4" t="s">
        <v>256</v>
      </c>
      <c r="BQ457" s="4" t="s">
        <v>257</v>
      </c>
      <c r="CE457" s="4" t="s">
        <v>241</v>
      </c>
      <c r="CF457" s="4" t="s">
        <v>241</v>
      </c>
      <c r="CJ457" s="4" t="s">
        <v>258</v>
      </c>
      <c r="CK457" s="4" t="s">
        <v>259</v>
      </c>
      <c r="CL457" s="4" t="s">
        <v>241</v>
      </c>
      <c r="CO457" s="5" t="s">
        <v>260</v>
      </c>
      <c r="CP457" s="4" t="s">
        <v>241</v>
      </c>
      <c r="CQ457" s="4" t="s">
        <v>261</v>
      </c>
      <c r="CR457" s="4" t="s">
        <v>241</v>
      </c>
      <c r="CS457" s="4" t="s">
        <v>241</v>
      </c>
      <c r="CT457" s="4">
        <v>0</v>
      </c>
      <c r="CU457" s="4" t="s">
        <v>262</v>
      </c>
      <c r="CV457" s="4" t="s">
        <v>263</v>
      </c>
      <c r="CW457" s="4" t="s">
        <v>263</v>
      </c>
      <c r="CX457" s="4" t="s">
        <v>264</v>
      </c>
      <c r="DA457" s="6">
        <f>668316</f>
        <v>668316</v>
      </c>
      <c r="DC457" s="4" t="s">
        <v>266</v>
      </c>
      <c r="DD457" s="4" t="s">
        <v>241</v>
      </c>
      <c r="DF457" s="4" t="s">
        <v>266</v>
      </c>
      <c r="DG457" s="6">
        <f>0</f>
        <v>0</v>
      </c>
      <c r="DH457" s="5" t="s">
        <v>4763</v>
      </c>
      <c r="DI457" s="4" t="s">
        <v>266</v>
      </c>
      <c r="DJ457" s="4" t="s">
        <v>241</v>
      </c>
      <c r="DK457" s="4" t="s">
        <v>241</v>
      </c>
      <c r="DL457" s="4" t="s">
        <v>241</v>
      </c>
      <c r="DP457" s="4" t="s">
        <v>241</v>
      </c>
      <c r="DQ457" s="4" t="s">
        <v>241</v>
      </c>
      <c r="DR457" s="4" t="s">
        <v>241</v>
      </c>
      <c r="DS457" s="4" t="s">
        <v>241</v>
      </c>
      <c r="DV457" s="4" t="s">
        <v>4761</v>
      </c>
      <c r="DW457" s="4" t="s">
        <v>267</v>
      </c>
      <c r="HO457" s="4" t="s">
        <v>267</v>
      </c>
    </row>
    <row r="458" spans="1:223" ht="19.5" customHeight="1" x14ac:dyDescent="0.4">
      <c r="A458" s="4">
        <v>1</v>
      </c>
      <c r="B458" s="4" t="s">
        <v>239</v>
      </c>
      <c r="C458" s="4">
        <v>1193</v>
      </c>
      <c r="D458" s="4">
        <v>1</v>
      </c>
      <c r="E458" s="4">
        <v>1</v>
      </c>
      <c r="F458" s="4" t="s">
        <v>240</v>
      </c>
      <c r="G458" s="4" t="s">
        <v>241</v>
      </c>
      <c r="H458" s="4" t="s">
        <v>241</v>
      </c>
      <c r="I458" s="4" t="s">
        <v>4759</v>
      </c>
      <c r="J458" s="4" t="s">
        <v>244</v>
      </c>
      <c r="K458" s="4" t="s">
        <v>251</v>
      </c>
      <c r="L458" s="4" t="s">
        <v>4758</v>
      </c>
      <c r="M458" s="5" t="s">
        <v>5467</v>
      </c>
      <c r="N458" s="6">
        <f>86.25</f>
        <v>86.25</v>
      </c>
      <c r="O458" s="4" t="s">
        <v>265</v>
      </c>
      <c r="P458" s="6">
        <f>569250</f>
        <v>569250</v>
      </c>
      <c r="Q458" s="6">
        <f>0</f>
        <v>0</v>
      </c>
      <c r="S458" s="6">
        <f>0</f>
        <v>0</v>
      </c>
      <c r="T458" s="6">
        <f>569250</f>
        <v>569250</v>
      </c>
      <c r="U458" s="5" t="s">
        <v>245</v>
      </c>
      <c r="V458" s="4" t="s">
        <v>270</v>
      </c>
      <c r="W458" s="4" t="s">
        <v>242</v>
      </c>
      <c r="X458" s="4" t="s">
        <v>273</v>
      </c>
      <c r="Y458" s="4" t="s">
        <v>241</v>
      </c>
      <c r="AB458" s="4" t="s">
        <v>241</v>
      </c>
      <c r="AD458" s="5" t="s">
        <v>241</v>
      </c>
      <c r="AG458" s="5" t="s">
        <v>246</v>
      </c>
      <c r="AH458" s="4" t="s">
        <v>241</v>
      </c>
      <c r="AI458" s="4" t="s">
        <v>247</v>
      </c>
      <c r="AJ458" s="4" t="s">
        <v>248</v>
      </c>
      <c r="AZ458" s="4" t="s">
        <v>249</v>
      </c>
      <c r="BA458" s="4" t="s">
        <v>241</v>
      </c>
      <c r="BB458" s="4" t="s">
        <v>250</v>
      </c>
      <c r="BC458" s="4" t="s">
        <v>241</v>
      </c>
      <c r="BD458" s="4" t="s">
        <v>252</v>
      </c>
      <c r="BE458" s="4" t="s">
        <v>241</v>
      </c>
      <c r="BI458" s="4" t="s">
        <v>253</v>
      </c>
      <c r="BJ458" s="5" t="s">
        <v>246</v>
      </c>
      <c r="BK458" s="4" t="s">
        <v>254</v>
      </c>
      <c r="BL458" s="4" t="s">
        <v>255</v>
      </c>
      <c r="BM458" s="4" t="s">
        <v>241</v>
      </c>
      <c r="BN458" s="6">
        <f>0</f>
        <v>0</v>
      </c>
      <c r="BO458" s="6">
        <f>0</f>
        <v>0</v>
      </c>
      <c r="BP458" s="4" t="s">
        <v>256</v>
      </c>
      <c r="BQ458" s="4" t="s">
        <v>257</v>
      </c>
      <c r="CE458" s="4" t="s">
        <v>241</v>
      </c>
      <c r="CF458" s="4" t="s">
        <v>241</v>
      </c>
      <c r="CJ458" s="4" t="s">
        <v>258</v>
      </c>
      <c r="CK458" s="4" t="s">
        <v>259</v>
      </c>
      <c r="CL458" s="4" t="s">
        <v>241</v>
      </c>
      <c r="CO458" s="5" t="s">
        <v>260</v>
      </c>
      <c r="CP458" s="4" t="s">
        <v>241</v>
      </c>
      <c r="CQ458" s="4" t="s">
        <v>261</v>
      </c>
      <c r="CR458" s="4" t="s">
        <v>241</v>
      </c>
      <c r="CS458" s="4" t="s">
        <v>241</v>
      </c>
      <c r="CT458" s="4">
        <v>0</v>
      </c>
      <c r="CU458" s="4" t="s">
        <v>262</v>
      </c>
      <c r="CV458" s="4" t="s">
        <v>263</v>
      </c>
      <c r="CW458" s="4" t="s">
        <v>263</v>
      </c>
      <c r="CX458" s="4" t="s">
        <v>264</v>
      </c>
      <c r="DA458" s="6">
        <f>569250</f>
        <v>569250</v>
      </c>
      <c r="DC458" s="4" t="s">
        <v>266</v>
      </c>
      <c r="DD458" s="4" t="s">
        <v>241</v>
      </c>
      <c r="DF458" s="4" t="s">
        <v>266</v>
      </c>
      <c r="DG458" s="6">
        <f>0</f>
        <v>0</v>
      </c>
      <c r="DH458" s="5" t="s">
        <v>4756</v>
      </c>
      <c r="DI458" s="4" t="s">
        <v>266</v>
      </c>
      <c r="DJ458" s="4" t="s">
        <v>241</v>
      </c>
      <c r="DK458" s="4" t="s">
        <v>241</v>
      </c>
      <c r="DL458" s="4" t="s">
        <v>241</v>
      </c>
      <c r="DP458" s="4" t="s">
        <v>241</v>
      </c>
      <c r="DQ458" s="4" t="s">
        <v>241</v>
      </c>
      <c r="DR458" s="4" t="s">
        <v>241</v>
      </c>
      <c r="DS458" s="4" t="s">
        <v>241</v>
      </c>
      <c r="DV458" s="4" t="s">
        <v>4761</v>
      </c>
      <c r="DW458" s="4" t="s">
        <v>416</v>
      </c>
      <c r="HO458" s="4" t="s">
        <v>267</v>
      </c>
    </row>
    <row r="459" spans="1:223" ht="19.5" customHeight="1" x14ac:dyDescent="0.4">
      <c r="A459" s="4">
        <v>1</v>
      </c>
      <c r="B459" s="4" t="s">
        <v>239</v>
      </c>
      <c r="C459" s="4">
        <v>1194</v>
      </c>
      <c r="D459" s="4">
        <v>1</v>
      </c>
      <c r="E459" s="4">
        <v>1</v>
      </c>
      <c r="F459" s="4" t="s">
        <v>240</v>
      </c>
      <c r="G459" s="4" t="s">
        <v>241</v>
      </c>
      <c r="H459" s="4" t="s">
        <v>241</v>
      </c>
      <c r="I459" s="4" t="s">
        <v>4759</v>
      </c>
      <c r="J459" s="4" t="s">
        <v>244</v>
      </c>
      <c r="K459" s="4" t="s">
        <v>251</v>
      </c>
      <c r="L459" s="4" t="s">
        <v>4758</v>
      </c>
      <c r="M459" s="5" t="s">
        <v>4765</v>
      </c>
      <c r="N459" s="6">
        <f>68.16</f>
        <v>68.16</v>
      </c>
      <c r="O459" s="4" t="s">
        <v>265</v>
      </c>
      <c r="P459" s="6">
        <f>449856</f>
        <v>449856</v>
      </c>
      <c r="Q459" s="6">
        <f>0</f>
        <v>0</v>
      </c>
      <c r="S459" s="6">
        <f>0</f>
        <v>0</v>
      </c>
      <c r="T459" s="6">
        <f>449856</f>
        <v>449856</v>
      </c>
      <c r="U459" s="5" t="s">
        <v>245</v>
      </c>
      <c r="V459" s="4" t="s">
        <v>270</v>
      </c>
      <c r="W459" s="4" t="s">
        <v>242</v>
      </c>
      <c r="X459" s="4" t="s">
        <v>273</v>
      </c>
      <c r="Y459" s="4" t="s">
        <v>241</v>
      </c>
      <c r="AB459" s="4" t="s">
        <v>241</v>
      </c>
      <c r="AD459" s="5" t="s">
        <v>241</v>
      </c>
      <c r="AG459" s="5" t="s">
        <v>246</v>
      </c>
      <c r="AH459" s="4" t="s">
        <v>241</v>
      </c>
      <c r="AI459" s="4" t="s">
        <v>247</v>
      </c>
      <c r="AJ459" s="4" t="s">
        <v>248</v>
      </c>
      <c r="AZ459" s="4" t="s">
        <v>249</v>
      </c>
      <c r="BA459" s="4" t="s">
        <v>241</v>
      </c>
      <c r="BB459" s="4" t="s">
        <v>250</v>
      </c>
      <c r="BC459" s="4" t="s">
        <v>241</v>
      </c>
      <c r="BD459" s="4" t="s">
        <v>252</v>
      </c>
      <c r="BE459" s="4" t="s">
        <v>241</v>
      </c>
      <c r="BI459" s="4" t="s">
        <v>253</v>
      </c>
      <c r="BJ459" s="5" t="s">
        <v>246</v>
      </c>
      <c r="BK459" s="4" t="s">
        <v>254</v>
      </c>
      <c r="BL459" s="4" t="s">
        <v>255</v>
      </c>
      <c r="BM459" s="4" t="s">
        <v>241</v>
      </c>
      <c r="BN459" s="6">
        <f>0</f>
        <v>0</v>
      </c>
      <c r="BO459" s="6">
        <f>0</f>
        <v>0</v>
      </c>
      <c r="BP459" s="4" t="s">
        <v>256</v>
      </c>
      <c r="BQ459" s="4" t="s">
        <v>257</v>
      </c>
      <c r="CE459" s="4" t="s">
        <v>241</v>
      </c>
      <c r="CF459" s="4" t="s">
        <v>241</v>
      </c>
      <c r="CJ459" s="4" t="s">
        <v>258</v>
      </c>
      <c r="CK459" s="4" t="s">
        <v>259</v>
      </c>
      <c r="CL459" s="4" t="s">
        <v>241</v>
      </c>
      <c r="CO459" s="5" t="s">
        <v>260</v>
      </c>
      <c r="CP459" s="4" t="s">
        <v>241</v>
      </c>
      <c r="CQ459" s="4" t="s">
        <v>261</v>
      </c>
      <c r="CR459" s="4" t="s">
        <v>241</v>
      </c>
      <c r="CS459" s="4" t="s">
        <v>241</v>
      </c>
      <c r="CT459" s="4">
        <v>0</v>
      </c>
      <c r="CU459" s="4" t="s">
        <v>262</v>
      </c>
      <c r="CV459" s="4" t="s">
        <v>263</v>
      </c>
      <c r="CW459" s="4" t="s">
        <v>263</v>
      </c>
      <c r="CX459" s="4" t="s">
        <v>264</v>
      </c>
      <c r="DA459" s="6">
        <f>449856</f>
        <v>449856</v>
      </c>
      <c r="DC459" s="4" t="s">
        <v>266</v>
      </c>
      <c r="DD459" s="4" t="s">
        <v>241</v>
      </c>
      <c r="DF459" s="4" t="s">
        <v>266</v>
      </c>
      <c r="DG459" s="6">
        <f>0</f>
        <v>0</v>
      </c>
      <c r="DH459" s="5" t="s">
        <v>4756</v>
      </c>
      <c r="DI459" s="4" t="s">
        <v>266</v>
      </c>
      <c r="DJ459" s="4" t="s">
        <v>241</v>
      </c>
      <c r="DK459" s="4" t="s">
        <v>241</v>
      </c>
      <c r="DL459" s="4" t="s">
        <v>241</v>
      </c>
      <c r="DP459" s="4" t="s">
        <v>241</v>
      </c>
      <c r="DQ459" s="4" t="s">
        <v>241</v>
      </c>
      <c r="DR459" s="4" t="s">
        <v>241</v>
      </c>
      <c r="DS459" s="4" t="s">
        <v>241</v>
      </c>
      <c r="DV459" s="4" t="s">
        <v>4761</v>
      </c>
      <c r="DW459" s="4" t="s">
        <v>388</v>
      </c>
      <c r="HO459" s="4" t="s">
        <v>267</v>
      </c>
    </row>
    <row r="460" spans="1:223" ht="19.5" customHeight="1" x14ac:dyDescent="0.4">
      <c r="A460" s="4">
        <v>1</v>
      </c>
      <c r="B460" s="4" t="s">
        <v>239</v>
      </c>
      <c r="C460" s="4">
        <v>1195</v>
      </c>
      <c r="D460" s="4">
        <v>1</v>
      </c>
      <c r="E460" s="4">
        <v>1</v>
      </c>
      <c r="F460" s="4" t="s">
        <v>240</v>
      </c>
      <c r="G460" s="4" t="s">
        <v>241</v>
      </c>
      <c r="H460" s="4" t="s">
        <v>241</v>
      </c>
      <c r="I460" s="4" t="s">
        <v>4759</v>
      </c>
      <c r="J460" s="4" t="s">
        <v>244</v>
      </c>
      <c r="K460" s="4" t="s">
        <v>251</v>
      </c>
      <c r="L460" s="4" t="s">
        <v>4758</v>
      </c>
      <c r="M460" s="5" t="s">
        <v>4760</v>
      </c>
      <c r="N460" s="6">
        <f>88.07</f>
        <v>88.07</v>
      </c>
      <c r="O460" s="4" t="s">
        <v>265</v>
      </c>
      <c r="P460" s="6">
        <f>581262</f>
        <v>581262</v>
      </c>
      <c r="Q460" s="6">
        <f>0</f>
        <v>0</v>
      </c>
      <c r="S460" s="6">
        <f>0</f>
        <v>0</v>
      </c>
      <c r="T460" s="6">
        <f>581262</f>
        <v>581262</v>
      </c>
      <c r="U460" s="5" t="s">
        <v>245</v>
      </c>
      <c r="V460" s="4" t="s">
        <v>270</v>
      </c>
      <c r="W460" s="4" t="s">
        <v>242</v>
      </c>
      <c r="X460" s="4" t="s">
        <v>273</v>
      </c>
      <c r="Y460" s="4" t="s">
        <v>241</v>
      </c>
      <c r="AB460" s="4" t="s">
        <v>241</v>
      </c>
      <c r="AD460" s="5" t="s">
        <v>241</v>
      </c>
      <c r="AG460" s="5" t="s">
        <v>246</v>
      </c>
      <c r="AH460" s="4" t="s">
        <v>241</v>
      </c>
      <c r="AI460" s="4" t="s">
        <v>247</v>
      </c>
      <c r="AJ460" s="4" t="s">
        <v>248</v>
      </c>
      <c r="AZ460" s="4" t="s">
        <v>249</v>
      </c>
      <c r="BA460" s="4" t="s">
        <v>241</v>
      </c>
      <c r="BB460" s="4" t="s">
        <v>250</v>
      </c>
      <c r="BC460" s="4" t="s">
        <v>241</v>
      </c>
      <c r="BD460" s="4" t="s">
        <v>252</v>
      </c>
      <c r="BE460" s="4" t="s">
        <v>241</v>
      </c>
      <c r="BI460" s="4" t="s">
        <v>253</v>
      </c>
      <c r="BJ460" s="5" t="s">
        <v>246</v>
      </c>
      <c r="BK460" s="4" t="s">
        <v>254</v>
      </c>
      <c r="BL460" s="4" t="s">
        <v>255</v>
      </c>
      <c r="BM460" s="4" t="s">
        <v>241</v>
      </c>
      <c r="BN460" s="6">
        <f>0</f>
        <v>0</v>
      </c>
      <c r="BO460" s="6">
        <f>0</f>
        <v>0</v>
      </c>
      <c r="BP460" s="4" t="s">
        <v>256</v>
      </c>
      <c r="BQ460" s="4" t="s">
        <v>257</v>
      </c>
      <c r="CE460" s="4" t="s">
        <v>241</v>
      </c>
      <c r="CF460" s="4" t="s">
        <v>241</v>
      </c>
      <c r="CJ460" s="4" t="s">
        <v>258</v>
      </c>
      <c r="CK460" s="4" t="s">
        <v>259</v>
      </c>
      <c r="CL460" s="4" t="s">
        <v>241</v>
      </c>
      <c r="CO460" s="5" t="s">
        <v>260</v>
      </c>
      <c r="CP460" s="4" t="s">
        <v>241</v>
      </c>
      <c r="CQ460" s="4" t="s">
        <v>261</v>
      </c>
      <c r="CR460" s="4" t="s">
        <v>241</v>
      </c>
      <c r="CS460" s="4" t="s">
        <v>241</v>
      </c>
      <c r="CT460" s="4">
        <v>0</v>
      </c>
      <c r="CU460" s="4" t="s">
        <v>262</v>
      </c>
      <c r="CV460" s="4" t="s">
        <v>263</v>
      </c>
      <c r="CW460" s="4" t="s">
        <v>263</v>
      </c>
      <c r="CX460" s="4" t="s">
        <v>264</v>
      </c>
      <c r="DA460" s="6">
        <f>581262</f>
        <v>581262</v>
      </c>
      <c r="DC460" s="4" t="s">
        <v>266</v>
      </c>
      <c r="DD460" s="4" t="s">
        <v>241</v>
      </c>
      <c r="DF460" s="4" t="s">
        <v>266</v>
      </c>
      <c r="DG460" s="6">
        <f>0</f>
        <v>0</v>
      </c>
      <c r="DH460" s="5" t="s">
        <v>4756</v>
      </c>
      <c r="DI460" s="4" t="s">
        <v>266</v>
      </c>
      <c r="DJ460" s="4" t="s">
        <v>241</v>
      </c>
      <c r="DK460" s="4" t="s">
        <v>241</v>
      </c>
      <c r="DL460" s="4" t="s">
        <v>241</v>
      </c>
      <c r="DP460" s="4" t="s">
        <v>241</v>
      </c>
      <c r="DQ460" s="4" t="s">
        <v>241</v>
      </c>
      <c r="DR460" s="4" t="s">
        <v>241</v>
      </c>
      <c r="DS460" s="4" t="s">
        <v>241</v>
      </c>
      <c r="DV460" s="4" t="s">
        <v>4761</v>
      </c>
      <c r="DW460" s="4" t="s">
        <v>327</v>
      </c>
      <c r="HO460" s="4" t="s">
        <v>267</v>
      </c>
    </row>
    <row r="461" spans="1:223" ht="19.5" customHeight="1" x14ac:dyDescent="0.4">
      <c r="A461" s="4">
        <v>1</v>
      </c>
      <c r="B461" s="4" t="s">
        <v>239</v>
      </c>
      <c r="C461" s="4">
        <v>1196</v>
      </c>
      <c r="D461" s="4">
        <v>1</v>
      </c>
      <c r="E461" s="4">
        <v>1</v>
      </c>
      <c r="F461" s="4" t="s">
        <v>240</v>
      </c>
      <c r="G461" s="4" t="s">
        <v>241</v>
      </c>
      <c r="H461" s="4" t="s">
        <v>241</v>
      </c>
      <c r="I461" s="4" t="s">
        <v>4754</v>
      </c>
      <c r="J461" s="4" t="s">
        <v>244</v>
      </c>
      <c r="K461" s="4" t="s">
        <v>251</v>
      </c>
      <c r="L461" s="4" t="s">
        <v>4753</v>
      </c>
      <c r="M461" s="5" t="s">
        <v>4755</v>
      </c>
      <c r="N461" s="6">
        <f>421.32</f>
        <v>421.32</v>
      </c>
      <c r="O461" s="4" t="s">
        <v>265</v>
      </c>
      <c r="P461" s="6">
        <f>4213200</f>
        <v>4213200</v>
      </c>
      <c r="Q461" s="6">
        <f>0</f>
        <v>0</v>
      </c>
      <c r="S461" s="6">
        <f>0</f>
        <v>0</v>
      </c>
      <c r="T461" s="6">
        <f>4213200</f>
        <v>4213200</v>
      </c>
      <c r="U461" s="5" t="s">
        <v>245</v>
      </c>
      <c r="V461" s="4" t="s">
        <v>270</v>
      </c>
      <c r="W461" s="4" t="s">
        <v>242</v>
      </c>
      <c r="X461" s="4" t="s">
        <v>273</v>
      </c>
      <c r="Y461" s="4" t="s">
        <v>241</v>
      </c>
      <c r="AB461" s="4" t="s">
        <v>241</v>
      </c>
      <c r="AD461" s="5" t="s">
        <v>241</v>
      </c>
      <c r="AG461" s="5" t="s">
        <v>246</v>
      </c>
      <c r="AH461" s="4" t="s">
        <v>241</v>
      </c>
      <c r="AI461" s="4" t="s">
        <v>247</v>
      </c>
      <c r="AJ461" s="4" t="s">
        <v>248</v>
      </c>
      <c r="AZ461" s="4" t="s">
        <v>249</v>
      </c>
      <c r="BA461" s="4" t="s">
        <v>241</v>
      </c>
      <c r="BB461" s="4" t="s">
        <v>250</v>
      </c>
      <c r="BC461" s="4" t="s">
        <v>241</v>
      </c>
      <c r="BD461" s="4" t="s">
        <v>252</v>
      </c>
      <c r="BE461" s="4" t="s">
        <v>241</v>
      </c>
      <c r="BG461" s="4" t="s">
        <v>4227</v>
      </c>
      <c r="BI461" s="4" t="s">
        <v>253</v>
      </c>
      <c r="BJ461" s="5" t="s">
        <v>246</v>
      </c>
      <c r="BK461" s="4" t="s">
        <v>254</v>
      </c>
      <c r="BL461" s="4" t="s">
        <v>255</v>
      </c>
      <c r="BM461" s="4" t="s">
        <v>241</v>
      </c>
      <c r="BN461" s="6">
        <f>0</f>
        <v>0</v>
      </c>
      <c r="BO461" s="6">
        <f>0</f>
        <v>0</v>
      </c>
      <c r="BP461" s="4" t="s">
        <v>256</v>
      </c>
      <c r="BQ461" s="4" t="s">
        <v>257</v>
      </c>
      <c r="CE461" s="4" t="s">
        <v>241</v>
      </c>
      <c r="CF461" s="4" t="s">
        <v>241</v>
      </c>
      <c r="CJ461" s="4" t="s">
        <v>258</v>
      </c>
      <c r="CK461" s="4" t="s">
        <v>259</v>
      </c>
      <c r="CL461" s="4" t="s">
        <v>241</v>
      </c>
      <c r="CO461" s="5" t="s">
        <v>260</v>
      </c>
      <c r="CP461" s="4" t="s">
        <v>241</v>
      </c>
      <c r="CQ461" s="4" t="s">
        <v>261</v>
      </c>
      <c r="CR461" s="4" t="s">
        <v>241</v>
      </c>
      <c r="CS461" s="4" t="s">
        <v>241</v>
      </c>
      <c r="CT461" s="4">
        <v>0</v>
      </c>
      <c r="CU461" s="4" t="s">
        <v>262</v>
      </c>
      <c r="CV461" s="4" t="s">
        <v>263</v>
      </c>
      <c r="CW461" s="4" t="s">
        <v>263</v>
      </c>
      <c r="CX461" s="4" t="s">
        <v>264</v>
      </c>
      <c r="DA461" s="6">
        <f>4213200</f>
        <v>4213200</v>
      </c>
      <c r="DC461" s="4" t="s">
        <v>266</v>
      </c>
      <c r="DD461" s="4" t="s">
        <v>241</v>
      </c>
      <c r="DF461" s="4" t="s">
        <v>266</v>
      </c>
      <c r="DG461" s="6">
        <f>0</f>
        <v>0</v>
      </c>
      <c r="DH461" s="5" t="s">
        <v>4756</v>
      </c>
      <c r="DI461" s="4" t="s">
        <v>266</v>
      </c>
      <c r="DJ461" s="4" t="s">
        <v>241</v>
      </c>
      <c r="DK461" s="4" t="s">
        <v>241</v>
      </c>
      <c r="DL461" s="4" t="s">
        <v>241</v>
      </c>
      <c r="DP461" s="4" t="s">
        <v>241</v>
      </c>
      <c r="DQ461" s="4" t="s">
        <v>241</v>
      </c>
      <c r="DR461" s="4" t="s">
        <v>241</v>
      </c>
      <c r="DS461" s="4" t="s">
        <v>241</v>
      </c>
      <c r="DV461" s="4" t="s">
        <v>4757</v>
      </c>
      <c r="DW461" s="4" t="s">
        <v>267</v>
      </c>
      <c r="HO461" s="4" t="s">
        <v>267</v>
      </c>
    </row>
    <row r="462" spans="1:223" ht="19.5" customHeight="1" x14ac:dyDescent="0.4">
      <c r="A462" s="4">
        <v>1</v>
      </c>
      <c r="B462" s="4" t="s">
        <v>239</v>
      </c>
      <c r="C462" s="4">
        <v>1197</v>
      </c>
      <c r="D462" s="4">
        <v>1</v>
      </c>
      <c r="E462" s="4">
        <v>1</v>
      </c>
      <c r="F462" s="4" t="s">
        <v>240</v>
      </c>
      <c r="G462" s="4" t="s">
        <v>241</v>
      </c>
      <c r="H462" s="4" t="s">
        <v>241</v>
      </c>
      <c r="I462" s="4" t="s">
        <v>5463</v>
      </c>
      <c r="J462" s="4" t="s">
        <v>244</v>
      </c>
      <c r="K462" s="4" t="s">
        <v>251</v>
      </c>
      <c r="L462" s="4" t="s">
        <v>5462</v>
      </c>
      <c r="M462" s="5" t="s">
        <v>5464</v>
      </c>
      <c r="N462" s="6">
        <f>276</f>
        <v>276</v>
      </c>
      <c r="O462" s="4" t="s">
        <v>265</v>
      </c>
      <c r="P462" s="6">
        <f>611340</f>
        <v>611340</v>
      </c>
      <c r="Q462" s="6">
        <f>0</f>
        <v>0</v>
      </c>
      <c r="S462" s="6">
        <f>0</f>
        <v>0</v>
      </c>
      <c r="T462" s="6">
        <f>611340</f>
        <v>611340</v>
      </c>
      <c r="U462" s="5" t="s">
        <v>245</v>
      </c>
      <c r="V462" s="4" t="s">
        <v>270</v>
      </c>
      <c r="W462" s="4" t="s">
        <v>242</v>
      </c>
      <c r="X462" s="4" t="s">
        <v>273</v>
      </c>
      <c r="Y462" s="4" t="s">
        <v>241</v>
      </c>
      <c r="AB462" s="4" t="s">
        <v>241</v>
      </c>
      <c r="AD462" s="5" t="s">
        <v>241</v>
      </c>
      <c r="AG462" s="5" t="s">
        <v>246</v>
      </c>
      <c r="AH462" s="4" t="s">
        <v>241</v>
      </c>
      <c r="AI462" s="4" t="s">
        <v>247</v>
      </c>
      <c r="AJ462" s="4" t="s">
        <v>248</v>
      </c>
      <c r="AZ462" s="4" t="s">
        <v>249</v>
      </c>
      <c r="BA462" s="4" t="s">
        <v>241</v>
      </c>
      <c r="BB462" s="4" t="s">
        <v>250</v>
      </c>
      <c r="BC462" s="4" t="s">
        <v>241</v>
      </c>
      <c r="BD462" s="4" t="s">
        <v>252</v>
      </c>
      <c r="BE462" s="4" t="s">
        <v>241</v>
      </c>
      <c r="BG462" s="4" t="s">
        <v>4227</v>
      </c>
      <c r="BI462" s="4" t="s">
        <v>253</v>
      </c>
      <c r="BJ462" s="5" t="s">
        <v>246</v>
      </c>
      <c r="BK462" s="4" t="s">
        <v>254</v>
      </c>
      <c r="BL462" s="4" t="s">
        <v>255</v>
      </c>
      <c r="BM462" s="4" t="s">
        <v>241</v>
      </c>
      <c r="BN462" s="6">
        <f>0</f>
        <v>0</v>
      </c>
      <c r="BO462" s="6">
        <f>0</f>
        <v>0</v>
      </c>
      <c r="BP462" s="4" t="s">
        <v>256</v>
      </c>
      <c r="BQ462" s="4" t="s">
        <v>257</v>
      </c>
      <c r="CE462" s="4" t="s">
        <v>241</v>
      </c>
      <c r="CF462" s="4" t="s">
        <v>241</v>
      </c>
      <c r="CJ462" s="4" t="s">
        <v>258</v>
      </c>
      <c r="CK462" s="4" t="s">
        <v>259</v>
      </c>
      <c r="CL462" s="4" t="s">
        <v>241</v>
      </c>
      <c r="CO462" s="5" t="s">
        <v>260</v>
      </c>
      <c r="CP462" s="4" t="s">
        <v>241</v>
      </c>
      <c r="CQ462" s="4" t="s">
        <v>261</v>
      </c>
      <c r="CR462" s="4" t="s">
        <v>241</v>
      </c>
      <c r="CS462" s="4" t="s">
        <v>241</v>
      </c>
      <c r="CT462" s="4">
        <v>0</v>
      </c>
      <c r="CU462" s="4" t="s">
        <v>262</v>
      </c>
      <c r="CV462" s="4" t="s">
        <v>263</v>
      </c>
      <c r="CW462" s="4" t="s">
        <v>263</v>
      </c>
      <c r="CX462" s="4" t="s">
        <v>264</v>
      </c>
      <c r="DA462" s="6">
        <f>611340</f>
        <v>611340</v>
      </c>
      <c r="DC462" s="4" t="s">
        <v>422</v>
      </c>
      <c r="DD462" s="4" t="s">
        <v>241</v>
      </c>
      <c r="DF462" s="4" t="s">
        <v>422</v>
      </c>
      <c r="DG462" s="6">
        <f>0</f>
        <v>0</v>
      </c>
      <c r="DH462" s="5" t="s">
        <v>5465</v>
      </c>
      <c r="DI462" s="4" t="s">
        <v>414</v>
      </c>
      <c r="DJ462" s="4" t="s">
        <v>241</v>
      </c>
      <c r="DK462" s="4" t="s">
        <v>241</v>
      </c>
      <c r="DL462" s="4" t="s">
        <v>241</v>
      </c>
      <c r="DP462" s="4" t="s">
        <v>241</v>
      </c>
      <c r="DQ462" s="4" t="s">
        <v>241</v>
      </c>
      <c r="DR462" s="4" t="s">
        <v>241</v>
      </c>
      <c r="DS462" s="4" t="s">
        <v>241</v>
      </c>
      <c r="DV462" s="4" t="s">
        <v>5466</v>
      </c>
      <c r="DW462" s="4" t="s">
        <v>267</v>
      </c>
      <c r="HO462" s="4" t="s">
        <v>267</v>
      </c>
    </row>
    <row r="463" spans="1:223" ht="19.5" customHeight="1" x14ac:dyDescent="0.4">
      <c r="A463" s="4">
        <v>1</v>
      </c>
      <c r="B463" s="4" t="s">
        <v>239</v>
      </c>
      <c r="C463" s="4">
        <v>1198</v>
      </c>
      <c r="D463" s="4">
        <v>1</v>
      </c>
      <c r="E463" s="4">
        <v>1</v>
      </c>
      <c r="F463" s="4" t="s">
        <v>268</v>
      </c>
      <c r="G463" s="4" t="s">
        <v>241</v>
      </c>
      <c r="H463" s="4" t="s">
        <v>241</v>
      </c>
      <c r="I463" s="4" t="s">
        <v>4748</v>
      </c>
      <c r="J463" s="4" t="s">
        <v>418</v>
      </c>
      <c r="K463" s="4" t="s">
        <v>251</v>
      </c>
      <c r="L463" s="4" t="s">
        <v>4747</v>
      </c>
      <c r="M463" s="5" t="s">
        <v>4750</v>
      </c>
      <c r="N463" s="6">
        <f>379</f>
        <v>379</v>
      </c>
      <c r="O463" s="4" t="s">
        <v>265</v>
      </c>
      <c r="P463" s="6">
        <f>162970</f>
        <v>162970</v>
      </c>
      <c r="Q463" s="6">
        <f>0</f>
        <v>0</v>
      </c>
      <c r="S463" s="6">
        <f>0</f>
        <v>0</v>
      </c>
      <c r="T463" s="6">
        <f>162970</f>
        <v>162970</v>
      </c>
      <c r="U463" s="5" t="s">
        <v>364</v>
      </c>
      <c r="V463" s="4" t="s">
        <v>270</v>
      </c>
      <c r="W463" s="4" t="s">
        <v>242</v>
      </c>
      <c r="X463" s="4" t="s">
        <v>273</v>
      </c>
      <c r="Y463" s="4" t="s">
        <v>241</v>
      </c>
      <c r="AB463" s="4" t="s">
        <v>241</v>
      </c>
      <c r="AD463" s="5" t="s">
        <v>241</v>
      </c>
      <c r="AG463" s="5" t="s">
        <v>246</v>
      </c>
      <c r="AH463" s="4" t="s">
        <v>4749</v>
      </c>
      <c r="AI463" s="4" t="s">
        <v>247</v>
      </c>
      <c r="AJ463" s="4" t="s">
        <v>248</v>
      </c>
      <c r="AZ463" s="4" t="s">
        <v>249</v>
      </c>
      <c r="BA463" s="4" t="s">
        <v>241</v>
      </c>
      <c r="BB463" s="4" t="s">
        <v>250</v>
      </c>
      <c r="BC463" s="4" t="s">
        <v>241</v>
      </c>
      <c r="BD463" s="4" t="s">
        <v>252</v>
      </c>
      <c r="BE463" s="4" t="s">
        <v>241</v>
      </c>
      <c r="BG463" s="4" t="s">
        <v>4227</v>
      </c>
      <c r="BI463" s="4" t="s">
        <v>253</v>
      </c>
      <c r="BJ463" s="5" t="s">
        <v>364</v>
      </c>
      <c r="BK463" s="4" t="s">
        <v>254</v>
      </c>
      <c r="BL463" s="4" t="s">
        <v>3165</v>
      </c>
      <c r="BM463" s="4" t="s">
        <v>241</v>
      </c>
      <c r="BN463" s="6">
        <f>0</f>
        <v>0</v>
      </c>
      <c r="BO463" s="6">
        <f>0</f>
        <v>0</v>
      </c>
      <c r="BP463" s="4" t="s">
        <v>256</v>
      </c>
      <c r="BQ463" s="4" t="s">
        <v>257</v>
      </c>
      <c r="CE463" s="4" t="s">
        <v>241</v>
      </c>
      <c r="CF463" s="4" t="s">
        <v>241</v>
      </c>
      <c r="CJ463" s="4" t="s">
        <v>286</v>
      </c>
      <c r="CK463" s="4" t="s">
        <v>259</v>
      </c>
      <c r="CL463" s="4" t="s">
        <v>241</v>
      </c>
      <c r="CO463" s="5" t="s">
        <v>260</v>
      </c>
      <c r="CP463" s="4" t="s">
        <v>241</v>
      </c>
      <c r="CQ463" s="4" t="s">
        <v>261</v>
      </c>
      <c r="CR463" s="4" t="s">
        <v>241</v>
      </c>
      <c r="CS463" s="4" t="s">
        <v>241</v>
      </c>
      <c r="CT463" s="4">
        <v>0</v>
      </c>
      <c r="CU463" s="4" t="s">
        <v>262</v>
      </c>
      <c r="CV463" s="4" t="s">
        <v>263</v>
      </c>
      <c r="CW463" s="4" t="s">
        <v>263</v>
      </c>
      <c r="CX463" s="4" t="s">
        <v>264</v>
      </c>
      <c r="DA463" s="6">
        <f>162970</f>
        <v>162970</v>
      </c>
      <c r="DC463" s="4" t="s">
        <v>287</v>
      </c>
      <c r="DD463" s="4" t="s">
        <v>241</v>
      </c>
      <c r="DF463" s="4" t="s">
        <v>414</v>
      </c>
      <c r="DG463" s="6">
        <f>379.16</f>
        <v>379.16</v>
      </c>
      <c r="DI463" s="4" t="s">
        <v>241</v>
      </c>
      <c r="DJ463" s="4" t="s">
        <v>241</v>
      </c>
      <c r="DK463" s="4" t="s">
        <v>241</v>
      </c>
      <c r="DL463" s="4" t="s">
        <v>241</v>
      </c>
      <c r="DP463" s="4" t="s">
        <v>241</v>
      </c>
      <c r="DQ463" s="4" t="s">
        <v>241</v>
      </c>
      <c r="DR463" s="4" t="s">
        <v>241</v>
      </c>
      <c r="DS463" s="4" t="s">
        <v>241</v>
      </c>
      <c r="DV463" s="4" t="s">
        <v>4751</v>
      </c>
      <c r="DW463" s="4" t="s">
        <v>267</v>
      </c>
      <c r="HO463" s="4" t="s">
        <v>327</v>
      </c>
    </row>
    <row r="464" spans="1:223" ht="19.5" customHeight="1" x14ac:dyDescent="0.4">
      <c r="A464" s="4">
        <v>1</v>
      </c>
      <c r="B464" s="4" t="s">
        <v>239</v>
      </c>
      <c r="C464" s="4">
        <v>1326</v>
      </c>
      <c r="D464" s="4">
        <v>1</v>
      </c>
      <c r="E464" s="4">
        <v>1</v>
      </c>
      <c r="F464" s="4" t="s">
        <v>240</v>
      </c>
      <c r="G464" s="4" t="s">
        <v>241</v>
      </c>
      <c r="H464" s="4" t="s">
        <v>241</v>
      </c>
      <c r="I464" s="4" t="s">
        <v>4518</v>
      </c>
      <c r="J464" s="4" t="s">
        <v>3158</v>
      </c>
      <c r="K464" s="4" t="s">
        <v>251</v>
      </c>
      <c r="L464" s="4" t="s">
        <v>3180</v>
      </c>
      <c r="M464" s="5" t="s">
        <v>4538</v>
      </c>
      <c r="N464" s="6">
        <f>312</f>
        <v>312</v>
      </c>
      <c r="O464" s="4" t="s">
        <v>265</v>
      </c>
      <c r="P464" s="6">
        <f>3432</f>
        <v>3432</v>
      </c>
      <c r="Q464" s="6">
        <f>0</f>
        <v>0</v>
      </c>
      <c r="S464" s="6">
        <f>0</f>
        <v>0</v>
      </c>
      <c r="T464" s="6">
        <f>3432</f>
        <v>3432</v>
      </c>
      <c r="U464" s="5" t="s">
        <v>245</v>
      </c>
      <c r="V464" s="4" t="s">
        <v>270</v>
      </c>
      <c r="W464" s="4" t="s">
        <v>242</v>
      </c>
      <c r="X464" s="4" t="s">
        <v>243</v>
      </c>
      <c r="Y464" s="4" t="s">
        <v>241</v>
      </c>
      <c r="AB464" s="4" t="s">
        <v>241</v>
      </c>
      <c r="AD464" s="5" t="s">
        <v>241</v>
      </c>
      <c r="AG464" s="5" t="s">
        <v>246</v>
      </c>
      <c r="AH464" s="4" t="s">
        <v>241</v>
      </c>
      <c r="AI464" s="4" t="s">
        <v>247</v>
      </c>
      <c r="AJ464" s="4" t="s">
        <v>248</v>
      </c>
      <c r="AZ464" s="4" t="s">
        <v>249</v>
      </c>
      <c r="BA464" s="4" t="s">
        <v>241</v>
      </c>
      <c r="BB464" s="4" t="s">
        <v>250</v>
      </c>
      <c r="BC464" s="4" t="s">
        <v>241</v>
      </c>
      <c r="BD464" s="4" t="s">
        <v>252</v>
      </c>
      <c r="BE464" s="4" t="s">
        <v>241</v>
      </c>
      <c r="BI464" s="4" t="s">
        <v>253</v>
      </c>
      <c r="BJ464" s="5" t="s">
        <v>246</v>
      </c>
      <c r="BK464" s="4" t="s">
        <v>254</v>
      </c>
      <c r="BL464" s="4" t="s">
        <v>255</v>
      </c>
      <c r="BM464" s="4" t="s">
        <v>241</v>
      </c>
      <c r="BN464" s="6">
        <f>0</f>
        <v>0</v>
      </c>
      <c r="BO464" s="6">
        <f>0</f>
        <v>0</v>
      </c>
      <c r="BP464" s="4" t="s">
        <v>256</v>
      </c>
      <c r="BQ464" s="4" t="s">
        <v>257</v>
      </c>
      <c r="CE464" s="4" t="s">
        <v>241</v>
      </c>
      <c r="CF464" s="4" t="s">
        <v>241</v>
      </c>
      <c r="CJ464" s="4" t="s">
        <v>258</v>
      </c>
      <c r="CK464" s="4" t="s">
        <v>259</v>
      </c>
      <c r="CL464" s="4" t="s">
        <v>241</v>
      </c>
      <c r="CO464" s="5" t="s">
        <v>260</v>
      </c>
      <c r="CP464" s="4" t="s">
        <v>241</v>
      </c>
      <c r="CQ464" s="4" t="s">
        <v>261</v>
      </c>
      <c r="CR464" s="4" t="s">
        <v>241</v>
      </c>
      <c r="CS464" s="4" t="s">
        <v>241</v>
      </c>
      <c r="CT464" s="4">
        <v>0</v>
      </c>
      <c r="CU464" s="4" t="s">
        <v>262</v>
      </c>
      <c r="CV464" s="4" t="s">
        <v>263</v>
      </c>
      <c r="CW464" s="4" t="s">
        <v>263</v>
      </c>
      <c r="CX464" s="4" t="s">
        <v>264</v>
      </c>
      <c r="DA464" s="6">
        <f>3432</f>
        <v>3432</v>
      </c>
      <c r="DC464" s="4" t="s">
        <v>3160</v>
      </c>
      <c r="DD464" s="4" t="s">
        <v>241</v>
      </c>
      <c r="DF464" s="4" t="s">
        <v>287</v>
      </c>
      <c r="DG464" s="6">
        <f>0</f>
        <v>0</v>
      </c>
      <c r="DI464" s="4" t="s">
        <v>3167</v>
      </c>
      <c r="DJ464" s="4" t="s">
        <v>241</v>
      </c>
      <c r="DK464" s="4" t="s">
        <v>241</v>
      </c>
      <c r="DL464" s="4" t="s">
        <v>241</v>
      </c>
      <c r="DP464" s="4" t="s">
        <v>241</v>
      </c>
      <c r="DQ464" s="4" t="s">
        <v>241</v>
      </c>
      <c r="DR464" s="4" t="s">
        <v>241</v>
      </c>
      <c r="DS464" s="4" t="s">
        <v>241</v>
      </c>
      <c r="DV464" s="4" t="s">
        <v>4520</v>
      </c>
      <c r="DW464" s="4" t="s">
        <v>267</v>
      </c>
      <c r="HO464" s="4" t="s">
        <v>267</v>
      </c>
    </row>
    <row r="465" spans="1:223" ht="19.5" customHeight="1" x14ac:dyDescent="0.4">
      <c r="A465" s="4">
        <v>1</v>
      </c>
      <c r="B465" s="4" t="s">
        <v>239</v>
      </c>
      <c r="C465" s="4">
        <v>1327</v>
      </c>
      <c r="D465" s="4">
        <v>1</v>
      </c>
      <c r="E465" s="4">
        <v>1</v>
      </c>
      <c r="F465" s="4" t="s">
        <v>240</v>
      </c>
      <c r="G465" s="4" t="s">
        <v>241</v>
      </c>
      <c r="H465" s="4" t="s">
        <v>241</v>
      </c>
      <c r="I465" s="4" t="s">
        <v>4518</v>
      </c>
      <c r="J465" s="4" t="s">
        <v>3158</v>
      </c>
      <c r="K465" s="4" t="s">
        <v>251</v>
      </c>
      <c r="L465" s="4" t="s">
        <v>3180</v>
      </c>
      <c r="M465" s="5" t="s">
        <v>4539</v>
      </c>
      <c r="N465" s="6">
        <f>1769</f>
        <v>1769</v>
      </c>
      <c r="O465" s="4" t="s">
        <v>265</v>
      </c>
      <c r="P465" s="6">
        <f>19459</f>
        <v>19459</v>
      </c>
      <c r="Q465" s="6">
        <f>0</f>
        <v>0</v>
      </c>
      <c r="S465" s="6">
        <f>0</f>
        <v>0</v>
      </c>
      <c r="T465" s="6">
        <f>19459</f>
        <v>19459</v>
      </c>
      <c r="U465" s="5" t="s">
        <v>245</v>
      </c>
      <c r="V465" s="4" t="s">
        <v>270</v>
      </c>
      <c r="W465" s="4" t="s">
        <v>242</v>
      </c>
      <c r="X465" s="4" t="s">
        <v>243</v>
      </c>
      <c r="Y465" s="4" t="s">
        <v>241</v>
      </c>
      <c r="AB465" s="4" t="s">
        <v>241</v>
      </c>
      <c r="AD465" s="5" t="s">
        <v>241</v>
      </c>
      <c r="AG465" s="5" t="s">
        <v>246</v>
      </c>
      <c r="AH465" s="4" t="s">
        <v>241</v>
      </c>
      <c r="AI465" s="4" t="s">
        <v>247</v>
      </c>
      <c r="AJ465" s="4" t="s">
        <v>248</v>
      </c>
      <c r="AZ465" s="4" t="s">
        <v>249</v>
      </c>
      <c r="BA465" s="4" t="s">
        <v>241</v>
      </c>
      <c r="BB465" s="4" t="s">
        <v>250</v>
      </c>
      <c r="BC465" s="4" t="s">
        <v>241</v>
      </c>
      <c r="BD465" s="4" t="s">
        <v>252</v>
      </c>
      <c r="BE465" s="4" t="s">
        <v>241</v>
      </c>
      <c r="BI465" s="4" t="s">
        <v>253</v>
      </c>
      <c r="BJ465" s="5" t="s">
        <v>246</v>
      </c>
      <c r="BK465" s="4" t="s">
        <v>254</v>
      </c>
      <c r="BL465" s="4" t="s">
        <v>255</v>
      </c>
      <c r="BM465" s="4" t="s">
        <v>241</v>
      </c>
      <c r="BN465" s="6">
        <f>0</f>
        <v>0</v>
      </c>
      <c r="BO465" s="6">
        <f>0</f>
        <v>0</v>
      </c>
      <c r="BP465" s="4" t="s">
        <v>256</v>
      </c>
      <c r="BQ465" s="4" t="s">
        <v>257</v>
      </c>
      <c r="CE465" s="4" t="s">
        <v>241</v>
      </c>
      <c r="CF465" s="4" t="s">
        <v>241</v>
      </c>
      <c r="CJ465" s="4" t="s">
        <v>258</v>
      </c>
      <c r="CK465" s="4" t="s">
        <v>259</v>
      </c>
      <c r="CL465" s="4" t="s">
        <v>241</v>
      </c>
      <c r="CO465" s="5" t="s">
        <v>260</v>
      </c>
      <c r="CP465" s="4" t="s">
        <v>241</v>
      </c>
      <c r="CQ465" s="4" t="s">
        <v>261</v>
      </c>
      <c r="CR465" s="4" t="s">
        <v>241</v>
      </c>
      <c r="CS465" s="4" t="s">
        <v>241</v>
      </c>
      <c r="CT465" s="4">
        <v>0</v>
      </c>
      <c r="CU465" s="4" t="s">
        <v>262</v>
      </c>
      <c r="CV465" s="4" t="s">
        <v>263</v>
      </c>
      <c r="CW465" s="4" t="s">
        <v>263</v>
      </c>
      <c r="CX465" s="4" t="s">
        <v>264</v>
      </c>
      <c r="DA465" s="6">
        <f>19459</f>
        <v>19459</v>
      </c>
      <c r="DC465" s="4" t="s">
        <v>3160</v>
      </c>
      <c r="DD465" s="4" t="s">
        <v>241</v>
      </c>
      <c r="DF465" s="4" t="s">
        <v>287</v>
      </c>
      <c r="DG465" s="6">
        <f>0</f>
        <v>0</v>
      </c>
      <c r="DI465" s="4" t="s">
        <v>3167</v>
      </c>
      <c r="DJ465" s="4" t="s">
        <v>241</v>
      </c>
      <c r="DK465" s="4" t="s">
        <v>241</v>
      </c>
      <c r="DL465" s="4" t="s">
        <v>241</v>
      </c>
      <c r="DP465" s="4" t="s">
        <v>241</v>
      </c>
      <c r="DQ465" s="4" t="s">
        <v>241</v>
      </c>
      <c r="DR465" s="4" t="s">
        <v>241</v>
      </c>
      <c r="DS465" s="4" t="s">
        <v>241</v>
      </c>
      <c r="DV465" s="4" t="s">
        <v>4520</v>
      </c>
      <c r="DW465" s="4" t="s">
        <v>416</v>
      </c>
      <c r="HO465" s="4" t="s">
        <v>267</v>
      </c>
    </row>
    <row r="466" spans="1:223" ht="19.5" customHeight="1" x14ac:dyDescent="0.4">
      <c r="A466" s="4">
        <v>1</v>
      </c>
      <c r="B466" s="4" t="s">
        <v>239</v>
      </c>
      <c r="C466" s="4">
        <v>1328</v>
      </c>
      <c r="D466" s="4">
        <v>1</v>
      </c>
      <c r="E466" s="4">
        <v>1</v>
      </c>
      <c r="F466" s="4" t="s">
        <v>240</v>
      </c>
      <c r="G466" s="4" t="s">
        <v>241</v>
      </c>
      <c r="H466" s="4" t="s">
        <v>241</v>
      </c>
      <c r="I466" s="4" t="s">
        <v>4518</v>
      </c>
      <c r="J466" s="4" t="s">
        <v>3158</v>
      </c>
      <c r="K466" s="4" t="s">
        <v>251</v>
      </c>
      <c r="L466" s="4" t="s">
        <v>3180</v>
      </c>
      <c r="M466" s="5" t="s">
        <v>4540</v>
      </c>
      <c r="N466" s="6">
        <f>1244</f>
        <v>1244</v>
      </c>
      <c r="O466" s="4" t="s">
        <v>265</v>
      </c>
      <c r="P466" s="6">
        <f>13684</f>
        <v>13684</v>
      </c>
      <c r="Q466" s="6">
        <f>0</f>
        <v>0</v>
      </c>
      <c r="S466" s="6">
        <f>0</f>
        <v>0</v>
      </c>
      <c r="T466" s="6">
        <f>13684</f>
        <v>13684</v>
      </c>
      <c r="U466" s="5" t="s">
        <v>245</v>
      </c>
      <c r="V466" s="4" t="s">
        <v>270</v>
      </c>
      <c r="W466" s="4" t="s">
        <v>242</v>
      </c>
      <c r="X466" s="4" t="s">
        <v>243</v>
      </c>
      <c r="Y466" s="4" t="s">
        <v>241</v>
      </c>
      <c r="AB466" s="4" t="s">
        <v>241</v>
      </c>
      <c r="AD466" s="5" t="s">
        <v>241</v>
      </c>
      <c r="AG466" s="5" t="s">
        <v>246</v>
      </c>
      <c r="AH466" s="4" t="s">
        <v>241</v>
      </c>
      <c r="AI466" s="4" t="s">
        <v>247</v>
      </c>
      <c r="AJ466" s="4" t="s">
        <v>248</v>
      </c>
      <c r="AZ466" s="4" t="s">
        <v>249</v>
      </c>
      <c r="BA466" s="4" t="s">
        <v>241</v>
      </c>
      <c r="BB466" s="4" t="s">
        <v>250</v>
      </c>
      <c r="BC466" s="4" t="s">
        <v>241</v>
      </c>
      <c r="BD466" s="4" t="s">
        <v>252</v>
      </c>
      <c r="BE466" s="4" t="s">
        <v>241</v>
      </c>
      <c r="BI466" s="4" t="s">
        <v>253</v>
      </c>
      <c r="BJ466" s="5" t="s">
        <v>246</v>
      </c>
      <c r="BK466" s="4" t="s">
        <v>254</v>
      </c>
      <c r="BL466" s="4" t="s">
        <v>255</v>
      </c>
      <c r="BM466" s="4" t="s">
        <v>241</v>
      </c>
      <c r="BN466" s="6">
        <f>0</f>
        <v>0</v>
      </c>
      <c r="BO466" s="6">
        <f>0</f>
        <v>0</v>
      </c>
      <c r="BP466" s="4" t="s">
        <v>256</v>
      </c>
      <c r="BQ466" s="4" t="s">
        <v>257</v>
      </c>
      <c r="CE466" s="4" t="s">
        <v>241</v>
      </c>
      <c r="CF466" s="4" t="s">
        <v>241</v>
      </c>
      <c r="CJ466" s="4" t="s">
        <v>258</v>
      </c>
      <c r="CK466" s="4" t="s">
        <v>259</v>
      </c>
      <c r="CL466" s="4" t="s">
        <v>241</v>
      </c>
      <c r="CO466" s="5" t="s">
        <v>260</v>
      </c>
      <c r="CP466" s="4" t="s">
        <v>241</v>
      </c>
      <c r="CQ466" s="4" t="s">
        <v>261</v>
      </c>
      <c r="CR466" s="4" t="s">
        <v>241</v>
      </c>
      <c r="CS466" s="4" t="s">
        <v>241</v>
      </c>
      <c r="CT466" s="4">
        <v>0</v>
      </c>
      <c r="CU466" s="4" t="s">
        <v>262</v>
      </c>
      <c r="CV466" s="4" t="s">
        <v>263</v>
      </c>
      <c r="CW466" s="4" t="s">
        <v>263</v>
      </c>
      <c r="CX466" s="4" t="s">
        <v>264</v>
      </c>
      <c r="DA466" s="6">
        <f>13684</f>
        <v>13684</v>
      </c>
      <c r="DC466" s="4" t="s">
        <v>3160</v>
      </c>
      <c r="DD466" s="4" t="s">
        <v>241</v>
      </c>
      <c r="DF466" s="4" t="s">
        <v>287</v>
      </c>
      <c r="DG466" s="6">
        <f>0</f>
        <v>0</v>
      </c>
      <c r="DI466" s="4" t="s">
        <v>3167</v>
      </c>
      <c r="DJ466" s="4" t="s">
        <v>241</v>
      </c>
      <c r="DK466" s="4" t="s">
        <v>241</v>
      </c>
      <c r="DL466" s="4" t="s">
        <v>241</v>
      </c>
      <c r="DP466" s="4" t="s">
        <v>241</v>
      </c>
      <c r="DQ466" s="4" t="s">
        <v>241</v>
      </c>
      <c r="DR466" s="4" t="s">
        <v>241</v>
      </c>
      <c r="DS466" s="4" t="s">
        <v>241</v>
      </c>
      <c r="DV466" s="4" t="s">
        <v>4520</v>
      </c>
      <c r="DW466" s="4" t="s">
        <v>388</v>
      </c>
      <c r="HO466" s="4" t="s">
        <v>267</v>
      </c>
    </row>
    <row r="467" spans="1:223" ht="19.5" customHeight="1" x14ac:dyDescent="0.4">
      <c r="A467" s="4">
        <v>1</v>
      </c>
      <c r="B467" s="4" t="s">
        <v>239</v>
      </c>
      <c r="C467" s="4">
        <v>1329</v>
      </c>
      <c r="D467" s="4">
        <v>1</v>
      </c>
      <c r="E467" s="4">
        <v>1</v>
      </c>
      <c r="F467" s="4" t="s">
        <v>240</v>
      </c>
      <c r="G467" s="4" t="s">
        <v>241</v>
      </c>
      <c r="H467" s="4" t="s">
        <v>241</v>
      </c>
      <c r="I467" s="4" t="s">
        <v>4518</v>
      </c>
      <c r="J467" s="4" t="s">
        <v>3158</v>
      </c>
      <c r="K467" s="4" t="s">
        <v>251</v>
      </c>
      <c r="L467" s="4" t="s">
        <v>3180</v>
      </c>
      <c r="M467" s="5" t="s">
        <v>5438</v>
      </c>
      <c r="N467" s="6">
        <f>1359</f>
        <v>1359</v>
      </c>
      <c r="O467" s="4" t="s">
        <v>265</v>
      </c>
      <c r="P467" s="6">
        <f>14949</f>
        <v>14949</v>
      </c>
      <c r="Q467" s="6">
        <f>0</f>
        <v>0</v>
      </c>
      <c r="S467" s="6">
        <f>0</f>
        <v>0</v>
      </c>
      <c r="T467" s="6">
        <f>14949</f>
        <v>14949</v>
      </c>
      <c r="U467" s="5" t="s">
        <v>245</v>
      </c>
      <c r="V467" s="4" t="s">
        <v>270</v>
      </c>
      <c r="W467" s="4" t="s">
        <v>242</v>
      </c>
      <c r="X467" s="4" t="s">
        <v>243</v>
      </c>
      <c r="Y467" s="4" t="s">
        <v>241</v>
      </c>
      <c r="AB467" s="4" t="s">
        <v>241</v>
      </c>
      <c r="AD467" s="5" t="s">
        <v>241</v>
      </c>
      <c r="AG467" s="5" t="s">
        <v>246</v>
      </c>
      <c r="AH467" s="4" t="s">
        <v>241</v>
      </c>
      <c r="AI467" s="4" t="s">
        <v>247</v>
      </c>
      <c r="AJ467" s="4" t="s">
        <v>248</v>
      </c>
      <c r="AZ467" s="4" t="s">
        <v>249</v>
      </c>
      <c r="BA467" s="4" t="s">
        <v>241</v>
      </c>
      <c r="BB467" s="4" t="s">
        <v>250</v>
      </c>
      <c r="BC467" s="4" t="s">
        <v>241</v>
      </c>
      <c r="BD467" s="4" t="s">
        <v>252</v>
      </c>
      <c r="BE467" s="4" t="s">
        <v>241</v>
      </c>
      <c r="BI467" s="4" t="s">
        <v>253</v>
      </c>
      <c r="BJ467" s="5" t="s">
        <v>246</v>
      </c>
      <c r="BK467" s="4" t="s">
        <v>254</v>
      </c>
      <c r="BL467" s="4" t="s">
        <v>255</v>
      </c>
      <c r="BM467" s="4" t="s">
        <v>241</v>
      </c>
      <c r="BN467" s="6">
        <f>0</f>
        <v>0</v>
      </c>
      <c r="BO467" s="6">
        <f>0</f>
        <v>0</v>
      </c>
      <c r="BP467" s="4" t="s">
        <v>256</v>
      </c>
      <c r="BQ467" s="4" t="s">
        <v>257</v>
      </c>
      <c r="CE467" s="4" t="s">
        <v>241</v>
      </c>
      <c r="CF467" s="4" t="s">
        <v>241</v>
      </c>
      <c r="CJ467" s="4" t="s">
        <v>258</v>
      </c>
      <c r="CK467" s="4" t="s">
        <v>259</v>
      </c>
      <c r="CL467" s="4" t="s">
        <v>241</v>
      </c>
      <c r="CO467" s="5" t="s">
        <v>260</v>
      </c>
      <c r="CP467" s="4" t="s">
        <v>241</v>
      </c>
      <c r="CQ467" s="4" t="s">
        <v>261</v>
      </c>
      <c r="CR467" s="4" t="s">
        <v>241</v>
      </c>
      <c r="CS467" s="4" t="s">
        <v>241</v>
      </c>
      <c r="CT467" s="4">
        <v>0</v>
      </c>
      <c r="CU467" s="4" t="s">
        <v>262</v>
      </c>
      <c r="CV467" s="4" t="s">
        <v>263</v>
      </c>
      <c r="CW467" s="4" t="s">
        <v>263</v>
      </c>
      <c r="CX467" s="4" t="s">
        <v>264</v>
      </c>
      <c r="DA467" s="6">
        <f>14949</f>
        <v>14949</v>
      </c>
      <c r="DC467" s="4" t="s">
        <v>3160</v>
      </c>
      <c r="DD467" s="4" t="s">
        <v>241</v>
      </c>
      <c r="DF467" s="4" t="s">
        <v>287</v>
      </c>
      <c r="DG467" s="6">
        <f>1359</f>
        <v>1359</v>
      </c>
      <c r="DI467" s="4" t="s">
        <v>3167</v>
      </c>
      <c r="DJ467" s="4" t="s">
        <v>241</v>
      </c>
      <c r="DK467" s="4" t="s">
        <v>241</v>
      </c>
      <c r="DL467" s="4" t="s">
        <v>241</v>
      </c>
      <c r="DP467" s="4" t="s">
        <v>241</v>
      </c>
      <c r="DQ467" s="4" t="s">
        <v>241</v>
      </c>
      <c r="DR467" s="4" t="s">
        <v>241</v>
      </c>
      <c r="DS467" s="4" t="s">
        <v>241</v>
      </c>
      <c r="DV467" s="4" t="s">
        <v>4520</v>
      </c>
      <c r="DW467" s="4" t="s">
        <v>327</v>
      </c>
      <c r="HO467" s="4" t="s">
        <v>267</v>
      </c>
    </row>
    <row r="468" spans="1:223" ht="19.5" customHeight="1" x14ac:dyDescent="0.4">
      <c r="A468" s="4">
        <v>1</v>
      </c>
      <c r="B468" s="4" t="s">
        <v>239</v>
      </c>
      <c r="C468" s="4">
        <v>1330</v>
      </c>
      <c r="D468" s="4">
        <v>1</v>
      </c>
      <c r="E468" s="4">
        <v>1</v>
      </c>
      <c r="F468" s="4" t="s">
        <v>240</v>
      </c>
      <c r="G468" s="4" t="s">
        <v>241</v>
      </c>
      <c r="H468" s="4" t="s">
        <v>241</v>
      </c>
      <c r="I468" s="4" t="s">
        <v>4518</v>
      </c>
      <c r="J468" s="4" t="s">
        <v>3158</v>
      </c>
      <c r="K468" s="4" t="s">
        <v>251</v>
      </c>
      <c r="L468" s="4" t="s">
        <v>3180</v>
      </c>
      <c r="M468" s="5" t="s">
        <v>4542</v>
      </c>
      <c r="N468" s="6">
        <f>1363</f>
        <v>1363</v>
      </c>
      <c r="O468" s="4" t="s">
        <v>265</v>
      </c>
      <c r="P468" s="6">
        <f>14993</f>
        <v>14993</v>
      </c>
      <c r="Q468" s="6">
        <f>0</f>
        <v>0</v>
      </c>
      <c r="S468" s="6">
        <f>0</f>
        <v>0</v>
      </c>
      <c r="T468" s="6">
        <f>14993</f>
        <v>14993</v>
      </c>
      <c r="U468" s="5" t="s">
        <v>245</v>
      </c>
      <c r="V468" s="4" t="s">
        <v>270</v>
      </c>
      <c r="W468" s="4" t="s">
        <v>242</v>
      </c>
      <c r="X468" s="4" t="s">
        <v>243</v>
      </c>
      <c r="Y468" s="4" t="s">
        <v>241</v>
      </c>
      <c r="AB468" s="4" t="s">
        <v>241</v>
      </c>
      <c r="AD468" s="5" t="s">
        <v>241</v>
      </c>
      <c r="AG468" s="5" t="s">
        <v>246</v>
      </c>
      <c r="AH468" s="4" t="s">
        <v>241</v>
      </c>
      <c r="AI468" s="4" t="s">
        <v>247</v>
      </c>
      <c r="AJ468" s="4" t="s">
        <v>248</v>
      </c>
      <c r="AZ468" s="4" t="s">
        <v>249</v>
      </c>
      <c r="BA468" s="4" t="s">
        <v>241</v>
      </c>
      <c r="BB468" s="4" t="s">
        <v>250</v>
      </c>
      <c r="BC468" s="4" t="s">
        <v>241</v>
      </c>
      <c r="BD468" s="4" t="s">
        <v>252</v>
      </c>
      <c r="BE468" s="4" t="s">
        <v>241</v>
      </c>
      <c r="BI468" s="4" t="s">
        <v>253</v>
      </c>
      <c r="BJ468" s="5" t="s">
        <v>246</v>
      </c>
      <c r="BK468" s="4" t="s">
        <v>254</v>
      </c>
      <c r="BL468" s="4" t="s">
        <v>255</v>
      </c>
      <c r="BM468" s="4" t="s">
        <v>241</v>
      </c>
      <c r="BN468" s="6">
        <f>0</f>
        <v>0</v>
      </c>
      <c r="BO468" s="6">
        <f>0</f>
        <v>0</v>
      </c>
      <c r="BP468" s="4" t="s">
        <v>256</v>
      </c>
      <c r="BQ468" s="4" t="s">
        <v>257</v>
      </c>
      <c r="CE468" s="4" t="s">
        <v>241</v>
      </c>
      <c r="CF468" s="4" t="s">
        <v>241</v>
      </c>
      <c r="CJ468" s="4" t="s">
        <v>258</v>
      </c>
      <c r="CK468" s="4" t="s">
        <v>259</v>
      </c>
      <c r="CL468" s="4" t="s">
        <v>241</v>
      </c>
      <c r="CO468" s="5" t="s">
        <v>260</v>
      </c>
      <c r="CP468" s="4" t="s">
        <v>241</v>
      </c>
      <c r="CQ468" s="4" t="s">
        <v>261</v>
      </c>
      <c r="CR468" s="4" t="s">
        <v>241</v>
      </c>
      <c r="CS468" s="4" t="s">
        <v>241</v>
      </c>
      <c r="CT468" s="4">
        <v>0</v>
      </c>
      <c r="CU468" s="4" t="s">
        <v>262</v>
      </c>
      <c r="CV468" s="4" t="s">
        <v>263</v>
      </c>
      <c r="CW468" s="4" t="s">
        <v>263</v>
      </c>
      <c r="CX468" s="4" t="s">
        <v>264</v>
      </c>
      <c r="DA468" s="6">
        <f>14993</f>
        <v>14993</v>
      </c>
      <c r="DC468" s="4" t="s">
        <v>3160</v>
      </c>
      <c r="DD468" s="4" t="s">
        <v>241</v>
      </c>
      <c r="DF468" s="4" t="s">
        <v>287</v>
      </c>
      <c r="DG468" s="6">
        <f>1363</f>
        <v>1363</v>
      </c>
      <c r="DI468" s="4" t="s">
        <v>3167</v>
      </c>
      <c r="DJ468" s="4" t="s">
        <v>241</v>
      </c>
      <c r="DK468" s="4" t="s">
        <v>241</v>
      </c>
      <c r="DL468" s="4" t="s">
        <v>241</v>
      </c>
      <c r="DP468" s="4" t="s">
        <v>241</v>
      </c>
      <c r="DQ468" s="4" t="s">
        <v>241</v>
      </c>
      <c r="DR468" s="4" t="s">
        <v>241</v>
      </c>
      <c r="DS468" s="4" t="s">
        <v>241</v>
      </c>
      <c r="DV468" s="4" t="s">
        <v>4520</v>
      </c>
      <c r="DW468" s="4" t="s">
        <v>748</v>
      </c>
      <c r="HO468" s="4" t="s">
        <v>267</v>
      </c>
    </row>
    <row r="469" spans="1:223" ht="19.5" customHeight="1" x14ac:dyDescent="0.4">
      <c r="A469" s="4">
        <v>1</v>
      </c>
      <c r="B469" s="4" t="s">
        <v>239</v>
      </c>
      <c r="C469" s="4">
        <v>1331</v>
      </c>
      <c r="D469" s="4">
        <v>1</v>
      </c>
      <c r="E469" s="4">
        <v>1</v>
      </c>
      <c r="F469" s="4" t="s">
        <v>240</v>
      </c>
      <c r="G469" s="4" t="s">
        <v>241</v>
      </c>
      <c r="H469" s="4" t="s">
        <v>241</v>
      </c>
      <c r="I469" s="4" t="s">
        <v>4518</v>
      </c>
      <c r="J469" s="4" t="s">
        <v>3158</v>
      </c>
      <c r="K469" s="4" t="s">
        <v>251</v>
      </c>
      <c r="L469" s="4" t="s">
        <v>3180</v>
      </c>
      <c r="M469" s="5" t="s">
        <v>4543</v>
      </c>
      <c r="N469" s="6">
        <f>1295</f>
        <v>1295</v>
      </c>
      <c r="O469" s="4" t="s">
        <v>265</v>
      </c>
      <c r="P469" s="6">
        <f>14245</f>
        <v>14245</v>
      </c>
      <c r="Q469" s="6">
        <f>0</f>
        <v>0</v>
      </c>
      <c r="S469" s="6">
        <f>0</f>
        <v>0</v>
      </c>
      <c r="T469" s="6">
        <f>14245</f>
        <v>14245</v>
      </c>
      <c r="U469" s="5" t="s">
        <v>245</v>
      </c>
      <c r="V469" s="4" t="s">
        <v>270</v>
      </c>
      <c r="W469" s="4" t="s">
        <v>242</v>
      </c>
      <c r="X469" s="4" t="s">
        <v>243</v>
      </c>
      <c r="Y469" s="4" t="s">
        <v>241</v>
      </c>
      <c r="AB469" s="4" t="s">
        <v>241</v>
      </c>
      <c r="AD469" s="5" t="s">
        <v>241</v>
      </c>
      <c r="AG469" s="5" t="s">
        <v>246</v>
      </c>
      <c r="AH469" s="4" t="s">
        <v>241</v>
      </c>
      <c r="AI469" s="4" t="s">
        <v>247</v>
      </c>
      <c r="AJ469" s="4" t="s">
        <v>248</v>
      </c>
      <c r="AZ469" s="4" t="s">
        <v>249</v>
      </c>
      <c r="BA469" s="4" t="s">
        <v>241</v>
      </c>
      <c r="BB469" s="4" t="s">
        <v>250</v>
      </c>
      <c r="BC469" s="4" t="s">
        <v>241</v>
      </c>
      <c r="BD469" s="4" t="s">
        <v>252</v>
      </c>
      <c r="BE469" s="4" t="s">
        <v>241</v>
      </c>
      <c r="BI469" s="4" t="s">
        <v>253</v>
      </c>
      <c r="BJ469" s="5" t="s">
        <v>246</v>
      </c>
      <c r="BK469" s="4" t="s">
        <v>254</v>
      </c>
      <c r="BL469" s="4" t="s">
        <v>255</v>
      </c>
      <c r="BM469" s="4" t="s">
        <v>241</v>
      </c>
      <c r="BN469" s="6">
        <f>0</f>
        <v>0</v>
      </c>
      <c r="BO469" s="6">
        <f>0</f>
        <v>0</v>
      </c>
      <c r="BP469" s="4" t="s">
        <v>256</v>
      </c>
      <c r="BQ469" s="4" t="s">
        <v>257</v>
      </c>
      <c r="CE469" s="4" t="s">
        <v>241</v>
      </c>
      <c r="CF469" s="4" t="s">
        <v>241</v>
      </c>
      <c r="CJ469" s="4" t="s">
        <v>258</v>
      </c>
      <c r="CK469" s="4" t="s">
        <v>259</v>
      </c>
      <c r="CL469" s="4" t="s">
        <v>241</v>
      </c>
      <c r="CO469" s="5" t="s">
        <v>260</v>
      </c>
      <c r="CP469" s="4" t="s">
        <v>241</v>
      </c>
      <c r="CQ469" s="4" t="s">
        <v>261</v>
      </c>
      <c r="CR469" s="4" t="s">
        <v>241</v>
      </c>
      <c r="CS469" s="4" t="s">
        <v>241</v>
      </c>
      <c r="CT469" s="4">
        <v>0</v>
      </c>
      <c r="CU469" s="4" t="s">
        <v>262</v>
      </c>
      <c r="CV469" s="4" t="s">
        <v>263</v>
      </c>
      <c r="CW469" s="4" t="s">
        <v>263</v>
      </c>
      <c r="CX469" s="4" t="s">
        <v>264</v>
      </c>
      <c r="DA469" s="6">
        <f>14245</f>
        <v>14245</v>
      </c>
      <c r="DC469" s="4" t="s">
        <v>3160</v>
      </c>
      <c r="DD469" s="4" t="s">
        <v>241</v>
      </c>
      <c r="DF469" s="4" t="s">
        <v>287</v>
      </c>
      <c r="DG469" s="6">
        <f>0</f>
        <v>0</v>
      </c>
      <c r="DI469" s="4" t="s">
        <v>3167</v>
      </c>
      <c r="DJ469" s="4" t="s">
        <v>241</v>
      </c>
      <c r="DK469" s="4" t="s">
        <v>241</v>
      </c>
      <c r="DL469" s="4" t="s">
        <v>241</v>
      </c>
      <c r="DP469" s="4" t="s">
        <v>241</v>
      </c>
      <c r="DQ469" s="4" t="s">
        <v>241</v>
      </c>
      <c r="DR469" s="4" t="s">
        <v>241</v>
      </c>
      <c r="DS469" s="4" t="s">
        <v>241</v>
      </c>
      <c r="DV469" s="4" t="s">
        <v>4520</v>
      </c>
      <c r="DW469" s="4" t="s">
        <v>719</v>
      </c>
      <c r="HO469" s="4" t="s">
        <v>267</v>
      </c>
    </row>
    <row r="470" spans="1:223" ht="19.5" customHeight="1" x14ac:dyDescent="0.4">
      <c r="A470" s="4">
        <v>1</v>
      </c>
      <c r="B470" s="4" t="s">
        <v>239</v>
      </c>
      <c r="C470" s="4">
        <v>1332</v>
      </c>
      <c r="D470" s="4">
        <v>1</v>
      </c>
      <c r="E470" s="4">
        <v>1</v>
      </c>
      <c r="F470" s="4" t="s">
        <v>240</v>
      </c>
      <c r="G470" s="4" t="s">
        <v>241</v>
      </c>
      <c r="H470" s="4" t="s">
        <v>241</v>
      </c>
      <c r="I470" s="4" t="s">
        <v>4518</v>
      </c>
      <c r="J470" s="4" t="s">
        <v>3158</v>
      </c>
      <c r="K470" s="4" t="s">
        <v>251</v>
      </c>
      <c r="L470" s="4" t="s">
        <v>3180</v>
      </c>
      <c r="M470" s="5" t="s">
        <v>4535</v>
      </c>
      <c r="N470" s="6">
        <f>1324</f>
        <v>1324</v>
      </c>
      <c r="O470" s="4" t="s">
        <v>265</v>
      </c>
      <c r="P470" s="6">
        <f>14564</f>
        <v>14564</v>
      </c>
      <c r="Q470" s="6">
        <f>0</f>
        <v>0</v>
      </c>
      <c r="S470" s="6">
        <f>0</f>
        <v>0</v>
      </c>
      <c r="T470" s="6">
        <f>14564</f>
        <v>14564</v>
      </c>
      <c r="U470" s="5" t="s">
        <v>245</v>
      </c>
      <c r="V470" s="4" t="s">
        <v>270</v>
      </c>
      <c r="W470" s="4" t="s">
        <v>242</v>
      </c>
      <c r="X470" s="4" t="s">
        <v>243</v>
      </c>
      <c r="Y470" s="4" t="s">
        <v>241</v>
      </c>
      <c r="AB470" s="4" t="s">
        <v>241</v>
      </c>
      <c r="AD470" s="5" t="s">
        <v>241</v>
      </c>
      <c r="AG470" s="5" t="s">
        <v>246</v>
      </c>
      <c r="AH470" s="4" t="s">
        <v>241</v>
      </c>
      <c r="AI470" s="4" t="s">
        <v>247</v>
      </c>
      <c r="AJ470" s="4" t="s">
        <v>248</v>
      </c>
      <c r="AZ470" s="4" t="s">
        <v>249</v>
      </c>
      <c r="BA470" s="4" t="s">
        <v>241</v>
      </c>
      <c r="BB470" s="4" t="s">
        <v>250</v>
      </c>
      <c r="BC470" s="4" t="s">
        <v>241</v>
      </c>
      <c r="BD470" s="4" t="s">
        <v>252</v>
      </c>
      <c r="BE470" s="4" t="s">
        <v>241</v>
      </c>
      <c r="BI470" s="4" t="s">
        <v>253</v>
      </c>
      <c r="BJ470" s="5" t="s">
        <v>246</v>
      </c>
      <c r="BK470" s="4" t="s">
        <v>254</v>
      </c>
      <c r="BL470" s="4" t="s">
        <v>255</v>
      </c>
      <c r="BM470" s="4" t="s">
        <v>241</v>
      </c>
      <c r="BN470" s="6">
        <f>0</f>
        <v>0</v>
      </c>
      <c r="BO470" s="6">
        <f>0</f>
        <v>0</v>
      </c>
      <c r="BP470" s="4" t="s">
        <v>256</v>
      </c>
      <c r="BQ470" s="4" t="s">
        <v>257</v>
      </c>
      <c r="CE470" s="4" t="s">
        <v>241</v>
      </c>
      <c r="CF470" s="4" t="s">
        <v>241</v>
      </c>
      <c r="CJ470" s="4" t="s">
        <v>258</v>
      </c>
      <c r="CK470" s="4" t="s">
        <v>259</v>
      </c>
      <c r="CL470" s="4" t="s">
        <v>241</v>
      </c>
      <c r="CO470" s="5" t="s">
        <v>260</v>
      </c>
      <c r="CP470" s="4" t="s">
        <v>241</v>
      </c>
      <c r="CQ470" s="4" t="s">
        <v>261</v>
      </c>
      <c r="CR470" s="4" t="s">
        <v>241</v>
      </c>
      <c r="CS470" s="4" t="s">
        <v>241</v>
      </c>
      <c r="CT470" s="4">
        <v>0</v>
      </c>
      <c r="CU470" s="4" t="s">
        <v>262</v>
      </c>
      <c r="CV470" s="4" t="s">
        <v>263</v>
      </c>
      <c r="CW470" s="4" t="s">
        <v>263</v>
      </c>
      <c r="CX470" s="4" t="s">
        <v>264</v>
      </c>
      <c r="DA470" s="6">
        <f>14564</f>
        <v>14564</v>
      </c>
      <c r="DC470" s="4" t="s">
        <v>3160</v>
      </c>
      <c r="DD470" s="4" t="s">
        <v>241</v>
      </c>
      <c r="DF470" s="4" t="s">
        <v>287</v>
      </c>
      <c r="DG470" s="6">
        <f>0</f>
        <v>0</v>
      </c>
      <c r="DI470" s="4" t="s">
        <v>3167</v>
      </c>
      <c r="DJ470" s="4" t="s">
        <v>241</v>
      </c>
      <c r="DK470" s="4" t="s">
        <v>241</v>
      </c>
      <c r="DL470" s="4" t="s">
        <v>241</v>
      </c>
      <c r="DP470" s="4" t="s">
        <v>241</v>
      </c>
      <c r="DQ470" s="4" t="s">
        <v>241</v>
      </c>
      <c r="DR470" s="4" t="s">
        <v>241</v>
      </c>
      <c r="DS470" s="4" t="s">
        <v>241</v>
      </c>
      <c r="DV470" s="4" t="s">
        <v>4520</v>
      </c>
      <c r="DW470" s="4" t="s">
        <v>690</v>
      </c>
      <c r="HO470" s="4" t="s">
        <v>267</v>
      </c>
    </row>
    <row r="471" spans="1:223" ht="19.5" customHeight="1" x14ac:dyDescent="0.4">
      <c r="A471" s="4">
        <v>1</v>
      </c>
      <c r="B471" s="4" t="s">
        <v>239</v>
      </c>
      <c r="C471" s="4">
        <v>1333</v>
      </c>
      <c r="D471" s="4">
        <v>1</v>
      </c>
      <c r="E471" s="4">
        <v>1</v>
      </c>
      <c r="F471" s="4" t="s">
        <v>240</v>
      </c>
      <c r="G471" s="4" t="s">
        <v>241</v>
      </c>
      <c r="H471" s="4" t="s">
        <v>241</v>
      </c>
      <c r="I471" s="4" t="s">
        <v>4518</v>
      </c>
      <c r="J471" s="4" t="s">
        <v>3158</v>
      </c>
      <c r="K471" s="4" t="s">
        <v>251</v>
      </c>
      <c r="L471" s="4" t="s">
        <v>3180</v>
      </c>
      <c r="M471" s="5" t="s">
        <v>4536</v>
      </c>
      <c r="N471" s="6">
        <f>1151</f>
        <v>1151</v>
      </c>
      <c r="O471" s="4" t="s">
        <v>265</v>
      </c>
      <c r="P471" s="6">
        <f>12661</f>
        <v>12661</v>
      </c>
      <c r="Q471" s="6">
        <f>0</f>
        <v>0</v>
      </c>
      <c r="S471" s="6">
        <f>0</f>
        <v>0</v>
      </c>
      <c r="T471" s="6">
        <f>12661</f>
        <v>12661</v>
      </c>
      <c r="U471" s="5" t="s">
        <v>245</v>
      </c>
      <c r="V471" s="4" t="s">
        <v>270</v>
      </c>
      <c r="W471" s="4" t="s">
        <v>242</v>
      </c>
      <c r="X471" s="4" t="s">
        <v>243</v>
      </c>
      <c r="Y471" s="4" t="s">
        <v>241</v>
      </c>
      <c r="AB471" s="4" t="s">
        <v>241</v>
      </c>
      <c r="AD471" s="5" t="s">
        <v>241</v>
      </c>
      <c r="AG471" s="5" t="s">
        <v>246</v>
      </c>
      <c r="AH471" s="4" t="s">
        <v>241</v>
      </c>
      <c r="AI471" s="4" t="s">
        <v>247</v>
      </c>
      <c r="AJ471" s="4" t="s">
        <v>248</v>
      </c>
      <c r="AZ471" s="4" t="s">
        <v>249</v>
      </c>
      <c r="BA471" s="4" t="s">
        <v>241</v>
      </c>
      <c r="BB471" s="4" t="s">
        <v>250</v>
      </c>
      <c r="BC471" s="4" t="s">
        <v>241</v>
      </c>
      <c r="BD471" s="4" t="s">
        <v>252</v>
      </c>
      <c r="BE471" s="4" t="s">
        <v>241</v>
      </c>
      <c r="BI471" s="4" t="s">
        <v>253</v>
      </c>
      <c r="BJ471" s="5" t="s">
        <v>246</v>
      </c>
      <c r="BK471" s="4" t="s">
        <v>254</v>
      </c>
      <c r="BL471" s="4" t="s">
        <v>255</v>
      </c>
      <c r="BM471" s="4" t="s">
        <v>241</v>
      </c>
      <c r="BN471" s="6">
        <f>0</f>
        <v>0</v>
      </c>
      <c r="BO471" s="6">
        <f>0</f>
        <v>0</v>
      </c>
      <c r="BP471" s="4" t="s">
        <v>256</v>
      </c>
      <c r="BQ471" s="4" t="s">
        <v>257</v>
      </c>
      <c r="CE471" s="4" t="s">
        <v>241</v>
      </c>
      <c r="CF471" s="4" t="s">
        <v>241</v>
      </c>
      <c r="CJ471" s="4" t="s">
        <v>258</v>
      </c>
      <c r="CK471" s="4" t="s">
        <v>259</v>
      </c>
      <c r="CL471" s="4" t="s">
        <v>241</v>
      </c>
      <c r="CO471" s="5" t="s">
        <v>260</v>
      </c>
      <c r="CP471" s="4" t="s">
        <v>241</v>
      </c>
      <c r="CQ471" s="4" t="s">
        <v>261</v>
      </c>
      <c r="CR471" s="4" t="s">
        <v>241</v>
      </c>
      <c r="CS471" s="4" t="s">
        <v>241</v>
      </c>
      <c r="CT471" s="4">
        <v>0</v>
      </c>
      <c r="CU471" s="4" t="s">
        <v>262</v>
      </c>
      <c r="CV471" s="4" t="s">
        <v>263</v>
      </c>
      <c r="CW471" s="4" t="s">
        <v>263</v>
      </c>
      <c r="CX471" s="4" t="s">
        <v>264</v>
      </c>
      <c r="DA471" s="6">
        <f>12661</f>
        <v>12661</v>
      </c>
      <c r="DC471" s="4" t="s">
        <v>3160</v>
      </c>
      <c r="DD471" s="4" t="s">
        <v>241</v>
      </c>
      <c r="DF471" s="4" t="s">
        <v>287</v>
      </c>
      <c r="DG471" s="6">
        <f>0</f>
        <v>0</v>
      </c>
      <c r="DI471" s="4" t="s">
        <v>3167</v>
      </c>
      <c r="DJ471" s="4" t="s">
        <v>241</v>
      </c>
      <c r="DK471" s="4" t="s">
        <v>241</v>
      </c>
      <c r="DL471" s="4" t="s">
        <v>241</v>
      </c>
      <c r="DP471" s="4" t="s">
        <v>241</v>
      </c>
      <c r="DQ471" s="4" t="s">
        <v>241</v>
      </c>
      <c r="DR471" s="4" t="s">
        <v>241</v>
      </c>
      <c r="DS471" s="4" t="s">
        <v>241</v>
      </c>
      <c r="DV471" s="4" t="s">
        <v>4520</v>
      </c>
      <c r="DW471" s="4" t="s">
        <v>628</v>
      </c>
      <c r="HO471" s="4" t="s">
        <v>267</v>
      </c>
    </row>
    <row r="472" spans="1:223" ht="19.5" customHeight="1" x14ac:dyDescent="0.4">
      <c r="A472" s="4">
        <v>1</v>
      </c>
      <c r="B472" s="4" t="s">
        <v>239</v>
      </c>
      <c r="C472" s="4">
        <v>1334</v>
      </c>
      <c r="D472" s="4">
        <v>1</v>
      </c>
      <c r="E472" s="4">
        <v>1</v>
      </c>
      <c r="F472" s="4" t="s">
        <v>240</v>
      </c>
      <c r="G472" s="4" t="s">
        <v>241</v>
      </c>
      <c r="H472" s="4" t="s">
        <v>241</v>
      </c>
      <c r="I472" s="4" t="s">
        <v>4518</v>
      </c>
      <c r="J472" s="4" t="s">
        <v>3158</v>
      </c>
      <c r="K472" s="4" t="s">
        <v>251</v>
      </c>
      <c r="L472" s="4" t="s">
        <v>3180</v>
      </c>
      <c r="M472" s="5" t="s">
        <v>4544</v>
      </c>
      <c r="N472" s="6">
        <f>216</f>
        <v>216</v>
      </c>
      <c r="O472" s="4" t="s">
        <v>265</v>
      </c>
      <c r="P472" s="6">
        <f>2376</f>
        <v>2376</v>
      </c>
      <c r="Q472" s="6">
        <f>0</f>
        <v>0</v>
      </c>
      <c r="S472" s="6">
        <f>0</f>
        <v>0</v>
      </c>
      <c r="T472" s="6">
        <f>2376</f>
        <v>2376</v>
      </c>
      <c r="U472" s="5" t="s">
        <v>245</v>
      </c>
      <c r="V472" s="4" t="s">
        <v>270</v>
      </c>
      <c r="W472" s="4" t="s">
        <v>242</v>
      </c>
      <c r="X472" s="4" t="s">
        <v>243</v>
      </c>
      <c r="Y472" s="4" t="s">
        <v>241</v>
      </c>
      <c r="AB472" s="4" t="s">
        <v>241</v>
      </c>
      <c r="AD472" s="5" t="s">
        <v>241</v>
      </c>
      <c r="AG472" s="5" t="s">
        <v>246</v>
      </c>
      <c r="AH472" s="4" t="s">
        <v>241</v>
      </c>
      <c r="AI472" s="4" t="s">
        <v>247</v>
      </c>
      <c r="AJ472" s="4" t="s">
        <v>248</v>
      </c>
      <c r="AZ472" s="4" t="s">
        <v>249</v>
      </c>
      <c r="BA472" s="4" t="s">
        <v>241</v>
      </c>
      <c r="BB472" s="4" t="s">
        <v>250</v>
      </c>
      <c r="BC472" s="4" t="s">
        <v>241</v>
      </c>
      <c r="BD472" s="4" t="s">
        <v>252</v>
      </c>
      <c r="BE472" s="4" t="s">
        <v>241</v>
      </c>
      <c r="BI472" s="4" t="s">
        <v>253</v>
      </c>
      <c r="BJ472" s="5" t="s">
        <v>246</v>
      </c>
      <c r="BK472" s="4" t="s">
        <v>254</v>
      </c>
      <c r="BL472" s="4" t="s">
        <v>255</v>
      </c>
      <c r="BM472" s="4" t="s">
        <v>241</v>
      </c>
      <c r="BN472" s="6">
        <f>0</f>
        <v>0</v>
      </c>
      <c r="BO472" s="6">
        <f>0</f>
        <v>0</v>
      </c>
      <c r="BP472" s="4" t="s">
        <v>256</v>
      </c>
      <c r="BQ472" s="4" t="s">
        <v>257</v>
      </c>
      <c r="CE472" s="4" t="s">
        <v>241</v>
      </c>
      <c r="CF472" s="4" t="s">
        <v>241</v>
      </c>
      <c r="CJ472" s="4" t="s">
        <v>258</v>
      </c>
      <c r="CK472" s="4" t="s">
        <v>259</v>
      </c>
      <c r="CL472" s="4" t="s">
        <v>241</v>
      </c>
      <c r="CO472" s="5" t="s">
        <v>260</v>
      </c>
      <c r="CP472" s="4" t="s">
        <v>241</v>
      </c>
      <c r="CQ472" s="4" t="s">
        <v>261</v>
      </c>
      <c r="CR472" s="4" t="s">
        <v>241</v>
      </c>
      <c r="CS472" s="4" t="s">
        <v>241</v>
      </c>
      <c r="CT472" s="4">
        <v>0</v>
      </c>
      <c r="CU472" s="4" t="s">
        <v>262</v>
      </c>
      <c r="CV472" s="4" t="s">
        <v>263</v>
      </c>
      <c r="CW472" s="4" t="s">
        <v>263</v>
      </c>
      <c r="CX472" s="4" t="s">
        <v>264</v>
      </c>
      <c r="DA472" s="6">
        <f>2376</f>
        <v>2376</v>
      </c>
      <c r="DC472" s="4" t="s">
        <v>3160</v>
      </c>
      <c r="DD472" s="4" t="s">
        <v>241</v>
      </c>
      <c r="DF472" s="4" t="s">
        <v>287</v>
      </c>
      <c r="DG472" s="6">
        <f>0</f>
        <v>0</v>
      </c>
      <c r="DI472" s="4" t="s">
        <v>3167</v>
      </c>
      <c r="DJ472" s="4" t="s">
        <v>241</v>
      </c>
      <c r="DK472" s="4" t="s">
        <v>241</v>
      </c>
      <c r="DL472" s="4" t="s">
        <v>241</v>
      </c>
      <c r="DP472" s="4" t="s">
        <v>241</v>
      </c>
      <c r="DQ472" s="4" t="s">
        <v>241</v>
      </c>
      <c r="DR472" s="4" t="s">
        <v>241</v>
      </c>
      <c r="DS472" s="4" t="s">
        <v>241</v>
      </c>
      <c r="DV472" s="4" t="s">
        <v>4520</v>
      </c>
      <c r="DW472" s="4" t="s">
        <v>597</v>
      </c>
      <c r="HO472" s="4" t="s">
        <v>267</v>
      </c>
    </row>
    <row r="473" spans="1:223" ht="19.5" customHeight="1" x14ac:dyDescent="0.4">
      <c r="A473" s="4">
        <v>1</v>
      </c>
      <c r="B473" s="4" t="s">
        <v>239</v>
      </c>
      <c r="C473" s="4">
        <v>1335</v>
      </c>
      <c r="D473" s="4">
        <v>1</v>
      </c>
      <c r="E473" s="4">
        <v>1</v>
      </c>
      <c r="F473" s="4" t="s">
        <v>240</v>
      </c>
      <c r="G473" s="4" t="s">
        <v>241</v>
      </c>
      <c r="H473" s="4" t="s">
        <v>241</v>
      </c>
      <c r="I473" s="4" t="s">
        <v>4518</v>
      </c>
      <c r="J473" s="4" t="s">
        <v>3158</v>
      </c>
      <c r="K473" s="4" t="s">
        <v>251</v>
      </c>
      <c r="L473" s="4" t="s">
        <v>3180</v>
      </c>
      <c r="M473" s="5" t="s">
        <v>5439</v>
      </c>
      <c r="N473" s="6">
        <f>1594</f>
        <v>1594</v>
      </c>
      <c r="O473" s="4" t="s">
        <v>265</v>
      </c>
      <c r="P473" s="6">
        <f>17534</f>
        <v>17534</v>
      </c>
      <c r="Q473" s="6">
        <f>0</f>
        <v>0</v>
      </c>
      <c r="S473" s="6">
        <f>0</f>
        <v>0</v>
      </c>
      <c r="T473" s="6">
        <f>17534</f>
        <v>17534</v>
      </c>
      <c r="U473" s="5" t="s">
        <v>245</v>
      </c>
      <c r="V473" s="4" t="s">
        <v>270</v>
      </c>
      <c r="W473" s="4" t="s">
        <v>242</v>
      </c>
      <c r="X473" s="4" t="s">
        <v>243</v>
      </c>
      <c r="Y473" s="4" t="s">
        <v>241</v>
      </c>
      <c r="AB473" s="4" t="s">
        <v>241</v>
      </c>
      <c r="AD473" s="5" t="s">
        <v>241</v>
      </c>
      <c r="AG473" s="5" t="s">
        <v>246</v>
      </c>
      <c r="AH473" s="4" t="s">
        <v>241</v>
      </c>
      <c r="AI473" s="4" t="s">
        <v>247</v>
      </c>
      <c r="AJ473" s="4" t="s">
        <v>248</v>
      </c>
      <c r="AZ473" s="4" t="s">
        <v>249</v>
      </c>
      <c r="BA473" s="4" t="s">
        <v>241</v>
      </c>
      <c r="BB473" s="4" t="s">
        <v>250</v>
      </c>
      <c r="BC473" s="4" t="s">
        <v>241</v>
      </c>
      <c r="BD473" s="4" t="s">
        <v>252</v>
      </c>
      <c r="BE473" s="4" t="s">
        <v>241</v>
      </c>
      <c r="BI473" s="4" t="s">
        <v>253</v>
      </c>
      <c r="BJ473" s="5" t="s">
        <v>246</v>
      </c>
      <c r="BK473" s="4" t="s">
        <v>254</v>
      </c>
      <c r="BL473" s="4" t="s">
        <v>255</v>
      </c>
      <c r="BM473" s="4" t="s">
        <v>241</v>
      </c>
      <c r="BN473" s="6">
        <f>0</f>
        <v>0</v>
      </c>
      <c r="BO473" s="6">
        <f>0</f>
        <v>0</v>
      </c>
      <c r="BP473" s="4" t="s">
        <v>256</v>
      </c>
      <c r="BQ473" s="4" t="s">
        <v>257</v>
      </c>
      <c r="CE473" s="4" t="s">
        <v>241</v>
      </c>
      <c r="CF473" s="4" t="s">
        <v>241</v>
      </c>
      <c r="CJ473" s="4" t="s">
        <v>258</v>
      </c>
      <c r="CK473" s="4" t="s">
        <v>259</v>
      </c>
      <c r="CL473" s="4" t="s">
        <v>241</v>
      </c>
      <c r="CO473" s="5" t="s">
        <v>260</v>
      </c>
      <c r="CP473" s="4" t="s">
        <v>241</v>
      </c>
      <c r="CQ473" s="4" t="s">
        <v>261</v>
      </c>
      <c r="CR473" s="4" t="s">
        <v>241</v>
      </c>
      <c r="CS473" s="4" t="s">
        <v>241</v>
      </c>
      <c r="CT473" s="4">
        <v>0</v>
      </c>
      <c r="CU473" s="4" t="s">
        <v>262</v>
      </c>
      <c r="CV473" s="4" t="s">
        <v>263</v>
      </c>
      <c r="CW473" s="4" t="s">
        <v>263</v>
      </c>
      <c r="CX473" s="4" t="s">
        <v>264</v>
      </c>
      <c r="DA473" s="6">
        <f>17534</f>
        <v>17534</v>
      </c>
      <c r="DC473" s="4" t="s">
        <v>3160</v>
      </c>
      <c r="DD473" s="4" t="s">
        <v>241</v>
      </c>
      <c r="DF473" s="4" t="s">
        <v>287</v>
      </c>
      <c r="DG473" s="6">
        <f>0</f>
        <v>0</v>
      </c>
      <c r="DI473" s="4" t="s">
        <v>3167</v>
      </c>
      <c r="DJ473" s="4" t="s">
        <v>241</v>
      </c>
      <c r="DK473" s="4" t="s">
        <v>241</v>
      </c>
      <c r="DL473" s="4" t="s">
        <v>241</v>
      </c>
      <c r="DP473" s="4" t="s">
        <v>241</v>
      </c>
      <c r="DQ473" s="4" t="s">
        <v>241</v>
      </c>
      <c r="DR473" s="4" t="s">
        <v>241</v>
      </c>
      <c r="DS473" s="4" t="s">
        <v>241</v>
      </c>
      <c r="DV473" s="4" t="s">
        <v>4520</v>
      </c>
      <c r="DW473" s="4" t="s">
        <v>1792</v>
      </c>
      <c r="HO473" s="4" t="s">
        <v>267</v>
      </c>
    </row>
    <row r="474" spans="1:223" ht="19.5" customHeight="1" x14ac:dyDescent="0.4">
      <c r="A474" s="4">
        <v>1</v>
      </c>
      <c r="B474" s="4" t="s">
        <v>239</v>
      </c>
      <c r="C474" s="4">
        <v>1336</v>
      </c>
      <c r="D474" s="4">
        <v>1</v>
      </c>
      <c r="E474" s="4">
        <v>1</v>
      </c>
      <c r="F474" s="4" t="s">
        <v>240</v>
      </c>
      <c r="G474" s="4" t="s">
        <v>241</v>
      </c>
      <c r="H474" s="4" t="s">
        <v>241</v>
      </c>
      <c r="I474" s="4" t="s">
        <v>4518</v>
      </c>
      <c r="J474" s="4" t="s">
        <v>3158</v>
      </c>
      <c r="K474" s="4" t="s">
        <v>251</v>
      </c>
      <c r="L474" s="4" t="s">
        <v>3180</v>
      </c>
      <c r="M474" s="5" t="s">
        <v>4546</v>
      </c>
      <c r="N474" s="6">
        <f>97</f>
        <v>97</v>
      </c>
      <c r="O474" s="4" t="s">
        <v>265</v>
      </c>
      <c r="P474" s="6">
        <f>1067</f>
        <v>1067</v>
      </c>
      <c r="Q474" s="6">
        <f>0</f>
        <v>0</v>
      </c>
      <c r="S474" s="6">
        <f>0</f>
        <v>0</v>
      </c>
      <c r="T474" s="6">
        <f>1067</f>
        <v>1067</v>
      </c>
      <c r="U474" s="5" t="s">
        <v>245</v>
      </c>
      <c r="V474" s="4" t="s">
        <v>270</v>
      </c>
      <c r="W474" s="4" t="s">
        <v>242</v>
      </c>
      <c r="X474" s="4" t="s">
        <v>243</v>
      </c>
      <c r="Y474" s="4" t="s">
        <v>241</v>
      </c>
      <c r="AB474" s="4" t="s">
        <v>241</v>
      </c>
      <c r="AD474" s="5" t="s">
        <v>241</v>
      </c>
      <c r="AG474" s="5" t="s">
        <v>246</v>
      </c>
      <c r="AH474" s="4" t="s">
        <v>241</v>
      </c>
      <c r="AI474" s="4" t="s">
        <v>247</v>
      </c>
      <c r="AJ474" s="4" t="s">
        <v>248</v>
      </c>
      <c r="AZ474" s="4" t="s">
        <v>249</v>
      </c>
      <c r="BA474" s="4" t="s">
        <v>241</v>
      </c>
      <c r="BB474" s="4" t="s">
        <v>250</v>
      </c>
      <c r="BC474" s="4" t="s">
        <v>241</v>
      </c>
      <c r="BD474" s="4" t="s">
        <v>252</v>
      </c>
      <c r="BE474" s="4" t="s">
        <v>241</v>
      </c>
      <c r="BI474" s="4" t="s">
        <v>253</v>
      </c>
      <c r="BJ474" s="5" t="s">
        <v>246</v>
      </c>
      <c r="BK474" s="4" t="s">
        <v>254</v>
      </c>
      <c r="BL474" s="4" t="s">
        <v>255</v>
      </c>
      <c r="BM474" s="4" t="s">
        <v>241</v>
      </c>
      <c r="BN474" s="6">
        <f>0</f>
        <v>0</v>
      </c>
      <c r="BO474" s="6">
        <f>0</f>
        <v>0</v>
      </c>
      <c r="BP474" s="4" t="s">
        <v>256</v>
      </c>
      <c r="BQ474" s="4" t="s">
        <v>257</v>
      </c>
      <c r="CE474" s="4" t="s">
        <v>241</v>
      </c>
      <c r="CF474" s="4" t="s">
        <v>241</v>
      </c>
      <c r="CJ474" s="4" t="s">
        <v>258</v>
      </c>
      <c r="CK474" s="4" t="s">
        <v>259</v>
      </c>
      <c r="CL474" s="4" t="s">
        <v>241</v>
      </c>
      <c r="CO474" s="5" t="s">
        <v>260</v>
      </c>
      <c r="CP474" s="4" t="s">
        <v>241</v>
      </c>
      <c r="CQ474" s="4" t="s">
        <v>261</v>
      </c>
      <c r="CR474" s="4" t="s">
        <v>241</v>
      </c>
      <c r="CS474" s="4" t="s">
        <v>241</v>
      </c>
      <c r="CT474" s="4">
        <v>0</v>
      </c>
      <c r="CU474" s="4" t="s">
        <v>262</v>
      </c>
      <c r="CV474" s="4" t="s">
        <v>263</v>
      </c>
      <c r="CW474" s="4" t="s">
        <v>263</v>
      </c>
      <c r="CX474" s="4" t="s">
        <v>264</v>
      </c>
      <c r="DA474" s="6">
        <f>1067</f>
        <v>1067</v>
      </c>
      <c r="DC474" s="4" t="s">
        <v>3160</v>
      </c>
      <c r="DD474" s="4" t="s">
        <v>241</v>
      </c>
      <c r="DF474" s="4" t="s">
        <v>287</v>
      </c>
      <c r="DG474" s="6">
        <f>0</f>
        <v>0</v>
      </c>
      <c r="DI474" s="4" t="s">
        <v>3167</v>
      </c>
      <c r="DJ474" s="4" t="s">
        <v>241</v>
      </c>
      <c r="DK474" s="4" t="s">
        <v>241</v>
      </c>
      <c r="DL474" s="4" t="s">
        <v>241</v>
      </c>
      <c r="DP474" s="4" t="s">
        <v>241</v>
      </c>
      <c r="DQ474" s="4" t="s">
        <v>241</v>
      </c>
      <c r="DR474" s="4" t="s">
        <v>241</v>
      </c>
      <c r="DS474" s="4" t="s">
        <v>241</v>
      </c>
      <c r="DV474" s="4" t="s">
        <v>4520</v>
      </c>
      <c r="DW474" s="4" t="s">
        <v>1789</v>
      </c>
      <c r="HO474" s="4" t="s">
        <v>267</v>
      </c>
    </row>
    <row r="475" spans="1:223" ht="19.5" customHeight="1" x14ac:dyDescent="0.4">
      <c r="A475" s="4">
        <v>1</v>
      </c>
      <c r="B475" s="4" t="s">
        <v>239</v>
      </c>
      <c r="C475" s="4">
        <v>1337</v>
      </c>
      <c r="D475" s="4">
        <v>1</v>
      </c>
      <c r="E475" s="4">
        <v>1</v>
      </c>
      <c r="F475" s="4" t="s">
        <v>240</v>
      </c>
      <c r="G475" s="4" t="s">
        <v>241</v>
      </c>
      <c r="H475" s="4" t="s">
        <v>241</v>
      </c>
      <c r="I475" s="4" t="s">
        <v>4518</v>
      </c>
      <c r="J475" s="4" t="s">
        <v>3158</v>
      </c>
      <c r="K475" s="4" t="s">
        <v>251</v>
      </c>
      <c r="L475" s="4" t="s">
        <v>3180</v>
      </c>
      <c r="M475" s="5" t="s">
        <v>4547</v>
      </c>
      <c r="N475" s="6">
        <f>544</f>
        <v>544</v>
      </c>
      <c r="O475" s="4" t="s">
        <v>265</v>
      </c>
      <c r="P475" s="6">
        <f>5984</f>
        <v>5984</v>
      </c>
      <c r="Q475" s="6">
        <f>0</f>
        <v>0</v>
      </c>
      <c r="S475" s="6">
        <f>0</f>
        <v>0</v>
      </c>
      <c r="T475" s="6">
        <f>5984</f>
        <v>5984</v>
      </c>
      <c r="U475" s="5" t="s">
        <v>245</v>
      </c>
      <c r="V475" s="4" t="s">
        <v>270</v>
      </c>
      <c r="W475" s="4" t="s">
        <v>242</v>
      </c>
      <c r="X475" s="4" t="s">
        <v>243</v>
      </c>
      <c r="Y475" s="4" t="s">
        <v>241</v>
      </c>
      <c r="AB475" s="4" t="s">
        <v>241</v>
      </c>
      <c r="AD475" s="5" t="s">
        <v>241</v>
      </c>
      <c r="AG475" s="5" t="s">
        <v>246</v>
      </c>
      <c r="AH475" s="4" t="s">
        <v>241</v>
      </c>
      <c r="AI475" s="4" t="s">
        <v>247</v>
      </c>
      <c r="AJ475" s="4" t="s">
        <v>248</v>
      </c>
      <c r="AZ475" s="4" t="s">
        <v>249</v>
      </c>
      <c r="BA475" s="4" t="s">
        <v>241</v>
      </c>
      <c r="BB475" s="4" t="s">
        <v>250</v>
      </c>
      <c r="BC475" s="4" t="s">
        <v>241</v>
      </c>
      <c r="BD475" s="4" t="s">
        <v>252</v>
      </c>
      <c r="BE475" s="4" t="s">
        <v>241</v>
      </c>
      <c r="BI475" s="4" t="s">
        <v>253</v>
      </c>
      <c r="BJ475" s="5" t="s">
        <v>246</v>
      </c>
      <c r="BK475" s="4" t="s">
        <v>254</v>
      </c>
      <c r="BL475" s="4" t="s">
        <v>255</v>
      </c>
      <c r="BM475" s="4" t="s">
        <v>241</v>
      </c>
      <c r="BN475" s="6">
        <f>0</f>
        <v>0</v>
      </c>
      <c r="BO475" s="6">
        <f>0</f>
        <v>0</v>
      </c>
      <c r="BP475" s="4" t="s">
        <v>256</v>
      </c>
      <c r="BQ475" s="4" t="s">
        <v>257</v>
      </c>
      <c r="CE475" s="4" t="s">
        <v>241</v>
      </c>
      <c r="CF475" s="4" t="s">
        <v>241</v>
      </c>
      <c r="CJ475" s="4" t="s">
        <v>258</v>
      </c>
      <c r="CK475" s="4" t="s">
        <v>259</v>
      </c>
      <c r="CL475" s="4" t="s">
        <v>241</v>
      </c>
      <c r="CO475" s="5" t="s">
        <v>260</v>
      </c>
      <c r="CP475" s="4" t="s">
        <v>241</v>
      </c>
      <c r="CQ475" s="4" t="s">
        <v>261</v>
      </c>
      <c r="CR475" s="4" t="s">
        <v>241</v>
      </c>
      <c r="CS475" s="4" t="s">
        <v>241</v>
      </c>
      <c r="CT475" s="4">
        <v>0</v>
      </c>
      <c r="CU475" s="4" t="s">
        <v>262</v>
      </c>
      <c r="CV475" s="4" t="s">
        <v>263</v>
      </c>
      <c r="CW475" s="4" t="s">
        <v>263</v>
      </c>
      <c r="CX475" s="4" t="s">
        <v>264</v>
      </c>
      <c r="DA475" s="6">
        <f>5984</f>
        <v>5984</v>
      </c>
      <c r="DC475" s="4" t="s">
        <v>3160</v>
      </c>
      <c r="DD475" s="4" t="s">
        <v>241</v>
      </c>
      <c r="DF475" s="4" t="s">
        <v>287</v>
      </c>
      <c r="DG475" s="6">
        <f>0</f>
        <v>0</v>
      </c>
      <c r="DI475" s="4" t="s">
        <v>3167</v>
      </c>
      <c r="DJ475" s="4" t="s">
        <v>241</v>
      </c>
      <c r="DK475" s="4" t="s">
        <v>241</v>
      </c>
      <c r="DL475" s="4" t="s">
        <v>241</v>
      </c>
      <c r="DP475" s="4" t="s">
        <v>241</v>
      </c>
      <c r="DQ475" s="4" t="s">
        <v>241</v>
      </c>
      <c r="DR475" s="4" t="s">
        <v>241</v>
      </c>
      <c r="DS475" s="4" t="s">
        <v>241</v>
      </c>
      <c r="DV475" s="4" t="s">
        <v>4520</v>
      </c>
      <c r="DW475" s="4" t="s">
        <v>1787</v>
      </c>
      <c r="HO475" s="4" t="s">
        <v>267</v>
      </c>
    </row>
    <row r="476" spans="1:223" ht="19.5" customHeight="1" x14ac:dyDescent="0.4">
      <c r="A476" s="4">
        <v>1</v>
      </c>
      <c r="B476" s="4" t="s">
        <v>239</v>
      </c>
      <c r="C476" s="4">
        <v>1338</v>
      </c>
      <c r="D476" s="4">
        <v>1</v>
      </c>
      <c r="E476" s="4">
        <v>1</v>
      </c>
      <c r="F476" s="4" t="s">
        <v>240</v>
      </c>
      <c r="G476" s="4" t="s">
        <v>241</v>
      </c>
      <c r="H476" s="4" t="s">
        <v>241</v>
      </c>
      <c r="I476" s="4" t="s">
        <v>4518</v>
      </c>
      <c r="J476" s="4" t="s">
        <v>3158</v>
      </c>
      <c r="K476" s="4" t="s">
        <v>251</v>
      </c>
      <c r="L476" s="4" t="s">
        <v>3180</v>
      </c>
      <c r="M476" s="5" t="s">
        <v>4548</v>
      </c>
      <c r="N476" s="6">
        <f>606</f>
        <v>606</v>
      </c>
      <c r="O476" s="4" t="s">
        <v>265</v>
      </c>
      <c r="P476" s="6">
        <f>6666</f>
        <v>6666</v>
      </c>
      <c r="Q476" s="6">
        <f>0</f>
        <v>0</v>
      </c>
      <c r="S476" s="6">
        <f>0</f>
        <v>0</v>
      </c>
      <c r="T476" s="6">
        <f>6666</f>
        <v>6666</v>
      </c>
      <c r="U476" s="5" t="s">
        <v>245</v>
      </c>
      <c r="V476" s="4" t="s">
        <v>270</v>
      </c>
      <c r="W476" s="4" t="s">
        <v>242</v>
      </c>
      <c r="X476" s="4" t="s">
        <v>243</v>
      </c>
      <c r="Y476" s="4" t="s">
        <v>241</v>
      </c>
      <c r="AB476" s="4" t="s">
        <v>241</v>
      </c>
      <c r="AD476" s="5" t="s">
        <v>241</v>
      </c>
      <c r="AG476" s="5" t="s">
        <v>246</v>
      </c>
      <c r="AH476" s="4" t="s">
        <v>241</v>
      </c>
      <c r="AI476" s="4" t="s">
        <v>247</v>
      </c>
      <c r="AJ476" s="4" t="s">
        <v>248</v>
      </c>
      <c r="AZ476" s="4" t="s">
        <v>249</v>
      </c>
      <c r="BA476" s="4" t="s">
        <v>241</v>
      </c>
      <c r="BB476" s="4" t="s">
        <v>250</v>
      </c>
      <c r="BC476" s="4" t="s">
        <v>241</v>
      </c>
      <c r="BD476" s="4" t="s">
        <v>252</v>
      </c>
      <c r="BE476" s="4" t="s">
        <v>241</v>
      </c>
      <c r="BI476" s="4" t="s">
        <v>253</v>
      </c>
      <c r="BJ476" s="5" t="s">
        <v>246</v>
      </c>
      <c r="BK476" s="4" t="s">
        <v>254</v>
      </c>
      <c r="BL476" s="4" t="s">
        <v>255</v>
      </c>
      <c r="BM476" s="4" t="s">
        <v>241</v>
      </c>
      <c r="BN476" s="6">
        <f>0</f>
        <v>0</v>
      </c>
      <c r="BO476" s="6">
        <f>0</f>
        <v>0</v>
      </c>
      <c r="BP476" s="4" t="s">
        <v>256</v>
      </c>
      <c r="BQ476" s="4" t="s">
        <v>257</v>
      </c>
      <c r="CE476" s="4" t="s">
        <v>241</v>
      </c>
      <c r="CF476" s="4" t="s">
        <v>241</v>
      </c>
      <c r="CJ476" s="4" t="s">
        <v>258</v>
      </c>
      <c r="CK476" s="4" t="s">
        <v>259</v>
      </c>
      <c r="CL476" s="4" t="s">
        <v>241</v>
      </c>
      <c r="CO476" s="5" t="s">
        <v>260</v>
      </c>
      <c r="CP476" s="4" t="s">
        <v>241</v>
      </c>
      <c r="CQ476" s="4" t="s">
        <v>261</v>
      </c>
      <c r="CR476" s="4" t="s">
        <v>241</v>
      </c>
      <c r="CS476" s="4" t="s">
        <v>241</v>
      </c>
      <c r="CT476" s="4">
        <v>0</v>
      </c>
      <c r="CU476" s="4" t="s">
        <v>262</v>
      </c>
      <c r="CV476" s="4" t="s">
        <v>263</v>
      </c>
      <c r="CW476" s="4" t="s">
        <v>263</v>
      </c>
      <c r="CX476" s="4" t="s">
        <v>264</v>
      </c>
      <c r="DA476" s="6">
        <f>6666</f>
        <v>6666</v>
      </c>
      <c r="DC476" s="4" t="s">
        <v>287</v>
      </c>
      <c r="DD476" s="4" t="s">
        <v>241</v>
      </c>
      <c r="DF476" s="4" t="s">
        <v>287</v>
      </c>
      <c r="DG476" s="6">
        <f>0</f>
        <v>0</v>
      </c>
      <c r="DI476" s="4" t="s">
        <v>3167</v>
      </c>
      <c r="DJ476" s="4" t="s">
        <v>241</v>
      </c>
      <c r="DK476" s="4" t="s">
        <v>241</v>
      </c>
      <c r="DL476" s="4" t="s">
        <v>241</v>
      </c>
      <c r="DP476" s="4" t="s">
        <v>241</v>
      </c>
      <c r="DQ476" s="4" t="s">
        <v>241</v>
      </c>
      <c r="DR476" s="4" t="s">
        <v>241</v>
      </c>
      <c r="DS476" s="4" t="s">
        <v>241</v>
      </c>
      <c r="DV476" s="4" t="s">
        <v>4520</v>
      </c>
      <c r="DW476" s="4" t="s">
        <v>1785</v>
      </c>
      <c r="HO476" s="4" t="s">
        <v>267</v>
      </c>
    </row>
    <row r="477" spans="1:223" ht="19.5" customHeight="1" x14ac:dyDescent="0.4">
      <c r="A477" s="4">
        <v>1</v>
      </c>
      <c r="B477" s="4" t="s">
        <v>239</v>
      </c>
      <c r="C477" s="4">
        <v>1339</v>
      </c>
      <c r="D477" s="4">
        <v>1</v>
      </c>
      <c r="E477" s="4">
        <v>1</v>
      </c>
      <c r="F477" s="4" t="s">
        <v>240</v>
      </c>
      <c r="G477" s="4" t="s">
        <v>241</v>
      </c>
      <c r="H477" s="4" t="s">
        <v>241</v>
      </c>
      <c r="I477" s="4" t="s">
        <v>4518</v>
      </c>
      <c r="J477" s="4" t="s">
        <v>3158</v>
      </c>
      <c r="K477" s="4" t="s">
        <v>251</v>
      </c>
      <c r="L477" s="4" t="s">
        <v>3180</v>
      </c>
      <c r="M477" s="5" t="s">
        <v>4549</v>
      </c>
      <c r="N477" s="6">
        <f>5470</f>
        <v>5470</v>
      </c>
      <c r="O477" s="4" t="s">
        <v>265</v>
      </c>
      <c r="P477" s="6">
        <f>60170</f>
        <v>60170</v>
      </c>
      <c r="Q477" s="6">
        <f>0</f>
        <v>0</v>
      </c>
      <c r="S477" s="6">
        <f>0</f>
        <v>0</v>
      </c>
      <c r="T477" s="6">
        <f>60170</f>
        <v>60170</v>
      </c>
      <c r="U477" s="5" t="s">
        <v>245</v>
      </c>
      <c r="V477" s="4" t="s">
        <v>270</v>
      </c>
      <c r="W477" s="4" t="s">
        <v>242</v>
      </c>
      <c r="X477" s="4" t="s">
        <v>243</v>
      </c>
      <c r="Y477" s="4" t="s">
        <v>241</v>
      </c>
      <c r="AB477" s="4" t="s">
        <v>241</v>
      </c>
      <c r="AD477" s="5" t="s">
        <v>241</v>
      </c>
      <c r="AG477" s="5" t="s">
        <v>246</v>
      </c>
      <c r="AH477" s="4" t="s">
        <v>241</v>
      </c>
      <c r="AI477" s="4" t="s">
        <v>247</v>
      </c>
      <c r="AJ477" s="4" t="s">
        <v>248</v>
      </c>
      <c r="AZ477" s="4" t="s">
        <v>249</v>
      </c>
      <c r="BA477" s="4" t="s">
        <v>241</v>
      </c>
      <c r="BB477" s="4" t="s">
        <v>250</v>
      </c>
      <c r="BC477" s="4" t="s">
        <v>241</v>
      </c>
      <c r="BD477" s="4" t="s">
        <v>252</v>
      </c>
      <c r="BE477" s="4" t="s">
        <v>241</v>
      </c>
      <c r="BI477" s="4" t="s">
        <v>253</v>
      </c>
      <c r="BJ477" s="5" t="s">
        <v>246</v>
      </c>
      <c r="BK477" s="4" t="s">
        <v>254</v>
      </c>
      <c r="BL477" s="4" t="s">
        <v>255</v>
      </c>
      <c r="BM477" s="4" t="s">
        <v>241</v>
      </c>
      <c r="BN477" s="6">
        <f>0</f>
        <v>0</v>
      </c>
      <c r="BO477" s="6">
        <f>0</f>
        <v>0</v>
      </c>
      <c r="BP477" s="4" t="s">
        <v>256</v>
      </c>
      <c r="BQ477" s="4" t="s">
        <v>257</v>
      </c>
      <c r="CE477" s="4" t="s">
        <v>241</v>
      </c>
      <c r="CF477" s="4" t="s">
        <v>241</v>
      </c>
      <c r="CJ477" s="4" t="s">
        <v>258</v>
      </c>
      <c r="CK477" s="4" t="s">
        <v>259</v>
      </c>
      <c r="CL477" s="4" t="s">
        <v>241</v>
      </c>
      <c r="CO477" s="5" t="s">
        <v>260</v>
      </c>
      <c r="CP477" s="4" t="s">
        <v>241</v>
      </c>
      <c r="CQ477" s="4" t="s">
        <v>261</v>
      </c>
      <c r="CR477" s="4" t="s">
        <v>241</v>
      </c>
      <c r="CS477" s="4" t="s">
        <v>241</v>
      </c>
      <c r="CT477" s="4">
        <v>0</v>
      </c>
      <c r="CU477" s="4" t="s">
        <v>262</v>
      </c>
      <c r="CV477" s="4" t="s">
        <v>263</v>
      </c>
      <c r="CW477" s="4" t="s">
        <v>263</v>
      </c>
      <c r="CX477" s="4" t="s">
        <v>264</v>
      </c>
      <c r="DA477" s="6">
        <f>60170</f>
        <v>60170</v>
      </c>
      <c r="DC477" s="4" t="s">
        <v>3160</v>
      </c>
      <c r="DD477" s="4" t="s">
        <v>241</v>
      </c>
      <c r="DF477" s="4" t="s">
        <v>287</v>
      </c>
      <c r="DG477" s="6">
        <f>0</f>
        <v>0</v>
      </c>
      <c r="DI477" s="4" t="s">
        <v>3167</v>
      </c>
      <c r="DJ477" s="4" t="s">
        <v>241</v>
      </c>
      <c r="DK477" s="4" t="s">
        <v>241</v>
      </c>
      <c r="DL477" s="4" t="s">
        <v>241</v>
      </c>
      <c r="DP477" s="4" t="s">
        <v>241</v>
      </c>
      <c r="DQ477" s="4" t="s">
        <v>241</v>
      </c>
      <c r="DR477" s="4" t="s">
        <v>241</v>
      </c>
      <c r="DS477" s="4" t="s">
        <v>241</v>
      </c>
      <c r="DV477" s="4" t="s">
        <v>4520</v>
      </c>
      <c r="DW477" s="4" t="s">
        <v>1781</v>
      </c>
      <c r="HO477" s="4" t="s">
        <v>267</v>
      </c>
    </row>
    <row r="478" spans="1:223" ht="19.5" customHeight="1" x14ac:dyDescent="0.4">
      <c r="A478" s="4">
        <v>1</v>
      </c>
      <c r="B478" s="4" t="s">
        <v>239</v>
      </c>
      <c r="C478" s="4">
        <v>1340</v>
      </c>
      <c r="D478" s="4">
        <v>1</v>
      </c>
      <c r="E478" s="4">
        <v>1</v>
      </c>
      <c r="F478" s="4" t="s">
        <v>240</v>
      </c>
      <c r="G478" s="4" t="s">
        <v>241</v>
      </c>
      <c r="H478" s="4" t="s">
        <v>241</v>
      </c>
      <c r="I478" s="4" t="s">
        <v>4518</v>
      </c>
      <c r="J478" s="4" t="s">
        <v>3158</v>
      </c>
      <c r="K478" s="4" t="s">
        <v>251</v>
      </c>
      <c r="L478" s="4" t="s">
        <v>3180</v>
      </c>
      <c r="M478" s="5" t="s">
        <v>4550</v>
      </c>
      <c r="N478" s="6">
        <f>886</f>
        <v>886</v>
      </c>
      <c r="O478" s="4" t="s">
        <v>265</v>
      </c>
      <c r="P478" s="6">
        <f>9746</f>
        <v>9746</v>
      </c>
      <c r="Q478" s="6">
        <f>0</f>
        <v>0</v>
      </c>
      <c r="S478" s="6">
        <f>0</f>
        <v>0</v>
      </c>
      <c r="T478" s="6">
        <f>9746</f>
        <v>9746</v>
      </c>
      <c r="U478" s="5" t="s">
        <v>245</v>
      </c>
      <c r="V478" s="4" t="s">
        <v>270</v>
      </c>
      <c r="W478" s="4" t="s">
        <v>242</v>
      </c>
      <c r="X478" s="4" t="s">
        <v>243</v>
      </c>
      <c r="Y478" s="4" t="s">
        <v>241</v>
      </c>
      <c r="AB478" s="4" t="s">
        <v>241</v>
      </c>
      <c r="AD478" s="5" t="s">
        <v>241</v>
      </c>
      <c r="AG478" s="5" t="s">
        <v>246</v>
      </c>
      <c r="AH478" s="4" t="s">
        <v>241</v>
      </c>
      <c r="AI478" s="4" t="s">
        <v>247</v>
      </c>
      <c r="AJ478" s="4" t="s">
        <v>248</v>
      </c>
      <c r="AZ478" s="4" t="s">
        <v>249</v>
      </c>
      <c r="BA478" s="4" t="s">
        <v>241</v>
      </c>
      <c r="BB478" s="4" t="s">
        <v>250</v>
      </c>
      <c r="BC478" s="4" t="s">
        <v>241</v>
      </c>
      <c r="BD478" s="4" t="s">
        <v>252</v>
      </c>
      <c r="BE478" s="4" t="s">
        <v>241</v>
      </c>
      <c r="BI478" s="4" t="s">
        <v>253</v>
      </c>
      <c r="BJ478" s="5" t="s">
        <v>246</v>
      </c>
      <c r="BK478" s="4" t="s">
        <v>254</v>
      </c>
      <c r="BL478" s="4" t="s">
        <v>255</v>
      </c>
      <c r="BM478" s="4" t="s">
        <v>241</v>
      </c>
      <c r="BN478" s="6">
        <f>0</f>
        <v>0</v>
      </c>
      <c r="BO478" s="6">
        <f>0</f>
        <v>0</v>
      </c>
      <c r="BP478" s="4" t="s">
        <v>256</v>
      </c>
      <c r="BQ478" s="4" t="s">
        <v>257</v>
      </c>
      <c r="CE478" s="4" t="s">
        <v>241</v>
      </c>
      <c r="CF478" s="4" t="s">
        <v>241</v>
      </c>
      <c r="CJ478" s="4" t="s">
        <v>258</v>
      </c>
      <c r="CK478" s="4" t="s">
        <v>259</v>
      </c>
      <c r="CL478" s="4" t="s">
        <v>241</v>
      </c>
      <c r="CO478" s="5" t="s">
        <v>260</v>
      </c>
      <c r="CP478" s="4" t="s">
        <v>241</v>
      </c>
      <c r="CQ478" s="4" t="s">
        <v>261</v>
      </c>
      <c r="CR478" s="4" t="s">
        <v>241</v>
      </c>
      <c r="CS478" s="4" t="s">
        <v>241</v>
      </c>
      <c r="CT478" s="4">
        <v>0</v>
      </c>
      <c r="CU478" s="4" t="s">
        <v>262</v>
      </c>
      <c r="CV478" s="4" t="s">
        <v>263</v>
      </c>
      <c r="CW478" s="4" t="s">
        <v>263</v>
      </c>
      <c r="CX478" s="4" t="s">
        <v>264</v>
      </c>
      <c r="DA478" s="6">
        <f>9746</f>
        <v>9746</v>
      </c>
      <c r="DC478" s="4" t="s">
        <v>3160</v>
      </c>
      <c r="DD478" s="4" t="s">
        <v>241</v>
      </c>
      <c r="DF478" s="4" t="s">
        <v>287</v>
      </c>
      <c r="DG478" s="6">
        <f>0</f>
        <v>0</v>
      </c>
      <c r="DI478" s="4" t="s">
        <v>3167</v>
      </c>
      <c r="DJ478" s="4" t="s">
        <v>241</v>
      </c>
      <c r="DK478" s="4" t="s">
        <v>241</v>
      </c>
      <c r="DL478" s="4" t="s">
        <v>241</v>
      </c>
      <c r="DP478" s="4" t="s">
        <v>241</v>
      </c>
      <c r="DQ478" s="4" t="s">
        <v>241</v>
      </c>
      <c r="DR478" s="4" t="s">
        <v>241</v>
      </c>
      <c r="DS478" s="4" t="s">
        <v>241</v>
      </c>
      <c r="DV478" s="4" t="s">
        <v>4520</v>
      </c>
      <c r="DW478" s="4" t="s">
        <v>2564</v>
      </c>
      <c r="HO478" s="4" t="s">
        <v>267</v>
      </c>
    </row>
    <row r="479" spans="1:223" ht="19.5" customHeight="1" x14ac:dyDescent="0.4">
      <c r="A479" s="4">
        <v>1</v>
      </c>
      <c r="B479" s="4" t="s">
        <v>239</v>
      </c>
      <c r="C479" s="4">
        <v>1341</v>
      </c>
      <c r="D479" s="4">
        <v>1</v>
      </c>
      <c r="E479" s="4">
        <v>1</v>
      </c>
      <c r="F479" s="4" t="s">
        <v>240</v>
      </c>
      <c r="G479" s="4" t="s">
        <v>241</v>
      </c>
      <c r="H479" s="4" t="s">
        <v>241</v>
      </c>
      <c r="I479" s="4" t="s">
        <v>4518</v>
      </c>
      <c r="J479" s="4" t="s">
        <v>3158</v>
      </c>
      <c r="K479" s="4" t="s">
        <v>251</v>
      </c>
      <c r="L479" s="4" t="s">
        <v>3180</v>
      </c>
      <c r="M479" s="5" t="s">
        <v>4551</v>
      </c>
      <c r="N479" s="6">
        <f>383</f>
        <v>383</v>
      </c>
      <c r="O479" s="4" t="s">
        <v>265</v>
      </c>
      <c r="P479" s="6">
        <f>4213</f>
        <v>4213</v>
      </c>
      <c r="Q479" s="6">
        <f>0</f>
        <v>0</v>
      </c>
      <c r="S479" s="6">
        <f>0</f>
        <v>0</v>
      </c>
      <c r="T479" s="6">
        <f>4213</f>
        <v>4213</v>
      </c>
      <c r="U479" s="5" t="s">
        <v>245</v>
      </c>
      <c r="V479" s="4" t="s">
        <v>270</v>
      </c>
      <c r="W479" s="4" t="s">
        <v>242</v>
      </c>
      <c r="X479" s="4" t="s">
        <v>243</v>
      </c>
      <c r="Y479" s="4" t="s">
        <v>241</v>
      </c>
      <c r="AB479" s="4" t="s">
        <v>241</v>
      </c>
      <c r="AD479" s="5" t="s">
        <v>241</v>
      </c>
      <c r="AG479" s="5" t="s">
        <v>246</v>
      </c>
      <c r="AH479" s="4" t="s">
        <v>241</v>
      </c>
      <c r="AI479" s="4" t="s">
        <v>247</v>
      </c>
      <c r="AJ479" s="4" t="s">
        <v>248</v>
      </c>
      <c r="AZ479" s="4" t="s">
        <v>249</v>
      </c>
      <c r="BA479" s="4" t="s">
        <v>241</v>
      </c>
      <c r="BB479" s="4" t="s">
        <v>250</v>
      </c>
      <c r="BC479" s="4" t="s">
        <v>241</v>
      </c>
      <c r="BD479" s="4" t="s">
        <v>252</v>
      </c>
      <c r="BE479" s="4" t="s">
        <v>241</v>
      </c>
      <c r="BI479" s="4" t="s">
        <v>253</v>
      </c>
      <c r="BJ479" s="5" t="s">
        <v>246</v>
      </c>
      <c r="BK479" s="4" t="s">
        <v>254</v>
      </c>
      <c r="BL479" s="4" t="s">
        <v>255</v>
      </c>
      <c r="BM479" s="4" t="s">
        <v>241</v>
      </c>
      <c r="BN479" s="6">
        <f>0</f>
        <v>0</v>
      </c>
      <c r="BO479" s="6">
        <f>0</f>
        <v>0</v>
      </c>
      <c r="BP479" s="4" t="s">
        <v>256</v>
      </c>
      <c r="BQ479" s="4" t="s">
        <v>257</v>
      </c>
      <c r="CE479" s="4" t="s">
        <v>241</v>
      </c>
      <c r="CF479" s="4" t="s">
        <v>241</v>
      </c>
      <c r="CJ479" s="4" t="s">
        <v>258</v>
      </c>
      <c r="CK479" s="4" t="s">
        <v>259</v>
      </c>
      <c r="CL479" s="4" t="s">
        <v>241</v>
      </c>
      <c r="CO479" s="5" t="s">
        <v>260</v>
      </c>
      <c r="CP479" s="4" t="s">
        <v>241</v>
      </c>
      <c r="CQ479" s="4" t="s">
        <v>261</v>
      </c>
      <c r="CR479" s="4" t="s">
        <v>241</v>
      </c>
      <c r="CS479" s="4" t="s">
        <v>241</v>
      </c>
      <c r="CT479" s="4">
        <v>0</v>
      </c>
      <c r="CU479" s="4" t="s">
        <v>262</v>
      </c>
      <c r="CV479" s="4" t="s">
        <v>263</v>
      </c>
      <c r="CW479" s="4" t="s">
        <v>263</v>
      </c>
      <c r="CX479" s="4" t="s">
        <v>264</v>
      </c>
      <c r="DA479" s="6">
        <f>4213</f>
        <v>4213</v>
      </c>
      <c r="DC479" s="4" t="s">
        <v>3160</v>
      </c>
      <c r="DD479" s="4" t="s">
        <v>241</v>
      </c>
      <c r="DF479" s="4" t="s">
        <v>287</v>
      </c>
      <c r="DG479" s="6">
        <f>0</f>
        <v>0</v>
      </c>
      <c r="DI479" s="4" t="s">
        <v>3167</v>
      </c>
      <c r="DJ479" s="4" t="s">
        <v>241</v>
      </c>
      <c r="DK479" s="4" t="s">
        <v>241</v>
      </c>
      <c r="DL479" s="4" t="s">
        <v>241</v>
      </c>
      <c r="DP479" s="4" t="s">
        <v>241</v>
      </c>
      <c r="DQ479" s="4" t="s">
        <v>241</v>
      </c>
      <c r="DR479" s="4" t="s">
        <v>241</v>
      </c>
      <c r="DS479" s="4" t="s">
        <v>241</v>
      </c>
      <c r="DV479" s="4" t="s">
        <v>4520</v>
      </c>
      <c r="DW479" s="4" t="s">
        <v>1779</v>
      </c>
      <c r="HO479" s="4" t="s">
        <v>267</v>
      </c>
    </row>
    <row r="480" spans="1:223" ht="19.5" customHeight="1" x14ac:dyDescent="0.4">
      <c r="A480" s="4">
        <v>1</v>
      </c>
      <c r="B480" s="4" t="s">
        <v>239</v>
      </c>
      <c r="C480" s="4">
        <v>1342</v>
      </c>
      <c r="D480" s="4">
        <v>1</v>
      </c>
      <c r="E480" s="4">
        <v>1</v>
      </c>
      <c r="F480" s="4" t="s">
        <v>240</v>
      </c>
      <c r="G480" s="4" t="s">
        <v>241</v>
      </c>
      <c r="H480" s="4" t="s">
        <v>241</v>
      </c>
      <c r="I480" s="4" t="s">
        <v>4518</v>
      </c>
      <c r="J480" s="4" t="s">
        <v>3158</v>
      </c>
      <c r="K480" s="4" t="s">
        <v>251</v>
      </c>
      <c r="L480" s="4" t="s">
        <v>3180</v>
      </c>
      <c r="M480" s="5" t="s">
        <v>4552</v>
      </c>
      <c r="N480" s="6">
        <f>1231</f>
        <v>1231</v>
      </c>
      <c r="O480" s="4" t="s">
        <v>265</v>
      </c>
      <c r="P480" s="6">
        <f>13541</f>
        <v>13541</v>
      </c>
      <c r="Q480" s="6">
        <f>0</f>
        <v>0</v>
      </c>
      <c r="S480" s="6">
        <f>0</f>
        <v>0</v>
      </c>
      <c r="T480" s="6">
        <f>13541</f>
        <v>13541</v>
      </c>
      <c r="U480" s="5" t="s">
        <v>245</v>
      </c>
      <c r="V480" s="4" t="s">
        <v>270</v>
      </c>
      <c r="W480" s="4" t="s">
        <v>242</v>
      </c>
      <c r="X480" s="4" t="s">
        <v>243</v>
      </c>
      <c r="Y480" s="4" t="s">
        <v>241</v>
      </c>
      <c r="AB480" s="4" t="s">
        <v>241</v>
      </c>
      <c r="AD480" s="5" t="s">
        <v>241</v>
      </c>
      <c r="AG480" s="5" t="s">
        <v>246</v>
      </c>
      <c r="AH480" s="4" t="s">
        <v>241</v>
      </c>
      <c r="AI480" s="4" t="s">
        <v>247</v>
      </c>
      <c r="AJ480" s="4" t="s">
        <v>248</v>
      </c>
      <c r="AZ480" s="4" t="s">
        <v>249</v>
      </c>
      <c r="BA480" s="4" t="s">
        <v>241</v>
      </c>
      <c r="BB480" s="4" t="s">
        <v>250</v>
      </c>
      <c r="BC480" s="4" t="s">
        <v>241</v>
      </c>
      <c r="BD480" s="4" t="s">
        <v>252</v>
      </c>
      <c r="BE480" s="4" t="s">
        <v>241</v>
      </c>
      <c r="BI480" s="4" t="s">
        <v>253</v>
      </c>
      <c r="BJ480" s="5" t="s">
        <v>246</v>
      </c>
      <c r="BK480" s="4" t="s">
        <v>254</v>
      </c>
      <c r="BL480" s="4" t="s">
        <v>255</v>
      </c>
      <c r="BM480" s="4" t="s">
        <v>241</v>
      </c>
      <c r="BN480" s="6">
        <f>0</f>
        <v>0</v>
      </c>
      <c r="BO480" s="6">
        <f>0</f>
        <v>0</v>
      </c>
      <c r="BP480" s="4" t="s">
        <v>256</v>
      </c>
      <c r="BQ480" s="4" t="s">
        <v>257</v>
      </c>
      <c r="CE480" s="4" t="s">
        <v>241</v>
      </c>
      <c r="CF480" s="4" t="s">
        <v>241</v>
      </c>
      <c r="CJ480" s="4" t="s">
        <v>258</v>
      </c>
      <c r="CK480" s="4" t="s">
        <v>259</v>
      </c>
      <c r="CL480" s="4" t="s">
        <v>241</v>
      </c>
      <c r="CO480" s="5" t="s">
        <v>260</v>
      </c>
      <c r="CP480" s="4" t="s">
        <v>241</v>
      </c>
      <c r="CQ480" s="4" t="s">
        <v>261</v>
      </c>
      <c r="CR480" s="4" t="s">
        <v>241</v>
      </c>
      <c r="CS480" s="4" t="s">
        <v>241</v>
      </c>
      <c r="CT480" s="4">
        <v>0</v>
      </c>
      <c r="CU480" s="4" t="s">
        <v>262</v>
      </c>
      <c r="CV480" s="4" t="s">
        <v>263</v>
      </c>
      <c r="CW480" s="4" t="s">
        <v>263</v>
      </c>
      <c r="CX480" s="4" t="s">
        <v>264</v>
      </c>
      <c r="DA480" s="6">
        <f>13541</f>
        <v>13541</v>
      </c>
      <c r="DC480" s="4" t="s">
        <v>3160</v>
      </c>
      <c r="DD480" s="4" t="s">
        <v>241</v>
      </c>
      <c r="DF480" s="4" t="s">
        <v>287</v>
      </c>
      <c r="DG480" s="6">
        <f>0</f>
        <v>0</v>
      </c>
      <c r="DI480" s="4" t="s">
        <v>3167</v>
      </c>
      <c r="DJ480" s="4" t="s">
        <v>241</v>
      </c>
      <c r="DK480" s="4" t="s">
        <v>241</v>
      </c>
      <c r="DL480" s="4" t="s">
        <v>241</v>
      </c>
      <c r="DP480" s="4" t="s">
        <v>241</v>
      </c>
      <c r="DQ480" s="4" t="s">
        <v>241</v>
      </c>
      <c r="DR480" s="4" t="s">
        <v>241</v>
      </c>
      <c r="DS480" s="4" t="s">
        <v>241</v>
      </c>
      <c r="DV480" s="4" t="s">
        <v>4520</v>
      </c>
      <c r="DW480" s="4" t="s">
        <v>1803</v>
      </c>
      <c r="HO480" s="4" t="s">
        <v>267</v>
      </c>
    </row>
    <row r="481" spans="1:223" ht="19.5" customHeight="1" x14ac:dyDescent="0.4">
      <c r="A481" s="4">
        <v>1</v>
      </c>
      <c r="B481" s="4" t="s">
        <v>239</v>
      </c>
      <c r="C481" s="4">
        <v>1343</v>
      </c>
      <c r="D481" s="4">
        <v>1</v>
      </c>
      <c r="E481" s="4">
        <v>1</v>
      </c>
      <c r="F481" s="4" t="s">
        <v>240</v>
      </c>
      <c r="G481" s="4" t="s">
        <v>241</v>
      </c>
      <c r="H481" s="4" t="s">
        <v>241</v>
      </c>
      <c r="I481" s="4" t="s">
        <v>4518</v>
      </c>
      <c r="J481" s="4" t="s">
        <v>3158</v>
      </c>
      <c r="K481" s="4" t="s">
        <v>251</v>
      </c>
      <c r="L481" s="4" t="s">
        <v>3180</v>
      </c>
      <c r="M481" s="5" t="s">
        <v>5440</v>
      </c>
      <c r="N481" s="6">
        <f>1774</f>
        <v>1774</v>
      </c>
      <c r="O481" s="4" t="s">
        <v>265</v>
      </c>
      <c r="P481" s="6">
        <f>19514</f>
        <v>19514</v>
      </c>
      <c r="Q481" s="6">
        <f>0</f>
        <v>0</v>
      </c>
      <c r="S481" s="6">
        <f>0</f>
        <v>0</v>
      </c>
      <c r="T481" s="6">
        <f>19514</f>
        <v>19514</v>
      </c>
      <c r="U481" s="5" t="s">
        <v>245</v>
      </c>
      <c r="V481" s="4" t="s">
        <v>270</v>
      </c>
      <c r="W481" s="4" t="s">
        <v>242</v>
      </c>
      <c r="X481" s="4" t="s">
        <v>243</v>
      </c>
      <c r="Y481" s="4" t="s">
        <v>241</v>
      </c>
      <c r="AB481" s="4" t="s">
        <v>241</v>
      </c>
      <c r="AD481" s="5" t="s">
        <v>241</v>
      </c>
      <c r="AG481" s="5" t="s">
        <v>246</v>
      </c>
      <c r="AH481" s="4" t="s">
        <v>241</v>
      </c>
      <c r="AI481" s="4" t="s">
        <v>247</v>
      </c>
      <c r="AJ481" s="4" t="s">
        <v>248</v>
      </c>
      <c r="AZ481" s="4" t="s">
        <v>249</v>
      </c>
      <c r="BA481" s="4" t="s">
        <v>241</v>
      </c>
      <c r="BB481" s="4" t="s">
        <v>250</v>
      </c>
      <c r="BC481" s="4" t="s">
        <v>241</v>
      </c>
      <c r="BD481" s="4" t="s">
        <v>252</v>
      </c>
      <c r="BE481" s="4" t="s">
        <v>241</v>
      </c>
      <c r="BI481" s="4" t="s">
        <v>253</v>
      </c>
      <c r="BJ481" s="5" t="s">
        <v>246</v>
      </c>
      <c r="BK481" s="4" t="s">
        <v>254</v>
      </c>
      <c r="BL481" s="4" t="s">
        <v>255</v>
      </c>
      <c r="BM481" s="4" t="s">
        <v>241</v>
      </c>
      <c r="BN481" s="6">
        <f>0</f>
        <v>0</v>
      </c>
      <c r="BO481" s="6">
        <f>0</f>
        <v>0</v>
      </c>
      <c r="BP481" s="4" t="s">
        <v>256</v>
      </c>
      <c r="BQ481" s="4" t="s">
        <v>257</v>
      </c>
      <c r="CE481" s="4" t="s">
        <v>241</v>
      </c>
      <c r="CF481" s="4" t="s">
        <v>241</v>
      </c>
      <c r="CJ481" s="4" t="s">
        <v>258</v>
      </c>
      <c r="CK481" s="4" t="s">
        <v>259</v>
      </c>
      <c r="CL481" s="4" t="s">
        <v>241</v>
      </c>
      <c r="CO481" s="5" t="s">
        <v>260</v>
      </c>
      <c r="CP481" s="4" t="s">
        <v>241</v>
      </c>
      <c r="CQ481" s="4" t="s">
        <v>261</v>
      </c>
      <c r="CR481" s="4" t="s">
        <v>241</v>
      </c>
      <c r="CS481" s="4" t="s">
        <v>241</v>
      </c>
      <c r="CT481" s="4">
        <v>0</v>
      </c>
      <c r="CU481" s="4" t="s">
        <v>262</v>
      </c>
      <c r="CV481" s="4" t="s">
        <v>263</v>
      </c>
      <c r="CW481" s="4" t="s">
        <v>263</v>
      </c>
      <c r="CX481" s="4" t="s">
        <v>264</v>
      </c>
      <c r="DA481" s="6">
        <f>19514</f>
        <v>19514</v>
      </c>
      <c r="DC481" s="4" t="s">
        <v>3160</v>
      </c>
      <c r="DD481" s="4" t="s">
        <v>241</v>
      </c>
      <c r="DF481" s="4" t="s">
        <v>287</v>
      </c>
      <c r="DG481" s="6">
        <f>0</f>
        <v>0</v>
      </c>
      <c r="DI481" s="4" t="s">
        <v>3167</v>
      </c>
      <c r="DJ481" s="4" t="s">
        <v>241</v>
      </c>
      <c r="DK481" s="4" t="s">
        <v>241</v>
      </c>
      <c r="DL481" s="4" t="s">
        <v>241</v>
      </c>
      <c r="DP481" s="4" t="s">
        <v>241</v>
      </c>
      <c r="DQ481" s="4" t="s">
        <v>241</v>
      </c>
      <c r="DR481" s="4" t="s">
        <v>241</v>
      </c>
      <c r="DS481" s="4" t="s">
        <v>241</v>
      </c>
      <c r="DV481" s="4" t="s">
        <v>4520</v>
      </c>
      <c r="DW481" s="4" t="s">
        <v>1777</v>
      </c>
      <c r="HO481" s="4" t="s">
        <v>267</v>
      </c>
    </row>
    <row r="482" spans="1:223" ht="19.5" customHeight="1" x14ac:dyDescent="0.4">
      <c r="A482" s="4">
        <v>1</v>
      </c>
      <c r="B482" s="4" t="s">
        <v>239</v>
      </c>
      <c r="C482" s="4">
        <v>1344</v>
      </c>
      <c r="D482" s="4">
        <v>1</v>
      </c>
      <c r="E482" s="4">
        <v>1</v>
      </c>
      <c r="F482" s="4" t="s">
        <v>240</v>
      </c>
      <c r="G482" s="4" t="s">
        <v>241</v>
      </c>
      <c r="H482" s="4" t="s">
        <v>241</v>
      </c>
      <c r="I482" s="4" t="s">
        <v>4518</v>
      </c>
      <c r="J482" s="4" t="s">
        <v>3158</v>
      </c>
      <c r="K482" s="4" t="s">
        <v>251</v>
      </c>
      <c r="L482" s="4" t="s">
        <v>3180</v>
      </c>
      <c r="M482" s="5" t="s">
        <v>4554</v>
      </c>
      <c r="N482" s="6">
        <f>562</f>
        <v>562</v>
      </c>
      <c r="O482" s="4" t="s">
        <v>265</v>
      </c>
      <c r="P482" s="6">
        <f>60134</f>
        <v>60134</v>
      </c>
      <c r="Q482" s="6">
        <f>0</f>
        <v>0</v>
      </c>
      <c r="S482" s="6">
        <f>0</f>
        <v>0</v>
      </c>
      <c r="T482" s="6">
        <f>60134</f>
        <v>60134</v>
      </c>
      <c r="U482" s="5" t="s">
        <v>245</v>
      </c>
      <c r="V482" s="4" t="s">
        <v>270</v>
      </c>
      <c r="W482" s="4" t="s">
        <v>242</v>
      </c>
      <c r="X482" s="4" t="s">
        <v>243</v>
      </c>
      <c r="Y482" s="4" t="s">
        <v>241</v>
      </c>
      <c r="AB482" s="4" t="s">
        <v>241</v>
      </c>
      <c r="AD482" s="5" t="s">
        <v>241</v>
      </c>
      <c r="AG482" s="5" t="s">
        <v>246</v>
      </c>
      <c r="AH482" s="4" t="s">
        <v>241</v>
      </c>
      <c r="AI482" s="4" t="s">
        <v>247</v>
      </c>
      <c r="AJ482" s="4" t="s">
        <v>248</v>
      </c>
      <c r="AZ482" s="4" t="s">
        <v>249</v>
      </c>
      <c r="BA482" s="4" t="s">
        <v>241</v>
      </c>
      <c r="BB482" s="4" t="s">
        <v>250</v>
      </c>
      <c r="BC482" s="4" t="s">
        <v>241</v>
      </c>
      <c r="BD482" s="4" t="s">
        <v>252</v>
      </c>
      <c r="BE482" s="4" t="s">
        <v>241</v>
      </c>
      <c r="BI482" s="4" t="s">
        <v>253</v>
      </c>
      <c r="BJ482" s="5" t="s">
        <v>246</v>
      </c>
      <c r="BK482" s="4" t="s">
        <v>254</v>
      </c>
      <c r="BL482" s="4" t="s">
        <v>255</v>
      </c>
      <c r="BM482" s="4" t="s">
        <v>241</v>
      </c>
      <c r="BN482" s="6">
        <f>0</f>
        <v>0</v>
      </c>
      <c r="BO482" s="6">
        <f>0</f>
        <v>0</v>
      </c>
      <c r="BP482" s="4" t="s">
        <v>256</v>
      </c>
      <c r="BQ482" s="4" t="s">
        <v>257</v>
      </c>
      <c r="CE482" s="4" t="s">
        <v>241</v>
      </c>
      <c r="CF482" s="4" t="s">
        <v>241</v>
      </c>
      <c r="CJ482" s="4" t="s">
        <v>258</v>
      </c>
      <c r="CK482" s="4" t="s">
        <v>259</v>
      </c>
      <c r="CL482" s="4" t="s">
        <v>241</v>
      </c>
      <c r="CO482" s="5" t="s">
        <v>260</v>
      </c>
      <c r="CP482" s="4" t="s">
        <v>241</v>
      </c>
      <c r="CQ482" s="4" t="s">
        <v>261</v>
      </c>
      <c r="CR482" s="4" t="s">
        <v>241</v>
      </c>
      <c r="CS482" s="4" t="s">
        <v>241</v>
      </c>
      <c r="CT482" s="4">
        <v>0</v>
      </c>
      <c r="CU482" s="4" t="s">
        <v>262</v>
      </c>
      <c r="CV482" s="4" t="s">
        <v>263</v>
      </c>
      <c r="CW482" s="4" t="s">
        <v>263</v>
      </c>
      <c r="CX482" s="4" t="s">
        <v>264</v>
      </c>
      <c r="DA482" s="6">
        <f>60134</f>
        <v>60134</v>
      </c>
      <c r="DC482" s="4" t="s">
        <v>387</v>
      </c>
      <c r="DD482" s="4" t="s">
        <v>241</v>
      </c>
      <c r="DF482" s="4" t="s">
        <v>287</v>
      </c>
      <c r="DG482" s="6">
        <f>0</f>
        <v>0</v>
      </c>
      <c r="DI482" s="4" t="s">
        <v>387</v>
      </c>
      <c r="DJ482" s="4" t="s">
        <v>241</v>
      </c>
      <c r="DK482" s="4" t="s">
        <v>241</v>
      </c>
      <c r="DL482" s="4" t="s">
        <v>241</v>
      </c>
      <c r="DP482" s="4" t="s">
        <v>241</v>
      </c>
      <c r="DQ482" s="4" t="s">
        <v>241</v>
      </c>
      <c r="DR482" s="4" t="s">
        <v>241</v>
      </c>
      <c r="DS482" s="4" t="s">
        <v>241</v>
      </c>
      <c r="DV482" s="4" t="s">
        <v>4520</v>
      </c>
      <c r="DW482" s="4" t="s">
        <v>1775</v>
      </c>
      <c r="HO482" s="4" t="s">
        <v>267</v>
      </c>
    </row>
    <row r="483" spans="1:223" ht="19.5" customHeight="1" x14ac:dyDescent="0.4">
      <c r="A483" s="4">
        <v>1</v>
      </c>
      <c r="B483" s="4" t="s">
        <v>239</v>
      </c>
      <c r="C483" s="4">
        <v>1345</v>
      </c>
      <c r="D483" s="4">
        <v>1</v>
      </c>
      <c r="E483" s="4">
        <v>1</v>
      </c>
      <c r="F483" s="4" t="s">
        <v>240</v>
      </c>
      <c r="G483" s="4" t="s">
        <v>241</v>
      </c>
      <c r="H483" s="4" t="s">
        <v>241</v>
      </c>
      <c r="I483" s="4" t="s">
        <v>4518</v>
      </c>
      <c r="J483" s="4" t="s">
        <v>3158</v>
      </c>
      <c r="K483" s="4" t="s">
        <v>251</v>
      </c>
      <c r="L483" s="4" t="s">
        <v>3180</v>
      </c>
      <c r="M483" s="5" t="s">
        <v>4555</v>
      </c>
      <c r="N483" s="6">
        <f>538</f>
        <v>538</v>
      </c>
      <c r="O483" s="4" t="s">
        <v>265</v>
      </c>
      <c r="P483" s="6">
        <f>5918</f>
        <v>5918</v>
      </c>
      <c r="Q483" s="6">
        <f>0</f>
        <v>0</v>
      </c>
      <c r="S483" s="6">
        <f>0</f>
        <v>0</v>
      </c>
      <c r="T483" s="6">
        <f>5918</f>
        <v>5918</v>
      </c>
      <c r="U483" s="5" t="s">
        <v>245</v>
      </c>
      <c r="V483" s="4" t="s">
        <v>270</v>
      </c>
      <c r="W483" s="4" t="s">
        <v>242</v>
      </c>
      <c r="X483" s="4" t="s">
        <v>243</v>
      </c>
      <c r="Y483" s="4" t="s">
        <v>241</v>
      </c>
      <c r="AB483" s="4" t="s">
        <v>241</v>
      </c>
      <c r="AD483" s="5" t="s">
        <v>241</v>
      </c>
      <c r="AG483" s="5" t="s">
        <v>246</v>
      </c>
      <c r="AH483" s="4" t="s">
        <v>241</v>
      </c>
      <c r="AI483" s="4" t="s">
        <v>247</v>
      </c>
      <c r="AJ483" s="4" t="s">
        <v>248</v>
      </c>
      <c r="AZ483" s="4" t="s">
        <v>249</v>
      </c>
      <c r="BA483" s="4" t="s">
        <v>241</v>
      </c>
      <c r="BB483" s="4" t="s">
        <v>250</v>
      </c>
      <c r="BC483" s="4" t="s">
        <v>241</v>
      </c>
      <c r="BD483" s="4" t="s">
        <v>252</v>
      </c>
      <c r="BE483" s="4" t="s">
        <v>241</v>
      </c>
      <c r="BI483" s="4" t="s">
        <v>253</v>
      </c>
      <c r="BJ483" s="5" t="s">
        <v>246</v>
      </c>
      <c r="BK483" s="4" t="s">
        <v>254</v>
      </c>
      <c r="BL483" s="4" t="s">
        <v>255</v>
      </c>
      <c r="BM483" s="4" t="s">
        <v>241</v>
      </c>
      <c r="BN483" s="6">
        <f>0</f>
        <v>0</v>
      </c>
      <c r="BO483" s="6">
        <f>0</f>
        <v>0</v>
      </c>
      <c r="BP483" s="4" t="s">
        <v>256</v>
      </c>
      <c r="BQ483" s="4" t="s">
        <v>257</v>
      </c>
      <c r="CE483" s="4" t="s">
        <v>241</v>
      </c>
      <c r="CF483" s="4" t="s">
        <v>241</v>
      </c>
      <c r="CJ483" s="4" t="s">
        <v>258</v>
      </c>
      <c r="CK483" s="4" t="s">
        <v>259</v>
      </c>
      <c r="CL483" s="4" t="s">
        <v>241</v>
      </c>
      <c r="CO483" s="5" t="s">
        <v>260</v>
      </c>
      <c r="CP483" s="4" t="s">
        <v>241</v>
      </c>
      <c r="CQ483" s="4" t="s">
        <v>261</v>
      </c>
      <c r="CR483" s="4" t="s">
        <v>241</v>
      </c>
      <c r="CS483" s="4" t="s">
        <v>241</v>
      </c>
      <c r="CT483" s="4">
        <v>0</v>
      </c>
      <c r="CU483" s="4" t="s">
        <v>262</v>
      </c>
      <c r="CV483" s="4" t="s">
        <v>263</v>
      </c>
      <c r="CW483" s="4" t="s">
        <v>263</v>
      </c>
      <c r="CX483" s="4" t="s">
        <v>264</v>
      </c>
      <c r="DA483" s="6">
        <f>5918</f>
        <v>5918</v>
      </c>
      <c r="DC483" s="4" t="s">
        <v>3160</v>
      </c>
      <c r="DD483" s="4" t="s">
        <v>241</v>
      </c>
      <c r="DF483" s="4" t="s">
        <v>287</v>
      </c>
      <c r="DG483" s="6">
        <f>0</f>
        <v>0</v>
      </c>
      <c r="DI483" s="4" t="s">
        <v>3167</v>
      </c>
      <c r="DJ483" s="4" t="s">
        <v>241</v>
      </c>
      <c r="DK483" s="4" t="s">
        <v>241</v>
      </c>
      <c r="DL483" s="4" t="s">
        <v>241</v>
      </c>
      <c r="DP483" s="4" t="s">
        <v>241</v>
      </c>
      <c r="DQ483" s="4" t="s">
        <v>241</v>
      </c>
      <c r="DR483" s="4" t="s">
        <v>241</v>
      </c>
      <c r="DS483" s="4" t="s">
        <v>241</v>
      </c>
      <c r="DV483" s="4" t="s">
        <v>4520</v>
      </c>
      <c r="DW483" s="4" t="s">
        <v>1773</v>
      </c>
      <c r="HO483" s="4" t="s">
        <v>267</v>
      </c>
    </row>
    <row r="484" spans="1:223" ht="19.5" customHeight="1" x14ac:dyDescent="0.4">
      <c r="A484" s="4">
        <v>1</v>
      </c>
      <c r="B484" s="4" t="s">
        <v>239</v>
      </c>
      <c r="C484" s="4">
        <v>1346</v>
      </c>
      <c r="D484" s="4">
        <v>1</v>
      </c>
      <c r="E484" s="4">
        <v>1</v>
      </c>
      <c r="F484" s="4" t="s">
        <v>240</v>
      </c>
      <c r="G484" s="4" t="s">
        <v>241</v>
      </c>
      <c r="H484" s="4" t="s">
        <v>241</v>
      </c>
      <c r="I484" s="4" t="s">
        <v>4518</v>
      </c>
      <c r="J484" s="4" t="s">
        <v>3158</v>
      </c>
      <c r="K484" s="4" t="s">
        <v>251</v>
      </c>
      <c r="L484" s="4" t="s">
        <v>3180</v>
      </c>
      <c r="M484" s="5" t="s">
        <v>4713</v>
      </c>
      <c r="N484" s="6">
        <f>467</f>
        <v>467</v>
      </c>
      <c r="O484" s="4" t="s">
        <v>265</v>
      </c>
      <c r="P484" s="6">
        <f>5137</f>
        <v>5137</v>
      </c>
      <c r="Q484" s="6">
        <f>0</f>
        <v>0</v>
      </c>
      <c r="S484" s="6">
        <f>0</f>
        <v>0</v>
      </c>
      <c r="T484" s="6">
        <f>5137</f>
        <v>5137</v>
      </c>
      <c r="U484" s="5" t="s">
        <v>245</v>
      </c>
      <c r="V484" s="4" t="s">
        <v>270</v>
      </c>
      <c r="W484" s="4" t="s">
        <v>242</v>
      </c>
      <c r="X484" s="4" t="s">
        <v>243</v>
      </c>
      <c r="Y484" s="4" t="s">
        <v>241</v>
      </c>
      <c r="AB484" s="4" t="s">
        <v>241</v>
      </c>
      <c r="AD484" s="5" t="s">
        <v>241</v>
      </c>
      <c r="AG484" s="5" t="s">
        <v>246</v>
      </c>
      <c r="AH484" s="4" t="s">
        <v>241</v>
      </c>
      <c r="AI484" s="4" t="s">
        <v>247</v>
      </c>
      <c r="AJ484" s="4" t="s">
        <v>248</v>
      </c>
      <c r="AZ484" s="4" t="s">
        <v>249</v>
      </c>
      <c r="BA484" s="4" t="s">
        <v>241</v>
      </c>
      <c r="BB484" s="4" t="s">
        <v>250</v>
      </c>
      <c r="BC484" s="4" t="s">
        <v>241</v>
      </c>
      <c r="BD484" s="4" t="s">
        <v>252</v>
      </c>
      <c r="BE484" s="4" t="s">
        <v>241</v>
      </c>
      <c r="BI484" s="4" t="s">
        <v>253</v>
      </c>
      <c r="BJ484" s="5" t="s">
        <v>246</v>
      </c>
      <c r="BK484" s="4" t="s">
        <v>254</v>
      </c>
      <c r="BL484" s="4" t="s">
        <v>255</v>
      </c>
      <c r="BM484" s="4" t="s">
        <v>241</v>
      </c>
      <c r="BN484" s="6">
        <f>0</f>
        <v>0</v>
      </c>
      <c r="BO484" s="6">
        <f>0</f>
        <v>0</v>
      </c>
      <c r="BP484" s="4" t="s">
        <v>256</v>
      </c>
      <c r="BQ484" s="4" t="s">
        <v>257</v>
      </c>
      <c r="CE484" s="4" t="s">
        <v>241</v>
      </c>
      <c r="CF484" s="4" t="s">
        <v>241</v>
      </c>
      <c r="CJ484" s="4" t="s">
        <v>258</v>
      </c>
      <c r="CK484" s="4" t="s">
        <v>259</v>
      </c>
      <c r="CL484" s="4" t="s">
        <v>241</v>
      </c>
      <c r="CO484" s="5" t="s">
        <v>260</v>
      </c>
      <c r="CP484" s="4" t="s">
        <v>241</v>
      </c>
      <c r="CQ484" s="4" t="s">
        <v>261</v>
      </c>
      <c r="CR484" s="4" t="s">
        <v>241</v>
      </c>
      <c r="CS484" s="4" t="s">
        <v>241</v>
      </c>
      <c r="CT484" s="4">
        <v>0</v>
      </c>
      <c r="CU484" s="4" t="s">
        <v>262</v>
      </c>
      <c r="CV484" s="4" t="s">
        <v>263</v>
      </c>
      <c r="CW484" s="4" t="s">
        <v>263</v>
      </c>
      <c r="CX484" s="4" t="s">
        <v>264</v>
      </c>
      <c r="DA484" s="6">
        <f>5137</f>
        <v>5137</v>
      </c>
      <c r="DC484" s="4" t="s">
        <v>3160</v>
      </c>
      <c r="DD484" s="4" t="s">
        <v>241</v>
      </c>
      <c r="DF484" s="4" t="s">
        <v>287</v>
      </c>
      <c r="DG484" s="6">
        <f>0</f>
        <v>0</v>
      </c>
      <c r="DI484" s="4" t="s">
        <v>3167</v>
      </c>
      <c r="DJ484" s="4" t="s">
        <v>241</v>
      </c>
      <c r="DK484" s="4" t="s">
        <v>241</v>
      </c>
      <c r="DL484" s="4" t="s">
        <v>241</v>
      </c>
      <c r="DP484" s="4" t="s">
        <v>241</v>
      </c>
      <c r="DQ484" s="4" t="s">
        <v>241</v>
      </c>
      <c r="DR484" s="4" t="s">
        <v>241</v>
      </c>
      <c r="DS484" s="4" t="s">
        <v>241</v>
      </c>
      <c r="DV484" s="4" t="s">
        <v>4520</v>
      </c>
      <c r="DW484" s="4" t="s">
        <v>2076</v>
      </c>
      <c r="HO484" s="4" t="s">
        <v>267</v>
      </c>
    </row>
    <row r="485" spans="1:223" ht="19.5" customHeight="1" x14ac:dyDescent="0.4">
      <c r="A485" s="4">
        <v>1</v>
      </c>
      <c r="B485" s="4" t="s">
        <v>239</v>
      </c>
      <c r="C485" s="4">
        <v>1347</v>
      </c>
      <c r="D485" s="4">
        <v>1</v>
      </c>
      <c r="E485" s="4">
        <v>1</v>
      </c>
      <c r="F485" s="4" t="s">
        <v>240</v>
      </c>
      <c r="G485" s="4" t="s">
        <v>241</v>
      </c>
      <c r="H485" s="4" t="s">
        <v>241</v>
      </c>
      <c r="I485" s="4" t="s">
        <v>4518</v>
      </c>
      <c r="J485" s="4" t="s">
        <v>3158</v>
      </c>
      <c r="K485" s="4" t="s">
        <v>251</v>
      </c>
      <c r="L485" s="4" t="s">
        <v>3180</v>
      </c>
      <c r="M485" s="5" t="s">
        <v>4522</v>
      </c>
      <c r="N485" s="6">
        <f>280</f>
        <v>280</v>
      </c>
      <c r="O485" s="4" t="s">
        <v>265</v>
      </c>
      <c r="P485" s="6">
        <f>3080</f>
        <v>3080</v>
      </c>
      <c r="Q485" s="6">
        <f>0</f>
        <v>0</v>
      </c>
      <c r="S485" s="6">
        <f>0</f>
        <v>0</v>
      </c>
      <c r="T485" s="6">
        <f>3080</f>
        <v>3080</v>
      </c>
      <c r="U485" s="5" t="s">
        <v>245</v>
      </c>
      <c r="V485" s="4" t="s">
        <v>270</v>
      </c>
      <c r="W485" s="4" t="s">
        <v>242</v>
      </c>
      <c r="X485" s="4" t="s">
        <v>243</v>
      </c>
      <c r="Y485" s="4" t="s">
        <v>241</v>
      </c>
      <c r="AB485" s="4" t="s">
        <v>241</v>
      </c>
      <c r="AD485" s="5" t="s">
        <v>241</v>
      </c>
      <c r="AG485" s="5" t="s">
        <v>246</v>
      </c>
      <c r="AH485" s="4" t="s">
        <v>241</v>
      </c>
      <c r="AI485" s="4" t="s">
        <v>247</v>
      </c>
      <c r="AJ485" s="4" t="s">
        <v>248</v>
      </c>
      <c r="AZ485" s="4" t="s">
        <v>249</v>
      </c>
      <c r="BA485" s="4" t="s">
        <v>241</v>
      </c>
      <c r="BB485" s="4" t="s">
        <v>250</v>
      </c>
      <c r="BC485" s="4" t="s">
        <v>241</v>
      </c>
      <c r="BD485" s="4" t="s">
        <v>252</v>
      </c>
      <c r="BE485" s="4" t="s">
        <v>241</v>
      </c>
      <c r="BI485" s="4" t="s">
        <v>253</v>
      </c>
      <c r="BJ485" s="5" t="s">
        <v>246</v>
      </c>
      <c r="BK485" s="4" t="s">
        <v>254</v>
      </c>
      <c r="BL485" s="4" t="s">
        <v>255</v>
      </c>
      <c r="BM485" s="4" t="s">
        <v>241</v>
      </c>
      <c r="BN485" s="6">
        <f>0</f>
        <v>0</v>
      </c>
      <c r="BO485" s="6">
        <f>0</f>
        <v>0</v>
      </c>
      <c r="BP485" s="4" t="s">
        <v>256</v>
      </c>
      <c r="BQ485" s="4" t="s">
        <v>257</v>
      </c>
      <c r="CE485" s="4" t="s">
        <v>241</v>
      </c>
      <c r="CF485" s="4" t="s">
        <v>241</v>
      </c>
      <c r="CJ485" s="4" t="s">
        <v>258</v>
      </c>
      <c r="CK485" s="4" t="s">
        <v>259</v>
      </c>
      <c r="CL485" s="4" t="s">
        <v>241</v>
      </c>
      <c r="CO485" s="5" t="s">
        <v>260</v>
      </c>
      <c r="CP485" s="4" t="s">
        <v>241</v>
      </c>
      <c r="CQ485" s="4" t="s">
        <v>261</v>
      </c>
      <c r="CR485" s="4" t="s">
        <v>241</v>
      </c>
      <c r="CS485" s="4" t="s">
        <v>241</v>
      </c>
      <c r="CT485" s="4">
        <v>0</v>
      </c>
      <c r="CU485" s="4" t="s">
        <v>262</v>
      </c>
      <c r="CV485" s="4" t="s">
        <v>263</v>
      </c>
      <c r="CW485" s="4" t="s">
        <v>263</v>
      </c>
      <c r="CX485" s="4" t="s">
        <v>264</v>
      </c>
      <c r="DA485" s="6">
        <f>3080</f>
        <v>3080</v>
      </c>
      <c r="DC485" s="4" t="s">
        <v>3160</v>
      </c>
      <c r="DD485" s="4" t="s">
        <v>241</v>
      </c>
      <c r="DF485" s="4" t="s">
        <v>287</v>
      </c>
      <c r="DG485" s="6">
        <f>0</f>
        <v>0</v>
      </c>
      <c r="DI485" s="4" t="s">
        <v>3167</v>
      </c>
      <c r="DJ485" s="4" t="s">
        <v>241</v>
      </c>
      <c r="DK485" s="4" t="s">
        <v>241</v>
      </c>
      <c r="DL485" s="4" t="s">
        <v>241</v>
      </c>
      <c r="DP485" s="4" t="s">
        <v>241</v>
      </c>
      <c r="DQ485" s="4" t="s">
        <v>241</v>
      </c>
      <c r="DR485" s="4" t="s">
        <v>241</v>
      </c>
      <c r="DS485" s="4" t="s">
        <v>241</v>
      </c>
      <c r="DV485" s="4" t="s">
        <v>4520</v>
      </c>
      <c r="DW485" s="4" t="s">
        <v>1771</v>
      </c>
      <c r="HO485" s="4" t="s">
        <v>267</v>
      </c>
    </row>
    <row r="486" spans="1:223" ht="19.5" customHeight="1" x14ac:dyDescent="0.4">
      <c r="A486" s="4">
        <v>1</v>
      </c>
      <c r="B486" s="4" t="s">
        <v>239</v>
      </c>
      <c r="C486" s="4">
        <v>1348</v>
      </c>
      <c r="D486" s="4">
        <v>1</v>
      </c>
      <c r="E486" s="4">
        <v>1</v>
      </c>
      <c r="F486" s="4" t="s">
        <v>240</v>
      </c>
      <c r="G486" s="4" t="s">
        <v>241</v>
      </c>
      <c r="H486" s="4" t="s">
        <v>241</v>
      </c>
      <c r="I486" s="4" t="s">
        <v>4518</v>
      </c>
      <c r="J486" s="4" t="s">
        <v>3158</v>
      </c>
      <c r="K486" s="4" t="s">
        <v>251</v>
      </c>
      <c r="L486" s="4" t="s">
        <v>3180</v>
      </c>
      <c r="M486" s="5" t="s">
        <v>4719</v>
      </c>
      <c r="N486" s="6">
        <f>2733</f>
        <v>2733</v>
      </c>
      <c r="O486" s="4" t="s">
        <v>265</v>
      </c>
      <c r="P486" s="6">
        <f>30063</f>
        <v>30063</v>
      </c>
      <c r="Q486" s="6">
        <f>0</f>
        <v>0</v>
      </c>
      <c r="S486" s="6">
        <f>0</f>
        <v>0</v>
      </c>
      <c r="T486" s="6">
        <f>30063</f>
        <v>30063</v>
      </c>
      <c r="U486" s="5" t="s">
        <v>245</v>
      </c>
      <c r="V486" s="4" t="s">
        <v>270</v>
      </c>
      <c r="W486" s="4" t="s">
        <v>242</v>
      </c>
      <c r="X486" s="4" t="s">
        <v>243</v>
      </c>
      <c r="Y486" s="4" t="s">
        <v>241</v>
      </c>
      <c r="AB486" s="4" t="s">
        <v>241</v>
      </c>
      <c r="AD486" s="5" t="s">
        <v>241</v>
      </c>
      <c r="AG486" s="5" t="s">
        <v>246</v>
      </c>
      <c r="AH486" s="4" t="s">
        <v>241</v>
      </c>
      <c r="AI486" s="4" t="s">
        <v>247</v>
      </c>
      <c r="AJ486" s="4" t="s">
        <v>248</v>
      </c>
      <c r="AZ486" s="4" t="s">
        <v>249</v>
      </c>
      <c r="BA486" s="4" t="s">
        <v>241</v>
      </c>
      <c r="BB486" s="4" t="s">
        <v>250</v>
      </c>
      <c r="BC486" s="4" t="s">
        <v>241</v>
      </c>
      <c r="BD486" s="4" t="s">
        <v>252</v>
      </c>
      <c r="BE486" s="4" t="s">
        <v>241</v>
      </c>
      <c r="BI486" s="4" t="s">
        <v>253</v>
      </c>
      <c r="BJ486" s="5" t="s">
        <v>246</v>
      </c>
      <c r="BK486" s="4" t="s">
        <v>254</v>
      </c>
      <c r="BL486" s="4" t="s">
        <v>255</v>
      </c>
      <c r="BM486" s="4" t="s">
        <v>241</v>
      </c>
      <c r="BN486" s="6">
        <f>0</f>
        <v>0</v>
      </c>
      <c r="BO486" s="6">
        <f>0</f>
        <v>0</v>
      </c>
      <c r="BP486" s="4" t="s">
        <v>256</v>
      </c>
      <c r="BQ486" s="4" t="s">
        <v>257</v>
      </c>
      <c r="CE486" s="4" t="s">
        <v>241</v>
      </c>
      <c r="CF486" s="4" t="s">
        <v>241</v>
      </c>
      <c r="CJ486" s="4" t="s">
        <v>258</v>
      </c>
      <c r="CK486" s="4" t="s">
        <v>259</v>
      </c>
      <c r="CL486" s="4" t="s">
        <v>241</v>
      </c>
      <c r="CO486" s="5" t="s">
        <v>260</v>
      </c>
      <c r="CP486" s="4" t="s">
        <v>241</v>
      </c>
      <c r="CQ486" s="4" t="s">
        <v>261</v>
      </c>
      <c r="CR486" s="4" t="s">
        <v>241</v>
      </c>
      <c r="CS486" s="4" t="s">
        <v>241</v>
      </c>
      <c r="CT486" s="4">
        <v>0</v>
      </c>
      <c r="CU486" s="4" t="s">
        <v>262</v>
      </c>
      <c r="CV486" s="4" t="s">
        <v>263</v>
      </c>
      <c r="CW486" s="4" t="s">
        <v>263</v>
      </c>
      <c r="CX486" s="4" t="s">
        <v>264</v>
      </c>
      <c r="DA486" s="6">
        <f>30063</f>
        <v>30063</v>
      </c>
      <c r="DC486" s="4" t="s">
        <v>3160</v>
      </c>
      <c r="DD486" s="4" t="s">
        <v>241</v>
      </c>
      <c r="DF486" s="4" t="s">
        <v>287</v>
      </c>
      <c r="DG486" s="6">
        <f>0</f>
        <v>0</v>
      </c>
      <c r="DI486" s="4" t="s">
        <v>3167</v>
      </c>
      <c r="DJ486" s="4" t="s">
        <v>241</v>
      </c>
      <c r="DK486" s="4" t="s">
        <v>241</v>
      </c>
      <c r="DL486" s="4" t="s">
        <v>241</v>
      </c>
      <c r="DP486" s="4" t="s">
        <v>241</v>
      </c>
      <c r="DQ486" s="4" t="s">
        <v>241</v>
      </c>
      <c r="DR486" s="4" t="s">
        <v>241</v>
      </c>
      <c r="DS486" s="4" t="s">
        <v>241</v>
      </c>
      <c r="DV486" s="4" t="s">
        <v>4520</v>
      </c>
      <c r="DW486" s="4" t="s">
        <v>1769</v>
      </c>
      <c r="HO486" s="4" t="s">
        <v>267</v>
      </c>
    </row>
    <row r="487" spans="1:223" ht="19.5" customHeight="1" x14ac:dyDescent="0.4">
      <c r="A487" s="4">
        <v>1</v>
      </c>
      <c r="B487" s="4" t="s">
        <v>239</v>
      </c>
      <c r="C487" s="4">
        <v>1349</v>
      </c>
      <c r="D487" s="4">
        <v>1</v>
      </c>
      <c r="E487" s="4">
        <v>1</v>
      </c>
      <c r="F487" s="4" t="s">
        <v>240</v>
      </c>
      <c r="G487" s="4" t="s">
        <v>241</v>
      </c>
      <c r="H487" s="4" t="s">
        <v>241</v>
      </c>
      <c r="I487" s="4" t="s">
        <v>4518</v>
      </c>
      <c r="J487" s="4" t="s">
        <v>3158</v>
      </c>
      <c r="K487" s="4" t="s">
        <v>251</v>
      </c>
      <c r="L487" s="4" t="s">
        <v>3180</v>
      </c>
      <c r="M487" s="5" t="s">
        <v>5460</v>
      </c>
      <c r="N487" s="6">
        <f>914</f>
        <v>914</v>
      </c>
      <c r="O487" s="4" t="s">
        <v>265</v>
      </c>
      <c r="P487" s="6">
        <f>10054</f>
        <v>10054</v>
      </c>
      <c r="Q487" s="6">
        <f>0</f>
        <v>0</v>
      </c>
      <c r="S487" s="6">
        <f>0</f>
        <v>0</v>
      </c>
      <c r="T487" s="6">
        <f>10054</f>
        <v>10054</v>
      </c>
      <c r="U487" s="5" t="s">
        <v>245</v>
      </c>
      <c r="V487" s="4" t="s">
        <v>270</v>
      </c>
      <c r="W487" s="4" t="s">
        <v>242</v>
      </c>
      <c r="X487" s="4" t="s">
        <v>243</v>
      </c>
      <c r="Y487" s="4" t="s">
        <v>241</v>
      </c>
      <c r="AB487" s="4" t="s">
        <v>241</v>
      </c>
      <c r="AD487" s="5" t="s">
        <v>241</v>
      </c>
      <c r="AG487" s="5" t="s">
        <v>246</v>
      </c>
      <c r="AH487" s="4" t="s">
        <v>241</v>
      </c>
      <c r="AI487" s="4" t="s">
        <v>247</v>
      </c>
      <c r="AJ487" s="4" t="s">
        <v>248</v>
      </c>
      <c r="AZ487" s="4" t="s">
        <v>249</v>
      </c>
      <c r="BA487" s="4" t="s">
        <v>241</v>
      </c>
      <c r="BB487" s="4" t="s">
        <v>250</v>
      </c>
      <c r="BC487" s="4" t="s">
        <v>241</v>
      </c>
      <c r="BD487" s="4" t="s">
        <v>252</v>
      </c>
      <c r="BE487" s="4" t="s">
        <v>241</v>
      </c>
      <c r="BI487" s="4" t="s">
        <v>253</v>
      </c>
      <c r="BJ487" s="5" t="s">
        <v>246</v>
      </c>
      <c r="BK487" s="4" t="s">
        <v>254</v>
      </c>
      <c r="BL487" s="4" t="s">
        <v>255</v>
      </c>
      <c r="BM487" s="4" t="s">
        <v>241</v>
      </c>
      <c r="BN487" s="6">
        <f>0</f>
        <v>0</v>
      </c>
      <c r="BO487" s="6">
        <f>0</f>
        <v>0</v>
      </c>
      <c r="BP487" s="4" t="s">
        <v>256</v>
      </c>
      <c r="BQ487" s="4" t="s">
        <v>257</v>
      </c>
      <c r="CE487" s="4" t="s">
        <v>241</v>
      </c>
      <c r="CF487" s="4" t="s">
        <v>241</v>
      </c>
      <c r="CJ487" s="4" t="s">
        <v>258</v>
      </c>
      <c r="CK487" s="4" t="s">
        <v>259</v>
      </c>
      <c r="CL487" s="4" t="s">
        <v>241</v>
      </c>
      <c r="CO487" s="5" t="s">
        <v>260</v>
      </c>
      <c r="CP487" s="4" t="s">
        <v>241</v>
      </c>
      <c r="CQ487" s="4" t="s">
        <v>261</v>
      </c>
      <c r="CR487" s="4" t="s">
        <v>241</v>
      </c>
      <c r="CS487" s="4" t="s">
        <v>241</v>
      </c>
      <c r="CT487" s="4">
        <v>0</v>
      </c>
      <c r="CU487" s="4" t="s">
        <v>262</v>
      </c>
      <c r="CV487" s="4" t="s">
        <v>263</v>
      </c>
      <c r="CW487" s="4" t="s">
        <v>263</v>
      </c>
      <c r="CX487" s="4" t="s">
        <v>264</v>
      </c>
      <c r="DA487" s="6">
        <f>10054</f>
        <v>10054</v>
      </c>
      <c r="DC487" s="4" t="s">
        <v>3160</v>
      </c>
      <c r="DD487" s="4" t="s">
        <v>241</v>
      </c>
      <c r="DF487" s="4" t="s">
        <v>287</v>
      </c>
      <c r="DG487" s="6">
        <f>0</f>
        <v>0</v>
      </c>
      <c r="DI487" s="4" t="s">
        <v>3167</v>
      </c>
      <c r="DJ487" s="4" t="s">
        <v>241</v>
      </c>
      <c r="DK487" s="4" t="s">
        <v>241</v>
      </c>
      <c r="DL487" s="4" t="s">
        <v>241</v>
      </c>
      <c r="DP487" s="4" t="s">
        <v>241</v>
      </c>
      <c r="DQ487" s="4" t="s">
        <v>241</v>
      </c>
      <c r="DR487" s="4" t="s">
        <v>241</v>
      </c>
      <c r="DS487" s="4" t="s">
        <v>241</v>
      </c>
      <c r="DV487" s="4" t="s">
        <v>4520</v>
      </c>
      <c r="DW487" s="4" t="s">
        <v>1914</v>
      </c>
      <c r="HO487" s="4" t="s">
        <v>267</v>
      </c>
    </row>
    <row r="488" spans="1:223" ht="19.5" customHeight="1" x14ac:dyDescent="0.4">
      <c r="A488" s="4">
        <v>1</v>
      </c>
      <c r="B488" s="4" t="s">
        <v>239</v>
      </c>
      <c r="C488" s="4">
        <v>1350</v>
      </c>
      <c r="D488" s="4">
        <v>1</v>
      </c>
      <c r="E488" s="4">
        <v>1</v>
      </c>
      <c r="F488" s="4" t="s">
        <v>240</v>
      </c>
      <c r="G488" s="4" t="s">
        <v>241</v>
      </c>
      <c r="H488" s="4" t="s">
        <v>241</v>
      </c>
      <c r="I488" s="4" t="s">
        <v>4518</v>
      </c>
      <c r="J488" s="4" t="s">
        <v>3158</v>
      </c>
      <c r="K488" s="4" t="s">
        <v>251</v>
      </c>
      <c r="L488" s="4" t="s">
        <v>3180</v>
      </c>
      <c r="M488" s="5" t="s">
        <v>4729</v>
      </c>
      <c r="N488" s="6">
        <f>1397</f>
        <v>1397</v>
      </c>
      <c r="O488" s="4" t="s">
        <v>265</v>
      </c>
      <c r="P488" s="6">
        <f>15367</f>
        <v>15367</v>
      </c>
      <c r="Q488" s="6">
        <f>0</f>
        <v>0</v>
      </c>
      <c r="S488" s="6">
        <f>0</f>
        <v>0</v>
      </c>
      <c r="T488" s="6">
        <f>15367</f>
        <v>15367</v>
      </c>
      <c r="U488" s="5" t="s">
        <v>245</v>
      </c>
      <c r="V488" s="4" t="s">
        <v>270</v>
      </c>
      <c r="W488" s="4" t="s">
        <v>242</v>
      </c>
      <c r="X488" s="4" t="s">
        <v>243</v>
      </c>
      <c r="Y488" s="4" t="s">
        <v>241</v>
      </c>
      <c r="AB488" s="4" t="s">
        <v>241</v>
      </c>
      <c r="AD488" s="5" t="s">
        <v>241</v>
      </c>
      <c r="AG488" s="5" t="s">
        <v>246</v>
      </c>
      <c r="AH488" s="4" t="s">
        <v>241</v>
      </c>
      <c r="AI488" s="4" t="s">
        <v>247</v>
      </c>
      <c r="AJ488" s="4" t="s">
        <v>248</v>
      </c>
      <c r="AZ488" s="4" t="s">
        <v>249</v>
      </c>
      <c r="BA488" s="4" t="s">
        <v>241</v>
      </c>
      <c r="BB488" s="4" t="s">
        <v>250</v>
      </c>
      <c r="BC488" s="4" t="s">
        <v>241</v>
      </c>
      <c r="BD488" s="4" t="s">
        <v>252</v>
      </c>
      <c r="BE488" s="4" t="s">
        <v>241</v>
      </c>
      <c r="BI488" s="4" t="s">
        <v>253</v>
      </c>
      <c r="BJ488" s="5" t="s">
        <v>246</v>
      </c>
      <c r="BK488" s="4" t="s">
        <v>254</v>
      </c>
      <c r="BL488" s="4" t="s">
        <v>255</v>
      </c>
      <c r="BM488" s="4" t="s">
        <v>241</v>
      </c>
      <c r="BN488" s="6">
        <f>0</f>
        <v>0</v>
      </c>
      <c r="BO488" s="6">
        <f>0</f>
        <v>0</v>
      </c>
      <c r="BP488" s="4" t="s">
        <v>256</v>
      </c>
      <c r="BQ488" s="4" t="s">
        <v>257</v>
      </c>
      <c r="CE488" s="4" t="s">
        <v>241</v>
      </c>
      <c r="CF488" s="4" t="s">
        <v>241</v>
      </c>
      <c r="CJ488" s="4" t="s">
        <v>258</v>
      </c>
      <c r="CK488" s="4" t="s">
        <v>259</v>
      </c>
      <c r="CL488" s="4" t="s">
        <v>241</v>
      </c>
      <c r="CO488" s="5" t="s">
        <v>260</v>
      </c>
      <c r="CP488" s="4" t="s">
        <v>241</v>
      </c>
      <c r="CQ488" s="4" t="s">
        <v>261</v>
      </c>
      <c r="CR488" s="4" t="s">
        <v>241</v>
      </c>
      <c r="CS488" s="4" t="s">
        <v>241</v>
      </c>
      <c r="CT488" s="4">
        <v>0</v>
      </c>
      <c r="CU488" s="4" t="s">
        <v>262</v>
      </c>
      <c r="CV488" s="4" t="s">
        <v>263</v>
      </c>
      <c r="CW488" s="4" t="s">
        <v>263</v>
      </c>
      <c r="CX488" s="4" t="s">
        <v>264</v>
      </c>
      <c r="DA488" s="6">
        <f>15367</f>
        <v>15367</v>
      </c>
      <c r="DC488" s="4" t="s">
        <v>3160</v>
      </c>
      <c r="DD488" s="4" t="s">
        <v>241</v>
      </c>
      <c r="DF488" s="4" t="s">
        <v>287</v>
      </c>
      <c r="DG488" s="6">
        <f>0</f>
        <v>0</v>
      </c>
      <c r="DI488" s="4" t="s">
        <v>3167</v>
      </c>
      <c r="DJ488" s="4" t="s">
        <v>241</v>
      </c>
      <c r="DK488" s="4" t="s">
        <v>241</v>
      </c>
      <c r="DL488" s="4" t="s">
        <v>241</v>
      </c>
      <c r="DP488" s="4" t="s">
        <v>241</v>
      </c>
      <c r="DQ488" s="4" t="s">
        <v>241</v>
      </c>
      <c r="DR488" s="4" t="s">
        <v>241</v>
      </c>
      <c r="DS488" s="4" t="s">
        <v>241</v>
      </c>
      <c r="DV488" s="4" t="s">
        <v>4520</v>
      </c>
      <c r="DW488" s="4" t="s">
        <v>1767</v>
      </c>
      <c r="HO488" s="4" t="s">
        <v>267</v>
      </c>
    </row>
    <row r="489" spans="1:223" ht="19.5" customHeight="1" x14ac:dyDescent="0.4">
      <c r="A489" s="4">
        <v>1</v>
      </c>
      <c r="B489" s="4" t="s">
        <v>239</v>
      </c>
      <c r="C489" s="4">
        <v>1351</v>
      </c>
      <c r="D489" s="4">
        <v>1</v>
      </c>
      <c r="E489" s="4">
        <v>1</v>
      </c>
      <c r="F489" s="4" t="s">
        <v>240</v>
      </c>
      <c r="G489" s="4" t="s">
        <v>241</v>
      </c>
      <c r="H489" s="4" t="s">
        <v>241</v>
      </c>
      <c r="I489" s="4" t="s">
        <v>4518</v>
      </c>
      <c r="J489" s="4" t="s">
        <v>3158</v>
      </c>
      <c r="K489" s="4" t="s">
        <v>251</v>
      </c>
      <c r="L489" s="4" t="s">
        <v>3180</v>
      </c>
      <c r="M489" s="5" t="s">
        <v>4731</v>
      </c>
      <c r="N489" s="6">
        <f>729</f>
        <v>729</v>
      </c>
      <c r="O489" s="4" t="s">
        <v>265</v>
      </c>
      <c r="P489" s="6">
        <f>8019</f>
        <v>8019</v>
      </c>
      <c r="Q489" s="6">
        <f>0</f>
        <v>0</v>
      </c>
      <c r="S489" s="6">
        <f>0</f>
        <v>0</v>
      </c>
      <c r="T489" s="6">
        <f>8019</f>
        <v>8019</v>
      </c>
      <c r="U489" s="5" t="s">
        <v>245</v>
      </c>
      <c r="V489" s="4" t="s">
        <v>270</v>
      </c>
      <c r="W489" s="4" t="s">
        <v>242</v>
      </c>
      <c r="X489" s="4" t="s">
        <v>243</v>
      </c>
      <c r="Y489" s="4" t="s">
        <v>241</v>
      </c>
      <c r="AB489" s="4" t="s">
        <v>241</v>
      </c>
      <c r="AD489" s="5" t="s">
        <v>241</v>
      </c>
      <c r="AG489" s="5" t="s">
        <v>246</v>
      </c>
      <c r="AH489" s="4" t="s">
        <v>241</v>
      </c>
      <c r="AI489" s="4" t="s">
        <v>247</v>
      </c>
      <c r="AJ489" s="4" t="s">
        <v>248</v>
      </c>
      <c r="AZ489" s="4" t="s">
        <v>249</v>
      </c>
      <c r="BA489" s="4" t="s">
        <v>241</v>
      </c>
      <c r="BB489" s="4" t="s">
        <v>250</v>
      </c>
      <c r="BC489" s="4" t="s">
        <v>241</v>
      </c>
      <c r="BD489" s="4" t="s">
        <v>252</v>
      </c>
      <c r="BE489" s="4" t="s">
        <v>241</v>
      </c>
      <c r="BI489" s="4" t="s">
        <v>253</v>
      </c>
      <c r="BJ489" s="5" t="s">
        <v>246</v>
      </c>
      <c r="BK489" s="4" t="s">
        <v>254</v>
      </c>
      <c r="BL489" s="4" t="s">
        <v>255</v>
      </c>
      <c r="BM489" s="4" t="s">
        <v>241</v>
      </c>
      <c r="BN489" s="6">
        <f>0</f>
        <v>0</v>
      </c>
      <c r="BO489" s="6">
        <f>0</f>
        <v>0</v>
      </c>
      <c r="BP489" s="4" t="s">
        <v>256</v>
      </c>
      <c r="BQ489" s="4" t="s">
        <v>257</v>
      </c>
      <c r="CE489" s="4" t="s">
        <v>241</v>
      </c>
      <c r="CF489" s="4" t="s">
        <v>241</v>
      </c>
      <c r="CJ489" s="4" t="s">
        <v>258</v>
      </c>
      <c r="CK489" s="4" t="s">
        <v>259</v>
      </c>
      <c r="CL489" s="4" t="s">
        <v>241</v>
      </c>
      <c r="CO489" s="5" t="s">
        <v>260</v>
      </c>
      <c r="CP489" s="4" t="s">
        <v>241</v>
      </c>
      <c r="CQ489" s="4" t="s">
        <v>261</v>
      </c>
      <c r="CR489" s="4" t="s">
        <v>241</v>
      </c>
      <c r="CS489" s="4" t="s">
        <v>241</v>
      </c>
      <c r="CT489" s="4">
        <v>0</v>
      </c>
      <c r="CU489" s="4" t="s">
        <v>262</v>
      </c>
      <c r="CV489" s="4" t="s">
        <v>263</v>
      </c>
      <c r="CW489" s="4" t="s">
        <v>263</v>
      </c>
      <c r="CX489" s="4" t="s">
        <v>264</v>
      </c>
      <c r="DA489" s="6">
        <f>8019</f>
        <v>8019</v>
      </c>
      <c r="DC489" s="4" t="s">
        <v>3160</v>
      </c>
      <c r="DD489" s="4" t="s">
        <v>241</v>
      </c>
      <c r="DF489" s="4" t="s">
        <v>287</v>
      </c>
      <c r="DG489" s="6">
        <f>0</f>
        <v>0</v>
      </c>
      <c r="DI489" s="4" t="s">
        <v>3167</v>
      </c>
      <c r="DJ489" s="4" t="s">
        <v>241</v>
      </c>
      <c r="DK489" s="4" t="s">
        <v>241</v>
      </c>
      <c r="DL489" s="4" t="s">
        <v>241</v>
      </c>
      <c r="DP489" s="4" t="s">
        <v>241</v>
      </c>
      <c r="DQ489" s="4" t="s">
        <v>241</v>
      </c>
      <c r="DR489" s="4" t="s">
        <v>241</v>
      </c>
      <c r="DS489" s="4" t="s">
        <v>241</v>
      </c>
      <c r="DV489" s="4" t="s">
        <v>4520</v>
      </c>
      <c r="DW489" s="4" t="s">
        <v>1764</v>
      </c>
      <c r="HO489" s="4" t="s">
        <v>267</v>
      </c>
    </row>
    <row r="490" spans="1:223" ht="19.5" customHeight="1" x14ac:dyDescent="0.4">
      <c r="A490" s="4">
        <v>1</v>
      </c>
      <c r="B490" s="4" t="s">
        <v>239</v>
      </c>
      <c r="C490" s="4">
        <v>1352</v>
      </c>
      <c r="D490" s="4">
        <v>1</v>
      </c>
      <c r="E490" s="4">
        <v>1</v>
      </c>
      <c r="F490" s="4" t="s">
        <v>240</v>
      </c>
      <c r="G490" s="4" t="s">
        <v>241</v>
      </c>
      <c r="H490" s="4" t="s">
        <v>241</v>
      </c>
      <c r="I490" s="4" t="s">
        <v>4518</v>
      </c>
      <c r="J490" s="4" t="s">
        <v>3158</v>
      </c>
      <c r="K490" s="4" t="s">
        <v>251</v>
      </c>
      <c r="L490" s="4" t="s">
        <v>3180</v>
      </c>
      <c r="M490" s="5" t="s">
        <v>4734</v>
      </c>
      <c r="N490" s="6">
        <f>6575</f>
        <v>6575</v>
      </c>
      <c r="O490" s="4" t="s">
        <v>265</v>
      </c>
      <c r="P490" s="6">
        <f>72325</f>
        <v>72325</v>
      </c>
      <c r="Q490" s="6">
        <f>0</f>
        <v>0</v>
      </c>
      <c r="S490" s="6">
        <f>0</f>
        <v>0</v>
      </c>
      <c r="T490" s="6">
        <f>72325</f>
        <v>72325</v>
      </c>
      <c r="U490" s="5" t="s">
        <v>245</v>
      </c>
      <c r="V490" s="4" t="s">
        <v>270</v>
      </c>
      <c r="W490" s="4" t="s">
        <v>242</v>
      </c>
      <c r="X490" s="4" t="s">
        <v>243</v>
      </c>
      <c r="Y490" s="4" t="s">
        <v>241</v>
      </c>
      <c r="AB490" s="4" t="s">
        <v>241</v>
      </c>
      <c r="AD490" s="5" t="s">
        <v>241</v>
      </c>
      <c r="AG490" s="5" t="s">
        <v>246</v>
      </c>
      <c r="AH490" s="4" t="s">
        <v>241</v>
      </c>
      <c r="AI490" s="4" t="s">
        <v>247</v>
      </c>
      <c r="AJ490" s="4" t="s">
        <v>248</v>
      </c>
      <c r="AZ490" s="4" t="s">
        <v>249</v>
      </c>
      <c r="BA490" s="4" t="s">
        <v>241</v>
      </c>
      <c r="BB490" s="4" t="s">
        <v>250</v>
      </c>
      <c r="BC490" s="4" t="s">
        <v>241</v>
      </c>
      <c r="BD490" s="4" t="s">
        <v>252</v>
      </c>
      <c r="BE490" s="4" t="s">
        <v>241</v>
      </c>
      <c r="BI490" s="4" t="s">
        <v>253</v>
      </c>
      <c r="BJ490" s="5" t="s">
        <v>246</v>
      </c>
      <c r="BK490" s="4" t="s">
        <v>254</v>
      </c>
      <c r="BL490" s="4" t="s">
        <v>255</v>
      </c>
      <c r="BM490" s="4" t="s">
        <v>241</v>
      </c>
      <c r="BN490" s="6">
        <f>0</f>
        <v>0</v>
      </c>
      <c r="BO490" s="6">
        <f>0</f>
        <v>0</v>
      </c>
      <c r="BP490" s="4" t="s">
        <v>256</v>
      </c>
      <c r="BQ490" s="4" t="s">
        <v>257</v>
      </c>
      <c r="CE490" s="4" t="s">
        <v>241</v>
      </c>
      <c r="CF490" s="4" t="s">
        <v>241</v>
      </c>
      <c r="CJ490" s="4" t="s">
        <v>258</v>
      </c>
      <c r="CK490" s="4" t="s">
        <v>259</v>
      </c>
      <c r="CL490" s="4" t="s">
        <v>241</v>
      </c>
      <c r="CO490" s="5" t="s">
        <v>260</v>
      </c>
      <c r="CP490" s="4" t="s">
        <v>241</v>
      </c>
      <c r="CQ490" s="4" t="s">
        <v>261</v>
      </c>
      <c r="CR490" s="4" t="s">
        <v>241</v>
      </c>
      <c r="CS490" s="4" t="s">
        <v>241</v>
      </c>
      <c r="CT490" s="4">
        <v>0</v>
      </c>
      <c r="CU490" s="4" t="s">
        <v>262</v>
      </c>
      <c r="CV490" s="4" t="s">
        <v>263</v>
      </c>
      <c r="CW490" s="4" t="s">
        <v>263</v>
      </c>
      <c r="CX490" s="4" t="s">
        <v>264</v>
      </c>
      <c r="DA490" s="6">
        <f>72325</f>
        <v>72325</v>
      </c>
      <c r="DC490" s="4" t="s">
        <v>3160</v>
      </c>
      <c r="DD490" s="4" t="s">
        <v>241</v>
      </c>
      <c r="DF490" s="4" t="s">
        <v>287</v>
      </c>
      <c r="DG490" s="6">
        <f>0</f>
        <v>0</v>
      </c>
      <c r="DI490" s="4" t="s">
        <v>3167</v>
      </c>
      <c r="DJ490" s="4" t="s">
        <v>241</v>
      </c>
      <c r="DK490" s="4" t="s">
        <v>241</v>
      </c>
      <c r="DL490" s="4" t="s">
        <v>241</v>
      </c>
      <c r="DP490" s="4" t="s">
        <v>241</v>
      </c>
      <c r="DQ490" s="4" t="s">
        <v>241</v>
      </c>
      <c r="DR490" s="4" t="s">
        <v>241</v>
      </c>
      <c r="DS490" s="4" t="s">
        <v>241</v>
      </c>
      <c r="DV490" s="4" t="s">
        <v>4520</v>
      </c>
      <c r="DW490" s="4" t="s">
        <v>1762</v>
      </c>
      <c r="HO490" s="4" t="s">
        <v>267</v>
      </c>
    </row>
    <row r="491" spans="1:223" ht="19.5" customHeight="1" x14ac:dyDescent="0.4">
      <c r="A491" s="4">
        <v>1</v>
      </c>
      <c r="B491" s="4" t="s">
        <v>239</v>
      </c>
      <c r="C491" s="4">
        <v>1353</v>
      </c>
      <c r="D491" s="4">
        <v>1</v>
      </c>
      <c r="E491" s="4">
        <v>1</v>
      </c>
      <c r="F491" s="4" t="s">
        <v>240</v>
      </c>
      <c r="G491" s="4" t="s">
        <v>241</v>
      </c>
      <c r="H491" s="4" t="s">
        <v>241</v>
      </c>
      <c r="I491" s="4" t="s">
        <v>4518</v>
      </c>
      <c r="J491" s="4" t="s">
        <v>3158</v>
      </c>
      <c r="K491" s="4" t="s">
        <v>251</v>
      </c>
      <c r="L491" s="4" t="s">
        <v>3180</v>
      </c>
      <c r="M491" s="5" t="s">
        <v>4524</v>
      </c>
      <c r="N491" s="6">
        <f>363</f>
        <v>363</v>
      </c>
      <c r="O491" s="4" t="s">
        <v>265</v>
      </c>
      <c r="P491" s="6">
        <f>3993</f>
        <v>3993</v>
      </c>
      <c r="Q491" s="6">
        <f>0</f>
        <v>0</v>
      </c>
      <c r="S491" s="6">
        <f>0</f>
        <v>0</v>
      </c>
      <c r="T491" s="6">
        <f>3993</f>
        <v>3993</v>
      </c>
      <c r="U491" s="5" t="s">
        <v>245</v>
      </c>
      <c r="V491" s="4" t="s">
        <v>270</v>
      </c>
      <c r="W491" s="4" t="s">
        <v>242</v>
      </c>
      <c r="X491" s="4" t="s">
        <v>243</v>
      </c>
      <c r="Y491" s="4" t="s">
        <v>241</v>
      </c>
      <c r="AB491" s="4" t="s">
        <v>241</v>
      </c>
      <c r="AD491" s="5" t="s">
        <v>241</v>
      </c>
      <c r="AG491" s="5" t="s">
        <v>246</v>
      </c>
      <c r="AH491" s="4" t="s">
        <v>241</v>
      </c>
      <c r="AI491" s="4" t="s">
        <v>247</v>
      </c>
      <c r="AJ491" s="4" t="s">
        <v>248</v>
      </c>
      <c r="AZ491" s="4" t="s">
        <v>249</v>
      </c>
      <c r="BA491" s="4" t="s">
        <v>241</v>
      </c>
      <c r="BB491" s="4" t="s">
        <v>250</v>
      </c>
      <c r="BC491" s="4" t="s">
        <v>241</v>
      </c>
      <c r="BD491" s="4" t="s">
        <v>252</v>
      </c>
      <c r="BE491" s="4" t="s">
        <v>241</v>
      </c>
      <c r="BI491" s="4" t="s">
        <v>253</v>
      </c>
      <c r="BJ491" s="5" t="s">
        <v>246</v>
      </c>
      <c r="BK491" s="4" t="s">
        <v>254</v>
      </c>
      <c r="BL491" s="4" t="s">
        <v>255</v>
      </c>
      <c r="BM491" s="4" t="s">
        <v>241</v>
      </c>
      <c r="BN491" s="6">
        <f>0</f>
        <v>0</v>
      </c>
      <c r="BO491" s="6">
        <f>0</f>
        <v>0</v>
      </c>
      <c r="BP491" s="4" t="s">
        <v>256</v>
      </c>
      <c r="BQ491" s="4" t="s">
        <v>257</v>
      </c>
      <c r="CE491" s="4" t="s">
        <v>241</v>
      </c>
      <c r="CF491" s="4" t="s">
        <v>241</v>
      </c>
      <c r="CJ491" s="4" t="s">
        <v>258</v>
      </c>
      <c r="CK491" s="4" t="s">
        <v>259</v>
      </c>
      <c r="CL491" s="4" t="s">
        <v>241</v>
      </c>
      <c r="CO491" s="5" t="s">
        <v>260</v>
      </c>
      <c r="CP491" s="4" t="s">
        <v>241</v>
      </c>
      <c r="CQ491" s="4" t="s">
        <v>261</v>
      </c>
      <c r="CR491" s="4" t="s">
        <v>241</v>
      </c>
      <c r="CS491" s="4" t="s">
        <v>241</v>
      </c>
      <c r="CT491" s="4">
        <v>0</v>
      </c>
      <c r="CU491" s="4" t="s">
        <v>262</v>
      </c>
      <c r="CV491" s="4" t="s">
        <v>263</v>
      </c>
      <c r="CW491" s="4" t="s">
        <v>263</v>
      </c>
      <c r="CX491" s="4" t="s">
        <v>264</v>
      </c>
      <c r="DA491" s="6">
        <f>3993</f>
        <v>3993</v>
      </c>
      <c r="DC491" s="4" t="s">
        <v>3160</v>
      </c>
      <c r="DD491" s="4" t="s">
        <v>241</v>
      </c>
      <c r="DF491" s="4" t="s">
        <v>287</v>
      </c>
      <c r="DG491" s="6">
        <f>0</f>
        <v>0</v>
      </c>
      <c r="DI491" s="4" t="s">
        <v>3167</v>
      </c>
      <c r="DJ491" s="4" t="s">
        <v>241</v>
      </c>
      <c r="DK491" s="4" t="s">
        <v>241</v>
      </c>
      <c r="DL491" s="4" t="s">
        <v>241</v>
      </c>
      <c r="DP491" s="4" t="s">
        <v>241</v>
      </c>
      <c r="DQ491" s="4" t="s">
        <v>241</v>
      </c>
      <c r="DR491" s="4" t="s">
        <v>241</v>
      </c>
      <c r="DS491" s="4" t="s">
        <v>241</v>
      </c>
      <c r="DV491" s="4" t="s">
        <v>4520</v>
      </c>
      <c r="DW491" s="4" t="s">
        <v>1759</v>
      </c>
      <c r="HO491" s="4" t="s">
        <v>267</v>
      </c>
    </row>
    <row r="492" spans="1:223" ht="19.5" customHeight="1" x14ac:dyDescent="0.4">
      <c r="A492" s="4">
        <v>1</v>
      </c>
      <c r="B492" s="4" t="s">
        <v>239</v>
      </c>
      <c r="C492" s="4">
        <v>1354</v>
      </c>
      <c r="D492" s="4">
        <v>1</v>
      </c>
      <c r="E492" s="4">
        <v>1</v>
      </c>
      <c r="F492" s="4" t="s">
        <v>240</v>
      </c>
      <c r="G492" s="4" t="s">
        <v>241</v>
      </c>
      <c r="H492" s="4" t="s">
        <v>241</v>
      </c>
      <c r="I492" s="4" t="s">
        <v>4518</v>
      </c>
      <c r="J492" s="4" t="s">
        <v>3158</v>
      </c>
      <c r="K492" s="4" t="s">
        <v>251</v>
      </c>
      <c r="L492" s="4" t="s">
        <v>3180</v>
      </c>
      <c r="M492" s="5" t="s">
        <v>4525</v>
      </c>
      <c r="N492" s="6">
        <f>663</f>
        <v>663</v>
      </c>
      <c r="O492" s="4" t="s">
        <v>265</v>
      </c>
      <c r="P492" s="6">
        <f>7293</f>
        <v>7293</v>
      </c>
      <c r="Q492" s="6">
        <f>0</f>
        <v>0</v>
      </c>
      <c r="S492" s="6">
        <f>0</f>
        <v>0</v>
      </c>
      <c r="T492" s="6">
        <f>7293</f>
        <v>7293</v>
      </c>
      <c r="U492" s="5" t="s">
        <v>245</v>
      </c>
      <c r="V492" s="4" t="s">
        <v>270</v>
      </c>
      <c r="W492" s="4" t="s">
        <v>242</v>
      </c>
      <c r="X492" s="4" t="s">
        <v>243</v>
      </c>
      <c r="Y492" s="4" t="s">
        <v>241</v>
      </c>
      <c r="AB492" s="4" t="s">
        <v>241</v>
      </c>
      <c r="AD492" s="5" t="s">
        <v>241</v>
      </c>
      <c r="AG492" s="5" t="s">
        <v>246</v>
      </c>
      <c r="AH492" s="4" t="s">
        <v>241</v>
      </c>
      <c r="AI492" s="4" t="s">
        <v>247</v>
      </c>
      <c r="AJ492" s="4" t="s">
        <v>248</v>
      </c>
      <c r="AZ492" s="4" t="s">
        <v>249</v>
      </c>
      <c r="BA492" s="4" t="s">
        <v>241</v>
      </c>
      <c r="BB492" s="4" t="s">
        <v>250</v>
      </c>
      <c r="BC492" s="4" t="s">
        <v>241</v>
      </c>
      <c r="BD492" s="4" t="s">
        <v>252</v>
      </c>
      <c r="BE492" s="4" t="s">
        <v>241</v>
      </c>
      <c r="BI492" s="4" t="s">
        <v>253</v>
      </c>
      <c r="BJ492" s="5" t="s">
        <v>246</v>
      </c>
      <c r="BK492" s="4" t="s">
        <v>254</v>
      </c>
      <c r="BL492" s="4" t="s">
        <v>255</v>
      </c>
      <c r="BM492" s="4" t="s">
        <v>241</v>
      </c>
      <c r="BN492" s="6">
        <f>0</f>
        <v>0</v>
      </c>
      <c r="BO492" s="6">
        <f>0</f>
        <v>0</v>
      </c>
      <c r="BP492" s="4" t="s">
        <v>256</v>
      </c>
      <c r="BQ492" s="4" t="s">
        <v>257</v>
      </c>
      <c r="CE492" s="4" t="s">
        <v>241</v>
      </c>
      <c r="CF492" s="4" t="s">
        <v>241</v>
      </c>
      <c r="CJ492" s="4" t="s">
        <v>258</v>
      </c>
      <c r="CK492" s="4" t="s">
        <v>259</v>
      </c>
      <c r="CL492" s="4" t="s">
        <v>241</v>
      </c>
      <c r="CO492" s="5" t="s">
        <v>260</v>
      </c>
      <c r="CP492" s="4" t="s">
        <v>241</v>
      </c>
      <c r="CQ492" s="4" t="s">
        <v>261</v>
      </c>
      <c r="CR492" s="4" t="s">
        <v>241</v>
      </c>
      <c r="CS492" s="4" t="s">
        <v>241</v>
      </c>
      <c r="CT492" s="4">
        <v>0</v>
      </c>
      <c r="CU492" s="4" t="s">
        <v>262</v>
      </c>
      <c r="CV492" s="4" t="s">
        <v>263</v>
      </c>
      <c r="CW492" s="4" t="s">
        <v>263</v>
      </c>
      <c r="CX492" s="4" t="s">
        <v>264</v>
      </c>
      <c r="DA492" s="6">
        <f>7293</f>
        <v>7293</v>
      </c>
      <c r="DC492" s="4" t="s">
        <v>3160</v>
      </c>
      <c r="DD492" s="4" t="s">
        <v>241</v>
      </c>
      <c r="DF492" s="4" t="s">
        <v>287</v>
      </c>
      <c r="DG492" s="6">
        <f>0</f>
        <v>0</v>
      </c>
      <c r="DI492" s="4" t="s">
        <v>3167</v>
      </c>
      <c r="DJ492" s="4" t="s">
        <v>241</v>
      </c>
      <c r="DK492" s="4" t="s">
        <v>241</v>
      </c>
      <c r="DL492" s="4" t="s">
        <v>241</v>
      </c>
      <c r="DP492" s="4" t="s">
        <v>241</v>
      </c>
      <c r="DQ492" s="4" t="s">
        <v>241</v>
      </c>
      <c r="DR492" s="4" t="s">
        <v>241</v>
      </c>
      <c r="DS492" s="4" t="s">
        <v>241</v>
      </c>
      <c r="DV492" s="4" t="s">
        <v>4520</v>
      </c>
      <c r="DW492" s="4" t="s">
        <v>1755</v>
      </c>
      <c r="HO492" s="4" t="s">
        <v>267</v>
      </c>
    </row>
    <row r="493" spans="1:223" ht="19.5" customHeight="1" x14ac:dyDescent="0.4">
      <c r="A493" s="4">
        <v>1</v>
      </c>
      <c r="B493" s="4" t="s">
        <v>239</v>
      </c>
      <c r="C493" s="4">
        <v>1355</v>
      </c>
      <c r="D493" s="4">
        <v>1</v>
      </c>
      <c r="E493" s="4">
        <v>1</v>
      </c>
      <c r="F493" s="4" t="s">
        <v>240</v>
      </c>
      <c r="G493" s="4" t="s">
        <v>241</v>
      </c>
      <c r="H493" s="4" t="s">
        <v>241</v>
      </c>
      <c r="I493" s="4" t="s">
        <v>4518</v>
      </c>
      <c r="J493" s="4" t="s">
        <v>3158</v>
      </c>
      <c r="K493" s="4" t="s">
        <v>251</v>
      </c>
      <c r="L493" s="4" t="s">
        <v>3180</v>
      </c>
      <c r="M493" s="5" t="s">
        <v>4706</v>
      </c>
      <c r="N493" s="6">
        <f>2147</f>
        <v>2147</v>
      </c>
      <c r="O493" s="4" t="s">
        <v>265</v>
      </c>
      <c r="P493" s="6">
        <f>23617</f>
        <v>23617</v>
      </c>
      <c r="Q493" s="6">
        <f>0</f>
        <v>0</v>
      </c>
      <c r="S493" s="6">
        <f>0</f>
        <v>0</v>
      </c>
      <c r="T493" s="6">
        <f>23617</f>
        <v>23617</v>
      </c>
      <c r="U493" s="5" t="s">
        <v>245</v>
      </c>
      <c r="V493" s="4" t="s">
        <v>270</v>
      </c>
      <c r="W493" s="4" t="s">
        <v>242</v>
      </c>
      <c r="X493" s="4" t="s">
        <v>243</v>
      </c>
      <c r="Y493" s="4" t="s">
        <v>241</v>
      </c>
      <c r="AB493" s="4" t="s">
        <v>241</v>
      </c>
      <c r="AD493" s="5" t="s">
        <v>241</v>
      </c>
      <c r="AG493" s="5" t="s">
        <v>246</v>
      </c>
      <c r="AH493" s="4" t="s">
        <v>241</v>
      </c>
      <c r="AI493" s="4" t="s">
        <v>247</v>
      </c>
      <c r="AJ493" s="4" t="s">
        <v>248</v>
      </c>
      <c r="AZ493" s="4" t="s">
        <v>249</v>
      </c>
      <c r="BA493" s="4" t="s">
        <v>241</v>
      </c>
      <c r="BB493" s="4" t="s">
        <v>250</v>
      </c>
      <c r="BC493" s="4" t="s">
        <v>241</v>
      </c>
      <c r="BD493" s="4" t="s">
        <v>252</v>
      </c>
      <c r="BE493" s="4" t="s">
        <v>241</v>
      </c>
      <c r="BI493" s="4" t="s">
        <v>253</v>
      </c>
      <c r="BJ493" s="5" t="s">
        <v>246</v>
      </c>
      <c r="BK493" s="4" t="s">
        <v>254</v>
      </c>
      <c r="BL493" s="4" t="s">
        <v>255</v>
      </c>
      <c r="BM493" s="4" t="s">
        <v>241</v>
      </c>
      <c r="BN493" s="6">
        <f>0</f>
        <v>0</v>
      </c>
      <c r="BO493" s="6">
        <f>0</f>
        <v>0</v>
      </c>
      <c r="BP493" s="4" t="s">
        <v>256</v>
      </c>
      <c r="BQ493" s="4" t="s">
        <v>257</v>
      </c>
      <c r="CE493" s="4" t="s">
        <v>241</v>
      </c>
      <c r="CF493" s="4" t="s">
        <v>241</v>
      </c>
      <c r="CJ493" s="4" t="s">
        <v>258</v>
      </c>
      <c r="CK493" s="4" t="s">
        <v>259</v>
      </c>
      <c r="CL493" s="4" t="s">
        <v>241</v>
      </c>
      <c r="CO493" s="5" t="s">
        <v>260</v>
      </c>
      <c r="CP493" s="4" t="s">
        <v>241</v>
      </c>
      <c r="CQ493" s="4" t="s">
        <v>261</v>
      </c>
      <c r="CR493" s="4" t="s">
        <v>241</v>
      </c>
      <c r="CS493" s="4" t="s">
        <v>241</v>
      </c>
      <c r="CT493" s="4">
        <v>0</v>
      </c>
      <c r="CU493" s="4" t="s">
        <v>262</v>
      </c>
      <c r="CV493" s="4" t="s">
        <v>263</v>
      </c>
      <c r="CW493" s="4" t="s">
        <v>263</v>
      </c>
      <c r="CX493" s="4" t="s">
        <v>264</v>
      </c>
      <c r="DA493" s="6">
        <f>23617</f>
        <v>23617</v>
      </c>
      <c r="DC493" s="4" t="s">
        <v>3160</v>
      </c>
      <c r="DD493" s="4" t="s">
        <v>241</v>
      </c>
      <c r="DF493" s="4" t="s">
        <v>287</v>
      </c>
      <c r="DG493" s="6">
        <f>0</f>
        <v>0</v>
      </c>
      <c r="DI493" s="4" t="s">
        <v>3167</v>
      </c>
      <c r="DJ493" s="4" t="s">
        <v>241</v>
      </c>
      <c r="DK493" s="4" t="s">
        <v>241</v>
      </c>
      <c r="DL493" s="4" t="s">
        <v>241</v>
      </c>
      <c r="DP493" s="4" t="s">
        <v>241</v>
      </c>
      <c r="DQ493" s="4" t="s">
        <v>241</v>
      </c>
      <c r="DR493" s="4" t="s">
        <v>241</v>
      </c>
      <c r="DS493" s="4" t="s">
        <v>241</v>
      </c>
      <c r="DV493" s="4" t="s">
        <v>4520</v>
      </c>
      <c r="DW493" s="4" t="s">
        <v>1752</v>
      </c>
      <c r="HO493" s="4" t="s">
        <v>267</v>
      </c>
    </row>
    <row r="494" spans="1:223" ht="19.5" customHeight="1" x14ac:dyDescent="0.4">
      <c r="A494" s="4">
        <v>1</v>
      </c>
      <c r="B494" s="4" t="s">
        <v>239</v>
      </c>
      <c r="C494" s="4">
        <v>1356</v>
      </c>
      <c r="D494" s="4">
        <v>1</v>
      </c>
      <c r="E494" s="4">
        <v>1</v>
      </c>
      <c r="F494" s="4" t="s">
        <v>240</v>
      </c>
      <c r="G494" s="4" t="s">
        <v>241</v>
      </c>
      <c r="H494" s="4" t="s">
        <v>241</v>
      </c>
      <c r="I494" s="4" t="s">
        <v>4518</v>
      </c>
      <c r="J494" s="4" t="s">
        <v>3158</v>
      </c>
      <c r="K494" s="4" t="s">
        <v>251</v>
      </c>
      <c r="L494" s="4" t="s">
        <v>3180</v>
      </c>
      <c r="M494" s="5" t="s">
        <v>4730</v>
      </c>
      <c r="N494" s="6">
        <f>820</f>
        <v>820</v>
      </c>
      <c r="O494" s="4" t="s">
        <v>265</v>
      </c>
      <c r="P494" s="6">
        <f>9020</f>
        <v>9020</v>
      </c>
      <c r="Q494" s="6">
        <f>0</f>
        <v>0</v>
      </c>
      <c r="S494" s="6">
        <f>0</f>
        <v>0</v>
      </c>
      <c r="T494" s="6">
        <f>9020</f>
        <v>9020</v>
      </c>
      <c r="U494" s="5" t="s">
        <v>245</v>
      </c>
      <c r="V494" s="4" t="s">
        <v>270</v>
      </c>
      <c r="W494" s="4" t="s">
        <v>242</v>
      </c>
      <c r="X494" s="4" t="s">
        <v>243</v>
      </c>
      <c r="Y494" s="4" t="s">
        <v>241</v>
      </c>
      <c r="AB494" s="4" t="s">
        <v>241</v>
      </c>
      <c r="AD494" s="5" t="s">
        <v>241</v>
      </c>
      <c r="AG494" s="5" t="s">
        <v>246</v>
      </c>
      <c r="AH494" s="4" t="s">
        <v>241</v>
      </c>
      <c r="AI494" s="4" t="s">
        <v>247</v>
      </c>
      <c r="AJ494" s="4" t="s">
        <v>248</v>
      </c>
      <c r="AZ494" s="4" t="s">
        <v>249</v>
      </c>
      <c r="BA494" s="4" t="s">
        <v>241</v>
      </c>
      <c r="BB494" s="4" t="s">
        <v>250</v>
      </c>
      <c r="BC494" s="4" t="s">
        <v>241</v>
      </c>
      <c r="BD494" s="4" t="s">
        <v>252</v>
      </c>
      <c r="BE494" s="4" t="s">
        <v>241</v>
      </c>
      <c r="BI494" s="4" t="s">
        <v>253</v>
      </c>
      <c r="BJ494" s="5" t="s">
        <v>246</v>
      </c>
      <c r="BK494" s="4" t="s">
        <v>254</v>
      </c>
      <c r="BL494" s="4" t="s">
        <v>255</v>
      </c>
      <c r="BM494" s="4" t="s">
        <v>241</v>
      </c>
      <c r="BN494" s="6">
        <f>0</f>
        <v>0</v>
      </c>
      <c r="BO494" s="6">
        <f>0</f>
        <v>0</v>
      </c>
      <c r="BP494" s="4" t="s">
        <v>256</v>
      </c>
      <c r="BQ494" s="4" t="s">
        <v>257</v>
      </c>
      <c r="CE494" s="4" t="s">
        <v>241</v>
      </c>
      <c r="CF494" s="4" t="s">
        <v>241</v>
      </c>
      <c r="CJ494" s="4" t="s">
        <v>258</v>
      </c>
      <c r="CK494" s="4" t="s">
        <v>259</v>
      </c>
      <c r="CL494" s="4" t="s">
        <v>241</v>
      </c>
      <c r="CO494" s="5" t="s">
        <v>260</v>
      </c>
      <c r="CP494" s="4" t="s">
        <v>241</v>
      </c>
      <c r="CQ494" s="4" t="s">
        <v>261</v>
      </c>
      <c r="CR494" s="4" t="s">
        <v>241</v>
      </c>
      <c r="CS494" s="4" t="s">
        <v>241</v>
      </c>
      <c r="CT494" s="4">
        <v>0</v>
      </c>
      <c r="CU494" s="4" t="s">
        <v>262</v>
      </c>
      <c r="CV494" s="4" t="s">
        <v>263</v>
      </c>
      <c r="CW494" s="4" t="s">
        <v>263</v>
      </c>
      <c r="CX494" s="4" t="s">
        <v>264</v>
      </c>
      <c r="DA494" s="6">
        <f>9020</f>
        <v>9020</v>
      </c>
      <c r="DC494" s="4" t="s">
        <v>3160</v>
      </c>
      <c r="DD494" s="4" t="s">
        <v>241</v>
      </c>
      <c r="DF494" s="4" t="s">
        <v>287</v>
      </c>
      <c r="DG494" s="6">
        <f>0</f>
        <v>0</v>
      </c>
      <c r="DI494" s="4" t="s">
        <v>3167</v>
      </c>
      <c r="DJ494" s="4" t="s">
        <v>241</v>
      </c>
      <c r="DK494" s="4" t="s">
        <v>241</v>
      </c>
      <c r="DL494" s="4" t="s">
        <v>241</v>
      </c>
      <c r="DP494" s="4" t="s">
        <v>241</v>
      </c>
      <c r="DQ494" s="4" t="s">
        <v>241</v>
      </c>
      <c r="DR494" s="4" t="s">
        <v>241</v>
      </c>
      <c r="DS494" s="4" t="s">
        <v>241</v>
      </c>
      <c r="DV494" s="4" t="s">
        <v>4520</v>
      </c>
      <c r="DW494" s="4" t="s">
        <v>1748</v>
      </c>
      <c r="HO494" s="4" t="s">
        <v>267</v>
      </c>
    </row>
    <row r="495" spans="1:223" ht="19.5" customHeight="1" x14ac:dyDescent="0.4">
      <c r="A495" s="4">
        <v>1</v>
      </c>
      <c r="B495" s="4" t="s">
        <v>239</v>
      </c>
      <c r="C495" s="4">
        <v>1357</v>
      </c>
      <c r="D495" s="4">
        <v>1</v>
      </c>
      <c r="E495" s="4">
        <v>1</v>
      </c>
      <c r="F495" s="4" t="s">
        <v>240</v>
      </c>
      <c r="G495" s="4" t="s">
        <v>241</v>
      </c>
      <c r="H495" s="4" t="s">
        <v>241</v>
      </c>
      <c r="I495" s="4" t="s">
        <v>4518</v>
      </c>
      <c r="J495" s="4" t="s">
        <v>3158</v>
      </c>
      <c r="K495" s="4" t="s">
        <v>251</v>
      </c>
      <c r="L495" s="4" t="s">
        <v>3180</v>
      </c>
      <c r="M495" s="5" t="s">
        <v>4711</v>
      </c>
      <c r="N495" s="6">
        <f>863</f>
        <v>863</v>
      </c>
      <c r="O495" s="4" t="s">
        <v>265</v>
      </c>
      <c r="P495" s="6">
        <f>9493</f>
        <v>9493</v>
      </c>
      <c r="Q495" s="6">
        <f>0</f>
        <v>0</v>
      </c>
      <c r="S495" s="6">
        <f>0</f>
        <v>0</v>
      </c>
      <c r="T495" s="6">
        <f>9493</f>
        <v>9493</v>
      </c>
      <c r="U495" s="5" t="s">
        <v>245</v>
      </c>
      <c r="V495" s="4" t="s">
        <v>270</v>
      </c>
      <c r="W495" s="4" t="s">
        <v>242</v>
      </c>
      <c r="X495" s="4" t="s">
        <v>243</v>
      </c>
      <c r="Y495" s="4" t="s">
        <v>241</v>
      </c>
      <c r="AB495" s="4" t="s">
        <v>241</v>
      </c>
      <c r="AD495" s="5" t="s">
        <v>241</v>
      </c>
      <c r="AG495" s="5" t="s">
        <v>246</v>
      </c>
      <c r="AH495" s="4" t="s">
        <v>241</v>
      </c>
      <c r="AI495" s="4" t="s">
        <v>247</v>
      </c>
      <c r="AJ495" s="4" t="s">
        <v>248</v>
      </c>
      <c r="AZ495" s="4" t="s">
        <v>249</v>
      </c>
      <c r="BA495" s="4" t="s">
        <v>241</v>
      </c>
      <c r="BB495" s="4" t="s">
        <v>250</v>
      </c>
      <c r="BC495" s="4" t="s">
        <v>241</v>
      </c>
      <c r="BD495" s="4" t="s">
        <v>252</v>
      </c>
      <c r="BE495" s="4" t="s">
        <v>241</v>
      </c>
      <c r="BI495" s="4" t="s">
        <v>253</v>
      </c>
      <c r="BJ495" s="5" t="s">
        <v>246</v>
      </c>
      <c r="BK495" s="4" t="s">
        <v>254</v>
      </c>
      <c r="BL495" s="4" t="s">
        <v>255</v>
      </c>
      <c r="BM495" s="4" t="s">
        <v>241</v>
      </c>
      <c r="BN495" s="6">
        <f>0</f>
        <v>0</v>
      </c>
      <c r="BO495" s="6">
        <f>0</f>
        <v>0</v>
      </c>
      <c r="BP495" s="4" t="s">
        <v>256</v>
      </c>
      <c r="BQ495" s="4" t="s">
        <v>257</v>
      </c>
      <c r="CE495" s="4" t="s">
        <v>241</v>
      </c>
      <c r="CF495" s="4" t="s">
        <v>241</v>
      </c>
      <c r="CJ495" s="4" t="s">
        <v>258</v>
      </c>
      <c r="CK495" s="4" t="s">
        <v>259</v>
      </c>
      <c r="CL495" s="4" t="s">
        <v>241</v>
      </c>
      <c r="CO495" s="5" t="s">
        <v>260</v>
      </c>
      <c r="CP495" s="4" t="s">
        <v>241</v>
      </c>
      <c r="CQ495" s="4" t="s">
        <v>261</v>
      </c>
      <c r="CR495" s="4" t="s">
        <v>241</v>
      </c>
      <c r="CS495" s="4" t="s">
        <v>241</v>
      </c>
      <c r="CT495" s="4">
        <v>0</v>
      </c>
      <c r="CU495" s="4" t="s">
        <v>262</v>
      </c>
      <c r="CV495" s="4" t="s">
        <v>263</v>
      </c>
      <c r="CW495" s="4" t="s">
        <v>263</v>
      </c>
      <c r="CX495" s="4" t="s">
        <v>264</v>
      </c>
      <c r="DA495" s="6">
        <f>9493</f>
        <v>9493</v>
      </c>
      <c r="DC495" s="4" t="s">
        <v>3160</v>
      </c>
      <c r="DD495" s="4" t="s">
        <v>241</v>
      </c>
      <c r="DF495" s="4" t="s">
        <v>287</v>
      </c>
      <c r="DG495" s="6">
        <f>0</f>
        <v>0</v>
      </c>
      <c r="DI495" s="4" t="s">
        <v>3167</v>
      </c>
      <c r="DJ495" s="4" t="s">
        <v>241</v>
      </c>
      <c r="DK495" s="4" t="s">
        <v>241</v>
      </c>
      <c r="DL495" s="4" t="s">
        <v>241</v>
      </c>
      <c r="DP495" s="4" t="s">
        <v>241</v>
      </c>
      <c r="DQ495" s="4" t="s">
        <v>241</v>
      </c>
      <c r="DR495" s="4" t="s">
        <v>241</v>
      </c>
      <c r="DS495" s="4" t="s">
        <v>241</v>
      </c>
      <c r="DV495" s="4" t="s">
        <v>4520</v>
      </c>
      <c r="DW495" s="4" t="s">
        <v>1746</v>
      </c>
      <c r="HO495" s="4" t="s">
        <v>267</v>
      </c>
    </row>
    <row r="496" spans="1:223" ht="19.5" customHeight="1" x14ac:dyDescent="0.4">
      <c r="A496" s="4">
        <v>1</v>
      </c>
      <c r="B496" s="4" t="s">
        <v>239</v>
      </c>
      <c r="C496" s="4">
        <v>1358</v>
      </c>
      <c r="D496" s="4">
        <v>1</v>
      </c>
      <c r="E496" s="4">
        <v>1</v>
      </c>
      <c r="F496" s="4" t="s">
        <v>240</v>
      </c>
      <c r="G496" s="4" t="s">
        <v>241</v>
      </c>
      <c r="H496" s="4" t="s">
        <v>241</v>
      </c>
      <c r="I496" s="4" t="s">
        <v>4518</v>
      </c>
      <c r="J496" s="4" t="s">
        <v>3158</v>
      </c>
      <c r="K496" s="4" t="s">
        <v>251</v>
      </c>
      <c r="L496" s="4" t="s">
        <v>3180</v>
      </c>
      <c r="M496" s="5" t="s">
        <v>4519</v>
      </c>
      <c r="N496" s="6">
        <f>742</f>
        <v>742</v>
      </c>
      <c r="O496" s="4" t="s">
        <v>265</v>
      </c>
      <c r="P496" s="6">
        <f>8162</f>
        <v>8162</v>
      </c>
      <c r="Q496" s="6">
        <f>0</f>
        <v>0</v>
      </c>
      <c r="S496" s="6">
        <f>0</f>
        <v>0</v>
      </c>
      <c r="T496" s="6">
        <f>8162</f>
        <v>8162</v>
      </c>
      <c r="U496" s="5" t="s">
        <v>245</v>
      </c>
      <c r="V496" s="4" t="s">
        <v>270</v>
      </c>
      <c r="W496" s="4" t="s">
        <v>242</v>
      </c>
      <c r="X496" s="4" t="s">
        <v>243</v>
      </c>
      <c r="Y496" s="4" t="s">
        <v>241</v>
      </c>
      <c r="AB496" s="4" t="s">
        <v>241</v>
      </c>
      <c r="AD496" s="5" t="s">
        <v>241</v>
      </c>
      <c r="AG496" s="5" t="s">
        <v>246</v>
      </c>
      <c r="AH496" s="4" t="s">
        <v>241</v>
      </c>
      <c r="AI496" s="4" t="s">
        <v>247</v>
      </c>
      <c r="AJ496" s="4" t="s">
        <v>248</v>
      </c>
      <c r="AZ496" s="4" t="s">
        <v>249</v>
      </c>
      <c r="BA496" s="4" t="s">
        <v>241</v>
      </c>
      <c r="BB496" s="4" t="s">
        <v>250</v>
      </c>
      <c r="BC496" s="4" t="s">
        <v>241</v>
      </c>
      <c r="BD496" s="4" t="s">
        <v>252</v>
      </c>
      <c r="BE496" s="4" t="s">
        <v>241</v>
      </c>
      <c r="BI496" s="4" t="s">
        <v>253</v>
      </c>
      <c r="BJ496" s="5" t="s">
        <v>246</v>
      </c>
      <c r="BK496" s="4" t="s">
        <v>254</v>
      </c>
      <c r="BL496" s="4" t="s">
        <v>255</v>
      </c>
      <c r="BM496" s="4" t="s">
        <v>241</v>
      </c>
      <c r="BN496" s="6">
        <f>0</f>
        <v>0</v>
      </c>
      <c r="BO496" s="6">
        <f>0</f>
        <v>0</v>
      </c>
      <c r="BP496" s="4" t="s">
        <v>256</v>
      </c>
      <c r="BQ496" s="4" t="s">
        <v>257</v>
      </c>
      <c r="CE496" s="4" t="s">
        <v>241</v>
      </c>
      <c r="CF496" s="4" t="s">
        <v>241</v>
      </c>
      <c r="CJ496" s="4" t="s">
        <v>258</v>
      </c>
      <c r="CK496" s="4" t="s">
        <v>259</v>
      </c>
      <c r="CL496" s="4" t="s">
        <v>241</v>
      </c>
      <c r="CO496" s="5" t="s">
        <v>260</v>
      </c>
      <c r="CP496" s="4" t="s">
        <v>241</v>
      </c>
      <c r="CQ496" s="4" t="s">
        <v>261</v>
      </c>
      <c r="CR496" s="4" t="s">
        <v>241</v>
      </c>
      <c r="CS496" s="4" t="s">
        <v>241</v>
      </c>
      <c r="CT496" s="4">
        <v>0</v>
      </c>
      <c r="CU496" s="4" t="s">
        <v>262</v>
      </c>
      <c r="CV496" s="4" t="s">
        <v>263</v>
      </c>
      <c r="CW496" s="4" t="s">
        <v>263</v>
      </c>
      <c r="CX496" s="4" t="s">
        <v>264</v>
      </c>
      <c r="DA496" s="6">
        <f>8162</f>
        <v>8162</v>
      </c>
      <c r="DC496" s="4" t="s">
        <v>3160</v>
      </c>
      <c r="DD496" s="4" t="s">
        <v>241</v>
      </c>
      <c r="DF496" s="4" t="s">
        <v>287</v>
      </c>
      <c r="DG496" s="6">
        <f>0</f>
        <v>0</v>
      </c>
      <c r="DI496" s="4" t="s">
        <v>3167</v>
      </c>
      <c r="DJ496" s="4" t="s">
        <v>241</v>
      </c>
      <c r="DK496" s="4" t="s">
        <v>241</v>
      </c>
      <c r="DL496" s="4" t="s">
        <v>241</v>
      </c>
      <c r="DP496" s="4" t="s">
        <v>241</v>
      </c>
      <c r="DQ496" s="4" t="s">
        <v>241</v>
      </c>
      <c r="DR496" s="4" t="s">
        <v>241</v>
      </c>
      <c r="DS496" s="4" t="s">
        <v>241</v>
      </c>
      <c r="DV496" s="4" t="s">
        <v>4520</v>
      </c>
      <c r="DW496" s="4" t="s">
        <v>1744</v>
      </c>
      <c r="HO496" s="4" t="s">
        <v>267</v>
      </c>
    </row>
    <row r="497" spans="1:223" ht="19.5" customHeight="1" x14ac:dyDescent="0.4">
      <c r="A497" s="4">
        <v>1</v>
      </c>
      <c r="B497" s="4" t="s">
        <v>239</v>
      </c>
      <c r="C497" s="4">
        <v>1359</v>
      </c>
      <c r="D497" s="4">
        <v>1</v>
      </c>
      <c r="E497" s="4">
        <v>1</v>
      </c>
      <c r="F497" s="4" t="s">
        <v>240</v>
      </c>
      <c r="G497" s="4" t="s">
        <v>241</v>
      </c>
      <c r="H497" s="4" t="s">
        <v>241</v>
      </c>
      <c r="I497" s="4" t="s">
        <v>4518</v>
      </c>
      <c r="J497" s="4" t="s">
        <v>3158</v>
      </c>
      <c r="K497" s="4" t="s">
        <v>251</v>
      </c>
      <c r="L497" s="4" t="s">
        <v>3180</v>
      </c>
      <c r="M497" s="5" t="s">
        <v>5435</v>
      </c>
      <c r="N497" s="6">
        <f>722</f>
        <v>722</v>
      </c>
      <c r="O497" s="4" t="s">
        <v>265</v>
      </c>
      <c r="P497" s="6">
        <f>7942</f>
        <v>7942</v>
      </c>
      <c r="Q497" s="6">
        <f>0</f>
        <v>0</v>
      </c>
      <c r="S497" s="6">
        <f>0</f>
        <v>0</v>
      </c>
      <c r="T497" s="6">
        <f>7942</f>
        <v>7942</v>
      </c>
      <c r="U497" s="5" t="s">
        <v>245</v>
      </c>
      <c r="V497" s="4" t="s">
        <v>270</v>
      </c>
      <c r="W497" s="4" t="s">
        <v>242</v>
      </c>
      <c r="X497" s="4" t="s">
        <v>243</v>
      </c>
      <c r="Y497" s="4" t="s">
        <v>241</v>
      </c>
      <c r="AB497" s="4" t="s">
        <v>241</v>
      </c>
      <c r="AD497" s="5" t="s">
        <v>241</v>
      </c>
      <c r="AG497" s="5" t="s">
        <v>246</v>
      </c>
      <c r="AH497" s="4" t="s">
        <v>241</v>
      </c>
      <c r="AI497" s="4" t="s">
        <v>247</v>
      </c>
      <c r="AJ497" s="4" t="s">
        <v>248</v>
      </c>
      <c r="AZ497" s="4" t="s">
        <v>249</v>
      </c>
      <c r="BA497" s="4" t="s">
        <v>241</v>
      </c>
      <c r="BB497" s="4" t="s">
        <v>250</v>
      </c>
      <c r="BC497" s="4" t="s">
        <v>241</v>
      </c>
      <c r="BD497" s="4" t="s">
        <v>252</v>
      </c>
      <c r="BE497" s="4" t="s">
        <v>241</v>
      </c>
      <c r="BI497" s="4" t="s">
        <v>253</v>
      </c>
      <c r="BJ497" s="5" t="s">
        <v>246</v>
      </c>
      <c r="BK497" s="4" t="s">
        <v>254</v>
      </c>
      <c r="BL497" s="4" t="s">
        <v>255</v>
      </c>
      <c r="BM497" s="4" t="s">
        <v>241</v>
      </c>
      <c r="BN497" s="6">
        <f>0</f>
        <v>0</v>
      </c>
      <c r="BO497" s="6">
        <f>0</f>
        <v>0</v>
      </c>
      <c r="BP497" s="4" t="s">
        <v>256</v>
      </c>
      <c r="BQ497" s="4" t="s">
        <v>257</v>
      </c>
      <c r="CE497" s="4" t="s">
        <v>241</v>
      </c>
      <c r="CF497" s="4" t="s">
        <v>241</v>
      </c>
      <c r="CJ497" s="4" t="s">
        <v>258</v>
      </c>
      <c r="CK497" s="4" t="s">
        <v>259</v>
      </c>
      <c r="CL497" s="4" t="s">
        <v>241</v>
      </c>
      <c r="CO497" s="5" t="s">
        <v>260</v>
      </c>
      <c r="CP497" s="4" t="s">
        <v>241</v>
      </c>
      <c r="CQ497" s="4" t="s">
        <v>261</v>
      </c>
      <c r="CR497" s="4" t="s">
        <v>241</v>
      </c>
      <c r="CS497" s="4" t="s">
        <v>241</v>
      </c>
      <c r="CT497" s="4">
        <v>0</v>
      </c>
      <c r="CU497" s="4" t="s">
        <v>262</v>
      </c>
      <c r="CV497" s="4" t="s">
        <v>263</v>
      </c>
      <c r="CW497" s="4" t="s">
        <v>263</v>
      </c>
      <c r="CX497" s="4" t="s">
        <v>264</v>
      </c>
      <c r="DA497" s="6">
        <f>7942</f>
        <v>7942</v>
      </c>
      <c r="DC497" s="4" t="s">
        <v>3160</v>
      </c>
      <c r="DD497" s="4" t="s">
        <v>241</v>
      </c>
      <c r="DF497" s="4" t="s">
        <v>287</v>
      </c>
      <c r="DG497" s="6">
        <f>0</f>
        <v>0</v>
      </c>
      <c r="DI497" s="4" t="s">
        <v>3167</v>
      </c>
      <c r="DJ497" s="4" t="s">
        <v>241</v>
      </c>
      <c r="DK497" s="4" t="s">
        <v>241</v>
      </c>
      <c r="DL497" s="4" t="s">
        <v>241</v>
      </c>
      <c r="DP497" s="4" t="s">
        <v>241</v>
      </c>
      <c r="DQ497" s="4" t="s">
        <v>241</v>
      </c>
      <c r="DR497" s="4" t="s">
        <v>241</v>
      </c>
      <c r="DS497" s="4" t="s">
        <v>241</v>
      </c>
      <c r="DV497" s="4" t="s">
        <v>4520</v>
      </c>
      <c r="DW497" s="4" t="s">
        <v>1742</v>
      </c>
      <c r="HO497" s="4" t="s">
        <v>267</v>
      </c>
    </row>
    <row r="498" spans="1:223" ht="19.5" customHeight="1" x14ac:dyDescent="0.4">
      <c r="A498" s="4">
        <v>1</v>
      </c>
      <c r="B498" s="4" t="s">
        <v>239</v>
      </c>
      <c r="C498" s="4">
        <v>1360</v>
      </c>
      <c r="D498" s="4">
        <v>1</v>
      </c>
      <c r="E498" s="4">
        <v>1</v>
      </c>
      <c r="F498" s="4" t="s">
        <v>240</v>
      </c>
      <c r="G498" s="4" t="s">
        <v>241</v>
      </c>
      <c r="H498" s="4" t="s">
        <v>241</v>
      </c>
      <c r="I498" s="4" t="s">
        <v>4518</v>
      </c>
      <c r="J498" s="4" t="s">
        <v>3158</v>
      </c>
      <c r="K498" s="4" t="s">
        <v>251</v>
      </c>
      <c r="L498" s="4" t="s">
        <v>3180</v>
      </c>
      <c r="M498" s="5" t="s">
        <v>4556</v>
      </c>
      <c r="N498" s="6">
        <f>1725</f>
        <v>1725</v>
      </c>
      <c r="O498" s="4" t="s">
        <v>265</v>
      </c>
      <c r="P498" s="6">
        <f>18975</f>
        <v>18975</v>
      </c>
      <c r="Q498" s="6">
        <f>0</f>
        <v>0</v>
      </c>
      <c r="S498" s="6">
        <f>0</f>
        <v>0</v>
      </c>
      <c r="T498" s="6">
        <f>18975</f>
        <v>18975</v>
      </c>
      <c r="U498" s="5" t="s">
        <v>245</v>
      </c>
      <c r="V498" s="4" t="s">
        <v>270</v>
      </c>
      <c r="W498" s="4" t="s">
        <v>242</v>
      </c>
      <c r="X498" s="4" t="s">
        <v>243</v>
      </c>
      <c r="Y498" s="4" t="s">
        <v>241</v>
      </c>
      <c r="AB498" s="4" t="s">
        <v>241</v>
      </c>
      <c r="AD498" s="5" t="s">
        <v>241</v>
      </c>
      <c r="AG498" s="5" t="s">
        <v>246</v>
      </c>
      <c r="AH498" s="4" t="s">
        <v>241</v>
      </c>
      <c r="AI498" s="4" t="s">
        <v>247</v>
      </c>
      <c r="AJ498" s="4" t="s">
        <v>248</v>
      </c>
      <c r="AZ498" s="4" t="s">
        <v>249</v>
      </c>
      <c r="BA498" s="4" t="s">
        <v>241</v>
      </c>
      <c r="BB498" s="4" t="s">
        <v>250</v>
      </c>
      <c r="BC498" s="4" t="s">
        <v>241</v>
      </c>
      <c r="BD498" s="4" t="s">
        <v>252</v>
      </c>
      <c r="BE498" s="4" t="s">
        <v>241</v>
      </c>
      <c r="BI498" s="4" t="s">
        <v>253</v>
      </c>
      <c r="BJ498" s="5" t="s">
        <v>246</v>
      </c>
      <c r="BK498" s="4" t="s">
        <v>254</v>
      </c>
      <c r="BL498" s="4" t="s">
        <v>255</v>
      </c>
      <c r="BM498" s="4" t="s">
        <v>241</v>
      </c>
      <c r="BN498" s="6">
        <f>0</f>
        <v>0</v>
      </c>
      <c r="BO498" s="6">
        <f>0</f>
        <v>0</v>
      </c>
      <c r="BP498" s="4" t="s">
        <v>256</v>
      </c>
      <c r="BQ498" s="4" t="s">
        <v>257</v>
      </c>
      <c r="CE498" s="4" t="s">
        <v>241</v>
      </c>
      <c r="CF498" s="4" t="s">
        <v>241</v>
      </c>
      <c r="CJ498" s="4" t="s">
        <v>258</v>
      </c>
      <c r="CK498" s="4" t="s">
        <v>259</v>
      </c>
      <c r="CL498" s="4" t="s">
        <v>241</v>
      </c>
      <c r="CO498" s="5" t="s">
        <v>260</v>
      </c>
      <c r="CP498" s="4" t="s">
        <v>241</v>
      </c>
      <c r="CQ498" s="4" t="s">
        <v>261</v>
      </c>
      <c r="CR498" s="4" t="s">
        <v>241</v>
      </c>
      <c r="CS498" s="4" t="s">
        <v>241</v>
      </c>
      <c r="CT498" s="4">
        <v>0</v>
      </c>
      <c r="CU498" s="4" t="s">
        <v>262</v>
      </c>
      <c r="CV498" s="4" t="s">
        <v>263</v>
      </c>
      <c r="CW498" s="4" t="s">
        <v>263</v>
      </c>
      <c r="CX498" s="4" t="s">
        <v>264</v>
      </c>
      <c r="DA498" s="6">
        <f>18975</f>
        <v>18975</v>
      </c>
      <c r="DC498" s="4" t="s">
        <v>3160</v>
      </c>
      <c r="DD498" s="4" t="s">
        <v>241</v>
      </c>
      <c r="DF498" s="4" t="s">
        <v>287</v>
      </c>
      <c r="DG498" s="6">
        <f>0</f>
        <v>0</v>
      </c>
      <c r="DI498" s="4" t="s">
        <v>3167</v>
      </c>
      <c r="DJ498" s="4" t="s">
        <v>241</v>
      </c>
      <c r="DK498" s="4" t="s">
        <v>241</v>
      </c>
      <c r="DL498" s="4" t="s">
        <v>241</v>
      </c>
      <c r="DP498" s="4" t="s">
        <v>241</v>
      </c>
      <c r="DQ498" s="4" t="s">
        <v>241</v>
      </c>
      <c r="DR498" s="4" t="s">
        <v>241</v>
      </c>
      <c r="DS498" s="4" t="s">
        <v>241</v>
      </c>
      <c r="DV498" s="4" t="s">
        <v>4520</v>
      </c>
      <c r="DW498" s="4" t="s">
        <v>1740</v>
      </c>
      <c r="HO498" s="4" t="s">
        <v>267</v>
      </c>
    </row>
    <row r="499" spans="1:223" ht="19.5" customHeight="1" x14ac:dyDescent="0.4">
      <c r="A499" s="4">
        <v>1</v>
      </c>
      <c r="B499" s="4" t="s">
        <v>239</v>
      </c>
      <c r="C499" s="4">
        <v>1361</v>
      </c>
      <c r="D499" s="4">
        <v>1</v>
      </c>
      <c r="E499" s="4">
        <v>1</v>
      </c>
      <c r="F499" s="4" t="s">
        <v>240</v>
      </c>
      <c r="G499" s="4" t="s">
        <v>241</v>
      </c>
      <c r="H499" s="4" t="s">
        <v>241</v>
      </c>
      <c r="I499" s="4" t="s">
        <v>4518</v>
      </c>
      <c r="J499" s="4" t="s">
        <v>3158</v>
      </c>
      <c r="K499" s="4" t="s">
        <v>251</v>
      </c>
      <c r="L499" s="4" t="s">
        <v>3180</v>
      </c>
      <c r="M499" s="5" t="s">
        <v>5441</v>
      </c>
      <c r="N499" s="6">
        <f>831</f>
        <v>831</v>
      </c>
      <c r="O499" s="4" t="s">
        <v>265</v>
      </c>
      <c r="P499" s="6">
        <f>9141</f>
        <v>9141</v>
      </c>
      <c r="Q499" s="6">
        <f>0</f>
        <v>0</v>
      </c>
      <c r="S499" s="6">
        <f>0</f>
        <v>0</v>
      </c>
      <c r="T499" s="6">
        <f>9141</f>
        <v>9141</v>
      </c>
      <c r="U499" s="5" t="s">
        <v>245</v>
      </c>
      <c r="V499" s="4" t="s">
        <v>270</v>
      </c>
      <c r="W499" s="4" t="s">
        <v>242</v>
      </c>
      <c r="X499" s="4" t="s">
        <v>243</v>
      </c>
      <c r="Y499" s="4" t="s">
        <v>241</v>
      </c>
      <c r="AB499" s="4" t="s">
        <v>241</v>
      </c>
      <c r="AD499" s="5" t="s">
        <v>241</v>
      </c>
      <c r="AG499" s="5" t="s">
        <v>246</v>
      </c>
      <c r="AH499" s="4" t="s">
        <v>241</v>
      </c>
      <c r="AI499" s="4" t="s">
        <v>247</v>
      </c>
      <c r="AJ499" s="4" t="s">
        <v>248</v>
      </c>
      <c r="AZ499" s="4" t="s">
        <v>249</v>
      </c>
      <c r="BA499" s="4" t="s">
        <v>241</v>
      </c>
      <c r="BB499" s="4" t="s">
        <v>250</v>
      </c>
      <c r="BC499" s="4" t="s">
        <v>241</v>
      </c>
      <c r="BD499" s="4" t="s">
        <v>252</v>
      </c>
      <c r="BE499" s="4" t="s">
        <v>241</v>
      </c>
      <c r="BI499" s="4" t="s">
        <v>253</v>
      </c>
      <c r="BJ499" s="5" t="s">
        <v>246</v>
      </c>
      <c r="BK499" s="4" t="s">
        <v>254</v>
      </c>
      <c r="BL499" s="4" t="s">
        <v>255</v>
      </c>
      <c r="BM499" s="4" t="s">
        <v>241</v>
      </c>
      <c r="BN499" s="6">
        <f>0</f>
        <v>0</v>
      </c>
      <c r="BO499" s="6">
        <f>0</f>
        <v>0</v>
      </c>
      <c r="BP499" s="4" t="s">
        <v>256</v>
      </c>
      <c r="BQ499" s="4" t="s">
        <v>257</v>
      </c>
      <c r="CE499" s="4" t="s">
        <v>241</v>
      </c>
      <c r="CF499" s="4" t="s">
        <v>241</v>
      </c>
      <c r="CJ499" s="4" t="s">
        <v>258</v>
      </c>
      <c r="CK499" s="4" t="s">
        <v>259</v>
      </c>
      <c r="CL499" s="4" t="s">
        <v>241</v>
      </c>
      <c r="CO499" s="5" t="s">
        <v>260</v>
      </c>
      <c r="CP499" s="4" t="s">
        <v>241</v>
      </c>
      <c r="CQ499" s="4" t="s">
        <v>261</v>
      </c>
      <c r="CR499" s="4" t="s">
        <v>241</v>
      </c>
      <c r="CS499" s="4" t="s">
        <v>241</v>
      </c>
      <c r="CT499" s="4">
        <v>0</v>
      </c>
      <c r="CU499" s="4" t="s">
        <v>262</v>
      </c>
      <c r="CV499" s="4" t="s">
        <v>263</v>
      </c>
      <c r="CW499" s="4" t="s">
        <v>263</v>
      </c>
      <c r="CX499" s="4" t="s">
        <v>264</v>
      </c>
      <c r="DA499" s="6">
        <f>9141</f>
        <v>9141</v>
      </c>
      <c r="DC499" s="4" t="s">
        <v>3160</v>
      </c>
      <c r="DD499" s="4" t="s">
        <v>241</v>
      </c>
      <c r="DF499" s="4" t="s">
        <v>287</v>
      </c>
      <c r="DG499" s="6">
        <f>0</f>
        <v>0</v>
      </c>
      <c r="DI499" s="4" t="s">
        <v>3167</v>
      </c>
      <c r="DJ499" s="4" t="s">
        <v>241</v>
      </c>
      <c r="DK499" s="4" t="s">
        <v>241</v>
      </c>
      <c r="DL499" s="4" t="s">
        <v>241</v>
      </c>
      <c r="DP499" s="4" t="s">
        <v>241</v>
      </c>
      <c r="DQ499" s="4" t="s">
        <v>241</v>
      </c>
      <c r="DR499" s="4" t="s">
        <v>241</v>
      </c>
      <c r="DS499" s="4" t="s">
        <v>241</v>
      </c>
      <c r="DV499" s="4" t="s">
        <v>4520</v>
      </c>
      <c r="DW499" s="4" t="s">
        <v>1738</v>
      </c>
      <c r="HO499" s="4" t="s">
        <v>267</v>
      </c>
    </row>
    <row r="500" spans="1:223" ht="19.5" customHeight="1" x14ac:dyDescent="0.4">
      <c r="A500" s="4">
        <v>1</v>
      </c>
      <c r="B500" s="4" t="s">
        <v>239</v>
      </c>
      <c r="C500" s="4">
        <v>1362</v>
      </c>
      <c r="D500" s="4">
        <v>1</v>
      </c>
      <c r="E500" s="4">
        <v>1</v>
      </c>
      <c r="F500" s="4" t="s">
        <v>240</v>
      </c>
      <c r="G500" s="4" t="s">
        <v>241</v>
      </c>
      <c r="H500" s="4" t="s">
        <v>241</v>
      </c>
      <c r="I500" s="4" t="s">
        <v>4518</v>
      </c>
      <c r="J500" s="4" t="s">
        <v>3158</v>
      </c>
      <c r="K500" s="4" t="s">
        <v>251</v>
      </c>
      <c r="L500" s="4" t="s">
        <v>3180</v>
      </c>
      <c r="M500" s="5" t="s">
        <v>4558</v>
      </c>
      <c r="N500" s="6">
        <f>2773</f>
        <v>2773</v>
      </c>
      <c r="O500" s="4" t="s">
        <v>265</v>
      </c>
      <c r="P500" s="6">
        <f>30503</f>
        <v>30503</v>
      </c>
      <c r="Q500" s="6">
        <f>0</f>
        <v>0</v>
      </c>
      <c r="S500" s="6">
        <f>0</f>
        <v>0</v>
      </c>
      <c r="T500" s="6">
        <f>30503</f>
        <v>30503</v>
      </c>
      <c r="U500" s="5" t="s">
        <v>245</v>
      </c>
      <c r="V500" s="4" t="s">
        <v>270</v>
      </c>
      <c r="W500" s="4" t="s">
        <v>242</v>
      </c>
      <c r="X500" s="4" t="s">
        <v>243</v>
      </c>
      <c r="Y500" s="4" t="s">
        <v>241</v>
      </c>
      <c r="AB500" s="4" t="s">
        <v>241</v>
      </c>
      <c r="AD500" s="5" t="s">
        <v>241</v>
      </c>
      <c r="AG500" s="5" t="s">
        <v>246</v>
      </c>
      <c r="AH500" s="4" t="s">
        <v>241</v>
      </c>
      <c r="AI500" s="4" t="s">
        <v>247</v>
      </c>
      <c r="AJ500" s="4" t="s">
        <v>248</v>
      </c>
      <c r="AZ500" s="4" t="s">
        <v>249</v>
      </c>
      <c r="BA500" s="4" t="s">
        <v>241</v>
      </c>
      <c r="BB500" s="4" t="s">
        <v>250</v>
      </c>
      <c r="BC500" s="4" t="s">
        <v>241</v>
      </c>
      <c r="BD500" s="4" t="s">
        <v>252</v>
      </c>
      <c r="BE500" s="4" t="s">
        <v>241</v>
      </c>
      <c r="BI500" s="4" t="s">
        <v>253</v>
      </c>
      <c r="BJ500" s="5" t="s">
        <v>246</v>
      </c>
      <c r="BK500" s="4" t="s">
        <v>254</v>
      </c>
      <c r="BL500" s="4" t="s">
        <v>255</v>
      </c>
      <c r="BM500" s="4" t="s">
        <v>241</v>
      </c>
      <c r="BN500" s="6">
        <f>0</f>
        <v>0</v>
      </c>
      <c r="BO500" s="6">
        <f>0</f>
        <v>0</v>
      </c>
      <c r="BP500" s="4" t="s">
        <v>256</v>
      </c>
      <c r="BQ500" s="4" t="s">
        <v>257</v>
      </c>
      <c r="CE500" s="4" t="s">
        <v>241</v>
      </c>
      <c r="CF500" s="4" t="s">
        <v>241</v>
      </c>
      <c r="CJ500" s="4" t="s">
        <v>258</v>
      </c>
      <c r="CK500" s="4" t="s">
        <v>259</v>
      </c>
      <c r="CL500" s="4" t="s">
        <v>241</v>
      </c>
      <c r="CO500" s="5" t="s">
        <v>260</v>
      </c>
      <c r="CP500" s="4" t="s">
        <v>241</v>
      </c>
      <c r="CQ500" s="4" t="s">
        <v>261</v>
      </c>
      <c r="CR500" s="4" t="s">
        <v>241</v>
      </c>
      <c r="CS500" s="4" t="s">
        <v>241</v>
      </c>
      <c r="CT500" s="4">
        <v>0</v>
      </c>
      <c r="CU500" s="4" t="s">
        <v>262</v>
      </c>
      <c r="CV500" s="4" t="s">
        <v>263</v>
      </c>
      <c r="CW500" s="4" t="s">
        <v>263</v>
      </c>
      <c r="CX500" s="4" t="s">
        <v>264</v>
      </c>
      <c r="DA500" s="6">
        <f>30503</f>
        <v>30503</v>
      </c>
      <c r="DC500" s="4" t="s">
        <v>3160</v>
      </c>
      <c r="DD500" s="4" t="s">
        <v>241</v>
      </c>
      <c r="DF500" s="4" t="s">
        <v>287</v>
      </c>
      <c r="DG500" s="6">
        <f>0</f>
        <v>0</v>
      </c>
      <c r="DI500" s="4" t="s">
        <v>3167</v>
      </c>
      <c r="DJ500" s="4" t="s">
        <v>241</v>
      </c>
      <c r="DK500" s="4" t="s">
        <v>241</v>
      </c>
      <c r="DL500" s="4" t="s">
        <v>241</v>
      </c>
      <c r="DP500" s="4" t="s">
        <v>241</v>
      </c>
      <c r="DQ500" s="4" t="s">
        <v>241</v>
      </c>
      <c r="DR500" s="4" t="s">
        <v>241</v>
      </c>
      <c r="DS500" s="4" t="s">
        <v>241</v>
      </c>
      <c r="DV500" s="4" t="s">
        <v>4520</v>
      </c>
      <c r="DW500" s="4" t="s">
        <v>1736</v>
      </c>
      <c r="HO500" s="4" t="s">
        <v>267</v>
      </c>
    </row>
    <row r="501" spans="1:223" ht="19.5" customHeight="1" x14ac:dyDescent="0.4">
      <c r="A501" s="4">
        <v>1</v>
      </c>
      <c r="B501" s="4" t="s">
        <v>239</v>
      </c>
      <c r="C501" s="4">
        <v>1363</v>
      </c>
      <c r="D501" s="4">
        <v>1</v>
      </c>
      <c r="E501" s="4">
        <v>1</v>
      </c>
      <c r="F501" s="4" t="s">
        <v>240</v>
      </c>
      <c r="G501" s="4" t="s">
        <v>241</v>
      </c>
      <c r="H501" s="4" t="s">
        <v>241</v>
      </c>
      <c r="I501" s="4" t="s">
        <v>4518</v>
      </c>
      <c r="J501" s="4" t="s">
        <v>3158</v>
      </c>
      <c r="K501" s="4" t="s">
        <v>251</v>
      </c>
      <c r="L501" s="4" t="s">
        <v>3180</v>
      </c>
      <c r="M501" s="5" t="s">
        <v>4709</v>
      </c>
      <c r="N501" s="6">
        <f>482</f>
        <v>482</v>
      </c>
      <c r="O501" s="4" t="s">
        <v>265</v>
      </c>
      <c r="P501" s="6">
        <f>5302</f>
        <v>5302</v>
      </c>
      <c r="Q501" s="6">
        <f>0</f>
        <v>0</v>
      </c>
      <c r="S501" s="6">
        <f>0</f>
        <v>0</v>
      </c>
      <c r="T501" s="6">
        <f>5302</f>
        <v>5302</v>
      </c>
      <c r="U501" s="5" t="s">
        <v>245</v>
      </c>
      <c r="V501" s="4" t="s">
        <v>270</v>
      </c>
      <c r="W501" s="4" t="s">
        <v>242</v>
      </c>
      <c r="X501" s="4" t="s">
        <v>243</v>
      </c>
      <c r="Y501" s="4" t="s">
        <v>241</v>
      </c>
      <c r="AB501" s="4" t="s">
        <v>241</v>
      </c>
      <c r="AD501" s="5" t="s">
        <v>241</v>
      </c>
      <c r="AG501" s="5" t="s">
        <v>246</v>
      </c>
      <c r="AH501" s="4" t="s">
        <v>241</v>
      </c>
      <c r="AI501" s="4" t="s">
        <v>247</v>
      </c>
      <c r="AJ501" s="4" t="s">
        <v>248</v>
      </c>
      <c r="AZ501" s="4" t="s">
        <v>249</v>
      </c>
      <c r="BA501" s="4" t="s">
        <v>241</v>
      </c>
      <c r="BB501" s="4" t="s">
        <v>250</v>
      </c>
      <c r="BC501" s="4" t="s">
        <v>241</v>
      </c>
      <c r="BD501" s="4" t="s">
        <v>252</v>
      </c>
      <c r="BE501" s="4" t="s">
        <v>241</v>
      </c>
      <c r="BI501" s="4" t="s">
        <v>253</v>
      </c>
      <c r="BJ501" s="5" t="s">
        <v>246</v>
      </c>
      <c r="BK501" s="4" t="s">
        <v>254</v>
      </c>
      <c r="BL501" s="4" t="s">
        <v>255</v>
      </c>
      <c r="BM501" s="4" t="s">
        <v>241</v>
      </c>
      <c r="BN501" s="6">
        <f>0</f>
        <v>0</v>
      </c>
      <c r="BO501" s="6">
        <f>0</f>
        <v>0</v>
      </c>
      <c r="BP501" s="4" t="s">
        <v>256</v>
      </c>
      <c r="BQ501" s="4" t="s">
        <v>257</v>
      </c>
      <c r="CE501" s="4" t="s">
        <v>241</v>
      </c>
      <c r="CF501" s="4" t="s">
        <v>241</v>
      </c>
      <c r="CJ501" s="4" t="s">
        <v>258</v>
      </c>
      <c r="CK501" s="4" t="s">
        <v>259</v>
      </c>
      <c r="CL501" s="4" t="s">
        <v>241</v>
      </c>
      <c r="CO501" s="5" t="s">
        <v>260</v>
      </c>
      <c r="CP501" s="4" t="s">
        <v>241</v>
      </c>
      <c r="CQ501" s="4" t="s">
        <v>261</v>
      </c>
      <c r="CR501" s="4" t="s">
        <v>241</v>
      </c>
      <c r="CS501" s="4" t="s">
        <v>241</v>
      </c>
      <c r="CT501" s="4">
        <v>0</v>
      </c>
      <c r="CU501" s="4" t="s">
        <v>262</v>
      </c>
      <c r="CV501" s="4" t="s">
        <v>263</v>
      </c>
      <c r="CW501" s="4" t="s">
        <v>263</v>
      </c>
      <c r="CX501" s="4" t="s">
        <v>264</v>
      </c>
      <c r="DA501" s="6">
        <f>5302</f>
        <v>5302</v>
      </c>
      <c r="DC501" s="4" t="s">
        <v>3160</v>
      </c>
      <c r="DD501" s="4" t="s">
        <v>241</v>
      </c>
      <c r="DF501" s="4" t="s">
        <v>287</v>
      </c>
      <c r="DG501" s="6">
        <f>0</f>
        <v>0</v>
      </c>
      <c r="DI501" s="4" t="s">
        <v>3167</v>
      </c>
      <c r="DJ501" s="4" t="s">
        <v>241</v>
      </c>
      <c r="DK501" s="4" t="s">
        <v>241</v>
      </c>
      <c r="DL501" s="4" t="s">
        <v>241</v>
      </c>
      <c r="DP501" s="4" t="s">
        <v>241</v>
      </c>
      <c r="DQ501" s="4" t="s">
        <v>241</v>
      </c>
      <c r="DR501" s="4" t="s">
        <v>241</v>
      </c>
      <c r="DS501" s="4" t="s">
        <v>241</v>
      </c>
      <c r="DV501" s="4" t="s">
        <v>4520</v>
      </c>
      <c r="DW501" s="4" t="s">
        <v>605</v>
      </c>
      <c r="HO501" s="4" t="s">
        <v>267</v>
      </c>
    </row>
    <row r="502" spans="1:223" ht="19.5" customHeight="1" x14ac:dyDescent="0.4">
      <c r="A502" s="4">
        <v>1</v>
      </c>
      <c r="B502" s="4" t="s">
        <v>239</v>
      </c>
      <c r="C502" s="4">
        <v>1364</v>
      </c>
      <c r="D502" s="4">
        <v>1</v>
      </c>
      <c r="E502" s="4">
        <v>1</v>
      </c>
      <c r="F502" s="4" t="s">
        <v>240</v>
      </c>
      <c r="G502" s="4" t="s">
        <v>241</v>
      </c>
      <c r="H502" s="4" t="s">
        <v>241</v>
      </c>
      <c r="I502" s="4" t="s">
        <v>4518</v>
      </c>
      <c r="J502" s="4" t="s">
        <v>3158</v>
      </c>
      <c r="K502" s="4" t="s">
        <v>251</v>
      </c>
      <c r="L502" s="4" t="s">
        <v>3180</v>
      </c>
      <c r="M502" s="5" t="s">
        <v>4533</v>
      </c>
      <c r="N502" s="6">
        <f>4397</f>
        <v>4397</v>
      </c>
      <c r="O502" s="4" t="s">
        <v>265</v>
      </c>
      <c r="P502" s="6">
        <f>48367</f>
        <v>48367</v>
      </c>
      <c r="Q502" s="6">
        <f>0</f>
        <v>0</v>
      </c>
      <c r="S502" s="6">
        <f>0</f>
        <v>0</v>
      </c>
      <c r="T502" s="6">
        <f>48367</f>
        <v>48367</v>
      </c>
      <c r="U502" s="5" t="s">
        <v>245</v>
      </c>
      <c r="V502" s="4" t="s">
        <v>270</v>
      </c>
      <c r="W502" s="4" t="s">
        <v>242</v>
      </c>
      <c r="X502" s="4" t="s">
        <v>243</v>
      </c>
      <c r="Y502" s="4" t="s">
        <v>241</v>
      </c>
      <c r="AB502" s="4" t="s">
        <v>241</v>
      </c>
      <c r="AD502" s="5" t="s">
        <v>241</v>
      </c>
      <c r="AG502" s="5" t="s">
        <v>246</v>
      </c>
      <c r="AH502" s="4" t="s">
        <v>241</v>
      </c>
      <c r="AI502" s="4" t="s">
        <v>247</v>
      </c>
      <c r="AJ502" s="4" t="s">
        <v>248</v>
      </c>
      <c r="AZ502" s="4" t="s">
        <v>249</v>
      </c>
      <c r="BA502" s="4" t="s">
        <v>241</v>
      </c>
      <c r="BB502" s="4" t="s">
        <v>250</v>
      </c>
      <c r="BC502" s="4" t="s">
        <v>241</v>
      </c>
      <c r="BD502" s="4" t="s">
        <v>252</v>
      </c>
      <c r="BE502" s="4" t="s">
        <v>241</v>
      </c>
      <c r="BI502" s="4" t="s">
        <v>253</v>
      </c>
      <c r="BJ502" s="5" t="s">
        <v>246</v>
      </c>
      <c r="BK502" s="4" t="s">
        <v>254</v>
      </c>
      <c r="BL502" s="4" t="s">
        <v>255</v>
      </c>
      <c r="BM502" s="4" t="s">
        <v>241</v>
      </c>
      <c r="BN502" s="6">
        <f>0</f>
        <v>0</v>
      </c>
      <c r="BO502" s="6">
        <f>0</f>
        <v>0</v>
      </c>
      <c r="BP502" s="4" t="s">
        <v>256</v>
      </c>
      <c r="BQ502" s="4" t="s">
        <v>257</v>
      </c>
      <c r="CE502" s="4" t="s">
        <v>241</v>
      </c>
      <c r="CF502" s="4" t="s">
        <v>241</v>
      </c>
      <c r="CJ502" s="4" t="s">
        <v>258</v>
      </c>
      <c r="CK502" s="4" t="s">
        <v>259</v>
      </c>
      <c r="CL502" s="4" t="s">
        <v>241</v>
      </c>
      <c r="CO502" s="5" t="s">
        <v>260</v>
      </c>
      <c r="CP502" s="4" t="s">
        <v>241</v>
      </c>
      <c r="CQ502" s="4" t="s">
        <v>261</v>
      </c>
      <c r="CR502" s="4" t="s">
        <v>241</v>
      </c>
      <c r="CS502" s="4" t="s">
        <v>241</v>
      </c>
      <c r="CT502" s="4">
        <v>0</v>
      </c>
      <c r="CU502" s="4" t="s">
        <v>262</v>
      </c>
      <c r="CV502" s="4" t="s">
        <v>263</v>
      </c>
      <c r="CW502" s="4" t="s">
        <v>263</v>
      </c>
      <c r="CX502" s="4" t="s">
        <v>264</v>
      </c>
      <c r="DA502" s="6">
        <f>48367</f>
        <v>48367</v>
      </c>
      <c r="DC502" s="4" t="s">
        <v>3160</v>
      </c>
      <c r="DD502" s="4" t="s">
        <v>241</v>
      </c>
      <c r="DF502" s="4" t="s">
        <v>287</v>
      </c>
      <c r="DG502" s="6">
        <f>0</f>
        <v>0</v>
      </c>
      <c r="DI502" s="4" t="s">
        <v>3167</v>
      </c>
      <c r="DJ502" s="4" t="s">
        <v>241</v>
      </c>
      <c r="DK502" s="4" t="s">
        <v>241</v>
      </c>
      <c r="DL502" s="4" t="s">
        <v>241</v>
      </c>
      <c r="DP502" s="4" t="s">
        <v>241</v>
      </c>
      <c r="DQ502" s="4" t="s">
        <v>241</v>
      </c>
      <c r="DR502" s="4" t="s">
        <v>241</v>
      </c>
      <c r="DS502" s="4" t="s">
        <v>241</v>
      </c>
      <c r="DV502" s="4" t="s">
        <v>4520</v>
      </c>
      <c r="DW502" s="4" t="s">
        <v>349</v>
      </c>
      <c r="HO502" s="4" t="s">
        <v>267</v>
      </c>
    </row>
    <row r="503" spans="1:223" ht="19.5" customHeight="1" x14ac:dyDescent="0.4">
      <c r="A503" s="4">
        <v>1</v>
      </c>
      <c r="B503" s="4" t="s">
        <v>239</v>
      </c>
      <c r="C503" s="4">
        <v>1365</v>
      </c>
      <c r="D503" s="4">
        <v>1</v>
      </c>
      <c r="E503" s="4">
        <v>1</v>
      </c>
      <c r="F503" s="4" t="s">
        <v>240</v>
      </c>
      <c r="G503" s="4" t="s">
        <v>241</v>
      </c>
      <c r="H503" s="4" t="s">
        <v>241</v>
      </c>
      <c r="I503" s="4" t="s">
        <v>4518</v>
      </c>
      <c r="J503" s="4" t="s">
        <v>3158</v>
      </c>
      <c r="K503" s="4" t="s">
        <v>251</v>
      </c>
      <c r="L503" s="4" t="s">
        <v>3180</v>
      </c>
      <c r="M503" s="5" t="s">
        <v>4569</v>
      </c>
      <c r="N503" s="6">
        <f>889</f>
        <v>889</v>
      </c>
      <c r="O503" s="4" t="s">
        <v>265</v>
      </c>
      <c r="P503" s="6">
        <f>9779</f>
        <v>9779</v>
      </c>
      <c r="Q503" s="6">
        <f>0</f>
        <v>0</v>
      </c>
      <c r="S503" s="6">
        <f>0</f>
        <v>0</v>
      </c>
      <c r="T503" s="6">
        <f>9779</f>
        <v>9779</v>
      </c>
      <c r="U503" s="5" t="s">
        <v>245</v>
      </c>
      <c r="V503" s="4" t="s">
        <v>270</v>
      </c>
      <c r="W503" s="4" t="s">
        <v>242</v>
      </c>
      <c r="X503" s="4" t="s">
        <v>243</v>
      </c>
      <c r="Y503" s="4" t="s">
        <v>241</v>
      </c>
      <c r="AB503" s="4" t="s">
        <v>241</v>
      </c>
      <c r="AD503" s="5" t="s">
        <v>241</v>
      </c>
      <c r="AG503" s="5" t="s">
        <v>246</v>
      </c>
      <c r="AH503" s="4" t="s">
        <v>241</v>
      </c>
      <c r="AI503" s="4" t="s">
        <v>247</v>
      </c>
      <c r="AJ503" s="4" t="s">
        <v>248</v>
      </c>
      <c r="AZ503" s="4" t="s">
        <v>249</v>
      </c>
      <c r="BA503" s="4" t="s">
        <v>241</v>
      </c>
      <c r="BB503" s="4" t="s">
        <v>250</v>
      </c>
      <c r="BC503" s="4" t="s">
        <v>241</v>
      </c>
      <c r="BD503" s="4" t="s">
        <v>252</v>
      </c>
      <c r="BE503" s="4" t="s">
        <v>241</v>
      </c>
      <c r="BI503" s="4" t="s">
        <v>253</v>
      </c>
      <c r="BJ503" s="5" t="s">
        <v>246</v>
      </c>
      <c r="BK503" s="4" t="s">
        <v>254</v>
      </c>
      <c r="BL503" s="4" t="s">
        <v>255</v>
      </c>
      <c r="BM503" s="4" t="s">
        <v>241</v>
      </c>
      <c r="BN503" s="6">
        <f>0</f>
        <v>0</v>
      </c>
      <c r="BO503" s="6">
        <f>0</f>
        <v>0</v>
      </c>
      <c r="BP503" s="4" t="s">
        <v>256</v>
      </c>
      <c r="BQ503" s="4" t="s">
        <v>257</v>
      </c>
      <c r="CE503" s="4" t="s">
        <v>241</v>
      </c>
      <c r="CF503" s="4" t="s">
        <v>241</v>
      </c>
      <c r="CJ503" s="4" t="s">
        <v>258</v>
      </c>
      <c r="CK503" s="4" t="s">
        <v>259</v>
      </c>
      <c r="CL503" s="4" t="s">
        <v>241</v>
      </c>
      <c r="CO503" s="5" t="s">
        <v>260</v>
      </c>
      <c r="CP503" s="4" t="s">
        <v>241</v>
      </c>
      <c r="CQ503" s="4" t="s">
        <v>261</v>
      </c>
      <c r="CR503" s="4" t="s">
        <v>241</v>
      </c>
      <c r="CS503" s="4" t="s">
        <v>241</v>
      </c>
      <c r="CT503" s="4">
        <v>0</v>
      </c>
      <c r="CU503" s="4" t="s">
        <v>262</v>
      </c>
      <c r="CV503" s="4" t="s">
        <v>263</v>
      </c>
      <c r="CW503" s="4" t="s">
        <v>263</v>
      </c>
      <c r="CX503" s="4" t="s">
        <v>264</v>
      </c>
      <c r="DA503" s="6">
        <f>9779</f>
        <v>9779</v>
      </c>
      <c r="DC503" s="4" t="s">
        <v>3160</v>
      </c>
      <c r="DD503" s="4" t="s">
        <v>241</v>
      </c>
      <c r="DF503" s="4" t="s">
        <v>287</v>
      </c>
      <c r="DG503" s="6">
        <f>0</f>
        <v>0</v>
      </c>
      <c r="DI503" s="4" t="s">
        <v>3167</v>
      </c>
      <c r="DJ503" s="4" t="s">
        <v>241</v>
      </c>
      <c r="DK503" s="4" t="s">
        <v>241</v>
      </c>
      <c r="DL503" s="4" t="s">
        <v>241</v>
      </c>
      <c r="DP503" s="4" t="s">
        <v>241</v>
      </c>
      <c r="DQ503" s="4" t="s">
        <v>241</v>
      </c>
      <c r="DR503" s="4" t="s">
        <v>241</v>
      </c>
      <c r="DS503" s="4" t="s">
        <v>241</v>
      </c>
      <c r="DV503" s="4" t="s">
        <v>4520</v>
      </c>
      <c r="DW503" s="4" t="s">
        <v>420</v>
      </c>
      <c r="HO503" s="4" t="s">
        <v>267</v>
      </c>
    </row>
    <row r="504" spans="1:223" ht="19.5" customHeight="1" x14ac:dyDescent="0.4">
      <c r="A504" s="4">
        <v>1</v>
      </c>
      <c r="B504" s="4" t="s">
        <v>239</v>
      </c>
      <c r="C504" s="4">
        <v>1366</v>
      </c>
      <c r="D504" s="4">
        <v>1</v>
      </c>
      <c r="E504" s="4">
        <v>1</v>
      </c>
      <c r="F504" s="4" t="s">
        <v>240</v>
      </c>
      <c r="G504" s="4" t="s">
        <v>241</v>
      </c>
      <c r="H504" s="4" t="s">
        <v>241</v>
      </c>
      <c r="I504" s="4" t="s">
        <v>4518</v>
      </c>
      <c r="J504" s="4" t="s">
        <v>3158</v>
      </c>
      <c r="K504" s="4" t="s">
        <v>251</v>
      </c>
      <c r="L504" s="4" t="s">
        <v>3180</v>
      </c>
      <c r="M504" s="5" t="s">
        <v>4564</v>
      </c>
      <c r="N504" s="6">
        <f>1835</f>
        <v>1835</v>
      </c>
      <c r="O504" s="4" t="s">
        <v>265</v>
      </c>
      <c r="P504" s="6">
        <f>20185</f>
        <v>20185</v>
      </c>
      <c r="Q504" s="6">
        <f>0</f>
        <v>0</v>
      </c>
      <c r="S504" s="6">
        <f>0</f>
        <v>0</v>
      </c>
      <c r="T504" s="6">
        <f>20185</f>
        <v>20185</v>
      </c>
      <c r="U504" s="5" t="s">
        <v>245</v>
      </c>
      <c r="V504" s="4" t="s">
        <v>270</v>
      </c>
      <c r="W504" s="4" t="s">
        <v>242</v>
      </c>
      <c r="X504" s="4" t="s">
        <v>243</v>
      </c>
      <c r="Y504" s="4" t="s">
        <v>241</v>
      </c>
      <c r="AB504" s="4" t="s">
        <v>241</v>
      </c>
      <c r="AD504" s="5" t="s">
        <v>241</v>
      </c>
      <c r="AG504" s="5" t="s">
        <v>246</v>
      </c>
      <c r="AH504" s="4" t="s">
        <v>241</v>
      </c>
      <c r="AI504" s="4" t="s">
        <v>247</v>
      </c>
      <c r="AJ504" s="4" t="s">
        <v>248</v>
      </c>
      <c r="AZ504" s="4" t="s">
        <v>249</v>
      </c>
      <c r="BA504" s="4" t="s">
        <v>241</v>
      </c>
      <c r="BB504" s="4" t="s">
        <v>250</v>
      </c>
      <c r="BC504" s="4" t="s">
        <v>241</v>
      </c>
      <c r="BD504" s="4" t="s">
        <v>252</v>
      </c>
      <c r="BE504" s="4" t="s">
        <v>241</v>
      </c>
      <c r="BI504" s="4" t="s">
        <v>253</v>
      </c>
      <c r="BJ504" s="5" t="s">
        <v>246</v>
      </c>
      <c r="BK504" s="4" t="s">
        <v>254</v>
      </c>
      <c r="BL504" s="4" t="s">
        <v>255</v>
      </c>
      <c r="BM504" s="4" t="s">
        <v>241</v>
      </c>
      <c r="BN504" s="6">
        <f>0</f>
        <v>0</v>
      </c>
      <c r="BO504" s="6">
        <f>0</f>
        <v>0</v>
      </c>
      <c r="BP504" s="4" t="s">
        <v>256</v>
      </c>
      <c r="BQ504" s="4" t="s">
        <v>257</v>
      </c>
      <c r="CE504" s="4" t="s">
        <v>241</v>
      </c>
      <c r="CF504" s="4" t="s">
        <v>241</v>
      </c>
      <c r="CJ504" s="4" t="s">
        <v>258</v>
      </c>
      <c r="CK504" s="4" t="s">
        <v>259</v>
      </c>
      <c r="CL504" s="4" t="s">
        <v>241</v>
      </c>
      <c r="CO504" s="5" t="s">
        <v>260</v>
      </c>
      <c r="CP504" s="4" t="s">
        <v>241</v>
      </c>
      <c r="CQ504" s="4" t="s">
        <v>261</v>
      </c>
      <c r="CR504" s="4" t="s">
        <v>241</v>
      </c>
      <c r="CS504" s="4" t="s">
        <v>241</v>
      </c>
      <c r="CT504" s="4">
        <v>0</v>
      </c>
      <c r="CU504" s="4" t="s">
        <v>262</v>
      </c>
      <c r="CV504" s="4" t="s">
        <v>263</v>
      </c>
      <c r="CW504" s="4" t="s">
        <v>263</v>
      </c>
      <c r="CX504" s="4" t="s">
        <v>264</v>
      </c>
      <c r="DA504" s="6">
        <f>20185</f>
        <v>20185</v>
      </c>
      <c r="DC504" s="4" t="s">
        <v>3160</v>
      </c>
      <c r="DD504" s="4" t="s">
        <v>241</v>
      </c>
      <c r="DF504" s="4" t="s">
        <v>287</v>
      </c>
      <c r="DG504" s="6">
        <f>0</f>
        <v>0</v>
      </c>
      <c r="DI504" s="4" t="s">
        <v>3167</v>
      </c>
      <c r="DJ504" s="4" t="s">
        <v>241</v>
      </c>
      <c r="DK504" s="4" t="s">
        <v>241</v>
      </c>
      <c r="DL504" s="4" t="s">
        <v>241</v>
      </c>
      <c r="DP504" s="4" t="s">
        <v>241</v>
      </c>
      <c r="DQ504" s="4" t="s">
        <v>241</v>
      </c>
      <c r="DR504" s="4" t="s">
        <v>241</v>
      </c>
      <c r="DS504" s="4" t="s">
        <v>241</v>
      </c>
      <c r="DV504" s="4" t="s">
        <v>4520</v>
      </c>
      <c r="DW504" s="4" t="s">
        <v>1732</v>
      </c>
      <c r="HO504" s="4" t="s">
        <v>267</v>
      </c>
    </row>
    <row r="505" spans="1:223" ht="19.5" customHeight="1" x14ac:dyDescent="0.4">
      <c r="A505" s="4">
        <v>1</v>
      </c>
      <c r="B505" s="4" t="s">
        <v>239</v>
      </c>
      <c r="C505" s="4">
        <v>1367</v>
      </c>
      <c r="D505" s="4">
        <v>1</v>
      </c>
      <c r="E505" s="4">
        <v>1</v>
      </c>
      <c r="F505" s="4" t="s">
        <v>240</v>
      </c>
      <c r="G505" s="4" t="s">
        <v>241</v>
      </c>
      <c r="H505" s="4" t="s">
        <v>241</v>
      </c>
      <c r="I505" s="4" t="s">
        <v>4518</v>
      </c>
      <c r="J505" s="4" t="s">
        <v>3158</v>
      </c>
      <c r="K505" s="4" t="s">
        <v>251</v>
      </c>
      <c r="L505" s="4" t="s">
        <v>3180</v>
      </c>
      <c r="M505" s="5" t="s">
        <v>4559</v>
      </c>
      <c r="N505" s="6">
        <f>357</f>
        <v>357</v>
      </c>
      <c r="O505" s="4" t="s">
        <v>265</v>
      </c>
      <c r="P505" s="6">
        <f>3927</f>
        <v>3927</v>
      </c>
      <c r="Q505" s="6">
        <f>0</f>
        <v>0</v>
      </c>
      <c r="S505" s="6">
        <f>0</f>
        <v>0</v>
      </c>
      <c r="T505" s="6">
        <f>3927</f>
        <v>3927</v>
      </c>
      <c r="U505" s="5" t="s">
        <v>245</v>
      </c>
      <c r="V505" s="4" t="s">
        <v>270</v>
      </c>
      <c r="W505" s="4" t="s">
        <v>242</v>
      </c>
      <c r="X505" s="4" t="s">
        <v>243</v>
      </c>
      <c r="Y505" s="4" t="s">
        <v>241</v>
      </c>
      <c r="AB505" s="4" t="s">
        <v>241</v>
      </c>
      <c r="AD505" s="5" t="s">
        <v>241</v>
      </c>
      <c r="AG505" s="5" t="s">
        <v>246</v>
      </c>
      <c r="AH505" s="4" t="s">
        <v>241</v>
      </c>
      <c r="AI505" s="4" t="s">
        <v>247</v>
      </c>
      <c r="AJ505" s="4" t="s">
        <v>248</v>
      </c>
      <c r="AZ505" s="4" t="s">
        <v>249</v>
      </c>
      <c r="BA505" s="4" t="s">
        <v>241</v>
      </c>
      <c r="BB505" s="4" t="s">
        <v>250</v>
      </c>
      <c r="BC505" s="4" t="s">
        <v>241</v>
      </c>
      <c r="BD505" s="4" t="s">
        <v>252</v>
      </c>
      <c r="BE505" s="4" t="s">
        <v>241</v>
      </c>
      <c r="BI505" s="4" t="s">
        <v>253</v>
      </c>
      <c r="BJ505" s="5" t="s">
        <v>246</v>
      </c>
      <c r="BK505" s="4" t="s">
        <v>254</v>
      </c>
      <c r="BL505" s="4" t="s">
        <v>255</v>
      </c>
      <c r="BM505" s="4" t="s">
        <v>241</v>
      </c>
      <c r="BN505" s="6">
        <f>0</f>
        <v>0</v>
      </c>
      <c r="BO505" s="6">
        <f>0</f>
        <v>0</v>
      </c>
      <c r="BP505" s="4" t="s">
        <v>256</v>
      </c>
      <c r="BQ505" s="4" t="s">
        <v>257</v>
      </c>
      <c r="CE505" s="4" t="s">
        <v>241</v>
      </c>
      <c r="CF505" s="4" t="s">
        <v>241</v>
      </c>
      <c r="CJ505" s="4" t="s">
        <v>258</v>
      </c>
      <c r="CK505" s="4" t="s">
        <v>259</v>
      </c>
      <c r="CL505" s="4" t="s">
        <v>241</v>
      </c>
      <c r="CO505" s="5" t="s">
        <v>260</v>
      </c>
      <c r="CP505" s="4" t="s">
        <v>241</v>
      </c>
      <c r="CQ505" s="4" t="s">
        <v>261</v>
      </c>
      <c r="CR505" s="4" t="s">
        <v>241</v>
      </c>
      <c r="CS505" s="4" t="s">
        <v>241</v>
      </c>
      <c r="CT505" s="4">
        <v>0</v>
      </c>
      <c r="CU505" s="4" t="s">
        <v>262</v>
      </c>
      <c r="CV505" s="4" t="s">
        <v>263</v>
      </c>
      <c r="CW505" s="4" t="s">
        <v>263</v>
      </c>
      <c r="CX505" s="4" t="s">
        <v>264</v>
      </c>
      <c r="DA505" s="6">
        <f>3927</f>
        <v>3927</v>
      </c>
      <c r="DC505" s="4" t="s">
        <v>3160</v>
      </c>
      <c r="DD505" s="4" t="s">
        <v>241</v>
      </c>
      <c r="DF505" s="4" t="s">
        <v>287</v>
      </c>
      <c r="DG505" s="6">
        <f>0</f>
        <v>0</v>
      </c>
      <c r="DI505" s="4" t="s">
        <v>3167</v>
      </c>
      <c r="DJ505" s="4" t="s">
        <v>241</v>
      </c>
      <c r="DK505" s="4" t="s">
        <v>241</v>
      </c>
      <c r="DL505" s="4" t="s">
        <v>241</v>
      </c>
      <c r="DP505" s="4" t="s">
        <v>241</v>
      </c>
      <c r="DQ505" s="4" t="s">
        <v>241</v>
      </c>
      <c r="DR505" s="4" t="s">
        <v>241</v>
      </c>
      <c r="DS505" s="4" t="s">
        <v>241</v>
      </c>
      <c r="DV505" s="4" t="s">
        <v>4520</v>
      </c>
      <c r="DW505" s="4" t="s">
        <v>1730</v>
      </c>
      <c r="HO505" s="4" t="s">
        <v>267</v>
      </c>
    </row>
    <row r="506" spans="1:223" ht="19.5" customHeight="1" x14ac:dyDescent="0.4">
      <c r="A506" s="4">
        <v>1</v>
      </c>
      <c r="B506" s="4" t="s">
        <v>239</v>
      </c>
      <c r="C506" s="4">
        <v>1368</v>
      </c>
      <c r="D506" s="4">
        <v>1</v>
      </c>
      <c r="E506" s="4">
        <v>1</v>
      </c>
      <c r="F506" s="4" t="s">
        <v>240</v>
      </c>
      <c r="G506" s="4" t="s">
        <v>241</v>
      </c>
      <c r="H506" s="4" t="s">
        <v>241</v>
      </c>
      <c r="I506" s="4" t="s">
        <v>4518</v>
      </c>
      <c r="J506" s="4" t="s">
        <v>3158</v>
      </c>
      <c r="K506" s="4" t="s">
        <v>251</v>
      </c>
      <c r="L506" s="4" t="s">
        <v>3180</v>
      </c>
      <c r="M506" s="5" t="s">
        <v>4560</v>
      </c>
      <c r="N506" s="6">
        <f>1480</f>
        <v>1480</v>
      </c>
      <c r="O506" s="4" t="s">
        <v>265</v>
      </c>
      <c r="P506" s="6">
        <f>16280</f>
        <v>16280</v>
      </c>
      <c r="Q506" s="6">
        <f>0</f>
        <v>0</v>
      </c>
      <c r="S506" s="6">
        <f>0</f>
        <v>0</v>
      </c>
      <c r="T506" s="6">
        <f>16280</f>
        <v>16280</v>
      </c>
      <c r="U506" s="5" t="s">
        <v>245</v>
      </c>
      <c r="V506" s="4" t="s">
        <v>270</v>
      </c>
      <c r="W506" s="4" t="s">
        <v>242</v>
      </c>
      <c r="X506" s="4" t="s">
        <v>243</v>
      </c>
      <c r="Y506" s="4" t="s">
        <v>241</v>
      </c>
      <c r="AB506" s="4" t="s">
        <v>241</v>
      </c>
      <c r="AD506" s="5" t="s">
        <v>241</v>
      </c>
      <c r="AG506" s="5" t="s">
        <v>246</v>
      </c>
      <c r="AH506" s="4" t="s">
        <v>241</v>
      </c>
      <c r="AI506" s="4" t="s">
        <v>247</v>
      </c>
      <c r="AJ506" s="4" t="s">
        <v>248</v>
      </c>
      <c r="AZ506" s="4" t="s">
        <v>249</v>
      </c>
      <c r="BA506" s="4" t="s">
        <v>241</v>
      </c>
      <c r="BB506" s="4" t="s">
        <v>250</v>
      </c>
      <c r="BC506" s="4" t="s">
        <v>241</v>
      </c>
      <c r="BD506" s="4" t="s">
        <v>252</v>
      </c>
      <c r="BE506" s="4" t="s">
        <v>241</v>
      </c>
      <c r="BI506" s="4" t="s">
        <v>253</v>
      </c>
      <c r="BJ506" s="5" t="s">
        <v>246</v>
      </c>
      <c r="BK506" s="4" t="s">
        <v>254</v>
      </c>
      <c r="BL506" s="4" t="s">
        <v>255</v>
      </c>
      <c r="BM506" s="4" t="s">
        <v>241</v>
      </c>
      <c r="BN506" s="6">
        <f>0</f>
        <v>0</v>
      </c>
      <c r="BO506" s="6">
        <f>0</f>
        <v>0</v>
      </c>
      <c r="BP506" s="4" t="s">
        <v>256</v>
      </c>
      <c r="BQ506" s="4" t="s">
        <v>257</v>
      </c>
      <c r="CE506" s="4" t="s">
        <v>241</v>
      </c>
      <c r="CF506" s="4" t="s">
        <v>241</v>
      </c>
      <c r="CJ506" s="4" t="s">
        <v>258</v>
      </c>
      <c r="CK506" s="4" t="s">
        <v>259</v>
      </c>
      <c r="CL506" s="4" t="s">
        <v>241</v>
      </c>
      <c r="CO506" s="5" t="s">
        <v>260</v>
      </c>
      <c r="CP506" s="4" t="s">
        <v>241</v>
      </c>
      <c r="CQ506" s="4" t="s">
        <v>261</v>
      </c>
      <c r="CR506" s="4" t="s">
        <v>241</v>
      </c>
      <c r="CS506" s="4" t="s">
        <v>241</v>
      </c>
      <c r="CT506" s="4">
        <v>0</v>
      </c>
      <c r="CU506" s="4" t="s">
        <v>262</v>
      </c>
      <c r="CV506" s="4" t="s">
        <v>263</v>
      </c>
      <c r="CW506" s="4" t="s">
        <v>263</v>
      </c>
      <c r="CX506" s="4" t="s">
        <v>264</v>
      </c>
      <c r="DA506" s="6">
        <f>16280</f>
        <v>16280</v>
      </c>
      <c r="DC506" s="4" t="s">
        <v>3160</v>
      </c>
      <c r="DD506" s="4" t="s">
        <v>241</v>
      </c>
      <c r="DF506" s="4" t="s">
        <v>287</v>
      </c>
      <c r="DG506" s="6">
        <f>0</f>
        <v>0</v>
      </c>
      <c r="DI506" s="4" t="s">
        <v>3167</v>
      </c>
      <c r="DJ506" s="4" t="s">
        <v>241</v>
      </c>
      <c r="DK506" s="4" t="s">
        <v>241</v>
      </c>
      <c r="DL506" s="4" t="s">
        <v>241</v>
      </c>
      <c r="DP506" s="4" t="s">
        <v>241</v>
      </c>
      <c r="DQ506" s="4" t="s">
        <v>241</v>
      </c>
      <c r="DR506" s="4" t="s">
        <v>241</v>
      </c>
      <c r="DS506" s="4" t="s">
        <v>241</v>
      </c>
      <c r="DV506" s="4" t="s">
        <v>4520</v>
      </c>
      <c r="DW506" s="4" t="s">
        <v>1728</v>
      </c>
      <c r="HO506" s="4" t="s">
        <v>267</v>
      </c>
    </row>
    <row r="507" spans="1:223" ht="19.5" customHeight="1" x14ac:dyDescent="0.4">
      <c r="A507" s="4">
        <v>1</v>
      </c>
      <c r="B507" s="4" t="s">
        <v>239</v>
      </c>
      <c r="C507" s="4">
        <v>1369</v>
      </c>
      <c r="D507" s="4">
        <v>1</v>
      </c>
      <c r="E507" s="4">
        <v>1</v>
      </c>
      <c r="F507" s="4" t="s">
        <v>240</v>
      </c>
      <c r="G507" s="4" t="s">
        <v>241</v>
      </c>
      <c r="H507" s="4" t="s">
        <v>241</v>
      </c>
      <c r="I507" s="4" t="s">
        <v>4518</v>
      </c>
      <c r="J507" s="4" t="s">
        <v>3158</v>
      </c>
      <c r="K507" s="4" t="s">
        <v>251</v>
      </c>
      <c r="L507" s="4" t="s">
        <v>3180</v>
      </c>
      <c r="M507" s="5" t="s">
        <v>5442</v>
      </c>
      <c r="N507" s="6">
        <f>817</f>
        <v>817</v>
      </c>
      <c r="O507" s="4" t="s">
        <v>265</v>
      </c>
      <c r="P507" s="6">
        <f>8987</f>
        <v>8987</v>
      </c>
      <c r="Q507" s="6">
        <f>0</f>
        <v>0</v>
      </c>
      <c r="S507" s="6">
        <f>0</f>
        <v>0</v>
      </c>
      <c r="T507" s="6">
        <f>8987</f>
        <v>8987</v>
      </c>
      <c r="U507" s="5" t="s">
        <v>245</v>
      </c>
      <c r="V507" s="4" t="s">
        <v>270</v>
      </c>
      <c r="W507" s="4" t="s">
        <v>242</v>
      </c>
      <c r="X507" s="4" t="s">
        <v>243</v>
      </c>
      <c r="Y507" s="4" t="s">
        <v>241</v>
      </c>
      <c r="AB507" s="4" t="s">
        <v>241</v>
      </c>
      <c r="AD507" s="5" t="s">
        <v>241</v>
      </c>
      <c r="AG507" s="5" t="s">
        <v>246</v>
      </c>
      <c r="AH507" s="4" t="s">
        <v>241</v>
      </c>
      <c r="AI507" s="4" t="s">
        <v>247</v>
      </c>
      <c r="AJ507" s="4" t="s">
        <v>248</v>
      </c>
      <c r="AZ507" s="4" t="s">
        <v>249</v>
      </c>
      <c r="BA507" s="4" t="s">
        <v>241</v>
      </c>
      <c r="BB507" s="4" t="s">
        <v>250</v>
      </c>
      <c r="BC507" s="4" t="s">
        <v>241</v>
      </c>
      <c r="BD507" s="4" t="s">
        <v>252</v>
      </c>
      <c r="BE507" s="4" t="s">
        <v>241</v>
      </c>
      <c r="BI507" s="4" t="s">
        <v>253</v>
      </c>
      <c r="BJ507" s="5" t="s">
        <v>246</v>
      </c>
      <c r="BK507" s="4" t="s">
        <v>254</v>
      </c>
      <c r="BL507" s="4" t="s">
        <v>255</v>
      </c>
      <c r="BM507" s="4" t="s">
        <v>241</v>
      </c>
      <c r="BN507" s="6">
        <f>0</f>
        <v>0</v>
      </c>
      <c r="BO507" s="6">
        <f>0</f>
        <v>0</v>
      </c>
      <c r="BP507" s="4" t="s">
        <v>256</v>
      </c>
      <c r="BQ507" s="4" t="s">
        <v>257</v>
      </c>
      <c r="CE507" s="4" t="s">
        <v>241</v>
      </c>
      <c r="CF507" s="4" t="s">
        <v>241</v>
      </c>
      <c r="CJ507" s="4" t="s">
        <v>258</v>
      </c>
      <c r="CK507" s="4" t="s">
        <v>259</v>
      </c>
      <c r="CL507" s="4" t="s">
        <v>241</v>
      </c>
      <c r="CO507" s="5" t="s">
        <v>260</v>
      </c>
      <c r="CP507" s="4" t="s">
        <v>241</v>
      </c>
      <c r="CQ507" s="4" t="s">
        <v>261</v>
      </c>
      <c r="CR507" s="4" t="s">
        <v>241</v>
      </c>
      <c r="CS507" s="4" t="s">
        <v>241</v>
      </c>
      <c r="CT507" s="4">
        <v>0</v>
      </c>
      <c r="CU507" s="4" t="s">
        <v>262</v>
      </c>
      <c r="CV507" s="4" t="s">
        <v>263</v>
      </c>
      <c r="CW507" s="4" t="s">
        <v>263</v>
      </c>
      <c r="CX507" s="4" t="s">
        <v>264</v>
      </c>
      <c r="DA507" s="6">
        <f>8987</f>
        <v>8987</v>
      </c>
      <c r="DC507" s="4" t="s">
        <v>3160</v>
      </c>
      <c r="DD507" s="4" t="s">
        <v>241</v>
      </c>
      <c r="DF507" s="4" t="s">
        <v>287</v>
      </c>
      <c r="DG507" s="6">
        <f>0</f>
        <v>0</v>
      </c>
      <c r="DI507" s="4" t="s">
        <v>3167</v>
      </c>
      <c r="DJ507" s="4" t="s">
        <v>241</v>
      </c>
      <c r="DK507" s="4" t="s">
        <v>241</v>
      </c>
      <c r="DL507" s="4" t="s">
        <v>241</v>
      </c>
      <c r="DP507" s="4" t="s">
        <v>241</v>
      </c>
      <c r="DQ507" s="4" t="s">
        <v>241</v>
      </c>
      <c r="DR507" s="4" t="s">
        <v>241</v>
      </c>
      <c r="DS507" s="4" t="s">
        <v>241</v>
      </c>
      <c r="DV507" s="4" t="s">
        <v>4520</v>
      </c>
      <c r="DW507" s="4" t="s">
        <v>1726</v>
      </c>
      <c r="HO507" s="4" t="s">
        <v>267</v>
      </c>
    </row>
    <row r="508" spans="1:223" ht="19.5" customHeight="1" x14ac:dyDescent="0.4">
      <c r="A508" s="4">
        <v>1</v>
      </c>
      <c r="B508" s="4" t="s">
        <v>239</v>
      </c>
      <c r="C508" s="4">
        <v>1370</v>
      </c>
      <c r="D508" s="4">
        <v>1</v>
      </c>
      <c r="E508" s="4">
        <v>1</v>
      </c>
      <c r="F508" s="4" t="s">
        <v>240</v>
      </c>
      <c r="G508" s="4" t="s">
        <v>241</v>
      </c>
      <c r="H508" s="4" t="s">
        <v>241</v>
      </c>
      <c r="I508" s="4" t="s">
        <v>4518</v>
      </c>
      <c r="J508" s="4" t="s">
        <v>3158</v>
      </c>
      <c r="K508" s="4" t="s">
        <v>251</v>
      </c>
      <c r="L508" s="4" t="s">
        <v>3180</v>
      </c>
      <c r="M508" s="5" t="s">
        <v>4562</v>
      </c>
      <c r="N508" s="6">
        <f>571</f>
        <v>571</v>
      </c>
      <c r="O508" s="4" t="s">
        <v>265</v>
      </c>
      <c r="P508" s="6">
        <f>6281</f>
        <v>6281</v>
      </c>
      <c r="Q508" s="6">
        <f>0</f>
        <v>0</v>
      </c>
      <c r="S508" s="6">
        <f>0</f>
        <v>0</v>
      </c>
      <c r="T508" s="6">
        <f>6281</f>
        <v>6281</v>
      </c>
      <c r="U508" s="5" t="s">
        <v>245</v>
      </c>
      <c r="V508" s="4" t="s">
        <v>270</v>
      </c>
      <c r="W508" s="4" t="s">
        <v>242</v>
      </c>
      <c r="X508" s="4" t="s">
        <v>243</v>
      </c>
      <c r="Y508" s="4" t="s">
        <v>241</v>
      </c>
      <c r="AB508" s="4" t="s">
        <v>241</v>
      </c>
      <c r="AD508" s="5" t="s">
        <v>241</v>
      </c>
      <c r="AG508" s="5" t="s">
        <v>246</v>
      </c>
      <c r="AH508" s="4" t="s">
        <v>241</v>
      </c>
      <c r="AI508" s="4" t="s">
        <v>247</v>
      </c>
      <c r="AJ508" s="4" t="s">
        <v>248</v>
      </c>
      <c r="AZ508" s="4" t="s">
        <v>249</v>
      </c>
      <c r="BA508" s="4" t="s">
        <v>241</v>
      </c>
      <c r="BB508" s="4" t="s">
        <v>250</v>
      </c>
      <c r="BC508" s="4" t="s">
        <v>241</v>
      </c>
      <c r="BD508" s="4" t="s">
        <v>252</v>
      </c>
      <c r="BE508" s="4" t="s">
        <v>241</v>
      </c>
      <c r="BI508" s="4" t="s">
        <v>253</v>
      </c>
      <c r="BJ508" s="5" t="s">
        <v>246</v>
      </c>
      <c r="BK508" s="4" t="s">
        <v>254</v>
      </c>
      <c r="BL508" s="4" t="s">
        <v>255</v>
      </c>
      <c r="BM508" s="4" t="s">
        <v>241</v>
      </c>
      <c r="BN508" s="6">
        <f>0</f>
        <v>0</v>
      </c>
      <c r="BO508" s="6">
        <f>0</f>
        <v>0</v>
      </c>
      <c r="BP508" s="4" t="s">
        <v>256</v>
      </c>
      <c r="BQ508" s="4" t="s">
        <v>257</v>
      </c>
      <c r="CE508" s="4" t="s">
        <v>241</v>
      </c>
      <c r="CF508" s="4" t="s">
        <v>241</v>
      </c>
      <c r="CJ508" s="4" t="s">
        <v>258</v>
      </c>
      <c r="CK508" s="4" t="s">
        <v>259</v>
      </c>
      <c r="CL508" s="4" t="s">
        <v>241</v>
      </c>
      <c r="CO508" s="5" t="s">
        <v>260</v>
      </c>
      <c r="CP508" s="4" t="s">
        <v>241</v>
      </c>
      <c r="CQ508" s="4" t="s">
        <v>261</v>
      </c>
      <c r="CR508" s="4" t="s">
        <v>241</v>
      </c>
      <c r="CS508" s="4" t="s">
        <v>241</v>
      </c>
      <c r="CT508" s="4">
        <v>0</v>
      </c>
      <c r="CU508" s="4" t="s">
        <v>262</v>
      </c>
      <c r="CV508" s="4" t="s">
        <v>263</v>
      </c>
      <c r="CW508" s="4" t="s">
        <v>263</v>
      </c>
      <c r="CX508" s="4" t="s">
        <v>264</v>
      </c>
      <c r="DA508" s="6">
        <f>6281</f>
        <v>6281</v>
      </c>
      <c r="DC508" s="4" t="s">
        <v>3160</v>
      </c>
      <c r="DD508" s="4" t="s">
        <v>241</v>
      </c>
      <c r="DF508" s="4" t="s">
        <v>287</v>
      </c>
      <c r="DG508" s="6">
        <f>0</f>
        <v>0</v>
      </c>
      <c r="DI508" s="4" t="s">
        <v>3167</v>
      </c>
      <c r="DJ508" s="4" t="s">
        <v>241</v>
      </c>
      <c r="DK508" s="4" t="s">
        <v>241</v>
      </c>
      <c r="DL508" s="4" t="s">
        <v>241</v>
      </c>
      <c r="DP508" s="4" t="s">
        <v>241</v>
      </c>
      <c r="DQ508" s="4" t="s">
        <v>241</v>
      </c>
      <c r="DR508" s="4" t="s">
        <v>241</v>
      </c>
      <c r="DS508" s="4" t="s">
        <v>241</v>
      </c>
      <c r="DV508" s="4" t="s">
        <v>4520</v>
      </c>
      <c r="DW508" s="4" t="s">
        <v>741</v>
      </c>
      <c r="HO508" s="4" t="s">
        <v>267</v>
      </c>
    </row>
    <row r="509" spans="1:223" ht="19.5" customHeight="1" x14ac:dyDescent="0.4">
      <c r="A509" s="4">
        <v>1</v>
      </c>
      <c r="B509" s="4" t="s">
        <v>239</v>
      </c>
      <c r="C509" s="4">
        <v>1371</v>
      </c>
      <c r="D509" s="4">
        <v>1</v>
      </c>
      <c r="E509" s="4">
        <v>1</v>
      </c>
      <c r="F509" s="4" t="s">
        <v>240</v>
      </c>
      <c r="G509" s="4" t="s">
        <v>241</v>
      </c>
      <c r="H509" s="4" t="s">
        <v>241</v>
      </c>
      <c r="I509" s="4" t="s">
        <v>4518</v>
      </c>
      <c r="J509" s="4" t="s">
        <v>3158</v>
      </c>
      <c r="K509" s="4" t="s">
        <v>251</v>
      </c>
      <c r="L509" s="4" t="s">
        <v>3180</v>
      </c>
      <c r="M509" s="5" t="s">
        <v>4565</v>
      </c>
      <c r="N509" s="6">
        <f>551</f>
        <v>551</v>
      </c>
      <c r="O509" s="4" t="s">
        <v>265</v>
      </c>
      <c r="P509" s="6">
        <f>6061</f>
        <v>6061</v>
      </c>
      <c r="Q509" s="6">
        <f>0</f>
        <v>0</v>
      </c>
      <c r="S509" s="6">
        <f>0</f>
        <v>0</v>
      </c>
      <c r="T509" s="6">
        <f>6061</f>
        <v>6061</v>
      </c>
      <c r="U509" s="5" t="s">
        <v>245</v>
      </c>
      <c r="V509" s="4" t="s">
        <v>270</v>
      </c>
      <c r="W509" s="4" t="s">
        <v>242</v>
      </c>
      <c r="X509" s="4" t="s">
        <v>243</v>
      </c>
      <c r="Y509" s="4" t="s">
        <v>241</v>
      </c>
      <c r="AB509" s="4" t="s">
        <v>241</v>
      </c>
      <c r="AD509" s="5" t="s">
        <v>241</v>
      </c>
      <c r="AG509" s="5" t="s">
        <v>246</v>
      </c>
      <c r="AH509" s="4" t="s">
        <v>241</v>
      </c>
      <c r="AI509" s="4" t="s">
        <v>247</v>
      </c>
      <c r="AJ509" s="4" t="s">
        <v>248</v>
      </c>
      <c r="AZ509" s="4" t="s">
        <v>249</v>
      </c>
      <c r="BA509" s="4" t="s">
        <v>241</v>
      </c>
      <c r="BB509" s="4" t="s">
        <v>250</v>
      </c>
      <c r="BC509" s="4" t="s">
        <v>241</v>
      </c>
      <c r="BD509" s="4" t="s">
        <v>252</v>
      </c>
      <c r="BE509" s="4" t="s">
        <v>241</v>
      </c>
      <c r="BI509" s="4" t="s">
        <v>253</v>
      </c>
      <c r="BJ509" s="5" t="s">
        <v>246</v>
      </c>
      <c r="BK509" s="4" t="s">
        <v>254</v>
      </c>
      <c r="BL509" s="4" t="s">
        <v>255</v>
      </c>
      <c r="BM509" s="4" t="s">
        <v>241</v>
      </c>
      <c r="BN509" s="6">
        <f>0</f>
        <v>0</v>
      </c>
      <c r="BO509" s="6">
        <f>0</f>
        <v>0</v>
      </c>
      <c r="BP509" s="4" t="s">
        <v>256</v>
      </c>
      <c r="BQ509" s="4" t="s">
        <v>257</v>
      </c>
      <c r="CE509" s="4" t="s">
        <v>241</v>
      </c>
      <c r="CF509" s="4" t="s">
        <v>241</v>
      </c>
      <c r="CJ509" s="4" t="s">
        <v>258</v>
      </c>
      <c r="CK509" s="4" t="s">
        <v>259</v>
      </c>
      <c r="CL509" s="4" t="s">
        <v>241</v>
      </c>
      <c r="CO509" s="5" t="s">
        <v>260</v>
      </c>
      <c r="CP509" s="4" t="s">
        <v>241</v>
      </c>
      <c r="CQ509" s="4" t="s">
        <v>261</v>
      </c>
      <c r="CR509" s="4" t="s">
        <v>241</v>
      </c>
      <c r="CS509" s="4" t="s">
        <v>241</v>
      </c>
      <c r="CT509" s="4">
        <v>0</v>
      </c>
      <c r="CU509" s="4" t="s">
        <v>262</v>
      </c>
      <c r="CV509" s="4" t="s">
        <v>263</v>
      </c>
      <c r="CW509" s="4" t="s">
        <v>263</v>
      </c>
      <c r="CX509" s="4" t="s">
        <v>264</v>
      </c>
      <c r="DA509" s="6">
        <f>6061</f>
        <v>6061</v>
      </c>
      <c r="DC509" s="4" t="s">
        <v>3160</v>
      </c>
      <c r="DD509" s="4" t="s">
        <v>241</v>
      </c>
      <c r="DF509" s="4" t="s">
        <v>287</v>
      </c>
      <c r="DG509" s="6">
        <f>0</f>
        <v>0</v>
      </c>
      <c r="DI509" s="4" t="s">
        <v>3167</v>
      </c>
      <c r="DJ509" s="4" t="s">
        <v>241</v>
      </c>
      <c r="DK509" s="4" t="s">
        <v>241</v>
      </c>
      <c r="DL509" s="4" t="s">
        <v>241</v>
      </c>
      <c r="DP509" s="4" t="s">
        <v>241</v>
      </c>
      <c r="DQ509" s="4" t="s">
        <v>241</v>
      </c>
      <c r="DR509" s="4" t="s">
        <v>241</v>
      </c>
      <c r="DS509" s="4" t="s">
        <v>241</v>
      </c>
      <c r="DV509" s="4" t="s">
        <v>4520</v>
      </c>
      <c r="DW509" s="4" t="s">
        <v>1723</v>
      </c>
      <c r="HO509" s="4" t="s">
        <v>267</v>
      </c>
    </row>
    <row r="510" spans="1:223" ht="19.5" customHeight="1" x14ac:dyDescent="0.4">
      <c r="A510" s="4">
        <v>1</v>
      </c>
      <c r="B510" s="4" t="s">
        <v>239</v>
      </c>
      <c r="C510" s="4">
        <v>1372</v>
      </c>
      <c r="D510" s="4">
        <v>1</v>
      </c>
      <c r="E510" s="4">
        <v>1</v>
      </c>
      <c r="F510" s="4" t="s">
        <v>240</v>
      </c>
      <c r="G510" s="4" t="s">
        <v>241</v>
      </c>
      <c r="H510" s="4" t="s">
        <v>241</v>
      </c>
      <c r="I510" s="4" t="s">
        <v>4518</v>
      </c>
      <c r="J510" s="4" t="s">
        <v>3158</v>
      </c>
      <c r="K510" s="4" t="s">
        <v>251</v>
      </c>
      <c r="L510" s="4" t="s">
        <v>3180</v>
      </c>
      <c r="M510" s="5" t="s">
        <v>4566</v>
      </c>
      <c r="N510" s="6">
        <f>2651</f>
        <v>2651</v>
      </c>
      <c r="O510" s="4" t="s">
        <v>265</v>
      </c>
      <c r="P510" s="6">
        <f>29161</f>
        <v>29161</v>
      </c>
      <c r="Q510" s="6">
        <f>0</f>
        <v>0</v>
      </c>
      <c r="S510" s="6">
        <f>0</f>
        <v>0</v>
      </c>
      <c r="T510" s="6">
        <f>29161</f>
        <v>29161</v>
      </c>
      <c r="U510" s="5" t="s">
        <v>245</v>
      </c>
      <c r="V510" s="4" t="s">
        <v>270</v>
      </c>
      <c r="W510" s="4" t="s">
        <v>242</v>
      </c>
      <c r="X510" s="4" t="s">
        <v>243</v>
      </c>
      <c r="Y510" s="4" t="s">
        <v>241</v>
      </c>
      <c r="AB510" s="4" t="s">
        <v>241</v>
      </c>
      <c r="AD510" s="5" t="s">
        <v>241</v>
      </c>
      <c r="AG510" s="5" t="s">
        <v>246</v>
      </c>
      <c r="AH510" s="4" t="s">
        <v>241</v>
      </c>
      <c r="AI510" s="4" t="s">
        <v>247</v>
      </c>
      <c r="AJ510" s="4" t="s">
        <v>248</v>
      </c>
      <c r="AZ510" s="4" t="s">
        <v>249</v>
      </c>
      <c r="BA510" s="4" t="s">
        <v>241</v>
      </c>
      <c r="BB510" s="4" t="s">
        <v>250</v>
      </c>
      <c r="BC510" s="4" t="s">
        <v>241</v>
      </c>
      <c r="BD510" s="4" t="s">
        <v>252</v>
      </c>
      <c r="BE510" s="4" t="s">
        <v>241</v>
      </c>
      <c r="BI510" s="4" t="s">
        <v>253</v>
      </c>
      <c r="BJ510" s="5" t="s">
        <v>246</v>
      </c>
      <c r="BK510" s="4" t="s">
        <v>254</v>
      </c>
      <c r="BL510" s="4" t="s">
        <v>255</v>
      </c>
      <c r="BM510" s="4" t="s">
        <v>241</v>
      </c>
      <c r="BN510" s="6">
        <f>0</f>
        <v>0</v>
      </c>
      <c r="BO510" s="6">
        <f>0</f>
        <v>0</v>
      </c>
      <c r="BP510" s="4" t="s">
        <v>256</v>
      </c>
      <c r="BQ510" s="4" t="s">
        <v>257</v>
      </c>
      <c r="CE510" s="4" t="s">
        <v>241</v>
      </c>
      <c r="CF510" s="4" t="s">
        <v>241</v>
      </c>
      <c r="CJ510" s="4" t="s">
        <v>258</v>
      </c>
      <c r="CK510" s="4" t="s">
        <v>259</v>
      </c>
      <c r="CL510" s="4" t="s">
        <v>241</v>
      </c>
      <c r="CO510" s="5" t="s">
        <v>260</v>
      </c>
      <c r="CP510" s="4" t="s">
        <v>241</v>
      </c>
      <c r="CQ510" s="4" t="s">
        <v>261</v>
      </c>
      <c r="CR510" s="4" t="s">
        <v>241</v>
      </c>
      <c r="CS510" s="4" t="s">
        <v>241</v>
      </c>
      <c r="CT510" s="4">
        <v>0</v>
      </c>
      <c r="CU510" s="4" t="s">
        <v>262</v>
      </c>
      <c r="CV510" s="4" t="s">
        <v>263</v>
      </c>
      <c r="CW510" s="4" t="s">
        <v>263</v>
      </c>
      <c r="CX510" s="4" t="s">
        <v>264</v>
      </c>
      <c r="DA510" s="6">
        <f>29161</f>
        <v>29161</v>
      </c>
      <c r="DC510" s="4" t="s">
        <v>3160</v>
      </c>
      <c r="DD510" s="4" t="s">
        <v>241</v>
      </c>
      <c r="DF510" s="4" t="s">
        <v>287</v>
      </c>
      <c r="DG510" s="6">
        <f>0</f>
        <v>0</v>
      </c>
      <c r="DI510" s="4" t="s">
        <v>3167</v>
      </c>
      <c r="DJ510" s="4" t="s">
        <v>241</v>
      </c>
      <c r="DK510" s="4" t="s">
        <v>241</v>
      </c>
      <c r="DL510" s="4" t="s">
        <v>241</v>
      </c>
      <c r="DP510" s="4" t="s">
        <v>241</v>
      </c>
      <c r="DQ510" s="4" t="s">
        <v>241</v>
      </c>
      <c r="DR510" s="4" t="s">
        <v>241</v>
      </c>
      <c r="DS510" s="4" t="s">
        <v>241</v>
      </c>
      <c r="DV510" s="4" t="s">
        <v>4520</v>
      </c>
      <c r="DW510" s="4" t="s">
        <v>1721</v>
      </c>
      <c r="HO510" s="4" t="s">
        <v>267</v>
      </c>
    </row>
    <row r="511" spans="1:223" ht="19.5" customHeight="1" x14ac:dyDescent="0.4">
      <c r="A511" s="4">
        <v>1</v>
      </c>
      <c r="B511" s="4" t="s">
        <v>239</v>
      </c>
      <c r="C511" s="4">
        <v>1373</v>
      </c>
      <c r="D511" s="4">
        <v>1</v>
      </c>
      <c r="E511" s="4">
        <v>1</v>
      </c>
      <c r="F511" s="4" t="s">
        <v>240</v>
      </c>
      <c r="G511" s="4" t="s">
        <v>241</v>
      </c>
      <c r="H511" s="4" t="s">
        <v>241</v>
      </c>
      <c r="I511" s="4" t="s">
        <v>4518</v>
      </c>
      <c r="J511" s="4" t="s">
        <v>3158</v>
      </c>
      <c r="K511" s="4" t="s">
        <v>251</v>
      </c>
      <c r="L511" s="4" t="s">
        <v>3180</v>
      </c>
      <c r="M511" s="5" t="s">
        <v>4567</v>
      </c>
      <c r="N511" s="6">
        <f>10927</f>
        <v>10927</v>
      </c>
      <c r="O511" s="4" t="s">
        <v>265</v>
      </c>
      <c r="P511" s="6">
        <f>120197</f>
        <v>120197</v>
      </c>
      <c r="Q511" s="6">
        <f>0</f>
        <v>0</v>
      </c>
      <c r="S511" s="6">
        <f>0</f>
        <v>0</v>
      </c>
      <c r="T511" s="6">
        <f>120197</f>
        <v>120197</v>
      </c>
      <c r="U511" s="5" t="s">
        <v>245</v>
      </c>
      <c r="V511" s="4" t="s">
        <v>270</v>
      </c>
      <c r="W511" s="4" t="s">
        <v>242</v>
      </c>
      <c r="X511" s="4" t="s">
        <v>243</v>
      </c>
      <c r="Y511" s="4" t="s">
        <v>241</v>
      </c>
      <c r="AB511" s="4" t="s">
        <v>241</v>
      </c>
      <c r="AD511" s="5" t="s">
        <v>241</v>
      </c>
      <c r="AG511" s="5" t="s">
        <v>246</v>
      </c>
      <c r="AH511" s="4" t="s">
        <v>241</v>
      </c>
      <c r="AI511" s="4" t="s">
        <v>247</v>
      </c>
      <c r="AJ511" s="4" t="s">
        <v>248</v>
      </c>
      <c r="AZ511" s="4" t="s">
        <v>249</v>
      </c>
      <c r="BA511" s="4" t="s">
        <v>241</v>
      </c>
      <c r="BB511" s="4" t="s">
        <v>250</v>
      </c>
      <c r="BC511" s="4" t="s">
        <v>241</v>
      </c>
      <c r="BD511" s="4" t="s">
        <v>252</v>
      </c>
      <c r="BE511" s="4" t="s">
        <v>241</v>
      </c>
      <c r="BI511" s="4" t="s">
        <v>253</v>
      </c>
      <c r="BJ511" s="5" t="s">
        <v>246</v>
      </c>
      <c r="BK511" s="4" t="s">
        <v>254</v>
      </c>
      <c r="BL511" s="4" t="s">
        <v>255</v>
      </c>
      <c r="BM511" s="4" t="s">
        <v>241</v>
      </c>
      <c r="BN511" s="6">
        <f>0</f>
        <v>0</v>
      </c>
      <c r="BO511" s="6">
        <f>0</f>
        <v>0</v>
      </c>
      <c r="BP511" s="4" t="s">
        <v>256</v>
      </c>
      <c r="BQ511" s="4" t="s">
        <v>257</v>
      </c>
      <c r="CE511" s="4" t="s">
        <v>241</v>
      </c>
      <c r="CF511" s="4" t="s">
        <v>241</v>
      </c>
      <c r="CJ511" s="4" t="s">
        <v>258</v>
      </c>
      <c r="CK511" s="4" t="s">
        <v>259</v>
      </c>
      <c r="CL511" s="4" t="s">
        <v>241</v>
      </c>
      <c r="CO511" s="5" t="s">
        <v>260</v>
      </c>
      <c r="CP511" s="4" t="s">
        <v>241</v>
      </c>
      <c r="CQ511" s="4" t="s">
        <v>261</v>
      </c>
      <c r="CR511" s="4" t="s">
        <v>241</v>
      </c>
      <c r="CS511" s="4" t="s">
        <v>241</v>
      </c>
      <c r="CT511" s="4">
        <v>0</v>
      </c>
      <c r="CU511" s="4" t="s">
        <v>262</v>
      </c>
      <c r="CV511" s="4" t="s">
        <v>263</v>
      </c>
      <c r="CW511" s="4" t="s">
        <v>263</v>
      </c>
      <c r="CX511" s="4" t="s">
        <v>264</v>
      </c>
      <c r="DA511" s="6">
        <f>120197</f>
        <v>120197</v>
      </c>
      <c r="DC511" s="4" t="s">
        <v>3160</v>
      </c>
      <c r="DD511" s="4" t="s">
        <v>241</v>
      </c>
      <c r="DF511" s="4" t="s">
        <v>287</v>
      </c>
      <c r="DG511" s="6">
        <f>0</f>
        <v>0</v>
      </c>
      <c r="DI511" s="4" t="s">
        <v>3167</v>
      </c>
      <c r="DJ511" s="4" t="s">
        <v>241</v>
      </c>
      <c r="DK511" s="4" t="s">
        <v>241</v>
      </c>
      <c r="DL511" s="4" t="s">
        <v>241</v>
      </c>
      <c r="DP511" s="4" t="s">
        <v>241</v>
      </c>
      <c r="DQ511" s="4" t="s">
        <v>241</v>
      </c>
      <c r="DR511" s="4" t="s">
        <v>241</v>
      </c>
      <c r="DS511" s="4" t="s">
        <v>241</v>
      </c>
      <c r="DV511" s="4" t="s">
        <v>4520</v>
      </c>
      <c r="DW511" s="4" t="s">
        <v>1719</v>
      </c>
      <c r="HO511" s="4" t="s">
        <v>267</v>
      </c>
    </row>
    <row r="512" spans="1:223" ht="19.5" customHeight="1" x14ac:dyDescent="0.4">
      <c r="A512" s="4">
        <v>1</v>
      </c>
      <c r="B512" s="4" t="s">
        <v>239</v>
      </c>
      <c r="C512" s="4">
        <v>1374</v>
      </c>
      <c r="D512" s="4">
        <v>1</v>
      </c>
      <c r="E512" s="4">
        <v>1</v>
      </c>
      <c r="F512" s="4" t="s">
        <v>240</v>
      </c>
      <c r="G512" s="4" t="s">
        <v>241</v>
      </c>
      <c r="H512" s="4" t="s">
        <v>241</v>
      </c>
      <c r="I512" s="4" t="s">
        <v>4518</v>
      </c>
      <c r="J512" s="4" t="s">
        <v>3158</v>
      </c>
      <c r="K512" s="4" t="s">
        <v>251</v>
      </c>
      <c r="L512" s="4" t="s">
        <v>3180</v>
      </c>
      <c r="M512" s="5" t="s">
        <v>4568</v>
      </c>
      <c r="N512" s="6">
        <f>2348</f>
        <v>2348</v>
      </c>
      <c r="O512" s="4" t="s">
        <v>265</v>
      </c>
      <c r="P512" s="6">
        <f>25828</f>
        <v>25828</v>
      </c>
      <c r="Q512" s="6">
        <f>0</f>
        <v>0</v>
      </c>
      <c r="S512" s="6">
        <f>0</f>
        <v>0</v>
      </c>
      <c r="T512" s="6">
        <f>25828</f>
        <v>25828</v>
      </c>
      <c r="U512" s="5" t="s">
        <v>245</v>
      </c>
      <c r="V512" s="4" t="s">
        <v>270</v>
      </c>
      <c r="W512" s="4" t="s">
        <v>242</v>
      </c>
      <c r="X512" s="4" t="s">
        <v>243</v>
      </c>
      <c r="Y512" s="4" t="s">
        <v>241</v>
      </c>
      <c r="AB512" s="4" t="s">
        <v>241</v>
      </c>
      <c r="AD512" s="5" t="s">
        <v>241</v>
      </c>
      <c r="AG512" s="5" t="s">
        <v>246</v>
      </c>
      <c r="AH512" s="4" t="s">
        <v>241</v>
      </c>
      <c r="AI512" s="4" t="s">
        <v>247</v>
      </c>
      <c r="AJ512" s="4" t="s">
        <v>248</v>
      </c>
      <c r="AZ512" s="4" t="s">
        <v>249</v>
      </c>
      <c r="BA512" s="4" t="s">
        <v>241</v>
      </c>
      <c r="BB512" s="4" t="s">
        <v>250</v>
      </c>
      <c r="BC512" s="4" t="s">
        <v>241</v>
      </c>
      <c r="BD512" s="4" t="s">
        <v>252</v>
      </c>
      <c r="BE512" s="4" t="s">
        <v>241</v>
      </c>
      <c r="BI512" s="4" t="s">
        <v>253</v>
      </c>
      <c r="BJ512" s="5" t="s">
        <v>246</v>
      </c>
      <c r="BK512" s="4" t="s">
        <v>254</v>
      </c>
      <c r="BL512" s="4" t="s">
        <v>255</v>
      </c>
      <c r="BM512" s="4" t="s">
        <v>241</v>
      </c>
      <c r="BN512" s="6">
        <f>0</f>
        <v>0</v>
      </c>
      <c r="BO512" s="6">
        <f>0</f>
        <v>0</v>
      </c>
      <c r="BP512" s="4" t="s">
        <v>256</v>
      </c>
      <c r="BQ512" s="4" t="s">
        <v>257</v>
      </c>
      <c r="CE512" s="4" t="s">
        <v>241</v>
      </c>
      <c r="CF512" s="4" t="s">
        <v>241</v>
      </c>
      <c r="CJ512" s="4" t="s">
        <v>258</v>
      </c>
      <c r="CK512" s="4" t="s">
        <v>259</v>
      </c>
      <c r="CL512" s="4" t="s">
        <v>241</v>
      </c>
      <c r="CO512" s="5" t="s">
        <v>260</v>
      </c>
      <c r="CP512" s="4" t="s">
        <v>241</v>
      </c>
      <c r="CQ512" s="4" t="s">
        <v>261</v>
      </c>
      <c r="CR512" s="4" t="s">
        <v>241</v>
      </c>
      <c r="CS512" s="4" t="s">
        <v>241</v>
      </c>
      <c r="CT512" s="4">
        <v>0</v>
      </c>
      <c r="CU512" s="4" t="s">
        <v>262</v>
      </c>
      <c r="CV512" s="4" t="s">
        <v>263</v>
      </c>
      <c r="CW512" s="4" t="s">
        <v>263</v>
      </c>
      <c r="CX512" s="4" t="s">
        <v>264</v>
      </c>
      <c r="DA512" s="6">
        <f>25828</f>
        <v>25828</v>
      </c>
      <c r="DC512" s="4" t="s">
        <v>3160</v>
      </c>
      <c r="DD512" s="4" t="s">
        <v>241</v>
      </c>
      <c r="DF512" s="4" t="s">
        <v>287</v>
      </c>
      <c r="DG512" s="6">
        <f>0</f>
        <v>0</v>
      </c>
      <c r="DI512" s="4" t="s">
        <v>3167</v>
      </c>
      <c r="DJ512" s="4" t="s">
        <v>241</v>
      </c>
      <c r="DK512" s="4" t="s">
        <v>241</v>
      </c>
      <c r="DL512" s="4" t="s">
        <v>241</v>
      </c>
      <c r="DP512" s="4" t="s">
        <v>241</v>
      </c>
      <c r="DQ512" s="4" t="s">
        <v>241</v>
      </c>
      <c r="DR512" s="4" t="s">
        <v>241</v>
      </c>
      <c r="DS512" s="4" t="s">
        <v>241</v>
      </c>
      <c r="DV512" s="4" t="s">
        <v>4520</v>
      </c>
      <c r="DW512" s="4" t="s">
        <v>1715</v>
      </c>
      <c r="HO512" s="4" t="s">
        <v>267</v>
      </c>
    </row>
    <row r="513" spans="1:223" ht="19.5" customHeight="1" x14ac:dyDescent="0.4">
      <c r="A513" s="4">
        <v>1</v>
      </c>
      <c r="B513" s="4" t="s">
        <v>239</v>
      </c>
      <c r="C513" s="4">
        <v>1375</v>
      </c>
      <c r="D513" s="4">
        <v>1</v>
      </c>
      <c r="E513" s="4">
        <v>1</v>
      </c>
      <c r="F513" s="4" t="s">
        <v>240</v>
      </c>
      <c r="G513" s="4" t="s">
        <v>241</v>
      </c>
      <c r="H513" s="4" t="s">
        <v>241</v>
      </c>
      <c r="I513" s="4" t="s">
        <v>4518</v>
      </c>
      <c r="J513" s="4" t="s">
        <v>3158</v>
      </c>
      <c r="K513" s="4" t="s">
        <v>251</v>
      </c>
      <c r="L513" s="4" t="s">
        <v>3180</v>
      </c>
      <c r="M513" s="5" t="s">
        <v>4571</v>
      </c>
      <c r="N513" s="6">
        <f>842</f>
        <v>842</v>
      </c>
      <c r="O513" s="4" t="s">
        <v>265</v>
      </c>
      <c r="P513" s="6">
        <f>9262</f>
        <v>9262</v>
      </c>
      <c r="Q513" s="6">
        <f>0</f>
        <v>0</v>
      </c>
      <c r="S513" s="6">
        <f>0</f>
        <v>0</v>
      </c>
      <c r="T513" s="6">
        <f>9262</f>
        <v>9262</v>
      </c>
      <c r="U513" s="5" t="s">
        <v>245</v>
      </c>
      <c r="V513" s="4" t="s">
        <v>270</v>
      </c>
      <c r="W513" s="4" t="s">
        <v>242</v>
      </c>
      <c r="X513" s="4" t="s">
        <v>243</v>
      </c>
      <c r="Y513" s="4" t="s">
        <v>241</v>
      </c>
      <c r="AB513" s="4" t="s">
        <v>241</v>
      </c>
      <c r="AD513" s="5" t="s">
        <v>241</v>
      </c>
      <c r="AG513" s="5" t="s">
        <v>246</v>
      </c>
      <c r="AH513" s="4" t="s">
        <v>241</v>
      </c>
      <c r="AI513" s="4" t="s">
        <v>247</v>
      </c>
      <c r="AJ513" s="4" t="s">
        <v>248</v>
      </c>
      <c r="AZ513" s="4" t="s">
        <v>249</v>
      </c>
      <c r="BA513" s="4" t="s">
        <v>241</v>
      </c>
      <c r="BB513" s="4" t="s">
        <v>250</v>
      </c>
      <c r="BC513" s="4" t="s">
        <v>241</v>
      </c>
      <c r="BD513" s="4" t="s">
        <v>252</v>
      </c>
      <c r="BE513" s="4" t="s">
        <v>241</v>
      </c>
      <c r="BI513" s="4" t="s">
        <v>253</v>
      </c>
      <c r="BJ513" s="5" t="s">
        <v>246</v>
      </c>
      <c r="BK513" s="4" t="s">
        <v>254</v>
      </c>
      <c r="BL513" s="4" t="s">
        <v>255</v>
      </c>
      <c r="BM513" s="4" t="s">
        <v>241</v>
      </c>
      <c r="BN513" s="6">
        <f>0</f>
        <v>0</v>
      </c>
      <c r="BO513" s="6">
        <f>0</f>
        <v>0</v>
      </c>
      <c r="BP513" s="4" t="s">
        <v>256</v>
      </c>
      <c r="BQ513" s="4" t="s">
        <v>257</v>
      </c>
      <c r="CE513" s="4" t="s">
        <v>241</v>
      </c>
      <c r="CF513" s="4" t="s">
        <v>241</v>
      </c>
      <c r="CJ513" s="4" t="s">
        <v>258</v>
      </c>
      <c r="CK513" s="4" t="s">
        <v>259</v>
      </c>
      <c r="CL513" s="4" t="s">
        <v>241</v>
      </c>
      <c r="CO513" s="5" t="s">
        <v>260</v>
      </c>
      <c r="CP513" s="4" t="s">
        <v>241</v>
      </c>
      <c r="CQ513" s="4" t="s">
        <v>261</v>
      </c>
      <c r="CR513" s="4" t="s">
        <v>241</v>
      </c>
      <c r="CS513" s="4" t="s">
        <v>241</v>
      </c>
      <c r="CT513" s="4">
        <v>0</v>
      </c>
      <c r="CU513" s="4" t="s">
        <v>262</v>
      </c>
      <c r="CV513" s="4" t="s">
        <v>263</v>
      </c>
      <c r="CW513" s="4" t="s">
        <v>263</v>
      </c>
      <c r="CX513" s="4" t="s">
        <v>264</v>
      </c>
      <c r="DA513" s="6">
        <f>9262</f>
        <v>9262</v>
      </c>
      <c r="DC513" s="4" t="s">
        <v>3160</v>
      </c>
      <c r="DD513" s="4" t="s">
        <v>241</v>
      </c>
      <c r="DF513" s="4" t="s">
        <v>287</v>
      </c>
      <c r="DG513" s="6">
        <f>0</f>
        <v>0</v>
      </c>
      <c r="DI513" s="4" t="s">
        <v>3167</v>
      </c>
      <c r="DJ513" s="4" t="s">
        <v>241</v>
      </c>
      <c r="DK513" s="4" t="s">
        <v>241</v>
      </c>
      <c r="DL513" s="4" t="s">
        <v>241</v>
      </c>
      <c r="DP513" s="4" t="s">
        <v>241</v>
      </c>
      <c r="DQ513" s="4" t="s">
        <v>241</v>
      </c>
      <c r="DR513" s="4" t="s">
        <v>241</v>
      </c>
      <c r="DS513" s="4" t="s">
        <v>241</v>
      </c>
      <c r="DV513" s="4" t="s">
        <v>4520</v>
      </c>
      <c r="DW513" s="4" t="s">
        <v>1713</v>
      </c>
      <c r="HO513" s="4" t="s">
        <v>267</v>
      </c>
    </row>
    <row r="514" spans="1:223" ht="19.5" customHeight="1" x14ac:dyDescent="0.4">
      <c r="A514" s="4">
        <v>1</v>
      </c>
      <c r="B514" s="4" t="s">
        <v>239</v>
      </c>
      <c r="C514" s="4">
        <v>1376</v>
      </c>
      <c r="D514" s="4">
        <v>1</v>
      </c>
      <c r="E514" s="4">
        <v>1</v>
      </c>
      <c r="F514" s="4" t="s">
        <v>240</v>
      </c>
      <c r="G514" s="4" t="s">
        <v>241</v>
      </c>
      <c r="H514" s="4" t="s">
        <v>241</v>
      </c>
      <c r="I514" s="4" t="s">
        <v>4518</v>
      </c>
      <c r="J514" s="4" t="s">
        <v>3158</v>
      </c>
      <c r="K514" s="4" t="s">
        <v>251</v>
      </c>
      <c r="L514" s="4" t="s">
        <v>3180</v>
      </c>
      <c r="M514" s="5" t="s">
        <v>4572</v>
      </c>
      <c r="N514" s="6">
        <f>1463</f>
        <v>1463</v>
      </c>
      <c r="O514" s="4" t="s">
        <v>265</v>
      </c>
      <c r="P514" s="6">
        <f>16093</f>
        <v>16093</v>
      </c>
      <c r="Q514" s="6">
        <f>0</f>
        <v>0</v>
      </c>
      <c r="S514" s="6">
        <f>0</f>
        <v>0</v>
      </c>
      <c r="T514" s="6">
        <f>16093</f>
        <v>16093</v>
      </c>
      <c r="U514" s="5" t="s">
        <v>245</v>
      </c>
      <c r="V514" s="4" t="s">
        <v>270</v>
      </c>
      <c r="W514" s="4" t="s">
        <v>242</v>
      </c>
      <c r="X514" s="4" t="s">
        <v>243</v>
      </c>
      <c r="Y514" s="4" t="s">
        <v>241</v>
      </c>
      <c r="AB514" s="4" t="s">
        <v>241</v>
      </c>
      <c r="AD514" s="5" t="s">
        <v>241</v>
      </c>
      <c r="AG514" s="5" t="s">
        <v>246</v>
      </c>
      <c r="AH514" s="4" t="s">
        <v>241</v>
      </c>
      <c r="AI514" s="4" t="s">
        <v>247</v>
      </c>
      <c r="AJ514" s="4" t="s">
        <v>248</v>
      </c>
      <c r="AZ514" s="4" t="s">
        <v>249</v>
      </c>
      <c r="BA514" s="4" t="s">
        <v>241</v>
      </c>
      <c r="BB514" s="4" t="s">
        <v>250</v>
      </c>
      <c r="BC514" s="4" t="s">
        <v>241</v>
      </c>
      <c r="BD514" s="4" t="s">
        <v>252</v>
      </c>
      <c r="BE514" s="4" t="s">
        <v>241</v>
      </c>
      <c r="BI514" s="4" t="s">
        <v>253</v>
      </c>
      <c r="BJ514" s="5" t="s">
        <v>246</v>
      </c>
      <c r="BK514" s="4" t="s">
        <v>254</v>
      </c>
      <c r="BL514" s="4" t="s">
        <v>255</v>
      </c>
      <c r="BM514" s="4" t="s">
        <v>241</v>
      </c>
      <c r="BN514" s="6">
        <f>0</f>
        <v>0</v>
      </c>
      <c r="BO514" s="6">
        <f>0</f>
        <v>0</v>
      </c>
      <c r="BP514" s="4" t="s">
        <v>256</v>
      </c>
      <c r="BQ514" s="4" t="s">
        <v>257</v>
      </c>
      <c r="CE514" s="4" t="s">
        <v>241</v>
      </c>
      <c r="CF514" s="4" t="s">
        <v>241</v>
      </c>
      <c r="CJ514" s="4" t="s">
        <v>258</v>
      </c>
      <c r="CK514" s="4" t="s">
        <v>259</v>
      </c>
      <c r="CL514" s="4" t="s">
        <v>241</v>
      </c>
      <c r="CO514" s="5" t="s">
        <v>260</v>
      </c>
      <c r="CP514" s="4" t="s">
        <v>241</v>
      </c>
      <c r="CQ514" s="4" t="s">
        <v>261</v>
      </c>
      <c r="CR514" s="4" t="s">
        <v>241</v>
      </c>
      <c r="CS514" s="4" t="s">
        <v>241</v>
      </c>
      <c r="CT514" s="4">
        <v>0</v>
      </c>
      <c r="CU514" s="4" t="s">
        <v>262</v>
      </c>
      <c r="CV514" s="4" t="s">
        <v>263</v>
      </c>
      <c r="CW514" s="4" t="s">
        <v>263</v>
      </c>
      <c r="CX514" s="4" t="s">
        <v>264</v>
      </c>
      <c r="DA514" s="6">
        <f>16093</f>
        <v>16093</v>
      </c>
      <c r="DC514" s="4" t="s">
        <v>3160</v>
      </c>
      <c r="DD514" s="4" t="s">
        <v>241</v>
      </c>
      <c r="DF514" s="4" t="s">
        <v>287</v>
      </c>
      <c r="DG514" s="6">
        <f>0</f>
        <v>0</v>
      </c>
      <c r="DI514" s="4" t="s">
        <v>3167</v>
      </c>
      <c r="DJ514" s="4" t="s">
        <v>241</v>
      </c>
      <c r="DK514" s="4" t="s">
        <v>241</v>
      </c>
      <c r="DL514" s="4" t="s">
        <v>241</v>
      </c>
      <c r="DP514" s="4" t="s">
        <v>241</v>
      </c>
      <c r="DQ514" s="4" t="s">
        <v>241</v>
      </c>
      <c r="DR514" s="4" t="s">
        <v>241</v>
      </c>
      <c r="DS514" s="4" t="s">
        <v>241</v>
      </c>
      <c r="DV514" s="4" t="s">
        <v>4520</v>
      </c>
      <c r="DW514" s="4" t="s">
        <v>1711</v>
      </c>
      <c r="HO514" s="4" t="s">
        <v>267</v>
      </c>
    </row>
    <row r="515" spans="1:223" ht="19.5" customHeight="1" x14ac:dyDescent="0.4">
      <c r="A515" s="4">
        <v>1</v>
      </c>
      <c r="B515" s="4" t="s">
        <v>239</v>
      </c>
      <c r="C515" s="4">
        <v>1377</v>
      </c>
      <c r="D515" s="4">
        <v>1</v>
      </c>
      <c r="E515" s="4">
        <v>1</v>
      </c>
      <c r="F515" s="4" t="s">
        <v>240</v>
      </c>
      <c r="G515" s="4" t="s">
        <v>241</v>
      </c>
      <c r="H515" s="4" t="s">
        <v>241</v>
      </c>
      <c r="I515" s="4" t="s">
        <v>4518</v>
      </c>
      <c r="J515" s="4" t="s">
        <v>3158</v>
      </c>
      <c r="K515" s="4" t="s">
        <v>251</v>
      </c>
      <c r="L515" s="4" t="s">
        <v>3180</v>
      </c>
      <c r="M515" s="5" t="s">
        <v>4575</v>
      </c>
      <c r="N515" s="6">
        <f>377</f>
        <v>377</v>
      </c>
      <c r="O515" s="4" t="s">
        <v>265</v>
      </c>
      <c r="P515" s="6">
        <f>4147</f>
        <v>4147</v>
      </c>
      <c r="Q515" s="6">
        <f>0</f>
        <v>0</v>
      </c>
      <c r="S515" s="6">
        <f>0</f>
        <v>0</v>
      </c>
      <c r="T515" s="6">
        <f>4147</f>
        <v>4147</v>
      </c>
      <c r="U515" s="5" t="s">
        <v>245</v>
      </c>
      <c r="V515" s="4" t="s">
        <v>270</v>
      </c>
      <c r="W515" s="4" t="s">
        <v>242</v>
      </c>
      <c r="X515" s="4" t="s">
        <v>243</v>
      </c>
      <c r="Y515" s="4" t="s">
        <v>241</v>
      </c>
      <c r="AB515" s="4" t="s">
        <v>241</v>
      </c>
      <c r="AD515" s="5" t="s">
        <v>241</v>
      </c>
      <c r="AG515" s="5" t="s">
        <v>246</v>
      </c>
      <c r="AH515" s="4" t="s">
        <v>241</v>
      </c>
      <c r="AI515" s="4" t="s">
        <v>247</v>
      </c>
      <c r="AJ515" s="4" t="s">
        <v>248</v>
      </c>
      <c r="AZ515" s="4" t="s">
        <v>249</v>
      </c>
      <c r="BA515" s="4" t="s">
        <v>241</v>
      </c>
      <c r="BB515" s="4" t="s">
        <v>250</v>
      </c>
      <c r="BC515" s="4" t="s">
        <v>241</v>
      </c>
      <c r="BD515" s="4" t="s">
        <v>252</v>
      </c>
      <c r="BE515" s="4" t="s">
        <v>241</v>
      </c>
      <c r="BI515" s="4" t="s">
        <v>253</v>
      </c>
      <c r="BJ515" s="5" t="s">
        <v>246</v>
      </c>
      <c r="BK515" s="4" t="s">
        <v>254</v>
      </c>
      <c r="BL515" s="4" t="s">
        <v>255</v>
      </c>
      <c r="BM515" s="4" t="s">
        <v>241</v>
      </c>
      <c r="BN515" s="6">
        <f>0</f>
        <v>0</v>
      </c>
      <c r="BO515" s="6">
        <f>0</f>
        <v>0</v>
      </c>
      <c r="BP515" s="4" t="s">
        <v>256</v>
      </c>
      <c r="BQ515" s="4" t="s">
        <v>257</v>
      </c>
      <c r="CE515" s="4" t="s">
        <v>241</v>
      </c>
      <c r="CF515" s="4" t="s">
        <v>241</v>
      </c>
      <c r="CJ515" s="4" t="s">
        <v>258</v>
      </c>
      <c r="CK515" s="4" t="s">
        <v>259</v>
      </c>
      <c r="CL515" s="4" t="s">
        <v>241</v>
      </c>
      <c r="CO515" s="5" t="s">
        <v>260</v>
      </c>
      <c r="CP515" s="4" t="s">
        <v>241</v>
      </c>
      <c r="CQ515" s="4" t="s">
        <v>261</v>
      </c>
      <c r="CR515" s="4" t="s">
        <v>241</v>
      </c>
      <c r="CS515" s="4" t="s">
        <v>241</v>
      </c>
      <c r="CT515" s="4">
        <v>0</v>
      </c>
      <c r="CU515" s="4" t="s">
        <v>262</v>
      </c>
      <c r="CV515" s="4" t="s">
        <v>263</v>
      </c>
      <c r="CW515" s="4" t="s">
        <v>263</v>
      </c>
      <c r="CX515" s="4" t="s">
        <v>264</v>
      </c>
      <c r="DA515" s="6">
        <f>4147</f>
        <v>4147</v>
      </c>
      <c r="DC515" s="4" t="s">
        <v>3160</v>
      </c>
      <c r="DD515" s="4" t="s">
        <v>241</v>
      </c>
      <c r="DF515" s="4" t="s">
        <v>287</v>
      </c>
      <c r="DG515" s="6">
        <f>0</f>
        <v>0</v>
      </c>
      <c r="DI515" s="4" t="s">
        <v>3167</v>
      </c>
      <c r="DJ515" s="4" t="s">
        <v>241</v>
      </c>
      <c r="DK515" s="4" t="s">
        <v>241</v>
      </c>
      <c r="DL515" s="4" t="s">
        <v>241</v>
      </c>
      <c r="DP515" s="4" t="s">
        <v>241</v>
      </c>
      <c r="DQ515" s="4" t="s">
        <v>241</v>
      </c>
      <c r="DR515" s="4" t="s">
        <v>241</v>
      </c>
      <c r="DS515" s="4" t="s">
        <v>241</v>
      </c>
      <c r="DV515" s="4" t="s">
        <v>4520</v>
      </c>
      <c r="DW515" s="4" t="s">
        <v>1709</v>
      </c>
      <c r="HO515" s="4" t="s">
        <v>267</v>
      </c>
    </row>
    <row r="516" spans="1:223" ht="19.5" customHeight="1" x14ac:dyDescent="0.4">
      <c r="A516" s="4">
        <v>1</v>
      </c>
      <c r="B516" s="4" t="s">
        <v>239</v>
      </c>
      <c r="C516" s="4">
        <v>1378</v>
      </c>
      <c r="D516" s="4">
        <v>1</v>
      </c>
      <c r="E516" s="4">
        <v>1</v>
      </c>
      <c r="F516" s="4" t="s">
        <v>240</v>
      </c>
      <c r="G516" s="4" t="s">
        <v>241</v>
      </c>
      <c r="H516" s="4" t="s">
        <v>241</v>
      </c>
      <c r="I516" s="4" t="s">
        <v>4518</v>
      </c>
      <c r="J516" s="4" t="s">
        <v>3158</v>
      </c>
      <c r="K516" s="4" t="s">
        <v>251</v>
      </c>
      <c r="L516" s="4" t="s">
        <v>3180</v>
      </c>
      <c r="M516" s="5" t="s">
        <v>4578</v>
      </c>
      <c r="N516" s="6">
        <f>418</f>
        <v>418</v>
      </c>
      <c r="O516" s="4" t="s">
        <v>265</v>
      </c>
      <c r="P516" s="6">
        <f>4598</f>
        <v>4598</v>
      </c>
      <c r="Q516" s="6">
        <f>0</f>
        <v>0</v>
      </c>
      <c r="S516" s="6">
        <f>0</f>
        <v>0</v>
      </c>
      <c r="T516" s="6">
        <f>4598</f>
        <v>4598</v>
      </c>
      <c r="U516" s="5" t="s">
        <v>245</v>
      </c>
      <c r="V516" s="4" t="s">
        <v>270</v>
      </c>
      <c r="W516" s="4" t="s">
        <v>242</v>
      </c>
      <c r="X516" s="4" t="s">
        <v>243</v>
      </c>
      <c r="Y516" s="4" t="s">
        <v>241</v>
      </c>
      <c r="AB516" s="4" t="s">
        <v>241</v>
      </c>
      <c r="AD516" s="5" t="s">
        <v>241</v>
      </c>
      <c r="AG516" s="5" t="s">
        <v>246</v>
      </c>
      <c r="AH516" s="4" t="s">
        <v>241</v>
      </c>
      <c r="AI516" s="4" t="s">
        <v>247</v>
      </c>
      <c r="AJ516" s="4" t="s">
        <v>248</v>
      </c>
      <c r="AZ516" s="4" t="s">
        <v>249</v>
      </c>
      <c r="BA516" s="4" t="s">
        <v>241</v>
      </c>
      <c r="BB516" s="4" t="s">
        <v>250</v>
      </c>
      <c r="BC516" s="4" t="s">
        <v>241</v>
      </c>
      <c r="BD516" s="4" t="s">
        <v>252</v>
      </c>
      <c r="BE516" s="4" t="s">
        <v>241</v>
      </c>
      <c r="BI516" s="4" t="s">
        <v>253</v>
      </c>
      <c r="BJ516" s="5" t="s">
        <v>246</v>
      </c>
      <c r="BK516" s="4" t="s">
        <v>254</v>
      </c>
      <c r="BL516" s="4" t="s">
        <v>255</v>
      </c>
      <c r="BM516" s="4" t="s">
        <v>241</v>
      </c>
      <c r="BN516" s="6">
        <f>0</f>
        <v>0</v>
      </c>
      <c r="BO516" s="6">
        <f>0</f>
        <v>0</v>
      </c>
      <c r="BP516" s="4" t="s">
        <v>256</v>
      </c>
      <c r="BQ516" s="4" t="s">
        <v>257</v>
      </c>
      <c r="CE516" s="4" t="s">
        <v>241</v>
      </c>
      <c r="CF516" s="4" t="s">
        <v>241</v>
      </c>
      <c r="CJ516" s="4" t="s">
        <v>258</v>
      </c>
      <c r="CK516" s="4" t="s">
        <v>259</v>
      </c>
      <c r="CL516" s="4" t="s">
        <v>241</v>
      </c>
      <c r="CO516" s="5" t="s">
        <v>260</v>
      </c>
      <c r="CP516" s="4" t="s">
        <v>241</v>
      </c>
      <c r="CQ516" s="4" t="s">
        <v>261</v>
      </c>
      <c r="CR516" s="4" t="s">
        <v>241</v>
      </c>
      <c r="CS516" s="4" t="s">
        <v>241</v>
      </c>
      <c r="CT516" s="4">
        <v>0</v>
      </c>
      <c r="CU516" s="4" t="s">
        <v>262</v>
      </c>
      <c r="CV516" s="4" t="s">
        <v>263</v>
      </c>
      <c r="CW516" s="4" t="s">
        <v>263</v>
      </c>
      <c r="CX516" s="4" t="s">
        <v>264</v>
      </c>
      <c r="DA516" s="6">
        <f>4598</f>
        <v>4598</v>
      </c>
      <c r="DC516" s="4" t="s">
        <v>3160</v>
      </c>
      <c r="DD516" s="4" t="s">
        <v>241</v>
      </c>
      <c r="DF516" s="4" t="s">
        <v>287</v>
      </c>
      <c r="DG516" s="6">
        <f>0</f>
        <v>0</v>
      </c>
      <c r="DI516" s="4" t="s">
        <v>3167</v>
      </c>
      <c r="DJ516" s="4" t="s">
        <v>241</v>
      </c>
      <c r="DK516" s="4" t="s">
        <v>241</v>
      </c>
      <c r="DL516" s="4" t="s">
        <v>241</v>
      </c>
      <c r="DP516" s="4" t="s">
        <v>241</v>
      </c>
      <c r="DQ516" s="4" t="s">
        <v>241</v>
      </c>
      <c r="DR516" s="4" t="s">
        <v>241</v>
      </c>
      <c r="DS516" s="4" t="s">
        <v>241</v>
      </c>
      <c r="DV516" s="4" t="s">
        <v>4520</v>
      </c>
      <c r="DW516" s="4" t="s">
        <v>737</v>
      </c>
      <c r="HO516" s="4" t="s">
        <v>267</v>
      </c>
    </row>
    <row r="517" spans="1:223" ht="19.5" customHeight="1" x14ac:dyDescent="0.4">
      <c r="A517" s="4">
        <v>1</v>
      </c>
      <c r="B517" s="4" t="s">
        <v>239</v>
      </c>
      <c r="C517" s="4">
        <v>1379</v>
      </c>
      <c r="D517" s="4">
        <v>1</v>
      </c>
      <c r="E517" s="4">
        <v>1</v>
      </c>
      <c r="F517" s="4" t="s">
        <v>240</v>
      </c>
      <c r="G517" s="4" t="s">
        <v>241</v>
      </c>
      <c r="H517" s="4" t="s">
        <v>241</v>
      </c>
      <c r="I517" s="4" t="s">
        <v>4518</v>
      </c>
      <c r="J517" s="4" t="s">
        <v>3158</v>
      </c>
      <c r="K517" s="4" t="s">
        <v>251</v>
      </c>
      <c r="L517" s="4" t="s">
        <v>3180</v>
      </c>
      <c r="M517" s="5" t="s">
        <v>4579</v>
      </c>
      <c r="N517" s="6">
        <f>18063</f>
        <v>18063</v>
      </c>
      <c r="O517" s="4" t="s">
        <v>265</v>
      </c>
      <c r="P517" s="6">
        <f>198693</f>
        <v>198693</v>
      </c>
      <c r="Q517" s="6">
        <f>0</f>
        <v>0</v>
      </c>
      <c r="S517" s="6">
        <f>0</f>
        <v>0</v>
      </c>
      <c r="T517" s="6">
        <f>198693</f>
        <v>198693</v>
      </c>
      <c r="U517" s="5" t="s">
        <v>245</v>
      </c>
      <c r="V517" s="4" t="s">
        <v>270</v>
      </c>
      <c r="W517" s="4" t="s">
        <v>242</v>
      </c>
      <c r="X517" s="4" t="s">
        <v>243</v>
      </c>
      <c r="Y517" s="4" t="s">
        <v>241</v>
      </c>
      <c r="AB517" s="4" t="s">
        <v>241</v>
      </c>
      <c r="AD517" s="5" t="s">
        <v>241</v>
      </c>
      <c r="AG517" s="5" t="s">
        <v>246</v>
      </c>
      <c r="AH517" s="4" t="s">
        <v>241</v>
      </c>
      <c r="AI517" s="4" t="s">
        <v>247</v>
      </c>
      <c r="AJ517" s="4" t="s">
        <v>248</v>
      </c>
      <c r="AZ517" s="4" t="s">
        <v>249</v>
      </c>
      <c r="BA517" s="4" t="s">
        <v>241</v>
      </c>
      <c r="BB517" s="4" t="s">
        <v>250</v>
      </c>
      <c r="BC517" s="4" t="s">
        <v>241</v>
      </c>
      <c r="BD517" s="4" t="s">
        <v>252</v>
      </c>
      <c r="BE517" s="4" t="s">
        <v>241</v>
      </c>
      <c r="BI517" s="4" t="s">
        <v>253</v>
      </c>
      <c r="BJ517" s="5" t="s">
        <v>246</v>
      </c>
      <c r="BK517" s="4" t="s">
        <v>254</v>
      </c>
      <c r="BL517" s="4" t="s">
        <v>255</v>
      </c>
      <c r="BM517" s="4" t="s">
        <v>241</v>
      </c>
      <c r="BN517" s="6">
        <f>0</f>
        <v>0</v>
      </c>
      <c r="BO517" s="6">
        <f>0</f>
        <v>0</v>
      </c>
      <c r="BP517" s="4" t="s">
        <v>256</v>
      </c>
      <c r="BQ517" s="4" t="s">
        <v>257</v>
      </c>
      <c r="CE517" s="4" t="s">
        <v>241</v>
      </c>
      <c r="CF517" s="4" t="s">
        <v>241</v>
      </c>
      <c r="CJ517" s="4" t="s">
        <v>258</v>
      </c>
      <c r="CK517" s="4" t="s">
        <v>259</v>
      </c>
      <c r="CL517" s="4" t="s">
        <v>241</v>
      </c>
      <c r="CO517" s="5" t="s">
        <v>260</v>
      </c>
      <c r="CP517" s="4" t="s">
        <v>241</v>
      </c>
      <c r="CQ517" s="4" t="s">
        <v>261</v>
      </c>
      <c r="CR517" s="4" t="s">
        <v>241</v>
      </c>
      <c r="CS517" s="4" t="s">
        <v>241</v>
      </c>
      <c r="CT517" s="4">
        <v>0</v>
      </c>
      <c r="CU517" s="4" t="s">
        <v>262</v>
      </c>
      <c r="CV517" s="4" t="s">
        <v>263</v>
      </c>
      <c r="CW517" s="4" t="s">
        <v>263</v>
      </c>
      <c r="CX517" s="4" t="s">
        <v>264</v>
      </c>
      <c r="DA517" s="6">
        <f>198693</f>
        <v>198693</v>
      </c>
      <c r="DC517" s="4" t="s">
        <v>3160</v>
      </c>
      <c r="DD517" s="4" t="s">
        <v>241</v>
      </c>
      <c r="DF517" s="4" t="s">
        <v>287</v>
      </c>
      <c r="DG517" s="6">
        <f>0</f>
        <v>0</v>
      </c>
      <c r="DI517" s="4" t="s">
        <v>3167</v>
      </c>
      <c r="DJ517" s="4" t="s">
        <v>241</v>
      </c>
      <c r="DK517" s="4" t="s">
        <v>241</v>
      </c>
      <c r="DL517" s="4" t="s">
        <v>241</v>
      </c>
      <c r="DP517" s="4" t="s">
        <v>241</v>
      </c>
      <c r="DQ517" s="4" t="s">
        <v>241</v>
      </c>
      <c r="DR517" s="4" t="s">
        <v>241</v>
      </c>
      <c r="DS517" s="4" t="s">
        <v>241</v>
      </c>
      <c r="DV517" s="4" t="s">
        <v>4520</v>
      </c>
      <c r="DW517" s="4" t="s">
        <v>1832</v>
      </c>
      <c r="HO517" s="4" t="s">
        <v>267</v>
      </c>
    </row>
    <row r="518" spans="1:223" ht="19.5" customHeight="1" x14ac:dyDescent="0.4">
      <c r="A518" s="4">
        <v>1</v>
      </c>
      <c r="B518" s="4" t="s">
        <v>239</v>
      </c>
      <c r="C518" s="4">
        <v>1380</v>
      </c>
      <c r="D518" s="4">
        <v>1</v>
      </c>
      <c r="E518" s="4">
        <v>1</v>
      </c>
      <c r="F518" s="4" t="s">
        <v>240</v>
      </c>
      <c r="G518" s="4" t="s">
        <v>241</v>
      </c>
      <c r="H518" s="4" t="s">
        <v>241</v>
      </c>
      <c r="I518" s="4" t="s">
        <v>4518</v>
      </c>
      <c r="J518" s="4" t="s">
        <v>3158</v>
      </c>
      <c r="K518" s="4" t="s">
        <v>251</v>
      </c>
      <c r="L518" s="4" t="s">
        <v>3180</v>
      </c>
      <c r="M518" s="5" t="s">
        <v>4581</v>
      </c>
      <c r="N518" s="6">
        <f>1005</f>
        <v>1005</v>
      </c>
      <c r="O518" s="4" t="s">
        <v>265</v>
      </c>
      <c r="P518" s="6">
        <f>11055</f>
        <v>11055</v>
      </c>
      <c r="Q518" s="6">
        <f>0</f>
        <v>0</v>
      </c>
      <c r="S518" s="6">
        <f>0</f>
        <v>0</v>
      </c>
      <c r="T518" s="6">
        <f>11055</f>
        <v>11055</v>
      </c>
      <c r="U518" s="5" t="s">
        <v>245</v>
      </c>
      <c r="V518" s="4" t="s">
        <v>270</v>
      </c>
      <c r="W518" s="4" t="s">
        <v>242</v>
      </c>
      <c r="X518" s="4" t="s">
        <v>243</v>
      </c>
      <c r="Y518" s="4" t="s">
        <v>241</v>
      </c>
      <c r="AB518" s="4" t="s">
        <v>241</v>
      </c>
      <c r="AD518" s="5" t="s">
        <v>241</v>
      </c>
      <c r="AG518" s="5" t="s">
        <v>246</v>
      </c>
      <c r="AH518" s="4" t="s">
        <v>241</v>
      </c>
      <c r="AI518" s="4" t="s">
        <v>247</v>
      </c>
      <c r="AJ518" s="4" t="s">
        <v>248</v>
      </c>
      <c r="AZ518" s="4" t="s">
        <v>249</v>
      </c>
      <c r="BA518" s="4" t="s">
        <v>241</v>
      </c>
      <c r="BB518" s="4" t="s">
        <v>250</v>
      </c>
      <c r="BC518" s="4" t="s">
        <v>241</v>
      </c>
      <c r="BD518" s="4" t="s">
        <v>252</v>
      </c>
      <c r="BE518" s="4" t="s">
        <v>241</v>
      </c>
      <c r="BI518" s="4" t="s">
        <v>253</v>
      </c>
      <c r="BJ518" s="5" t="s">
        <v>246</v>
      </c>
      <c r="BK518" s="4" t="s">
        <v>254</v>
      </c>
      <c r="BL518" s="4" t="s">
        <v>255</v>
      </c>
      <c r="BM518" s="4" t="s">
        <v>241</v>
      </c>
      <c r="BN518" s="6">
        <f>0</f>
        <v>0</v>
      </c>
      <c r="BO518" s="6">
        <f>0</f>
        <v>0</v>
      </c>
      <c r="BP518" s="4" t="s">
        <v>256</v>
      </c>
      <c r="BQ518" s="4" t="s">
        <v>257</v>
      </c>
      <c r="CE518" s="4" t="s">
        <v>241</v>
      </c>
      <c r="CF518" s="4" t="s">
        <v>241</v>
      </c>
      <c r="CJ518" s="4" t="s">
        <v>258</v>
      </c>
      <c r="CK518" s="4" t="s">
        <v>259</v>
      </c>
      <c r="CL518" s="4" t="s">
        <v>241</v>
      </c>
      <c r="CO518" s="5" t="s">
        <v>260</v>
      </c>
      <c r="CP518" s="4" t="s">
        <v>241</v>
      </c>
      <c r="CQ518" s="4" t="s">
        <v>261</v>
      </c>
      <c r="CR518" s="4" t="s">
        <v>241</v>
      </c>
      <c r="CS518" s="4" t="s">
        <v>241</v>
      </c>
      <c r="CT518" s="4">
        <v>0</v>
      </c>
      <c r="CU518" s="4" t="s">
        <v>262</v>
      </c>
      <c r="CV518" s="4" t="s">
        <v>263</v>
      </c>
      <c r="CW518" s="4" t="s">
        <v>263</v>
      </c>
      <c r="CX518" s="4" t="s">
        <v>264</v>
      </c>
      <c r="DA518" s="6">
        <f>11055</f>
        <v>11055</v>
      </c>
      <c r="DC518" s="4" t="s">
        <v>3160</v>
      </c>
      <c r="DD518" s="4" t="s">
        <v>241</v>
      </c>
      <c r="DF518" s="4" t="s">
        <v>287</v>
      </c>
      <c r="DG518" s="6">
        <f>0</f>
        <v>0</v>
      </c>
      <c r="DI518" s="4" t="s">
        <v>3167</v>
      </c>
      <c r="DJ518" s="4" t="s">
        <v>241</v>
      </c>
      <c r="DK518" s="4" t="s">
        <v>241</v>
      </c>
      <c r="DL518" s="4" t="s">
        <v>241</v>
      </c>
      <c r="DP518" s="4" t="s">
        <v>241</v>
      </c>
      <c r="DQ518" s="4" t="s">
        <v>241</v>
      </c>
      <c r="DR518" s="4" t="s">
        <v>241</v>
      </c>
      <c r="DS518" s="4" t="s">
        <v>241</v>
      </c>
      <c r="DV518" s="4" t="s">
        <v>4520</v>
      </c>
      <c r="DW518" s="4" t="s">
        <v>1885</v>
      </c>
      <c r="HO518" s="4" t="s">
        <v>267</v>
      </c>
    </row>
    <row r="519" spans="1:223" ht="19.5" customHeight="1" x14ac:dyDescent="0.4">
      <c r="A519" s="4">
        <v>1</v>
      </c>
      <c r="B519" s="4" t="s">
        <v>239</v>
      </c>
      <c r="C519" s="4">
        <v>1381</v>
      </c>
      <c r="D519" s="4">
        <v>1</v>
      </c>
      <c r="E519" s="4">
        <v>1</v>
      </c>
      <c r="F519" s="4" t="s">
        <v>240</v>
      </c>
      <c r="G519" s="4" t="s">
        <v>241</v>
      </c>
      <c r="H519" s="4" t="s">
        <v>241</v>
      </c>
      <c r="I519" s="4" t="s">
        <v>4518</v>
      </c>
      <c r="J519" s="4" t="s">
        <v>3158</v>
      </c>
      <c r="K519" s="4" t="s">
        <v>251</v>
      </c>
      <c r="L519" s="4" t="s">
        <v>3180</v>
      </c>
      <c r="M519" s="5" t="s">
        <v>4582</v>
      </c>
      <c r="N519" s="6">
        <f>1415</f>
        <v>1415</v>
      </c>
      <c r="O519" s="4" t="s">
        <v>265</v>
      </c>
      <c r="P519" s="6">
        <f>15565</f>
        <v>15565</v>
      </c>
      <c r="Q519" s="6">
        <f>0</f>
        <v>0</v>
      </c>
      <c r="S519" s="6">
        <f>0</f>
        <v>0</v>
      </c>
      <c r="T519" s="6">
        <f>15565</f>
        <v>15565</v>
      </c>
      <c r="U519" s="5" t="s">
        <v>245</v>
      </c>
      <c r="V519" s="4" t="s">
        <v>270</v>
      </c>
      <c r="W519" s="4" t="s">
        <v>242</v>
      </c>
      <c r="X519" s="4" t="s">
        <v>243</v>
      </c>
      <c r="Y519" s="4" t="s">
        <v>241</v>
      </c>
      <c r="AB519" s="4" t="s">
        <v>241</v>
      </c>
      <c r="AD519" s="5" t="s">
        <v>241</v>
      </c>
      <c r="AG519" s="5" t="s">
        <v>246</v>
      </c>
      <c r="AH519" s="4" t="s">
        <v>241</v>
      </c>
      <c r="AI519" s="4" t="s">
        <v>247</v>
      </c>
      <c r="AJ519" s="4" t="s">
        <v>248</v>
      </c>
      <c r="AZ519" s="4" t="s">
        <v>249</v>
      </c>
      <c r="BA519" s="4" t="s">
        <v>241</v>
      </c>
      <c r="BB519" s="4" t="s">
        <v>250</v>
      </c>
      <c r="BC519" s="4" t="s">
        <v>241</v>
      </c>
      <c r="BD519" s="4" t="s">
        <v>252</v>
      </c>
      <c r="BE519" s="4" t="s">
        <v>241</v>
      </c>
      <c r="BI519" s="4" t="s">
        <v>253</v>
      </c>
      <c r="BJ519" s="5" t="s">
        <v>246</v>
      </c>
      <c r="BK519" s="4" t="s">
        <v>254</v>
      </c>
      <c r="BL519" s="4" t="s">
        <v>255</v>
      </c>
      <c r="BM519" s="4" t="s">
        <v>241</v>
      </c>
      <c r="BN519" s="6">
        <f>0</f>
        <v>0</v>
      </c>
      <c r="BO519" s="6">
        <f>0</f>
        <v>0</v>
      </c>
      <c r="BP519" s="4" t="s">
        <v>256</v>
      </c>
      <c r="BQ519" s="4" t="s">
        <v>257</v>
      </c>
      <c r="CE519" s="4" t="s">
        <v>241</v>
      </c>
      <c r="CF519" s="4" t="s">
        <v>241</v>
      </c>
      <c r="CJ519" s="4" t="s">
        <v>258</v>
      </c>
      <c r="CK519" s="4" t="s">
        <v>259</v>
      </c>
      <c r="CL519" s="4" t="s">
        <v>241</v>
      </c>
      <c r="CO519" s="5" t="s">
        <v>260</v>
      </c>
      <c r="CP519" s="4" t="s">
        <v>241</v>
      </c>
      <c r="CQ519" s="4" t="s">
        <v>261</v>
      </c>
      <c r="CR519" s="4" t="s">
        <v>241</v>
      </c>
      <c r="CS519" s="4" t="s">
        <v>241</v>
      </c>
      <c r="CT519" s="4">
        <v>0</v>
      </c>
      <c r="CU519" s="4" t="s">
        <v>262</v>
      </c>
      <c r="CV519" s="4" t="s">
        <v>263</v>
      </c>
      <c r="CW519" s="4" t="s">
        <v>263</v>
      </c>
      <c r="CX519" s="4" t="s">
        <v>264</v>
      </c>
      <c r="DA519" s="6">
        <f>15565</f>
        <v>15565</v>
      </c>
      <c r="DC519" s="4" t="s">
        <v>3160</v>
      </c>
      <c r="DD519" s="4" t="s">
        <v>241</v>
      </c>
      <c r="DF519" s="4" t="s">
        <v>287</v>
      </c>
      <c r="DG519" s="6">
        <f>0</f>
        <v>0</v>
      </c>
      <c r="DI519" s="4" t="s">
        <v>3167</v>
      </c>
      <c r="DJ519" s="4" t="s">
        <v>241</v>
      </c>
      <c r="DK519" s="4" t="s">
        <v>241</v>
      </c>
      <c r="DL519" s="4" t="s">
        <v>241</v>
      </c>
      <c r="DP519" s="4" t="s">
        <v>241</v>
      </c>
      <c r="DQ519" s="4" t="s">
        <v>241</v>
      </c>
      <c r="DR519" s="4" t="s">
        <v>241</v>
      </c>
      <c r="DS519" s="4" t="s">
        <v>241</v>
      </c>
      <c r="DV519" s="4" t="s">
        <v>4520</v>
      </c>
      <c r="DW519" s="4" t="s">
        <v>1897</v>
      </c>
      <c r="HO519" s="4" t="s">
        <v>267</v>
      </c>
    </row>
    <row r="520" spans="1:223" ht="19.5" customHeight="1" x14ac:dyDescent="0.4">
      <c r="A520" s="4">
        <v>1</v>
      </c>
      <c r="B520" s="4" t="s">
        <v>239</v>
      </c>
      <c r="C520" s="4">
        <v>1382</v>
      </c>
      <c r="D520" s="4">
        <v>1</v>
      </c>
      <c r="E520" s="4">
        <v>1</v>
      </c>
      <c r="F520" s="4" t="s">
        <v>240</v>
      </c>
      <c r="G520" s="4" t="s">
        <v>241</v>
      </c>
      <c r="H520" s="4" t="s">
        <v>241</v>
      </c>
      <c r="I520" s="4" t="s">
        <v>4518</v>
      </c>
      <c r="J520" s="4" t="s">
        <v>3158</v>
      </c>
      <c r="K520" s="4" t="s">
        <v>251</v>
      </c>
      <c r="L520" s="4" t="s">
        <v>3180</v>
      </c>
      <c r="M520" s="5" t="s">
        <v>4583</v>
      </c>
      <c r="N520" s="6">
        <f>6182</f>
        <v>6182</v>
      </c>
      <c r="O520" s="4" t="s">
        <v>265</v>
      </c>
      <c r="P520" s="6">
        <f>68002</f>
        <v>68002</v>
      </c>
      <c r="Q520" s="6">
        <f>0</f>
        <v>0</v>
      </c>
      <c r="S520" s="6">
        <f>0</f>
        <v>0</v>
      </c>
      <c r="T520" s="6">
        <f>68002</f>
        <v>68002</v>
      </c>
      <c r="U520" s="5" t="s">
        <v>245</v>
      </c>
      <c r="V520" s="4" t="s">
        <v>270</v>
      </c>
      <c r="W520" s="4" t="s">
        <v>242</v>
      </c>
      <c r="X520" s="4" t="s">
        <v>243</v>
      </c>
      <c r="Y520" s="4" t="s">
        <v>241</v>
      </c>
      <c r="AB520" s="4" t="s">
        <v>241</v>
      </c>
      <c r="AD520" s="5" t="s">
        <v>241</v>
      </c>
      <c r="AG520" s="5" t="s">
        <v>246</v>
      </c>
      <c r="AH520" s="4" t="s">
        <v>241</v>
      </c>
      <c r="AI520" s="4" t="s">
        <v>247</v>
      </c>
      <c r="AJ520" s="4" t="s">
        <v>248</v>
      </c>
      <c r="AZ520" s="4" t="s">
        <v>249</v>
      </c>
      <c r="BA520" s="4" t="s">
        <v>241</v>
      </c>
      <c r="BB520" s="4" t="s">
        <v>250</v>
      </c>
      <c r="BC520" s="4" t="s">
        <v>241</v>
      </c>
      <c r="BD520" s="4" t="s">
        <v>252</v>
      </c>
      <c r="BE520" s="4" t="s">
        <v>241</v>
      </c>
      <c r="BI520" s="4" t="s">
        <v>253</v>
      </c>
      <c r="BJ520" s="5" t="s">
        <v>246</v>
      </c>
      <c r="BK520" s="4" t="s">
        <v>254</v>
      </c>
      <c r="BL520" s="4" t="s">
        <v>255</v>
      </c>
      <c r="BM520" s="4" t="s">
        <v>241</v>
      </c>
      <c r="BN520" s="6">
        <f>0</f>
        <v>0</v>
      </c>
      <c r="BO520" s="6">
        <f>0</f>
        <v>0</v>
      </c>
      <c r="BP520" s="4" t="s">
        <v>256</v>
      </c>
      <c r="BQ520" s="4" t="s">
        <v>257</v>
      </c>
      <c r="CE520" s="4" t="s">
        <v>241</v>
      </c>
      <c r="CF520" s="4" t="s">
        <v>241</v>
      </c>
      <c r="CJ520" s="4" t="s">
        <v>258</v>
      </c>
      <c r="CK520" s="4" t="s">
        <v>259</v>
      </c>
      <c r="CL520" s="4" t="s">
        <v>241</v>
      </c>
      <c r="CO520" s="5" t="s">
        <v>260</v>
      </c>
      <c r="CP520" s="4" t="s">
        <v>241</v>
      </c>
      <c r="CQ520" s="4" t="s">
        <v>261</v>
      </c>
      <c r="CR520" s="4" t="s">
        <v>241</v>
      </c>
      <c r="CS520" s="4" t="s">
        <v>241</v>
      </c>
      <c r="CT520" s="4">
        <v>0</v>
      </c>
      <c r="CU520" s="4" t="s">
        <v>262</v>
      </c>
      <c r="CV520" s="4" t="s">
        <v>263</v>
      </c>
      <c r="CW520" s="4" t="s">
        <v>263</v>
      </c>
      <c r="CX520" s="4" t="s">
        <v>264</v>
      </c>
      <c r="DA520" s="6">
        <f>68002</f>
        <v>68002</v>
      </c>
      <c r="DC520" s="4" t="s">
        <v>3160</v>
      </c>
      <c r="DD520" s="4" t="s">
        <v>241</v>
      </c>
      <c r="DF520" s="4" t="s">
        <v>287</v>
      </c>
      <c r="DG520" s="6">
        <f>0</f>
        <v>0</v>
      </c>
      <c r="DI520" s="4" t="s">
        <v>3167</v>
      </c>
      <c r="DJ520" s="4" t="s">
        <v>241</v>
      </c>
      <c r="DK520" s="4" t="s">
        <v>241</v>
      </c>
      <c r="DL520" s="4" t="s">
        <v>241</v>
      </c>
      <c r="DP520" s="4" t="s">
        <v>241</v>
      </c>
      <c r="DQ520" s="4" t="s">
        <v>241</v>
      </c>
      <c r="DR520" s="4" t="s">
        <v>241</v>
      </c>
      <c r="DS520" s="4" t="s">
        <v>241</v>
      </c>
      <c r="DV520" s="4" t="s">
        <v>4520</v>
      </c>
      <c r="DW520" s="4" t="s">
        <v>1909</v>
      </c>
      <c r="HO520" s="4" t="s">
        <v>267</v>
      </c>
    </row>
    <row r="521" spans="1:223" ht="19.5" customHeight="1" x14ac:dyDescent="0.4">
      <c r="A521" s="4">
        <v>1</v>
      </c>
      <c r="B521" s="4" t="s">
        <v>239</v>
      </c>
      <c r="C521" s="4">
        <v>1383</v>
      </c>
      <c r="D521" s="4">
        <v>1</v>
      </c>
      <c r="E521" s="4">
        <v>1</v>
      </c>
      <c r="F521" s="4" t="s">
        <v>240</v>
      </c>
      <c r="G521" s="4" t="s">
        <v>241</v>
      </c>
      <c r="H521" s="4" t="s">
        <v>241</v>
      </c>
      <c r="I521" s="4" t="s">
        <v>4518</v>
      </c>
      <c r="J521" s="4" t="s">
        <v>3158</v>
      </c>
      <c r="K521" s="4" t="s">
        <v>251</v>
      </c>
      <c r="L521" s="4" t="s">
        <v>3180</v>
      </c>
      <c r="M521" s="5" t="s">
        <v>5437</v>
      </c>
      <c r="N521" s="6">
        <f>817</f>
        <v>817</v>
      </c>
      <c r="O521" s="4" t="s">
        <v>265</v>
      </c>
      <c r="P521" s="6">
        <f>8987</f>
        <v>8987</v>
      </c>
      <c r="Q521" s="6">
        <f>0</f>
        <v>0</v>
      </c>
      <c r="S521" s="6">
        <f>0</f>
        <v>0</v>
      </c>
      <c r="T521" s="6">
        <f>8987</f>
        <v>8987</v>
      </c>
      <c r="U521" s="5" t="s">
        <v>245</v>
      </c>
      <c r="V521" s="4" t="s">
        <v>270</v>
      </c>
      <c r="W521" s="4" t="s">
        <v>242</v>
      </c>
      <c r="X521" s="4" t="s">
        <v>243</v>
      </c>
      <c r="Y521" s="4" t="s">
        <v>241</v>
      </c>
      <c r="AB521" s="4" t="s">
        <v>241</v>
      </c>
      <c r="AD521" s="5" t="s">
        <v>241</v>
      </c>
      <c r="AG521" s="5" t="s">
        <v>246</v>
      </c>
      <c r="AH521" s="4" t="s">
        <v>241</v>
      </c>
      <c r="AI521" s="4" t="s">
        <v>247</v>
      </c>
      <c r="AJ521" s="4" t="s">
        <v>248</v>
      </c>
      <c r="AZ521" s="4" t="s">
        <v>249</v>
      </c>
      <c r="BA521" s="4" t="s">
        <v>241</v>
      </c>
      <c r="BB521" s="4" t="s">
        <v>250</v>
      </c>
      <c r="BC521" s="4" t="s">
        <v>241</v>
      </c>
      <c r="BD521" s="4" t="s">
        <v>252</v>
      </c>
      <c r="BE521" s="4" t="s">
        <v>241</v>
      </c>
      <c r="BI521" s="4" t="s">
        <v>253</v>
      </c>
      <c r="BJ521" s="5" t="s">
        <v>246</v>
      </c>
      <c r="BK521" s="4" t="s">
        <v>254</v>
      </c>
      <c r="BL521" s="4" t="s">
        <v>255</v>
      </c>
      <c r="BM521" s="4" t="s">
        <v>241</v>
      </c>
      <c r="BN521" s="6">
        <f>0</f>
        <v>0</v>
      </c>
      <c r="BO521" s="6">
        <f>0</f>
        <v>0</v>
      </c>
      <c r="BP521" s="4" t="s">
        <v>256</v>
      </c>
      <c r="BQ521" s="4" t="s">
        <v>257</v>
      </c>
      <c r="CE521" s="4" t="s">
        <v>241</v>
      </c>
      <c r="CF521" s="4" t="s">
        <v>241</v>
      </c>
      <c r="CJ521" s="4" t="s">
        <v>258</v>
      </c>
      <c r="CK521" s="4" t="s">
        <v>259</v>
      </c>
      <c r="CL521" s="4" t="s">
        <v>241</v>
      </c>
      <c r="CO521" s="5" t="s">
        <v>260</v>
      </c>
      <c r="CP521" s="4" t="s">
        <v>241</v>
      </c>
      <c r="CQ521" s="4" t="s">
        <v>261</v>
      </c>
      <c r="CR521" s="4" t="s">
        <v>241</v>
      </c>
      <c r="CS521" s="4" t="s">
        <v>241</v>
      </c>
      <c r="CT521" s="4">
        <v>0</v>
      </c>
      <c r="CU521" s="4" t="s">
        <v>262</v>
      </c>
      <c r="CV521" s="4" t="s">
        <v>263</v>
      </c>
      <c r="CW521" s="4" t="s">
        <v>263</v>
      </c>
      <c r="CX521" s="4" t="s">
        <v>264</v>
      </c>
      <c r="DA521" s="6">
        <f>8987</f>
        <v>8987</v>
      </c>
      <c r="DC521" s="4" t="s">
        <v>3160</v>
      </c>
      <c r="DD521" s="4" t="s">
        <v>241</v>
      </c>
      <c r="DF521" s="4" t="s">
        <v>287</v>
      </c>
      <c r="DG521" s="6">
        <f>0</f>
        <v>0</v>
      </c>
      <c r="DI521" s="4" t="s">
        <v>3167</v>
      </c>
      <c r="DJ521" s="4" t="s">
        <v>241</v>
      </c>
      <c r="DK521" s="4" t="s">
        <v>241</v>
      </c>
      <c r="DL521" s="4" t="s">
        <v>241</v>
      </c>
      <c r="DP521" s="4" t="s">
        <v>241</v>
      </c>
      <c r="DQ521" s="4" t="s">
        <v>241</v>
      </c>
      <c r="DR521" s="4" t="s">
        <v>241</v>
      </c>
      <c r="DS521" s="4" t="s">
        <v>241</v>
      </c>
      <c r="DV521" s="4" t="s">
        <v>4520</v>
      </c>
      <c r="DW521" s="4" t="s">
        <v>2548</v>
      </c>
      <c r="HO521" s="4" t="s">
        <v>267</v>
      </c>
    </row>
    <row r="522" spans="1:223" ht="19.5" customHeight="1" x14ac:dyDescent="0.4">
      <c r="A522" s="4">
        <v>1</v>
      </c>
      <c r="B522" s="4" t="s">
        <v>239</v>
      </c>
      <c r="C522" s="4">
        <v>1384</v>
      </c>
      <c r="D522" s="4">
        <v>1</v>
      </c>
      <c r="E522" s="4">
        <v>1</v>
      </c>
      <c r="F522" s="4" t="s">
        <v>240</v>
      </c>
      <c r="G522" s="4" t="s">
        <v>241</v>
      </c>
      <c r="H522" s="4" t="s">
        <v>241</v>
      </c>
      <c r="I522" s="4" t="s">
        <v>4518</v>
      </c>
      <c r="J522" s="4" t="s">
        <v>3158</v>
      </c>
      <c r="K522" s="4" t="s">
        <v>251</v>
      </c>
      <c r="L522" s="4" t="s">
        <v>3180</v>
      </c>
      <c r="M522" s="5" t="s">
        <v>4584</v>
      </c>
      <c r="N522" s="6">
        <f>679</f>
        <v>679</v>
      </c>
      <c r="O522" s="4" t="s">
        <v>265</v>
      </c>
      <c r="P522" s="6">
        <f>7469</f>
        <v>7469</v>
      </c>
      <c r="Q522" s="6">
        <f>0</f>
        <v>0</v>
      </c>
      <c r="S522" s="6">
        <f>0</f>
        <v>0</v>
      </c>
      <c r="T522" s="6">
        <f>7469</f>
        <v>7469</v>
      </c>
      <c r="U522" s="5" t="s">
        <v>245</v>
      </c>
      <c r="V522" s="4" t="s">
        <v>270</v>
      </c>
      <c r="W522" s="4" t="s">
        <v>242</v>
      </c>
      <c r="X522" s="4" t="s">
        <v>243</v>
      </c>
      <c r="Y522" s="4" t="s">
        <v>241</v>
      </c>
      <c r="AB522" s="4" t="s">
        <v>241</v>
      </c>
      <c r="AD522" s="5" t="s">
        <v>241</v>
      </c>
      <c r="AG522" s="5" t="s">
        <v>246</v>
      </c>
      <c r="AH522" s="4" t="s">
        <v>241</v>
      </c>
      <c r="AI522" s="4" t="s">
        <v>247</v>
      </c>
      <c r="AJ522" s="4" t="s">
        <v>248</v>
      </c>
      <c r="AZ522" s="4" t="s">
        <v>249</v>
      </c>
      <c r="BA522" s="4" t="s">
        <v>241</v>
      </c>
      <c r="BB522" s="4" t="s">
        <v>250</v>
      </c>
      <c r="BC522" s="4" t="s">
        <v>241</v>
      </c>
      <c r="BD522" s="4" t="s">
        <v>252</v>
      </c>
      <c r="BE522" s="4" t="s">
        <v>241</v>
      </c>
      <c r="BI522" s="4" t="s">
        <v>253</v>
      </c>
      <c r="BJ522" s="5" t="s">
        <v>246</v>
      </c>
      <c r="BK522" s="4" t="s">
        <v>254</v>
      </c>
      <c r="BL522" s="4" t="s">
        <v>255</v>
      </c>
      <c r="BM522" s="4" t="s">
        <v>241</v>
      </c>
      <c r="BN522" s="6">
        <f>0</f>
        <v>0</v>
      </c>
      <c r="BO522" s="6">
        <f>0</f>
        <v>0</v>
      </c>
      <c r="BP522" s="4" t="s">
        <v>256</v>
      </c>
      <c r="BQ522" s="4" t="s">
        <v>257</v>
      </c>
      <c r="CE522" s="4" t="s">
        <v>241</v>
      </c>
      <c r="CF522" s="4" t="s">
        <v>241</v>
      </c>
      <c r="CJ522" s="4" t="s">
        <v>258</v>
      </c>
      <c r="CK522" s="4" t="s">
        <v>259</v>
      </c>
      <c r="CL522" s="4" t="s">
        <v>241</v>
      </c>
      <c r="CO522" s="5" t="s">
        <v>260</v>
      </c>
      <c r="CP522" s="4" t="s">
        <v>241</v>
      </c>
      <c r="CQ522" s="4" t="s">
        <v>261</v>
      </c>
      <c r="CR522" s="4" t="s">
        <v>241</v>
      </c>
      <c r="CS522" s="4" t="s">
        <v>241</v>
      </c>
      <c r="CT522" s="4">
        <v>0</v>
      </c>
      <c r="CU522" s="4" t="s">
        <v>262</v>
      </c>
      <c r="CV522" s="4" t="s">
        <v>263</v>
      </c>
      <c r="CW522" s="4" t="s">
        <v>263</v>
      </c>
      <c r="CX522" s="4" t="s">
        <v>264</v>
      </c>
      <c r="DA522" s="6">
        <f>7469</f>
        <v>7469</v>
      </c>
      <c r="DC522" s="4" t="s">
        <v>3160</v>
      </c>
      <c r="DD522" s="4" t="s">
        <v>241</v>
      </c>
      <c r="DF522" s="4" t="s">
        <v>287</v>
      </c>
      <c r="DG522" s="6">
        <f>0</f>
        <v>0</v>
      </c>
      <c r="DI522" s="4" t="s">
        <v>3167</v>
      </c>
      <c r="DJ522" s="4" t="s">
        <v>241</v>
      </c>
      <c r="DK522" s="4" t="s">
        <v>241</v>
      </c>
      <c r="DL522" s="4" t="s">
        <v>241</v>
      </c>
      <c r="DP522" s="4" t="s">
        <v>241</v>
      </c>
      <c r="DQ522" s="4" t="s">
        <v>241</v>
      </c>
      <c r="DR522" s="4" t="s">
        <v>241</v>
      </c>
      <c r="DS522" s="4" t="s">
        <v>241</v>
      </c>
      <c r="DV522" s="4" t="s">
        <v>4520</v>
      </c>
      <c r="DW522" s="4" t="s">
        <v>2552</v>
      </c>
      <c r="HO522" s="4" t="s">
        <v>267</v>
      </c>
    </row>
    <row r="523" spans="1:223" ht="19.5" customHeight="1" x14ac:dyDescent="0.4">
      <c r="A523" s="4">
        <v>1</v>
      </c>
      <c r="B523" s="4" t="s">
        <v>239</v>
      </c>
      <c r="C523" s="4">
        <v>1385</v>
      </c>
      <c r="D523" s="4">
        <v>1</v>
      </c>
      <c r="E523" s="4">
        <v>1</v>
      </c>
      <c r="F523" s="4" t="s">
        <v>240</v>
      </c>
      <c r="G523" s="4" t="s">
        <v>241</v>
      </c>
      <c r="H523" s="4" t="s">
        <v>241</v>
      </c>
      <c r="I523" s="4" t="s">
        <v>4518</v>
      </c>
      <c r="J523" s="4" t="s">
        <v>3158</v>
      </c>
      <c r="K523" s="4" t="s">
        <v>251</v>
      </c>
      <c r="L523" s="4" t="s">
        <v>3180</v>
      </c>
      <c r="M523" s="5" t="s">
        <v>5444</v>
      </c>
      <c r="N523" s="6">
        <f>620</f>
        <v>620</v>
      </c>
      <c r="O523" s="4" t="s">
        <v>265</v>
      </c>
      <c r="P523" s="6">
        <f>6820</f>
        <v>6820</v>
      </c>
      <c r="Q523" s="6">
        <f>0</f>
        <v>0</v>
      </c>
      <c r="S523" s="6">
        <f>0</f>
        <v>0</v>
      </c>
      <c r="T523" s="6">
        <f>6820</f>
        <v>6820</v>
      </c>
      <c r="U523" s="5" t="s">
        <v>245</v>
      </c>
      <c r="V523" s="4" t="s">
        <v>270</v>
      </c>
      <c r="W523" s="4" t="s">
        <v>242</v>
      </c>
      <c r="X523" s="4" t="s">
        <v>243</v>
      </c>
      <c r="Y523" s="4" t="s">
        <v>241</v>
      </c>
      <c r="AB523" s="4" t="s">
        <v>241</v>
      </c>
      <c r="AD523" s="5" t="s">
        <v>241</v>
      </c>
      <c r="AG523" s="5" t="s">
        <v>246</v>
      </c>
      <c r="AH523" s="4" t="s">
        <v>241</v>
      </c>
      <c r="AI523" s="4" t="s">
        <v>247</v>
      </c>
      <c r="AJ523" s="4" t="s">
        <v>248</v>
      </c>
      <c r="AZ523" s="4" t="s">
        <v>249</v>
      </c>
      <c r="BA523" s="4" t="s">
        <v>241</v>
      </c>
      <c r="BB523" s="4" t="s">
        <v>250</v>
      </c>
      <c r="BC523" s="4" t="s">
        <v>241</v>
      </c>
      <c r="BD523" s="4" t="s">
        <v>252</v>
      </c>
      <c r="BE523" s="4" t="s">
        <v>241</v>
      </c>
      <c r="BI523" s="4" t="s">
        <v>253</v>
      </c>
      <c r="BJ523" s="5" t="s">
        <v>246</v>
      </c>
      <c r="BK523" s="4" t="s">
        <v>254</v>
      </c>
      <c r="BL523" s="4" t="s">
        <v>255</v>
      </c>
      <c r="BM523" s="4" t="s">
        <v>241</v>
      </c>
      <c r="BN523" s="6">
        <f>0</f>
        <v>0</v>
      </c>
      <c r="BO523" s="6">
        <f>0</f>
        <v>0</v>
      </c>
      <c r="BP523" s="4" t="s">
        <v>256</v>
      </c>
      <c r="BQ523" s="4" t="s">
        <v>257</v>
      </c>
      <c r="CE523" s="4" t="s">
        <v>241</v>
      </c>
      <c r="CF523" s="4" t="s">
        <v>241</v>
      </c>
      <c r="CJ523" s="4" t="s">
        <v>258</v>
      </c>
      <c r="CK523" s="4" t="s">
        <v>259</v>
      </c>
      <c r="CL523" s="4" t="s">
        <v>241</v>
      </c>
      <c r="CO523" s="5" t="s">
        <v>260</v>
      </c>
      <c r="CP523" s="4" t="s">
        <v>241</v>
      </c>
      <c r="CQ523" s="4" t="s">
        <v>261</v>
      </c>
      <c r="CR523" s="4" t="s">
        <v>241</v>
      </c>
      <c r="CS523" s="4" t="s">
        <v>241</v>
      </c>
      <c r="CT523" s="4">
        <v>0</v>
      </c>
      <c r="CU523" s="4" t="s">
        <v>262</v>
      </c>
      <c r="CV523" s="4" t="s">
        <v>263</v>
      </c>
      <c r="CW523" s="4" t="s">
        <v>263</v>
      </c>
      <c r="CX523" s="4" t="s">
        <v>264</v>
      </c>
      <c r="DA523" s="6">
        <f>6820</f>
        <v>6820</v>
      </c>
      <c r="DC523" s="4" t="s">
        <v>3160</v>
      </c>
      <c r="DD523" s="4" t="s">
        <v>241</v>
      </c>
      <c r="DF523" s="4" t="s">
        <v>287</v>
      </c>
      <c r="DG523" s="6">
        <f>0</f>
        <v>0</v>
      </c>
      <c r="DI523" s="4" t="s">
        <v>3167</v>
      </c>
      <c r="DJ523" s="4" t="s">
        <v>241</v>
      </c>
      <c r="DK523" s="4" t="s">
        <v>241</v>
      </c>
      <c r="DL523" s="4" t="s">
        <v>241</v>
      </c>
      <c r="DP523" s="4" t="s">
        <v>241</v>
      </c>
      <c r="DQ523" s="4" t="s">
        <v>241</v>
      </c>
      <c r="DR523" s="4" t="s">
        <v>241</v>
      </c>
      <c r="DS523" s="4" t="s">
        <v>241</v>
      </c>
      <c r="DV523" s="4" t="s">
        <v>4520</v>
      </c>
      <c r="DW523" s="4" t="s">
        <v>2554</v>
      </c>
      <c r="HO523" s="4" t="s">
        <v>267</v>
      </c>
    </row>
    <row r="524" spans="1:223" ht="19.5" customHeight="1" x14ac:dyDescent="0.4">
      <c r="A524" s="4">
        <v>1</v>
      </c>
      <c r="B524" s="4" t="s">
        <v>239</v>
      </c>
      <c r="C524" s="4">
        <v>1386</v>
      </c>
      <c r="D524" s="4">
        <v>1</v>
      </c>
      <c r="E524" s="4">
        <v>1</v>
      </c>
      <c r="F524" s="4" t="s">
        <v>240</v>
      </c>
      <c r="G524" s="4" t="s">
        <v>241</v>
      </c>
      <c r="H524" s="4" t="s">
        <v>241</v>
      </c>
      <c r="I524" s="4" t="s">
        <v>4518</v>
      </c>
      <c r="J524" s="4" t="s">
        <v>3158</v>
      </c>
      <c r="K524" s="4" t="s">
        <v>251</v>
      </c>
      <c r="L524" s="4" t="s">
        <v>3180</v>
      </c>
      <c r="M524" s="5" t="s">
        <v>4586</v>
      </c>
      <c r="N524" s="6">
        <f>614</f>
        <v>614</v>
      </c>
      <c r="O524" s="4" t="s">
        <v>265</v>
      </c>
      <c r="P524" s="6">
        <f>6754</f>
        <v>6754</v>
      </c>
      <c r="Q524" s="6">
        <f>0</f>
        <v>0</v>
      </c>
      <c r="S524" s="6">
        <f>0</f>
        <v>0</v>
      </c>
      <c r="T524" s="6">
        <f>6754</f>
        <v>6754</v>
      </c>
      <c r="U524" s="5" t="s">
        <v>245</v>
      </c>
      <c r="V524" s="4" t="s">
        <v>270</v>
      </c>
      <c r="W524" s="4" t="s">
        <v>242</v>
      </c>
      <c r="X524" s="4" t="s">
        <v>243</v>
      </c>
      <c r="Y524" s="4" t="s">
        <v>241</v>
      </c>
      <c r="AB524" s="4" t="s">
        <v>241</v>
      </c>
      <c r="AD524" s="5" t="s">
        <v>241</v>
      </c>
      <c r="AG524" s="5" t="s">
        <v>246</v>
      </c>
      <c r="AH524" s="4" t="s">
        <v>241</v>
      </c>
      <c r="AI524" s="4" t="s">
        <v>247</v>
      </c>
      <c r="AJ524" s="4" t="s">
        <v>248</v>
      </c>
      <c r="AZ524" s="4" t="s">
        <v>249</v>
      </c>
      <c r="BA524" s="4" t="s">
        <v>241</v>
      </c>
      <c r="BB524" s="4" t="s">
        <v>250</v>
      </c>
      <c r="BC524" s="4" t="s">
        <v>241</v>
      </c>
      <c r="BD524" s="4" t="s">
        <v>252</v>
      </c>
      <c r="BE524" s="4" t="s">
        <v>241</v>
      </c>
      <c r="BI524" s="4" t="s">
        <v>253</v>
      </c>
      <c r="BJ524" s="5" t="s">
        <v>246</v>
      </c>
      <c r="BK524" s="4" t="s">
        <v>254</v>
      </c>
      <c r="BL524" s="4" t="s">
        <v>255</v>
      </c>
      <c r="BM524" s="4" t="s">
        <v>241</v>
      </c>
      <c r="BN524" s="6">
        <f>0</f>
        <v>0</v>
      </c>
      <c r="BO524" s="6">
        <f>0</f>
        <v>0</v>
      </c>
      <c r="BP524" s="4" t="s">
        <v>256</v>
      </c>
      <c r="BQ524" s="4" t="s">
        <v>257</v>
      </c>
      <c r="CE524" s="4" t="s">
        <v>241</v>
      </c>
      <c r="CF524" s="4" t="s">
        <v>241</v>
      </c>
      <c r="CJ524" s="4" t="s">
        <v>258</v>
      </c>
      <c r="CK524" s="4" t="s">
        <v>259</v>
      </c>
      <c r="CL524" s="4" t="s">
        <v>241</v>
      </c>
      <c r="CO524" s="5" t="s">
        <v>260</v>
      </c>
      <c r="CP524" s="4" t="s">
        <v>241</v>
      </c>
      <c r="CQ524" s="4" t="s">
        <v>261</v>
      </c>
      <c r="CR524" s="4" t="s">
        <v>241</v>
      </c>
      <c r="CS524" s="4" t="s">
        <v>241</v>
      </c>
      <c r="CT524" s="4">
        <v>0</v>
      </c>
      <c r="CU524" s="4" t="s">
        <v>262</v>
      </c>
      <c r="CV524" s="4" t="s">
        <v>263</v>
      </c>
      <c r="CW524" s="4" t="s">
        <v>263</v>
      </c>
      <c r="CX524" s="4" t="s">
        <v>264</v>
      </c>
      <c r="DA524" s="6">
        <f>6754</f>
        <v>6754</v>
      </c>
      <c r="DC524" s="4" t="s">
        <v>3160</v>
      </c>
      <c r="DD524" s="4" t="s">
        <v>241</v>
      </c>
      <c r="DF524" s="4" t="s">
        <v>287</v>
      </c>
      <c r="DG524" s="6">
        <f>0</f>
        <v>0</v>
      </c>
      <c r="DI524" s="4" t="s">
        <v>3167</v>
      </c>
      <c r="DJ524" s="4" t="s">
        <v>241</v>
      </c>
      <c r="DK524" s="4" t="s">
        <v>241</v>
      </c>
      <c r="DL524" s="4" t="s">
        <v>241</v>
      </c>
      <c r="DP524" s="4" t="s">
        <v>241</v>
      </c>
      <c r="DQ524" s="4" t="s">
        <v>241</v>
      </c>
      <c r="DR524" s="4" t="s">
        <v>241</v>
      </c>
      <c r="DS524" s="4" t="s">
        <v>241</v>
      </c>
      <c r="DV524" s="4" t="s">
        <v>4520</v>
      </c>
      <c r="DW524" s="4" t="s">
        <v>735</v>
      </c>
      <c r="HO524" s="4" t="s">
        <v>267</v>
      </c>
    </row>
    <row r="525" spans="1:223" ht="19.5" customHeight="1" x14ac:dyDescent="0.4">
      <c r="A525" s="4">
        <v>1</v>
      </c>
      <c r="B525" s="4" t="s">
        <v>239</v>
      </c>
      <c r="C525" s="4">
        <v>1387</v>
      </c>
      <c r="D525" s="4">
        <v>1</v>
      </c>
      <c r="E525" s="4">
        <v>1</v>
      </c>
      <c r="F525" s="4" t="s">
        <v>240</v>
      </c>
      <c r="G525" s="4" t="s">
        <v>241</v>
      </c>
      <c r="H525" s="4" t="s">
        <v>241</v>
      </c>
      <c r="I525" s="4" t="s">
        <v>4518</v>
      </c>
      <c r="J525" s="4" t="s">
        <v>3158</v>
      </c>
      <c r="K525" s="4" t="s">
        <v>251</v>
      </c>
      <c r="L525" s="4" t="s">
        <v>3180</v>
      </c>
      <c r="M525" s="5" t="s">
        <v>4587</v>
      </c>
      <c r="N525" s="6">
        <f>4311</f>
        <v>4311</v>
      </c>
      <c r="O525" s="4" t="s">
        <v>265</v>
      </c>
      <c r="P525" s="6">
        <f>47421</f>
        <v>47421</v>
      </c>
      <c r="Q525" s="6">
        <f>0</f>
        <v>0</v>
      </c>
      <c r="S525" s="6">
        <f>0</f>
        <v>0</v>
      </c>
      <c r="T525" s="6">
        <f>47421</f>
        <v>47421</v>
      </c>
      <c r="U525" s="5" t="s">
        <v>245</v>
      </c>
      <c r="V525" s="4" t="s">
        <v>270</v>
      </c>
      <c r="W525" s="4" t="s">
        <v>242</v>
      </c>
      <c r="X525" s="4" t="s">
        <v>243</v>
      </c>
      <c r="Y525" s="4" t="s">
        <v>241</v>
      </c>
      <c r="AB525" s="4" t="s">
        <v>241</v>
      </c>
      <c r="AD525" s="5" t="s">
        <v>241</v>
      </c>
      <c r="AG525" s="5" t="s">
        <v>246</v>
      </c>
      <c r="AH525" s="4" t="s">
        <v>241</v>
      </c>
      <c r="AI525" s="4" t="s">
        <v>247</v>
      </c>
      <c r="AJ525" s="4" t="s">
        <v>248</v>
      </c>
      <c r="AZ525" s="4" t="s">
        <v>249</v>
      </c>
      <c r="BA525" s="4" t="s">
        <v>241</v>
      </c>
      <c r="BB525" s="4" t="s">
        <v>250</v>
      </c>
      <c r="BC525" s="4" t="s">
        <v>241</v>
      </c>
      <c r="BD525" s="4" t="s">
        <v>252</v>
      </c>
      <c r="BE525" s="4" t="s">
        <v>241</v>
      </c>
      <c r="BI525" s="4" t="s">
        <v>253</v>
      </c>
      <c r="BJ525" s="5" t="s">
        <v>246</v>
      </c>
      <c r="BK525" s="4" t="s">
        <v>254</v>
      </c>
      <c r="BL525" s="4" t="s">
        <v>255</v>
      </c>
      <c r="BM525" s="4" t="s">
        <v>241</v>
      </c>
      <c r="BN525" s="6">
        <f>0</f>
        <v>0</v>
      </c>
      <c r="BO525" s="6">
        <f>0</f>
        <v>0</v>
      </c>
      <c r="BP525" s="4" t="s">
        <v>256</v>
      </c>
      <c r="BQ525" s="4" t="s">
        <v>257</v>
      </c>
      <c r="CE525" s="4" t="s">
        <v>241</v>
      </c>
      <c r="CF525" s="4" t="s">
        <v>241</v>
      </c>
      <c r="CJ525" s="4" t="s">
        <v>258</v>
      </c>
      <c r="CK525" s="4" t="s">
        <v>259</v>
      </c>
      <c r="CL525" s="4" t="s">
        <v>241</v>
      </c>
      <c r="CO525" s="5" t="s">
        <v>260</v>
      </c>
      <c r="CP525" s="4" t="s">
        <v>241</v>
      </c>
      <c r="CQ525" s="4" t="s">
        <v>261</v>
      </c>
      <c r="CR525" s="4" t="s">
        <v>241</v>
      </c>
      <c r="CS525" s="4" t="s">
        <v>241</v>
      </c>
      <c r="CT525" s="4">
        <v>0</v>
      </c>
      <c r="CU525" s="4" t="s">
        <v>262</v>
      </c>
      <c r="CV525" s="4" t="s">
        <v>263</v>
      </c>
      <c r="CW525" s="4" t="s">
        <v>263</v>
      </c>
      <c r="CX525" s="4" t="s">
        <v>264</v>
      </c>
      <c r="DA525" s="6">
        <f>47421</f>
        <v>47421</v>
      </c>
      <c r="DC525" s="4" t="s">
        <v>3160</v>
      </c>
      <c r="DD525" s="4" t="s">
        <v>241</v>
      </c>
      <c r="DF525" s="4" t="s">
        <v>287</v>
      </c>
      <c r="DG525" s="6">
        <f>0</f>
        <v>0</v>
      </c>
      <c r="DI525" s="4" t="s">
        <v>3167</v>
      </c>
      <c r="DJ525" s="4" t="s">
        <v>241</v>
      </c>
      <c r="DK525" s="4" t="s">
        <v>241</v>
      </c>
      <c r="DL525" s="4" t="s">
        <v>241</v>
      </c>
      <c r="DP525" s="4" t="s">
        <v>241</v>
      </c>
      <c r="DQ525" s="4" t="s">
        <v>241</v>
      </c>
      <c r="DR525" s="4" t="s">
        <v>241</v>
      </c>
      <c r="DS525" s="4" t="s">
        <v>241</v>
      </c>
      <c r="DV525" s="4" t="s">
        <v>4520</v>
      </c>
      <c r="DW525" s="4" t="s">
        <v>2503</v>
      </c>
      <c r="HO525" s="4" t="s">
        <v>267</v>
      </c>
    </row>
    <row r="526" spans="1:223" ht="19.5" customHeight="1" x14ac:dyDescent="0.4">
      <c r="A526" s="4">
        <v>1</v>
      </c>
      <c r="B526" s="4" t="s">
        <v>239</v>
      </c>
      <c r="C526" s="4">
        <v>1388</v>
      </c>
      <c r="D526" s="4">
        <v>1</v>
      </c>
      <c r="E526" s="4">
        <v>1</v>
      </c>
      <c r="F526" s="4" t="s">
        <v>240</v>
      </c>
      <c r="G526" s="4" t="s">
        <v>241</v>
      </c>
      <c r="H526" s="4" t="s">
        <v>241</v>
      </c>
      <c r="I526" s="4" t="s">
        <v>4518</v>
      </c>
      <c r="J526" s="4" t="s">
        <v>3158</v>
      </c>
      <c r="K526" s="4" t="s">
        <v>251</v>
      </c>
      <c r="L526" s="4" t="s">
        <v>3180</v>
      </c>
      <c r="M526" s="5" t="s">
        <v>4588</v>
      </c>
      <c r="N526" s="6">
        <f>3994</f>
        <v>3994</v>
      </c>
      <c r="O526" s="4" t="s">
        <v>265</v>
      </c>
      <c r="P526" s="6">
        <f>43934</f>
        <v>43934</v>
      </c>
      <c r="Q526" s="6">
        <f>0</f>
        <v>0</v>
      </c>
      <c r="S526" s="6">
        <f>0</f>
        <v>0</v>
      </c>
      <c r="T526" s="6">
        <f>43934</f>
        <v>43934</v>
      </c>
      <c r="U526" s="5" t="s">
        <v>245</v>
      </c>
      <c r="V526" s="4" t="s">
        <v>270</v>
      </c>
      <c r="W526" s="4" t="s">
        <v>242</v>
      </c>
      <c r="X526" s="4" t="s">
        <v>243</v>
      </c>
      <c r="Y526" s="4" t="s">
        <v>241</v>
      </c>
      <c r="AB526" s="4" t="s">
        <v>241</v>
      </c>
      <c r="AD526" s="5" t="s">
        <v>241</v>
      </c>
      <c r="AG526" s="5" t="s">
        <v>246</v>
      </c>
      <c r="AH526" s="4" t="s">
        <v>241</v>
      </c>
      <c r="AI526" s="4" t="s">
        <v>247</v>
      </c>
      <c r="AJ526" s="4" t="s">
        <v>248</v>
      </c>
      <c r="AZ526" s="4" t="s">
        <v>249</v>
      </c>
      <c r="BA526" s="4" t="s">
        <v>241</v>
      </c>
      <c r="BB526" s="4" t="s">
        <v>250</v>
      </c>
      <c r="BC526" s="4" t="s">
        <v>241</v>
      </c>
      <c r="BD526" s="4" t="s">
        <v>252</v>
      </c>
      <c r="BE526" s="4" t="s">
        <v>241</v>
      </c>
      <c r="BI526" s="4" t="s">
        <v>253</v>
      </c>
      <c r="BJ526" s="5" t="s">
        <v>246</v>
      </c>
      <c r="BK526" s="4" t="s">
        <v>254</v>
      </c>
      <c r="BL526" s="4" t="s">
        <v>255</v>
      </c>
      <c r="BM526" s="4" t="s">
        <v>241</v>
      </c>
      <c r="BN526" s="6">
        <f>0</f>
        <v>0</v>
      </c>
      <c r="BO526" s="6">
        <f>0</f>
        <v>0</v>
      </c>
      <c r="BP526" s="4" t="s">
        <v>256</v>
      </c>
      <c r="BQ526" s="4" t="s">
        <v>257</v>
      </c>
      <c r="CE526" s="4" t="s">
        <v>241</v>
      </c>
      <c r="CF526" s="4" t="s">
        <v>241</v>
      </c>
      <c r="CJ526" s="4" t="s">
        <v>258</v>
      </c>
      <c r="CK526" s="4" t="s">
        <v>259</v>
      </c>
      <c r="CL526" s="4" t="s">
        <v>241</v>
      </c>
      <c r="CO526" s="5" t="s">
        <v>260</v>
      </c>
      <c r="CP526" s="4" t="s">
        <v>241</v>
      </c>
      <c r="CQ526" s="4" t="s">
        <v>261</v>
      </c>
      <c r="CR526" s="4" t="s">
        <v>241</v>
      </c>
      <c r="CS526" s="4" t="s">
        <v>241</v>
      </c>
      <c r="CT526" s="4">
        <v>0</v>
      </c>
      <c r="CU526" s="4" t="s">
        <v>262</v>
      </c>
      <c r="CV526" s="4" t="s">
        <v>263</v>
      </c>
      <c r="CW526" s="4" t="s">
        <v>263</v>
      </c>
      <c r="CX526" s="4" t="s">
        <v>264</v>
      </c>
      <c r="DA526" s="6">
        <f>43934</f>
        <v>43934</v>
      </c>
      <c r="DC526" s="4" t="s">
        <v>3160</v>
      </c>
      <c r="DD526" s="4" t="s">
        <v>241</v>
      </c>
      <c r="DF526" s="4" t="s">
        <v>287</v>
      </c>
      <c r="DG526" s="6">
        <f>0</f>
        <v>0</v>
      </c>
      <c r="DI526" s="4" t="s">
        <v>3167</v>
      </c>
      <c r="DJ526" s="4" t="s">
        <v>241</v>
      </c>
      <c r="DK526" s="4" t="s">
        <v>241</v>
      </c>
      <c r="DL526" s="4" t="s">
        <v>241</v>
      </c>
      <c r="DP526" s="4" t="s">
        <v>241</v>
      </c>
      <c r="DQ526" s="4" t="s">
        <v>241</v>
      </c>
      <c r="DR526" s="4" t="s">
        <v>241</v>
      </c>
      <c r="DS526" s="4" t="s">
        <v>241</v>
      </c>
      <c r="DV526" s="4" t="s">
        <v>4520</v>
      </c>
      <c r="DW526" s="4" t="s">
        <v>2500</v>
      </c>
      <c r="HO526" s="4" t="s">
        <v>267</v>
      </c>
    </row>
    <row r="527" spans="1:223" ht="19.5" customHeight="1" x14ac:dyDescent="0.4">
      <c r="A527" s="4">
        <v>1</v>
      </c>
      <c r="B527" s="4" t="s">
        <v>239</v>
      </c>
      <c r="C527" s="4">
        <v>1389</v>
      </c>
      <c r="D527" s="4">
        <v>1</v>
      </c>
      <c r="E527" s="4">
        <v>1</v>
      </c>
      <c r="F527" s="4" t="s">
        <v>240</v>
      </c>
      <c r="G527" s="4" t="s">
        <v>241</v>
      </c>
      <c r="H527" s="4" t="s">
        <v>241</v>
      </c>
      <c r="I527" s="4" t="s">
        <v>4518</v>
      </c>
      <c r="J527" s="4" t="s">
        <v>3158</v>
      </c>
      <c r="K527" s="4" t="s">
        <v>251</v>
      </c>
      <c r="L527" s="4" t="s">
        <v>3180</v>
      </c>
      <c r="M527" s="5" t="s">
        <v>4589</v>
      </c>
      <c r="N527" s="6">
        <f>1278</f>
        <v>1278</v>
      </c>
      <c r="O527" s="4" t="s">
        <v>265</v>
      </c>
      <c r="P527" s="6">
        <f>14058</f>
        <v>14058</v>
      </c>
      <c r="Q527" s="6">
        <f>0</f>
        <v>0</v>
      </c>
      <c r="S527" s="6">
        <f>0</f>
        <v>0</v>
      </c>
      <c r="T527" s="6">
        <f>14058</f>
        <v>14058</v>
      </c>
      <c r="U527" s="5" t="s">
        <v>245</v>
      </c>
      <c r="V527" s="4" t="s">
        <v>270</v>
      </c>
      <c r="W527" s="4" t="s">
        <v>242</v>
      </c>
      <c r="X527" s="4" t="s">
        <v>243</v>
      </c>
      <c r="Y527" s="4" t="s">
        <v>241</v>
      </c>
      <c r="AB527" s="4" t="s">
        <v>241</v>
      </c>
      <c r="AD527" s="5" t="s">
        <v>241</v>
      </c>
      <c r="AG527" s="5" t="s">
        <v>246</v>
      </c>
      <c r="AH527" s="4" t="s">
        <v>241</v>
      </c>
      <c r="AI527" s="4" t="s">
        <v>247</v>
      </c>
      <c r="AJ527" s="4" t="s">
        <v>248</v>
      </c>
      <c r="AZ527" s="4" t="s">
        <v>249</v>
      </c>
      <c r="BA527" s="4" t="s">
        <v>241</v>
      </c>
      <c r="BB527" s="4" t="s">
        <v>250</v>
      </c>
      <c r="BC527" s="4" t="s">
        <v>241</v>
      </c>
      <c r="BD527" s="4" t="s">
        <v>252</v>
      </c>
      <c r="BE527" s="4" t="s">
        <v>241</v>
      </c>
      <c r="BI527" s="4" t="s">
        <v>253</v>
      </c>
      <c r="BJ527" s="5" t="s">
        <v>246</v>
      </c>
      <c r="BK527" s="4" t="s">
        <v>254</v>
      </c>
      <c r="BL527" s="4" t="s">
        <v>255</v>
      </c>
      <c r="BM527" s="4" t="s">
        <v>241</v>
      </c>
      <c r="BN527" s="6">
        <f>0</f>
        <v>0</v>
      </c>
      <c r="BO527" s="6">
        <f>0</f>
        <v>0</v>
      </c>
      <c r="BP527" s="4" t="s">
        <v>256</v>
      </c>
      <c r="BQ527" s="4" t="s">
        <v>257</v>
      </c>
      <c r="CE527" s="4" t="s">
        <v>241</v>
      </c>
      <c r="CF527" s="4" t="s">
        <v>241</v>
      </c>
      <c r="CJ527" s="4" t="s">
        <v>258</v>
      </c>
      <c r="CK527" s="4" t="s">
        <v>259</v>
      </c>
      <c r="CL527" s="4" t="s">
        <v>241</v>
      </c>
      <c r="CO527" s="5" t="s">
        <v>260</v>
      </c>
      <c r="CP527" s="4" t="s">
        <v>241</v>
      </c>
      <c r="CQ527" s="4" t="s">
        <v>261</v>
      </c>
      <c r="CR527" s="4" t="s">
        <v>241</v>
      </c>
      <c r="CS527" s="4" t="s">
        <v>241</v>
      </c>
      <c r="CT527" s="4">
        <v>0</v>
      </c>
      <c r="CU527" s="4" t="s">
        <v>262</v>
      </c>
      <c r="CV527" s="4" t="s">
        <v>263</v>
      </c>
      <c r="CW527" s="4" t="s">
        <v>263</v>
      </c>
      <c r="CX527" s="4" t="s">
        <v>264</v>
      </c>
      <c r="DA527" s="6">
        <f>14058</f>
        <v>14058</v>
      </c>
      <c r="DC527" s="4" t="s">
        <v>3160</v>
      </c>
      <c r="DD527" s="4" t="s">
        <v>241</v>
      </c>
      <c r="DF527" s="4" t="s">
        <v>287</v>
      </c>
      <c r="DG527" s="6">
        <f>0</f>
        <v>0</v>
      </c>
      <c r="DI527" s="4" t="s">
        <v>3167</v>
      </c>
      <c r="DJ527" s="4" t="s">
        <v>241</v>
      </c>
      <c r="DK527" s="4" t="s">
        <v>241</v>
      </c>
      <c r="DL527" s="4" t="s">
        <v>241</v>
      </c>
      <c r="DP527" s="4" t="s">
        <v>241</v>
      </c>
      <c r="DQ527" s="4" t="s">
        <v>241</v>
      </c>
      <c r="DR527" s="4" t="s">
        <v>241</v>
      </c>
      <c r="DS527" s="4" t="s">
        <v>241</v>
      </c>
      <c r="DV527" s="4" t="s">
        <v>4520</v>
      </c>
      <c r="DW527" s="4" t="s">
        <v>2665</v>
      </c>
      <c r="HO527" s="4" t="s">
        <v>267</v>
      </c>
    </row>
    <row r="528" spans="1:223" ht="19.5" customHeight="1" x14ac:dyDescent="0.4">
      <c r="A528" s="4">
        <v>1</v>
      </c>
      <c r="B528" s="4" t="s">
        <v>239</v>
      </c>
      <c r="C528" s="4">
        <v>1390</v>
      </c>
      <c r="D528" s="4">
        <v>1</v>
      </c>
      <c r="E528" s="4">
        <v>1</v>
      </c>
      <c r="F528" s="4" t="s">
        <v>240</v>
      </c>
      <c r="G528" s="4" t="s">
        <v>241</v>
      </c>
      <c r="H528" s="4" t="s">
        <v>241</v>
      </c>
      <c r="I528" s="4" t="s">
        <v>4518</v>
      </c>
      <c r="J528" s="4" t="s">
        <v>3158</v>
      </c>
      <c r="K528" s="4" t="s">
        <v>251</v>
      </c>
      <c r="L528" s="4" t="s">
        <v>3180</v>
      </c>
      <c r="M528" s="5" t="s">
        <v>4723</v>
      </c>
      <c r="N528" s="6">
        <f>1763</f>
        <v>1763</v>
      </c>
      <c r="O528" s="4" t="s">
        <v>265</v>
      </c>
      <c r="P528" s="6">
        <f>19393</f>
        <v>19393</v>
      </c>
      <c r="Q528" s="6">
        <f>0</f>
        <v>0</v>
      </c>
      <c r="S528" s="6">
        <f>0</f>
        <v>0</v>
      </c>
      <c r="T528" s="6">
        <f>19393</f>
        <v>19393</v>
      </c>
      <c r="U528" s="5" t="s">
        <v>245</v>
      </c>
      <c r="V528" s="4" t="s">
        <v>270</v>
      </c>
      <c r="W528" s="4" t="s">
        <v>242</v>
      </c>
      <c r="X528" s="4" t="s">
        <v>243</v>
      </c>
      <c r="Y528" s="4" t="s">
        <v>241</v>
      </c>
      <c r="AB528" s="4" t="s">
        <v>241</v>
      </c>
      <c r="AD528" s="5" t="s">
        <v>241</v>
      </c>
      <c r="AG528" s="5" t="s">
        <v>246</v>
      </c>
      <c r="AH528" s="4" t="s">
        <v>241</v>
      </c>
      <c r="AI528" s="4" t="s">
        <v>247</v>
      </c>
      <c r="AJ528" s="4" t="s">
        <v>248</v>
      </c>
      <c r="AZ528" s="4" t="s">
        <v>249</v>
      </c>
      <c r="BA528" s="4" t="s">
        <v>241</v>
      </c>
      <c r="BB528" s="4" t="s">
        <v>250</v>
      </c>
      <c r="BC528" s="4" t="s">
        <v>241</v>
      </c>
      <c r="BD528" s="4" t="s">
        <v>252</v>
      </c>
      <c r="BE528" s="4" t="s">
        <v>241</v>
      </c>
      <c r="BI528" s="4" t="s">
        <v>253</v>
      </c>
      <c r="BJ528" s="5" t="s">
        <v>246</v>
      </c>
      <c r="BK528" s="4" t="s">
        <v>254</v>
      </c>
      <c r="BL528" s="4" t="s">
        <v>255</v>
      </c>
      <c r="BM528" s="4" t="s">
        <v>241</v>
      </c>
      <c r="BN528" s="6">
        <f>0</f>
        <v>0</v>
      </c>
      <c r="BO528" s="6">
        <f>0</f>
        <v>0</v>
      </c>
      <c r="BP528" s="4" t="s">
        <v>256</v>
      </c>
      <c r="BQ528" s="4" t="s">
        <v>257</v>
      </c>
      <c r="CE528" s="4" t="s">
        <v>241</v>
      </c>
      <c r="CF528" s="4" t="s">
        <v>241</v>
      </c>
      <c r="CJ528" s="4" t="s">
        <v>258</v>
      </c>
      <c r="CK528" s="4" t="s">
        <v>259</v>
      </c>
      <c r="CL528" s="4" t="s">
        <v>241</v>
      </c>
      <c r="CO528" s="5" t="s">
        <v>260</v>
      </c>
      <c r="CP528" s="4" t="s">
        <v>241</v>
      </c>
      <c r="CQ528" s="4" t="s">
        <v>261</v>
      </c>
      <c r="CR528" s="4" t="s">
        <v>241</v>
      </c>
      <c r="CS528" s="4" t="s">
        <v>241</v>
      </c>
      <c r="CT528" s="4">
        <v>0</v>
      </c>
      <c r="CU528" s="4" t="s">
        <v>262</v>
      </c>
      <c r="CV528" s="4" t="s">
        <v>263</v>
      </c>
      <c r="CW528" s="4" t="s">
        <v>263</v>
      </c>
      <c r="CX528" s="4" t="s">
        <v>264</v>
      </c>
      <c r="DA528" s="6">
        <f>19393</f>
        <v>19393</v>
      </c>
      <c r="DC528" s="4" t="s">
        <v>3160</v>
      </c>
      <c r="DD528" s="4" t="s">
        <v>241</v>
      </c>
      <c r="DF528" s="4" t="s">
        <v>287</v>
      </c>
      <c r="DG528" s="6">
        <f>0</f>
        <v>0</v>
      </c>
      <c r="DI528" s="4" t="s">
        <v>3167</v>
      </c>
      <c r="DJ528" s="4" t="s">
        <v>241</v>
      </c>
      <c r="DK528" s="4" t="s">
        <v>241</v>
      </c>
      <c r="DL528" s="4" t="s">
        <v>241</v>
      </c>
      <c r="DP528" s="4" t="s">
        <v>241</v>
      </c>
      <c r="DQ528" s="4" t="s">
        <v>241</v>
      </c>
      <c r="DR528" s="4" t="s">
        <v>241</v>
      </c>
      <c r="DS528" s="4" t="s">
        <v>241</v>
      </c>
      <c r="DV528" s="4" t="s">
        <v>4520</v>
      </c>
      <c r="DW528" s="4" t="s">
        <v>2497</v>
      </c>
      <c r="HO528" s="4" t="s">
        <v>267</v>
      </c>
    </row>
    <row r="529" spans="1:223" ht="19.5" customHeight="1" x14ac:dyDescent="0.4">
      <c r="A529" s="4">
        <v>1</v>
      </c>
      <c r="B529" s="4" t="s">
        <v>239</v>
      </c>
      <c r="C529" s="4">
        <v>1391</v>
      </c>
      <c r="D529" s="4">
        <v>1</v>
      </c>
      <c r="E529" s="4">
        <v>1</v>
      </c>
      <c r="F529" s="4" t="s">
        <v>240</v>
      </c>
      <c r="G529" s="4" t="s">
        <v>241</v>
      </c>
      <c r="H529" s="4" t="s">
        <v>241</v>
      </c>
      <c r="I529" s="4" t="s">
        <v>4518</v>
      </c>
      <c r="J529" s="4" t="s">
        <v>3158</v>
      </c>
      <c r="K529" s="4" t="s">
        <v>251</v>
      </c>
      <c r="L529" s="4" t="s">
        <v>3180</v>
      </c>
      <c r="M529" s="5" t="s">
        <v>4745</v>
      </c>
      <c r="N529" s="6">
        <f>3188</f>
        <v>3188</v>
      </c>
      <c r="O529" s="4" t="s">
        <v>265</v>
      </c>
      <c r="P529" s="6">
        <f>35068</f>
        <v>35068</v>
      </c>
      <c r="Q529" s="6">
        <f>0</f>
        <v>0</v>
      </c>
      <c r="S529" s="6">
        <f>0</f>
        <v>0</v>
      </c>
      <c r="T529" s="6">
        <f>35068</f>
        <v>35068</v>
      </c>
      <c r="U529" s="5" t="s">
        <v>245</v>
      </c>
      <c r="V529" s="4" t="s">
        <v>270</v>
      </c>
      <c r="W529" s="4" t="s">
        <v>242</v>
      </c>
      <c r="X529" s="4" t="s">
        <v>243</v>
      </c>
      <c r="Y529" s="4" t="s">
        <v>241</v>
      </c>
      <c r="AB529" s="4" t="s">
        <v>241</v>
      </c>
      <c r="AD529" s="5" t="s">
        <v>241</v>
      </c>
      <c r="AG529" s="5" t="s">
        <v>246</v>
      </c>
      <c r="AH529" s="4" t="s">
        <v>241</v>
      </c>
      <c r="AI529" s="4" t="s">
        <v>247</v>
      </c>
      <c r="AJ529" s="4" t="s">
        <v>248</v>
      </c>
      <c r="AZ529" s="4" t="s">
        <v>249</v>
      </c>
      <c r="BA529" s="4" t="s">
        <v>241</v>
      </c>
      <c r="BB529" s="4" t="s">
        <v>250</v>
      </c>
      <c r="BC529" s="4" t="s">
        <v>241</v>
      </c>
      <c r="BD529" s="4" t="s">
        <v>252</v>
      </c>
      <c r="BE529" s="4" t="s">
        <v>241</v>
      </c>
      <c r="BI529" s="4" t="s">
        <v>253</v>
      </c>
      <c r="BJ529" s="5" t="s">
        <v>246</v>
      </c>
      <c r="BK529" s="4" t="s">
        <v>254</v>
      </c>
      <c r="BL529" s="4" t="s">
        <v>255</v>
      </c>
      <c r="BM529" s="4" t="s">
        <v>241</v>
      </c>
      <c r="BN529" s="6">
        <f>0</f>
        <v>0</v>
      </c>
      <c r="BO529" s="6">
        <f>0</f>
        <v>0</v>
      </c>
      <c r="BP529" s="4" t="s">
        <v>256</v>
      </c>
      <c r="BQ529" s="4" t="s">
        <v>257</v>
      </c>
      <c r="CE529" s="4" t="s">
        <v>241</v>
      </c>
      <c r="CF529" s="4" t="s">
        <v>241</v>
      </c>
      <c r="CJ529" s="4" t="s">
        <v>258</v>
      </c>
      <c r="CK529" s="4" t="s">
        <v>259</v>
      </c>
      <c r="CL529" s="4" t="s">
        <v>241</v>
      </c>
      <c r="CO529" s="5" t="s">
        <v>260</v>
      </c>
      <c r="CP529" s="4" t="s">
        <v>241</v>
      </c>
      <c r="CQ529" s="4" t="s">
        <v>261</v>
      </c>
      <c r="CR529" s="4" t="s">
        <v>241</v>
      </c>
      <c r="CS529" s="4" t="s">
        <v>241</v>
      </c>
      <c r="CT529" s="4">
        <v>0</v>
      </c>
      <c r="CU529" s="4" t="s">
        <v>262</v>
      </c>
      <c r="CV529" s="4" t="s">
        <v>263</v>
      </c>
      <c r="CW529" s="4" t="s">
        <v>263</v>
      </c>
      <c r="CX529" s="4" t="s">
        <v>264</v>
      </c>
      <c r="DA529" s="6">
        <f>35068</f>
        <v>35068</v>
      </c>
      <c r="DC529" s="4" t="s">
        <v>3160</v>
      </c>
      <c r="DD529" s="4" t="s">
        <v>241</v>
      </c>
      <c r="DF529" s="4" t="s">
        <v>287</v>
      </c>
      <c r="DG529" s="6">
        <f>0</f>
        <v>0</v>
      </c>
      <c r="DI529" s="4" t="s">
        <v>3167</v>
      </c>
      <c r="DJ529" s="4" t="s">
        <v>241</v>
      </c>
      <c r="DK529" s="4" t="s">
        <v>241</v>
      </c>
      <c r="DL529" s="4" t="s">
        <v>241</v>
      </c>
      <c r="DP529" s="4" t="s">
        <v>241</v>
      </c>
      <c r="DQ529" s="4" t="s">
        <v>241</v>
      </c>
      <c r="DR529" s="4" t="s">
        <v>241</v>
      </c>
      <c r="DS529" s="4" t="s">
        <v>241</v>
      </c>
      <c r="DV529" s="4" t="s">
        <v>4520</v>
      </c>
      <c r="DW529" s="4" t="s">
        <v>2669</v>
      </c>
      <c r="HO529" s="4" t="s">
        <v>267</v>
      </c>
    </row>
    <row r="530" spans="1:223" ht="19.5" customHeight="1" x14ac:dyDescent="0.4">
      <c r="A530" s="4">
        <v>1</v>
      </c>
      <c r="B530" s="4" t="s">
        <v>239</v>
      </c>
      <c r="C530" s="4">
        <v>1392</v>
      </c>
      <c r="D530" s="4">
        <v>1</v>
      </c>
      <c r="E530" s="4">
        <v>1</v>
      </c>
      <c r="F530" s="4" t="s">
        <v>240</v>
      </c>
      <c r="G530" s="4" t="s">
        <v>241</v>
      </c>
      <c r="H530" s="4" t="s">
        <v>241</v>
      </c>
      <c r="I530" s="4" t="s">
        <v>4518</v>
      </c>
      <c r="J530" s="4" t="s">
        <v>3158</v>
      </c>
      <c r="K530" s="4" t="s">
        <v>251</v>
      </c>
      <c r="L530" s="4" t="s">
        <v>3180</v>
      </c>
      <c r="M530" s="5" t="s">
        <v>4732</v>
      </c>
      <c r="N530" s="6">
        <f>1312</f>
        <v>1312</v>
      </c>
      <c r="O530" s="4" t="s">
        <v>265</v>
      </c>
      <c r="P530" s="6">
        <f>14432</f>
        <v>14432</v>
      </c>
      <c r="Q530" s="6">
        <f>0</f>
        <v>0</v>
      </c>
      <c r="S530" s="6">
        <f>0</f>
        <v>0</v>
      </c>
      <c r="T530" s="6">
        <f>14432</f>
        <v>14432</v>
      </c>
      <c r="U530" s="5" t="s">
        <v>245</v>
      </c>
      <c r="V530" s="4" t="s">
        <v>270</v>
      </c>
      <c r="W530" s="4" t="s">
        <v>242</v>
      </c>
      <c r="X530" s="4" t="s">
        <v>243</v>
      </c>
      <c r="Y530" s="4" t="s">
        <v>241</v>
      </c>
      <c r="AB530" s="4" t="s">
        <v>241</v>
      </c>
      <c r="AD530" s="5" t="s">
        <v>241</v>
      </c>
      <c r="AG530" s="5" t="s">
        <v>246</v>
      </c>
      <c r="AH530" s="4" t="s">
        <v>241</v>
      </c>
      <c r="AI530" s="4" t="s">
        <v>247</v>
      </c>
      <c r="AJ530" s="4" t="s">
        <v>248</v>
      </c>
      <c r="AZ530" s="4" t="s">
        <v>249</v>
      </c>
      <c r="BA530" s="4" t="s">
        <v>241</v>
      </c>
      <c r="BB530" s="4" t="s">
        <v>250</v>
      </c>
      <c r="BC530" s="4" t="s">
        <v>241</v>
      </c>
      <c r="BD530" s="4" t="s">
        <v>252</v>
      </c>
      <c r="BE530" s="4" t="s">
        <v>241</v>
      </c>
      <c r="BI530" s="4" t="s">
        <v>253</v>
      </c>
      <c r="BJ530" s="5" t="s">
        <v>246</v>
      </c>
      <c r="BK530" s="4" t="s">
        <v>254</v>
      </c>
      <c r="BL530" s="4" t="s">
        <v>255</v>
      </c>
      <c r="BM530" s="4" t="s">
        <v>241</v>
      </c>
      <c r="BN530" s="6">
        <f>0</f>
        <v>0</v>
      </c>
      <c r="BO530" s="6">
        <f>0</f>
        <v>0</v>
      </c>
      <c r="BP530" s="4" t="s">
        <v>256</v>
      </c>
      <c r="BQ530" s="4" t="s">
        <v>257</v>
      </c>
      <c r="CE530" s="4" t="s">
        <v>241</v>
      </c>
      <c r="CF530" s="4" t="s">
        <v>241</v>
      </c>
      <c r="CJ530" s="4" t="s">
        <v>258</v>
      </c>
      <c r="CK530" s="4" t="s">
        <v>259</v>
      </c>
      <c r="CL530" s="4" t="s">
        <v>241</v>
      </c>
      <c r="CO530" s="5" t="s">
        <v>260</v>
      </c>
      <c r="CP530" s="4" t="s">
        <v>241</v>
      </c>
      <c r="CQ530" s="4" t="s">
        <v>261</v>
      </c>
      <c r="CR530" s="4" t="s">
        <v>241</v>
      </c>
      <c r="CS530" s="4" t="s">
        <v>241</v>
      </c>
      <c r="CT530" s="4">
        <v>0</v>
      </c>
      <c r="CU530" s="4" t="s">
        <v>262</v>
      </c>
      <c r="CV530" s="4" t="s">
        <v>263</v>
      </c>
      <c r="CW530" s="4" t="s">
        <v>263</v>
      </c>
      <c r="CX530" s="4" t="s">
        <v>264</v>
      </c>
      <c r="DA530" s="6">
        <f>14432</f>
        <v>14432</v>
      </c>
      <c r="DC530" s="4" t="s">
        <v>3160</v>
      </c>
      <c r="DD530" s="4" t="s">
        <v>241</v>
      </c>
      <c r="DF530" s="4" t="s">
        <v>287</v>
      </c>
      <c r="DG530" s="6">
        <f>0</f>
        <v>0</v>
      </c>
      <c r="DI530" s="4" t="s">
        <v>3167</v>
      </c>
      <c r="DJ530" s="4" t="s">
        <v>241</v>
      </c>
      <c r="DK530" s="4" t="s">
        <v>241</v>
      </c>
      <c r="DL530" s="4" t="s">
        <v>241</v>
      </c>
      <c r="DP530" s="4" t="s">
        <v>241</v>
      </c>
      <c r="DQ530" s="4" t="s">
        <v>241</v>
      </c>
      <c r="DR530" s="4" t="s">
        <v>241</v>
      </c>
      <c r="DS530" s="4" t="s">
        <v>241</v>
      </c>
      <c r="DV530" s="4" t="s">
        <v>4520</v>
      </c>
      <c r="DW530" s="4" t="s">
        <v>2673</v>
      </c>
      <c r="HO530" s="4" t="s">
        <v>267</v>
      </c>
    </row>
    <row r="531" spans="1:223" ht="19.5" customHeight="1" x14ac:dyDescent="0.4">
      <c r="A531" s="4">
        <v>1</v>
      </c>
      <c r="B531" s="4" t="s">
        <v>239</v>
      </c>
      <c r="C531" s="4">
        <v>1393</v>
      </c>
      <c r="D531" s="4">
        <v>1</v>
      </c>
      <c r="E531" s="4">
        <v>1</v>
      </c>
      <c r="F531" s="4" t="s">
        <v>240</v>
      </c>
      <c r="G531" s="4" t="s">
        <v>241</v>
      </c>
      <c r="H531" s="4" t="s">
        <v>241</v>
      </c>
      <c r="I531" s="4" t="s">
        <v>4518</v>
      </c>
      <c r="J531" s="4" t="s">
        <v>3158</v>
      </c>
      <c r="K531" s="4" t="s">
        <v>251</v>
      </c>
      <c r="L531" s="4" t="s">
        <v>3180</v>
      </c>
      <c r="M531" s="5" t="s">
        <v>4570</v>
      </c>
      <c r="N531" s="6">
        <f>736</f>
        <v>736</v>
      </c>
      <c r="O531" s="4" t="s">
        <v>265</v>
      </c>
      <c r="P531" s="6">
        <f>8096</f>
        <v>8096</v>
      </c>
      <c r="Q531" s="6">
        <f>0</f>
        <v>0</v>
      </c>
      <c r="S531" s="6">
        <f>0</f>
        <v>0</v>
      </c>
      <c r="T531" s="6">
        <f>8096</f>
        <v>8096</v>
      </c>
      <c r="U531" s="5" t="s">
        <v>245</v>
      </c>
      <c r="V531" s="4" t="s">
        <v>270</v>
      </c>
      <c r="W531" s="4" t="s">
        <v>242</v>
      </c>
      <c r="X531" s="4" t="s">
        <v>243</v>
      </c>
      <c r="Y531" s="4" t="s">
        <v>241</v>
      </c>
      <c r="AB531" s="4" t="s">
        <v>241</v>
      </c>
      <c r="AD531" s="5" t="s">
        <v>241</v>
      </c>
      <c r="AG531" s="5" t="s">
        <v>246</v>
      </c>
      <c r="AH531" s="4" t="s">
        <v>241</v>
      </c>
      <c r="AI531" s="4" t="s">
        <v>247</v>
      </c>
      <c r="AJ531" s="4" t="s">
        <v>248</v>
      </c>
      <c r="AZ531" s="4" t="s">
        <v>249</v>
      </c>
      <c r="BA531" s="4" t="s">
        <v>241</v>
      </c>
      <c r="BB531" s="4" t="s">
        <v>250</v>
      </c>
      <c r="BC531" s="4" t="s">
        <v>241</v>
      </c>
      <c r="BD531" s="4" t="s">
        <v>252</v>
      </c>
      <c r="BE531" s="4" t="s">
        <v>241</v>
      </c>
      <c r="BI531" s="4" t="s">
        <v>253</v>
      </c>
      <c r="BJ531" s="5" t="s">
        <v>246</v>
      </c>
      <c r="BK531" s="4" t="s">
        <v>254</v>
      </c>
      <c r="BL531" s="4" t="s">
        <v>255</v>
      </c>
      <c r="BM531" s="4" t="s">
        <v>241</v>
      </c>
      <c r="BN531" s="6">
        <f>0</f>
        <v>0</v>
      </c>
      <c r="BO531" s="6">
        <f>0</f>
        <v>0</v>
      </c>
      <c r="BP531" s="4" t="s">
        <v>256</v>
      </c>
      <c r="BQ531" s="4" t="s">
        <v>257</v>
      </c>
      <c r="CE531" s="4" t="s">
        <v>241</v>
      </c>
      <c r="CF531" s="4" t="s">
        <v>241</v>
      </c>
      <c r="CJ531" s="4" t="s">
        <v>258</v>
      </c>
      <c r="CK531" s="4" t="s">
        <v>259</v>
      </c>
      <c r="CL531" s="4" t="s">
        <v>241</v>
      </c>
      <c r="CO531" s="5" t="s">
        <v>260</v>
      </c>
      <c r="CP531" s="4" t="s">
        <v>241</v>
      </c>
      <c r="CQ531" s="4" t="s">
        <v>261</v>
      </c>
      <c r="CR531" s="4" t="s">
        <v>241</v>
      </c>
      <c r="CS531" s="4" t="s">
        <v>241</v>
      </c>
      <c r="CT531" s="4">
        <v>0</v>
      </c>
      <c r="CU531" s="4" t="s">
        <v>262</v>
      </c>
      <c r="CV531" s="4" t="s">
        <v>263</v>
      </c>
      <c r="CW531" s="4" t="s">
        <v>263</v>
      </c>
      <c r="CX531" s="4" t="s">
        <v>264</v>
      </c>
      <c r="DA531" s="6">
        <f>8096</f>
        <v>8096</v>
      </c>
      <c r="DC531" s="4" t="s">
        <v>3160</v>
      </c>
      <c r="DD531" s="4" t="s">
        <v>241</v>
      </c>
      <c r="DF531" s="4" t="s">
        <v>287</v>
      </c>
      <c r="DG531" s="6">
        <f>0</f>
        <v>0</v>
      </c>
      <c r="DI531" s="4" t="s">
        <v>3167</v>
      </c>
      <c r="DJ531" s="4" t="s">
        <v>241</v>
      </c>
      <c r="DK531" s="4" t="s">
        <v>241</v>
      </c>
      <c r="DL531" s="4" t="s">
        <v>241</v>
      </c>
      <c r="DP531" s="4" t="s">
        <v>241</v>
      </c>
      <c r="DQ531" s="4" t="s">
        <v>241</v>
      </c>
      <c r="DR531" s="4" t="s">
        <v>241</v>
      </c>
      <c r="DS531" s="4" t="s">
        <v>241</v>
      </c>
      <c r="DV531" s="4" t="s">
        <v>4520</v>
      </c>
      <c r="DW531" s="4" t="s">
        <v>2403</v>
      </c>
      <c r="HO531" s="4" t="s">
        <v>267</v>
      </c>
    </row>
    <row r="532" spans="1:223" ht="19.5" customHeight="1" x14ac:dyDescent="0.4">
      <c r="A532" s="4">
        <v>1</v>
      </c>
      <c r="B532" s="4" t="s">
        <v>239</v>
      </c>
      <c r="C532" s="4">
        <v>1394</v>
      </c>
      <c r="D532" s="4">
        <v>1</v>
      </c>
      <c r="E532" s="4">
        <v>1</v>
      </c>
      <c r="F532" s="4" t="s">
        <v>240</v>
      </c>
      <c r="G532" s="4" t="s">
        <v>241</v>
      </c>
      <c r="H532" s="4" t="s">
        <v>241</v>
      </c>
      <c r="I532" s="4" t="s">
        <v>4518</v>
      </c>
      <c r="J532" s="4" t="s">
        <v>3158</v>
      </c>
      <c r="K532" s="4" t="s">
        <v>251</v>
      </c>
      <c r="L532" s="4" t="s">
        <v>3180</v>
      </c>
      <c r="M532" s="5" t="s">
        <v>4590</v>
      </c>
      <c r="N532" s="6">
        <f>1137</f>
        <v>1137</v>
      </c>
      <c r="O532" s="4" t="s">
        <v>265</v>
      </c>
      <c r="P532" s="6">
        <f>12507</f>
        <v>12507</v>
      </c>
      <c r="Q532" s="6">
        <f>0</f>
        <v>0</v>
      </c>
      <c r="S532" s="6">
        <f>0</f>
        <v>0</v>
      </c>
      <c r="T532" s="6">
        <f>12507</f>
        <v>12507</v>
      </c>
      <c r="U532" s="5" t="s">
        <v>245</v>
      </c>
      <c r="V532" s="4" t="s">
        <v>270</v>
      </c>
      <c r="W532" s="4" t="s">
        <v>242</v>
      </c>
      <c r="X532" s="4" t="s">
        <v>243</v>
      </c>
      <c r="Y532" s="4" t="s">
        <v>241</v>
      </c>
      <c r="AB532" s="4" t="s">
        <v>241</v>
      </c>
      <c r="AD532" s="5" t="s">
        <v>241</v>
      </c>
      <c r="AG532" s="5" t="s">
        <v>246</v>
      </c>
      <c r="AH532" s="4" t="s">
        <v>241</v>
      </c>
      <c r="AI532" s="4" t="s">
        <v>247</v>
      </c>
      <c r="AJ532" s="4" t="s">
        <v>248</v>
      </c>
      <c r="AZ532" s="4" t="s">
        <v>249</v>
      </c>
      <c r="BA532" s="4" t="s">
        <v>241</v>
      </c>
      <c r="BB532" s="4" t="s">
        <v>250</v>
      </c>
      <c r="BC532" s="4" t="s">
        <v>241</v>
      </c>
      <c r="BD532" s="4" t="s">
        <v>252</v>
      </c>
      <c r="BE532" s="4" t="s">
        <v>241</v>
      </c>
      <c r="BI532" s="4" t="s">
        <v>253</v>
      </c>
      <c r="BJ532" s="5" t="s">
        <v>246</v>
      </c>
      <c r="BK532" s="4" t="s">
        <v>254</v>
      </c>
      <c r="BL532" s="4" t="s">
        <v>255</v>
      </c>
      <c r="BM532" s="4" t="s">
        <v>241</v>
      </c>
      <c r="BN532" s="6">
        <f>0</f>
        <v>0</v>
      </c>
      <c r="BO532" s="6">
        <f>0</f>
        <v>0</v>
      </c>
      <c r="BP532" s="4" t="s">
        <v>256</v>
      </c>
      <c r="BQ532" s="4" t="s">
        <v>257</v>
      </c>
      <c r="CE532" s="4" t="s">
        <v>241</v>
      </c>
      <c r="CF532" s="4" t="s">
        <v>241</v>
      </c>
      <c r="CJ532" s="4" t="s">
        <v>258</v>
      </c>
      <c r="CK532" s="4" t="s">
        <v>259</v>
      </c>
      <c r="CL532" s="4" t="s">
        <v>241</v>
      </c>
      <c r="CO532" s="5" t="s">
        <v>260</v>
      </c>
      <c r="CP532" s="4" t="s">
        <v>241</v>
      </c>
      <c r="CQ532" s="4" t="s">
        <v>261</v>
      </c>
      <c r="CR532" s="4" t="s">
        <v>241</v>
      </c>
      <c r="CS532" s="4" t="s">
        <v>241</v>
      </c>
      <c r="CT532" s="4">
        <v>0</v>
      </c>
      <c r="CU532" s="4" t="s">
        <v>262</v>
      </c>
      <c r="CV532" s="4" t="s">
        <v>263</v>
      </c>
      <c r="CW532" s="4" t="s">
        <v>263</v>
      </c>
      <c r="CX532" s="4" t="s">
        <v>264</v>
      </c>
      <c r="DA532" s="6">
        <f>12507</f>
        <v>12507</v>
      </c>
      <c r="DC532" s="4" t="s">
        <v>3160</v>
      </c>
      <c r="DD532" s="4" t="s">
        <v>241</v>
      </c>
      <c r="DF532" s="4" t="s">
        <v>287</v>
      </c>
      <c r="DG532" s="6">
        <f>0</f>
        <v>0</v>
      </c>
      <c r="DI532" s="4" t="s">
        <v>3167</v>
      </c>
      <c r="DJ532" s="4" t="s">
        <v>241</v>
      </c>
      <c r="DK532" s="4" t="s">
        <v>241</v>
      </c>
      <c r="DL532" s="4" t="s">
        <v>241</v>
      </c>
      <c r="DP532" s="4" t="s">
        <v>241</v>
      </c>
      <c r="DQ532" s="4" t="s">
        <v>241</v>
      </c>
      <c r="DR532" s="4" t="s">
        <v>241</v>
      </c>
      <c r="DS532" s="4" t="s">
        <v>241</v>
      </c>
      <c r="DV532" s="4" t="s">
        <v>4520</v>
      </c>
      <c r="DW532" s="4" t="s">
        <v>2469</v>
      </c>
      <c r="HO532" s="4" t="s">
        <v>267</v>
      </c>
    </row>
    <row r="533" spans="1:223" ht="19.5" customHeight="1" x14ac:dyDescent="0.4">
      <c r="A533" s="4">
        <v>1</v>
      </c>
      <c r="B533" s="4" t="s">
        <v>239</v>
      </c>
      <c r="C533" s="4">
        <v>1395</v>
      </c>
      <c r="D533" s="4">
        <v>1</v>
      </c>
      <c r="E533" s="4">
        <v>1</v>
      </c>
      <c r="F533" s="4" t="s">
        <v>240</v>
      </c>
      <c r="G533" s="4" t="s">
        <v>241</v>
      </c>
      <c r="H533" s="4" t="s">
        <v>241</v>
      </c>
      <c r="I533" s="4" t="s">
        <v>4518</v>
      </c>
      <c r="J533" s="4" t="s">
        <v>3158</v>
      </c>
      <c r="K533" s="4" t="s">
        <v>251</v>
      </c>
      <c r="L533" s="4" t="s">
        <v>3180</v>
      </c>
      <c r="M533" s="5" t="s">
        <v>4591</v>
      </c>
      <c r="N533" s="6">
        <f>1031</f>
        <v>1031</v>
      </c>
      <c r="O533" s="4" t="s">
        <v>265</v>
      </c>
      <c r="P533" s="6">
        <f>11341</f>
        <v>11341</v>
      </c>
      <c r="Q533" s="6">
        <f>0</f>
        <v>0</v>
      </c>
      <c r="S533" s="6">
        <f>0</f>
        <v>0</v>
      </c>
      <c r="T533" s="6">
        <f>11341</f>
        <v>11341</v>
      </c>
      <c r="U533" s="5" t="s">
        <v>245</v>
      </c>
      <c r="V533" s="4" t="s">
        <v>270</v>
      </c>
      <c r="W533" s="4" t="s">
        <v>242</v>
      </c>
      <c r="X533" s="4" t="s">
        <v>243</v>
      </c>
      <c r="Y533" s="4" t="s">
        <v>241</v>
      </c>
      <c r="AB533" s="4" t="s">
        <v>241</v>
      </c>
      <c r="AD533" s="5" t="s">
        <v>241</v>
      </c>
      <c r="AG533" s="5" t="s">
        <v>246</v>
      </c>
      <c r="AH533" s="4" t="s">
        <v>241</v>
      </c>
      <c r="AI533" s="4" t="s">
        <v>247</v>
      </c>
      <c r="AJ533" s="4" t="s">
        <v>248</v>
      </c>
      <c r="AZ533" s="4" t="s">
        <v>249</v>
      </c>
      <c r="BA533" s="4" t="s">
        <v>241</v>
      </c>
      <c r="BB533" s="4" t="s">
        <v>250</v>
      </c>
      <c r="BC533" s="4" t="s">
        <v>241</v>
      </c>
      <c r="BD533" s="4" t="s">
        <v>252</v>
      </c>
      <c r="BE533" s="4" t="s">
        <v>241</v>
      </c>
      <c r="BI533" s="4" t="s">
        <v>253</v>
      </c>
      <c r="BJ533" s="5" t="s">
        <v>246</v>
      </c>
      <c r="BK533" s="4" t="s">
        <v>254</v>
      </c>
      <c r="BL533" s="4" t="s">
        <v>255</v>
      </c>
      <c r="BM533" s="4" t="s">
        <v>241</v>
      </c>
      <c r="BN533" s="6">
        <f>0</f>
        <v>0</v>
      </c>
      <c r="BO533" s="6">
        <f>0</f>
        <v>0</v>
      </c>
      <c r="BP533" s="4" t="s">
        <v>256</v>
      </c>
      <c r="BQ533" s="4" t="s">
        <v>257</v>
      </c>
      <c r="CE533" s="4" t="s">
        <v>241</v>
      </c>
      <c r="CF533" s="4" t="s">
        <v>241</v>
      </c>
      <c r="CJ533" s="4" t="s">
        <v>258</v>
      </c>
      <c r="CK533" s="4" t="s">
        <v>259</v>
      </c>
      <c r="CL533" s="4" t="s">
        <v>241</v>
      </c>
      <c r="CO533" s="5" t="s">
        <v>260</v>
      </c>
      <c r="CP533" s="4" t="s">
        <v>241</v>
      </c>
      <c r="CQ533" s="4" t="s">
        <v>261</v>
      </c>
      <c r="CR533" s="4" t="s">
        <v>241</v>
      </c>
      <c r="CS533" s="4" t="s">
        <v>241</v>
      </c>
      <c r="CT533" s="4">
        <v>0</v>
      </c>
      <c r="CU533" s="4" t="s">
        <v>262</v>
      </c>
      <c r="CV533" s="4" t="s">
        <v>263</v>
      </c>
      <c r="CW533" s="4" t="s">
        <v>263</v>
      </c>
      <c r="CX533" s="4" t="s">
        <v>264</v>
      </c>
      <c r="DA533" s="6">
        <f>11341</f>
        <v>11341</v>
      </c>
      <c r="DC533" s="4" t="s">
        <v>3160</v>
      </c>
      <c r="DD533" s="4" t="s">
        <v>241</v>
      </c>
      <c r="DF533" s="4" t="s">
        <v>287</v>
      </c>
      <c r="DG533" s="6">
        <f>0</f>
        <v>0</v>
      </c>
      <c r="DI533" s="4" t="s">
        <v>3167</v>
      </c>
      <c r="DJ533" s="4" t="s">
        <v>241</v>
      </c>
      <c r="DK533" s="4" t="s">
        <v>241</v>
      </c>
      <c r="DL533" s="4" t="s">
        <v>241</v>
      </c>
      <c r="DP533" s="4" t="s">
        <v>241</v>
      </c>
      <c r="DQ533" s="4" t="s">
        <v>241</v>
      </c>
      <c r="DR533" s="4" t="s">
        <v>241</v>
      </c>
      <c r="DS533" s="4" t="s">
        <v>241</v>
      </c>
      <c r="DV533" s="4" t="s">
        <v>4520</v>
      </c>
      <c r="DW533" s="4" t="s">
        <v>613</v>
      </c>
      <c r="HO533" s="4" t="s">
        <v>267</v>
      </c>
    </row>
    <row r="534" spans="1:223" ht="19.5" customHeight="1" x14ac:dyDescent="0.4">
      <c r="A534" s="4">
        <v>1</v>
      </c>
      <c r="B534" s="4" t="s">
        <v>239</v>
      </c>
      <c r="C534" s="4">
        <v>1396</v>
      </c>
      <c r="D534" s="4">
        <v>1</v>
      </c>
      <c r="E534" s="4">
        <v>1</v>
      </c>
      <c r="F534" s="4" t="s">
        <v>240</v>
      </c>
      <c r="G534" s="4" t="s">
        <v>241</v>
      </c>
      <c r="H534" s="4" t="s">
        <v>241</v>
      </c>
      <c r="I534" s="4" t="s">
        <v>4518</v>
      </c>
      <c r="J534" s="4" t="s">
        <v>3158</v>
      </c>
      <c r="K534" s="4" t="s">
        <v>251</v>
      </c>
      <c r="L534" s="4" t="s">
        <v>3180</v>
      </c>
      <c r="M534" s="5" t="s">
        <v>4592</v>
      </c>
      <c r="N534" s="6">
        <f>1029</f>
        <v>1029</v>
      </c>
      <c r="O534" s="4" t="s">
        <v>265</v>
      </c>
      <c r="P534" s="6">
        <f>11319</f>
        <v>11319</v>
      </c>
      <c r="Q534" s="6">
        <f>0</f>
        <v>0</v>
      </c>
      <c r="S534" s="6">
        <f>0</f>
        <v>0</v>
      </c>
      <c r="T534" s="6">
        <f>11319</f>
        <v>11319</v>
      </c>
      <c r="U534" s="5" t="s">
        <v>245</v>
      </c>
      <c r="V534" s="4" t="s">
        <v>270</v>
      </c>
      <c r="W534" s="4" t="s">
        <v>242</v>
      </c>
      <c r="X534" s="4" t="s">
        <v>243</v>
      </c>
      <c r="Y534" s="4" t="s">
        <v>241</v>
      </c>
      <c r="AB534" s="4" t="s">
        <v>241</v>
      </c>
      <c r="AD534" s="5" t="s">
        <v>241</v>
      </c>
      <c r="AG534" s="5" t="s">
        <v>246</v>
      </c>
      <c r="AH534" s="4" t="s">
        <v>241</v>
      </c>
      <c r="AI534" s="4" t="s">
        <v>247</v>
      </c>
      <c r="AJ534" s="4" t="s">
        <v>248</v>
      </c>
      <c r="AZ534" s="4" t="s">
        <v>249</v>
      </c>
      <c r="BA534" s="4" t="s">
        <v>241</v>
      </c>
      <c r="BB534" s="4" t="s">
        <v>250</v>
      </c>
      <c r="BC534" s="4" t="s">
        <v>241</v>
      </c>
      <c r="BD534" s="4" t="s">
        <v>252</v>
      </c>
      <c r="BE534" s="4" t="s">
        <v>241</v>
      </c>
      <c r="BI534" s="4" t="s">
        <v>253</v>
      </c>
      <c r="BJ534" s="5" t="s">
        <v>246</v>
      </c>
      <c r="BK534" s="4" t="s">
        <v>254</v>
      </c>
      <c r="BL534" s="4" t="s">
        <v>255</v>
      </c>
      <c r="BM534" s="4" t="s">
        <v>241</v>
      </c>
      <c r="BN534" s="6">
        <f>0</f>
        <v>0</v>
      </c>
      <c r="BO534" s="6">
        <f>0</f>
        <v>0</v>
      </c>
      <c r="BP534" s="4" t="s">
        <v>256</v>
      </c>
      <c r="BQ534" s="4" t="s">
        <v>257</v>
      </c>
      <c r="CE534" s="4" t="s">
        <v>241</v>
      </c>
      <c r="CF534" s="4" t="s">
        <v>241</v>
      </c>
      <c r="CJ534" s="4" t="s">
        <v>258</v>
      </c>
      <c r="CK534" s="4" t="s">
        <v>259</v>
      </c>
      <c r="CL534" s="4" t="s">
        <v>241</v>
      </c>
      <c r="CO534" s="5" t="s">
        <v>260</v>
      </c>
      <c r="CP534" s="4" t="s">
        <v>241</v>
      </c>
      <c r="CQ534" s="4" t="s">
        <v>261</v>
      </c>
      <c r="CR534" s="4" t="s">
        <v>241</v>
      </c>
      <c r="CS534" s="4" t="s">
        <v>241</v>
      </c>
      <c r="CT534" s="4">
        <v>0</v>
      </c>
      <c r="CU534" s="4" t="s">
        <v>262</v>
      </c>
      <c r="CV534" s="4" t="s">
        <v>263</v>
      </c>
      <c r="CW534" s="4" t="s">
        <v>263</v>
      </c>
      <c r="CX534" s="4" t="s">
        <v>264</v>
      </c>
      <c r="DA534" s="6">
        <f>11319</f>
        <v>11319</v>
      </c>
      <c r="DC534" s="4" t="s">
        <v>3160</v>
      </c>
      <c r="DD534" s="4" t="s">
        <v>241</v>
      </c>
      <c r="DF534" s="4" t="s">
        <v>287</v>
      </c>
      <c r="DG534" s="6">
        <f>0</f>
        <v>0</v>
      </c>
      <c r="DI534" s="4" t="s">
        <v>3167</v>
      </c>
      <c r="DJ534" s="4" t="s">
        <v>241</v>
      </c>
      <c r="DK534" s="4" t="s">
        <v>241</v>
      </c>
      <c r="DL534" s="4" t="s">
        <v>241</v>
      </c>
      <c r="DP534" s="4" t="s">
        <v>241</v>
      </c>
      <c r="DQ534" s="4" t="s">
        <v>241</v>
      </c>
      <c r="DR534" s="4" t="s">
        <v>241</v>
      </c>
      <c r="DS534" s="4" t="s">
        <v>241</v>
      </c>
      <c r="DV534" s="4" t="s">
        <v>4520</v>
      </c>
      <c r="DW534" s="4" t="s">
        <v>2478</v>
      </c>
      <c r="HO534" s="4" t="s">
        <v>267</v>
      </c>
    </row>
    <row r="535" spans="1:223" ht="19.5" customHeight="1" x14ac:dyDescent="0.4">
      <c r="A535" s="4">
        <v>1</v>
      </c>
      <c r="B535" s="4" t="s">
        <v>239</v>
      </c>
      <c r="C535" s="4">
        <v>1397</v>
      </c>
      <c r="D535" s="4">
        <v>1</v>
      </c>
      <c r="E535" s="4">
        <v>1</v>
      </c>
      <c r="F535" s="4" t="s">
        <v>240</v>
      </c>
      <c r="G535" s="4" t="s">
        <v>241</v>
      </c>
      <c r="H535" s="4" t="s">
        <v>241</v>
      </c>
      <c r="I535" s="4" t="s">
        <v>4518</v>
      </c>
      <c r="J535" s="4" t="s">
        <v>3158</v>
      </c>
      <c r="K535" s="4" t="s">
        <v>251</v>
      </c>
      <c r="L535" s="4" t="s">
        <v>3180</v>
      </c>
      <c r="M535" s="5" t="s">
        <v>5445</v>
      </c>
      <c r="N535" s="6">
        <f>297</f>
        <v>297</v>
      </c>
      <c r="O535" s="4" t="s">
        <v>265</v>
      </c>
      <c r="P535" s="6">
        <f>3267</f>
        <v>3267</v>
      </c>
      <c r="Q535" s="6">
        <f>0</f>
        <v>0</v>
      </c>
      <c r="S535" s="6">
        <f>0</f>
        <v>0</v>
      </c>
      <c r="T535" s="6">
        <f>3267</f>
        <v>3267</v>
      </c>
      <c r="U535" s="5" t="s">
        <v>245</v>
      </c>
      <c r="V535" s="4" t="s">
        <v>270</v>
      </c>
      <c r="W535" s="4" t="s">
        <v>242</v>
      </c>
      <c r="X535" s="4" t="s">
        <v>243</v>
      </c>
      <c r="Y535" s="4" t="s">
        <v>241</v>
      </c>
      <c r="AB535" s="4" t="s">
        <v>241</v>
      </c>
      <c r="AD535" s="5" t="s">
        <v>241</v>
      </c>
      <c r="AG535" s="5" t="s">
        <v>246</v>
      </c>
      <c r="AH535" s="4" t="s">
        <v>241</v>
      </c>
      <c r="AI535" s="4" t="s">
        <v>247</v>
      </c>
      <c r="AJ535" s="4" t="s">
        <v>248</v>
      </c>
      <c r="AZ535" s="4" t="s">
        <v>249</v>
      </c>
      <c r="BA535" s="4" t="s">
        <v>241</v>
      </c>
      <c r="BB535" s="4" t="s">
        <v>250</v>
      </c>
      <c r="BC535" s="4" t="s">
        <v>241</v>
      </c>
      <c r="BD535" s="4" t="s">
        <v>252</v>
      </c>
      <c r="BE535" s="4" t="s">
        <v>241</v>
      </c>
      <c r="BI535" s="4" t="s">
        <v>253</v>
      </c>
      <c r="BJ535" s="5" t="s">
        <v>246</v>
      </c>
      <c r="BK535" s="4" t="s">
        <v>254</v>
      </c>
      <c r="BL535" s="4" t="s">
        <v>255</v>
      </c>
      <c r="BM535" s="4" t="s">
        <v>241</v>
      </c>
      <c r="BN535" s="6">
        <f>0</f>
        <v>0</v>
      </c>
      <c r="BO535" s="6">
        <f>0</f>
        <v>0</v>
      </c>
      <c r="BP535" s="4" t="s">
        <v>256</v>
      </c>
      <c r="BQ535" s="4" t="s">
        <v>257</v>
      </c>
      <c r="CE535" s="4" t="s">
        <v>241</v>
      </c>
      <c r="CF535" s="4" t="s">
        <v>241</v>
      </c>
      <c r="CJ535" s="4" t="s">
        <v>258</v>
      </c>
      <c r="CK535" s="4" t="s">
        <v>259</v>
      </c>
      <c r="CL535" s="4" t="s">
        <v>241</v>
      </c>
      <c r="CO535" s="5" t="s">
        <v>260</v>
      </c>
      <c r="CP535" s="4" t="s">
        <v>241</v>
      </c>
      <c r="CQ535" s="4" t="s">
        <v>261</v>
      </c>
      <c r="CR535" s="4" t="s">
        <v>241</v>
      </c>
      <c r="CS535" s="4" t="s">
        <v>241</v>
      </c>
      <c r="CT535" s="4">
        <v>0</v>
      </c>
      <c r="CU535" s="4" t="s">
        <v>262</v>
      </c>
      <c r="CV535" s="4" t="s">
        <v>263</v>
      </c>
      <c r="CW535" s="4" t="s">
        <v>263</v>
      </c>
      <c r="CX535" s="4" t="s">
        <v>264</v>
      </c>
      <c r="DA535" s="6">
        <f>3267</f>
        <v>3267</v>
      </c>
      <c r="DC535" s="4" t="s">
        <v>3160</v>
      </c>
      <c r="DD535" s="4" t="s">
        <v>241</v>
      </c>
      <c r="DF535" s="4" t="s">
        <v>287</v>
      </c>
      <c r="DG535" s="6">
        <f>0</f>
        <v>0</v>
      </c>
      <c r="DI535" s="4" t="s">
        <v>3167</v>
      </c>
      <c r="DJ535" s="4" t="s">
        <v>241</v>
      </c>
      <c r="DK535" s="4" t="s">
        <v>241</v>
      </c>
      <c r="DL535" s="4" t="s">
        <v>241</v>
      </c>
      <c r="DP535" s="4" t="s">
        <v>241</v>
      </c>
      <c r="DQ535" s="4" t="s">
        <v>241</v>
      </c>
      <c r="DR535" s="4" t="s">
        <v>241</v>
      </c>
      <c r="DS535" s="4" t="s">
        <v>241</v>
      </c>
      <c r="DV535" s="4" t="s">
        <v>4520</v>
      </c>
      <c r="DW535" s="4" t="s">
        <v>2717</v>
      </c>
      <c r="HO535" s="4" t="s">
        <v>267</v>
      </c>
    </row>
    <row r="536" spans="1:223" ht="19.5" customHeight="1" x14ac:dyDescent="0.4">
      <c r="A536" s="4">
        <v>1</v>
      </c>
      <c r="B536" s="4" t="s">
        <v>239</v>
      </c>
      <c r="C536" s="4">
        <v>1398</v>
      </c>
      <c r="D536" s="4">
        <v>1</v>
      </c>
      <c r="E536" s="4">
        <v>1</v>
      </c>
      <c r="F536" s="4" t="s">
        <v>240</v>
      </c>
      <c r="G536" s="4" t="s">
        <v>241</v>
      </c>
      <c r="H536" s="4" t="s">
        <v>241</v>
      </c>
      <c r="I536" s="4" t="s">
        <v>4518</v>
      </c>
      <c r="J536" s="4" t="s">
        <v>3158</v>
      </c>
      <c r="K536" s="4" t="s">
        <v>251</v>
      </c>
      <c r="L536" s="4" t="s">
        <v>3180</v>
      </c>
      <c r="M536" s="5" t="s">
        <v>4594</v>
      </c>
      <c r="N536" s="6">
        <f>3225</f>
        <v>3225</v>
      </c>
      <c r="O536" s="4" t="s">
        <v>265</v>
      </c>
      <c r="P536" s="6">
        <f>35475</f>
        <v>35475</v>
      </c>
      <c r="Q536" s="6">
        <f>0</f>
        <v>0</v>
      </c>
      <c r="S536" s="6">
        <f>0</f>
        <v>0</v>
      </c>
      <c r="T536" s="6">
        <f>35475</f>
        <v>35475</v>
      </c>
      <c r="U536" s="5" t="s">
        <v>245</v>
      </c>
      <c r="V536" s="4" t="s">
        <v>270</v>
      </c>
      <c r="W536" s="4" t="s">
        <v>242</v>
      </c>
      <c r="X536" s="4" t="s">
        <v>243</v>
      </c>
      <c r="Y536" s="4" t="s">
        <v>241</v>
      </c>
      <c r="AB536" s="4" t="s">
        <v>241</v>
      </c>
      <c r="AD536" s="5" t="s">
        <v>241</v>
      </c>
      <c r="AG536" s="5" t="s">
        <v>246</v>
      </c>
      <c r="AH536" s="4" t="s">
        <v>241</v>
      </c>
      <c r="AI536" s="4" t="s">
        <v>247</v>
      </c>
      <c r="AJ536" s="4" t="s">
        <v>248</v>
      </c>
      <c r="AZ536" s="4" t="s">
        <v>249</v>
      </c>
      <c r="BA536" s="4" t="s">
        <v>241</v>
      </c>
      <c r="BB536" s="4" t="s">
        <v>250</v>
      </c>
      <c r="BC536" s="4" t="s">
        <v>241</v>
      </c>
      <c r="BD536" s="4" t="s">
        <v>252</v>
      </c>
      <c r="BE536" s="4" t="s">
        <v>241</v>
      </c>
      <c r="BI536" s="4" t="s">
        <v>253</v>
      </c>
      <c r="BJ536" s="5" t="s">
        <v>246</v>
      </c>
      <c r="BK536" s="4" t="s">
        <v>254</v>
      </c>
      <c r="BL536" s="4" t="s">
        <v>255</v>
      </c>
      <c r="BM536" s="4" t="s">
        <v>241</v>
      </c>
      <c r="BN536" s="6">
        <f>0</f>
        <v>0</v>
      </c>
      <c r="BO536" s="6">
        <f>0</f>
        <v>0</v>
      </c>
      <c r="BP536" s="4" t="s">
        <v>256</v>
      </c>
      <c r="BQ536" s="4" t="s">
        <v>257</v>
      </c>
      <c r="CE536" s="4" t="s">
        <v>241</v>
      </c>
      <c r="CF536" s="4" t="s">
        <v>241</v>
      </c>
      <c r="CJ536" s="4" t="s">
        <v>258</v>
      </c>
      <c r="CK536" s="4" t="s">
        <v>259</v>
      </c>
      <c r="CL536" s="4" t="s">
        <v>241</v>
      </c>
      <c r="CO536" s="5" t="s">
        <v>260</v>
      </c>
      <c r="CP536" s="4" t="s">
        <v>241</v>
      </c>
      <c r="CQ536" s="4" t="s">
        <v>261</v>
      </c>
      <c r="CR536" s="4" t="s">
        <v>241</v>
      </c>
      <c r="CS536" s="4" t="s">
        <v>241</v>
      </c>
      <c r="CT536" s="4">
        <v>0</v>
      </c>
      <c r="CU536" s="4" t="s">
        <v>262</v>
      </c>
      <c r="CV536" s="4" t="s">
        <v>263</v>
      </c>
      <c r="CW536" s="4" t="s">
        <v>263</v>
      </c>
      <c r="CX536" s="4" t="s">
        <v>264</v>
      </c>
      <c r="DA536" s="6">
        <f>35475</f>
        <v>35475</v>
      </c>
      <c r="DC536" s="4" t="s">
        <v>3160</v>
      </c>
      <c r="DD536" s="4" t="s">
        <v>241</v>
      </c>
      <c r="DF536" s="4" t="s">
        <v>287</v>
      </c>
      <c r="DG536" s="6">
        <f>0</f>
        <v>0</v>
      </c>
      <c r="DI536" s="4" t="s">
        <v>3167</v>
      </c>
      <c r="DJ536" s="4" t="s">
        <v>241</v>
      </c>
      <c r="DK536" s="4" t="s">
        <v>241</v>
      </c>
      <c r="DL536" s="4" t="s">
        <v>241</v>
      </c>
      <c r="DP536" s="4" t="s">
        <v>241</v>
      </c>
      <c r="DQ536" s="4" t="s">
        <v>241</v>
      </c>
      <c r="DR536" s="4" t="s">
        <v>241</v>
      </c>
      <c r="DS536" s="4" t="s">
        <v>241</v>
      </c>
      <c r="DV536" s="4" t="s">
        <v>4520</v>
      </c>
      <c r="DW536" s="4" t="s">
        <v>2472</v>
      </c>
      <c r="HO536" s="4" t="s">
        <v>267</v>
      </c>
    </row>
    <row r="537" spans="1:223" ht="19.5" customHeight="1" x14ac:dyDescent="0.4">
      <c r="A537" s="4">
        <v>1</v>
      </c>
      <c r="B537" s="4" t="s">
        <v>239</v>
      </c>
      <c r="C537" s="4">
        <v>1399</v>
      </c>
      <c r="D537" s="4">
        <v>1</v>
      </c>
      <c r="E537" s="4">
        <v>1</v>
      </c>
      <c r="F537" s="4" t="s">
        <v>240</v>
      </c>
      <c r="G537" s="4" t="s">
        <v>241</v>
      </c>
      <c r="H537" s="4" t="s">
        <v>241</v>
      </c>
      <c r="I537" s="4" t="s">
        <v>4518</v>
      </c>
      <c r="J537" s="4" t="s">
        <v>3158</v>
      </c>
      <c r="K537" s="4" t="s">
        <v>251</v>
      </c>
      <c r="L537" s="4" t="s">
        <v>3180</v>
      </c>
      <c r="M537" s="5" t="s">
        <v>4595</v>
      </c>
      <c r="N537" s="6">
        <f>2471</f>
        <v>2471</v>
      </c>
      <c r="O537" s="4" t="s">
        <v>265</v>
      </c>
      <c r="P537" s="6">
        <f>27181</f>
        <v>27181</v>
      </c>
      <c r="Q537" s="6">
        <f>0</f>
        <v>0</v>
      </c>
      <c r="S537" s="6">
        <f>0</f>
        <v>0</v>
      </c>
      <c r="T537" s="6">
        <f>27181</f>
        <v>27181</v>
      </c>
      <c r="U537" s="5" t="s">
        <v>245</v>
      </c>
      <c r="V537" s="4" t="s">
        <v>270</v>
      </c>
      <c r="W537" s="4" t="s">
        <v>242</v>
      </c>
      <c r="X537" s="4" t="s">
        <v>243</v>
      </c>
      <c r="Y537" s="4" t="s">
        <v>241</v>
      </c>
      <c r="AB537" s="4" t="s">
        <v>241</v>
      </c>
      <c r="AD537" s="5" t="s">
        <v>241</v>
      </c>
      <c r="AG537" s="5" t="s">
        <v>246</v>
      </c>
      <c r="AH537" s="4" t="s">
        <v>241</v>
      </c>
      <c r="AI537" s="4" t="s">
        <v>247</v>
      </c>
      <c r="AJ537" s="4" t="s">
        <v>248</v>
      </c>
      <c r="AZ537" s="4" t="s">
        <v>249</v>
      </c>
      <c r="BA537" s="4" t="s">
        <v>241</v>
      </c>
      <c r="BB537" s="4" t="s">
        <v>250</v>
      </c>
      <c r="BC537" s="4" t="s">
        <v>241</v>
      </c>
      <c r="BD537" s="4" t="s">
        <v>252</v>
      </c>
      <c r="BE537" s="4" t="s">
        <v>241</v>
      </c>
      <c r="BI537" s="4" t="s">
        <v>253</v>
      </c>
      <c r="BJ537" s="5" t="s">
        <v>246</v>
      </c>
      <c r="BK537" s="4" t="s">
        <v>254</v>
      </c>
      <c r="BL537" s="4" t="s">
        <v>255</v>
      </c>
      <c r="BM537" s="4" t="s">
        <v>241</v>
      </c>
      <c r="BN537" s="6">
        <f>0</f>
        <v>0</v>
      </c>
      <c r="BO537" s="6">
        <f>0</f>
        <v>0</v>
      </c>
      <c r="BP537" s="4" t="s">
        <v>256</v>
      </c>
      <c r="BQ537" s="4" t="s">
        <v>257</v>
      </c>
      <c r="CE537" s="4" t="s">
        <v>241</v>
      </c>
      <c r="CF537" s="4" t="s">
        <v>241</v>
      </c>
      <c r="CJ537" s="4" t="s">
        <v>258</v>
      </c>
      <c r="CK537" s="4" t="s">
        <v>259</v>
      </c>
      <c r="CL537" s="4" t="s">
        <v>241</v>
      </c>
      <c r="CO537" s="5" t="s">
        <v>260</v>
      </c>
      <c r="CP537" s="4" t="s">
        <v>241</v>
      </c>
      <c r="CQ537" s="4" t="s">
        <v>261</v>
      </c>
      <c r="CR537" s="4" t="s">
        <v>241</v>
      </c>
      <c r="CS537" s="4" t="s">
        <v>241</v>
      </c>
      <c r="CT537" s="4">
        <v>0</v>
      </c>
      <c r="CU537" s="4" t="s">
        <v>262</v>
      </c>
      <c r="CV537" s="4" t="s">
        <v>263</v>
      </c>
      <c r="CW537" s="4" t="s">
        <v>263</v>
      </c>
      <c r="CX537" s="4" t="s">
        <v>264</v>
      </c>
      <c r="DA537" s="6">
        <f>27181</f>
        <v>27181</v>
      </c>
      <c r="DC537" s="4" t="s">
        <v>3160</v>
      </c>
      <c r="DD537" s="4" t="s">
        <v>241</v>
      </c>
      <c r="DF537" s="4" t="s">
        <v>287</v>
      </c>
      <c r="DG537" s="6">
        <f>0</f>
        <v>0</v>
      </c>
      <c r="DI537" s="4" t="s">
        <v>3167</v>
      </c>
      <c r="DJ537" s="4" t="s">
        <v>241</v>
      </c>
      <c r="DK537" s="4" t="s">
        <v>241</v>
      </c>
      <c r="DL537" s="4" t="s">
        <v>241</v>
      </c>
      <c r="DP537" s="4" t="s">
        <v>241</v>
      </c>
      <c r="DQ537" s="4" t="s">
        <v>241</v>
      </c>
      <c r="DR537" s="4" t="s">
        <v>241</v>
      </c>
      <c r="DS537" s="4" t="s">
        <v>241</v>
      </c>
      <c r="DV537" s="4" t="s">
        <v>4520</v>
      </c>
      <c r="DW537" s="4" t="s">
        <v>1717</v>
      </c>
      <c r="HO537" s="4" t="s">
        <v>267</v>
      </c>
    </row>
    <row r="538" spans="1:223" ht="19.5" customHeight="1" x14ac:dyDescent="0.4">
      <c r="A538" s="4">
        <v>1</v>
      </c>
      <c r="B538" s="4" t="s">
        <v>239</v>
      </c>
      <c r="C538" s="4">
        <v>1400</v>
      </c>
      <c r="D538" s="4">
        <v>1</v>
      </c>
      <c r="E538" s="4">
        <v>1</v>
      </c>
      <c r="F538" s="4" t="s">
        <v>240</v>
      </c>
      <c r="G538" s="4" t="s">
        <v>241</v>
      </c>
      <c r="H538" s="4" t="s">
        <v>241</v>
      </c>
      <c r="I538" s="4" t="s">
        <v>4518</v>
      </c>
      <c r="J538" s="4" t="s">
        <v>3158</v>
      </c>
      <c r="K538" s="4" t="s">
        <v>251</v>
      </c>
      <c r="L538" s="4" t="s">
        <v>3180</v>
      </c>
      <c r="M538" s="5" t="s">
        <v>4596</v>
      </c>
      <c r="N538" s="6">
        <f>604</f>
        <v>604</v>
      </c>
      <c r="O538" s="4" t="s">
        <v>265</v>
      </c>
      <c r="P538" s="6">
        <f>6644</f>
        <v>6644</v>
      </c>
      <c r="Q538" s="6">
        <f>0</f>
        <v>0</v>
      </c>
      <c r="S538" s="6">
        <f>0</f>
        <v>0</v>
      </c>
      <c r="T538" s="6">
        <f>6644</f>
        <v>6644</v>
      </c>
      <c r="U538" s="5" t="s">
        <v>245</v>
      </c>
      <c r="V538" s="4" t="s">
        <v>270</v>
      </c>
      <c r="W538" s="4" t="s">
        <v>242</v>
      </c>
      <c r="X538" s="4" t="s">
        <v>243</v>
      </c>
      <c r="Y538" s="4" t="s">
        <v>241</v>
      </c>
      <c r="AB538" s="4" t="s">
        <v>241</v>
      </c>
      <c r="AD538" s="5" t="s">
        <v>241</v>
      </c>
      <c r="AG538" s="5" t="s">
        <v>246</v>
      </c>
      <c r="AH538" s="4" t="s">
        <v>241</v>
      </c>
      <c r="AI538" s="4" t="s">
        <v>247</v>
      </c>
      <c r="AJ538" s="4" t="s">
        <v>248</v>
      </c>
      <c r="AZ538" s="4" t="s">
        <v>249</v>
      </c>
      <c r="BA538" s="4" t="s">
        <v>241</v>
      </c>
      <c r="BB538" s="4" t="s">
        <v>250</v>
      </c>
      <c r="BC538" s="4" t="s">
        <v>241</v>
      </c>
      <c r="BD538" s="4" t="s">
        <v>252</v>
      </c>
      <c r="BE538" s="4" t="s">
        <v>241</v>
      </c>
      <c r="BI538" s="4" t="s">
        <v>253</v>
      </c>
      <c r="BJ538" s="5" t="s">
        <v>246</v>
      </c>
      <c r="BK538" s="4" t="s">
        <v>254</v>
      </c>
      <c r="BL538" s="4" t="s">
        <v>255</v>
      </c>
      <c r="BM538" s="4" t="s">
        <v>241</v>
      </c>
      <c r="BN538" s="6">
        <f>0</f>
        <v>0</v>
      </c>
      <c r="BO538" s="6">
        <f>0</f>
        <v>0</v>
      </c>
      <c r="BP538" s="4" t="s">
        <v>256</v>
      </c>
      <c r="BQ538" s="4" t="s">
        <v>257</v>
      </c>
      <c r="CE538" s="4" t="s">
        <v>241</v>
      </c>
      <c r="CF538" s="4" t="s">
        <v>241</v>
      </c>
      <c r="CJ538" s="4" t="s">
        <v>258</v>
      </c>
      <c r="CK538" s="4" t="s">
        <v>259</v>
      </c>
      <c r="CL538" s="4" t="s">
        <v>241</v>
      </c>
      <c r="CO538" s="5" t="s">
        <v>260</v>
      </c>
      <c r="CP538" s="4" t="s">
        <v>241</v>
      </c>
      <c r="CQ538" s="4" t="s">
        <v>261</v>
      </c>
      <c r="CR538" s="4" t="s">
        <v>241</v>
      </c>
      <c r="CS538" s="4" t="s">
        <v>241</v>
      </c>
      <c r="CT538" s="4">
        <v>0</v>
      </c>
      <c r="CU538" s="4" t="s">
        <v>262</v>
      </c>
      <c r="CV538" s="4" t="s">
        <v>263</v>
      </c>
      <c r="CW538" s="4" t="s">
        <v>263</v>
      </c>
      <c r="CX538" s="4" t="s">
        <v>264</v>
      </c>
      <c r="DA538" s="6">
        <f>6644</f>
        <v>6644</v>
      </c>
      <c r="DC538" s="4" t="s">
        <v>3160</v>
      </c>
      <c r="DD538" s="4" t="s">
        <v>241</v>
      </c>
      <c r="DF538" s="4" t="s">
        <v>287</v>
      </c>
      <c r="DG538" s="6">
        <f>0</f>
        <v>0</v>
      </c>
      <c r="DI538" s="4" t="s">
        <v>3167</v>
      </c>
      <c r="DJ538" s="4" t="s">
        <v>241</v>
      </c>
      <c r="DK538" s="4" t="s">
        <v>241</v>
      </c>
      <c r="DL538" s="4" t="s">
        <v>241</v>
      </c>
      <c r="DP538" s="4" t="s">
        <v>241</v>
      </c>
      <c r="DQ538" s="4" t="s">
        <v>241</v>
      </c>
      <c r="DR538" s="4" t="s">
        <v>241</v>
      </c>
      <c r="DS538" s="4" t="s">
        <v>241</v>
      </c>
      <c r="DV538" s="4" t="s">
        <v>4520</v>
      </c>
      <c r="DW538" s="4" t="s">
        <v>2803</v>
      </c>
      <c r="HO538" s="4" t="s">
        <v>267</v>
      </c>
    </row>
    <row r="539" spans="1:223" ht="19.5" customHeight="1" x14ac:dyDescent="0.4">
      <c r="A539" s="4">
        <v>1</v>
      </c>
      <c r="B539" s="4" t="s">
        <v>239</v>
      </c>
      <c r="C539" s="4">
        <v>1401</v>
      </c>
      <c r="D539" s="4">
        <v>1</v>
      </c>
      <c r="E539" s="4">
        <v>1</v>
      </c>
      <c r="F539" s="4" t="s">
        <v>240</v>
      </c>
      <c r="G539" s="4" t="s">
        <v>241</v>
      </c>
      <c r="H539" s="4" t="s">
        <v>241</v>
      </c>
      <c r="I539" s="4" t="s">
        <v>4518</v>
      </c>
      <c r="J539" s="4" t="s">
        <v>3158</v>
      </c>
      <c r="K539" s="4" t="s">
        <v>251</v>
      </c>
      <c r="L539" s="4" t="s">
        <v>3180</v>
      </c>
      <c r="M539" s="5" t="s">
        <v>4597</v>
      </c>
      <c r="N539" s="6">
        <f>1508</f>
        <v>1508</v>
      </c>
      <c r="O539" s="4" t="s">
        <v>265</v>
      </c>
      <c r="P539" s="6">
        <f>16588</f>
        <v>16588</v>
      </c>
      <c r="Q539" s="6">
        <f>0</f>
        <v>0</v>
      </c>
      <c r="S539" s="6">
        <f>0</f>
        <v>0</v>
      </c>
      <c r="T539" s="6">
        <f>16588</f>
        <v>16588</v>
      </c>
      <c r="U539" s="5" t="s">
        <v>245</v>
      </c>
      <c r="V539" s="4" t="s">
        <v>270</v>
      </c>
      <c r="W539" s="4" t="s">
        <v>242</v>
      </c>
      <c r="X539" s="4" t="s">
        <v>243</v>
      </c>
      <c r="Y539" s="4" t="s">
        <v>241</v>
      </c>
      <c r="AB539" s="4" t="s">
        <v>241</v>
      </c>
      <c r="AD539" s="5" t="s">
        <v>241</v>
      </c>
      <c r="AG539" s="5" t="s">
        <v>246</v>
      </c>
      <c r="AH539" s="4" t="s">
        <v>241</v>
      </c>
      <c r="AI539" s="4" t="s">
        <v>247</v>
      </c>
      <c r="AJ539" s="4" t="s">
        <v>248</v>
      </c>
      <c r="AZ539" s="4" t="s">
        <v>249</v>
      </c>
      <c r="BA539" s="4" t="s">
        <v>241</v>
      </c>
      <c r="BB539" s="4" t="s">
        <v>250</v>
      </c>
      <c r="BC539" s="4" t="s">
        <v>241</v>
      </c>
      <c r="BD539" s="4" t="s">
        <v>252</v>
      </c>
      <c r="BE539" s="4" t="s">
        <v>241</v>
      </c>
      <c r="BI539" s="4" t="s">
        <v>253</v>
      </c>
      <c r="BJ539" s="5" t="s">
        <v>246</v>
      </c>
      <c r="BK539" s="4" t="s">
        <v>254</v>
      </c>
      <c r="BL539" s="4" t="s">
        <v>255</v>
      </c>
      <c r="BM539" s="4" t="s">
        <v>241</v>
      </c>
      <c r="BN539" s="6">
        <f>0</f>
        <v>0</v>
      </c>
      <c r="BO539" s="6">
        <f>0</f>
        <v>0</v>
      </c>
      <c r="BP539" s="4" t="s">
        <v>256</v>
      </c>
      <c r="BQ539" s="4" t="s">
        <v>257</v>
      </c>
      <c r="CE539" s="4" t="s">
        <v>241</v>
      </c>
      <c r="CF539" s="4" t="s">
        <v>241</v>
      </c>
      <c r="CJ539" s="4" t="s">
        <v>258</v>
      </c>
      <c r="CK539" s="4" t="s">
        <v>259</v>
      </c>
      <c r="CL539" s="4" t="s">
        <v>241</v>
      </c>
      <c r="CO539" s="5" t="s">
        <v>260</v>
      </c>
      <c r="CP539" s="4" t="s">
        <v>241</v>
      </c>
      <c r="CQ539" s="4" t="s">
        <v>261</v>
      </c>
      <c r="CR539" s="4" t="s">
        <v>241</v>
      </c>
      <c r="CS539" s="4" t="s">
        <v>241</v>
      </c>
      <c r="CT539" s="4">
        <v>0</v>
      </c>
      <c r="CU539" s="4" t="s">
        <v>262</v>
      </c>
      <c r="CV539" s="4" t="s">
        <v>263</v>
      </c>
      <c r="CW539" s="4" t="s">
        <v>263</v>
      </c>
      <c r="CX539" s="4" t="s">
        <v>264</v>
      </c>
      <c r="DA539" s="6">
        <f>16588</f>
        <v>16588</v>
      </c>
      <c r="DC539" s="4" t="s">
        <v>3160</v>
      </c>
      <c r="DD539" s="4" t="s">
        <v>241</v>
      </c>
      <c r="DF539" s="4" t="s">
        <v>287</v>
      </c>
      <c r="DG539" s="6">
        <f>0</f>
        <v>0</v>
      </c>
      <c r="DI539" s="4" t="s">
        <v>3167</v>
      </c>
      <c r="DJ539" s="4" t="s">
        <v>241</v>
      </c>
      <c r="DK539" s="4" t="s">
        <v>241</v>
      </c>
      <c r="DL539" s="4" t="s">
        <v>241</v>
      </c>
      <c r="DP539" s="4" t="s">
        <v>241</v>
      </c>
      <c r="DQ539" s="4" t="s">
        <v>241</v>
      </c>
      <c r="DR539" s="4" t="s">
        <v>241</v>
      </c>
      <c r="DS539" s="4" t="s">
        <v>241</v>
      </c>
      <c r="DV539" s="4" t="s">
        <v>4520</v>
      </c>
      <c r="DW539" s="4" t="s">
        <v>2859</v>
      </c>
      <c r="HO539" s="4" t="s">
        <v>267</v>
      </c>
    </row>
    <row r="540" spans="1:223" ht="19.5" customHeight="1" x14ac:dyDescent="0.4">
      <c r="A540" s="4">
        <v>1</v>
      </c>
      <c r="B540" s="4" t="s">
        <v>239</v>
      </c>
      <c r="C540" s="4">
        <v>1402</v>
      </c>
      <c r="D540" s="4">
        <v>1</v>
      </c>
      <c r="E540" s="4">
        <v>1</v>
      </c>
      <c r="F540" s="4" t="s">
        <v>240</v>
      </c>
      <c r="G540" s="4" t="s">
        <v>241</v>
      </c>
      <c r="H540" s="4" t="s">
        <v>241</v>
      </c>
      <c r="I540" s="4" t="s">
        <v>4518</v>
      </c>
      <c r="J540" s="4" t="s">
        <v>3158</v>
      </c>
      <c r="K540" s="4" t="s">
        <v>251</v>
      </c>
      <c r="L540" s="4" t="s">
        <v>3180</v>
      </c>
      <c r="M540" s="5" t="s">
        <v>4598</v>
      </c>
      <c r="N540" s="6">
        <f>2145</f>
        <v>2145</v>
      </c>
      <c r="O540" s="4" t="s">
        <v>265</v>
      </c>
      <c r="P540" s="6">
        <f>23595</f>
        <v>23595</v>
      </c>
      <c r="Q540" s="6">
        <f>0</f>
        <v>0</v>
      </c>
      <c r="S540" s="6">
        <f>0</f>
        <v>0</v>
      </c>
      <c r="T540" s="6">
        <f>23595</f>
        <v>23595</v>
      </c>
      <c r="U540" s="5" t="s">
        <v>245</v>
      </c>
      <c r="V540" s="4" t="s">
        <v>270</v>
      </c>
      <c r="W540" s="4" t="s">
        <v>242</v>
      </c>
      <c r="X540" s="4" t="s">
        <v>243</v>
      </c>
      <c r="Y540" s="4" t="s">
        <v>241</v>
      </c>
      <c r="AB540" s="4" t="s">
        <v>241</v>
      </c>
      <c r="AD540" s="5" t="s">
        <v>241</v>
      </c>
      <c r="AG540" s="5" t="s">
        <v>246</v>
      </c>
      <c r="AH540" s="4" t="s">
        <v>241</v>
      </c>
      <c r="AI540" s="4" t="s">
        <v>247</v>
      </c>
      <c r="AJ540" s="4" t="s">
        <v>248</v>
      </c>
      <c r="AZ540" s="4" t="s">
        <v>249</v>
      </c>
      <c r="BA540" s="4" t="s">
        <v>241</v>
      </c>
      <c r="BB540" s="4" t="s">
        <v>250</v>
      </c>
      <c r="BC540" s="4" t="s">
        <v>241</v>
      </c>
      <c r="BD540" s="4" t="s">
        <v>252</v>
      </c>
      <c r="BE540" s="4" t="s">
        <v>241</v>
      </c>
      <c r="BI540" s="4" t="s">
        <v>253</v>
      </c>
      <c r="BJ540" s="5" t="s">
        <v>246</v>
      </c>
      <c r="BK540" s="4" t="s">
        <v>254</v>
      </c>
      <c r="BL540" s="4" t="s">
        <v>255</v>
      </c>
      <c r="BM540" s="4" t="s">
        <v>241</v>
      </c>
      <c r="BN540" s="6">
        <f>0</f>
        <v>0</v>
      </c>
      <c r="BO540" s="6">
        <f>0</f>
        <v>0</v>
      </c>
      <c r="BP540" s="4" t="s">
        <v>256</v>
      </c>
      <c r="BQ540" s="4" t="s">
        <v>257</v>
      </c>
      <c r="CE540" s="4" t="s">
        <v>241</v>
      </c>
      <c r="CF540" s="4" t="s">
        <v>241</v>
      </c>
      <c r="CJ540" s="4" t="s">
        <v>258</v>
      </c>
      <c r="CK540" s="4" t="s">
        <v>259</v>
      </c>
      <c r="CL540" s="4" t="s">
        <v>241</v>
      </c>
      <c r="CO540" s="5" t="s">
        <v>260</v>
      </c>
      <c r="CP540" s="4" t="s">
        <v>241</v>
      </c>
      <c r="CQ540" s="4" t="s">
        <v>261</v>
      </c>
      <c r="CR540" s="4" t="s">
        <v>241</v>
      </c>
      <c r="CS540" s="4" t="s">
        <v>241</v>
      </c>
      <c r="CT540" s="4">
        <v>0</v>
      </c>
      <c r="CU540" s="4" t="s">
        <v>262</v>
      </c>
      <c r="CV540" s="4" t="s">
        <v>263</v>
      </c>
      <c r="CW540" s="4" t="s">
        <v>263</v>
      </c>
      <c r="CX540" s="4" t="s">
        <v>264</v>
      </c>
      <c r="DA540" s="6">
        <f>23595</f>
        <v>23595</v>
      </c>
      <c r="DC540" s="4" t="s">
        <v>3160</v>
      </c>
      <c r="DD540" s="4" t="s">
        <v>241</v>
      </c>
      <c r="DF540" s="4" t="s">
        <v>287</v>
      </c>
      <c r="DG540" s="6">
        <f>0</f>
        <v>0</v>
      </c>
      <c r="DI540" s="4" t="s">
        <v>3167</v>
      </c>
      <c r="DJ540" s="4" t="s">
        <v>241</v>
      </c>
      <c r="DK540" s="4" t="s">
        <v>241</v>
      </c>
      <c r="DL540" s="4" t="s">
        <v>241</v>
      </c>
      <c r="DP540" s="4" t="s">
        <v>241</v>
      </c>
      <c r="DQ540" s="4" t="s">
        <v>241</v>
      </c>
      <c r="DR540" s="4" t="s">
        <v>241</v>
      </c>
      <c r="DS540" s="4" t="s">
        <v>241</v>
      </c>
      <c r="DV540" s="4" t="s">
        <v>4520</v>
      </c>
      <c r="DW540" s="4" t="s">
        <v>1901</v>
      </c>
      <c r="HO540" s="4" t="s">
        <v>267</v>
      </c>
    </row>
    <row r="541" spans="1:223" ht="19.5" customHeight="1" x14ac:dyDescent="0.4">
      <c r="A541" s="4">
        <v>1</v>
      </c>
      <c r="B541" s="4" t="s">
        <v>239</v>
      </c>
      <c r="C541" s="4">
        <v>1403</v>
      </c>
      <c r="D541" s="4">
        <v>1</v>
      </c>
      <c r="E541" s="4">
        <v>1</v>
      </c>
      <c r="F541" s="4" t="s">
        <v>240</v>
      </c>
      <c r="G541" s="4" t="s">
        <v>241</v>
      </c>
      <c r="H541" s="4" t="s">
        <v>241</v>
      </c>
      <c r="I541" s="4" t="s">
        <v>4518</v>
      </c>
      <c r="J541" s="4" t="s">
        <v>3158</v>
      </c>
      <c r="K541" s="4" t="s">
        <v>251</v>
      </c>
      <c r="L541" s="4" t="s">
        <v>3180</v>
      </c>
      <c r="M541" s="5" t="s">
        <v>4599</v>
      </c>
      <c r="N541" s="6">
        <f>1100</f>
        <v>1100</v>
      </c>
      <c r="O541" s="4" t="s">
        <v>265</v>
      </c>
      <c r="P541" s="6">
        <f>12100</f>
        <v>12100</v>
      </c>
      <c r="Q541" s="6">
        <f>0</f>
        <v>0</v>
      </c>
      <c r="S541" s="6">
        <f>0</f>
        <v>0</v>
      </c>
      <c r="T541" s="6">
        <f>12100</f>
        <v>12100</v>
      </c>
      <c r="U541" s="5" t="s">
        <v>245</v>
      </c>
      <c r="V541" s="4" t="s">
        <v>270</v>
      </c>
      <c r="W541" s="4" t="s">
        <v>242</v>
      </c>
      <c r="X541" s="4" t="s">
        <v>243</v>
      </c>
      <c r="Y541" s="4" t="s">
        <v>241</v>
      </c>
      <c r="AB541" s="4" t="s">
        <v>241</v>
      </c>
      <c r="AD541" s="5" t="s">
        <v>241</v>
      </c>
      <c r="AG541" s="5" t="s">
        <v>246</v>
      </c>
      <c r="AH541" s="4" t="s">
        <v>241</v>
      </c>
      <c r="AI541" s="4" t="s">
        <v>247</v>
      </c>
      <c r="AJ541" s="4" t="s">
        <v>248</v>
      </c>
      <c r="AZ541" s="4" t="s">
        <v>249</v>
      </c>
      <c r="BA541" s="4" t="s">
        <v>241</v>
      </c>
      <c r="BB541" s="4" t="s">
        <v>250</v>
      </c>
      <c r="BC541" s="4" t="s">
        <v>241</v>
      </c>
      <c r="BD541" s="4" t="s">
        <v>252</v>
      </c>
      <c r="BE541" s="4" t="s">
        <v>241</v>
      </c>
      <c r="BI541" s="4" t="s">
        <v>253</v>
      </c>
      <c r="BJ541" s="5" t="s">
        <v>246</v>
      </c>
      <c r="BK541" s="4" t="s">
        <v>254</v>
      </c>
      <c r="BL541" s="4" t="s">
        <v>255</v>
      </c>
      <c r="BM541" s="4" t="s">
        <v>241</v>
      </c>
      <c r="BN541" s="6">
        <f>0</f>
        <v>0</v>
      </c>
      <c r="BO541" s="6">
        <f>0</f>
        <v>0</v>
      </c>
      <c r="BP541" s="4" t="s">
        <v>256</v>
      </c>
      <c r="BQ541" s="4" t="s">
        <v>257</v>
      </c>
      <c r="CE541" s="4" t="s">
        <v>241</v>
      </c>
      <c r="CF541" s="4" t="s">
        <v>241</v>
      </c>
      <c r="CJ541" s="4" t="s">
        <v>258</v>
      </c>
      <c r="CK541" s="4" t="s">
        <v>259</v>
      </c>
      <c r="CL541" s="4" t="s">
        <v>241</v>
      </c>
      <c r="CO541" s="5" t="s">
        <v>260</v>
      </c>
      <c r="CP541" s="4" t="s">
        <v>241</v>
      </c>
      <c r="CQ541" s="4" t="s">
        <v>261</v>
      </c>
      <c r="CR541" s="4" t="s">
        <v>241</v>
      </c>
      <c r="CS541" s="4" t="s">
        <v>241</v>
      </c>
      <c r="CT541" s="4">
        <v>0</v>
      </c>
      <c r="CU541" s="4" t="s">
        <v>262</v>
      </c>
      <c r="CV541" s="4" t="s">
        <v>263</v>
      </c>
      <c r="CW541" s="4" t="s">
        <v>263</v>
      </c>
      <c r="CX541" s="4" t="s">
        <v>264</v>
      </c>
      <c r="DA541" s="6">
        <f>12100</f>
        <v>12100</v>
      </c>
      <c r="DC541" s="4" t="s">
        <v>3160</v>
      </c>
      <c r="DD541" s="4" t="s">
        <v>241</v>
      </c>
      <c r="DF541" s="4" t="s">
        <v>287</v>
      </c>
      <c r="DG541" s="6">
        <f>0</f>
        <v>0</v>
      </c>
      <c r="DI541" s="4" t="s">
        <v>3167</v>
      </c>
      <c r="DJ541" s="4" t="s">
        <v>241</v>
      </c>
      <c r="DK541" s="4" t="s">
        <v>241</v>
      </c>
      <c r="DL541" s="4" t="s">
        <v>241</v>
      </c>
      <c r="DP541" s="4" t="s">
        <v>241</v>
      </c>
      <c r="DQ541" s="4" t="s">
        <v>241</v>
      </c>
      <c r="DR541" s="4" t="s">
        <v>241</v>
      </c>
      <c r="DS541" s="4" t="s">
        <v>241</v>
      </c>
      <c r="DV541" s="4" t="s">
        <v>4520</v>
      </c>
      <c r="DW541" s="4" t="s">
        <v>615</v>
      </c>
      <c r="HO541" s="4" t="s">
        <v>267</v>
      </c>
    </row>
    <row r="542" spans="1:223" ht="19.5" customHeight="1" x14ac:dyDescent="0.4">
      <c r="A542" s="4">
        <v>1</v>
      </c>
      <c r="B542" s="4" t="s">
        <v>239</v>
      </c>
      <c r="C542" s="4">
        <v>1404</v>
      </c>
      <c r="D542" s="4">
        <v>1</v>
      </c>
      <c r="E542" s="4">
        <v>1</v>
      </c>
      <c r="F542" s="4" t="s">
        <v>240</v>
      </c>
      <c r="G542" s="4" t="s">
        <v>241</v>
      </c>
      <c r="H542" s="4" t="s">
        <v>241</v>
      </c>
      <c r="I542" s="4" t="s">
        <v>4518</v>
      </c>
      <c r="J542" s="4" t="s">
        <v>3158</v>
      </c>
      <c r="K542" s="4" t="s">
        <v>251</v>
      </c>
      <c r="L542" s="4" t="s">
        <v>3180</v>
      </c>
      <c r="M542" s="5" t="s">
        <v>4600</v>
      </c>
      <c r="N542" s="6">
        <f>1918</f>
        <v>1918</v>
      </c>
      <c r="O542" s="4" t="s">
        <v>265</v>
      </c>
      <c r="P542" s="6">
        <f>21098</f>
        <v>21098</v>
      </c>
      <c r="Q542" s="6">
        <f>0</f>
        <v>0</v>
      </c>
      <c r="S542" s="6">
        <f>0</f>
        <v>0</v>
      </c>
      <c r="T542" s="6">
        <f>21098</f>
        <v>21098</v>
      </c>
      <c r="U542" s="5" t="s">
        <v>245</v>
      </c>
      <c r="V542" s="4" t="s">
        <v>270</v>
      </c>
      <c r="W542" s="4" t="s">
        <v>242</v>
      </c>
      <c r="X542" s="4" t="s">
        <v>243</v>
      </c>
      <c r="Y542" s="4" t="s">
        <v>241</v>
      </c>
      <c r="AB542" s="4" t="s">
        <v>241</v>
      </c>
      <c r="AD542" s="5" t="s">
        <v>241</v>
      </c>
      <c r="AG542" s="5" t="s">
        <v>246</v>
      </c>
      <c r="AH542" s="4" t="s">
        <v>241</v>
      </c>
      <c r="AI542" s="4" t="s">
        <v>247</v>
      </c>
      <c r="AJ542" s="4" t="s">
        <v>248</v>
      </c>
      <c r="AZ542" s="4" t="s">
        <v>249</v>
      </c>
      <c r="BA542" s="4" t="s">
        <v>241</v>
      </c>
      <c r="BB542" s="4" t="s">
        <v>250</v>
      </c>
      <c r="BC542" s="4" t="s">
        <v>241</v>
      </c>
      <c r="BD542" s="4" t="s">
        <v>252</v>
      </c>
      <c r="BE542" s="4" t="s">
        <v>241</v>
      </c>
      <c r="BI542" s="4" t="s">
        <v>253</v>
      </c>
      <c r="BJ542" s="5" t="s">
        <v>246</v>
      </c>
      <c r="BK542" s="4" t="s">
        <v>254</v>
      </c>
      <c r="BL542" s="4" t="s">
        <v>255</v>
      </c>
      <c r="BM542" s="4" t="s">
        <v>241</v>
      </c>
      <c r="BN542" s="6">
        <f>0</f>
        <v>0</v>
      </c>
      <c r="BO542" s="6">
        <f>0</f>
        <v>0</v>
      </c>
      <c r="BP542" s="4" t="s">
        <v>256</v>
      </c>
      <c r="BQ542" s="4" t="s">
        <v>257</v>
      </c>
      <c r="CE542" s="4" t="s">
        <v>241</v>
      </c>
      <c r="CF542" s="4" t="s">
        <v>241</v>
      </c>
      <c r="CJ542" s="4" t="s">
        <v>258</v>
      </c>
      <c r="CK542" s="4" t="s">
        <v>259</v>
      </c>
      <c r="CL542" s="4" t="s">
        <v>241</v>
      </c>
      <c r="CO542" s="5" t="s">
        <v>260</v>
      </c>
      <c r="CP542" s="4" t="s">
        <v>241</v>
      </c>
      <c r="CQ542" s="4" t="s">
        <v>261</v>
      </c>
      <c r="CR542" s="4" t="s">
        <v>241</v>
      </c>
      <c r="CS542" s="4" t="s">
        <v>241</v>
      </c>
      <c r="CT542" s="4">
        <v>0</v>
      </c>
      <c r="CU542" s="4" t="s">
        <v>262</v>
      </c>
      <c r="CV542" s="4" t="s">
        <v>263</v>
      </c>
      <c r="CW542" s="4" t="s">
        <v>263</v>
      </c>
      <c r="CX542" s="4" t="s">
        <v>264</v>
      </c>
      <c r="DA542" s="6">
        <f>21098</f>
        <v>21098</v>
      </c>
      <c r="DC542" s="4" t="s">
        <v>3160</v>
      </c>
      <c r="DD542" s="4" t="s">
        <v>241</v>
      </c>
      <c r="DF542" s="4" t="s">
        <v>287</v>
      </c>
      <c r="DG542" s="6">
        <f>0</f>
        <v>0</v>
      </c>
      <c r="DI542" s="4" t="s">
        <v>3167</v>
      </c>
      <c r="DJ542" s="4" t="s">
        <v>241</v>
      </c>
      <c r="DK542" s="4" t="s">
        <v>241</v>
      </c>
      <c r="DL542" s="4" t="s">
        <v>241</v>
      </c>
      <c r="DP542" s="4" t="s">
        <v>241</v>
      </c>
      <c r="DQ542" s="4" t="s">
        <v>241</v>
      </c>
      <c r="DR542" s="4" t="s">
        <v>241</v>
      </c>
      <c r="DS542" s="4" t="s">
        <v>241</v>
      </c>
      <c r="DV542" s="4" t="s">
        <v>4520</v>
      </c>
      <c r="DW542" s="4" t="s">
        <v>2140</v>
      </c>
      <c r="HO542" s="4" t="s">
        <v>267</v>
      </c>
    </row>
    <row r="543" spans="1:223" ht="19.5" customHeight="1" x14ac:dyDescent="0.4">
      <c r="A543" s="4">
        <v>1</v>
      </c>
      <c r="B543" s="4" t="s">
        <v>239</v>
      </c>
      <c r="C543" s="4">
        <v>1405</v>
      </c>
      <c r="D543" s="4">
        <v>1</v>
      </c>
      <c r="E543" s="4">
        <v>1</v>
      </c>
      <c r="F543" s="4" t="s">
        <v>240</v>
      </c>
      <c r="G543" s="4" t="s">
        <v>241</v>
      </c>
      <c r="H543" s="4" t="s">
        <v>241</v>
      </c>
      <c r="I543" s="4" t="s">
        <v>4518</v>
      </c>
      <c r="J543" s="4" t="s">
        <v>3158</v>
      </c>
      <c r="K543" s="4" t="s">
        <v>251</v>
      </c>
      <c r="L543" s="4" t="s">
        <v>3180</v>
      </c>
      <c r="M543" s="5" t="s">
        <v>4601</v>
      </c>
      <c r="N543" s="6">
        <f>455</f>
        <v>455</v>
      </c>
      <c r="O543" s="4" t="s">
        <v>265</v>
      </c>
      <c r="P543" s="6">
        <f>5005</f>
        <v>5005</v>
      </c>
      <c r="Q543" s="6">
        <f>0</f>
        <v>0</v>
      </c>
      <c r="S543" s="6">
        <f>0</f>
        <v>0</v>
      </c>
      <c r="T543" s="6">
        <f>5005</f>
        <v>5005</v>
      </c>
      <c r="U543" s="5" t="s">
        <v>245</v>
      </c>
      <c r="V543" s="4" t="s">
        <v>270</v>
      </c>
      <c r="W543" s="4" t="s">
        <v>242</v>
      </c>
      <c r="X543" s="4" t="s">
        <v>243</v>
      </c>
      <c r="Y543" s="4" t="s">
        <v>241</v>
      </c>
      <c r="AB543" s="4" t="s">
        <v>241</v>
      </c>
      <c r="AD543" s="5" t="s">
        <v>241</v>
      </c>
      <c r="AG543" s="5" t="s">
        <v>246</v>
      </c>
      <c r="AH543" s="4" t="s">
        <v>241</v>
      </c>
      <c r="AI543" s="4" t="s">
        <v>247</v>
      </c>
      <c r="AJ543" s="4" t="s">
        <v>248</v>
      </c>
      <c r="AZ543" s="4" t="s">
        <v>249</v>
      </c>
      <c r="BA543" s="4" t="s">
        <v>241</v>
      </c>
      <c r="BB543" s="4" t="s">
        <v>250</v>
      </c>
      <c r="BC543" s="4" t="s">
        <v>241</v>
      </c>
      <c r="BD543" s="4" t="s">
        <v>252</v>
      </c>
      <c r="BE543" s="4" t="s">
        <v>241</v>
      </c>
      <c r="BI543" s="4" t="s">
        <v>253</v>
      </c>
      <c r="BJ543" s="5" t="s">
        <v>246</v>
      </c>
      <c r="BK543" s="4" t="s">
        <v>254</v>
      </c>
      <c r="BL543" s="4" t="s">
        <v>255</v>
      </c>
      <c r="BM543" s="4" t="s">
        <v>241</v>
      </c>
      <c r="BN543" s="6">
        <f>0</f>
        <v>0</v>
      </c>
      <c r="BO543" s="6">
        <f>0</f>
        <v>0</v>
      </c>
      <c r="BP543" s="4" t="s">
        <v>256</v>
      </c>
      <c r="BQ543" s="4" t="s">
        <v>257</v>
      </c>
      <c r="CE543" s="4" t="s">
        <v>241</v>
      </c>
      <c r="CF543" s="4" t="s">
        <v>241</v>
      </c>
      <c r="CJ543" s="4" t="s">
        <v>258</v>
      </c>
      <c r="CK543" s="4" t="s">
        <v>259</v>
      </c>
      <c r="CL543" s="4" t="s">
        <v>241</v>
      </c>
      <c r="CO543" s="5" t="s">
        <v>260</v>
      </c>
      <c r="CP543" s="4" t="s">
        <v>241</v>
      </c>
      <c r="CQ543" s="4" t="s">
        <v>261</v>
      </c>
      <c r="CR543" s="4" t="s">
        <v>241</v>
      </c>
      <c r="CS543" s="4" t="s">
        <v>241</v>
      </c>
      <c r="CT543" s="4">
        <v>0</v>
      </c>
      <c r="CU543" s="4" t="s">
        <v>262</v>
      </c>
      <c r="CV543" s="4" t="s">
        <v>263</v>
      </c>
      <c r="CW543" s="4" t="s">
        <v>263</v>
      </c>
      <c r="CX543" s="4" t="s">
        <v>264</v>
      </c>
      <c r="DA543" s="6">
        <f>5005</f>
        <v>5005</v>
      </c>
      <c r="DC543" s="4" t="s">
        <v>3160</v>
      </c>
      <c r="DD543" s="4" t="s">
        <v>241</v>
      </c>
      <c r="DF543" s="4" t="s">
        <v>287</v>
      </c>
      <c r="DG543" s="6">
        <f>0</f>
        <v>0</v>
      </c>
      <c r="DI543" s="4" t="s">
        <v>3167</v>
      </c>
      <c r="DJ543" s="4" t="s">
        <v>241</v>
      </c>
      <c r="DK543" s="4" t="s">
        <v>241</v>
      </c>
      <c r="DL543" s="4" t="s">
        <v>241</v>
      </c>
      <c r="DP543" s="4" t="s">
        <v>241</v>
      </c>
      <c r="DQ543" s="4" t="s">
        <v>241</v>
      </c>
      <c r="DR543" s="4" t="s">
        <v>241</v>
      </c>
      <c r="DS543" s="4" t="s">
        <v>241</v>
      </c>
      <c r="DV543" s="4" t="s">
        <v>4520</v>
      </c>
      <c r="DW543" s="4" t="s">
        <v>1794</v>
      </c>
      <c r="HO543" s="4" t="s">
        <v>267</v>
      </c>
    </row>
    <row r="544" spans="1:223" ht="19.5" customHeight="1" x14ac:dyDescent="0.4">
      <c r="A544" s="4">
        <v>1</v>
      </c>
      <c r="B544" s="4" t="s">
        <v>239</v>
      </c>
      <c r="C544" s="4">
        <v>1406</v>
      </c>
      <c r="D544" s="4">
        <v>1</v>
      </c>
      <c r="E544" s="4">
        <v>1</v>
      </c>
      <c r="F544" s="4" t="s">
        <v>240</v>
      </c>
      <c r="G544" s="4" t="s">
        <v>241</v>
      </c>
      <c r="H544" s="4" t="s">
        <v>241</v>
      </c>
      <c r="I544" s="4" t="s">
        <v>4518</v>
      </c>
      <c r="J544" s="4" t="s">
        <v>3158</v>
      </c>
      <c r="K544" s="4" t="s">
        <v>251</v>
      </c>
      <c r="L544" s="4" t="s">
        <v>3180</v>
      </c>
      <c r="M544" s="5" t="s">
        <v>4602</v>
      </c>
      <c r="N544" s="6">
        <f>4456</f>
        <v>4456</v>
      </c>
      <c r="O544" s="4" t="s">
        <v>265</v>
      </c>
      <c r="P544" s="6">
        <f>49016</f>
        <v>49016</v>
      </c>
      <c r="Q544" s="6">
        <f>0</f>
        <v>0</v>
      </c>
      <c r="S544" s="6">
        <f>0</f>
        <v>0</v>
      </c>
      <c r="T544" s="6">
        <f>49016</f>
        <v>49016</v>
      </c>
      <c r="U544" s="5" t="s">
        <v>245</v>
      </c>
      <c r="V544" s="4" t="s">
        <v>270</v>
      </c>
      <c r="W544" s="4" t="s">
        <v>242</v>
      </c>
      <c r="X544" s="4" t="s">
        <v>243</v>
      </c>
      <c r="Y544" s="4" t="s">
        <v>241</v>
      </c>
      <c r="AB544" s="4" t="s">
        <v>241</v>
      </c>
      <c r="AD544" s="5" t="s">
        <v>241</v>
      </c>
      <c r="AG544" s="5" t="s">
        <v>246</v>
      </c>
      <c r="AH544" s="4" t="s">
        <v>241</v>
      </c>
      <c r="AI544" s="4" t="s">
        <v>247</v>
      </c>
      <c r="AJ544" s="4" t="s">
        <v>248</v>
      </c>
      <c r="AZ544" s="4" t="s">
        <v>249</v>
      </c>
      <c r="BA544" s="4" t="s">
        <v>241</v>
      </c>
      <c r="BB544" s="4" t="s">
        <v>250</v>
      </c>
      <c r="BC544" s="4" t="s">
        <v>241</v>
      </c>
      <c r="BD544" s="4" t="s">
        <v>252</v>
      </c>
      <c r="BE544" s="4" t="s">
        <v>241</v>
      </c>
      <c r="BI544" s="4" t="s">
        <v>253</v>
      </c>
      <c r="BJ544" s="5" t="s">
        <v>246</v>
      </c>
      <c r="BK544" s="4" t="s">
        <v>254</v>
      </c>
      <c r="BL544" s="4" t="s">
        <v>255</v>
      </c>
      <c r="BM544" s="4" t="s">
        <v>241</v>
      </c>
      <c r="BN544" s="6">
        <f>0</f>
        <v>0</v>
      </c>
      <c r="BO544" s="6">
        <f>0</f>
        <v>0</v>
      </c>
      <c r="BP544" s="4" t="s">
        <v>256</v>
      </c>
      <c r="BQ544" s="4" t="s">
        <v>257</v>
      </c>
      <c r="CE544" s="4" t="s">
        <v>241</v>
      </c>
      <c r="CF544" s="4" t="s">
        <v>241</v>
      </c>
      <c r="CJ544" s="4" t="s">
        <v>258</v>
      </c>
      <c r="CK544" s="4" t="s">
        <v>259</v>
      </c>
      <c r="CL544" s="4" t="s">
        <v>241</v>
      </c>
      <c r="CO544" s="5" t="s">
        <v>260</v>
      </c>
      <c r="CP544" s="4" t="s">
        <v>241</v>
      </c>
      <c r="CQ544" s="4" t="s">
        <v>261</v>
      </c>
      <c r="CR544" s="4" t="s">
        <v>241</v>
      </c>
      <c r="CS544" s="4" t="s">
        <v>241</v>
      </c>
      <c r="CT544" s="4">
        <v>0</v>
      </c>
      <c r="CU544" s="4" t="s">
        <v>262</v>
      </c>
      <c r="CV544" s="4" t="s">
        <v>263</v>
      </c>
      <c r="CW544" s="4" t="s">
        <v>263</v>
      </c>
      <c r="CX544" s="4" t="s">
        <v>264</v>
      </c>
      <c r="DA544" s="6">
        <f>49016</f>
        <v>49016</v>
      </c>
      <c r="DC544" s="4" t="s">
        <v>3160</v>
      </c>
      <c r="DD544" s="4" t="s">
        <v>241</v>
      </c>
      <c r="DF544" s="4" t="s">
        <v>287</v>
      </c>
      <c r="DG544" s="6">
        <f>0</f>
        <v>0</v>
      </c>
      <c r="DI544" s="4" t="s">
        <v>3167</v>
      </c>
      <c r="DJ544" s="4" t="s">
        <v>241</v>
      </c>
      <c r="DK544" s="4" t="s">
        <v>241</v>
      </c>
      <c r="DL544" s="4" t="s">
        <v>241</v>
      </c>
      <c r="DP544" s="4" t="s">
        <v>241</v>
      </c>
      <c r="DQ544" s="4" t="s">
        <v>241</v>
      </c>
      <c r="DR544" s="4" t="s">
        <v>241</v>
      </c>
      <c r="DS544" s="4" t="s">
        <v>241</v>
      </c>
      <c r="DV544" s="4" t="s">
        <v>4520</v>
      </c>
      <c r="DW544" s="4" t="s">
        <v>1706</v>
      </c>
      <c r="HO544" s="4" t="s">
        <v>267</v>
      </c>
    </row>
    <row r="545" spans="1:223" ht="19.5" customHeight="1" x14ac:dyDescent="0.4">
      <c r="A545" s="4">
        <v>1</v>
      </c>
      <c r="B545" s="4" t="s">
        <v>239</v>
      </c>
      <c r="C545" s="4">
        <v>1407</v>
      </c>
      <c r="D545" s="4">
        <v>1</v>
      </c>
      <c r="E545" s="4">
        <v>1</v>
      </c>
      <c r="F545" s="4" t="s">
        <v>240</v>
      </c>
      <c r="G545" s="4" t="s">
        <v>241</v>
      </c>
      <c r="H545" s="4" t="s">
        <v>241</v>
      </c>
      <c r="I545" s="4" t="s">
        <v>4518</v>
      </c>
      <c r="J545" s="4" t="s">
        <v>3158</v>
      </c>
      <c r="K545" s="4" t="s">
        <v>251</v>
      </c>
      <c r="L545" s="4" t="s">
        <v>3180</v>
      </c>
      <c r="M545" s="5" t="s">
        <v>4603</v>
      </c>
      <c r="N545" s="6">
        <f>1731</f>
        <v>1731</v>
      </c>
      <c r="O545" s="4" t="s">
        <v>265</v>
      </c>
      <c r="P545" s="6">
        <f>19041</f>
        <v>19041</v>
      </c>
      <c r="Q545" s="6">
        <f>0</f>
        <v>0</v>
      </c>
      <c r="S545" s="6">
        <f>0</f>
        <v>0</v>
      </c>
      <c r="T545" s="6">
        <f>19041</f>
        <v>19041</v>
      </c>
      <c r="U545" s="5" t="s">
        <v>245</v>
      </c>
      <c r="V545" s="4" t="s">
        <v>270</v>
      </c>
      <c r="W545" s="4" t="s">
        <v>242</v>
      </c>
      <c r="X545" s="4" t="s">
        <v>243</v>
      </c>
      <c r="Y545" s="4" t="s">
        <v>241</v>
      </c>
      <c r="AB545" s="4" t="s">
        <v>241</v>
      </c>
      <c r="AD545" s="5" t="s">
        <v>241</v>
      </c>
      <c r="AG545" s="5" t="s">
        <v>246</v>
      </c>
      <c r="AH545" s="4" t="s">
        <v>241</v>
      </c>
      <c r="AI545" s="4" t="s">
        <v>247</v>
      </c>
      <c r="AJ545" s="4" t="s">
        <v>248</v>
      </c>
      <c r="AZ545" s="4" t="s">
        <v>249</v>
      </c>
      <c r="BA545" s="4" t="s">
        <v>241</v>
      </c>
      <c r="BB545" s="4" t="s">
        <v>250</v>
      </c>
      <c r="BC545" s="4" t="s">
        <v>241</v>
      </c>
      <c r="BD545" s="4" t="s">
        <v>252</v>
      </c>
      <c r="BE545" s="4" t="s">
        <v>241</v>
      </c>
      <c r="BI545" s="4" t="s">
        <v>253</v>
      </c>
      <c r="BJ545" s="5" t="s">
        <v>246</v>
      </c>
      <c r="BK545" s="4" t="s">
        <v>254</v>
      </c>
      <c r="BL545" s="4" t="s">
        <v>255</v>
      </c>
      <c r="BM545" s="4" t="s">
        <v>241</v>
      </c>
      <c r="BN545" s="6">
        <f>0</f>
        <v>0</v>
      </c>
      <c r="BO545" s="6">
        <f>0</f>
        <v>0</v>
      </c>
      <c r="BP545" s="4" t="s">
        <v>256</v>
      </c>
      <c r="BQ545" s="4" t="s">
        <v>257</v>
      </c>
      <c r="CE545" s="4" t="s">
        <v>241</v>
      </c>
      <c r="CF545" s="4" t="s">
        <v>241</v>
      </c>
      <c r="CJ545" s="4" t="s">
        <v>258</v>
      </c>
      <c r="CK545" s="4" t="s">
        <v>259</v>
      </c>
      <c r="CL545" s="4" t="s">
        <v>241</v>
      </c>
      <c r="CO545" s="5" t="s">
        <v>260</v>
      </c>
      <c r="CP545" s="4" t="s">
        <v>241</v>
      </c>
      <c r="CQ545" s="4" t="s">
        <v>261</v>
      </c>
      <c r="CR545" s="4" t="s">
        <v>241</v>
      </c>
      <c r="CS545" s="4" t="s">
        <v>241</v>
      </c>
      <c r="CT545" s="4">
        <v>0</v>
      </c>
      <c r="CU545" s="4" t="s">
        <v>262</v>
      </c>
      <c r="CV545" s="4" t="s">
        <v>263</v>
      </c>
      <c r="CW545" s="4" t="s">
        <v>263</v>
      </c>
      <c r="CX545" s="4" t="s">
        <v>264</v>
      </c>
      <c r="DA545" s="6">
        <f>19041</f>
        <v>19041</v>
      </c>
      <c r="DC545" s="4" t="s">
        <v>3160</v>
      </c>
      <c r="DD545" s="4" t="s">
        <v>241</v>
      </c>
      <c r="DF545" s="4" t="s">
        <v>287</v>
      </c>
      <c r="DG545" s="6">
        <f>0</f>
        <v>0</v>
      </c>
      <c r="DI545" s="4" t="s">
        <v>3167</v>
      </c>
      <c r="DJ545" s="4" t="s">
        <v>241</v>
      </c>
      <c r="DK545" s="4" t="s">
        <v>241</v>
      </c>
      <c r="DL545" s="4" t="s">
        <v>241</v>
      </c>
      <c r="DP545" s="4" t="s">
        <v>241</v>
      </c>
      <c r="DQ545" s="4" t="s">
        <v>241</v>
      </c>
      <c r="DR545" s="4" t="s">
        <v>241</v>
      </c>
      <c r="DS545" s="4" t="s">
        <v>241</v>
      </c>
      <c r="DV545" s="4" t="s">
        <v>4520</v>
      </c>
      <c r="DW545" s="4" t="s">
        <v>1704</v>
      </c>
      <c r="HO545" s="4" t="s">
        <v>267</v>
      </c>
    </row>
    <row r="546" spans="1:223" ht="19.5" customHeight="1" x14ac:dyDescent="0.4">
      <c r="A546" s="4">
        <v>1</v>
      </c>
      <c r="B546" s="4" t="s">
        <v>239</v>
      </c>
      <c r="C546" s="4">
        <v>1408</v>
      </c>
      <c r="D546" s="4">
        <v>1</v>
      </c>
      <c r="E546" s="4">
        <v>1</v>
      </c>
      <c r="F546" s="4" t="s">
        <v>240</v>
      </c>
      <c r="G546" s="4" t="s">
        <v>241</v>
      </c>
      <c r="H546" s="4" t="s">
        <v>241</v>
      </c>
      <c r="I546" s="4" t="s">
        <v>4518</v>
      </c>
      <c r="J546" s="4" t="s">
        <v>3158</v>
      </c>
      <c r="K546" s="4" t="s">
        <v>251</v>
      </c>
      <c r="L546" s="4" t="s">
        <v>3180</v>
      </c>
      <c r="M546" s="5" t="s">
        <v>4604</v>
      </c>
      <c r="N546" s="6">
        <f>669</f>
        <v>669</v>
      </c>
      <c r="O546" s="4" t="s">
        <v>265</v>
      </c>
      <c r="P546" s="6">
        <f>7359</f>
        <v>7359</v>
      </c>
      <c r="Q546" s="6">
        <f>0</f>
        <v>0</v>
      </c>
      <c r="S546" s="6">
        <f>0</f>
        <v>0</v>
      </c>
      <c r="T546" s="6">
        <f>7359</f>
        <v>7359</v>
      </c>
      <c r="U546" s="5" t="s">
        <v>245</v>
      </c>
      <c r="V546" s="4" t="s">
        <v>270</v>
      </c>
      <c r="W546" s="4" t="s">
        <v>242</v>
      </c>
      <c r="X546" s="4" t="s">
        <v>243</v>
      </c>
      <c r="Y546" s="4" t="s">
        <v>241</v>
      </c>
      <c r="AB546" s="4" t="s">
        <v>241</v>
      </c>
      <c r="AD546" s="5" t="s">
        <v>241</v>
      </c>
      <c r="AG546" s="5" t="s">
        <v>246</v>
      </c>
      <c r="AH546" s="4" t="s">
        <v>241</v>
      </c>
      <c r="AI546" s="4" t="s">
        <v>247</v>
      </c>
      <c r="AJ546" s="4" t="s">
        <v>248</v>
      </c>
      <c r="AZ546" s="4" t="s">
        <v>249</v>
      </c>
      <c r="BA546" s="4" t="s">
        <v>241</v>
      </c>
      <c r="BB546" s="4" t="s">
        <v>250</v>
      </c>
      <c r="BC546" s="4" t="s">
        <v>241</v>
      </c>
      <c r="BD546" s="4" t="s">
        <v>252</v>
      </c>
      <c r="BE546" s="4" t="s">
        <v>241</v>
      </c>
      <c r="BI546" s="4" t="s">
        <v>253</v>
      </c>
      <c r="BJ546" s="5" t="s">
        <v>246</v>
      </c>
      <c r="BK546" s="4" t="s">
        <v>254</v>
      </c>
      <c r="BL546" s="4" t="s">
        <v>255</v>
      </c>
      <c r="BM546" s="4" t="s">
        <v>241</v>
      </c>
      <c r="BN546" s="6">
        <f>0</f>
        <v>0</v>
      </c>
      <c r="BO546" s="6">
        <f>0</f>
        <v>0</v>
      </c>
      <c r="BP546" s="4" t="s">
        <v>256</v>
      </c>
      <c r="BQ546" s="4" t="s">
        <v>257</v>
      </c>
      <c r="CE546" s="4" t="s">
        <v>241</v>
      </c>
      <c r="CF546" s="4" t="s">
        <v>241</v>
      </c>
      <c r="CJ546" s="4" t="s">
        <v>258</v>
      </c>
      <c r="CK546" s="4" t="s">
        <v>259</v>
      </c>
      <c r="CL546" s="4" t="s">
        <v>241</v>
      </c>
      <c r="CO546" s="5" t="s">
        <v>260</v>
      </c>
      <c r="CP546" s="4" t="s">
        <v>241</v>
      </c>
      <c r="CQ546" s="4" t="s">
        <v>261</v>
      </c>
      <c r="CR546" s="4" t="s">
        <v>241</v>
      </c>
      <c r="CS546" s="4" t="s">
        <v>241</v>
      </c>
      <c r="CT546" s="4">
        <v>0</v>
      </c>
      <c r="CU546" s="4" t="s">
        <v>262</v>
      </c>
      <c r="CV546" s="4" t="s">
        <v>263</v>
      </c>
      <c r="CW546" s="4" t="s">
        <v>263</v>
      </c>
      <c r="CX546" s="4" t="s">
        <v>264</v>
      </c>
      <c r="DA546" s="6">
        <f>7359</f>
        <v>7359</v>
      </c>
      <c r="DC546" s="4" t="s">
        <v>3160</v>
      </c>
      <c r="DD546" s="4" t="s">
        <v>241</v>
      </c>
      <c r="DF546" s="4" t="s">
        <v>287</v>
      </c>
      <c r="DG546" s="6">
        <f>0</f>
        <v>0</v>
      </c>
      <c r="DI546" s="4" t="s">
        <v>3167</v>
      </c>
      <c r="DJ546" s="4" t="s">
        <v>241</v>
      </c>
      <c r="DK546" s="4" t="s">
        <v>241</v>
      </c>
      <c r="DL546" s="4" t="s">
        <v>241</v>
      </c>
      <c r="DP546" s="4" t="s">
        <v>241</v>
      </c>
      <c r="DQ546" s="4" t="s">
        <v>241</v>
      </c>
      <c r="DR546" s="4" t="s">
        <v>241</v>
      </c>
      <c r="DS546" s="4" t="s">
        <v>241</v>
      </c>
      <c r="DV546" s="4" t="s">
        <v>4520</v>
      </c>
      <c r="DW546" s="4" t="s">
        <v>1702</v>
      </c>
      <c r="HO546" s="4" t="s">
        <v>267</v>
      </c>
    </row>
    <row r="547" spans="1:223" ht="19.5" customHeight="1" x14ac:dyDescent="0.4">
      <c r="A547" s="4">
        <v>1</v>
      </c>
      <c r="B547" s="4" t="s">
        <v>239</v>
      </c>
      <c r="C547" s="4">
        <v>1409</v>
      </c>
      <c r="D547" s="4">
        <v>1</v>
      </c>
      <c r="E547" s="4">
        <v>1</v>
      </c>
      <c r="F547" s="4" t="s">
        <v>240</v>
      </c>
      <c r="G547" s="4" t="s">
        <v>241</v>
      </c>
      <c r="H547" s="4" t="s">
        <v>241</v>
      </c>
      <c r="I547" s="4" t="s">
        <v>4518</v>
      </c>
      <c r="J547" s="4" t="s">
        <v>3158</v>
      </c>
      <c r="K547" s="4" t="s">
        <v>251</v>
      </c>
      <c r="L547" s="4" t="s">
        <v>3180</v>
      </c>
      <c r="M547" s="5" t="s">
        <v>4605</v>
      </c>
      <c r="N547" s="6">
        <f>7735</f>
        <v>7735</v>
      </c>
      <c r="O547" s="4" t="s">
        <v>265</v>
      </c>
      <c r="P547" s="6">
        <f>85085</f>
        <v>85085</v>
      </c>
      <c r="Q547" s="6">
        <f>0</f>
        <v>0</v>
      </c>
      <c r="S547" s="6">
        <f>0</f>
        <v>0</v>
      </c>
      <c r="T547" s="6">
        <f>85085</f>
        <v>85085</v>
      </c>
      <c r="U547" s="5" t="s">
        <v>245</v>
      </c>
      <c r="V547" s="4" t="s">
        <v>270</v>
      </c>
      <c r="W547" s="4" t="s">
        <v>242</v>
      </c>
      <c r="X547" s="4" t="s">
        <v>243</v>
      </c>
      <c r="Y547" s="4" t="s">
        <v>241</v>
      </c>
      <c r="AB547" s="4" t="s">
        <v>241</v>
      </c>
      <c r="AD547" s="5" t="s">
        <v>241</v>
      </c>
      <c r="AG547" s="5" t="s">
        <v>246</v>
      </c>
      <c r="AH547" s="4" t="s">
        <v>241</v>
      </c>
      <c r="AI547" s="4" t="s">
        <v>247</v>
      </c>
      <c r="AJ547" s="4" t="s">
        <v>248</v>
      </c>
      <c r="AZ547" s="4" t="s">
        <v>249</v>
      </c>
      <c r="BA547" s="4" t="s">
        <v>241</v>
      </c>
      <c r="BB547" s="4" t="s">
        <v>250</v>
      </c>
      <c r="BC547" s="4" t="s">
        <v>241</v>
      </c>
      <c r="BD547" s="4" t="s">
        <v>252</v>
      </c>
      <c r="BE547" s="4" t="s">
        <v>241</v>
      </c>
      <c r="BI547" s="4" t="s">
        <v>253</v>
      </c>
      <c r="BJ547" s="5" t="s">
        <v>246</v>
      </c>
      <c r="BK547" s="4" t="s">
        <v>254</v>
      </c>
      <c r="BL547" s="4" t="s">
        <v>255</v>
      </c>
      <c r="BM547" s="4" t="s">
        <v>241</v>
      </c>
      <c r="BN547" s="6">
        <f>0</f>
        <v>0</v>
      </c>
      <c r="BO547" s="6">
        <f>0</f>
        <v>0</v>
      </c>
      <c r="BP547" s="4" t="s">
        <v>256</v>
      </c>
      <c r="BQ547" s="4" t="s">
        <v>257</v>
      </c>
      <c r="CE547" s="4" t="s">
        <v>241</v>
      </c>
      <c r="CF547" s="4" t="s">
        <v>241</v>
      </c>
      <c r="CJ547" s="4" t="s">
        <v>258</v>
      </c>
      <c r="CK547" s="4" t="s">
        <v>259</v>
      </c>
      <c r="CL547" s="4" t="s">
        <v>241</v>
      </c>
      <c r="CO547" s="5" t="s">
        <v>260</v>
      </c>
      <c r="CP547" s="4" t="s">
        <v>241</v>
      </c>
      <c r="CQ547" s="4" t="s">
        <v>261</v>
      </c>
      <c r="CR547" s="4" t="s">
        <v>241</v>
      </c>
      <c r="CS547" s="4" t="s">
        <v>241</v>
      </c>
      <c r="CT547" s="4">
        <v>0</v>
      </c>
      <c r="CU547" s="4" t="s">
        <v>262</v>
      </c>
      <c r="CV547" s="4" t="s">
        <v>263</v>
      </c>
      <c r="CW547" s="4" t="s">
        <v>263</v>
      </c>
      <c r="CX547" s="4" t="s">
        <v>264</v>
      </c>
      <c r="DA547" s="6">
        <f>85085</f>
        <v>85085</v>
      </c>
      <c r="DC547" s="4" t="s">
        <v>3160</v>
      </c>
      <c r="DD547" s="4" t="s">
        <v>241</v>
      </c>
      <c r="DF547" s="4" t="s">
        <v>287</v>
      </c>
      <c r="DG547" s="6">
        <f>0</f>
        <v>0</v>
      </c>
      <c r="DI547" s="4" t="s">
        <v>3167</v>
      </c>
      <c r="DJ547" s="4" t="s">
        <v>241</v>
      </c>
      <c r="DK547" s="4" t="s">
        <v>241</v>
      </c>
      <c r="DL547" s="4" t="s">
        <v>241</v>
      </c>
      <c r="DP547" s="4" t="s">
        <v>241</v>
      </c>
      <c r="DQ547" s="4" t="s">
        <v>241</v>
      </c>
      <c r="DR547" s="4" t="s">
        <v>241</v>
      </c>
      <c r="DS547" s="4" t="s">
        <v>241</v>
      </c>
      <c r="DV547" s="4" t="s">
        <v>4520</v>
      </c>
      <c r="DW547" s="4" t="s">
        <v>1700</v>
      </c>
      <c r="HO547" s="4" t="s">
        <v>267</v>
      </c>
    </row>
    <row r="548" spans="1:223" ht="19.5" customHeight="1" x14ac:dyDescent="0.4">
      <c r="A548" s="4">
        <v>1</v>
      </c>
      <c r="B548" s="4" t="s">
        <v>239</v>
      </c>
      <c r="C548" s="4">
        <v>1410</v>
      </c>
      <c r="D548" s="4">
        <v>1</v>
      </c>
      <c r="E548" s="4">
        <v>1</v>
      </c>
      <c r="F548" s="4" t="s">
        <v>240</v>
      </c>
      <c r="G548" s="4" t="s">
        <v>241</v>
      </c>
      <c r="H548" s="4" t="s">
        <v>241</v>
      </c>
      <c r="I548" s="4" t="s">
        <v>4518</v>
      </c>
      <c r="J548" s="4" t="s">
        <v>3158</v>
      </c>
      <c r="K548" s="4" t="s">
        <v>251</v>
      </c>
      <c r="L548" s="4" t="s">
        <v>3180</v>
      </c>
      <c r="M548" s="5" t="s">
        <v>4606</v>
      </c>
      <c r="N548" s="6">
        <f>313</f>
        <v>313</v>
      </c>
      <c r="O548" s="4" t="s">
        <v>265</v>
      </c>
      <c r="P548" s="6">
        <f>3443</f>
        <v>3443</v>
      </c>
      <c r="Q548" s="6">
        <f>0</f>
        <v>0</v>
      </c>
      <c r="S548" s="6">
        <f>0</f>
        <v>0</v>
      </c>
      <c r="T548" s="6">
        <f>3443</f>
        <v>3443</v>
      </c>
      <c r="U548" s="5" t="s">
        <v>245</v>
      </c>
      <c r="V548" s="4" t="s">
        <v>270</v>
      </c>
      <c r="W548" s="4" t="s">
        <v>242</v>
      </c>
      <c r="X548" s="4" t="s">
        <v>243</v>
      </c>
      <c r="Y548" s="4" t="s">
        <v>241</v>
      </c>
      <c r="AB548" s="4" t="s">
        <v>241</v>
      </c>
      <c r="AD548" s="5" t="s">
        <v>241</v>
      </c>
      <c r="AG548" s="5" t="s">
        <v>246</v>
      </c>
      <c r="AH548" s="4" t="s">
        <v>241</v>
      </c>
      <c r="AI548" s="4" t="s">
        <v>247</v>
      </c>
      <c r="AJ548" s="4" t="s">
        <v>248</v>
      </c>
      <c r="AZ548" s="4" t="s">
        <v>249</v>
      </c>
      <c r="BA548" s="4" t="s">
        <v>241</v>
      </c>
      <c r="BB548" s="4" t="s">
        <v>250</v>
      </c>
      <c r="BC548" s="4" t="s">
        <v>241</v>
      </c>
      <c r="BD548" s="4" t="s">
        <v>252</v>
      </c>
      <c r="BE548" s="4" t="s">
        <v>241</v>
      </c>
      <c r="BI548" s="4" t="s">
        <v>253</v>
      </c>
      <c r="BJ548" s="5" t="s">
        <v>246</v>
      </c>
      <c r="BK548" s="4" t="s">
        <v>254</v>
      </c>
      <c r="BL548" s="4" t="s">
        <v>255</v>
      </c>
      <c r="BM548" s="4" t="s">
        <v>241</v>
      </c>
      <c r="BN548" s="6">
        <f>0</f>
        <v>0</v>
      </c>
      <c r="BO548" s="6">
        <f>0</f>
        <v>0</v>
      </c>
      <c r="BP548" s="4" t="s">
        <v>256</v>
      </c>
      <c r="BQ548" s="4" t="s">
        <v>257</v>
      </c>
      <c r="CE548" s="4" t="s">
        <v>241</v>
      </c>
      <c r="CF548" s="4" t="s">
        <v>241</v>
      </c>
      <c r="CJ548" s="4" t="s">
        <v>258</v>
      </c>
      <c r="CK548" s="4" t="s">
        <v>259</v>
      </c>
      <c r="CL548" s="4" t="s">
        <v>241</v>
      </c>
      <c r="CO548" s="5" t="s">
        <v>260</v>
      </c>
      <c r="CP548" s="4" t="s">
        <v>241</v>
      </c>
      <c r="CQ548" s="4" t="s">
        <v>261</v>
      </c>
      <c r="CR548" s="4" t="s">
        <v>241</v>
      </c>
      <c r="CS548" s="4" t="s">
        <v>241</v>
      </c>
      <c r="CT548" s="4">
        <v>0</v>
      </c>
      <c r="CU548" s="4" t="s">
        <v>262</v>
      </c>
      <c r="CV548" s="4" t="s">
        <v>263</v>
      </c>
      <c r="CW548" s="4" t="s">
        <v>263</v>
      </c>
      <c r="CX548" s="4" t="s">
        <v>264</v>
      </c>
      <c r="DA548" s="6">
        <f>3443</f>
        <v>3443</v>
      </c>
      <c r="DC548" s="4" t="s">
        <v>3160</v>
      </c>
      <c r="DD548" s="4" t="s">
        <v>241</v>
      </c>
      <c r="DF548" s="4" t="s">
        <v>287</v>
      </c>
      <c r="DG548" s="6">
        <f>0</f>
        <v>0</v>
      </c>
      <c r="DI548" s="4" t="s">
        <v>3167</v>
      </c>
      <c r="DJ548" s="4" t="s">
        <v>241</v>
      </c>
      <c r="DK548" s="4" t="s">
        <v>241</v>
      </c>
      <c r="DL548" s="4" t="s">
        <v>241</v>
      </c>
      <c r="DP548" s="4" t="s">
        <v>241</v>
      </c>
      <c r="DQ548" s="4" t="s">
        <v>241</v>
      </c>
      <c r="DR548" s="4" t="s">
        <v>241</v>
      </c>
      <c r="DS548" s="4" t="s">
        <v>241</v>
      </c>
      <c r="DV548" s="4" t="s">
        <v>4520</v>
      </c>
      <c r="DW548" s="4" t="s">
        <v>1698</v>
      </c>
      <c r="HO548" s="4" t="s">
        <v>267</v>
      </c>
    </row>
    <row r="549" spans="1:223" ht="19.5" customHeight="1" x14ac:dyDescent="0.4">
      <c r="A549" s="4">
        <v>1</v>
      </c>
      <c r="B549" s="4" t="s">
        <v>239</v>
      </c>
      <c r="C549" s="4">
        <v>1411</v>
      </c>
      <c r="D549" s="4">
        <v>1</v>
      </c>
      <c r="E549" s="4">
        <v>1</v>
      </c>
      <c r="F549" s="4" t="s">
        <v>240</v>
      </c>
      <c r="G549" s="4" t="s">
        <v>241</v>
      </c>
      <c r="H549" s="4" t="s">
        <v>241</v>
      </c>
      <c r="I549" s="4" t="s">
        <v>4518</v>
      </c>
      <c r="J549" s="4" t="s">
        <v>3158</v>
      </c>
      <c r="K549" s="4" t="s">
        <v>251</v>
      </c>
      <c r="L549" s="4" t="s">
        <v>3180</v>
      </c>
      <c r="M549" s="5" t="s">
        <v>4607</v>
      </c>
      <c r="N549" s="6">
        <f>488</f>
        <v>488</v>
      </c>
      <c r="O549" s="4" t="s">
        <v>265</v>
      </c>
      <c r="P549" s="6">
        <f>5368</f>
        <v>5368</v>
      </c>
      <c r="Q549" s="6">
        <f>0</f>
        <v>0</v>
      </c>
      <c r="S549" s="6">
        <f>0</f>
        <v>0</v>
      </c>
      <c r="T549" s="6">
        <f>5368</f>
        <v>5368</v>
      </c>
      <c r="U549" s="5" t="s">
        <v>245</v>
      </c>
      <c r="V549" s="4" t="s">
        <v>270</v>
      </c>
      <c r="W549" s="4" t="s">
        <v>242</v>
      </c>
      <c r="X549" s="4" t="s">
        <v>243</v>
      </c>
      <c r="Y549" s="4" t="s">
        <v>241</v>
      </c>
      <c r="AB549" s="4" t="s">
        <v>241</v>
      </c>
      <c r="AD549" s="5" t="s">
        <v>241</v>
      </c>
      <c r="AG549" s="5" t="s">
        <v>246</v>
      </c>
      <c r="AH549" s="4" t="s">
        <v>241</v>
      </c>
      <c r="AI549" s="4" t="s">
        <v>247</v>
      </c>
      <c r="AJ549" s="4" t="s">
        <v>248</v>
      </c>
      <c r="AZ549" s="4" t="s">
        <v>249</v>
      </c>
      <c r="BA549" s="4" t="s">
        <v>241</v>
      </c>
      <c r="BB549" s="4" t="s">
        <v>250</v>
      </c>
      <c r="BC549" s="4" t="s">
        <v>241</v>
      </c>
      <c r="BD549" s="4" t="s">
        <v>252</v>
      </c>
      <c r="BE549" s="4" t="s">
        <v>241</v>
      </c>
      <c r="BI549" s="4" t="s">
        <v>253</v>
      </c>
      <c r="BJ549" s="5" t="s">
        <v>246</v>
      </c>
      <c r="BK549" s="4" t="s">
        <v>254</v>
      </c>
      <c r="BL549" s="4" t="s">
        <v>255</v>
      </c>
      <c r="BM549" s="4" t="s">
        <v>241</v>
      </c>
      <c r="BN549" s="6">
        <f>0</f>
        <v>0</v>
      </c>
      <c r="BO549" s="6">
        <f>0</f>
        <v>0</v>
      </c>
      <c r="BP549" s="4" t="s">
        <v>256</v>
      </c>
      <c r="BQ549" s="4" t="s">
        <v>257</v>
      </c>
      <c r="CE549" s="4" t="s">
        <v>241</v>
      </c>
      <c r="CF549" s="4" t="s">
        <v>241</v>
      </c>
      <c r="CJ549" s="4" t="s">
        <v>258</v>
      </c>
      <c r="CK549" s="4" t="s">
        <v>259</v>
      </c>
      <c r="CL549" s="4" t="s">
        <v>241</v>
      </c>
      <c r="CO549" s="5" t="s">
        <v>260</v>
      </c>
      <c r="CP549" s="4" t="s">
        <v>241</v>
      </c>
      <c r="CQ549" s="4" t="s">
        <v>261</v>
      </c>
      <c r="CR549" s="4" t="s">
        <v>241</v>
      </c>
      <c r="CS549" s="4" t="s">
        <v>241</v>
      </c>
      <c r="CT549" s="4">
        <v>0</v>
      </c>
      <c r="CU549" s="4" t="s">
        <v>262</v>
      </c>
      <c r="CV549" s="4" t="s">
        <v>263</v>
      </c>
      <c r="CW549" s="4" t="s">
        <v>263</v>
      </c>
      <c r="CX549" s="4" t="s">
        <v>264</v>
      </c>
      <c r="DA549" s="6">
        <f>5368</f>
        <v>5368</v>
      </c>
      <c r="DC549" s="4" t="s">
        <v>3160</v>
      </c>
      <c r="DD549" s="4" t="s">
        <v>241</v>
      </c>
      <c r="DF549" s="4" t="s">
        <v>287</v>
      </c>
      <c r="DG549" s="6">
        <f>0</f>
        <v>0</v>
      </c>
      <c r="DI549" s="4" t="s">
        <v>3167</v>
      </c>
      <c r="DJ549" s="4" t="s">
        <v>241</v>
      </c>
      <c r="DK549" s="4" t="s">
        <v>241</v>
      </c>
      <c r="DL549" s="4" t="s">
        <v>241</v>
      </c>
      <c r="DP549" s="4" t="s">
        <v>241</v>
      </c>
      <c r="DQ549" s="4" t="s">
        <v>241</v>
      </c>
      <c r="DR549" s="4" t="s">
        <v>241</v>
      </c>
      <c r="DS549" s="4" t="s">
        <v>241</v>
      </c>
      <c r="DV549" s="4" t="s">
        <v>4520</v>
      </c>
      <c r="DW549" s="4" t="s">
        <v>718</v>
      </c>
      <c r="HO549" s="4" t="s">
        <v>267</v>
      </c>
    </row>
    <row r="550" spans="1:223" ht="19.5" customHeight="1" x14ac:dyDescent="0.4">
      <c r="A550" s="4">
        <v>1</v>
      </c>
      <c r="B550" s="4" t="s">
        <v>239</v>
      </c>
      <c r="C550" s="4">
        <v>1412</v>
      </c>
      <c r="D550" s="4">
        <v>1</v>
      </c>
      <c r="E550" s="4">
        <v>1</v>
      </c>
      <c r="F550" s="4" t="s">
        <v>240</v>
      </c>
      <c r="G550" s="4" t="s">
        <v>241</v>
      </c>
      <c r="H550" s="4" t="s">
        <v>241</v>
      </c>
      <c r="I550" s="4" t="s">
        <v>4518</v>
      </c>
      <c r="J550" s="4" t="s">
        <v>3158</v>
      </c>
      <c r="K550" s="4" t="s">
        <v>251</v>
      </c>
      <c r="L550" s="4" t="s">
        <v>3180</v>
      </c>
      <c r="M550" s="5" t="s">
        <v>4608</v>
      </c>
      <c r="N550" s="6">
        <f>1592</f>
        <v>1592</v>
      </c>
      <c r="O550" s="4" t="s">
        <v>265</v>
      </c>
      <c r="P550" s="6">
        <f>17512</f>
        <v>17512</v>
      </c>
      <c r="Q550" s="6">
        <f>0</f>
        <v>0</v>
      </c>
      <c r="S550" s="6">
        <f>0</f>
        <v>0</v>
      </c>
      <c r="T550" s="6">
        <f>17512</f>
        <v>17512</v>
      </c>
      <c r="U550" s="5" t="s">
        <v>245</v>
      </c>
      <c r="V550" s="4" t="s">
        <v>270</v>
      </c>
      <c r="W550" s="4" t="s">
        <v>242</v>
      </c>
      <c r="X550" s="4" t="s">
        <v>243</v>
      </c>
      <c r="Y550" s="4" t="s">
        <v>241</v>
      </c>
      <c r="AB550" s="4" t="s">
        <v>241</v>
      </c>
      <c r="AD550" s="5" t="s">
        <v>241</v>
      </c>
      <c r="AG550" s="5" t="s">
        <v>246</v>
      </c>
      <c r="AH550" s="4" t="s">
        <v>241</v>
      </c>
      <c r="AI550" s="4" t="s">
        <v>247</v>
      </c>
      <c r="AJ550" s="4" t="s">
        <v>248</v>
      </c>
      <c r="AZ550" s="4" t="s">
        <v>249</v>
      </c>
      <c r="BA550" s="4" t="s">
        <v>241</v>
      </c>
      <c r="BB550" s="4" t="s">
        <v>250</v>
      </c>
      <c r="BC550" s="4" t="s">
        <v>241</v>
      </c>
      <c r="BD550" s="4" t="s">
        <v>252</v>
      </c>
      <c r="BE550" s="4" t="s">
        <v>241</v>
      </c>
      <c r="BI550" s="4" t="s">
        <v>253</v>
      </c>
      <c r="BJ550" s="5" t="s">
        <v>246</v>
      </c>
      <c r="BK550" s="4" t="s">
        <v>254</v>
      </c>
      <c r="BL550" s="4" t="s">
        <v>255</v>
      </c>
      <c r="BM550" s="4" t="s">
        <v>241</v>
      </c>
      <c r="BN550" s="6">
        <f>0</f>
        <v>0</v>
      </c>
      <c r="BO550" s="6">
        <f>0</f>
        <v>0</v>
      </c>
      <c r="BP550" s="4" t="s">
        <v>256</v>
      </c>
      <c r="BQ550" s="4" t="s">
        <v>257</v>
      </c>
      <c r="CE550" s="4" t="s">
        <v>241</v>
      </c>
      <c r="CF550" s="4" t="s">
        <v>241</v>
      </c>
      <c r="CJ550" s="4" t="s">
        <v>258</v>
      </c>
      <c r="CK550" s="4" t="s">
        <v>259</v>
      </c>
      <c r="CL550" s="4" t="s">
        <v>241</v>
      </c>
      <c r="CO550" s="5" t="s">
        <v>260</v>
      </c>
      <c r="CP550" s="4" t="s">
        <v>241</v>
      </c>
      <c r="CQ550" s="4" t="s">
        <v>261</v>
      </c>
      <c r="CR550" s="4" t="s">
        <v>241</v>
      </c>
      <c r="CS550" s="4" t="s">
        <v>241</v>
      </c>
      <c r="CT550" s="4">
        <v>0</v>
      </c>
      <c r="CU550" s="4" t="s">
        <v>262</v>
      </c>
      <c r="CV550" s="4" t="s">
        <v>263</v>
      </c>
      <c r="CW550" s="4" t="s">
        <v>263</v>
      </c>
      <c r="CX550" s="4" t="s">
        <v>264</v>
      </c>
      <c r="DA550" s="6">
        <f>17512</f>
        <v>17512</v>
      </c>
      <c r="DC550" s="4" t="s">
        <v>3160</v>
      </c>
      <c r="DD550" s="4" t="s">
        <v>241</v>
      </c>
      <c r="DF550" s="4" t="s">
        <v>287</v>
      </c>
      <c r="DG550" s="6">
        <f>0</f>
        <v>0</v>
      </c>
      <c r="DI550" s="4" t="s">
        <v>3167</v>
      </c>
      <c r="DJ550" s="4" t="s">
        <v>241</v>
      </c>
      <c r="DK550" s="4" t="s">
        <v>241</v>
      </c>
      <c r="DL550" s="4" t="s">
        <v>241</v>
      </c>
      <c r="DP550" s="4" t="s">
        <v>241</v>
      </c>
      <c r="DQ550" s="4" t="s">
        <v>241</v>
      </c>
      <c r="DR550" s="4" t="s">
        <v>241</v>
      </c>
      <c r="DS550" s="4" t="s">
        <v>241</v>
      </c>
      <c r="DV550" s="4" t="s">
        <v>4520</v>
      </c>
      <c r="DW550" s="4" t="s">
        <v>1695</v>
      </c>
      <c r="HO550" s="4" t="s">
        <v>267</v>
      </c>
    </row>
    <row r="551" spans="1:223" ht="19.5" customHeight="1" x14ac:dyDescent="0.4">
      <c r="A551" s="4">
        <v>1</v>
      </c>
      <c r="B551" s="4" t="s">
        <v>239</v>
      </c>
      <c r="C551" s="4">
        <v>1413</v>
      </c>
      <c r="D551" s="4">
        <v>1</v>
      </c>
      <c r="E551" s="4">
        <v>1</v>
      </c>
      <c r="F551" s="4" t="s">
        <v>240</v>
      </c>
      <c r="G551" s="4" t="s">
        <v>241</v>
      </c>
      <c r="H551" s="4" t="s">
        <v>241</v>
      </c>
      <c r="I551" s="4" t="s">
        <v>4518</v>
      </c>
      <c r="J551" s="4" t="s">
        <v>3158</v>
      </c>
      <c r="K551" s="4" t="s">
        <v>251</v>
      </c>
      <c r="L551" s="4" t="s">
        <v>3180</v>
      </c>
      <c r="M551" s="5" t="s">
        <v>5446</v>
      </c>
      <c r="N551" s="6">
        <f>1197</f>
        <v>1197</v>
      </c>
      <c r="O551" s="4" t="s">
        <v>265</v>
      </c>
      <c r="P551" s="6">
        <f>13167</f>
        <v>13167</v>
      </c>
      <c r="Q551" s="6">
        <f>0</f>
        <v>0</v>
      </c>
      <c r="S551" s="6">
        <f>0</f>
        <v>0</v>
      </c>
      <c r="T551" s="6">
        <f>13167</f>
        <v>13167</v>
      </c>
      <c r="U551" s="5" t="s">
        <v>245</v>
      </c>
      <c r="V551" s="4" t="s">
        <v>270</v>
      </c>
      <c r="W551" s="4" t="s">
        <v>242</v>
      </c>
      <c r="X551" s="4" t="s">
        <v>243</v>
      </c>
      <c r="Y551" s="4" t="s">
        <v>241</v>
      </c>
      <c r="AB551" s="4" t="s">
        <v>241</v>
      </c>
      <c r="AD551" s="5" t="s">
        <v>241</v>
      </c>
      <c r="AG551" s="5" t="s">
        <v>246</v>
      </c>
      <c r="AH551" s="4" t="s">
        <v>241</v>
      </c>
      <c r="AI551" s="4" t="s">
        <v>247</v>
      </c>
      <c r="AJ551" s="4" t="s">
        <v>248</v>
      </c>
      <c r="AZ551" s="4" t="s">
        <v>249</v>
      </c>
      <c r="BA551" s="4" t="s">
        <v>241</v>
      </c>
      <c r="BB551" s="4" t="s">
        <v>250</v>
      </c>
      <c r="BC551" s="4" t="s">
        <v>241</v>
      </c>
      <c r="BD551" s="4" t="s">
        <v>252</v>
      </c>
      <c r="BE551" s="4" t="s">
        <v>241</v>
      </c>
      <c r="BI551" s="4" t="s">
        <v>253</v>
      </c>
      <c r="BJ551" s="5" t="s">
        <v>246</v>
      </c>
      <c r="BK551" s="4" t="s">
        <v>254</v>
      </c>
      <c r="BL551" s="4" t="s">
        <v>255</v>
      </c>
      <c r="BM551" s="4" t="s">
        <v>241</v>
      </c>
      <c r="BN551" s="6">
        <f>0</f>
        <v>0</v>
      </c>
      <c r="BO551" s="6">
        <f>0</f>
        <v>0</v>
      </c>
      <c r="BP551" s="4" t="s">
        <v>256</v>
      </c>
      <c r="BQ551" s="4" t="s">
        <v>257</v>
      </c>
      <c r="CE551" s="4" t="s">
        <v>241</v>
      </c>
      <c r="CF551" s="4" t="s">
        <v>241</v>
      </c>
      <c r="CJ551" s="4" t="s">
        <v>258</v>
      </c>
      <c r="CK551" s="4" t="s">
        <v>259</v>
      </c>
      <c r="CL551" s="4" t="s">
        <v>241</v>
      </c>
      <c r="CO551" s="5" t="s">
        <v>260</v>
      </c>
      <c r="CP551" s="4" t="s">
        <v>241</v>
      </c>
      <c r="CQ551" s="4" t="s">
        <v>261</v>
      </c>
      <c r="CR551" s="4" t="s">
        <v>241</v>
      </c>
      <c r="CS551" s="4" t="s">
        <v>241</v>
      </c>
      <c r="CT551" s="4">
        <v>0</v>
      </c>
      <c r="CU551" s="4" t="s">
        <v>262</v>
      </c>
      <c r="CV551" s="4" t="s">
        <v>263</v>
      </c>
      <c r="CW551" s="4" t="s">
        <v>263</v>
      </c>
      <c r="CX551" s="4" t="s">
        <v>264</v>
      </c>
      <c r="DA551" s="6">
        <f>13167</f>
        <v>13167</v>
      </c>
      <c r="DC551" s="4" t="s">
        <v>3160</v>
      </c>
      <c r="DD551" s="4" t="s">
        <v>241</v>
      </c>
      <c r="DF551" s="4" t="s">
        <v>287</v>
      </c>
      <c r="DG551" s="6">
        <f>0</f>
        <v>0</v>
      </c>
      <c r="DI551" s="4" t="s">
        <v>3167</v>
      </c>
      <c r="DJ551" s="4" t="s">
        <v>241</v>
      </c>
      <c r="DK551" s="4" t="s">
        <v>241</v>
      </c>
      <c r="DL551" s="4" t="s">
        <v>241</v>
      </c>
      <c r="DP551" s="4" t="s">
        <v>241</v>
      </c>
      <c r="DQ551" s="4" t="s">
        <v>241</v>
      </c>
      <c r="DR551" s="4" t="s">
        <v>241</v>
      </c>
      <c r="DS551" s="4" t="s">
        <v>241</v>
      </c>
      <c r="DV551" s="4" t="s">
        <v>4520</v>
      </c>
      <c r="DW551" s="4" t="s">
        <v>1693</v>
      </c>
      <c r="HO551" s="4" t="s">
        <v>267</v>
      </c>
    </row>
    <row r="552" spans="1:223" ht="19.5" customHeight="1" x14ac:dyDescent="0.4">
      <c r="A552" s="4">
        <v>1</v>
      </c>
      <c r="B552" s="4" t="s">
        <v>239</v>
      </c>
      <c r="C552" s="4">
        <v>1414</v>
      </c>
      <c r="D552" s="4">
        <v>1</v>
      </c>
      <c r="E552" s="4">
        <v>1</v>
      </c>
      <c r="F552" s="4" t="s">
        <v>240</v>
      </c>
      <c r="G552" s="4" t="s">
        <v>241</v>
      </c>
      <c r="H552" s="4" t="s">
        <v>241</v>
      </c>
      <c r="I552" s="4" t="s">
        <v>4518</v>
      </c>
      <c r="J552" s="4" t="s">
        <v>3158</v>
      </c>
      <c r="K552" s="4" t="s">
        <v>251</v>
      </c>
      <c r="L552" s="4" t="s">
        <v>3180</v>
      </c>
      <c r="M552" s="5" t="s">
        <v>4610</v>
      </c>
      <c r="N552" s="6">
        <f>5579</f>
        <v>5579</v>
      </c>
      <c r="O552" s="4" t="s">
        <v>265</v>
      </c>
      <c r="P552" s="6">
        <f>61369</f>
        <v>61369</v>
      </c>
      <c r="Q552" s="6">
        <f>0</f>
        <v>0</v>
      </c>
      <c r="S552" s="6">
        <f>0</f>
        <v>0</v>
      </c>
      <c r="T552" s="6">
        <f>61369</f>
        <v>61369</v>
      </c>
      <c r="U552" s="5" t="s">
        <v>245</v>
      </c>
      <c r="V552" s="4" t="s">
        <v>270</v>
      </c>
      <c r="W552" s="4" t="s">
        <v>242</v>
      </c>
      <c r="X552" s="4" t="s">
        <v>243</v>
      </c>
      <c r="Y552" s="4" t="s">
        <v>241</v>
      </c>
      <c r="AB552" s="4" t="s">
        <v>241</v>
      </c>
      <c r="AD552" s="5" t="s">
        <v>241</v>
      </c>
      <c r="AG552" s="5" t="s">
        <v>246</v>
      </c>
      <c r="AH552" s="4" t="s">
        <v>241</v>
      </c>
      <c r="AI552" s="4" t="s">
        <v>247</v>
      </c>
      <c r="AJ552" s="4" t="s">
        <v>248</v>
      </c>
      <c r="AZ552" s="4" t="s">
        <v>249</v>
      </c>
      <c r="BA552" s="4" t="s">
        <v>241</v>
      </c>
      <c r="BB552" s="4" t="s">
        <v>250</v>
      </c>
      <c r="BC552" s="4" t="s">
        <v>241</v>
      </c>
      <c r="BD552" s="4" t="s">
        <v>252</v>
      </c>
      <c r="BE552" s="4" t="s">
        <v>241</v>
      </c>
      <c r="BI552" s="4" t="s">
        <v>253</v>
      </c>
      <c r="BJ552" s="5" t="s">
        <v>246</v>
      </c>
      <c r="BK552" s="4" t="s">
        <v>254</v>
      </c>
      <c r="BL552" s="4" t="s">
        <v>255</v>
      </c>
      <c r="BM552" s="4" t="s">
        <v>241</v>
      </c>
      <c r="BN552" s="6">
        <f>0</f>
        <v>0</v>
      </c>
      <c r="BO552" s="6">
        <f>0</f>
        <v>0</v>
      </c>
      <c r="BP552" s="4" t="s">
        <v>256</v>
      </c>
      <c r="BQ552" s="4" t="s">
        <v>257</v>
      </c>
      <c r="CE552" s="4" t="s">
        <v>241</v>
      </c>
      <c r="CF552" s="4" t="s">
        <v>241</v>
      </c>
      <c r="CJ552" s="4" t="s">
        <v>258</v>
      </c>
      <c r="CK552" s="4" t="s">
        <v>259</v>
      </c>
      <c r="CL552" s="4" t="s">
        <v>241</v>
      </c>
      <c r="CO552" s="5" t="s">
        <v>260</v>
      </c>
      <c r="CP552" s="4" t="s">
        <v>241</v>
      </c>
      <c r="CQ552" s="4" t="s">
        <v>261</v>
      </c>
      <c r="CR552" s="4" t="s">
        <v>241</v>
      </c>
      <c r="CS552" s="4" t="s">
        <v>241</v>
      </c>
      <c r="CT552" s="4">
        <v>0</v>
      </c>
      <c r="CU552" s="4" t="s">
        <v>262</v>
      </c>
      <c r="CV552" s="4" t="s">
        <v>263</v>
      </c>
      <c r="CW552" s="4" t="s">
        <v>263</v>
      </c>
      <c r="CX552" s="4" t="s">
        <v>264</v>
      </c>
      <c r="DA552" s="6">
        <f>61369</f>
        <v>61369</v>
      </c>
      <c r="DC552" s="4" t="s">
        <v>3160</v>
      </c>
      <c r="DD552" s="4" t="s">
        <v>241</v>
      </c>
      <c r="DF552" s="4" t="s">
        <v>287</v>
      </c>
      <c r="DG552" s="6">
        <f>0</f>
        <v>0</v>
      </c>
      <c r="DI552" s="4" t="s">
        <v>3167</v>
      </c>
      <c r="DJ552" s="4" t="s">
        <v>241</v>
      </c>
      <c r="DK552" s="4" t="s">
        <v>241</v>
      </c>
      <c r="DL552" s="4" t="s">
        <v>241</v>
      </c>
      <c r="DP552" s="4" t="s">
        <v>241</v>
      </c>
      <c r="DQ552" s="4" t="s">
        <v>241</v>
      </c>
      <c r="DR552" s="4" t="s">
        <v>241</v>
      </c>
      <c r="DS552" s="4" t="s">
        <v>241</v>
      </c>
      <c r="DV552" s="4" t="s">
        <v>4520</v>
      </c>
      <c r="DW552" s="4" t="s">
        <v>1691</v>
      </c>
      <c r="HO552" s="4" t="s">
        <v>267</v>
      </c>
    </row>
    <row r="553" spans="1:223" ht="19.5" customHeight="1" x14ac:dyDescent="0.4">
      <c r="A553" s="4">
        <v>1</v>
      </c>
      <c r="B553" s="4" t="s">
        <v>239</v>
      </c>
      <c r="C553" s="4">
        <v>1415</v>
      </c>
      <c r="D553" s="4">
        <v>1</v>
      </c>
      <c r="E553" s="4">
        <v>1</v>
      </c>
      <c r="F553" s="4" t="s">
        <v>240</v>
      </c>
      <c r="G553" s="4" t="s">
        <v>241</v>
      </c>
      <c r="H553" s="4" t="s">
        <v>241</v>
      </c>
      <c r="I553" s="4" t="s">
        <v>4518</v>
      </c>
      <c r="J553" s="4" t="s">
        <v>3158</v>
      </c>
      <c r="K553" s="4" t="s">
        <v>251</v>
      </c>
      <c r="L553" s="4" t="s">
        <v>3180</v>
      </c>
      <c r="M553" s="5" t="s">
        <v>4611</v>
      </c>
      <c r="N553" s="6">
        <f>897</f>
        <v>897</v>
      </c>
      <c r="O553" s="4" t="s">
        <v>265</v>
      </c>
      <c r="P553" s="6">
        <f>9867</f>
        <v>9867</v>
      </c>
      <c r="Q553" s="6">
        <f>0</f>
        <v>0</v>
      </c>
      <c r="S553" s="6">
        <f>0</f>
        <v>0</v>
      </c>
      <c r="T553" s="6">
        <f>9867</f>
        <v>9867</v>
      </c>
      <c r="U553" s="5" t="s">
        <v>245</v>
      </c>
      <c r="V553" s="4" t="s">
        <v>270</v>
      </c>
      <c r="W553" s="4" t="s">
        <v>242</v>
      </c>
      <c r="X553" s="4" t="s">
        <v>243</v>
      </c>
      <c r="Y553" s="4" t="s">
        <v>241</v>
      </c>
      <c r="AB553" s="4" t="s">
        <v>241</v>
      </c>
      <c r="AD553" s="5" t="s">
        <v>241</v>
      </c>
      <c r="AG553" s="5" t="s">
        <v>246</v>
      </c>
      <c r="AH553" s="4" t="s">
        <v>241</v>
      </c>
      <c r="AI553" s="4" t="s">
        <v>247</v>
      </c>
      <c r="AJ553" s="4" t="s">
        <v>248</v>
      </c>
      <c r="AZ553" s="4" t="s">
        <v>249</v>
      </c>
      <c r="BA553" s="4" t="s">
        <v>241</v>
      </c>
      <c r="BB553" s="4" t="s">
        <v>250</v>
      </c>
      <c r="BC553" s="4" t="s">
        <v>241</v>
      </c>
      <c r="BD553" s="4" t="s">
        <v>252</v>
      </c>
      <c r="BE553" s="4" t="s">
        <v>241</v>
      </c>
      <c r="BI553" s="4" t="s">
        <v>253</v>
      </c>
      <c r="BJ553" s="5" t="s">
        <v>246</v>
      </c>
      <c r="BK553" s="4" t="s">
        <v>254</v>
      </c>
      <c r="BL553" s="4" t="s">
        <v>255</v>
      </c>
      <c r="BM553" s="4" t="s">
        <v>241</v>
      </c>
      <c r="BN553" s="6">
        <f>0</f>
        <v>0</v>
      </c>
      <c r="BO553" s="6">
        <f>0</f>
        <v>0</v>
      </c>
      <c r="BP553" s="4" t="s">
        <v>256</v>
      </c>
      <c r="BQ553" s="4" t="s">
        <v>257</v>
      </c>
      <c r="CE553" s="4" t="s">
        <v>241</v>
      </c>
      <c r="CF553" s="4" t="s">
        <v>241</v>
      </c>
      <c r="CJ553" s="4" t="s">
        <v>258</v>
      </c>
      <c r="CK553" s="4" t="s">
        <v>259</v>
      </c>
      <c r="CL553" s="4" t="s">
        <v>241</v>
      </c>
      <c r="CO553" s="5" t="s">
        <v>260</v>
      </c>
      <c r="CP553" s="4" t="s">
        <v>241</v>
      </c>
      <c r="CQ553" s="4" t="s">
        <v>261</v>
      </c>
      <c r="CR553" s="4" t="s">
        <v>241</v>
      </c>
      <c r="CS553" s="4" t="s">
        <v>241</v>
      </c>
      <c r="CT553" s="4">
        <v>0</v>
      </c>
      <c r="CU553" s="4" t="s">
        <v>262</v>
      </c>
      <c r="CV553" s="4" t="s">
        <v>263</v>
      </c>
      <c r="CW553" s="4" t="s">
        <v>263</v>
      </c>
      <c r="CX553" s="4" t="s">
        <v>264</v>
      </c>
      <c r="DA553" s="6">
        <f>9867</f>
        <v>9867</v>
      </c>
      <c r="DC553" s="4" t="s">
        <v>3160</v>
      </c>
      <c r="DD553" s="4" t="s">
        <v>241</v>
      </c>
      <c r="DF553" s="4" t="s">
        <v>287</v>
      </c>
      <c r="DG553" s="6">
        <f>0</f>
        <v>0</v>
      </c>
      <c r="DI553" s="4" t="s">
        <v>3167</v>
      </c>
      <c r="DJ553" s="4" t="s">
        <v>241</v>
      </c>
      <c r="DK553" s="4" t="s">
        <v>241</v>
      </c>
      <c r="DL553" s="4" t="s">
        <v>241</v>
      </c>
      <c r="DP553" s="4" t="s">
        <v>241</v>
      </c>
      <c r="DQ553" s="4" t="s">
        <v>241</v>
      </c>
      <c r="DR553" s="4" t="s">
        <v>241</v>
      </c>
      <c r="DS553" s="4" t="s">
        <v>241</v>
      </c>
      <c r="DV553" s="4" t="s">
        <v>4520</v>
      </c>
      <c r="DW553" s="4" t="s">
        <v>1689</v>
      </c>
      <c r="HO553" s="4" t="s">
        <v>267</v>
      </c>
    </row>
    <row r="554" spans="1:223" ht="19.5" customHeight="1" x14ac:dyDescent="0.4">
      <c r="A554" s="4">
        <v>1</v>
      </c>
      <c r="B554" s="4" t="s">
        <v>239</v>
      </c>
      <c r="C554" s="4">
        <v>1416</v>
      </c>
      <c r="D554" s="4">
        <v>1</v>
      </c>
      <c r="E554" s="4">
        <v>1</v>
      </c>
      <c r="F554" s="4" t="s">
        <v>240</v>
      </c>
      <c r="G554" s="4" t="s">
        <v>241</v>
      </c>
      <c r="H554" s="4" t="s">
        <v>241</v>
      </c>
      <c r="I554" s="4" t="s">
        <v>4518</v>
      </c>
      <c r="J554" s="4" t="s">
        <v>3158</v>
      </c>
      <c r="K554" s="4" t="s">
        <v>251</v>
      </c>
      <c r="L554" s="4" t="s">
        <v>3180</v>
      </c>
      <c r="M554" s="5" t="s">
        <v>4612</v>
      </c>
      <c r="N554" s="6">
        <f>2173</f>
        <v>2173</v>
      </c>
      <c r="O554" s="4" t="s">
        <v>265</v>
      </c>
      <c r="P554" s="6">
        <f>23903</f>
        <v>23903</v>
      </c>
      <c r="Q554" s="6">
        <f>0</f>
        <v>0</v>
      </c>
      <c r="S554" s="6">
        <f>0</f>
        <v>0</v>
      </c>
      <c r="T554" s="6">
        <f>23903</f>
        <v>23903</v>
      </c>
      <c r="U554" s="5" t="s">
        <v>245</v>
      </c>
      <c r="V554" s="4" t="s">
        <v>270</v>
      </c>
      <c r="W554" s="4" t="s">
        <v>242</v>
      </c>
      <c r="X554" s="4" t="s">
        <v>243</v>
      </c>
      <c r="Y554" s="4" t="s">
        <v>241</v>
      </c>
      <c r="AB554" s="4" t="s">
        <v>241</v>
      </c>
      <c r="AD554" s="5" t="s">
        <v>241</v>
      </c>
      <c r="AG554" s="5" t="s">
        <v>246</v>
      </c>
      <c r="AH554" s="4" t="s">
        <v>241</v>
      </c>
      <c r="AI554" s="4" t="s">
        <v>247</v>
      </c>
      <c r="AJ554" s="4" t="s">
        <v>248</v>
      </c>
      <c r="AZ554" s="4" t="s">
        <v>249</v>
      </c>
      <c r="BA554" s="4" t="s">
        <v>241</v>
      </c>
      <c r="BB554" s="4" t="s">
        <v>250</v>
      </c>
      <c r="BC554" s="4" t="s">
        <v>241</v>
      </c>
      <c r="BD554" s="4" t="s">
        <v>252</v>
      </c>
      <c r="BE554" s="4" t="s">
        <v>241</v>
      </c>
      <c r="BI554" s="4" t="s">
        <v>253</v>
      </c>
      <c r="BJ554" s="5" t="s">
        <v>246</v>
      </c>
      <c r="BK554" s="4" t="s">
        <v>254</v>
      </c>
      <c r="BL554" s="4" t="s">
        <v>255</v>
      </c>
      <c r="BM554" s="4" t="s">
        <v>241</v>
      </c>
      <c r="BN554" s="6">
        <f>0</f>
        <v>0</v>
      </c>
      <c r="BO554" s="6">
        <f>0</f>
        <v>0</v>
      </c>
      <c r="BP554" s="4" t="s">
        <v>256</v>
      </c>
      <c r="BQ554" s="4" t="s">
        <v>257</v>
      </c>
      <c r="CE554" s="4" t="s">
        <v>241</v>
      </c>
      <c r="CF554" s="4" t="s">
        <v>241</v>
      </c>
      <c r="CJ554" s="4" t="s">
        <v>258</v>
      </c>
      <c r="CK554" s="4" t="s">
        <v>259</v>
      </c>
      <c r="CL554" s="4" t="s">
        <v>241</v>
      </c>
      <c r="CO554" s="5" t="s">
        <v>260</v>
      </c>
      <c r="CP554" s="4" t="s">
        <v>241</v>
      </c>
      <c r="CQ554" s="4" t="s">
        <v>261</v>
      </c>
      <c r="CR554" s="4" t="s">
        <v>241</v>
      </c>
      <c r="CS554" s="4" t="s">
        <v>241</v>
      </c>
      <c r="CT554" s="4">
        <v>0</v>
      </c>
      <c r="CU554" s="4" t="s">
        <v>262</v>
      </c>
      <c r="CV554" s="4" t="s">
        <v>263</v>
      </c>
      <c r="CW554" s="4" t="s">
        <v>263</v>
      </c>
      <c r="CX554" s="4" t="s">
        <v>264</v>
      </c>
      <c r="DA554" s="6">
        <f>23903</f>
        <v>23903</v>
      </c>
      <c r="DC554" s="4" t="s">
        <v>3160</v>
      </c>
      <c r="DD554" s="4" t="s">
        <v>241</v>
      </c>
      <c r="DF554" s="4" t="s">
        <v>287</v>
      </c>
      <c r="DG554" s="6">
        <f>0</f>
        <v>0</v>
      </c>
      <c r="DI554" s="4" t="s">
        <v>3167</v>
      </c>
      <c r="DJ554" s="4" t="s">
        <v>241</v>
      </c>
      <c r="DK554" s="4" t="s">
        <v>241</v>
      </c>
      <c r="DL554" s="4" t="s">
        <v>241</v>
      </c>
      <c r="DP554" s="4" t="s">
        <v>241</v>
      </c>
      <c r="DQ554" s="4" t="s">
        <v>241</v>
      </c>
      <c r="DR554" s="4" t="s">
        <v>241</v>
      </c>
      <c r="DS554" s="4" t="s">
        <v>241</v>
      </c>
      <c r="DV554" s="4" t="s">
        <v>4520</v>
      </c>
      <c r="DW554" s="4" t="s">
        <v>1687</v>
      </c>
      <c r="HO554" s="4" t="s">
        <v>267</v>
      </c>
    </row>
    <row r="555" spans="1:223" ht="19.5" customHeight="1" x14ac:dyDescent="0.4">
      <c r="A555" s="4">
        <v>1</v>
      </c>
      <c r="B555" s="4" t="s">
        <v>239</v>
      </c>
      <c r="C555" s="4">
        <v>1417</v>
      </c>
      <c r="D555" s="4">
        <v>1</v>
      </c>
      <c r="E555" s="4">
        <v>1</v>
      </c>
      <c r="F555" s="4" t="s">
        <v>240</v>
      </c>
      <c r="G555" s="4" t="s">
        <v>241</v>
      </c>
      <c r="H555" s="4" t="s">
        <v>241</v>
      </c>
      <c r="I555" s="4" t="s">
        <v>4518</v>
      </c>
      <c r="J555" s="4" t="s">
        <v>3158</v>
      </c>
      <c r="K555" s="4" t="s">
        <v>251</v>
      </c>
      <c r="L555" s="4" t="s">
        <v>3180</v>
      </c>
      <c r="M555" s="5" t="s">
        <v>4613</v>
      </c>
      <c r="N555" s="6">
        <f>1321</f>
        <v>1321</v>
      </c>
      <c r="O555" s="4" t="s">
        <v>265</v>
      </c>
      <c r="P555" s="6">
        <f>14531</f>
        <v>14531</v>
      </c>
      <c r="Q555" s="6">
        <f>0</f>
        <v>0</v>
      </c>
      <c r="S555" s="6">
        <f>0</f>
        <v>0</v>
      </c>
      <c r="T555" s="6">
        <f>14531</f>
        <v>14531</v>
      </c>
      <c r="U555" s="5" t="s">
        <v>245</v>
      </c>
      <c r="V555" s="4" t="s">
        <v>270</v>
      </c>
      <c r="W555" s="4" t="s">
        <v>242</v>
      </c>
      <c r="X555" s="4" t="s">
        <v>243</v>
      </c>
      <c r="Y555" s="4" t="s">
        <v>241</v>
      </c>
      <c r="AB555" s="4" t="s">
        <v>241</v>
      </c>
      <c r="AD555" s="5" t="s">
        <v>241</v>
      </c>
      <c r="AG555" s="5" t="s">
        <v>246</v>
      </c>
      <c r="AH555" s="4" t="s">
        <v>241</v>
      </c>
      <c r="AI555" s="4" t="s">
        <v>247</v>
      </c>
      <c r="AJ555" s="4" t="s">
        <v>248</v>
      </c>
      <c r="AZ555" s="4" t="s">
        <v>249</v>
      </c>
      <c r="BA555" s="4" t="s">
        <v>241</v>
      </c>
      <c r="BB555" s="4" t="s">
        <v>250</v>
      </c>
      <c r="BC555" s="4" t="s">
        <v>241</v>
      </c>
      <c r="BD555" s="4" t="s">
        <v>252</v>
      </c>
      <c r="BE555" s="4" t="s">
        <v>241</v>
      </c>
      <c r="BI555" s="4" t="s">
        <v>253</v>
      </c>
      <c r="BJ555" s="5" t="s">
        <v>246</v>
      </c>
      <c r="BK555" s="4" t="s">
        <v>254</v>
      </c>
      <c r="BL555" s="4" t="s">
        <v>255</v>
      </c>
      <c r="BM555" s="4" t="s">
        <v>241</v>
      </c>
      <c r="BN555" s="6">
        <f>0</f>
        <v>0</v>
      </c>
      <c r="BO555" s="6">
        <f>0</f>
        <v>0</v>
      </c>
      <c r="BP555" s="4" t="s">
        <v>256</v>
      </c>
      <c r="BQ555" s="4" t="s">
        <v>257</v>
      </c>
      <c r="CE555" s="4" t="s">
        <v>241</v>
      </c>
      <c r="CF555" s="4" t="s">
        <v>241</v>
      </c>
      <c r="CJ555" s="4" t="s">
        <v>258</v>
      </c>
      <c r="CK555" s="4" t="s">
        <v>259</v>
      </c>
      <c r="CL555" s="4" t="s">
        <v>241</v>
      </c>
      <c r="CO555" s="5" t="s">
        <v>260</v>
      </c>
      <c r="CP555" s="4" t="s">
        <v>241</v>
      </c>
      <c r="CQ555" s="4" t="s">
        <v>261</v>
      </c>
      <c r="CR555" s="4" t="s">
        <v>241</v>
      </c>
      <c r="CS555" s="4" t="s">
        <v>241</v>
      </c>
      <c r="CT555" s="4">
        <v>0</v>
      </c>
      <c r="CU555" s="4" t="s">
        <v>262</v>
      </c>
      <c r="CV555" s="4" t="s">
        <v>263</v>
      </c>
      <c r="CW555" s="4" t="s">
        <v>263</v>
      </c>
      <c r="CX555" s="4" t="s">
        <v>264</v>
      </c>
      <c r="DA555" s="6">
        <f>14531</f>
        <v>14531</v>
      </c>
      <c r="DC555" s="4" t="s">
        <v>3160</v>
      </c>
      <c r="DD555" s="4" t="s">
        <v>241</v>
      </c>
      <c r="DF555" s="4" t="s">
        <v>287</v>
      </c>
      <c r="DG555" s="6">
        <f>0</f>
        <v>0</v>
      </c>
      <c r="DI555" s="4" t="s">
        <v>3167</v>
      </c>
      <c r="DJ555" s="4" t="s">
        <v>241</v>
      </c>
      <c r="DK555" s="4" t="s">
        <v>241</v>
      </c>
      <c r="DL555" s="4" t="s">
        <v>241</v>
      </c>
      <c r="DP555" s="4" t="s">
        <v>241</v>
      </c>
      <c r="DQ555" s="4" t="s">
        <v>241</v>
      </c>
      <c r="DR555" s="4" t="s">
        <v>241</v>
      </c>
      <c r="DS555" s="4" t="s">
        <v>241</v>
      </c>
      <c r="DV555" s="4" t="s">
        <v>4520</v>
      </c>
      <c r="DW555" s="4" t="s">
        <v>1685</v>
      </c>
      <c r="HO555" s="4" t="s">
        <v>267</v>
      </c>
    </row>
    <row r="556" spans="1:223" ht="19.5" customHeight="1" x14ac:dyDescent="0.4">
      <c r="A556" s="4">
        <v>1</v>
      </c>
      <c r="B556" s="4" t="s">
        <v>239</v>
      </c>
      <c r="C556" s="4">
        <v>1418</v>
      </c>
      <c r="D556" s="4">
        <v>1</v>
      </c>
      <c r="E556" s="4">
        <v>1</v>
      </c>
      <c r="F556" s="4" t="s">
        <v>240</v>
      </c>
      <c r="G556" s="4" t="s">
        <v>241</v>
      </c>
      <c r="H556" s="4" t="s">
        <v>241</v>
      </c>
      <c r="I556" s="4" t="s">
        <v>4518</v>
      </c>
      <c r="J556" s="4" t="s">
        <v>3158</v>
      </c>
      <c r="K556" s="4" t="s">
        <v>251</v>
      </c>
      <c r="L556" s="4" t="s">
        <v>3180</v>
      </c>
      <c r="M556" s="5" t="s">
        <v>4614</v>
      </c>
      <c r="N556" s="6">
        <f>3638</f>
        <v>3638</v>
      </c>
      <c r="O556" s="4" t="s">
        <v>265</v>
      </c>
      <c r="P556" s="6">
        <f>40018</f>
        <v>40018</v>
      </c>
      <c r="Q556" s="6">
        <f>0</f>
        <v>0</v>
      </c>
      <c r="S556" s="6">
        <f>0</f>
        <v>0</v>
      </c>
      <c r="T556" s="6">
        <f>40018</f>
        <v>40018</v>
      </c>
      <c r="U556" s="5" t="s">
        <v>245</v>
      </c>
      <c r="V556" s="4" t="s">
        <v>270</v>
      </c>
      <c r="W556" s="4" t="s">
        <v>242</v>
      </c>
      <c r="X556" s="4" t="s">
        <v>243</v>
      </c>
      <c r="Y556" s="4" t="s">
        <v>241</v>
      </c>
      <c r="AB556" s="4" t="s">
        <v>241</v>
      </c>
      <c r="AD556" s="5" t="s">
        <v>241</v>
      </c>
      <c r="AG556" s="5" t="s">
        <v>246</v>
      </c>
      <c r="AH556" s="4" t="s">
        <v>241</v>
      </c>
      <c r="AI556" s="4" t="s">
        <v>247</v>
      </c>
      <c r="AJ556" s="4" t="s">
        <v>248</v>
      </c>
      <c r="AZ556" s="4" t="s">
        <v>249</v>
      </c>
      <c r="BA556" s="4" t="s">
        <v>241</v>
      </c>
      <c r="BB556" s="4" t="s">
        <v>250</v>
      </c>
      <c r="BC556" s="4" t="s">
        <v>241</v>
      </c>
      <c r="BD556" s="4" t="s">
        <v>252</v>
      </c>
      <c r="BE556" s="4" t="s">
        <v>241</v>
      </c>
      <c r="BI556" s="4" t="s">
        <v>253</v>
      </c>
      <c r="BJ556" s="5" t="s">
        <v>246</v>
      </c>
      <c r="BK556" s="4" t="s">
        <v>254</v>
      </c>
      <c r="BL556" s="4" t="s">
        <v>255</v>
      </c>
      <c r="BM556" s="4" t="s">
        <v>241</v>
      </c>
      <c r="BN556" s="6">
        <f>0</f>
        <v>0</v>
      </c>
      <c r="BO556" s="6">
        <f>0</f>
        <v>0</v>
      </c>
      <c r="BP556" s="4" t="s">
        <v>256</v>
      </c>
      <c r="BQ556" s="4" t="s">
        <v>257</v>
      </c>
      <c r="CE556" s="4" t="s">
        <v>241</v>
      </c>
      <c r="CF556" s="4" t="s">
        <v>241</v>
      </c>
      <c r="CJ556" s="4" t="s">
        <v>258</v>
      </c>
      <c r="CK556" s="4" t="s">
        <v>259</v>
      </c>
      <c r="CL556" s="4" t="s">
        <v>241</v>
      </c>
      <c r="CO556" s="5" t="s">
        <v>260</v>
      </c>
      <c r="CP556" s="4" t="s">
        <v>241</v>
      </c>
      <c r="CQ556" s="4" t="s">
        <v>261</v>
      </c>
      <c r="CR556" s="4" t="s">
        <v>241</v>
      </c>
      <c r="CS556" s="4" t="s">
        <v>241</v>
      </c>
      <c r="CT556" s="4">
        <v>0</v>
      </c>
      <c r="CU556" s="4" t="s">
        <v>262</v>
      </c>
      <c r="CV556" s="4" t="s">
        <v>263</v>
      </c>
      <c r="CW556" s="4" t="s">
        <v>263</v>
      </c>
      <c r="CX556" s="4" t="s">
        <v>264</v>
      </c>
      <c r="DA556" s="6">
        <f>40018</f>
        <v>40018</v>
      </c>
      <c r="DC556" s="4" t="s">
        <v>3160</v>
      </c>
      <c r="DD556" s="4" t="s">
        <v>241</v>
      </c>
      <c r="DF556" s="4" t="s">
        <v>287</v>
      </c>
      <c r="DG556" s="6">
        <f>0</f>
        <v>0</v>
      </c>
      <c r="DI556" s="4" t="s">
        <v>3167</v>
      </c>
      <c r="DJ556" s="4" t="s">
        <v>241</v>
      </c>
      <c r="DK556" s="4" t="s">
        <v>241</v>
      </c>
      <c r="DL556" s="4" t="s">
        <v>241</v>
      </c>
      <c r="DP556" s="4" t="s">
        <v>241</v>
      </c>
      <c r="DQ556" s="4" t="s">
        <v>241</v>
      </c>
      <c r="DR556" s="4" t="s">
        <v>241</v>
      </c>
      <c r="DS556" s="4" t="s">
        <v>241</v>
      </c>
      <c r="DV556" s="4" t="s">
        <v>4520</v>
      </c>
      <c r="DW556" s="4" t="s">
        <v>1683</v>
      </c>
      <c r="HO556" s="4" t="s">
        <v>267</v>
      </c>
    </row>
    <row r="557" spans="1:223" ht="19.5" customHeight="1" x14ac:dyDescent="0.4">
      <c r="A557" s="4">
        <v>1</v>
      </c>
      <c r="B557" s="4" t="s">
        <v>239</v>
      </c>
      <c r="C557" s="4">
        <v>1419</v>
      </c>
      <c r="D557" s="4">
        <v>1</v>
      </c>
      <c r="E557" s="4">
        <v>1</v>
      </c>
      <c r="F557" s="4" t="s">
        <v>240</v>
      </c>
      <c r="G557" s="4" t="s">
        <v>241</v>
      </c>
      <c r="H557" s="4" t="s">
        <v>241</v>
      </c>
      <c r="I557" s="4" t="s">
        <v>4518</v>
      </c>
      <c r="J557" s="4" t="s">
        <v>3158</v>
      </c>
      <c r="K557" s="4" t="s">
        <v>251</v>
      </c>
      <c r="L557" s="4" t="s">
        <v>3180</v>
      </c>
      <c r="M557" s="5" t="s">
        <v>4615</v>
      </c>
      <c r="N557" s="6">
        <f>1885</f>
        <v>1885</v>
      </c>
      <c r="O557" s="4" t="s">
        <v>265</v>
      </c>
      <c r="P557" s="6">
        <f>20735</f>
        <v>20735</v>
      </c>
      <c r="Q557" s="6">
        <f>0</f>
        <v>0</v>
      </c>
      <c r="S557" s="6">
        <f>0</f>
        <v>0</v>
      </c>
      <c r="T557" s="6">
        <f>20735</f>
        <v>20735</v>
      </c>
      <c r="U557" s="5" t="s">
        <v>245</v>
      </c>
      <c r="V557" s="4" t="s">
        <v>270</v>
      </c>
      <c r="W557" s="4" t="s">
        <v>242</v>
      </c>
      <c r="X557" s="4" t="s">
        <v>243</v>
      </c>
      <c r="Y557" s="4" t="s">
        <v>241</v>
      </c>
      <c r="AB557" s="4" t="s">
        <v>241</v>
      </c>
      <c r="AD557" s="5" t="s">
        <v>241</v>
      </c>
      <c r="AG557" s="5" t="s">
        <v>246</v>
      </c>
      <c r="AH557" s="4" t="s">
        <v>241</v>
      </c>
      <c r="AI557" s="4" t="s">
        <v>247</v>
      </c>
      <c r="AJ557" s="4" t="s">
        <v>248</v>
      </c>
      <c r="AZ557" s="4" t="s">
        <v>249</v>
      </c>
      <c r="BA557" s="4" t="s">
        <v>241</v>
      </c>
      <c r="BB557" s="4" t="s">
        <v>250</v>
      </c>
      <c r="BC557" s="4" t="s">
        <v>241</v>
      </c>
      <c r="BD557" s="4" t="s">
        <v>252</v>
      </c>
      <c r="BE557" s="4" t="s">
        <v>241</v>
      </c>
      <c r="BI557" s="4" t="s">
        <v>253</v>
      </c>
      <c r="BJ557" s="5" t="s">
        <v>246</v>
      </c>
      <c r="BK557" s="4" t="s">
        <v>254</v>
      </c>
      <c r="BL557" s="4" t="s">
        <v>255</v>
      </c>
      <c r="BM557" s="4" t="s">
        <v>241</v>
      </c>
      <c r="BN557" s="6">
        <f>0</f>
        <v>0</v>
      </c>
      <c r="BO557" s="6">
        <f>0</f>
        <v>0</v>
      </c>
      <c r="BP557" s="4" t="s">
        <v>256</v>
      </c>
      <c r="BQ557" s="4" t="s">
        <v>257</v>
      </c>
      <c r="CE557" s="4" t="s">
        <v>241</v>
      </c>
      <c r="CF557" s="4" t="s">
        <v>241</v>
      </c>
      <c r="CJ557" s="4" t="s">
        <v>258</v>
      </c>
      <c r="CK557" s="4" t="s">
        <v>259</v>
      </c>
      <c r="CL557" s="4" t="s">
        <v>241</v>
      </c>
      <c r="CO557" s="5" t="s">
        <v>260</v>
      </c>
      <c r="CP557" s="4" t="s">
        <v>241</v>
      </c>
      <c r="CQ557" s="4" t="s">
        <v>261</v>
      </c>
      <c r="CR557" s="4" t="s">
        <v>241</v>
      </c>
      <c r="CS557" s="4" t="s">
        <v>241</v>
      </c>
      <c r="CT557" s="4">
        <v>0</v>
      </c>
      <c r="CU557" s="4" t="s">
        <v>262</v>
      </c>
      <c r="CV557" s="4" t="s">
        <v>263</v>
      </c>
      <c r="CW557" s="4" t="s">
        <v>263</v>
      </c>
      <c r="CX557" s="4" t="s">
        <v>264</v>
      </c>
      <c r="DA557" s="6">
        <f>20735</f>
        <v>20735</v>
      </c>
      <c r="DC557" s="4" t="s">
        <v>3160</v>
      </c>
      <c r="DD557" s="4" t="s">
        <v>241</v>
      </c>
      <c r="DF557" s="4" t="s">
        <v>287</v>
      </c>
      <c r="DG557" s="6">
        <f>0</f>
        <v>0</v>
      </c>
      <c r="DI557" s="4" t="s">
        <v>3167</v>
      </c>
      <c r="DJ557" s="4" t="s">
        <v>241</v>
      </c>
      <c r="DK557" s="4" t="s">
        <v>241</v>
      </c>
      <c r="DL557" s="4" t="s">
        <v>241</v>
      </c>
      <c r="DP557" s="4" t="s">
        <v>241</v>
      </c>
      <c r="DQ557" s="4" t="s">
        <v>241</v>
      </c>
      <c r="DR557" s="4" t="s">
        <v>241</v>
      </c>
      <c r="DS557" s="4" t="s">
        <v>241</v>
      </c>
      <c r="DV557" s="4" t="s">
        <v>4520</v>
      </c>
      <c r="DW557" s="4" t="s">
        <v>1681</v>
      </c>
      <c r="HO557" s="4" t="s">
        <v>267</v>
      </c>
    </row>
    <row r="558" spans="1:223" ht="19.5" customHeight="1" x14ac:dyDescent="0.4">
      <c r="A558" s="4">
        <v>1</v>
      </c>
      <c r="B558" s="4" t="s">
        <v>239</v>
      </c>
      <c r="C558" s="4">
        <v>1420</v>
      </c>
      <c r="D558" s="4">
        <v>1</v>
      </c>
      <c r="E558" s="4">
        <v>1</v>
      </c>
      <c r="F558" s="4" t="s">
        <v>240</v>
      </c>
      <c r="G558" s="4" t="s">
        <v>241</v>
      </c>
      <c r="H558" s="4" t="s">
        <v>241</v>
      </c>
      <c r="I558" s="4" t="s">
        <v>4518</v>
      </c>
      <c r="J558" s="4" t="s">
        <v>3158</v>
      </c>
      <c r="K558" s="4" t="s">
        <v>251</v>
      </c>
      <c r="L558" s="4" t="s">
        <v>3180</v>
      </c>
      <c r="M558" s="5" t="s">
        <v>4616</v>
      </c>
      <c r="N558" s="6">
        <f>617</f>
        <v>617</v>
      </c>
      <c r="O558" s="4" t="s">
        <v>265</v>
      </c>
      <c r="P558" s="6">
        <f>6787</f>
        <v>6787</v>
      </c>
      <c r="Q558" s="6">
        <f>0</f>
        <v>0</v>
      </c>
      <c r="S558" s="6">
        <f>0</f>
        <v>0</v>
      </c>
      <c r="T558" s="6">
        <f>6787</f>
        <v>6787</v>
      </c>
      <c r="U558" s="5" t="s">
        <v>245</v>
      </c>
      <c r="V558" s="4" t="s">
        <v>270</v>
      </c>
      <c r="W558" s="4" t="s">
        <v>242</v>
      </c>
      <c r="X558" s="4" t="s">
        <v>243</v>
      </c>
      <c r="Y558" s="4" t="s">
        <v>241</v>
      </c>
      <c r="AB558" s="4" t="s">
        <v>241</v>
      </c>
      <c r="AD558" s="5" t="s">
        <v>241</v>
      </c>
      <c r="AG558" s="5" t="s">
        <v>246</v>
      </c>
      <c r="AH558" s="4" t="s">
        <v>241</v>
      </c>
      <c r="AI558" s="4" t="s">
        <v>247</v>
      </c>
      <c r="AJ558" s="4" t="s">
        <v>248</v>
      </c>
      <c r="AZ558" s="4" t="s">
        <v>249</v>
      </c>
      <c r="BA558" s="4" t="s">
        <v>241</v>
      </c>
      <c r="BB558" s="4" t="s">
        <v>250</v>
      </c>
      <c r="BC558" s="4" t="s">
        <v>241</v>
      </c>
      <c r="BD558" s="4" t="s">
        <v>252</v>
      </c>
      <c r="BE558" s="4" t="s">
        <v>241</v>
      </c>
      <c r="BI558" s="4" t="s">
        <v>253</v>
      </c>
      <c r="BJ558" s="5" t="s">
        <v>246</v>
      </c>
      <c r="BK558" s="4" t="s">
        <v>254</v>
      </c>
      <c r="BL558" s="4" t="s">
        <v>255</v>
      </c>
      <c r="BM558" s="4" t="s">
        <v>241</v>
      </c>
      <c r="BN558" s="6">
        <f>0</f>
        <v>0</v>
      </c>
      <c r="BO558" s="6">
        <f>0</f>
        <v>0</v>
      </c>
      <c r="BP558" s="4" t="s">
        <v>256</v>
      </c>
      <c r="BQ558" s="4" t="s">
        <v>257</v>
      </c>
      <c r="CE558" s="4" t="s">
        <v>241</v>
      </c>
      <c r="CF558" s="4" t="s">
        <v>241</v>
      </c>
      <c r="CJ558" s="4" t="s">
        <v>258</v>
      </c>
      <c r="CK558" s="4" t="s">
        <v>259</v>
      </c>
      <c r="CL558" s="4" t="s">
        <v>241</v>
      </c>
      <c r="CO558" s="5" t="s">
        <v>260</v>
      </c>
      <c r="CP558" s="4" t="s">
        <v>241</v>
      </c>
      <c r="CQ558" s="4" t="s">
        <v>261</v>
      </c>
      <c r="CR558" s="4" t="s">
        <v>241</v>
      </c>
      <c r="CS558" s="4" t="s">
        <v>241</v>
      </c>
      <c r="CT558" s="4">
        <v>0</v>
      </c>
      <c r="CU558" s="4" t="s">
        <v>262</v>
      </c>
      <c r="CV558" s="4" t="s">
        <v>263</v>
      </c>
      <c r="CW558" s="4" t="s">
        <v>263</v>
      </c>
      <c r="CX558" s="4" t="s">
        <v>264</v>
      </c>
      <c r="DA558" s="6">
        <f>6787</f>
        <v>6787</v>
      </c>
      <c r="DC558" s="4" t="s">
        <v>3160</v>
      </c>
      <c r="DD558" s="4" t="s">
        <v>241</v>
      </c>
      <c r="DF558" s="4" t="s">
        <v>287</v>
      </c>
      <c r="DG558" s="6">
        <f>0</f>
        <v>0</v>
      </c>
      <c r="DI558" s="4" t="s">
        <v>3167</v>
      </c>
      <c r="DJ558" s="4" t="s">
        <v>241</v>
      </c>
      <c r="DK558" s="4" t="s">
        <v>241</v>
      </c>
      <c r="DL558" s="4" t="s">
        <v>241</v>
      </c>
      <c r="DP558" s="4" t="s">
        <v>241</v>
      </c>
      <c r="DQ558" s="4" t="s">
        <v>241</v>
      </c>
      <c r="DR558" s="4" t="s">
        <v>241</v>
      </c>
      <c r="DS558" s="4" t="s">
        <v>241</v>
      </c>
      <c r="DV558" s="4" t="s">
        <v>4520</v>
      </c>
      <c r="DW558" s="4" t="s">
        <v>1679</v>
      </c>
      <c r="HO558" s="4" t="s">
        <v>267</v>
      </c>
    </row>
    <row r="559" spans="1:223" ht="19.5" customHeight="1" x14ac:dyDescent="0.4">
      <c r="A559" s="4">
        <v>1</v>
      </c>
      <c r="B559" s="4" t="s">
        <v>239</v>
      </c>
      <c r="C559" s="4">
        <v>1421</v>
      </c>
      <c r="D559" s="4">
        <v>1</v>
      </c>
      <c r="E559" s="4">
        <v>1</v>
      </c>
      <c r="F559" s="4" t="s">
        <v>240</v>
      </c>
      <c r="G559" s="4" t="s">
        <v>241</v>
      </c>
      <c r="H559" s="4" t="s">
        <v>241</v>
      </c>
      <c r="I559" s="4" t="s">
        <v>4518</v>
      </c>
      <c r="J559" s="4" t="s">
        <v>3158</v>
      </c>
      <c r="K559" s="4" t="s">
        <v>251</v>
      </c>
      <c r="L559" s="4" t="s">
        <v>3180</v>
      </c>
      <c r="M559" s="5" t="s">
        <v>5447</v>
      </c>
      <c r="N559" s="6">
        <f>1738</f>
        <v>1738</v>
      </c>
      <c r="O559" s="4" t="s">
        <v>265</v>
      </c>
      <c r="P559" s="6">
        <f>19118</f>
        <v>19118</v>
      </c>
      <c r="Q559" s="6">
        <f>0</f>
        <v>0</v>
      </c>
      <c r="S559" s="6">
        <f>0</f>
        <v>0</v>
      </c>
      <c r="T559" s="6">
        <f>19118</f>
        <v>19118</v>
      </c>
      <c r="U559" s="5" t="s">
        <v>245</v>
      </c>
      <c r="V559" s="4" t="s">
        <v>270</v>
      </c>
      <c r="W559" s="4" t="s">
        <v>242</v>
      </c>
      <c r="X559" s="4" t="s">
        <v>243</v>
      </c>
      <c r="Y559" s="4" t="s">
        <v>241</v>
      </c>
      <c r="AB559" s="4" t="s">
        <v>241</v>
      </c>
      <c r="AD559" s="5" t="s">
        <v>241</v>
      </c>
      <c r="AG559" s="5" t="s">
        <v>246</v>
      </c>
      <c r="AH559" s="4" t="s">
        <v>241</v>
      </c>
      <c r="AI559" s="4" t="s">
        <v>247</v>
      </c>
      <c r="AJ559" s="4" t="s">
        <v>248</v>
      </c>
      <c r="AZ559" s="4" t="s">
        <v>249</v>
      </c>
      <c r="BA559" s="4" t="s">
        <v>241</v>
      </c>
      <c r="BB559" s="4" t="s">
        <v>250</v>
      </c>
      <c r="BC559" s="4" t="s">
        <v>241</v>
      </c>
      <c r="BD559" s="4" t="s">
        <v>252</v>
      </c>
      <c r="BE559" s="4" t="s">
        <v>241</v>
      </c>
      <c r="BI559" s="4" t="s">
        <v>253</v>
      </c>
      <c r="BJ559" s="5" t="s">
        <v>246</v>
      </c>
      <c r="BK559" s="4" t="s">
        <v>254</v>
      </c>
      <c r="BL559" s="4" t="s">
        <v>255</v>
      </c>
      <c r="BM559" s="4" t="s">
        <v>241</v>
      </c>
      <c r="BN559" s="6">
        <f>0</f>
        <v>0</v>
      </c>
      <c r="BO559" s="6">
        <f>0</f>
        <v>0</v>
      </c>
      <c r="BP559" s="4" t="s">
        <v>256</v>
      </c>
      <c r="BQ559" s="4" t="s">
        <v>257</v>
      </c>
      <c r="CE559" s="4" t="s">
        <v>241</v>
      </c>
      <c r="CF559" s="4" t="s">
        <v>241</v>
      </c>
      <c r="CJ559" s="4" t="s">
        <v>258</v>
      </c>
      <c r="CK559" s="4" t="s">
        <v>259</v>
      </c>
      <c r="CL559" s="4" t="s">
        <v>241</v>
      </c>
      <c r="CO559" s="5" t="s">
        <v>260</v>
      </c>
      <c r="CP559" s="4" t="s">
        <v>241</v>
      </c>
      <c r="CQ559" s="4" t="s">
        <v>261</v>
      </c>
      <c r="CR559" s="4" t="s">
        <v>241</v>
      </c>
      <c r="CS559" s="4" t="s">
        <v>241</v>
      </c>
      <c r="CT559" s="4">
        <v>0</v>
      </c>
      <c r="CU559" s="4" t="s">
        <v>262</v>
      </c>
      <c r="CV559" s="4" t="s">
        <v>263</v>
      </c>
      <c r="CW559" s="4" t="s">
        <v>263</v>
      </c>
      <c r="CX559" s="4" t="s">
        <v>264</v>
      </c>
      <c r="DA559" s="6">
        <f>19118</f>
        <v>19118</v>
      </c>
      <c r="DC559" s="4" t="s">
        <v>3160</v>
      </c>
      <c r="DD559" s="4" t="s">
        <v>241</v>
      </c>
      <c r="DF559" s="4" t="s">
        <v>287</v>
      </c>
      <c r="DG559" s="6">
        <f>0</f>
        <v>0</v>
      </c>
      <c r="DI559" s="4" t="s">
        <v>3167</v>
      </c>
      <c r="DJ559" s="4" t="s">
        <v>241</v>
      </c>
      <c r="DK559" s="4" t="s">
        <v>241</v>
      </c>
      <c r="DL559" s="4" t="s">
        <v>241</v>
      </c>
      <c r="DP559" s="4" t="s">
        <v>241</v>
      </c>
      <c r="DQ559" s="4" t="s">
        <v>241</v>
      </c>
      <c r="DR559" s="4" t="s">
        <v>241</v>
      </c>
      <c r="DS559" s="4" t="s">
        <v>241</v>
      </c>
      <c r="DV559" s="4" t="s">
        <v>4520</v>
      </c>
      <c r="DW559" s="4" t="s">
        <v>1677</v>
      </c>
      <c r="HO559" s="4" t="s">
        <v>267</v>
      </c>
    </row>
    <row r="560" spans="1:223" ht="19.5" customHeight="1" x14ac:dyDescent="0.4">
      <c r="A560" s="4">
        <v>1</v>
      </c>
      <c r="B560" s="4" t="s">
        <v>239</v>
      </c>
      <c r="C560" s="4">
        <v>1422</v>
      </c>
      <c r="D560" s="4">
        <v>1</v>
      </c>
      <c r="E560" s="4">
        <v>1</v>
      </c>
      <c r="F560" s="4" t="s">
        <v>240</v>
      </c>
      <c r="G560" s="4" t="s">
        <v>241</v>
      </c>
      <c r="H560" s="4" t="s">
        <v>241</v>
      </c>
      <c r="I560" s="4" t="s">
        <v>4518</v>
      </c>
      <c r="J560" s="4" t="s">
        <v>3158</v>
      </c>
      <c r="K560" s="4" t="s">
        <v>251</v>
      </c>
      <c r="L560" s="4" t="s">
        <v>3180</v>
      </c>
      <c r="M560" s="5" t="s">
        <v>4618</v>
      </c>
      <c r="N560" s="6">
        <f>848</f>
        <v>848</v>
      </c>
      <c r="O560" s="4" t="s">
        <v>265</v>
      </c>
      <c r="P560" s="6">
        <f>9328</f>
        <v>9328</v>
      </c>
      <c r="Q560" s="6">
        <f>0</f>
        <v>0</v>
      </c>
      <c r="S560" s="6">
        <f>0</f>
        <v>0</v>
      </c>
      <c r="T560" s="6">
        <f>9328</f>
        <v>9328</v>
      </c>
      <c r="U560" s="5" t="s">
        <v>245</v>
      </c>
      <c r="V560" s="4" t="s">
        <v>270</v>
      </c>
      <c r="W560" s="4" t="s">
        <v>242</v>
      </c>
      <c r="X560" s="4" t="s">
        <v>243</v>
      </c>
      <c r="Y560" s="4" t="s">
        <v>241</v>
      </c>
      <c r="AB560" s="4" t="s">
        <v>241</v>
      </c>
      <c r="AD560" s="5" t="s">
        <v>241</v>
      </c>
      <c r="AG560" s="5" t="s">
        <v>246</v>
      </c>
      <c r="AH560" s="4" t="s">
        <v>241</v>
      </c>
      <c r="AI560" s="4" t="s">
        <v>247</v>
      </c>
      <c r="AJ560" s="4" t="s">
        <v>248</v>
      </c>
      <c r="AZ560" s="4" t="s">
        <v>249</v>
      </c>
      <c r="BA560" s="4" t="s">
        <v>241</v>
      </c>
      <c r="BB560" s="4" t="s">
        <v>250</v>
      </c>
      <c r="BC560" s="4" t="s">
        <v>241</v>
      </c>
      <c r="BD560" s="4" t="s">
        <v>252</v>
      </c>
      <c r="BE560" s="4" t="s">
        <v>241</v>
      </c>
      <c r="BI560" s="4" t="s">
        <v>253</v>
      </c>
      <c r="BJ560" s="5" t="s">
        <v>246</v>
      </c>
      <c r="BK560" s="4" t="s">
        <v>254</v>
      </c>
      <c r="BL560" s="4" t="s">
        <v>255</v>
      </c>
      <c r="BM560" s="4" t="s">
        <v>241</v>
      </c>
      <c r="BN560" s="6">
        <f>0</f>
        <v>0</v>
      </c>
      <c r="BO560" s="6">
        <f>0</f>
        <v>0</v>
      </c>
      <c r="BP560" s="4" t="s">
        <v>256</v>
      </c>
      <c r="BQ560" s="4" t="s">
        <v>257</v>
      </c>
      <c r="CE560" s="4" t="s">
        <v>241</v>
      </c>
      <c r="CF560" s="4" t="s">
        <v>241</v>
      </c>
      <c r="CJ560" s="4" t="s">
        <v>258</v>
      </c>
      <c r="CK560" s="4" t="s">
        <v>259</v>
      </c>
      <c r="CL560" s="4" t="s">
        <v>241</v>
      </c>
      <c r="CO560" s="5" t="s">
        <v>260</v>
      </c>
      <c r="CP560" s="4" t="s">
        <v>241</v>
      </c>
      <c r="CQ560" s="4" t="s">
        <v>261</v>
      </c>
      <c r="CR560" s="4" t="s">
        <v>241</v>
      </c>
      <c r="CS560" s="4" t="s">
        <v>241</v>
      </c>
      <c r="CT560" s="4">
        <v>0</v>
      </c>
      <c r="CU560" s="4" t="s">
        <v>262</v>
      </c>
      <c r="CV560" s="4" t="s">
        <v>263</v>
      </c>
      <c r="CW560" s="4" t="s">
        <v>263</v>
      </c>
      <c r="CX560" s="4" t="s">
        <v>264</v>
      </c>
      <c r="DA560" s="6">
        <f>9328</f>
        <v>9328</v>
      </c>
      <c r="DC560" s="4" t="s">
        <v>3160</v>
      </c>
      <c r="DD560" s="4" t="s">
        <v>241</v>
      </c>
      <c r="DF560" s="4" t="s">
        <v>287</v>
      </c>
      <c r="DG560" s="6">
        <f>0</f>
        <v>0</v>
      </c>
      <c r="DI560" s="4" t="s">
        <v>3167</v>
      </c>
      <c r="DJ560" s="4" t="s">
        <v>241</v>
      </c>
      <c r="DK560" s="4" t="s">
        <v>241</v>
      </c>
      <c r="DL560" s="4" t="s">
        <v>241</v>
      </c>
      <c r="DP560" s="4" t="s">
        <v>241</v>
      </c>
      <c r="DQ560" s="4" t="s">
        <v>241</v>
      </c>
      <c r="DR560" s="4" t="s">
        <v>241</v>
      </c>
      <c r="DS560" s="4" t="s">
        <v>241</v>
      </c>
      <c r="DV560" s="4" t="s">
        <v>4520</v>
      </c>
      <c r="DW560" s="4" t="s">
        <v>2022</v>
      </c>
      <c r="HO560" s="4" t="s">
        <v>267</v>
      </c>
    </row>
    <row r="561" spans="1:223" ht="19.5" customHeight="1" x14ac:dyDescent="0.4">
      <c r="A561" s="4">
        <v>1</v>
      </c>
      <c r="B561" s="4" t="s">
        <v>239</v>
      </c>
      <c r="C561" s="4">
        <v>1423</v>
      </c>
      <c r="D561" s="4">
        <v>1</v>
      </c>
      <c r="E561" s="4">
        <v>1</v>
      </c>
      <c r="F561" s="4" t="s">
        <v>240</v>
      </c>
      <c r="G561" s="4" t="s">
        <v>241</v>
      </c>
      <c r="H561" s="4" t="s">
        <v>241</v>
      </c>
      <c r="I561" s="4" t="s">
        <v>4518</v>
      </c>
      <c r="J561" s="4" t="s">
        <v>3158</v>
      </c>
      <c r="K561" s="4" t="s">
        <v>251</v>
      </c>
      <c r="L561" s="4" t="s">
        <v>3180</v>
      </c>
      <c r="M561" s="5" t="s">
        <v>4619</v>
      </c>
      <c r="N561" s="6">
        <f>1076</f>
        <v>1076</v>
      </c>
      <c r="O561" s="4" t="s">
        <v>265</v>
      </c>
      <c r="P561" s="6">
        <f>11836</f>
        <v>11836</v>
      </c>
      <c r="Q561" s="6">
        <f>0</f>
        <v>0</v>
      </c>
      <c r="S561" s="6">
        <f>0</f>
        <v>0</v>
      </c>
      <c r="T561" s="6">
        <f>11836</f>
        <v>11836</v>
      </c>
      <c r="U561" s="5" t="s">
        <v>245</v>
      </c>
      <c r="V561" s="4" t="s">
        <v>270</v>
      </c>
      <c r="W561" s="4" t="s">
        <v>242</v>
      </c>
      <c r="X561" s="4" t="s">
        <v>243</v>
      </c>
      <c r="Y561" s="4" t="s">
        <v>241</v>
      </c>
      <c r="AB561" s="4" t="s">
        <v>241</v>
      </c>
      <c r="AD561" s="5" t="s">
        <v>241</v>
      </c>
      <c r="AG561" s="5" t="s">
        <v>246</v>
      </c>
      <c r="AH561" s="4" t="s">
        <v>241</v>
      </c>
      <c r="AI561" s="4" t="s">
        <v>247</v>
      </c>
      <c r="AJ561" s="4" t="s">
        <v>248</v>
      </c>
      <c r="AZ561" s="4" t="s">
        <v>249</v>
      </c>
      <c r="BA561" s="4" t="s">
        <v>241</v>
      </c>
      <c r="BB561" s="4" t="s">
        <v>250</v>
      </c>
      <c r="BC561" s="4" t="s">
        <v>241</v>
      </c>
      <c r="BD561" s="4" t="s">
        <v>252</v>
      </c>
      <c r="BE561" s="4" t="s">
        <v>241</v>
      </c>
      <c r="BI561" s="4" t="s">
        <v>253</v>
      </c>
      <c r="BJ561" s="5" t="s">
        <v>246</v>
      </c>
      <c r="BK561" s="4" t="s">
        <v>254</v>
      </c>
      <c r="BL561" s="4" t="s">
        <v>255</v>
      </c>
      <c r="BM561" s="4" t="s">
        <v>241</v>
      </c>
      <c r="BN561" s="6">
        <f>0</f>
        <v>0</v>
      </c>
      <c r="BO561" s="6">
        <f>0</f>
        <v>0</v>
      </c>
      <c r="BP561" s="4" t="s">
        <v>256</v>
      </c>
      <c r="BQ561" s="4" t="s">
        <v>257</v>
      </c>
      <c r="CE561" s="4" t="s">
        <v>241</v>
      </c>
      <c r="CF561" s="4" t="s">
        <v>241</v>
      </c>
      <c r="CJ561" s="4" t="s">
        <v>258</v>
      </c>
      <c r="CK561" s="4" t="s">
        <v>259</v>
      </c>
      <c r="CL561" s="4" t="s">
        <v>241</v>
      </c>
      <c r="CO561" s="5" t="s">
        <v>260</v>
      </c>
      <c r="CP561" s="4" t="s">
        <v>241</v>
      </c>
      <c r="CQ561" s="4" t="s">
        <v>261</v>
      </c>
      <c r="CR561" s="4" t="s">
        <v>241</v>
      </c>
      <c r="CS561" s="4" t="s">
        <v>241</v>
      </c>
      <c r="CT561" s="4">
        <v>0</v>
      </c>
      <c r="CU561" s="4" t="s">
        <v>262</v>
      </c>
      <c r="CV561" s="4" t="s">
        <v>263</v>
      </c>
      <c r="CW561" s="4" t="s">
        <v>263</v>
      </c>
      <c r="CX561" s="4" t="s">
        <v>264</v>
      </c>
      <c r="DA561" s="6">
        <f>11836</f>
        <v>11836</v>
      </c>
      <c r="DC561" s="4" t="s">
        <v>3160</v>
      </c>
      <c r="DD561" s="4" t="s">
        <v>241</v>
      </c>
      <c r="DF561" s="4" t="s">
        <v>287</v>
      </c>
      <c r="DG561" s="6">
        <f>0</f>
        <v>0</v>
      </c>
      <c r="DI561" s="4" t="s">
        <v>3167</v>
      </c>
      <c r="DJ561" s="4" t="s">
        <v>241</v>
      </c>
      <c r="DK561" s="4" t="s">
        <v>241</v>
      </c>
      <c r="DL561" s="4" t="s">
        <v>241</v>
      </c>
      <c r="DP561" s="4" t="s">
        <v>241</v>
      </c>
      <c r="DQ561" s="4" t="s">
        <v>241</v>
      </c>
      <c r="DR561" s="4" t="s">
        <v>241</v>
      </c>
      <c r="DS561" s="4" t="s">
        <v>241</v>
      </c>
      <c r="DV561" s="4" t="s">
        <v>4520</v>
      </c>
      <c r="DW561" s="4" t="s">
        <v>1673</v>
      </c>
      <c r="HO561" s="4" t="s">
        <v>267</v>
      </c>
    </row>
    <row r="562" spans="1:223" ht="19.5" customHeight="1" x14ac:dyDescent="0.4">
      <c r="A562" s="4">
        <v>1</v>
      </c>
      <c r="B562" s="4" t="s">
        <v>239</v>
      </c>
      <c r="C562" s="4">
        <v>1424</v>
      </c>
      <c r="D562" s="4">
        <v>1</v>
      </c>
      <c r="E562" s="4">
        <v>1</v>
      </c>
      <c r="F562" s="4" t="s">
        <v>240</v>
      </c>
      <c r="G562" s="4" t="s">
        <v>241</v>
      </c>
      <c r="H562" s="4" t="s">
        <v>241</v>
      </c>
      <c r="I562" s="4" t="s">
        <v>4518</v>
      </c>
      <c r="J562" s="4" t="s">
        <v>3158</v>
      </c>
      <c r="K562" s="4" t="s">
        <v>251</v>
      </c>
      <c r="L562" s="4" t="s">
        <v>3180</v>
      </c>
      <c r="M562" s="5" t="s">
        <v>4620</v>
      </c>
      <c r="N562" s="6">
        <f>494</f>
        <v>494</v>
      </c>
      <c r="O562" s="4" t="s">
        <v>265</v>
      </c>
      <c r="P562" s="6">
        <f>5434</f>
        <v>5434</v>
      </c>
      <c r="Q562" s="6">
        <f>0</f>
        <v>0</v>
      </c>
      <c r="S562" s="6">
        <f>0</f>
        <v>0</v>
      </c>
      <c r="T562" s="6">
        <f>5434</f>
        <v>5434</v>
      </c>
      <c r="U562" s="5" t="s">
        <v>245</v>
      </c>
      <c r="V562" s="4" t="s">
        <v>270</v>
      </c>
      <c r="W562" s="4" t="s">
        <v>242</v>
      </c>
      <c r="X562" s="4" t="s">
        <v>243</v>
      </c>
      <c r="Y562" s="4" t="s">
        <v>241</v>
      </c>
      <c r="AB562" s="4" t="s">
        <v>241</v>
      </c>
      <c r="AD562" s="5" t="s">
        <v>241</v>
      </c>
      <c r="AG562" s="5" t="s">
        <v>246</v>
      </c>
      <c r="AH562" s="4" t="s">
        <v>241</v>
      </c>
      <c r="AI562" s="4" t="s">
        <v>247</v>
      </c>
      <c r="AJ562" s="4" t="s">
        <v>248</v>
      </c>
      <c r="AZ562" s="4" t="s">
        <v>249</v>
      </c>
      <c r="BA562" s="4" t="s">
        <v>241</v>
      </c>
      <c r="BB562" s="4" t="s">
        <v>250</v>
      </c>
      <c r="BC562" s="4" t="s">
        <v>241</v>
      </c>
      <c r="BD562" s="4" t="s">
        <v>252</v>
      </c>
      <c r="BE562" s="4" t="s">
        <v>241</v>
      </c>
      <c r="BI562" s="4" t="s">
        <v>253</v>
      </c>
      <c r="BJ562" s="5" t="s">
        <v>246</v>
      </c>
      <c r="BK562" s="4" t="s">
        <v>254</v>
      </c>
      <c r="BL562" s="4" t="s">
        <v>255</v>
      </c>
      <c r="BM562" s="4" t="s">
        <v>241</v>
      </c>
      <c r="BN562" s="6">
        <f>0</f>
        <v>0</v>
      </c>
      <c r="BO562" s="6">
        <f>0</f>
        <v>0</v>
      </c>
      <c r="BP562" s="4" t="s">
        <v>256</v>
      </c>
      <c r="BQ562" s="4" t="s">
        <v>257</v>
      </c>
      <c r="CE562" s="4" t="s">
        <v>241</v>
      </c>
      <c r="CF562" s="4" t="s">
        <v>241</v>
      </c>
      <c r="CJ562" s="4" t="s">
        <v>258</v>
      </c>
      <c r="CK562" s="4" t="s">
        <v>259</v>
      </c>
      <c r="CL562" s="4" t="s">
        <v>241</v>
      </c>
      <c r="CO562" s="5" t="s">
        <v>260</v>
      </c>
      <c r="CP562" s="4" t="s">
        <v>241</v>
      </c>
      <c r="CQ562" s="4" t="s">
        <v>261</v>
      </c>
      <c r="CR562" s="4" t="s">
        <v>241</v>
      </c>
      <c r="CS562" s="4" t="s">
        <v>241</v>
      </c>
      <c r="CT562" s="4">
        <v>0</v>
      </c>
      <c r="CU562" s="4" t="s">
        <v>262</v>
      </c>
      <c r="CV562" s="4" t="s">
        <v>263</v>
      </c>
      <c r="CW562" s="4" t="s">
        <v>263</v>
      </c>
      <c r="CX562" s="4" t="s">
        <v>264</v>
      </c>
      <c r="DA562" s="6">
        <f>5434</f>
        <v>5434</v>
      </c>
      <c r="DC562" s="4" t="s">
        <v>3160</v>
      </c>
      <c r="DD562" s="4" t="s">
        <v>241</v>
      </c>
      <c r="DF562" s="4" t="s">
        <v>287</v>
      </c>
      <c r="DG562" s="6">
        <f>0</f>
        <v>0</v>
      </c>
      <c r="DI562" s="4" t="s">
        <v>3167</v>
      </c>
      <c r="DJ562" s="4" t="s">
        <v>241</v>
      </c>
      <c r="DK562" s="4" t="s">
        <v>241</v>
      </c>
      <c r="DL562" s="4" t="s">
        <v>241</v>
      </c>
      <c r="DP562" s="4" t="s">
        <v>241</v>
      </c>
      <c r="DQ562" s="4" t="s">
        <v>241</v>
      </c>
      <c r="DR562" s="4" t="s">
        <v>241</v>
      </c>
      <c r="DS562" s="4" t="s">
        <v>241</v>
      </c>
      <c r="DV562" s="4" t="s">
        <v>4520</v>
      </c>
      <c r="DW562" s="4" t="s">
        <v>444</v>
      </c>
      <c r="HO562" s="4" t="s">
        <v>267</v>
      </c>
    </row>
    <row r="563" spans="1:223" ht="19.5" customHeight="1" x14ac:dyDescent="0.4">
      <c r="A563" s="4">
        <v>1</v>
      </c>
      <c r="B563" s="4" t="s">
        <v>239</v>
      </c>
      <c r="C563" s="4">
        <v>1425</v>
      </c>
      <c r="D563" s="4">
        <v>1</v>
      </c>
      <c r="E563" s="4">
        <v>1</v>
      </c>
      <c r="F563" s="4" t="s">
        <v>240</v>
      </c>
      <c r="G563" s="4" t="s">
        <v>241</v>
      </c>
      <c r="H563" s="4" t="s">
        <v>241</v>
      </c>
      <c r="I563" s="4" t="s">
        <v>4518</v>
      </c>
      <c r="J563" s="4" t="s">
        <v>3158</v>
      </c>
      <c r="K563" s="4" t="s">
        <v>251</v>
      </c>
      <c r="L563" s="4" t="s">
        <v>3180</v>
      </c>
      <c r="M563" s="5" t="s">
        <v>5448</v>
      </c>
      <c r="N563" s="6">
        <f>536</f>
        <v>536</v>
      </c>
      <c r="O563" s="4" t="s">
        <v>265</v>
      </c>
      <c r="P563" s="6">
        <f>5896</f>
        <v>5896</v>
      </c>
      <c r="Q563" s="6">
        <f>0</f>
        <v>0</v>
      </c>
      <c r="S563" s="6">
        <f>0</f>
        <v>0</v>
      </c>
      <c r="T563" s="6">
        <f>5896</f>
        <v>5896</v>
      </c>
      <c r="U563" s="5" t="s">
        <v>245</v>
      </c>
      <c r="V563" s="4" t="s">
        <v>270</v>
      </c>
      <c r="W563" s="4" t="s">
        <v>242</v>
      </c>
      <c r="X563" s="4" t="s">
        <v>243</v>
      </c>
      <c r="Y563" s="4" t="s">
        <v>241</v>
      </c>
      <c r="AB563" s="4" t="s">
        <v>241</v>
      </c>
      <c r="AD563" s="5" t="s">
        <v>241</v>
      </c>
      <c r="AG563" s="5" t="s">
        <v>246</v>
      </c>
      <c r="AH563" s="4" t="s">
        <v>241</v>
      </c>
      <c r="AI563" s="4" t="s">
        <v>247</v>
      </c>
      <c r="AJ563" s="4" t="s">
        <v>248</v>
      </c>
      <c r="AZ563" s="4" t="s">
        <v>249</v>
      </c>
      <c r="BA563" s="4" t="s">
        <v>241</v>
      </c>
      <c r="BB563" s="4" t="s">
        <v>250</v>
      </c>
      <c r="BC563" s="4" t="s">
        <v>241</v>
      </c>
      <c r="BD563" s="4" t="s">
        <v>252</v>
      </c>
      <c r="BE563" s="4" t="s">
        <v>241</v>
      </c>
      <c r="BI563" s="4" t="s">
        <v>253</v>
      </c>
      <c r="BJ563" s="5" t="s">
        <v>246</v>
      </c>
      <c r="BK563" s="4" t="s">
        <v>254</v>
      </c>
      <c r="BL563" s="4" t="s">
        <v>255</v>
      </c>
      <c r="BM563" s="4" t="s">
        <v>241</v>
      </c>
      <c r="BN563" s="6">
        <f>0</f>
        <v>0</v>
      </c>
      <c r="BO563" s="6">
        <f>0</f>
        <v>0</v>
      </c>
      <c r="BP563" s="4" t="s">
        <v>256</v>
      </c>
      <c r="BQ563" s="4" t="s">
        <v>257</v>
      </c>
      <c r="CE563" s="4" t="s">
        <v>241</v>
      </c>
      <c r="CF563" s="4" t="s">
        <v>241</v>
      </c>
      <c r="CJ563" s="4" t="s">
        <v>258</v>
      </c>
      <c r="CK563" s="4" t="s">
        <v>259</v>
      </c>
      <c r="CL563" s="4" t="s">
        <v>241</v>
      </c>
      <c r="CO563" s="5" t="s">
        <v>260</v>
      </c>
      <c r="CP563" s="4" t="s">
        <v>241</v>
      </c>
      <c r="CQ563" s="4" t="s">
        <v>261</v>
      </c>
      <c r="CR563" s="4" t="s">
        <v>241</v>
      </c>
      <c r="CS563" s="4" t="s">
        <v>241</v>
      </c>
      <c r="CT563" s="4">
        <v>0</v>
      </c>
      <c r="CU563" s="4" t="s">
        <v>262</v>
      </c>
      <c r="CV563" s="4" t="s">
        <v>263</v>
      </c>
      <c r="CW563" s="4" t="s">
        <v>263</v>
      </c>
      <c r="CX563" s="4" t="s">
        <v>264</v>
      </c>
      <c r="DA563" s="6">
        <f>5896</f>
        <v>5896</v>
      </c>
      <c r="DC563" s="4" t="s">
        <v>3160</v>
      </c>
      <c r="DD563" s="4" t="s">
        <v>241</v>
      </c>
      <c r="DF563" s="4" t="s">
        <v>287</v>
      </c>
      <c r="DG563" s="6">
        <f>0</f>
        <v>0</v>
      </c>
      <c r="DI563" s="4" t="s">
        <v>3167</v>
      </c>
      <c r="DJ563" s="4" t="s">
        <v>241</v>
      </c>
      <c r="DK563" s="4" t="s">
        <v>241</v>
      </c>
      <c r="DL563" s="4" t="s">
        <v>241</v>
      </c>
      <c r="DP563" s="4" t="s">
        <v>241</v>
      </c>
      <c r="DQ563" s="4" t="s">
        <v>241</v>
      </c>
      <c r="DR563" s="4" t="s">
        <v>241</v>
      </c>
      <c r="DS563" s="4" t="s">
        <v>241</v>
      </c>
      <c r="DV563" s="4" t="s">
        <v>4520</v>
      </c>
      <c r="DW563" s="4" t="s">
        <v>248</v>
      </c>
      <c r="HO563" s="4" t="s">
        <v>267</v>
      </c>
    </row>
    <row r="564" spans="1:223" ht="19.5" customHeight="1" x14ac:dyDescent="0.4">
      <c r="A564" s="4">
        <v>1</v>
      </c>
      <c r="B564" s="4" t="s">
        <v>239</v>
      </c>
      <c r="C564" s="4">
        <v>1426</v>
      </c>
      <c r="D564" s="4">
        <v>1</v>
      </c>
      <c r="E564" s="4">
        <v>1</v>
      </c>
      <c r="F564" s="4" t="s">
        <v>240</v>
      </c>
      <c r="G564" s="4" t="s">
        <v>241</v>
      </c>
      <c r="H564" s="4" t="s">
        <v>241</v>
      </c>
      <c r="I564" s="4" t="s">
        <v>4518</v>
      </c>
      <c r="J564" s="4" t="s">
        <v>3158</v>
      </c>
      <c r="K564" s="4" t="s">
        <v>251</v>
      </c>
      <c r="L564" s="4" t="s">
        <v>3180</v>
      </c>
      <c r="M564" s="5" t="s">
        <v>4622</v>
      </c>
      <c r="N564" s="6">
        <f>7263</f>
        <v>7263</v>
      </c>
      <c r="O564" s="4" t="s">
        <v>265</v>
      </c>
      <c r="P564" s="6">
        <f>79893</f>
        <v>79893</v>
      </c>
      <c r="Q564" s="6">
        <f>0</f>
        <v>0</v>
      </c>
      <c r="S564" s="6">
        <f>0</f>
        <v>0</v>
      </c>
      <c r="T564" s="6">
        <f>79893</f>
        <v>79893</v>
      </c>
      <c r="U564" s="5" t="s">
        <v>245</v>
      </c>
      <c r="V564" s="4" t="s">
        <v>270</v>
      </c>
      <c r="W564" s="4" t="s">
        <v>242</v>
      </c>
      <c r="X564" s="4" t="s">
        <v>243</v>
      </c>
      <c r="Y564" s="4" t="s">
        <v>241</v>
      </c>
      <c r="AB564" s="4" t="s">
        <v>241</v>
      </c>
      <c r="AD564" s="5" t="s">
        <v>241</v>
      </c>
      <c r="AG564" s="5" t="s">
        <v>246</v>
      </c>
      <c r="AH564" s="4" t="s">
        <v>241</v>
      </c>
      <c r="AI564" s="4" t="s">
        <v>247</v>
      </c>
      <c r="AJ564" s="4" t="s">
        <v>248</v>
      </c>
      <c r="AZ564" s="4" t="s">
        <v>249</v>
      </c>
      <c r="BA564" s="4" t="s">
        <v>241</v>
      </c>
      <c r="BB564" s="4" t="s">
        <v>250</v>
      </c>
      <c r="BC564" s="4" t="s">
        <v>241</v>
      </c>
      <c r="BD564" s="4" t="s">
        <v>252</v>
      </c>
      <c r="BE564" s="4" t="s">
        <v>241</v>
      </c>
      <c r="BI564" s="4" t="s">
        <v>253</v>
      </c>
      <c r="BJ564" s="5" t="s">
        <v>246</v>
      </c>
      <c r="BK564" s="4" t="s">
        <v>254</v>
      </c>
      <c r="BL564" s="4" t="s">
        <v>255</v>
      </c>
      <c r="BM564" s="4" t="s">
        <v>241</v>
      </c>
      <c r="BN564" s="6">
        <f>0</f>
        <v>0</v>
      </c>
      <c r="BO564" s="6">
        <f>0</f>
        <v>0</v>
      </c>
      <c r="BP564" s="4" t="s">
        <v>256</v>
      </c>
      <c r="BQ564" s="4" t="s">
        <v>257</v>
      </c>
      <c r="CE564" s="4" t="s">
        <v>241</v>
      </c>
      <c r="CF564" s="4" t="s">
        <v>241</v>
      </c>
      <c r="CJ564" s="4" t="s">
        <v>258</v>
      </c>
      <c r="CK564" s="4" t="s">
        <v>259</v>
      </c>
      <c r="CL564" s="4" t="s">
        <v>241</v>
      </c>
      <c r="CO564" s="5" t="s">
        <v>260</v>
      </c>
      <c r="CP564" s="4" t="s">
        <v>241</v>
      </c>
      <c r="CQ564" s="4" t="s">
        <v>261</v>
      </c>
      <c r="CR564" s="4" t="s">
        <v>241</v>
      </c>
      <c r="CS564" s="4" t="s">
        <v>241</v>
      </c>
      <c r="CT564" s="4">
        <v>0</v>
      </c>
      <c r="CU564" s="4" t="s">
        <v>262</v>
      </c>
      <c r="CV564" s="4" t="s">
        <v>263</v>
      </c>
      <c r="CW564" s="4" t="s">
        <v>263</v>
      </c>
      <c r="CX564" s="4" t="s">
        <v>264</v>
      </c>
      <c r="DA564" s="6">
        <f>79893</f>
        <v>79893</v>
      </c>
      <c r="DC564" s="4" t="s">
        <v>3160</v>
      </c>
      <c r="DD564" s="4" t="s">
        <v>241</v>
      </c>
      <c r="DF564" s="4" t="s">
        <v>287</v>
      </c>
      <c r="DG564" s="6">
        <f>0</f>
        <v>0</v>
      </c>
      <c r="DI564" s="4" t="s">
        <v>3167</v>
      </c>
      <c r="DJ564" s="4" t="s">
        <v>241</v>
      </c>
      <c r="DK564" s="4" t="s">
        <v>241</v>
      </c>
      <c r="DL564" s="4" t="s">
        <v>241</v>
      </c>
      <c r="DP564" s="4" t="s">
        <v>241</v>
      </c>
      <c r="DQ564" s="4" t="s">
        <v>241</v>
      </c>
      <c r="DR564" s="4" t="s">
        <v>241</v>
      </c>
      <c r="DS564" s="4" t="s">
        <v>241</v>
      </c>
      <c r="DV564" s="4" t="s">
        <v>4520</v>
      </c>
      <c r="DW564" s="4" t="s">
        <v>1669</v>
      </c>
      <c r="HO564" s="4" t="s">
        <v>267</v>
      </c>
    </row>
    <row r="565" spans="1:223" ht="19.5" customHeight="1" x14ac:dyDescent="0.4">
      <c r="A565" s="4">
        <v>1</v>
      </c>
      <c r="B565" s="4" t="s">
        <v>239</v>
      </c>
      <c r="C565" s="4">
        <v>1427</v>
      </c>
      <c r="D565" s="4">
        <v>1</v>
      </c>
      <c r="E565" s="4">
        <v>1</v>
      </c>
      <c r="F565" s="4" t="s">
        <v>240</v>
      </c>
      <c r="G565" s="4" t="s">
        <v>241</v>
      </c>
      <c r="H565" s="4" t="s">
        <v>241</v>
      </c>
      <c r="I565" s="4" t="s">
        <v>4518</v>
      </c>
      <c r="J565" s="4" t="s">
        <v>3158</v>
      </c>
      <c r="K565" s="4" t="s">
        <v>251</v>
      </c>
      <c r="L565" s="4" t="s">
        <v>3180</v>
      </c>
      <c r="M565" s="5" t="s">
        <v>4623</v>
      </c>
      <c r="N565" s="6">
        <f>1255</f>
        <v>1255</v>
      </c>
      <c r="O565" s="4" t="s">
        <v>265</v>
      </c>
      <c r="P565" s="6">
        <f>13805</f>
        <v>13805</v>
      </c>
      <c r="Q565" s="6">
        <f>0</f>
        <v>0</v>
      </c>
      <c r="S565" s="6">
        <f>0</f>
        <v>0</v>
      </c>
      <c r="T565" s="6">
        <f>13805</f>
        <v>13805</v>
      </c>
      <c r="U565" s="5" t="s">
        <v>245</v>
      </c>
      <c r="V565" s="4" t="s">
        <v>270</v>
      </c>
      <c r="W565" s="4" t="s">
        <v>242</v>
      </c>
      <c r="X565" s="4" t="s">
        <v>243</v>
      </c>
      <c r="Y565" s="4" t="s">
        <v>241</v>
      </c>
      <c r="AB565" s="4" t="s">
        <v>241</v>
      </c>
      <c r="AD565" s="5" t="s">
        <v>241</v>
      </c>
      <c r="AG565" s="5" t="s">
        <v>246</v>
      </c>
      <c r="AH565" s="4" t="s">
        <v>241</v>
      </c>
      <c r="AI565" s="4" t="s">
        <v>247</v>
      </c>
      <c r="AJ565" s="4" t="s">
        <v>248</v>
      </c>
      <c r="AZ565" s="4" t="s">
        <v>249</v>
      </c>
      <c r="BA565" s="4" t="s">
        <v>241</v>
      </c>
      <c r="BB565" s="4" t="s">
        <v>250</v>
      </c>
      <c r="BC565" s="4" t="s">
        <v>241</v>
      </c>
      <c r="BD565" s="4" t="s">
        <v>252</v>
      </c>
      <c r="BE565" s="4" t="s">
        <v>241</v>
      </c>
      <c r="BI565" s="4" t="s">
        <v>253</v>
      </c>
      <c r="BJ565" s="5" t="s">
        <v>246</v>
      </c>
      <c r="BK565" s="4" t="s">
        <v>254</v>
      </c>
      <c r="BL565" s="4" t="s">
        <v>255</v>
      </c>
      <c r="BM565" s="4" t="s">
        <v>241</v>
      </c>
      <c r="BN565" s="6">
        <f>0</f>
        <v>0</v>
      </c>
      <c r="BO565" s="6">
        <f>0</f>
        <v>0</v>
      </c>
      <c r="BP565" s="4" t="s">
        <v>256</v>
      </c>
      <c r="BQ565" s="4" t="s">
        <v>257</v>
      </c>
      <c r="CE565" s="4" t="s">
        <v>241</v>
      </c>
      <c r="CF565" s="4" t="s">
        <v>241</v>
      </c>
      <c r="CJ565" s="4" t="s">
        <v>258</v>
      </c>
      <c r="CK565" s="4" t="s">
        <v>259</v>
      </c>
      <c r="CL565" s="4" t="s">
        <v>241</v>
      </c>
      <c r="CO565" s="5" t="s">
        <v>260</v>
      </c>
      <c r="CP565" s="4" t="s">
        <v>241</v>
      </c>
      <c r="CQ565" s="4" t="s">
        <v>261</v>
      </c>
      <c r="CR565" s="4" t="s">
        <v>241</v>
      </c>
      <c r="CS565" s="4" t="s">
        <v>241</v>
      </c>
      <c r="CT565" s="4">
        <v>0</v>
      </c>
      <c r="CU565" s="4" t="s">
        <v>262</v>
      </c>
      <c r="CV565" s="4" t="s">
        <v>263</v>
      </c>
      <c r="CW565" s="4" t="s">
        <v>263</v>
      </c>
      <c r="CX565" s="4" t="s">
        <v>264</v>
      </c>
      <c r="DA565" s="6">
        <f>13805</f>
        <v>13805</v>
      </c>
      <c r="DC565" s="4" t="s">
        <v>3160</v>
      </c>
      <c r="DD565" s="4" t="s">
        <v>241</v>
      </c>
      <c r="DF565" s="4" t="s">
        <v>287</v>
      </c>
      <c r="DG565" s="6">
        <f>0</f>
        <v>0</v>
      </c>
      <c r="DI565" s="4" t="s">
        <v>3167</v>
      </c>
      <c r="DJ565" s="4" t="s">
        <v>241</v>
      </c>
      <c r="DK565" s="4" t="s">
        <v>241</v>
      </c>
      <c r="DL565" s="4" t="s">
        <v>241</v>
      </c>
      <c r="DP565" s="4" t="s">
        <v>241</v>
      </c>
      <c r="DQ565" s="4" t="s">
        <v>241</v>
      </c>
      <c r="DR565" s="4" t="s">
        <v>241</v>
      </c>
      <c r="DS565" s="4" t="s">
        <v>241</v>
      </c>
      <c r="DV565" s="4" t="s">
        <v>4520</v>
      </c>
      <c r="DW565" s="4" t="s">
        <v>1667</v>
      </c>
      <c r="HO565" s="4" t="s">
        <v>267</v>
      </c>
    </row>
    <row r="566" spans="1:223" ht="19.5" customHeight="1" x14ac:dyDescent="0.4">
      <c r="A566" s="4">
        <v>1</v>
      </c>
      <c r="B566" s="4" t="s">
        <v>239</v>
      </c>
      <c r="C566" s="4">
        <v>1428</v>
      </c>
      <c r="D566" s="4">
        <v>1</v>
      </c>
      <c r="E566" s="4">
        <v>1</v>
      </c>
      <c r="F566" s="4" t="s">
        <v>240</v>
      </c>
      <c r="G566" s="4" t="s">
        <v>241</v>
      </c>
      <c r="H566" s="4" t="s">
        <v>241</v>
      </c>
      <c r="I566" s="4" t="s">
        <v>4518</v>
      </c>
      <c r="J566" s="4" t="s">
        <v>3158</v>
      </c>
      <c r="K566" s="4" t="s">
        <v>251</v>
      </c>
      <c r="L566" s="4" t="s">
        <v>3180</v>
      </c>
      <c r="M566" s="5" t="s">
        <v>4624</v>
      </c>
      <c r="N566" s="6">
        <f>1963</f>
        <v>1963</v>
      </c>
      <c r="O566" s="4" t="s">
        <v>265</v>
      </c>
      <c r="P566" s="6">
        <f>21593</f>
        <v>21593</v>
      </c>
      <c r="Q566" s="6">
        <f>0</f>
        <v>0</v>
      </c>
      <c r="S566" s="6">
        <f>0</f>
        <v>0</v>
      </c>
      <c r="T566" s="6">
        <f>21593</f>
        <v>21593</v>
      </c>
      <c r="U566" s="5" t="s">
        <v>245</v>
      </c>
      <c r="V566" s="4" t="s">
        <v>270</v>
      </c>
      <c r="W566" s="4" t="s">
        <v>242</v>
      </c>
      <c r="X566" s="4" t="s">
        <v>243</v>
      </c>
      <c r="Y566" s="4" t="s">
        <v>241</v>
      </c>
      <c r="AB566" s="4" t="s">
        <v>241</v>
      </c>
      <c r="AD566" s="5" t="s">
        <v>241</v>
      </c>
      <c r="AG566" s="5" t="s">
        <v>246</v>
      </c>
      <c r="AH566" s="4" t="s">
        <v>241</v>
      </c>
      <c r="AI566" s="4" t="s">
        <v>247</v>
      </c>
      <c r="AJ566" s="4" t="s">
        <v>248</v>
      </c>
      <c r="AZ566" s="4" t="s">
        <v>249</v>
      </c>
      <c r="BA566" s="4" t="s">
        <v>241</v>
      </c>
      <c r="BB566" s="4" t="s">
        <v>250</v>
      </c>
      <c r="BC566" s="4" t="s">
        <v>241</v>
      </c>
      <c r="BD566" s="4" t="s">
        <v>252</v>
      </c>
      <c r="BE566" s="4" t="s">
        <v>241</v>
      </c>
      <c r="BI566" s="4" t="s">
        <v>253</v>
      </c>
      <c r="BJ566" s="5" t="s">
        <v>246</v>
      </c>
      <c r="BK566" s="4" t="s">
        <v>254</v>
      </c>
      <c r="BL566" s="4" t="s">
        <v>255</v>
      </c>
      <c r="BM566" s="4" t="s">
        <v>241</v>
      </c>
      <c r="BN566" s="6">
        <f>0</f>
        <v>0</v>
      </c>
      <c r="BO566" s="6">
        <f>0</f>
        <v>0</v>
      </c>
      <c r="BP566" s="4" t="s">
        <v>256</v>
      </c>
      <c r="BQ566" s="4" t="s">
        <v>257</v>
      </c>
      <c r="CE566" s="4" t="s">
        <v>241</v>
      </c>
      <c r="CF566" s="4" t="s">
        <v>241</v>
      </c>
      <c r="CJ566" s="4" t="s">
        <v>258</v>
      </c>
      <c r="CK566" s="4" t="s">
        <v>259</v>
      </c>
      <c r="CL566" s="4" t="s">
        <v>241</v>
      </c>
      <c r="CO566" s="5" t="s">
        <v>260</v>
      </c>
      <c r="CP566" s="4" t="s">
        <v>241</v>
      </c>
      <c r="CQ566" s="4" t="s">
        <v>261</v>
      </c>
      <c r="CR566" s="4" t="s">
        <v>241</v>
      </c>
      <c r="CS566" s="4" t="s">
        <v>241</v>
      </c>
      <c r="CT566" s="4">
        <v>0</v>
      </c>
      <c r="CU566" s="4" t="s">
        <v>262</v>
      </c>
      <c r="CV566" s="4" t="s">
        <v>263</v>
      </c>
      <c r="CW566" s="4" t="s">
        <v>263</v>
      </c>
      <c r="CX566" s="4" t="s">
        <v>264</v>
      </c>
      <c r="DA566" s="6">
        <f>21593</f>
        <v>21593</v>
      </c>
      <c r="DC566" s="4" t="s">
        <v>3160</v>
      </c>
      <c r="DD566" s="4" t="s">
        <v>241</v>
      </c>
      <c r="DF566" s="4" t="s">
        <v>287</v>
      </c>
      <c r="DG566" s="6">
        <f>0</f>
        <v>0</v>
      </c>
      <c r="DI566" s="4" t="s">
        <v>3167</v>
      </c>
      <c r="DJ566" s="4" t="s">
        <v>241</v>
      </c>
      <c r="DK566" s="4" t="s">
        <v>241</v>
      </c>
      <c r="DL566" s="4" t="s">
        <v>241</v>
      </c>
      <c r="DP566" s="4" t="s">
        <v>241</v>
      </c>
      <c r="DQ566" s="4" t="s">
        <v>241</v>
      </c>
      <c r="DR566" s="4" t="s">
        <v>241</v>
      </c>
      <c r="DS566" s="4" t="s">
        <v>241</v>
      </c>
      <c r="DV566" s="4" t="s">
        <v>4520</v>
      </c>
      <c r="DW566" s="4" t="s">
        <v>1665</v>
      </c>
      <c r="HO566" s="4" t="s">
        <v>267</v>
      </c>
    </row>
    <row r="567" spans="1:223" ht="19.5" customHeight="1" x14ac:dyDescent="0.4">
      <c r="A567" s="4">
        <v>1</v>
      </c>
      <c r="B567" s="4" t="s">
        <v>239</v>
      </c>
      <c r="C567" s="4">
        <v>1429</v>
      </c>
      <c r="D567" s="4">
        <v>1</v>
      </c>
      <c r="E567" s="4">
        <v>1</v>
      </c>
      <c r="F567" s="4" t="s">
        <v>240</v>
      </c>
      <c r="G567" s="4" t="s">
        <v>241</v>
      </c>
      <c r="H567" s="4" t="s">
        <v>241</v>
      </c>
      <c r="I567" s="4" t="s">
        <v>4518</v>
      </c>
      <c r="J567" s="4" t="s">
        <v>3158</v>
      </c>
      <c r="K567" s="4" t="s">
        <v>251</v>
      </c>
      <c r="L567" s="4" t="s">
        <v>3180</v>
      </c>
      <c r="M567" s="5" t="s">
        <v>5449</v>
      </c>
      <c r="N567" s="6">
        <f>1284</f>
        <v>1284</v>
      </c>
      <c r="O567" s="4" t="s">
        <v>265</v>
      </c>
      <c r="P567" s="6">
        <f>14124</f>
        <v>14124</v>
      </c>
      <c r="Q567" s="6">
        <f>0</f>
        <v>0</v>
      </c>
      <c r="S567" s="6">
        <f>0</f>
        <v>0</v>
      </c>
      <c r="T567" s="6">
        <f>14124</f>
        <v>14124</v>
      </c>
      <c r="U567" s="5" t="s">
        <v>245</v>
      </c>
      <c r="V567" s="4" t="s">
        <v>270</v>
      </c>
      <c r="W567" s="4" t="s">
        <v>242</v>
      </c>
      <c r="X567" s="4" t="s">
        <v>243</v>
      </c>
      <c r="Y567" s="4" t="s">
        <v>241</v>
      </c>
      <c r="AB567" s="4" t="s">
        <v>241</v>
      </c>
      <c r="AD567" s="5" t="s">
        <v>241</v>
      </c>
      <c r="AG567" s="5" t="s">
        <v>246</v>
      </c>
      <c r="AH567" s="4" t="s">
        <v>241</v>
      </c>
      <c r="AI567" s="4" t="s">
        <v>247</v>
      </c>
      <c r="AJ567" s="4" t="s">
        <v>248</v>
      </c>
      <c r="AZ567" s="4" t="s">
        <v>249</v>
      </c>
      <c r="BA567" s="4" t="s">
        <v>241</v>
      </c>
      <c r="BB567" s="4" t="s">
        <v>250</v>
      </c>
      <c r="BC567" s="4" t="s">
        <v>241</v>
      </c>
      <c r="BD567" s="4" t="s">
        <v>252</v>
      </c>
      <c r="BE567" s="4" t="s">
        <v>241</v>
      </c>
      <c r="BI567" s="4" t="s">
        <v>253</v>
      </c>
      <c r="BJ567" s="5" t="s">
        <v>246</v>
      </c>
      <c r="BK567" s="4" t="s">
        <v>254</v>
      </c>
      <c r="BL567" s="4" t="s">
        <v>255</v>
      </c>
      <c r="BM567" s="4" t="s">
        <v>241</v>
      </c>
      <c r="BN567" s="6">
        <f>0</f>
        <v>0</v>
      </c>
      <c r="BO567" s="6">
        <f>0</f>
        <v>0</v>
      </c>
      <c r="BP567" s="4" t="s">
        <v>256</v>
      </c>
      <c r="BQ567" s="4" t="s">
        <v>257</v>
      </c>
      <c r="CE567" s="4" t="s">
        <v>241</v>
      </c>
      <c r="CF567" s="4" t="s">
        <v>241</v>
      </c>
      <c r="CJ567" s="4" t="s">
        <v>258</v>
      </c>
      <c r="CK567" s="4" t="s">
        <v>259</v>
      </c>
      <c r="CL567" s="4" t="s">
        <v>241</v>
      </c>
      <c r="CO567" s="5" t="s">
        <v>260</v>
      </c>
      <c r="CP567" s="4" t="s">
        <v>241</v>
      </c>
      <c r="CQ567" s="4" t="s">
        <v>261</v>
      </c>
      <c r="CR567" s="4" t="s">
        <v>241</v>
      </c>
      <c r="CS567" s="4" t="s">
        <v>241</v>
      </c>
      <c r="CT567" s="4">
        <v>0</v>
      </c>
      <c r="CU567" s="4" t="s">
        <v>262</v>
      </c>
      <c r="CV567" s="4" t="s">
        <v>263</v>
      </c>
      <c r="CW567" s="4" t="s">
        <v>263</v>
      </c>
      <c r="CX567" s="4" t="s">
        <v>264</v>
      </c>
      <c r="DA567" s="6">
        <f>14124</f>
        <v>14124</v>
      </c>
      <c r="DC567" s="4" t="s">
        <v>3160</v>
      </c>
      <c r="DD567" s="4" t="s">
        <v>241</v>
      </c>
      <c r="DF567" s="4" t="s">
        <v>287</v>
      </c>
      <c r="DG567" s="6">
        <f>0</f>
        <v>0</v>
      </c>
      <c r="DI567" s="4" t="s">
        <v>3167</v>
      </c>
      <c r="DJ567" s="4" t="s">
        <v>241</v>
      </c>
      <c r="DK567" s="4" t="s">
        <v>241</v>
      </c>
      <c r="DL567" s="4" t="s">
        <v>241</v>
      </c>
      <c r="DP567" s="4" t="s">
        <v>241</v>
      </c>
      <c r="DQ567" s="4" t="s">
        <v>241</v>
      </c>
      <c r="DR567" s="4" t="s">
        <v>241</v>
      </c>
      <c r="DS567" s="4" t="s">
        <v>241</v>
      </c>
      <c r="DV567" s="4" t="s">
        <v>4520</v>
      </c>
      <c r="DW567" s="4" t="s">
        <v>1663</v>
      </c>
      <c r="HO567" s="4" t="s">
        <v>267</v>
      </c>
    </row>
    <row r="568" spans="1:223" ht="19.5" customHeight="1" x14ac:dyDescent="0.4">
      <c r="A568" s="4">
        <v>1</v>
      </c>
      <c r="B568" s="4" t="s">
        <v>239</v>
      </c>
      <c r="C568" s="4">
        <v>1430</v>
      </c>
      <c r="D568" s="4">
        <v>1</v>
      </c>
      <c r="E568" s="4">
        <v>1</v>
      </c>
      <c r="F568" s="4" t="s">
        <v>240</v>
      </c>
      <c r="G568" s="4" t="s">
        <v>241</v>
      </c>
      <c r="H568" s="4" t="s">
        <v>241</v>
      </c>
      <c r="I568" s="4" t="s">
        <v>4518</v>
      </c>
      <c r="J568" s="4" t="s">
        <v>3158</v>
      </c>
      <c r="K568" s="4" t="s">
        <v>251</v>
      </c>
      <c r="L568" s="4" t="s">
        <v>3180</v>
      </c>
      <c r="M568" s="5" t="s">
        <v>4626</v>
      </c>
      <c r="N568" s="6">
        <f>399</f>
        <v>399</v>
      </c>
      <c r="O568" s="4" t="s">
        <v>265</v>
      </c>
      <c r="P568" s="6">
        <f>4389</f>
        <v>4389</v>
      </c>
      <c r="Q568" s="6">
        <f>0</f>
        <v>0</v>
      </c>
      <c r="S568" s="6">
        <f>0</f>
        <v>0</v>
      </c>
      <c r="T568" s="6">
        <f>4389</f>
        <v>4389</v>
      </c>
      <c r="U568" s="5" t="s">
        <v>245</v>
      </c>
      <c r="V568" s="4" t="s">
        <v>270</v>
      </c>
      <c r="W568" s="4" t="s">
        <v>242</v>
      </c>
      <c r="X568" s="4" t="s">
        <v>243</v>
      </c>
      <c r="Y568" s="4" t="s">
        <v>241</v>
      </c>
      <c r="AB568" s="4" t="s">
        <v>241</v>
      </c>
      <c r="AD568" s="5" t="s">
        <v>241</v>
      </c>
      <c r="AG568" s="5" t="s">
        <v>246</v>
      </c>
      <c r="AH568" s="4" t="s">
        <v>241</v>
      </c>
      <c r="AI568" s="4" t="s">
        <v>247</v>
      </c>
      <c r="AJ568" s="4" t="s">
        <v>248</v>
      </c>
      <c r="AZ568" s="4" t="s">
        <v>249</v>
      </c>
      <c r="BA568" s="4" t="s">
        <v>241</v>
      </c>
      <c r="BB568" s="4" t="s">
        <v>250</v>
      </c>
      <c r="BC568" s="4" t="s">
        <v>241</v>
      </c>
      <c r="BD568" s="4" t="s">
        <v>252</v>
      </c>
      <c r="BE568" s="4" t="s">
        <v>241</v>
      </c>
      <c r="BI568" s="4" t="s">
        <v>253</v>
      </c>
      <c r="BJ568" s="5" t="s">
        <v>246</v>
      </c>
      <c r="BK568" s="4" t="s">
        <v>254</v>
      </c>
      <c r="BL568" s="4" t="s">
        <v>255</v>
      </c>
      <c r="BM568" s="4" t="s">
        <v>241</v>
      </c>
      <c r="BN568" s="6">
        <f>0</f>
        <v>0</v>
      </c>
      <c r="BO568" s="6">
        <f>0</f>
        <v>0</v>
      </c>
      <c r="BP568" s="4" t="s">
        <v>256</v>
      </c>
      <c r="BQ568" s="4" t="s">
        <v>257</v>
      </c>
      <c r="CE568" s="4" t="s">
        <v>241</v>
      </c>
      <c r="CF568" s="4" t="s">
        <v>241</v>
      </c>
      <c r="CJ568" s="4" t="s">
        <v>258</v>
      </c>
      <c r="CK568" s="4" t="s">
        <v>259</v>
      </c>
      <c r="CL568" s="4" t="s">
        <v>241</v>
      </c>
      <c r="CO568" s="5" t="s">
        <v>260</v>
      </c>
      <c r="CP568" s="4" t="s">
        <v>241</v>
      </c>
      <c r="CQ568" s="4" t="s">
        <v>261</v>
      </c>
      <c r="CR568" s="4" t="s">
        <v>241</v>
      </c>
      <c r="CS568" s="4" t="s">
        <v>241</v>
      </c>
      <c r="CT568" s="4">
        <v>0</v>
      </c>
      <c r="CU568" s="4" t="s">
        <v>262</v>
      </c>
      <c r="CV568" s="4" t="s">
        <v>263</v>
      </c>
      <c r="CW568" s="4" t="s">
        <v>263</v>
      </c>
      <c r="CX568" s="4" t="s">
        <v>264</v>
      </c>
      <c r="DA568" s="6">
        <f>4389</f>
        <v>4389</v>
      </c>
      <c r="DC568" s="4" t="s">
        <v>3160</v>
      </c>
      <c r="DD568" s="4" t="s">
        <v>241</v>
      </c>
      <c r="DF568" s="4" t="s">
        <v>287</v>
      </c>
      <c r="DG568" s="6">
        <f>0</f>
        <v>0</v>
      </c>
      <c r="DI568" s="4" t="s">
        <v>3167</v>
      </c>
      <c r="DJ568" s="4" t="s">
        <v>241</v>
      </c>
      <c r="DK568" s="4" t="s">
        <v>241</v>
      </c>
      <c r="DL568" s="4" t="s">
        <v>241</v>
      </c>
      <c r="DP568" s="4" t="s">
        <v>241</v>
      </c>
      <c r="DQ568" s="4" t="s">
        <v>241</v>
      </c>
      <c r="DR568" s="4" t="s">
        <v>241</v>
      </c>
      <c r="DS568" s="4" t="s">
        <v>241</v>
      </c>
      <c r="DV568" s="4" t="s">
        <v>4520</v>
      </c>
      <c r="DW568" s="4" t="s">
        <v>1661</v>
      </c>
      <c r="HO568" s="4" t="s">
        <v>267</v>
      </c>
    </row>
    <row r="569" spans="1:223" ht="19.5" customHeight="1" x14ac:dyDescent="0.4">
      <c r="A569" s="4">
        <v>1</v>
      </c>
      <c r="B569" s="4" t="s">
        <v>239</v>
      </c>
      <c r="C569" s="4">
        <v>1431</v>
      </c>
      <c r="D569" s="4">
        <v>1</v>
      </c>
      <c r="E569" s="4">
        <v>1</v>
      </c>
      <c r="F569" s="4" t="s">
        <v>240</v>
      </c>
      <c r="G569" s="4" t="s">
        <v>241</v>
      </c>
      <c r="H569" s="4" t="s">
        <v>241</v>
      </c>
      <c r="I569" s="4" t="s">
        <v>4518</v>
      </c>
      <c r="J569" s="4" t="s">
        <v>3158</v>
      </c>
      <c r="K569" s="4" t="s">
        <v>251</v>
      </c>
      <c r="L569" s="4" t="s">
        <v>3180</v>
      </c>
      <c r="M569" s="5" t="s">
        <v>4627</v>
      </c>
      <c r="N569" s="6">
        <f>986</f>
        <v>986</v>
      </c>
      <c r="O569" s="4" t="s">
        <v>265</v>
      </c>
      <c r="P569" s="6">
        <f>10846</f>
        <v>10846</v>
      </c>
      <c r="Q569" s="6">
        <f>0</f>
        <v>0</v>
      </c>
      <c r="S569" s="6">
        <f>0</f>
        <v>0</v>
      </c>
      <c r="T569" s="6">
        <f>10846</f>
        <v>10846</v>
      </c>
      <c r="U569" s="5" t="s">
        <v>245</v>
      </c>
      <c r="V569" s="4" t="s">
        <v>270</v>
      </c>
      <c r="W569" s="4" t="s">
        <v>242</v>
      </c>
      <c r="X569" s="4" t="s">
        <v>243</v>
      </c>
      <c r="Y569" s="4" t="s">
        <v>241</v>
      </c>
      <c r="AB569" s="4" t="s">
        <v>241</v>
      </c>
      <c r="AD569" s="5" t="s">
        <v>241</v>
      </c>
      <c r="AG569" s="5" t="s">
        <v>246</v>
      </c>
      <c r="AH569" s="4" t="s">
        <v>241</v>
      </c>
      <c r="AI569" s="4" t="s">
        <v>247</v>
      </c>
      <c r="AJ569" s="4" t="s">
        <v>248</v>
      </c>
      <c r="AZ569" s="4" t="s">
        <v>249</v>
      </c>
      <c r="BA569" s="4" t="s">
        <v>241</v>
      </c>
      <c r="BB569" s="4" t="s">
        <v>250</v>
      </c>
      <c r="BC569" s="4" t="s">
        <v>241</v>
      </c>
      <c r="BD569" s="4" t="s">
        <v>252</v>
      </c>
      <c r="BE569" s="4" t="s">
        <v>241</v>
      </c>
      <c r="BI569" s="4" t="s">
        <v>253</v>
      </c>
      <c r="BJ569" s="5" t="s">
        <v>246</v>
      </c>
      <c r="BK569" s="4" t="s">
        <v>254</v>
      </c>
      <c r="BL569" s="4" t="s">
        <v>255</v>
      </c>
      <c r="BM569" s="4" t="s">
        <v>241</v>
      </c>
      <c r="BN569" s="6">
        <f>0</f>
        <v>0</v>
      </c>
      <c r="BO569" s="6">
        <f>0</f>
        <v>0</v>
      </c>
      <c r="BP569" s="4" t="s">
        <v>256</v>
      </c>
      <c r="BQ569" s="4" t="s">
        <v>257</v>
      </c>
      <c r="CE569" s="4" t="s">
        <v>241</v>
      </c>
      <c r="CF569" s="4" t="s">
        <v>241</v>
      </c>
      <c r="CJ569" s="4" t="s">
        <v>258</v>
      </c>
      <c r="CK569" s="4" t="s">
        <v>259</v>
      </c>
      <c r="CL569" s="4" t="s">
        <v>241</v>
      </c>
      <c r="CO569" s="5" t="s">
        <v>260</v>
      </c>
      <c r="CP569" s="4" t="s">
        <v>241</v>
      </c>
      <c r="CQ569" s="4" t="s">
        <v>261</v>
      </c>
      <c r="CR569" s="4" t="s">
        <v>241</v>
      </c>
      <c r="CS569" s="4" t="s">
        <v>241</v>
      </c>
      <c r="CT569" s="4">
        <v>0</v>
      </c>
      <c r="CU569" s="4" t="s">
        <v>262</v>
      </c>
      <c r="CV569" s="4" t="s">
        <v>263</v>
      </c>
      <c r="CW569" s="4" t="s">
        <v>263</v>
      </c>
      <c r="CX569" s="4" t="s">
        <v>264</v>
      </c>
      <c r="DA569" s="6">
        <f>10846</f>
        <v>10846</v>
      </c>
      <c r="DC569" s="4" t="s">
        <v>3160</v>
      </c>
      <c r="DD569" s="4" t="s">
        <v>241</v>
      </c>
      <c r="DF569" s="4" t="s">
        <v>287</v>
      </c>
      <c r="DG569" s="6">
        <f>0</f>
        <v>0</v>
      </c>
      <c r="DI569" s="4" t="s">
        <v>3167</v>
      </c>
      <c r="DJ569" s="4" t="s">
        <v>241</v>
      </c>
      <c r="DK569" s="4" t="s">
        <v>241</v>
      </c>
      <c r="DL569" s="4" t="s">
        <v>241</v>
      </c>
      <c r="DP569" s="4" t="s">
        <v>241</v>
      </c>
      <c r="DQ569" s="4" t="s">
        <v>241</v>
      </c>
      <c r="DR569" s="4" t="s">
        <v>241</v>
      </c>
      <c r="DS569" s="4" t="s">
        <v>241</v>
      </c>
      <c r="DV569" s="4" t="s">
        <v>4520</v>
      </c>
      <c r="DW569" s="4" t="s">
        <v>1659</v>
      </c>
      <c r="HO569" s="4" t="s">
        <v>267</v>
      </c>
    </row>
    <row r="570" spans="1:223" ht="19.5" customHeight="1" x14ac:dyDescent="0.4">
      <c r="A570" s="4">
        <v>1</v>
      </c>
      <c r="B570" s="4" t="s">
        <v>239</v>
      </c>
      <c r="C570" s="4">
        <v>1432</v>
      </c>
      <c r="D570" s="4">
        <v>1</v>
      </c>
      <c r="E570" s="4">
        <v>1</v>
      </c>
      <c r="F570" s="4" t="s">
        <v>240</v>
      </c>
      <c r="G570" s="4" t="s">
        <v>241</v>
      </c>
      <c r="H570" s="4" t="s">
        <v>241</v>
      </c>
      <c r="I570" s="4" t="s">
        <v>4518</v>
      </c>
      <c r="J570" s="4" t="s">
        <v>3158</v>
      </c>
      <c r="K570" s="4" t="s">
        <v>251</v>
      </c>
      <c r="L570" s="4" t="s">
        <v>3180</v>
      </c>
      <c r="M570" s="5" t="s">
        <v>4628</v>
      </c>
      <c r="N570" s="6">
        <f>1713</f>
        <v>1713</v>
      </c>
      <c r="O570" s="4" t="s">
        <v>265</v>
      </c>
      <c r="P570" s="6">
        <f>18843</f>
        <v>18843</v>
      </c>
      <c r="Q570" s="6">
        <f>0</f>
        <v>0</v>
      </c>
      <c r="S570" s="6">
        <f>0</f>
        <v>0</v>
      </c>
      <c r="T570" s="6">
        <f>18843</f>
        <v>18843</v>
      </c>
      <c r="U570" s="5" t="s">
        <v>245</v>
      </c>
      <c r="V570" s="4" t="s">
        <v>270</v>
      </c>
      <c r="W570" s="4" t="s">
        <v>242</v>
      </c>
      <c r="X570" s="4" t="s">
        <v>243</v>
      </c>
      <c r="Y570" s="4" t="s">
        <v>241</v>
      </c>
      <c r="AB570" s="4" t="s">
        <v>241</v>
      </c>
      <c r="AD570" s="5" t="s">
        <v>241</v>
      </c>
      <c r="AG570" s="5" t="s">
        <v>246</v>
      </c>
      <c r="AH570" s="4" t="s">
        <v>241</v>
      </c>
      <c r="AI570" s="4" t="s">
        <v>247</v>
      </c>
      <c r="AJ570" s="4" t="s">
        <v>248</v>
      </c>
      <c r="AZ570" s="4" t="s">
        <v>249</v>
      </c>
      <c r="BA570" s="4" t="s">
        <v>241</v>
      </c>
      <c r="BB570" s="4" t="s">
        <v>250</v>
      </c>
      <c r="BC570" s="4" t="s">
        <v>241</v>
      </c>
      <c r="BD570" s="4" t="s">
        <v>252</v>
      </c>
      <c r="BE570" s="4" t="s">
        <v>241</v>
      </c>
      <c r="BI570" s="4" t="s">
        <v>253</v>
      </c>
      <c r="BJ570" s="5" t="s">
        <v>246</v>
      </c>
      <c r="BK570" s="4" t="s">
        <v>254</v>
      </c>
      <c r="BL570" s="4" t="s">
        <v>255</v>
      </c>
      <c r="BM570" s="4" t="s">
        <v>241</v>
      </c>
      <c r="BN570" s="6">
        <f>0</f>
        <v>0</v>
      </c>
      <c r="BO570" s="6">
        <f>0</f>
        <v>0</v>
      </c>
      <c r="BP570" s="4" t="s">
        <v>256</v>
      </c>
      <c r="BQ570" s="4" t="s">
        <v>257</v>
      </c>
      <c r="CE570" s="4" t="s">
        <v>241</v>
      </c>
      <c r="CF570" s="4" t="s">
        <v>241</v>
      </c>
      <c r="CJ570" s="4" t="s">
        <v>258</v>
      </c>
      <c r="CK570" s="4" t="s">
        <v>259</v>
      </c>
      <c r="CL570" s="4" t="s">
        <v>241</v>
      </c>
      <c r="CO570" s="5" t="s">
        <v>260</v>
      </c>
      <c r="CP570" s="4" t="s">
        <v>241</v>
      </c>
      <c r="CQ570" s="4" t="s">
        <v>261</v>
      </c>
      <c r="CR570" s="4" t="s">
        <v>241</v>
      </c>
      <c r="CS570" s="4" t="s">
        <v>241</v>
      </c>
      <c r="CT570" s="4">
        <v>0</v>
      </c>
      <c r="CU570" s="4" t="s">
        <v>262</v>
      </c>
      <c r="CV570" s="4" t="s">
        <v>263</v>
      </c>
      <c r="CW570" s="4" t="s">
        <v>263</v>
      </c>
      <c r="CX570" s="4" t="s">
        <v>264</v>
      </c>
      <c r="DA570" s="6">
        <f>18843</f>
        <v>18843</v>
      </c>
      <c r="DC570" s="4" t="s">
        <v>3160</v>
      </c>
      <c r="DD570" s="4" t="s">
        <v>241</v>
      </c>
      <c r="DF570" s="4" t="s">
        <v>287</v>
      </c>
      <c r="DG570" s="6">
        <f>0</f>
        <v>0</v>
      </c>
      <c r="DI570" s="4" t="s">
        <v>3167</v>
      </c>
      <c r="DJ570" s="4" t="s">
        <v>241</v>
      </c>
      <c r="DK570" s="4" t="s">
        <v>241</v>
      </c>
      <c r="DL570" s="4" t="s">
        <v>241</v>
      </c>
      <c r="DP570" s="4" t="s">
        <v>241</v>
      </c>
      <c r="DQ570" s="4" t="s">
        <v>241</v>
      </c>
      <c r="DR570" s="4" t="s">
        <v>241</v>
      </c>
      <c r="DS570" s="4" t="s">
        <v>241</v>
      </c>
      <c r="DV570" s="4" t="s">
        <v>4520</v>
      </c>
      <c r="DW570" s="4" t="s">
        <v>1657</v>
      </c>
      <c r="HO570" s="4" t="s">
        <v>267</v>
      </c>
    </row>
    <row r="571" spans="1:223" ht="19.5" customHeight="1" x14ac:dyDescent="0.4">
      <c r="A571" s="4">
        <v>1</v>
      </c>
      <c r="B571" s="4" t="s">
        <v>239</v>
      </c>
      <c r="C571" s="4">
        <v>1433</v>
      </c>
      <c r="D571" s="4">
        <v>1</v>
      </c>
      <c r="E571" s="4">
        <v>1</v>
      </c>
      <c r="F571" s="4" t="s">
        <v>240</v>
      </c>
      <c r="G571" s="4" t="s">
        <v>241</v>
      </c>
      <c r="H571" s="4" t="s">
        <v>241</v>
      </c>
      <c r="I571" s="4" t="s">
        <v>4518</v>
      </c>
      <c r="J571" s="4" t="s">
        <v>3158</v>
      </c>
      <c r="K571" s="4" t="s">
        <v>251</v>
      </c>
      <c r="L571" s="4" t="s">
        <v>3180</v>
      </c>
      <c r="M571" s="5" t="s">
        <v>4629</v>
      </c>
      <c r="N571" s="6">
        <f>1977</f>
        <v>1977</v>
      </c>
      <c r="O571" s="4" t="s">
        <v>265</v>
      </c>
      <c r="P571" s="6">
        <f>21747</f>
        <v>21747</v>
      </c>
      <c r="Q571" s="6">
        <f>0</f>
        <v>0</v>
      </c>
      <c r="S571" s="6">
        <f>0</f>
        <v>0</v>
      </c>
      <c r="T571" s="6">
        <f>21747</f>
        <v>21747</v>
      </c>
      <c r="U571" s="5" t="s">
        <v>245</v>
      </c>
      <c r="V571" s="4" t="s">
        <v>270</v>
      </c>
      <c r="W571" s="4" t="s">
        <v>242</v>
      </c>
      <c r="X571" s="4" t="s">
        <v>243</v>
      </c>
      <c r="Y571" s="4" t="s">
        <v>241</v>
      </c>
      <c r="AB571" s="4" t="s">
        <v>241</v>
      </c>
      <c r="AD571" s="5" t="s">
        <v>241</v>
      </c>
      <c r="AG571" s="5" t="s">
        <v>246</v>
      </c>
      <c r="AH571" s="4" t="s">
        <v>241</v>
      </c>
      <c r="AI571" s="4" t="s">
        <v>247</v>
      </c>
      <c r="AJ571" s="4" t="s">
        <v>248</v>
      </c>
      <c r="AZ571" s="4" t="s">
        <v>249</v>
      </c>
      <c r="BA571" s="4" t="s">
        <v>241</v>
      </c>
      <c r="BB571" s="4" t="s">
        <v>250</v>
      </c>
      <c r="BC571" s="4" t="s">
        <v>241</v>
      </c>
      <c r="BD571" s="4" t="s">
        <v>252</v>
      </c>
      <c r="BE571" s="4" t="s">
        <v>241</v>
      </c>
      <c r="BI571" s="4" t="s">
        <v>253</v>
      </c>
      <c r="BJ571" s="5" t="s">
        <v>246</v>
      </c>
      <c r="BK571" s="4" t="s">
        <v>254</v>
      </c>
      <c r="BL571" s="4" t="s">
        <v>255</v>
      </c>
      <c r="BM571" s="4" t="s">
        <v>241</v>
      </c>
      <c r="BN571" s="6">
        <f>0</f>
        <v>0</v>
      </c>
      <c r="BO571" s="6">
        <f>0</f>
        <v>0</v>
      </c>
      <c r="BP571" s="4" t="s">
        <v>256</v>
      </c>
      <c r="BQ571" s="4" t="s">
        <v>257</v>
      </c>
      <c r="CE571" s="4" t="s">
        <v>241</v>
      </c>
      <c r="CF571" s="4" t="s">
        <v>241</v>
      </c>
      <c r="CJ571" s="4" t="s">
        <v>258</v>
      </c>
      <c r="CK571" s="4" t="s">
        <v>259</v>
      </c>
      <c r="CL571" s="4" t="s">
        <v>241</v>
      </c>
      <c r="CO571" s="5" t="s">
        <v>260</v>
      </c>
      <c r="CP571" s="4" t="s">
        <v>241</v>
      </c>
      <c r="CQ571" s="4" t="s">
        <v>261</v>
      </c>
      <c r="CR571" s="4" t="s">
        <v>241</v>
      </c>
      <c r="CS571" s="4" t="s">
        <v>241</v>
      </c>
      <c r="CT571" s="4">
        <v>0</v>
      </c>
      <c r="CU571" s="4" t="s">
        <v>262</v>
      </c>
      <c r="CV571" s="4" t="s">
        <v>263</v>
      </c>
      <c r="CW571" s="4" t="s">
        <v>263</v>
      </c>
      <c r="CX571" s="4" t="s">
        <v>264</v>
      </c>
      <c r="DA571" s="6">
        <f>21747</f>
        <v>21747</v>
      </c>
      <c r="DC571" s="4" t="s">
        <v>3160</v>
      </c>
      <c r="DD571" s="4" t="s">
        <v>241</v>
      </c>
      <c r="DF571" s="4" t="s">
        <v>287</v>
      </c>
      <c r="DG571" s="6">
        <f>0</f>
        <v>0</v>
      </c>
      <c r="DI571" s="4" t="s">
        <v>3167</v>
      </c>
      <c r="DJ571" s="4" t="s">
        <v>241</v>
      </c>
      <c r="DK571" s="4" t="s">
        <v>241</v>
      </c>
      <c r="DL571" s="4" t="s">
        <v>241</v>
      </c>
      <c r="DP571" s="4" t="s">
        <v>241</v>
      </c>
      <c r="DQ571" s="4" t="s">
        <v>241</v>
      </c>
      <c r="DR571" s="4" t="s">
        <v>241</v>
      </c>
      <c r="DS571" s="4" t="s">
        <v>241</v>
      </c>
      <c r="DV571" s="4" t="s">
        <v>4520</v>
      </c>
      <c r="DW571" s="4" t="s">
        <v>1655</v>
      </c>
      <c r="HO571" s="4" t="s">
        <v>267</v>
      </c>
    </row>
    <row r="572" spans="1:223" ht="19.5" customHeight="1" x14ac:dyDescent="0.4">
      <c r="A572" s="4">
        <v>1</v>
      </c>
      <c r="B572" s="4" t="s">
        <v>239</v>
      </c>
      <c r="C572" s="4">
        <v>1434</v>
      </c>
      <c r="D572" s="4">
        <v>1</v>
      </c>
      <c r="E572" s="4">
        <v>1</v>
      </c>
      <c r="F572" s="4" t="s">
        <v>240</v>
      </c>
      <c r="G572" s="4" t="s">
        <v>241</v>
      </c>
      <c r="H572" s="4" t="s">
        <v>241</v>
      </c>
      <c r="I572" s="4" t="s">
        <v>4518</v>
      </c>
      <c r="J572" s="4" t="s">
        <v>3158</v>
      </c>
      <c r="K572" s="4" t="s">
        <v>251</v>
      </c>
      <c r="L572" s="4" t="s">
        <v>3180</v>
      </c>
      <c r="M572" s="5" t="s">
        <v>4630</v>
      </c>
      <c r="N572" s="6">
        <f>1836</f>
        <v>1836</v>
      </c>
      <c r="O572" s="4" t="s">
        <v>265</v>
      </c>
      <c r="P572" s="6">
        <f>20196</f>
        <v>20196</v>
      </c>
      <c r="Q572" s="6">
        <f>0</f>
        <v>0</v>
      </c>
      <c r="S572" s="6">
        <f>0</f>
        <v>0</v>
      </c>
      <c r="T572" s="6">
        <f>20196</f>
        <v>20196</v>
      </c>
      <c r="U572" s="5" t="s">
        <v>245</v>
      </c>
      <c r="V572" s="4" t="s">
        <v>270</v>
      </c>
      <c r="W572" s="4" t="s">
        <v>242</v>
      </c>
      <c r="X572" s="4" t="s">
        <v>243</v>
      </c>
      <c r="Y572" s="4" t="s">
        <v>241</v>
      </c>
      <c r="AB572" s="4" t="s">
        <v>241</v>
      </c>
      <c r="AD572" s="5" t="s">
        <v>241</v>
      </c>
      <c r="AG572" s="5" t="s">
        <v>246</v>
      </c>
      <c r="AH572" s="4" t="s">
        <v>241</v>
      </c>
      <c r="AI572" s="4" t="s">
        <v>247</v>
      </c>
      <c r="AJ572" s="4" t="s">
        <v>248</v>
      </c>
      <c r="AZ572" s="4" t="s">
        <v>249</v>
      </c>
      <c r="BA572" s="4" t="s">
        <v>241</v>
      </c>
      <c r="BB572" s="4" t="s">
        <v>250</v>
      </c>
      <c r="BC572" s="4" t="s">
        <v>241</v>
      </c>
      <c r="BD572" s="4" t="s">
        <v>252</v>
      </c>
      <c r="BE572" s="4" t="s">
        <v>241</v>
      </c>
      <c r="BI572" s="4" t="s">
        <v>253</v>
      </c>
      <c r="BJ572" s="5" t="s">
        <v>246</v>
      </c>
      <c r="BK572" s="4" t="s">
        <v>254</v>
      </c>
      <c r="BL572" s="4" t="s">
        <v>255</v>
      </c>
      <c r="BM572" s="4" t="s">
        <v>241</v>
      </c>
      <c r="BN572" s="6">
        <f>0</f>
        <v>0</v>
      </c>
      <c r="BO572" s="6">
        <f>0</f>
        <v>0</v>
      </c>
      <c r="BP572" s="4" t="s">
        <v>256</v>
      </c>
      <c r="BQ572" s="4" t="s">
        <v>257</v>
      </c>
      <c r="CE572" s="4" t="s">
        <v>241</v>
      </c>
      <c r="CF572" s="4" t="s">
        <v>241</v>
      </c>
      <c r="CJ572" s="4" t="s">
        <v>258</v>
      </c>
      <c r="CK572" s="4" t="s">
        <v>259</v>
      </c>
      <c r="CL572" s="4" t="s">
        <v>241</v>
      </c>
      <c r="CO572" s="5" t="s">
        <v>260</v>
      </c>
      <c r="CP572" s="4" t="s">
        <v>241</v>
      </c>
      <c r="CQ572" s="4" t="s">
        <v>261</v>
      </c>
      <c r="CR572" s="4" t="s">
        <v>241</v>
      </c>
      <c r="CS572" s="4" t="s">
        <v>241</v>
      </c>
      <c r="CT572" s="4">
        <v>0</v>
      </c>
      <c r="CU572" s="4" t="s">
        <v>262</v>
      </c>
      <c r="CV572" s="4" t="s">
        <v>263</v>
      </c>
      <c r="CW572" s="4" t="s">
        <v>263</v>
      </c>
      <c r="CX572" s="4" t="s">
        <v>264</v>
      </c>
      <c r="DA572" s="6">
        <f>20196</f>
        <v>20196</v>
      </c>
      <c r="DC572" s="4" t="s">
        <v>3160</v>
      </c>
      <c r="DD572" s="4" t="s">
        <v>241</v>
      </c>
      <c r="DF572" s="4" t="s">
        <v>287</v>
      </c>
      <c r="DG572" s="6">
        <f>0</f>
        <v>0</v>
      </c>
      <c r="DI572" s="4" t="s">
        <v>3167</v>
      </c>
      <c r="DJ572" s="4" t="s">
        <v>241</v>
      </c>
      <c r="DK572" s="4" t="s">
        <v>241</v>
      </c>
      <c r="DL572" s="4" t="s">
        <v>241</v>
      </c>
      <c r="DP572" s="4" t="s">
        <v>241</v>
      </c>
      <c r="DQ572" s="4" t="s">
        <v>241</v>
      </c>
      <c r="DR572" s="4" t="s">
        <v>241</v>
      </c>
      <c r="DS572" s="4" t="s">
        <v>241</v>
      </c>
      <c r="DV572" s="4" t="s">
        <v>4520</v>
      </c>
      <c r="DW572" s="4" t="s">
        <v>1653</v>
      </c>
      <c r="HO572" s="4" t="s">
        <v>267</v>
      </c>
    </row>
    <row r="573" spans="1:223" ht="19.5" customHeight="1" x14ac:dyDescent="0.4">
      <c r="A573" s="4">
        <v>1</v>
      </c>
      <c r="B573" s="4" t="s">
        <v>239</v>
      </c>
      <c r="C573" s="4">
        <v>1435</v>
      </c>
      <c r="D573" s="4">
        <v>1</v>
      </c>
      <c r="E573" s="4">
        <v>1</v>
      </c>
      <c r="F573" s="4" t="s">
        <v>240</v>
      </c>
      <c r="G573" s="4" t="s">
        <v>241</v>
      </c>
      <c r="H573" s="4" t="s">
        <v>241</v>
      </c>
      <c r="I573" s="4" t="s">
        <v>4518</v>
      </c>
      <c r="J573" s="4" t="s">
        <v>3158</v>
      </c>
      <c r="K573" s="4" t="s">
        <v>251</v>
      </c>
      <c r="L573" s="4" t="s">
        <v>3180</v>
      </c>
      <c r="M573" s="5" t="s">
        <v>4631</v>
      </c>
      <c r="N573" s="6">
        <f>565</f>
        <v>565</v>
      </c>
      <c r="O573" s="4" t="s">
        <v>265</v>
      </c>
      <c r="P573" s="6">
        <f>6215</f>
        <v>6215</v>
      </c>
      <c r="Q573" s="6">
        <f>0</f>
        <v>0</v>
      </c>
      <c r="S573" s="6">
        <f>0</f>
        <v>0</v>
      </c>
      <c r="T573" s="6">
        <f>6215</f>
        <v>6215</v>
      </c>
      <c r="U573" s="5" t="s">
        <v>245</v>
      </c>
      <c r="V573" s="4" t="s">
        <v>270</v>
      </c>
      <c r="W573" s="4" t="s">
        <v>242</v>
      </c>
      <c r="X573" s="4" t="s">
        <v>243</v>
      </c>
      <c r="Y573" s="4" t="s">
        <v>241</v>
      </c>
      <c r="AB573" s="4" t="s">
        <v>241</v>
      </c>
      <c r="AD573" s="5" t="s">
        <v>241</v>
      </c>
      <c r="AG573" s="5" t="s">
        <v>246</v>
      </c>
      <c r="AH573" s="4" t="s">
        <v>241</v>
      </c>
      <c r="AI573" s="4" t="s">
        <v>247</v>
      </c>
      <c r="AJ573" s="4" t="s">
        <v>248</v>
      </c>
      <c r="AZ573" s="4" t="s">
        <v>249</v>
      </c>
      <c r="BA573" s="4" t="s">
        <v>241</v>
      </c>
      <c r="BB573" s="4" t="s">
        <v>250</v>
      </c>
      <c r="BC573" s="4" t="s">
        <v>241</v>
      </c>
      <c r="BD573" s="4" t="s">
        <v>252</v>
      </c>
      <c r="BE573" s="4" t="s">
        <v>241</v>
      </c>
      <c r="BI573" s="4" t="s">
        <v>253</v>
      </c>
      <c r="BJ573" s="5" t="s">
        <v>246</v>
      </c>
      <c r="BK573" s="4" t="s">
        <v>254</v>
      </c>
      <c r="BL573" s="4" t="s">
        <v>255</v>
      </c>
      <c r="BM573" s="4" t="s">
        <v>241</v>
      </c>
      <c r="BN573" s="6">
        <f>0</f>
        <v>0</v>
      </c>
      <c r="BO573" s="6">
        <f>0</f>
        <v>0</v>
      </c>
      <c r="BP573" s="4" t="s">
        <v>256</v>
      </c>
      <c r="BQ573" s="4" t="s">
        <v>257</v>
      </c>
      <c r="CE573" s="4" t="s">
        <v>241</v>
      </c>
      <c r="CF573" s="4" t="s">
        <v>241</v>
      </c>
      <c r="CJ573" s="4" t="s">
        <v>258</v>
      </c>
      <c r="CK573" s="4" t="s">
        <v>259</v>
      </c>
      <c r="CL573" s="4" t="s">
        <v>241</v>
      </c>
      <c r="CO573" s="5" t="s">
        <v>260</v>
      </c>
      <c r="CP573" s="4" t="s">
        <v>241</v>
      </c>
      <c r="CQ573" s="4" t="s">
        <v>261</v>
      </c>
      <c r="CR573" s="4" t="s">
        <v>241</v>
      </c>
      <c r="CS573" s="4" t="s">
        <v>241</v>
      </c>
      <c r="CT573" s="4">
        <v>0</v>
      </c>
      <c r="CU573" s="4" t="s">
        <v>262</v>
      </c>
      <c r="CV573" s="4" t="s">
        <v>263</v>
      </c>
      <c r="CW573" s="4" t="s">
        <v>263</v>
      </c>
      <c r="CX573" s="4" t="s">
        <v>264</v>
      </c>
      <c r="DA573" s="6">
        <f>6215</f>
        <v>6215</v>
      </c>
      <c r="DC573" s="4" t="s">
        <v>3160</v>
      </c>
      <c r="DD573" s="4" t="s">
        <v>241</v>
      </c>
      <c r="DF573" s="4" t="s">
        <v>287</v>
      </c>
      <c r="DG573" s="6">
        <f>0</f>
        <v>0</v>
      </c>
      <c r="DI573" s="4" t="s">
        <v>3167</v>
      </c>
      <c r="DJ573" s="4" t="s">
        <v>241</v>
      </c>
      <c r="DK573" s="4" t="s">
        <v>241</v>
      </c>
      <c r="DL573" s="4" t="s">
        <v>241</v>
      </c>
      <c r="DP573" s="4" t="s">
        <v>241</v>
      </c>
      <c r="DQ573" s="4" t="s">
        <v>241</v>
      </c>
      <c r="DR573" s="4" t="s">
        <v>241</v>
      </c>
      <c r="DS573" s="4" t="s">
        <v>241</v>
      </c>
      <c r="DV573" s="4" t="s">
        <v>4520</v>
      </c>
      <c r="DW573" s="4" t="s">
        <v>1651</v>
      </c>
      <c r="HO573" s="4" t="s">
        <v>267</v>
      </c>
    </row>
    <row r="574" spans="1:223" ht="19.5" customHeight="1" x14ac:dyDescent="0.4">
      <c r="A574" s="4">
        <v>1</v>
      </c>
      <c r="B574" s="4" t="s">
        <v>239</v>
      </c>
      <c r="C574" s="4">
        <v>1436</v>
      </c>
      <c r="D574" s="4">
        <v>1</v>
      </c>
      <c r="E574" s="4">
        <v>1</v>
      </c>
      <c r="F574" s="4" t="s">
        <v>240</v>
      </c>
      <c r="G574" s="4" t="s">
        <v>241</v>
      </c>
      <c r="H574" s="4" t="s">
        <v>241</v>
      </c>
      <c r="I574" s="4" t="s">
        <v>4518</v>
      </c>
      <c r="J574" s="4" t="s">
        <v>3158</v>
      </c>
      <c r="K574" s="4" t="s">
        <v>251</v>
      </c>
      <c r="L574" s="4" t="s">
        <v>3180</v>
      </c>
      <c r="M574" s="5" t="s">
        <v>4632</v>
      </c>
      <c r="N574" s="6">
        <f>1861.98</f>
        <v>1861.98</v>
      </c>
      <c r="O574" s="4" t="s">
        <v>265</v>
      </c>
      <c r="P574" s="6">
        <f>20481</f>
        <v>20481</v>
      </c>
      <c r="Q574" s="6">
        <f>0</f>
        <v>0</v>
      </c>
      <c r="S574" s="6">
        <f>0</f>
        <v>0</v>
      </c>
      <c r="T574" s="6">
        <f>20481</f>
        <v>20481</v>
      </c>
      <c r="U574" s="5" t="s">
        <v>245</v>
      </c>
      <c r="V574" s="4" t="s">
        <v>270</v>
      </c>
      <c r="W574" s="4" t="s">
        <v>242</v>
      </c>
      <c r="X574" s="4" t="s">
        <v>243</v>
      </c>
      <c r="Y574" s="4" t="s">
        <v>241</v>
      </c>
      <c r="AB574" s="4" t="s">
        <v>241</v>
      </c>
      <c r="AD574" s="5" t="s">
        <v>241</v>
      </c>
      <c r="AG574" s="5" t="s">
        <v>246</v>
      </c>
      <c r="AH574" s="4" t="s">
        <v>241</v>
      </c>
      <c r="AI574" s="4" t="s">
        <v>247</v>
      </c>
      <c r="AJ574" s="4" t="s">
        <v>248</v>
      </c>
      <c r="AZ574" s="4" t="s">
        <v>249</v>
      </c>
      <c r="BA574" s="4" t="s">
        <v>241</v>
      </c>
      <c r="BB574" s="4" t="s">
        <v>250</v>
      </c>
      <c r="BC574" s="4" t="s">
        <v>241</v>
      </c>
      <c r="BD574" s="4" t="s">
        <v>252</v>
      </c>
      <c r="BE574" s="4" t="s">
        <v>241</v>
      </c>
      <c r="BI574" s="4" t="s">
        <v>253</v>
      </c>
      <c r="BJ574" s="5" t="s">
        <v>246</v>
      </c>
      <c r="BK574" s="4" t="s">
        <v>254</v>
      </c>
      <c r="BL574" s="4" t="s">
        <v>255</v>
      </c>
      <c r="BM574" s="4" t="s">
        <v>241</v>
      </c>
      <c r="BN574" s="6">
        <f>0</f>
        <v>0</v>
      </c>
      <c r="BO574" s="6">
        <f>0</f>
        <v>0</v>
      </c>
      <c r="BP574" s="4" t="s">
        <v>256</v>
      </c>
      <c r="BQ574" s="4" t="s">
        <v>257</v>
      </c>
      <c r="CE574" s="4" t="s">
        <v>241</v>
      </c>
      <c r="CF574" s="4" t="s">
        <v>241</v>
      </c>
      <c r="CJ574" s="4" t="s">
        <v>258</v>
      </c>
      <c r="CK574" s="4" t="s">
        <v>259</v>
      </c>
      <c r="CL574" s="4" t="s">
        <v>241</v>
      </c>
      <c r="CO574" s="5" t="s">
        <v>260</v>
      </c>
      <c r="CP574" s="4" t="s">
        <v>241</v>
      </c>
      <c r="CQ574" s="4" t="s">
        <v>261</v>
      </c>
      <c r="CR574" s="4" t="s">
        <v>241</v>
      </c>
      <c r="CS574" s="4" t="s">
        <v>241</v>
      </c>
      <c r="CT574" s="4">
        <v>0</v>
      </c>
      <c r="CU574" s="4" t="s">
        <v>262</v>
      </c>
      <c r="CV574" s="4" t="s">
        <v>263</v>
      </c>
      <c r="CW574" s="4" t="s">
        <v>263</v>
      </c>
      <c r="CX574" s="4" t="s">
        <v>264</v>
      </c>
      <c r="DA574" s="6">
        <f>20481</f>
        <v>20481</v>
      </c>
      <c r="DC574" s="4" t="s">
        <v>3160</v>
      </c>
      <c r="DD574" s="4" t="s">
        <v>241</v>
      </c>
      <c r="DF574" s="4" t="s">
        <v>3160</v>
      </c>
      <c r="DG574" s="6">
        <f>1861.98</f>
        <v>1861.98</v>
      </c>
      <c r="DI574" s="4" t="s">
        <v>3167</v>
      </c>
      <c r="DJ574" s="4" t="s">
        <v>241</v>
      </c>
      <c r="DK574" s="4" t="s">
        <v>241</v>
      </c>
      <c r="DL574" s="4" t="s">
        <v>241</v>
      </c>
      <c r="DP574" s="4" t="s">
        <v>241</v>
      </c>
      <c r="DQ574" s="4" t="s">
        <v>241</v>
      </c>
      <c r="DR574" s="4" t="s">
        <v>241</v>
      </c>
      <c r="DS574" s="4" t="s">
        <v>241</v>
      </c>
      <c r="DV574" s="4" t="s">
        <v>4520</v>
      </c>
      <c r="DW574" s="4" t="s">
        <v>1345</v>
      </c>
      <c r="HO574" s="4" t="s">
        <v>267</v>
      </c>
    </row>
    <row r="575" spans="1:223" ht="19.5" customHeight="1" x14ac:dyDescent="0.4">
      <c r="A575" s="4">
        <v>1</v>
      </c>
      <c r="B575" s="4" t="s">
        <v>239</v>
      </c>
      <c r="C575" s="4">
        <v>1437</v>
      </c>
      <c r="D575" s="4">
        <v>1</v>
      </c>
      <c r="E575" s="4">
        <v>1</v>
      </c>
      <c r="F575" s="4" t="s">
        <v>240</v>
      </c>
      <c r="G575" s="4" t="s">
        <v>241</v>
      </c>
      <c r="H575" s="4" t="s">
        <v>241</v>
      </c>
      <c r="I575" s="4" t="s">
        <v>4518</v>
      </c>
      <c r="J575" s="4" t="s">
        <v>3158</v>
      </c>
      <c r="K575" s="4" t="s">
        <v>251</v>
      </c>
      <c r="L575" s="4" t="s">
        <v>3180</v>
      </c>
      <c r="M575" s="5" t="s">
        <v>4633</v>
      </c>
      <c r="N575" s="6">
        <f>3275</f>
        <v>3275</v>
      </c>
      <c r="O575" s="4" t="s">
        <v>265</v>
      </c>
      <c r="P575" s="6">
        <f>36025</f>
        <v>36025</v>
      </c>
      <c r="Q575" s="6">
        <f>0</f>
        <v>0</v>
      </c>
      <c r="S575" s="6">
        <f>0</f>
        <v>0</v>
      </c>
      <c r="T575" s="6">
        <f>36025</f>
        <v>36025</v>
      </c>
      <c r="U575" s="5" t="s">
        <v>245</v>
      </c>
      <c r="V575" s="4" t="s">
        <v>270</v>
      </c>
      <c r="W575" s="4" t="s">
        <v>242</v>
      </c>
      <c r="X575" s="4" t="s">
        <v>243</v>
      </c>
      <c r="Y575" s="4" t="s">
        <v>241</v>
      </c>
      <c r="AB575" s="4" t="s">
        <v>241</v>
      </c>
      <c r="AD575" s="5" t="s">
        <v>241</v>
      </c>
      <c r="AG575" s="5" t="s">
        <v>246</v>
      </c>
      <c r="AH575" s="4" t="s">
        <v>241</v>
      </c>
      <c r="AI575" s="4" t="s">
        <v>247</v>
      </c>
      <c r="AJ575" s="4" t="s">
        <v>248</v>
      </c>
      <c r="AZ575" s="4" t="s">
        <v>249</v>
      </c>
      <c r="BA575" s="4" t="s">
        <v>241</v>
      </c>
      <c r="BB575" s="4" t="s">
        <v>250</v>
      </c>
      <c r="BC575" s="4" t="s">
        <v>241</v>
      </c>
      <c r="BD575" s="4" t="s">
        <v>252</v>
      </c>
      <c r="BE575" s="4" t="s">
        <v>241</v>
      </c>
      <c r="BI575" s="4" t="s">
        <v>253</v>
      </c>
      <c r="BJ575" s="5" t="s">
        <v>246</v>
      </c>
      <c r="BK575" s="4" t="s">
        <v>254</v>
      </c>
      <c r="BL575" s="4" t="s">
        <v>255</v>
      </c>
      <c r="BM575" s="4" t="s">
        <v>241</v>
      </c>
      <c r="BN575" s="6">
        <f>0</f>
        <v>0</v>
      </c>
      <c r="BO575" s="6">
        <f>0</f>
        <v>0</v>
      </c>
      <c r="BP575" s="4" t="s">
        <v>256</v>
      </c>
      <c r="BQ575" s="4" t="s">
        <v>257</v>
      </c>
      <c r="CE575" s="4" t="s">
        <v>241</v>
      </c>
      <c r="CF575" s="4" t="s">
        <v>241</v>
      </c>
      <c r="CJ575" s="4" t="s">
        <v>258</v>
      </c>
      <c r="CK575" s="4" t="s">
        <v>259</v>
      </c>
      <c r="CL575" s="4" t="s">
        <v>241</v>
      </c>
      <c r="CO575" s="5" t="s">
        <v>260</v>
      </c>
      <c r="CP575" s="4" t="s">
        <v>241</v>
      </c>
      <c r="CQ575" s="4" t="s">
        <v>261</v>
      </c>
      <c r="CR575" s="4" t="s">
        <v>241</v>
      </c>
      <c r="CS575" s="4" t="s">
        <v>241</v>
      </c>
      <c r="CT575" s="4">
        <v>0</v>
      </c>
      <c r="CU575" s="4" t="s">
        <v>262</v>
      </c>
      <c r="CV575" s="4" t="s">
        <v>263</v>
      </c>
      <c r="CW575" s="4" t="s">
        <v>263</v>
      </c>
      <c r="CX575" s="4" t="s">
        <v>264</v>
      </c>
      <c r="DA575" s="6">
        <f>36025</f>
        <v>36025</v>
      </c>
      <c r="DC575" s="4" t="s">
        <v>3160</v>
      </c>
      <c r="DD575" s="4" t="s">
        <v>241</v>
      </c>
      <c r="DF575" s="4" t="s">
        <v>287</v>
      </c>
      <c r="DG575" s="6">
        <f>0</f>
        <v>0</v>
      </c>
      <c r="DI575" s="4" t="s">
        <v>3167</v>
      </c>
      <c r="DJ575" s="4" t="s">
        <v>241</v>
      </c>
      <c r="DK575" s="4" t="s">
        <v>241</v>
      </c>
      <c r="DL575" s="4" t="s">
        <v>241</v>
      </c>
      <c r="DP575" s="4" t="s">
        <v>241</v>
      </c>
      <c r="DQ575" s="4" t="s">
        <v>241</v>
      </c>
      <c r="DR575" s="4" t="s">
        <v>241</v>
      </c>
      <c r="DS575" s="4" t="s">
        <v>241</v>
      </c>
      <c r="DV575" s="4" t="s">
        <v>4520</v>
      </c>
      <c r="DW575" s="4" t="s">
        <v>2174</v>
      </c>
      <c r="HO575" s="4" t="s">
        <v>267</v>
      </c>
    </row>
    <row r="576" spans="1:223" ht="19.5" customHeight="1" x14ac:dyDescent="0.4">
      <c r="A576" s="4">
        <v>1</v>
      </c>
      <c r="B576" s="4" t="s">
        <v>239</v>
      </c>
      <c r="C576" s="4">
        <v>1438</v>
      </c>
      <c r="D576" s="4">
        <v>1</v>
      </c>
      <c r="E576" s="4">
        <v>1</v>
      </c>
      <c r="F576" s="4" t="s">
        <v>240</v>
      </c>
      <c r="G576" s="4" t="s">
        <v>241</v>
      </c>
      <c r="H576" s="4" t="s">
        <v>241</v>
      </c>
      <c r="I576" s="4" t="s">
        <v>4518</v>
      </c>
      <c r="J576" s="4" t="s">
        <v>3158</v>
      </c>
      <c r="K576" s="4" t="s">
        <v>251</v>
      </c>
      <c r="L576" s="4" t="s">
        <v>3180</v>
      </c>
      <c r="M576" s="5" t="s">
        <v>4634</v>
      </c>
      <c r="N576" s="6">
        <f>2932</f>
        <v>2932</v>
      </c>
      <c r="O576" s="4" t="s">
        <v>265</v>
      </c>
      <c r="P576" s="6">
        <f>32252</f>
        <v>32252</v>
      </c>
      <c r="Q576" s="6">
        <f>0</f>
        <v>0</v>
      </c>
      <c r="S576" s="6">
        <f>0</f>
        <v>0</v>
      </c>
      <c r="T576" s="6">
        <f>32252</f>
        <v>32252</v>
      </c>
      <c r="U576" s="5" t="s">
        <v>245</v>
      </c>
      <c r="V576" s="4" t="s">
        <v>270</v>
      </c>
      <c r="W576" s="4" t="s">
        <v>242</v>
      </c>
      <c r="X576" s="4" t="s">
        <v>243</v>
      </c>
      <c r="Y576" s="4" t="s">
        <v>241</v>
      </c>
      <c r="AB576" s="4" t="s">
        <v>241</v>
      </c>
      <c r="AD576" s="5" t="s">
        <v>241</v>
      </c>
      <c r="AG576" s="5" t="s">
        <v>246</v>
      </c>
      <c r="AH576" s="4" t="s">
        <v>241</v>
      </c>
      <c r="AI576" s="4" t="s">
        <v>247</v>
      </c>
      <c r="AJ576" s="4" t="s">
        <v>248</v>
      </c>
      <c r="AZ576" s="4" t="s">
        <v>249</v>
      </c>
      <c r="BA576" s="4" t="s">
        <v>241</v>
      </c>
      <c r="BB576" s="4" t="s">
        <v>250</v>
      </c>
      <c r="BC576" s="4" t="s">
        <v>241</v>
      </c>
      <c r="BD576" s="4" t="s">
        <v>252</v>
      </c>
      <c r="BE576" s="4" t="s">
        <v>241</v>
      </c>
      <c r="BI576" s="4" t="s">
        <v>253</v>
      </c>
      <c r="BJ576" s="5" t="s">
        <v>246</v>
      </c>
      <c r="BK576" s="4" t="s">
        <v>254</v>
      </c>
      <c r="BL576" s="4" t="s">
        <v>255</v>
      </c>
      <c r="BM576" s="4" t="s">
        <v>241</v>
      </c>
      <c r="BN576" s="6">
        <f>0</f>
        <v>0</v>
      </c>
      <c r="BO576" s="6">
        <f>0</f>
        <v>0</v>
      </c>
      <c r="BP576" s="4" t="s">
        <v>256</v>
      </c>
      <c r="BQ576" s="4" t="s">
        <v>257</v>
      </c>
      <c r="CE576" s="4" t="s">
        <v>241</v>
      </c>
      <c r="CF576" s="4" t="s">
        <v>241</v>
      </c>
      <c r="CJ576" s="4" t="s">
        <v>258</v>
      </c>
      <c r="CK576" s="4" t="s">
        <v>259</v>
      </c>
      <c r="CL576" s="4" t="s">
        <v>241</v>
      </c>
      <c r="CO576" s="5" t="s">
        <v>260</v>
      </c>
      <c r="CP576" s="4" t="s">
        <v>241</v>
      </c>
      <c r="CQ576" s="4" t="s">
        <v>261</v>
      </c>
      <c r="CR576" s="4" t="s">
        <v>241</v>
      </c>
      <c r="CS576" s="4" t="s">
        <v>241</v>
      </c>
      <c r="CT576" s="4">
        <v>0</v>
      </c>
      <c r="CU576" s="4" t="s">
        <v>262</v>
      </c>
      <c r="CV576" s="4" t="s">
        <v>263</v>
      </c>
      <c r="CW576" s="4" t="s">
        <v>263</v>
      </c>
      <c r="CX576" s="4" t="s">
        <v>264</v>
      </c>
      <c r="DA576" s="6">
        <f>32252</f>
        <v>32252</v>
      </c>
      <c r="DC576" s="4" t="s">
        <v>3160</v>
      </c>
      <c r="DD576" s="4" t="s">
        <v>241</v>
      </c>
      <c r="DF576" s="4" t="s">
        <v>287</v>
      </c>
      <c r="DG576" s="6">
        <f>0</f>
        <v>0</v>
      </c>
      <c r="DI576" s="4" t="s">
        <v>3167</v>
      </c>
      <c r="DJ576" s="4" t="s">
        <v>241</v>
      </c>
      <c r="DK576" s="4" t="s">
        <v>241</v>
      </c>
      <c r="DL576" s="4" t="s">
        <v>241</v>
      </c>
      <c r="DP576" s="4" t="s">
        <v>241</v>
      </c>
      <c r="DQ576" s="4" t="s">
        <v>241</v>
      </c>
      <c r="DR576" s="4" t="s">
        <v>241</v>
      </c>
      <c r="DS576" s="4" t="s">
        <v>241</v>
      </c>
      <c r="DV576" s="4" t="s">
        <v>4520</v>
      </c>
      <c r="DW576" s="4" t="s">
        <v>1649</v>
      </c>
      <c r="HO576" s="4" t="s">
        <v>267</v>
      </c>
    </row>
    <row r="577" spans="1:223" ht="19.5" customHeight="1" x14ac:dyDescent="0.4">
      <c r="A577" s="4">
        <v>1</v>
      </c>
      <c r="B577" s="4" t="s">
        <v>239</v>
      </c>
      <c r="C577" s="4">
        <v>1439</v>
      </c>
      <c r="D577" s="4">
        <v>1</v>
      </c>
      <c r="E577" s="4">
        <v>1</v>
      </c>
      <c r="F577" s="4" t="s">
        <v>240</v>
      </c>
      <c r="G577" s="4" t="s">
        <v>241</v>
      </c>
      <c r="H577" s="4" t="s">
        <v>241</v>
      </c>
      <c r="I577" s="4" t="s">
        <v>4518</v>
      </c>
      <c r="J577" s="4" t="s">
        <v>3158</v>
      </c>
      <c r="K577" s="4" t="s">
        <v>251</v>
      </c>
      <c r="L577" s="4" t="s">
        <v>3180</v>
      </c>
      <c r="M577" s="5" t="s">
        <v>4635</v>
      </c>
      <c r="N577" s="6">
        <f>3887</f>
        <v>3887</v>
      </c>
      <c r="O577" s="4" t="s">
        <v>265</v>
      </c>
      <c r="P577" s="6">
        <f>42757</f>
        <v>42757</v>
      </c>
      <c r="Q577" s="6">
        <f>0</f>
        <v>0</v>
      </c>
      <c r="S577" s="6">
        <f>0</f>
        <v>0</v>
      </c>
      <c r="T577" s="6">
        <f>42757</f>
        <v>42757</v>
      </c>
      <c r="U577" s="5" t="s">
        <v>245</v>
      </c>
      <c r="V577" s="4" t="s">
        <v>270</v>
      </c>
      <c r="W577" s="4" t="s">
        <v>242</v>
      </c>
      <c r="X577" s="4" t="s">
        <v>243</v>
      </c>
      <c r="Y577" s="4" t="s">
        <v>241</v>
      </c>
      <c r="AB577" s="4" t="s">
        <v>241</v>
      </c>
      <c r="AD577" s="5" t="s">
        <v>241</v>
      </c>
      <c r="AG577" s="5" t="s">
        <v>246</v>
      </c>
      <c r="AH577" s="4" t="s">
        <v>241</v>
      </c>
      <c r="AI577" s="4" t="s">
        <v>247</v>
      </c>
      <c r="AJ577" s="4" t="s">
        <v>248</v>
      </c>
      <c r="AZ577" s="4" t="s">
        <v>249</v>
      </c>
      <c r="BA577" s="4" t="s">
        <v>241</v>
      </c>
      <c r="BB577" s="4" t="s">
        <v>250</v>
      </c>
      <c r="BC577" s="4" t="s">
        <v>241</v>
      </c>
      <c r="BD577" s="4" t="s">
        <v>252</v>
      </c>
      <c r="BE577" s="4" t="s">
        <v>241</v>
      </c>
      <c r="BI577" s="4" t="s">
        <v>253</v>
      </c>
      <c r="BJ577" s="5" t="s">
        <v>246</v>
      </c>
      <c r="BK577" s="4" t="s">
        <v>254</v>
      </c>
      <c r="BL577" s="4" t="s">
        <v>255</v>
      </c>
      <c r="BM577" s="4" t="s">
        <v>241</v>
      </c>
      <c r="BN577" s="6">
        <f>0</f>
        <v>0</v>
      </c>
      <c r="BO577" s="6">
        <f>0</f>
        <v>0</v>
      </c>
      <c r="BP577" s="4" t="s">
        <v>256</v>
      </c>
      <c r="BQ577" s="4" t="s">
        <v>257</v>
      </c>
      <c r="CE577" s="4" t="s">
        <v>241</v>
      </c>
      <c r="CF577" s="4" t="s">
        <v>241</v>
      </c>
      <c r="CJ577" s="4" t="s">
        <v>258</v>
      </c>
      <c r="CK577" s="4" t="s">
        <v>259</v>
      </c>
      <c r="CL577" s="4" t="s">
        <v>241</v>
      </c>
      <c r="CO577" s="5" t="s">
        <v>260</v>
      </c>
      <c r="CP577" s="4" t="s">
        <v>241</v>
      </c>
      <c r="CQ577" s="4" t="s">
        <v>261</v>
      </c>
      <c r="CR577" s="4" t="s">
        <v>241</v>
      </c>
      <c r="CS577" s="4" t="s">
        <v>241</v>
      </c>
      <c r="CT577" s="4">
        <v>0</v>
      </c>
      <c r="CU577" s="4" t="s">
        <v>262</v>
      </c>
      <c r="CV577" s="4" t="s">
        <v>263</v>
      </c>
      <c r="CW577" s="4" t="s">
        <v>263</v>
      </c>
      <c r="CX577" s="4" t="s">
        <v>264</v>
      </c>
      <c r="DA577" s="6">
        <f>42757</f>
        <v>42757</v>
      </c>
      <c r="DC577" s="4" t="s">
        <v>3160</v>
      </c>
      <c r="DD577" s="4" t="s">
        <v>241</v>
      </c>
      <c r="DF577" s="4" t="s">
        <v>287</v>
      </c>
      <c r="DG577" s="6">
        <f>0</f>
        <v>0</v>
      </c>
      <c r="DI577" s="4" t="s">
        <v>3167</v>
      </c>
      <c r="DJ577" s="4" t="s">
        <v>241</v>
      </c>
      <c r="DK577" s="4" t="s">
        <v>241</v>
      </c>
      <c r="DL577" s="4" t="s">
        <v>241</v>
      </c>
      <c r="DP577" s="4" t="s">
        <v>241</v>
      </c>
      <c r="DQ577" s="4" t="s">
        <v>241</v>
      </c>
      <c r="DR577" s="4" t="s">
        <v>241</v>
      </c>
      <c r="DS577" s="4" t="s">
        <v>241</v>
      </c>
      <c r="DV577" s="4" t="s">
        <v>4520</v>
      </c>
      <c r="DW577" s="4" t="s">
        <v>1647</v>
      </c>
      <c r="HO577" s="4" t="s">
        <v>267</v>
      </c>
    </row>
    <row r="578" spans="1:223" ht="19.5" customHeight="1" x14ac:dyDescent="0.4">
      <c r="A578" s="4">
        <v>1</v>
      </c>
      <c r="B578" s="4" t="s">
        <v>239</v>
      </c>
      <c r="C578" s="4">
        <v>1440</v>
      </c>
      <c r="D578" s="4">
        <v>1</v>
      </c>
      <c r="E578" s="4">
        <v>1</v>
      </c>
      <c r="F578" s="4" t="s">
        <v>240</v>
      </c>
      <c r="G578" s="4" t="s">
        <v>241</v>
      </c>
      <c r="H578" s="4" t="s">
        <v>241</v>
      </c>
      <c r="I578" s="4" t="s">
        <v>4518</v>
      </c>
      <c r="J578" s="4" t="s">
        <v>3158</v>
      </c>
      <c r="K578" s="4" t="s">
        <v>251</v>
      </c>
      <c r="L578" s="4" t="s">
        <v>3180</v>
      </c>
      <c r="M578" s="5" t="s">
        <v>4636</v>
      </c>
      <c r="N578" s="6">
        <f>548</f>
        <v>548</v>
      </c>
      <c r="O578" s="4" t="s">
        <v>265</v>
      </c>
      <c r="P578" s="6">
        <f>6028</f>
        <v>6028</v>
      </c>
      <c r="Q578" s="6">
        <f>0</f>
        <v>0</v>
      </c>
      <c r="S578" s="6">
        <f>0</f>
        <v>0</v>
      </c>
      <c r="T578" s="6">
        <f>6028</f>
        <v>6028</v>
      </c>
      <c r="U578" s="5" t="s">
        <v>245</v>
      </c>
      <c r="V578" s="4" t="s">
        <v>270</v>
      </c>
      <c r="W578" s="4" t="s">
        <v>242</v>
      </c>
      <c r="X578" s="4" t="s">
        <v>243</v>
      </c>
      <c r="Y578" s="4" t="s">
        <v>241</v>
      </c>
      <c r="AB578" s="4" t="s">
        <v>241</v>
      </c>
      <c r="AD578" s="5" t="s">
        <v>241</v>
      </c>
      <c r="AG578" s="5" t="s">
        <v>246</v>
      </c>
      <c r="AH578" s="4" t="s">
        <v>241</v>
      </c>
      <c r="AI578" s="4" t="s">
        <v>247</v>
      </c>
      <c r="AJ578" s="4" t="s">
        <v>248</v>
      </c>
      <c r="AZ578" s="4" t="s">
        <v>249</v>
      </c>
      <c r="BA578" s="4" t="s">
        <v>241</v>
      </c>
      <c r="BB578" s="4" t="s">
        <v>250</v>
      </c>
      <c r="BC578" s="4" t="s">
        <v>241</v>
      </c>
      <c r="BD578" s="4" t="s">
        <v>252</v>
      </c>
      <c r="BE578" s="4" t="s">
        <v>241</v>
      </c>
      <c r="BI578" s="4" t="s">
        <v>253</v>
      </c>
      <c r="BJ578" s="5" t="s">
        <v>246</v>
      </c>
      <c r="BK578" s="4" t="s">
        <v>254</v>
      </c>
      <c r="BL578" s="4" t="s">
        <v>255</v>
      </c>
      <c r="BM578" s="4" t="s">
        <v>241</v>
      </c>
      <c r="BN578" s="6">
        <f>0</f>
        <v>0</v>
      </c>
      <c r="BO578" s="6">
        <f>0</f>
        <v>0</v>
      </c>
      <c r="BP578" s="4" t="s">
        <v>256</v>
      </c>
      <c r="BQ578" s="4" t="s">
        <v>257</v>
      </c>
      <c r="CE578" s="4" t="s">
        <v>241</v>
      </c>
      <c r="CF578" s="4" t="s">
        <v>241</v>
      </c>
      <c r="CJ578" s="4" t="s">
        <v>258</v>
      </c>
      <c r="CK578" s="4" t="s">
        <v>259</v>
      </c>
      <c r="CL578" s="4" t="s">
        <v>241</v>
      </c>
      <c r="CO578" s="5" t="s">
        <v>260</v>
      </c>
      <c r="CP578" s="4" t="s">
        <v>241</v>
      </c>
      <c r="CQ578" s="4" t="s">
        <v>261</v>
      </c>
      <c r="CR578" s="4" t="s">
        <v>241</v>
      </c>
      <c r="CS578" s="4" t="s">
        <v>241</v>
      </c>
      <c r="CT578" s="4">
        <v>0</v>
      </c>
      <c r="CU578" s="4" t="s">
        <v>262</v>
      </c>
      <c r="CV578" s="4" t="s">
        <v>263</v>
      </c>
      <c r="CW578" s="4" t="s">
        <v>263</v>
      </c>
      <c r="CX578" s="4" t="s">
        <v>264</v>
      </c>
      <c r="DA578" s="6">
        <f>6028</f>
        <v>6028</v>
      </c>
      <c r="DC578" s="4" t="s">
        <v>3160</v>
      </c>
      <c r="DD578" s="4" t="s">
        <v>241</v>
      </c>
      <c r="DF578" s="4" t="s">
        <v>287</v>
      </c>
      <c r="DG578" s="6">
        <f>0</f>
        <v>0</v>
      </c>
      <c r="DI578" s="4" t="s">
        <v>3167</v>
      </c>
      <c r="DJ578" s="4" t="s">
        <v>241</v>
      </c>
      <c r="DK578" s="4" t="s">
        <v>241</v>
      </c>
      <c r="DL578" s="4" t="s">
        <v>241</v>
      </c>
      <c r="DP578" s="4" t="s">
        <v>241</v>
      </c>
      <c r="DQ578" s="4" t="s">
        <v>241</v>
      </c>
      <c r="DR578" s="4" t="s">
        <v>241</v>
      </c>
      <c r="DS578" s="4" t="s">
        <v>241</v>
      </c>
      <c r="DV578" s="4" t="s">
        <v>4520</v>
      </c>
      <c r="DW578" s="4" t="s">
        <v>2767</v>
      </c>
      <c r="HO578" s="4" t="s">
        <v>267</v>
      </c>
    </row>
    <row r="579" spans="1:223" ht="19.5" customHeight="1" x14ac:dyDescent="0.4">
      <c r="A579" s="4">
        <v>1</v>
      </c>
      <c r="B579" s="4" t="s">
        <v>239</v>
      </c>
      <c r="C579" s="4">
        <v>1441</v>
      </c>
      <c r="D579" s="4">
        <v>1</v>
      </c>
      <c r="E579" s="4">
        <v>1</v>
      </c>
      <c r="F579" s="4" t="s">
        <v>240</v>
      </c>
      <c r="G579" s="4" t="s">
        <v>241</v>
      </c>
      <c r="H579" s="4" t="s">
        <v>241</v>
      </c>
      <c r="I579" s="4" t="s">
        <v>4518</v>
      </c>
      <c r="J579" s="4" t="s">
        <v>3158</v>
      </c>
      <c r="K579" s="4" t="s">
        <v>251</v>
      </c>
      <c r="L579" s="4" t="s">
        <v>3180</v>
      </c>
      <c r="M579" s="5" t="s">
        <v>4637</v>
      </c>
      <c r="N579" s="6">
        <f>728</f>
        <v>728</v>
      </c>
      <c r="O579" s="4" t="s">
        <v>265</v>
      </c>
      <c r="P579" s="6">
        <f>8008</f>
        <v>8008</v>
      </c>
      <c r="Q579" s="6">
        <f>0</f>
        <v>0</v>
      </c>
      <c r="S579" s="6">
        <f>0</f>
        <v>0</v>
      </c>
      <c r="T579" s="6">
        <f>8008</f>
        <v>8008</v>
      </c>
      <c r="U579" s="5" t="s">
        <v>245</v>
      </c>
      <c r="V579" s="4" t="s">
        <v>270</v>
      </c>
      <c r="W579" s="4" t="s">
        <v>242</v>
      </c>
      <c r="X579" s="4" t="s">
        <v>243</v>
      </c>
      <c r="Y579" s="4" t="s">
        <v>241</v>
      </c>
      <c r="AB579" s="4" t="s">
        <v>241</v>
      </c>
      <c r="AD579" s="5" t="s">
        <v>241</v>
      </c>
      <c r="AG579" s="5" t="s">
        <v>246</v>
      </c>
      <c r="AH579" s="4" t="s">
        <v>241</v>
      </c>
      <c r="AI579" s="4" t="s">
        <v>247</v>
      </c>
      <c r="AJ579" s="4" t="s">
        <v>248</v>
      </c>
      <c r="AZ579" s="4" t="s">
        <v>249</v>
      </c>
      <c r="BA579" s="4" t="s">
        <v>241</v>
      </c>
      <c r="BB579" s="4" t="s">
        <v>250</v>
      </c>
      <c r="BC579" s="4" t="s">
        <v>241</v>
      </c>
      <c r="BD579" s="4" t="s">
        <v>252</v>
      </c>
      <c r="BE579" s="4" t="s">
        <v>241</v>
      </c>
      <c r="BI579" s="4" t="s">
        <v>253</v>
      </c>
      <c r="BJ579" s="5" t="s">
        <v>246</v>
      </c>
      <c r="BK579" s="4" t="s">
        <v>254</v>
      </c>
      <c r="BL579" s="4" t="s">
        <v>255</v>
      </c>
      <c r="BM579" s="4" t="s">
        <v>241</v>
      </c>
      <c r="BN579" s="6">
        <f>0</f>
        <v>0</v>
      </c>
      <c r="BO579" s="6">
        <f>0</f>
        <v>0</v>
      </c>
      <c r="BP579" s="4" t="s">
        <v>256</v>
      </c>
      <c r="BQ579" s="4" t="s">
        <v>257</v>
      </c>
      <c r="CE579" s="4" t="s">
        <v>241</v>
      </c>
      <c r="CF579" s="4" t="s">
        <v>241</v>
      </c>
      <c r="CJ579" s="4" t="s">
        <v>258</v>
      </c>
      <c r="CK579" s="4" t="s">
        <v>259</v>
      </c>
      <c r="CL579" s="4" t="s">
        <v>241</v>
      </c>
      <c r="CO579" s="5" t="s">
        <v>260</v>
      </c>
      <c r="CP579" s="4" t="s">
        <v>241</v>
      </c>
      <c r="CQ579" s="4" t="s">
        <v>261</v>
      </c>
      <c r="CR579" s="4" t="s">
        <v>241</v>
      </c>
      <c r="CS579" s="4" t="s">
        <v>241</v>
      </c>
      <c r="CT579" s="4">
        <v>0</v>
      </c>
      <c r="CU579" s="4" t="s">
        <v>262</v>
      </c>
      <c r="CV579" s="4" t="s">
        <v>263</v>
      </c>
      <c r="CW579" s="4" t="s">
        <v>263</v>
      </c>
      <c r="CX579" s="4" t="s">
        <v>264</v>
      </c>
      <c r="DA579" s="6">
        <f>8008</f>
        <v>8008</v>
      </c>
      <c r="DC579" s="4" t="s">
        <v>287</v>
      </c>
      <c r="DD579" s="4" t="s">
        <v>241</v>
      </c>
      <c r="DF579" s="4" t="s">
        <v>287</v>
      </c>
      <c r="DG579" s="6">
        <f>0</f>
        <v>0</v>
      </c>
      <c r="DI579" s="4" t="s">
        <v>3167</v>
      </c>
      <c r="DJ579" s="4" t="s">
        <v>241</v>
      </c>
      <c r="DK579" s="4" t="s">
        <v>241</v>
      </c>
      <c r="DL579" s="4" t="s">
        <v>241</v>
      </c>
      <c r="DP579" s="4" t="s">
        <v>241</v>
      </c>
      <c r="DQ579" s="4" t="s">
        <v>241</v>
      </c>
      <c r="DR579" s="4" t="s">
        <v>241</v>
      </c>
      <c r="DS579" s="4" t="s">
        <v>241</v>
      </c>
      <c r="DV579" s="4" t="s">
        <v>4520</v>
      </c>
      <c r="DW579" s="4" t="s">
        <v>1645</v>
      </c>
      <c r="HO579" s="4" t="s">
        <v>267</v>
      </c>
    </row>
    <row r="580" spans="1:223" ht="19.5" customHeight="1" x14ac:dyDescent="0.4">
      <c r="A580" s="4">
        <v>1</v>
      </c>
      <c r="B580" s="4" t="s">
        <v>239</v>
      </c>
      <c r="C580" s="4">
        <v>1442</v>
      </c>
      <c r="D580" s="4">
        <v>1</v>
      </c>
      <c r="E580" s="4">
        <v>1</v>
      </c>
      <c r="F580" s="4" t="s">
        <v>240</v>
      </c>
      <c r="G580" s="4" t="s">
        <v>241</v>
      </c>
      <c r="H580" s="4" t="s">
        <v>241</v>
      </c>
      <c r="I580" s="4" t="s">
        <v>4518</v>
      </c>
      <c r="J580" s="4" t="s">
        <v>3158</v>
      </c>
      <c r="K580" s="4" t="s">
        <v>251</v>
      </c>
      <c r="L580" s="4" t="s">
        <v>3180</v>
      </c>
      <c r="M580" s="5" t="s">
        <v>4638</v>
      </c>
      <c r="N580" s="6">
        <f>562</f>
        <v>562</v>
      </c>
      <c r="O580" s="4" t="s">
        <v>265</v>
      </c>
      <c r="P580" s="6">
        <f>6182</f>
        <v>6182</v>
      </c>
      <c r="Q580" s="6">
        <f>0</f>
        <v>0</v>
      </c>
      <c r="S580" s="6">
        <f>0</f>
        <v>0</v>
      </c>
      <c r="T580" s="6">
        <f>6182</f>
        <v>6182</v>
      </c>
      <c r="U580" s="5" t="s">
        <v>245</v>
      </c>
      <c r="V580" s="4" t="s">
        <v>270</v>
      </c>
      <c r="W580" s="4" t="s">
        <v>242</v>
      </c>
      <c r="X580" s="4" t="s">
        <v>243</v>
      </c>
      <c r="Y580" s="4" t="s">
        <v>241</v>
      </c>
      <c r="AB580" s="4" t="s">
        <v>241</v>
      </c>
      <c r="AD580" s="5" t="s">
        <v>241</v>
      </c>
      <c r="AG580" s="5" t="s">
        <v>246</v>
      </c>
      <c r="AH580" s="4" t="s">
        <v>241</v>
      </c>
      <c r="AI580" s="4" t="s">
        <v>247</v>
      </c>
      <c r="AJ580" s="4" t="s">
        <v>248</v>
      </c>
      <c r="AZ580" s="4" t="s">
        <v>249</v>
      </c>
      <c r="BA580" s="4" t="s">
        <v>241</v>
      </c>
      <c r="BB580" s="4" t="s">
        <v>250</v>
      </c>
      <c r="BC580" s="4" t="s">
        <v>241</v>
      </c>
      <c r="BD580" s="4" t="s">
        <v>252</v>
      </c>
      <c r="BE580" s="4" t="s">
        <v>241</v>
      </c>
      <c r="BI580" s="4" t="s">
        <v>253</v>
      </c>
      <c r="BJ580" s="5" t="s">
        <v>246</v>
      </c>
      <c r="BK580" s="4" t="s">
        <v>254</v>
      </c>
      <c r="BL580" s="4" t="s">
        <v>255</v>
      </c>
      <c r="BM580" s="4" t="s">
        <v>241</v>
      </c>
      <c r="BN580" s="6">
        <f>0</f>
        <v>0</v>
      </c>
      <c r="BO580" s="6">
        <f>0</f>
        <v>0</v>
      </c>
      <c r="BP580" s="4" t="s">
        <v>256</v>
      </c>
      <c r="BQ580" s="4" t="s">
        <v>257</v>
      </c>
      <c r="CE580" s="4" t="s">
        <v>241</v>
      </c>
      <c r="CF580" s="4" t="s">
        <v>241</v>
      </c>
      <c r="CJ580" s="4" t="s">
        <v>258</v>
      </c>
      <c r="CK580" s="4" t="s">
        <v>259</v>
      </c>
      <c r="CL580" s="4" t="s">
        <v>241</v>
      </c>
      <c r="CO580" s="5" t="s">
        <v>260</v>
      </c>
      <c r="CP580" s="4" t="s">
        <v>241</v>
      </c>
      <c r="CQ580" s="4" t="s">
        <v>261</v>
      </c>
      <c r="CR580" s="4" t="s">
        <v>241</v>
      </c>
      <c r="CS580" s="4" t="s">
        <v>241</v>
      </c>
      <c r="CT580" s="4">
        <v>0</v>
      </c>
      <c r="CU580" s="4" t="s">
        <v>262</v>
      </c>
      <c r="CV580" s="4" t="s">
        <v>263</v>
      </c>
      <c r="CW580" s="4" t="s">
        <v>263</v>
      </c>
      <c r="CX580" s="4" t="s">
        <v>264</v>
      </c>
      <c r="DA580" s="6">
        <f>6182</f>
        <v>6182</v>
      </c>
      <c r="DC580" s="4" t="s">
        <v>3160</v>
      </c>
      <c r="DD580" s="4" t="s">
        <v>241</v>
      </c>
      <c r="DF580" s="4" t="s">
        <v>287</v>
      </c>
      <c r="DG580" s="6">
        <f>0</f>
        <v>0</v>
      </c>
      <c r="DI580" s="4" t="s">
        <v>3167</v>
      </c>
      <c r="DJ580" s="4" t="s">
        <v>241</v>
      </c>
      <c r="DK580" s="4" t="s">
        <v>241</v>
      </c>
      <c r="DL580" s="4" t="s">
        <v>241</v>
      </c>
      <c r="DP580" s="4" t="s">
        <v>241</v>
      </c>
      <c r="DQ580" s="4" t="s">
        <v>241</v>
      </c>
      <c r="DR580" s="4" t="s">
        <v>241</v>
      </c>
      <c r="DS580" s="4" t="s">
        <v>241</v>
      </c>
      <c r="DV580" s="4" t="s">
        <v>4520</v>
      </c>
      <c r="DW580" s="4" t="s">
        <v>1643</v>
      </c>
      <c r="HO580" s="4" t="s">
        <v>267</v>
      </c>
    </row>
    <row r="581" spans="1:223" ht="19.5" customHeight="1" x14ac:dyDescent="0.4">
      <c r="A581" s="4">
        <v>1</v>
      </c>
      <c r="B581" s="4" t="s">
        <v>239</v>
      </c>
      <c r="C581" s="4">
        <v>1443</v>
      </c>
      <c r="D581" s="4">
        <v>1</v>
      </c>
      <c r="E581" s="4">
        <v>1</v>
      </c>
      <c r="F581" s="4" t="s">
        <v>240</v>
      </c>
      <c r="G581" s="4" t="s">
        <v>241</v>
      </c>
      <c r="H581" s="4" t="s">
        <v>241</v>
      </c>
      <c r="I581" s="4" t="s">
        <v>4518</v>
      </c>
      <c r="J581" s="4" t="s">
        <v>3158</v>
      </c>
      <c r="K581" s="4" t="s">
        <v>251</v>
      </c>
      <c r="L581" s="4" t="s">
        <v>3180</v>
      </c>
      <c r="M581" s="5" t="s">
        <v>4639</v>
      </c>
      <c r="N581" s="6">
        <f>645</f>
        <v>645</v>
      </c>
      <c r="O581" s="4" t="s">
        <v>265</v>
      </c>
      <c r="P581" s="6">
        <f>7095</f>
        <v>7095</v>
      </c>
      <c r="Q581" s="6">
        <f>0</f>
        <v>0</v>
      </c>
      <c r="S581" s="6">
        <f>0</f>
        <v>0</v>
      </c>
      <c r="T581" s="6">
        <f>7095</f>
        <v>7095</v>
      </c>
      <c r="U581" s="5" t="s">
        <v>245</v>
      </c>
      <c r="V581" s="4" t="s">
        <v>270</v>
      </c>
      <c r="W581" s="4" t="s">
        <v>242</v>
      </c>
      <c r="X581" s="4" t="s">
        <v>243</v>
      </c>
      <c r="Y581" s="4" t="s">
        <v>241</v>
      </c>
      <c r="AB581" s="4" t="s">
        <v>241</v>
      </c>
      <c r="AD581" s="5" t="s">
        <v>241</v>
      </c>
      <c r="AG581" s="5" t="s">
        <v>246</v>
      </c>
      <c r="AH581" s="4" t="s">
        <v>241</v>
      </c>
      <c r="AI581" s="4" t="s">
        <v>247</v>
      </c>
      <c r="AJ581" s="4" t="s">
        <v>248</v>
      </c>
      <c r="AZ581" s="4" t="s">
        <v>249</v>
      </c>
      <c r="BA581" s="4" t="s">
        <v>241</v>
      </c>
      <c r="BB581" s="4" t="s">
        <v>250</v>
      </c>
      <c r="BC581" s="4" t="s">
        <v>241</v>
      </c>
      <c r="BD581" s="4" t="s">
        <v>252</v>
      </c>
      <c r="BE581" s="4" t="s">
        <v>241</v>
      </c>
      <c r="BI581" s="4" t="s">
        <v>253</v>
      </c>
      <c r="BJ581" s="5" t="s">
        <v>246</v>
      </c>
      <c r="BK581" s="4" t="s">
        <v>254</v>
      </c>
      <c r="BL581" s="4" t="s">
        <v>255</v>
      </c>
      <c r="BM581" s="4" t="s">
        <v>241</v>
      </c>
      <c r="BN581" s="6">
        <f>0</f>
        <v>0</v>
      </c>
      <c r="BO581" s="6">
        <f>0</f>
        <v>0</v>
      </c>
      <c r="BP581" s="4" t="s">
        <v>256</v>
      </c>
      <c r="BQ581" s="4" t="s">
        <v>257</v>
      </c>
      <c r="CE581" s="4" t="s">
        <v>241</v>
      </c>
      <c r="CF581" s="4" t="s">
        <v>241</v>
      </c>
      <c r="CJ581" s="4" t="s">
        <v>258</v>
      </c>
      <c r="CK581" s="4" t="s">
        <v>259</v>
      </c>
      <c r="CL581" s="4" t="s">
        <v>241</v>
      </c>
      <c r="CO581" s="5" t="s">
        <v>260</v>
      </c>
      <c r="CP581" s="4" t="s">
        <v>241</v>
      </c>
      <c r="CQ581" s="4" t="s">
        <v>261</v>
      </c>
      <c r="CR581" s="4" t="s">
        <v>241</v>
      </c>
      <c r="CS581" s="4" t="s">
        <v>241</v>
      </c>
      <c r="CT581" s="4">
        <v>0</v>
      </c>
      <c r="CU581" s="4" t="s">
        <v>262</v>
      </c>
      <c r="CV581" s="4" t="s">
        <v>263</v>
      </c>
      <c r="CW581" s="4" t="s">
        <v>263</v>
      </c>
      <c r="CX581" s="4" t="s">
        <v>264</v>
      </c>
      <c r="DA581" s="6">
        <f>7095</f>
        <v>7095</v>
      </c>
      <c r="DC581" s="4" t="s">
        <v>3160</v>
      </c>
      <c r="DD581" s="4" t="s">
        <v>241</v>
      </c>
      <c r="DF581" s="4" t="s">
        <v>287</v>
      </c>
      <c r="DG581" s="6">
        <f>0</f>
        <v>0</v>
      </c>
      <c r="DI581" s="4" t="s">
        <v>3167</v>
      </c>
      <c r="DJ581" s="4" t="s">
        <v>241</v>
      </c>
      <c r="DK581" s="4" t="s">
        <v>241</v>
      </c>
      <c r="DL581" s="4" t="s">
        <v>241</v>
      </c>
      <c r="DP581" s="4" t="s">
        <v>241</v>
      </c>
      <c r="DQ581" s="4" t="s">
        <v>241</v>
      </c>
      <c r="DR581" s="4" t="s">
        <v>241</v>
      </c>
      <c r="DS581" s="4" t="s">
        <v>241</v>
      </c>
      <c r="DV581" s="4" t="s">
        <v>4520</v>
      </c>
      <c r="DW581" s="4" t="s">
        <v>1201</v>
      </c>
      <c r="HO581" s="4" t="s">
        <v>267</v>
      </c>
    </row>
    <row r="582" spans="1:223" ht="19.5" customHeight="1" x14ac:dyDescent="0.4">
      <c r="A582" s="4">
        <v>1</v>
      </c>
      <c r="B582" s="4" t="s">
        <v>239</v>
      </c>
      <c r="C582" s="4">
        <v>1444</v>
      </c>
      <c r="D582" s="4">
        <v>1</v>
      </c>
      <c r="E582" s="4">
        <v>1</v>
      </c>
      <c r="F582" s="4" t="s">
        <v>240</v>
      </c>
      <c r="G582" s="4" t="s">
        <v>241</v>
      </c>
      <c r="H582" s="4" t="s">
        <v>241</v>
      </c>
      <c r="I582" s="4" t="s">
        <v>4518</v>
      </c>
      <c r="J582" s="4" t="s">
        <v>3158</v>
      </c>
      <c r="K582" s="4" t="s">
        <v>251</v>
      </c>
      <c r="L582" s="4" t="s">
        <v>3180</v>
      </c>
      <c r="M582" s="5" t="s">
        <v>4640</v>
      </c>
      <c r="N582" s="6">
        <f>222</f>
        <v>222</v>
      </c>
      <c r="O582" s="4" t="s">
        <v>265</v>
      </c>
      <c r="P582" s="6">
        <f>2442</f>
        <v>2442</v>
      </c>
      <c r="Q582" s="6">
        <f>0</f>
        <v>0</v>
      </c>
      <c r="S582" s="6">
        <f>0</f>
        <v>0</v>
      </c>
      <c r="T582" s="6">
        <f>2442</f>
        <v>2442</v>
      </c>
      <c r="U582" s="5" t="s">
        <v>245</v>
      </c>
      <c r="V582" s="4" t="s">
        <v>270</v>
      </c>
      <c r="W582" s="4" t="s">
        <v>242</v>
      </c>
      <c r="X582" s="4" t="s">
        <v>243</v>
      </c>
      <c r="Y582" s="4" t="s">
        <v>241</v>
      </c>
      <c r="AB582" s="4" t="s">
        <v>241</v>
      </c>
      <c r="AD582" s="5" t="s">
        <v>241</v>
      </c>
      <c r="AG582" s="5" t="s">
        <v>246</v>
      </c>
      <c r="AH582" s="4" t="s">
        <v>241</v>
      </c>
      <c r="AI582" s="4" t="s">
        <v>247</v>
      </c>
      <c r="AJ582" s="4" t="s">
        <v>248</v>
      </c>
      <c r="AZ582" s="4" t="s">
        <v>249</v>
      </c>
      <c r="BA582" s="4" t="s">
        <v>241</v>
      </c>
      <c r="BB582" s="4" t="s">
        <v>250</v>
      </c>
      <c r="BC582" s="4" t="s">
        <v>241</v>
      </c>
      <c r="BD582" s="4" t="s">
        <v>252</v>
      </c>
      <c r="BE582" s="4" t="s">
        <v>241</v>
      </c>
      <c r="BI582" s="4" t="s">
        <v>253</v>
      </c>
      <c r="BJ582" s="5" t="s">
        <v>246</v>
      </c>
      <c r="BK582" s="4" t="s">
        <v>254</v>
      </c>
      <c r="BL582" s="4" t="s">
        <v>255</v>
      </c>
      <c r="BM582" s="4" t="s">
        <v>241</v>
      </c>
      <c r="BN582" s="6">
        <f>0</f>
        <v>0</v>
      </c>
      <c r="BO582" s="6">
        <f>0</f>
        <v>0</v>
      </c>
      <c r="BP582" s="4" t="s">
        <v>256</v>
      </c>
      <c r="BQ582" s="4" t="s">
        <v>257</v>
      </c>
      <c r="CE582" s="4" t="s">
        <v>241</v>
      </c>
      <c r="CF582" s="4" t="s">
        <v>241</v>
      </c>
      <c r="CJ582" s="4" t="s">
        <v>258</v>
      </c>
      <c r="CK582" s="4" t="s">
        <v>259</v>
      </c>
      <c r="CL582" s="4" t="s">
        <v>241</v>
      </c>
      <c r="CO582" s="5" t="s">
        <v>260</v>
      </c>
      <c r="CP582" s="4" t="s">
        <v>241</v>
      </c>
      <c r="CQ582" s="4" t="s">
        <v>261</v>
      </c>
      <c r="CR582" s="4" t="s">
        <v>241</v>
      </c>
      <c r="CS582" s="4" t="s">
        <v>241</v>
      </c>
      <c r="CT582" s="4">
        <v>0</v>
      </c>
      <c r="CU582" s="4" t="s">
        <v>262</v>
      </c>
      <c r="CV582" s="4" t="s">
        <v>263</v>
      </c>
      <c r="CW582" s="4" t="s">
        <v>263</v>
      </c>
      <c r="CX582" s="4" t="s">
        <v>264</v>
      </c>
      <c r="DA582" s="6">
        <f>2442</f>
        <v>2442</v>
      </c>
      <c r="DC582" s="4" t="s">
        <v>3160</v>
      </c>
      <c r="DD582" s="4" t="s">
        <v>241</v>
      </c>
      <c r="DF582" s="4" t="s">
        <v>287</v>
      </c>
      <c r="DG582" s="6">
        <f>0</f>
        <v>0</v>
      </c>
      <c r="DI582" s="4" t="s">
        <v>3167</v>
      </c>
      <c r="DJ582" s="4" t="s">
        <v>241</v>
      </c>
      <c r="DK582" s="4" t="s">
        <v>241</v>
      </c>
      <c r="DL582" s="4" t="s">
        <v>241</v>
      </c>
      <c r="DP582" s="4" t="s">
        <v>241</v>
      </c>
      <c r="DQ582" s="4" t="s">
        <v>241</v>
      </c>
      <c r="DR582" s="4" t="s">
        <v>241</v>
      </c>
      <c r="DS582" s="4" t="s">
        <v>241</v>
      </c>
      <c r="DV582" s="4" t="s">
        <v>4520</v>
      </c>
      <c r="DW582" s="4" t="s">
        <v>1641</v>
      </c>
      <c r="HO582" s="4" t="s">
        <v>267</v>
      </c>
    </row>
    <row r="583" spans="1:223" ht="19.5" customHeight="1" x14ac:dyDescent="0.4">
      <c r="A583" s="4">
        <v>1</v>
      </c>
      <c r="B583" s="4" t="s">
        <v>239</v>
      </c>
      <c r="C583" s="4">
        <v>1445</v>
      </c>
      <c r="D583" s="4">
        <v>1</v>
      </c>
      <c r="E583" s="4">
        <v>1</v>
      </c>
      <c r="F583" s="4" t="s">
        <v>240</v>
      </c>
      <c r="G583" s="4" t="s">
        <v>241</v>
      </c>
      <c r="H583" s="4" t="s">
        <v>241</v>
      </c>
      <c r="I583" s="4" t="s">
        <v>4518</v>
      </c>
      <c r="J583" s="4" t="s">
        <v>3158</v>
      </c>
      <c r="K583" s="4" t="s">
        <v>251</v>
      </c>
      <c r="L583" s="4" t="s">
        <v>3180</v>
      </c>
      <c r="M583" s="5" t="s">
        <v>4530</v>
      </c>
      <c r="N583" s="6">
        <f>129</f>
        <v>129</v>
      </c>
      <c r="O583" s="4" t="s">
        <v>265</v>
      </c>
      <c r="P583" s="6">
        <f>1419</f>
        <v>1419</v>
      </c>
      <c r="Q583" s="6">
        <f>0</f>
        <v>0</v>
      </c>
      <c r="S583" s="6">
        <f>0</f>
        <v>0</v>
      </c>
      <c r="T583" s="6">
        <f>1419</f>
        <v>1419</v>
      </c>
      <c r="U583" s="5" t="s">
        <v>245</v>
      </c>
      <c r="V583" s="4" t="s">
        <v>270</v>
      </c>
      <c r="W583" s="4" t="s">
        <v>242</v>
      </c>
      <c r="X583" s="4" t="s">
        <v>243</v>
      </c>
      <c r="Y583" s="4" t="s">
        <v>241</v>
      </c>
      <c r="AB583" s="4" t="s">
        <v>241</v>
      </c>
      <c r="AD583" s="5" t="s">
        <v>241</v>
      </c>
      <c r="AG583" s="5" t="s">
        <v>246</v>
      </c>
      <c r="AH583" s="4" t="s">
        <v>241</v>
      </c>
      <c r="AI583" s="4" t="s">
        <v>247</v>
      </c>
      <c r="AJ583" s="4" t="s">
        <v>248</v>
      </c>
      <c r="AZ583" s="4" t="s">
        <v>249</v>
      </c>
      <c r="BA583" s="4" t="s">
        <v>241</v>
      </c>
      <c r="BB583" s="4" t="s">
        <v>250</v>
      </c>
      <c r="BC583" s="4" t="s">
        <v>241</v>
      </c>
      <c r="BD583" s="4" t="s">
        <v>252</v>
      </c>
      <c r="BE583" s="4" t="s">
        <v>241</v>
      </c>
      <c r="BI583" s="4" t="s">
        <v>253</v>
      </c>
      <c r="BJ583" s="5" t="s">
        <v>246</v>
      </c>
      <c r="BK583" s="4" t="s">
        <v>254</v>
      </c>
      <c r="BL583" s="4" t="s">
        <v>255</v>
      </c>
      <c r="BM583" s="4" t="s">
        <v>241</v>
      </c>
      <c r="BN583" s="6">
        <f>0</f>
        <v>0</v>
      </c>
      <c r="BO583" s="6">
        <f>0</f>
        <v>0</v>
      </c>
      <c r="BP583" s="4" t="s">
        <v>256</v>
      </c>
      <c r="BQ583" s="4" t="s">
        <v>257</v>
      </c>
      <c r="CE583" s="4" t="s">
        <v>241</v>
      </c>
      <c r="CF583" s="4" t="s">
        <v>241</v>
      </c>
      <c r="CJ583" s="4" t="s">
        <v>258</v>
      </c>
      <c r="CK583" s="4" t="s">
        <v>259</v>
      </c>
      <c r="CL583" s="4" t="s">
        <v>241</v>
      </c>
      <c r="CO583" s="5" t="s">
        <v>260</v>
      </c>
      <c r="CP583" s="4" t="s">
        <v>241</v>
      </c>
      <c r="CQ583" s="4" t="s">
        <v>261</v>
      </c>
      <c r="CR583" s="4" t="s">
        <v>241</v>
      </c>
      <c r="CS583" s="4" t="s">
        <v>241</v>
      </c>
      <c r="CT583" s="4">
        <v>0</v>
      </c>
      <c r="CU583" s="4" t="s">
        <v>262</v>
      </c>
      <c r="CV583" s="4" t="s">
        <v>263</v>
      </c>
      <c r="CW583" s="4" t="s">
        <v>263</v>
      </c>
      <c r="CX583" s="4" t="s">
        <v>264</v>
      </c>
      <c r="DA583" s="6">
        <f>1419</f>
        <v>1419</v>
      </c>
      <c r="DC583" s="4" t="s">
        <v>3160</v>
      </c>
      <c r="DD583" s="4" t="s">
        <v>241</v>
      </c>
      <c r="DF583" s="4" t="s">
        <v>287</v>
      </c>
      <c r="DG583" s="6">
        <f>0</f>
        <v>0</v>
      </c>
      <c r="DI583" s="4" t="s">
        <v>3167</v>
      </c>
      <c r="DJ583" s="4" t="s">
        <v>241</v>
      </c>
      <c r="DK583" s="4" t="s">
        <v>241</v>
      </c>
      <c r="DL583" s="4" t="s">
        <v>241</v>
      </c>
      <c r="DP583" s="4" t="s">
        <v>241</v>
      </c>
      <c r="DQ583" s="4" t="s">
        <v>241</v>
      </c>
      <c r="DR583" s="4" t="s">
        <v>241</v>
      </c>
      <c r="DS583" s="4" t="s">
        <v>241</v>
      </c>
      <c r="DV583" s="4" t="s">
        <v>4520</v>
      </c>
      <c r="DW583" s="4" t="s">
        <v>1637</v>
      </c>
      <c r="HO583" s="4" t="s">
        <v>267</v>
      </c>
    </row>
    <row r="584" spans="1:223" ht="19.5" customHeight="1" x14ac:dyDescent="0.4">
      <c r="A584" s="4">
        <v>1</v>
      </c>
      <c r="B584" s="4" t="s">
        <v>239</v>
      </c>
      <c r="C584" s="4">
        <v>1446</v>
      </c>
      <c r="D584" s="4">
        <v>1</v>
      </c>
      <c r="E584" s="4">
        <v>1</v>
      </c>
      <c r="F584" s="4" t="s">
        <v>240</v>
      </c>
      <c r="G584" s="4" t="s">
        <v>241</v>
      </c>
      <c r="H584" s="4" t="s">
        <v>241</v>
      </c>
      <c r="I584" s="4" t="s">
        <v>4518</v>
      </c>
      <c r="J584" s="4" t="s">
        <v>3158</v>
      </c>
      <c r="K584" s="4" t="s">
        <v>251</v>
      </c>
      <c r="L584" s="4" t="s">
        <v>3180</v>
      </c>
      <c r="M584" s="5" t="s">
        <v>5450</v>
      </c>
      <c r="N584" s="6">
        <f>1207</f>
        <v>1207</v>
      </c>
      <c r="O584" s="4" t="s">
        <v>265</v>
      </c>
      <c r="P584" s="6">
        <f>13277</f>
        <v>13277</v>
      </c>
      <c r="Q584" s="6">
        <f>0</f>
        <v>0</v>
      </c>
      <c r="S584" s="6">
        <f>0</f>
        <v>0</v>
      </c>
      <c r="T584" s="6">
        <f>13277</f>
        <v>13277</v>
      </c>
      <c r="U584" s="5" t="s">
        <v>245</v>
      </c>
      <c r="V584" s="4" t="s">
        <v>270</v>
      </c>
      <c r="W584" s="4" t="s">
        <v>242</v>
      </c>
      <c r="X584" s="4" t="s">
        <v>243</v>
      </c>
      <c r="Y584" s="4" t="s">
        <v>241</v>
      </c>
      <c r="AB584" s="4" t="s">
        <v>241</v>
      </c>
      <c r="AD584" s="5" t="s">
        <v>241</v>
      </c>
      <c r="AG584" s="5" t="s">
        <v>246</v>
      </c>
      <c r="AH584" s="4" t="s">
        <v>241</v>
      </c>
      <c r="AI584" s="4" t="s">
        <v>247</v>
      </c>
      <c r="AJ584" s="4" t="s">
        <v>248</v>
      </c>
      <c r="AZ584" s="4" t="s">
        <v>249</v>
      </c>
      <c r="BA584" s="4" t="s">
        <v>241</v>
      </c>
      <c r="BB584" s="4" t="s">
        <v>250</v>
      </c>
      <c r="BC584" s="4" t="s">
        <v>241</v>
      </c>
      <c r="BD584" s="4" t="s">
        <v>252</v>
      </c>
      <c r="BE584" s="4" t="s">
        <v>241</v>
      </c>
      <c r="BI584" s="4" t="s">
        <v>253</v>
      </c>
      <c r="BJ584" s="5" t="s">
        <v>246</v>
      </c>
      <c r="BK584" s="4" t="s">
        <v>254</v>
      </c>
      <c r="BL584" s="4" t="s">
        <v>255</v>
      </c>
      <c r="BM584" s="4" t="s">
        <v>241</v>
      </c>
      <c r="BN584" s="6">
        <f>0</f>
        <v>0</v>
      </c>
      <c r="BO584" s="6">
        <f>0</f>
        <v>0</v>
      </c>
      <c r="BP584" s="4" t="s">
        <v>256</v>
      </c>
      <c r="BQ584" s="4" t="s">
        <v>257</v>
      </c>
      <c r="CE584" s="4" t="s">
        <v>241</v>
      </c>
      <c r="CF584" s="4" t="s">
        <v>241</v>
      </c>
      <c r="CJ584" s="4" t="s">
        <v>258</v>
      </c>
      <c r="CK584" s="4" t="s">
        <v>259</v>
      </c>
      <c r="CL584" s="4" t="s">
        <v>241</v>
      </c>
      <c r="CO584" s="5" t="s">
        <v>260</v>
      </c>
      <c r="CP584" s="4" t="s">
        <v>241</v>
      </c>
      <c r="CQ584" s="4" t="s">
        <v>261</v>
      </c>
      <c r="CR584" s="4" t="s">
        <v>241</v>
      </c>
      <c r="CS584" s="4" t="s">
        <v>241</v>
      </c>
      <c r="CT584" s="4">
        <v>0</v>
      </c>
      <c r="CU584" s="4" t="s">
        <v>262</v>
      </c>
      <c r="CV584" s="4" t="s">
        <v>263</v>
      </c>
      <c r="CW584" s="4" t="s">
        <v>263</v>
      </c>
      <c r="CX584" s="4" t="s">
        <v>264</v>
      </c>
      <c r="DA584" s="6">
        <f>13277</f>
        <v>13277</v>
      </c>
      <c r="DC584" s="4" t="s">
        <v>3160</v>
      </c>
      <c r="DD584" s="4" t="s">
        <v>241</v>
      </c>
      <c r="DF584" s="4" t="s">
        <v>287</v>
      </c>
      <c r="DG584" s="6">
        <f>0</f>
        <v>0</v>
      </c>
      <c r="DI584" s="4" t="s">
        <v>3167</v>
      </c>
      <c r="DJ584" s="4" t="s">
        <v>241</v>
      </c>
      <c r="DK584" s="4" t="s">
        <v>241</v>
      </c>
      <c r="DL584" s="4" t="s">
        <v>241</v>
      </c>
      <c r="DP584" s="4" t="s">
        <v>241</v>
      </c>
      <c r="DQ584" s="4" t="s">
        <v>241</v>
      </c>
      <c r="DR584" s="4" t="s">
        <v>241</v>
      </c>
      <c r="DS584" s="4" t="s">
        <v>241</v>
      </c>
      <c r="DV584" s="4" t="s">
        <v>4520</v>
      </c>
      <c r="DW584" s="4" t="s">
        <v>1635</v>
      </c>
      <c r="HO584" s="4" t="s">
        <v>267</v>
      </c>
    </row>
    <row r="585" spans="1:223" ht="19.5" customHeight="1" x14ac:dyDescent="0.4">
      <c r="A585" s="4">
        <v>1</v>
      </c>
      <c r="B585" s="4" t="s">
        <v>239</v>
      </c>
      <c r="C585" s="4">
        <v>1447</v>
      </c>
      <c r="D585" s="4">
        <v>1</v>
      </c>
      <c r="E585" s="4">
        <v>1</v>
      </c>
      <c r="F585" s="4" t="s">
        <v>240</v>
      </c>
      <c r="G585" s="4" t="s">
        <v>241</v>
      </c>
      <c r="H585" s="4" t="s">
        <v>241</v>
      </c>
      <c r="I585" s="4" t="s">
        <v>4518</v>
      </c>
      <c r="J585" s="4" t="s">
        <v>3158</v>
      </c>
      <c r="K585" s="4" t="s">
        <v>251</v>
      </c>
      <c r="L585" s="4" t="s">
        <v>3180</v>
      </c>
      <c r="M585" s="5" t="s">
        <v>4642</v>
      </c>
      <c r="N585" s="6">
        <f>2201</f>
        <v>2201</v>
      </c>
      <c r="O585" s="4" t="s">
        <v>265</v>
      </c>
      <c r="P585" s="6">
        <f>24211</f>
        <v>24211</v>
      </c>
      <c r="Q585" s="6">
        <f>0</f>
        <v>0</v>
      </c>
      <c r="S585" s="6">
        <f>0</f>
        <v>0</v>
      </c>
      <c r="T585" s="6">
        <f>24211</f>
        <v>24211</v>
      </c>
      <c r="U585" s="5" t="s">
        <v>245</v>
      </c>
      <c r="V585" s="4" t="s">
        <v>270</v>
      </c>
      <c r="W585" s="4" t="s">
        <v>242</v>
      </c>
      <c r="X585" s="4" t="s">
        <v>243</v>
      </c>
      <c r="Y585" s="4" t="s">
        <v>241</v>
      </c>
      <c r="AB585" s="4" t="s">
        <v>241</v>
      </c>
      <c r="AD585" s="5" t="s">
        <v>241</v>
      </c>
      <c r="AG585" s="5" t="s">
        <v>246</v>
      </c>
      <c r="AH585" s="4" t="s">
        <v>241</v>
      </c>
      <c r="AI585" s="4" t="s">
        <v>247</v>
      </c>
      <c r="AJ585" s="4" t="s">
        <v>248</v>
      </c>
      <c r="AZ585" s="4" t="s">
        <v>249</v>
      </c>
      <c r="BA585" s="4" t="s">
        <v>241</v>
      </c>
      <c r="BB585" s="4" t="s">
        <v>250</v>
      </c>
      <c r="BC585" s="4" t="s">
        <v>241</v>
      </c>
      <c r="BD585" s="4" t="s">
        <v>252</v>
      </c>
      <c r="BE585" s="4" t="s">
        <v>241</v>
      </c>
      <c r="BI585" s="4" t="s">
        <v>253</v>
      </c>
      <c r="BJ585" s="5" t="s">
        <v>246</v>
      </c>
      <c r="BK585" s="4" t="s">
        <v>254</v>
      </c>
      <c r="BL585" s="4" t="s">
        <v>255</v>
      </c>
      <c r="BM585" s="4" t="s">
        <v>241</v>
      </c>
      <c r="BN585" s="6">
        <f>0</f>
        <v>0</v>
      </c>
      <c r="BO585" s="6">
        <f>0</f>
        <v>0</v>
      </c>
      <c r="BP585" s="4" t="s">
        <v>256</v>
      </c>
      <c r="BQ585" s="4" t="s">
        <v>257</v>
      </c>
      <c r="CE585" s="4" t="s">
        <v>241</v>
      </c>
      <c r="CF585" s="4" t="s">
        <v>241</v>
      </c>
      <c r="CJ585" s="4" t="s">
        <v>258</v>
      </c>
      <c r="CK585" s="4" t="s">
        <v>259</v>
      </c>
      <c r="CL585" s="4" t="s">
        <v>241</v>
      </c>
      <c r="CO585" s="5" t="s">
        <v>260</v>
      </c>
      <c r="CP585" s="4" t="s">
        <v>241</v>
      </c>
      <c r="CQ585" s="4" t="s">
        <v>261</v>
      </c>
      <c r="CR585" s="4" t="s">
        <v>241</v>
      </c>
      <c r="CS585" s="4" t="s">
        <v>241</v>
      </c>
      <c r="CT585" s="4">
        <v>0</v>
      </c>
      <c r="CU585" s="4" t="s">
        <v>262</v>
      </c>
      <c r="CV585" s="4" t="s">
        <v>263</v>
      </c>
      <c r="CW585" s="4" t="s">
        <v>263</v>
      </c>
      <c r="CX585" s="4" t="s">
        <v>264</v>
      </c>
      <c r="DA585" s="6">
        <f>24211</f>
        <v>24211</v>
      </c>
      <c r="DC585" s="4" t="s">
        <v>3160</v>
      </c>
      <c r="DD585" s="4" t="s">
        <v>241</v>
      </c>
      <c r="DF585" s="4" t="s">
        <v>287</v>
      </c>
      <c r="DG585" s="6">
        <f>0</f>
        <v>0</v>
      </c>
      <c r="DI585" s="4" t="s">
        <v>3167</v>
      </c>
      <c r="DJ585" s="4" t="s">
        <v>241</v>
      </c>
      <c r="DK585" s="4" t="s">
        <v>241</v>
      </c>
      <c r="DL585" s="4" t="s">
        <v>241</v>
      </c>
      <c r="DP585" s="4" t="s">
        <v>241</v>
      </c>
      <c r="DQ585" s="4" t="s">
        <v>241</v>
      </c>
      <c r="DR585" s="4" t="s">
        <v>241</v>
      </c>
      <c r="DS585" s="4" t="s">
        <v>241</v>
      </c>
      <c r="DV585" s="4" t="s">
        <v>4520</v>
      </c>
      <c r="DW585" s="4" t="s">
        <v>1633</v>
      </c>
      <c r="HO585" s="4" t="s">
        <v>267</v>
      </c>
    </row>
    <row r="586" spans="1:223" ht="19.5" customHeight="1" x14ac:dyDescent="0.4">
      <c r="A586" s="4">
        <v>1</v>
      </c>
      <c r="B586" s="4" t="s">
        <v>239</v>
      </c>
      <c r="C586" s="4">
        <v>1448</v>
      </c>
      <c r="D586" s="4">
        <v>1</v>
      </c>
      <c r="E586" s="4">
        <v>1</v>
      </c>
      <c r="F586" s="4" t="s">
        <v>240</v>
      </c>
      <c r="G586" s="4" t="s">
        <v>241</v>
      </c>
      <c r="H586" s="4" t="s">
        <v>241</v>
      </c>
      <c r="I586" s="4" t="s">
        <v>4518</v>
      </c>
      <c r="J586" s="4" t="s">
        <v>3158</v>
      </c>
      <c r="K586" s="4" t="s">
        <v>251</v>
      </c>
      <c r="L586" s="4" t="s">
        <v>3180</v>
      </c>
      <c r="M586" s="5" t="s">
        <v>4643</v>
      </c>
      <c r="N586" s="6">
        <f>3951</f>
        <v>3951</v>
      </c>
      <c r="O586" s="4" t="s">
        <v>265</v>
      </c>
      <c r="P586" s="6">
        <f>43461</f>
        <v>43461</v>
      </c>
      <c r="Q586" s="6">
        <f>0</f>
        <v>0</v>
      </c>
      <c r="S586" s="6">
        <f>0</f>
        <v>0</v>
      </c>
      <c r="T586" s="6">
        <f>43461</f>
        <v>43461</v>
      </c>
      <c r="U586" s="5" t="s">
        <v>245</v>
      </c>
      <c r="V586" s="4" t="s">
        <v>270</v>
      </c>
      <c r="W586" s="4" t="s">
        <v>242</v>
      </c>
      <c r="X586" s="4" t="s">
        <v>243</v>
      </c>
      <c r="Y586" s="4" t="s">
        <v>241</v>
      </c>
      <c r="AB586" s="4" t="s">
        <v>241</v>
      </c>
      <c r="AD586" s="5" t="s">
        <v>241</v>
      </c>
      <c r="AG586" s="5" t="s">
        <v>246</v>
      </c>
      <c r="AH586" s="4" t="s">
        <v>241</v>
      </c>
      <c r="AI586" s="4" t="s">
        <v>247</v>
      </c>
      <c r="AJ586" s="4" t="s">
        <v>248</v>
      </c>
      <c r="AZ586" s="4" t="s">
        <v>249</v>
      </c>
      <c r="BA586" s="4" t="s">
        <v>241</v>
      </c>
      <c r="BB586" s="4" t="s">
        <v>250</v>
      </c>
      <c r="BC586" s="4" t="s">
        <v>241</v>
      </c>
      <c r="BD586" s="4" t="s">
        <v>252</v>
      </c>
      <c r="BE586" s="4" t="s">
        <v>241</v>
      </c>
      <c r="BI586" s="4" t="s">
        <v>253</v>
      </c>
      <c r="BJ586" s="5" t="s">
        <v>246</v>
      </c>
      <c r="BK586" s="4" t="s">
        <v>254</v>
      </c>
      <c r="BL586" s="4" t="s">
        <v>255</v>
      </c>
      <c r="BM586" s="4" t="s">
        <v>241</v>
      </c>
      <c r="BN586" s="6">
        <f>0</f>
        <v>0</v>
      </c>
      <c r="BO586" s="6">
        <f>0</f>
        <v>0</v>
      </c>
      <c r="BP586" s="4" t="s">
        <v>256</v>
      </c>
      <c r="BQ586" s="4" t="s">
        <v>257</v>
      </c>
      <c r="CE586" s="4" t="s">
        <v>241</v>
      </c>
      <c r="CF586" s="4" t="s">
        <v>241</v>
      </c>
      <c r="CJ586" s="4" t="s">
        <v>258</v>
      </c>
      <c r="CK586" s="4" t="s">
        <v>259</v>
      </c>
      <c r="CL586" s="4" t="s">
        <v>241</v>
      </c>
      <c r="CO586" s="5" t="s">
        <v>260</v>
      </c>
      <c r="CP586" s="4" t="s">
        <v>241</v>
      </c>
      <c r="CQ586" s="4" t="s">
        <v>261</v>
      </c>
      <c r="CR586" s="4" t="s">
        <v>241</v>
      </c>
      <c r="CS586" s="4" t="s">
        <v>241</v>
      </c>
      <c r="CT586" s="4">
        <v>0</v>
      </c>
      <c r="CU586" s="4" t="s">
        <v>262</v>
      </c>
      <c r="CV586" s="4" t="s">
        <v>263</v>
      </c>
      <c r="CW586" s="4" t="s">
        <v>263</v>
      </c>
      <c r="CX586" s="4" t="s">
        <v>264</v>
      </c>
      <c r="DA586" s="6">
        <f>43461</f>
        <v>43461</v>
      </c>
      <c r="DC586" s="4" t="s">
        <v>3160</v>
      </c>
      <c r="DD586" s="4" t="s">
        <v>241</v>
      </c>
      <c r="DF586" s="4" t="s">
        <v>287</v>
      </c>
      <c r="DG586" s="6">
        <f>0</f>
        <v>0</v>
      </c>
      <c r="DI586" s="4" t="s">
        <v>3167</v>
      </c>
      <c r="DJ586" s="4" t="s">
        <v>241</v>
      </c>
      <c r="DK586" s="4" t="s">
        <v>241</v>
      </c>
      <c r="DL586" s="4" t="s">
        <v>241</v>
      </c>
      <c r="DP586" s="4" t="s">
        <v>241</v>
      </c>
      <c r="DQ586" s="4" t="s">
        <v>241</v>
      </c>
      <c r="DR586" s="4" t="s">
        <v>241</v>
      </c>
      <c r="DS586" s="4" t="s">
        <v>241</v>
      </c>
      <c r="DV586" s="4" t="s">
        <v>4520</v>
      </c>
      <c r="DW586" s="4" t="s">
        <v>1631</v>
      </c>
      <c r="HO586" s="4" t="s">
        <v>267</v>
      </c>
    </row>
    <row r="587" spans="1:223" ht="19.5" customHeight="1" x14ac:dyDescent="0.4">
      <c r="A587" s="4">
        <v>1</v>
      </c>
      <c r="B587" s="4" t="s">
        <v>239</v>
      </c>
      <c r="C587" s="4">
        <v>1449</v>
      </c>
      <c r="D587" s="4">
        <v>1</v>
      </c>
      <c r="E587" s="4">
        <v>1</v>
      </c>
      <c r="F587" s="4" t="s">
        <v>240</v>
      </c>
      <c r="G587" s="4" t="s">
        <v>241</v>
      </c>
      <c r="H587" s="4" t="s">
        <v>241</v>
      </c>
      <c r="I587" s="4" t="s">
        <v>4518</v>
      </c>
      <c r="J587" s="4" t="s">
        <v>3158</v>
      </c>
      <c r="K587" s="4" t="s">
        <v>251</v>
      </c>
      <c r="L587" s="4" t="s">
        <v>3180</v>
      </c>
      <c r="M587" s="5" t="s">
        <v>4644</v>
      </c>
      <c r="N587" s="6">
        <f>516</f>
        <v>516</v>
      </c>
      <c r="O587" s="4" t="s">
        <v>265</v>
      </c>
      <c r="P587" s="6">
        <f>5676</f>
        <v>5676</v>
      </c>
      <c r="Q587" s="6">
        <f>0</f>
        <v>0</v>
      </c>
      <c r="S587" s="6">
        <f>0</f>
        <v>0</v>
      </c>
      <c r="T587" s="6">
        <f>5676</f>
        <v>5676</v>
      </c>
      <c r="U587" s="5" t="s">
        <v>245</v>
      </c>
      <c r="V587" s="4" t="s">
        <v>270</v>
      </c>
      <c r="W587" s="4" t="s">
        <v>242</v>
      </c>
      <c r="X587" s="4" t="s">
        <v>243</v>
      </c>
      <c r="Y587" s="4" t="s">
        <v>241</v>
      </c>
      <c r="AB587" s="4" t="s">
        <v>241</v>
      </c>
      <c r="AD587" s="5" t="s">
        <v>241</v>
      </c>
      <c r="AG587" s="5" t="s">
        <v>246</v>
      </c>
      <c r="AH587" s="4" t="s">
        <v>241</v>
      </c>
      <c r="AI587" s="4" t="s">
        <v>247</v>
      </c>
      <c r="AJ587" s="4" t="s">
        <v>248</v>
      </c>
      <c r="AZ587" s="4" t="s">
        <v>249</v>
      </c>
      <c r="BA587" s="4" t="s">
        <v>241</v>
      </c>
      <c r="BB587" s="4" t="s">
        <v>250</v>
      </c>
      <c r="BC587" s="4" t="s">
        <v>241</v>
      </c>
      <c r="BD587" s="4" t="s">
        <v>252</v>
      </c>
      <c r="BE587" s="4" t="s">
        <v>241</v>
      </c>
      <c r="BI587" s="4" t="s">
        <v>253</v>
      </c>
      <c r="BJ587" s="5" t="s">
        <v>246</v>
      </c>
      <c r="BK587" s="4" t="s">
        <v>254</v>
      </c>
      <c r="BL587" s="4" t="s">
        <v>255</v>
      </c>
      <c r="BM587" s="4" t="s">
        <v>241</v>
      </c>
      <c r="BN587" s="6">
        <f>0</f>
        <v>0</v>
      </c>
      <c r="BO587" s="6">
        <f>0</f>
        <v>0</v>
      </c>
      <c r="BP587" s="4" t="s">
        <v>256</v>
      </c>
      <c r="BQ587" s="4" t="s">
        <v>257</v>
      </c>
      <c r="CE587" s="4" t="s">
        <v>241</v>
      </c>
      <c r="CF587" s="4" t="s">
        <v>241</v>
      </c>
      <c r="CJ587" s="4" t="s">
        <v>258</v>
      </c>
      <c r="CK587" s="4" t="s">
        <v>259</v>
      </c>
      <c r="CL587" s="4" t="s">
        <v>241</v>
      </c>
      <c r="CO587" s="5" t="s">
        <v>260</v>
      </c>
      <c r="CP587" s="4" t="s">
        <v>241</v>
      </c>
      <c r="CQ587" s="4" t="s">
        <v>261</v>
      </c>
      <c r="CR587" s="4" t="s">
        <v>241</v>
      </c>
      <c r="CS587" s="4" t="s">
        <v>241</v>
      </c>
      <c r="CT587" s="4">
        <v>0</v>
      </c>
      <c r="CU587" s="4" t="s">
        <v>262</v>
      </c>
      <c r="CV587" s="4" t="s">
        <v>263</v>
      </c>
      <c r="CW587" s="4" t="s">
        <v>263</v>
      </c>
      <c r="CX587" s="4" t="s">
        <v>264</v>
      </c>
      <c r="DA587" s="6">
        <f>5676</f>
        <v>5676</v>
      </c>
      <c r="DC587" s="4" t="s">
        <v>3160</v>
      </c>
      <c r="DD587" s="4" t="s">
        <v>241</v>
      </c>
      <c r="DF587" s="4" t="s">
        <v>287</v>
      </c>
      <c r="DG587" s="6">
        <f>0</f>
        <v>0</v>
      </c>
      <c r="DI587" s="4" t="s">
        <v>3167</v>
      </c>
      <c r="DJ587" s="4" t="s">
        <v>241</v>
      </c>
      <c r="DK587" s="4" t="s">
        <v>241</v>
      </c>
      <c r="DL587" s="4" t="s">
        <v>241</v>
      </c>
      <c r="DP587" s="4" t="s">
        <v>241</v>
      </c>
      <c r="DQ587" s="4" t="s">
        <v>241</v>
      </c>
      <c r="DR587" s="4" t="s">
        <v>241</v>
      </c>
      <c r="DS587" s="4" t="s">
        <v>241</v>
      </c>
      <c r="DV587" s="4" t="s">
        <v>4520</v>
      </c>
      <c r="DW587" s="4" t="s">
        <v>1932</v>
      </c>
      <c r="HO587" s="4" t="s">
        <v>267</v>
      </c>
    </row>
    <row r="588" spans="1:223" ht="19.5" customHeight="1" x14ac:dyDescent="0.4">
      <c r="A588" s="4">
        <v>1</v>
      </c>
      <c r="B588" s="4" t="s">
        <v>239</v>
      </c>
      <c r="C588" s="4">
        <v>1450</v>
      </c>
      <c r="D588" s="4">
        <v>1</v>
      </c>
      <c r="E588" s="4">
        <v>1</v>
      </c>
      <c r="F588" s="4" t="s">
        <v>240</v>
      </c>
      <c r="G588" s="4" t="s">
        <v>241</v>
      </c>
      <c r="H588" s="4" t="s">
        <v>241</v>
      </c>
      <c r="I588" s="4" t="s">
        <v>4518</v>
      </c>
      <c r="J588" s="4" t="s">
        <v>3158</v>
      </c>
      <c r="K588" s="4" t="s">
        <v>251</v>
      </c>
      <c r="L588" s="4" t="s">
        <v>3180</v>
      </c>
      <c r="M588" s="5" t="s">
        <v>4645</v>
      </c>
      <c r="N588" s="6">
        <f>68</f>
        <v>68</v>
      </c>
      <c r="O588" s="4" t="s">
        <v>265</v>
      </c>
      <c r="P588" s="6">
        <f>748</f>
        <v>748</v>
      </c>
      <c r="Q588" s="6">
        <f>0</f>
        <v>0</v>
      </c>
      <c r="S588" s="6">
        <f>0</f>
        <v>0</v>
      </c>
      <c r="T588" s="6">
        <f>748</f>
        <v>748</v>
      </c>
      <c r="U588" s="5" t="s">
        <v>245</v>
      </c>
      <c r="V588" s="4" t="s">
        <v>270</v>
      </c>
      <c r="W588" s="4" t="s">
        <v>242</v>
      </c>
      <c r="X588" s="4" t="s">
        <v>243</v>
      </c>
      <c r="Y588" s="4" t="s">
        <v>241</v>
      </c>
      <c r="AB588" s="4" t="s">
        <v>241</v>
      </c>
      <c r="AD588" s="5" t="s">
        <v>241</v>
      </c>
      <c r="AG588" s="5" t="s">
        <v>246</v>
      </c>
      <c r="AH588" s="4" t="s">
        <v>241</v>
      </c>
      <c r="AI588" s="4" t="s">
        <v>247</v>
      </c>
      <c r="AJ588" s="4" t="s">
        <v>248</v>
      </c>
      <c r="AZ588" s="4" t="s">
        <v>249</v>
      </c>
      <c r="BA588" s="4" t="s">
        <v>241</v>
      </c>
      <c r="BB588" s="4" t="s">
        <v>250</v>
      </c>
      <c r="BC588" s="4" t="s">
        <v>241</v>
      </c>
      <c r="BD588" s="4" t="s">
        <v>252</v>
      </c>
      <c r="BE588" s="4" t="s">
        <v>241</v>
      </c>
      <c r="BI588" s="4" t="s">
        <v>253</v>
      </c>
      <c r="BJ588" s="5" t="s">
        <v>246</v>
      </c>
      <c r="BK588" s="4" t="s">
        <v>254</v>
      </c>
      <c r="BL588" s="4" t="s">
        <v>255</v>
      </c>
      <c r="BM588" s="4" t="s">
        <v>241</v>
      </c>
      <c r="BN588" s="6">
        <f>0</f>
        <v>0</v>
      </c>
      <c r="BO588" s="6">
        <f>0</f>
        <v>0</v>
      </c>
      <c r="BP588" s="4" t="s">
        <v>256</v>
      </c>
      <c r="BQ588" s="4" t="s">
        <v>257</v>
      </c>
      <c r="CE588" s="4" t="s">
        <v>241</v>
      </c>
      <c r="CF588" s="4" t="s">
        <v>241</v>
      </c>
      <c r="CJ588" s="4" t="s">
        <v>258</v>
      </c>
      <c r="CK588" s="4" t="s">
        <v>259</v>
      </c>
      <c r="CL588" s="4" t="s">
        <v>241</v>
      </c>
      <c r="CO588" s="5" t="s">
        <v>260</v>
      </c>
      <c r="CP588" s="4" t="s">
        <v>241</v>
      </c>
      <c r="CQ588" s="4" t="s">
        <v>261</v>
      </c>
      <c r="CR588" s="4" t="s">
        <v>241</v>
      </c>
      <c r="CS588" s="4" t="s">
        <v>241</v>
      </c>
      <c r="CT588" s="4">
        <v>0</v>
      </c>
      <c r="CU588" s="4" t="s">
        <v>262</v>
      </c>
      <c r="CV588" s="4" t="s">
        <v>263</v>
      </c>
      <c r="CW588" s="4" t="s">
        <v>263</v>
      </c>
      <c r="CX588" s="4" t="s">
        <v>264</v>
      </c>
      <c r="DA588" s="6">
        <f>748</f>
        <v>748</v>
      </c>
      <c r="DC588" s="4" t="s">
        <v>3160</v>
      </c>
      <c r="DD588" s="4" t="s">
        <v>241</v>
      </c>
      <c r="DF588" s="4" t="s">
        <v>3160</v>
      </c>
      <c r="DG588" s="6">
        <f>68</f>
        <v>68</v>
      </c>
      <c r="DI588" s="4" t="s">
        <v>3167</v>
      </c>
      <c r="DJ588" s="4" t="s">
        <v>241</v>
      </c>
      <c r="DK588" s="4" t="s">
        <v>241</v>
      </c>
      <c r="DL588" s="4" t="s">
        <v>241</v>
      </c>
      <c r="DP588" s="4" t="s">
        <v>241</v>
      </c>
      <c r="DQ588" s="4" t="s">
        <v>241</v>
      </c>
      <c r="DR588" s="4" t="s">
        <v>241</v>
      </c>
      <c r="DS588" s="4" t="s">
        <v>241</v>
      </c>
      <c r="DV588" s="4" t="s">
        <v>4520</v>
      </c>
      <c r="DW588" s="4" t="s">
        <v>1629</v>
      </c>
      <c r="HO588" s="4" t="s">
        <v>267</v>
      </c>
    </row>
    <row r="589" spans="1:223" ht="19.5" customHeight="1" x14ac:dyDescent="0.4">
      <c r="A589" s="4">
        <v>1</v>
      </c>
      <c r="B589" s="4" t="s">
        <v>239</v>
      </c>
      <c r="C589" s="4">
        <v>1451</v>
      </c>
      <c r="D589" s="4">
        <v>1</v>
      </c>
      <c r="E589" s="4">
        <v>1</v>
      </c>
      <c r="F589" s="4" t="s">
        <v>240</v>
      </c>
      <c r="G589" s="4" t="s">
        <v>241</v>
      </c>
      <c r="H589" s="4" t="s">
        <v>241</v>
      </c>
      <c r="I589" s="4" t="s">
        <v>4518</v>
      </c>
      <c r="J589" s="4" t="s">
        <v>3158</v>
      </c>
      <c r="K589" s="4" t="s">
        <v>251</v>
      </c>
      <c r="L589" s="4" t="s">
        <v>3180</v>
      </c>
      <c r="M589" s="5" t="s">
        <v>4534</v>
      </c>
      <c r="N589" s="6">
        <f>6605</f>
        <v>6605</v>
      </c>
      <c r="O589" s="4" t="s">
        <v>265</v>
      </c>
      <c r="P589" s="6">
        <f>72655</f>
        <v>72655</v>
      </c>
      <c r="Q589" s="6">
        <f>0</f>
        <v>0</v>
      </c>
      <c r="S589" s="6">
        <f>0</f>
        <v>0</v>
      </c>
      <c r="T589" s="6">
        <f>72655</f>
        <v>72655</v>
      </c>
      <c r="U589" s="5" t="s">
        <v>245</v>
      </c>
      <c r="V589" s="4" t="s">
        <v>270</v>
      </c>
      <c r="W589" s="4" t="s">
        <v>242</v>
      </c>
      <c r="X589" s="4" t="s">
        <v>243</v>
      </c>
      <c r="Y589" s="4" t="s">
        <v>241</v>
      </c>
      <c r="AB589" s="4" t="s">
        <v>241</v>
      </c>
      <c r="AD589" s="5" t="s">
        <v>241</v>
      </c>
      <c r="AG589" s="5" t="s">
        <v>246</v>
      </c>
      <c r="AH589" s="4" t="s">
        <v>241</v>
      </c>
      <c r="AI589" s="4" t="s">
        <v>247</v>
      </c>
      <c r="AJ589" s="4" t="s">
        <v>248</v>
      </c>
      <c r="AZ589" s="4" t="s">
        <v>249</v>
      </c>
      <c r="BA589" s="4" t="s">
        <v>241</v>
      </c>
      <c r="BB589" s="4" t="s">
        <v>250</v>
      </c>
      <c r="BC589" s="4" t="s">
        <v>241</v>
      </c>
      <c r="BD589" s="4" t="s">
        <v>252</v>
      </c>
      <c r="BE589" s="4" t="s">
        <v>241</v>
      </c>
      <c r="BI589" s="4" t="s">
        <v>253</v>
      </c>
      <c r="BJ589" s="5" t="s">
        <v>246</v>
      </c>
      <c r="BK589" s="4" t="s">
        <v>254</v>
      </c>
      <c r="BL589" s="4" t="s">
        <v>255</v>
      </c>
      <c r="BM589" s="4" t="s">
        <v>241</v>
      </c>
      <c r="BN589" s="6">
        <f>0</f>
        <v>0</v>
      </c>
      <c r="BO589" s="6">
        <f>0</f>
        <v>0</v>
      </c>
      <c r="BP589" s="4" t="s">
        <v>256</v>
      </c>
      <c r="BQ589" s="4" t="s">
        <v>257</v>
      </c>
      <c r="CE589" s="4" t="s">
        <v>241</v>
      </c>
      <c r="CF589" s="4" t="s">
        <v>241</v>
      </c>
      <c r="CJ589" s="4" t="s">
        <v>258</v>
      </c>
      <c r="CK589" s="4" t="s">
        <v>259</v>
      </c>
      <c r="CL589" s="4" t="s">
        <v>241</v>
      </c>
      <c r="CO589" s="5" t="s">
        <v>260</v>
      </c>
      <c r="CP589" s="4" t="s">
        <v>241</v>
      </c>
      <c r="CQ589" s="4" t="s">
        <v>261</v>
      </c>
      <c r="CR589" s="4" t="s">
        <v>241</v>
      </c>
      <c r="CS589" s="4" t="s">
        <v>241</v>
      </c>
      <c r="CT589" s="4">
        <v>0</v>
      </c>
      <c r="CU589" s="4" t="s">
        <v>262</v>
      </c>
      <c r="CV589" s="4" t="s">
        <v>263</v>
      </c>
      <c r="CW589" s="4" t="s">
        <v>263</v>
      </c>
      <c r="CX589" s="4" t="s">
        <v>264</v>
      </c>
      <c r="DA589" s="6">
        <f>72655</f>
        <v>72655</v>
      </c>
      <c r="DC589" s="4" t="s">
        <v>3160</v>
      </c>
      <c r="DD589" s="4" t="s">
        <v>241</v>
      </c>
      <c r="DF589" s="4" t="s">
        <v>287</v>
      </c>
      <c r="DG589" s="6">
        <f>0</f>
        <v>0</v>
      </c>
      <c r="DI589" s="4" t="s">
        <v>3167</v>
      </c>
      <c r="DJ589" s="4" t="s">
        <v>241</v>
      </c>
      <c r="DK589" s="4" t="s">
        <v>241</v>
      </c>
      <c r="DL589" s="4" t="s">
        <v>241</v>
      </c>
      <c r="DP589" s="4" t="s">
        <v>241</v>
      </c>
      <c r="DQ589" s="4" t="s">
        <v>241</v>
      </c>
      <c r="DR589" s="4" t="s">
        <v>241</v>
      </c>
      <c r="DS589" s="4" t="s">
        <v>241</v>
      </c>
      <c r="DV589" s="4" t="s">
        <v>4520</v>
      </c>
      <c r="DW589" s="4" t="s">
        <v>1627</v>
      </c>
      <c r="HO589" s="4" t="s">
        <v>267</v>
      </c>
    </row>
    <row r="590" spans="1:223" ht="19.5" customHeight="1" x14ac:dyDescent="0.4">
      <c r="A590" s="4">
        <v>1</v>
      </c>
      <c r="B590" s="4" t="s">
        <v>239</v>
      </c>
      <c r="C590" s="4">
        <v>1452</v>
      </c>
      <c r="D590" s="4">
        <v>1</v>
      </c>
      <c r="E590" s="4">
        <v>1</v>
      </c>
      <c r="F590" s="4" t="s">
        <v>240</v>
      </c>
      <c r="G590" s="4" t="s">
        <v>241</v>
      </c>
      <c r="H590" s="4" t="s">
        <v>241</v>
      </c>
      <c r="I590" s="4" t="s">
        <v>4518</v>
      </c>
      <c r="J590" s="4" t="s">
        <v>3158</v>
      </c>
      <c r="K590" s="4" t="s">
        <v>251</v>
      </c>
      <c r="L590" s="4" t="s">
        <v>3180</v>
      </c>
      <c r="M590" s="5" t="s">
        <v>4646</v>
      </c>
      <c r="N590" s="6">
        <f>538</f>
        <v>538</v>
      </c>
      <c r="O590" s="4" t="s">
        <v>265</v>
      </c>
      <c r="P590" s="6">
        <f>5918</f>
        <v>5918</v>
      </c>
      <c r="Q590" s="6">
        <f>0</f>
        <v>0</v>
      </c>
      <c r="S590" s="6">
        <f>0</f>
        <v>0</v>
      </c>
      <c r="T590" s="6">
        <f>5918</f>
        <v>5918</v>
      </c>
      <c r="U590" s="5" t="s">
        <v>245</v>
      </c>
      <c r="V590" s="4" t="s">
        <v>270</v>
      </c>
      <c r="W590" s="4" t="s">
        <v>242</v>
      </c>
      <c r="X590" s="4" t="s">
        <v>243</v>
      </c>
      <c r="Y590" s="4" t="s">
        <v>241</v>
      </c>
      <c r="AB590" s="4" t="s">
        <v>241</v>
      </c>
      <c r="AD590" s="5" t="s">
        <v>241</v>
      </c>
      <c r="AG590" s="5" t="s">
        <v>246</v>
      </c>
      <c r="AH590" s="4" t="s">
        <v>241</v>
      </c>
      <c r="AI590" s="4" t="s">
        <v>247</v>
      </c>
      <c r="AJ590" s="4" t="s">
        <v>248</v>
      </c>
      <c r="AZ590" s="4" t="s">
        <v>249</v>
      </c>
      <c r="BA590" s="4" t="s">
        <v>241</v>
      </c>
      <c r="BB590" s="4" t="s">
        <v>250</v>
      </c>
      <c r="BC590" s="4" t="s">
        <v>241</v>
      </c>
      <c r="BD590" s="4" t="s">
        <v>252</v>
      </c>
      <c r="BE590" s="4" t="s">
        <v>241</v>
      </c>
      <c r="BI590" s="4" t="s">
        <v>253</v>
      </c>
      <c r="BJ590" s="5" t="s">
        <v>246</v>
      </c>
      <c r="BK590" s="4" t="s">
        <v>254</v>
      </c>
      <c r="BL590" s="4" t="s">
        <v>255</v>
      </c>
      <c r="BM590" s="4" t="s">
        <v>241</v>
      </c>
      <c r="BN590" s="6">
        <f>0</f>
        <v>0</v>
      </c>
      <c r="BO590" s="6">
        <f>0</f>
        <v>0</v>
      </c>
      <c r="BP590" s="4" t="s">
        <v>256</v>
      </c>
      <c r="BQ590" s="4" t="s">
        <v>257</v>
      </c>
      <c r="CE590" s="4" t="s">
        <v>241</v>
      </c>
      <c r="CF590" s="4" t="s">
        <v>241</v>
      </c>
      <c r="CJ590" s="4" t="s">
        <v>258</v>
      </c>
      <c r="CK590" s="4" t="s">
        <v>259</v>
      </c>
      <c r="CL590" s="4" t="s">
        <v>241</v>
      </c>
      <c r="CO590" s="5" t="s">
        <v>260</v>
      </c>
      <c r="CP590" s="4" t="s">
        <v>241</v>
      </c>
      <c r="CQ590" s="4" t="s">
        <v>261</v>
      </c>
      <c r="CR590" s="4" t="s">
        <v>241</v>
      </c>
      <c r="CS590" s="4" t="s">
        <v>241</v>
      </c>
      <c r="CT590" s="4">
        <v>0</v>
      </c>
      <c r="CU590" s="4" t="s">
        <v>262</v>
      </c>
      <c r="CV590" s="4" t="s">
        <v>263</v>
      </c>
      <c r="CW590" s="4" t="s">
        <v>263</v>
      </c>
      <c r="CX590" s="4" t="s">
        <v>264</v>
      </c>
      <c r="DA590" s="6">
        <f>5918</f>
        <v>5918</v>
      </c>
      <c r="DC590" s="4" t="s">
        <v>3160</v>
      </c>
      <c r="DD590" s="4" t="s">
        <v>241</v>
      </c>
      <c r="DF590" s="4" t="s">
        <v>287</v>
      </c>
      <c r="DG590" s="6">
        <f>538</f>
        <v>538</v>
      </c>
      <c r="DI590" s="4" t="s">
        <v>3167</v>
      </c>
      <c r="DJ590" s="4" t="s">
        <v>241</v>
      </c>
      <c r="DK590" s="4" t="s">
        <v>241</v>
      </c>
      <c r="DL590" s="4" t="s">
        <v>241</v>
      </c>
      <c r="DP590" s="4" t="s">
        <v>241</v>
      </c>
      <c r="DQ590" s="4" t="s">
        <v>241</v>
      </c>
      <c r="DR590" s="4" t="s">
        <v>241</v>
      </c>
      <c r="DS590" s="4" t="s">
        <v>241</v>
      </c>
      <c r="DV590" s="4" t="s">
        <v>4520</v>
      </c>
      <c r="DW590" s="4" t="s">
        <v>1949</v>
      </c>
      <c r="HO590" s="4" t="s">
        <v>267</v>
      </c>
    </row>
    <row r="591" spans="1:223" ht="19.5" customHeight="1" x14ac:dyDescent="0.4">
      <c r="A591" s="4">
        <v>1</v>
      </c>
      <c r="B591" s="4" t="s">
        <v>239</v>
      </c>
      <c r="C591" s="4">
        <v>1453</v>
      </c>
      <c r="D591" s="4">
        <v>1</v>
      </c>
      <c r="E591" s="4">
        <v>1</v>
      </c>
      <c r="F591" s="4" t="s">
        <v>240</v>
      </c>
      <c r="G591" s="4" t="s">
        <v>241</v>
      </c>
      <c r="H591" s="4" t="s">
        <v>241</v>
      </c>
      <c r="I591" s="4" t="s">
        <v>4518</v>
      </c>
      <c r="J591" s="4" t="s">
        <v>3158</v>
      </c>
      <c r="K591" s="4" t="s">
        <v>251</v>
      </c>
      <c r="L591" s="4" t="s">
        <v>3180</v>
      </c>
      <c r="M591" s="5" t="s">
        <v>4647</v>
      </c>
      <c r="N591" s="6">
        <f>855</f>
        <v>855</v>
      </c>
      <c r="O591" s="4" t="s">
        <v>265</v>
      </c>
      <c r="P591" s="6">
        <f>9405</f>
        <v>9405</v>
      </c>
      <c r="Q591" s="6">
        <f>0</f>
        <v>0</v>
      </c>
      <c r="S591" s="6">
        <f>0</f>
        <v>0</v>
      </c>
      <c r="T591" s="6">
        <f>9405</f>
        <v>9405</v>
      </c>
      <c r="U591" s="5" t="s">
        <v>245</v>
      </c>
      <c r="V591" s="4" t="s">
        <v>270</v>
      </c>
      <c r="W591" s="4" t="s">
        <v>242</v>
      </c>
      <c r="X591" s="4" t="s">
        <v>243</v>
      </c>
      <c r="Y591" s="4" t="s">
        <v>241</v>
      </c>
      <c r="AB591" s="4" t="s">
        <v>241</v>
      </c>
      <c r="AD591" s="5" t="s">
        <v>241</v>
      </c>
      <c r="AG591" s="5" t="s">
        <v>246</v>
      </c>
      <c r="AH591" s="4" t="s">
        <v>241</v>
      </c>
      <c r="AI591" s="4" t="s">
        <v>247</v>
      </c>
      <c r="AJ591" s="4" t="s">
        <v>248</v>
      </c>
      <c r="AZ591" s="4" t="s">
        <v>249</v>
      </c>
      <c r="BA591" s="4" t="s">
        <v>241</v>
      </c>
      <c r="BB591" s="4" t="s">
        <v>250</v>
      </c>
      <c r="BC591" s="4" t="s">
        <v>241</v>
      </c>
      <c r="BD591" s="4" t="s">
        <v>252</v>
      </c>
      <c r="BE591" s="4" t="s">
        <v>241</v>
      </c>
      <c r="BI591" s="4" t="s">
        <v>253</v>
      </c>
      <c r="BJ591" s="5" t="s">
        <v>246</v>
      </c>
      <c r="BK591" s="4" t="s">
        <v>254</v>
      </c>
      <c r="BL591" s="4" t="s">
        <v>255</v>
      </c>
      <c r="BM591" s="4" t="s">
        <v>241</v>
      </c>
      <c r="BN591" s="6">
        <f>0</f>
        <v>0</v>
      </c>
      <c r="BO591" s="6">
        <f>0</f>
        <v>0</v>
      </c>
      <c r="BP591" s="4" t="s">
        <v>256</v>
      </c>
      <c r="BQ591" s="4" t="s">
        <v>257</v>
      </c>
      <c r="CE591" s="4" t="s">
        <v>241</v>
      </c>
      <c r="CF591" s="4" t="s">
        <v>241</v>
      </c>
      <c r="CJ591" s="4" t="s">
        <v>258</v>
      </c>
      <c r="CK591" s="4" t="s">
        <v>259</v>
      </c>
      <c r="CL591" s="4" t="s">
        <v>241</v>
      </c>
      <c r="CO591" s="5" t="s">
        <v>260</v>
      </c>
      <c r="CP591" s="4" t="s">
        <v>241</v>
      </c>
      <c r="CQ591" s="4" t="s">
        <v>261</v>
      </c>
      <c r="CR591" s="4" t="s">
        <v>241</v>
      </c>
      <c r="CS591" s="4" t="s">
        <v>241</v>
      </c>
      <c r="CT591" s="4">
        <v>0</v>
      </c>
      <c r="CU591" s="4" t="s">
        <v>262</v>
      </c>
      <c r="CV591" s="4" t="s">
        <v>263</v>
      </c>
      <c r="CW591" s="4" t="s">
        <v>263</v>
      </c>
      <c r="CX591" s="4" t="s">
        <v>264</v>
      </c>
      <c r="DA591" s="6">
        <f>9405</f>
        <v>9405</v>
      </c>
      <c r="DC591" s="4" t="s">
        <v>3160</v>
      </c>
      <c r="DD591" s="4" t="s">
        <v>241</v>
      </c>
      <c r="DF591" s="4" t="s">
        <v>287</v>
      </c>
      <c r="DG591" s="6">
        <f>0</f>
        <v>0</v>
      </c>
      <c r="DI591" s="4" t="s">
        <v>3167</v>
      </c>
      <c r="DJ591" s="4" t="s">
        <v>241</v>
      </c>
      <c r="DK591" s="4" t="s">
        <v>241</v>
      </c>
      <c r="DL591" s="4" t="s">
        <v>241</v>
      </c>
      <c r="DP591" s="4" t="s">
        <v>241</v>
      </c>
      <c r="DQ591" s="4" t="s">
        <v>241</v>
      </c>
      <c r="DR591" s="4" t="s">
        <v>241</v>
      </c>
      <c r="DS591" s="4" t="s">
        <v>241</v>
      </c>
      <c r="DV591" s="4" t="s">
        <v>4520</v>
      </c>
      <c r="DW591" s="4" t="s">
        <v>2004</v>
      </c>
      <c r="HO591" s="4" t="s">
        <v>267</v>
      </c>
    </row>
    <row r="592" spans="1:223" ht="19.5" customHeight="1" x14ac:dyDescent="0.4">
      <c r="A592" s="4">
        <v>1</v>
      </c>
      <c r="B592" s="4" t="s">
        <v>239</v>
      </c>
      <c r="C592" s="4">
        <v>1454</v>
      </c>
      <c r="D592" s="4">
        <v>1</v>
      </c>
      <c r="E592" s="4">
        <v>1</v>
      </c>
      <c r="F592" s="4" t="s">
        <v>240</v>
      </c>
      <c r="G592" s="4" t="s">
        <v>241</v>
      </c>
      <c r="H592" s="4" t="s">
        <v>241</v>
      </c>
      <c r="I592" s="4" t="s">
        <v>4518</v>
      </c>
      <c r="J592" s="4" t="s">
        <v>3158</v>
      </c>
      <c r="K592" s="4" t="s">
        <v>251</v>
      </c>
      <c r="L592" s="4" t="s">
        <v>3180</v>
      </c>
      <c r="M592" s="5" t="s">
        <v>4648</v>
      </c>
      <c r="N592" s="6">
        <f>2863</f>
        <v>2863</v>
      </c>
      <c r="O592" s="4" t="s">
        <v>265</v>
      </c>
      <c r="P592" s="6">
        <f>31493</f>
        <v>31493</v>
      </c>
      <c r="Q592" s="6">
        <f>0</f>
        <v>0</v>
      </c>
      <c r="S592" s="6">
        <f>0</f>
        <v>0</v>
      </c>
      <c r="T592" s="6">
        <f>31493</f>
        <v>31493</v>
      </c>
      <c r="U592" s="5" t="s">
        <v>245</v>
      </c>
      <c r="V592" s="4" t="s">
        <v>270</v>
      </c>
      <c r="W592" s="4" t="s">
        <v>242</v>
      </c>
      <c r="X592" s="4" t="s">
        <v>243</v>
      </c>
      <c r="Y592" s="4" t="s">
        <v>241</v>
      </c>
      <c r="AB592" s="4" t="s">
        <v>241</v>
      </c>
      <c r="AD592" s="5" t="s">
        <v>241</v>
      </c>
      <c r="AG592" s="5" t="s">
        <v>246</v>
      </c>
      <c r="AH592" s="4" t="s">
        <v>241</v>
      </c>
      <c r="AI592" s="4" t="s">
        <v>247</v>
      </c>
      <c r="AJ592" s="4" t="s">
        <v>248</v>
      </c>
      <c r="AZ592" s="4" t="s">
        <v>249</v>
      </c>
      <c r="BA592" s="4" t="s">
        <v>241</v>
      </c>
      <c r="BB592" s="4" t="s">
        <v>250</v>
      </c>
      <c r="BC592" s="4" t="s">
        <v>241</v>
      </c>
      <c r="BD592" s="4" t="s">
        <v>252</v>
      </c>
      <c r="BE592" s="4" t="s">
        <v>241</v>
      </c>
      <c r="BI592" s="4" t="s">
        <v>253</v>
      </c>
      <c r="BJ592" s="5" t="s">
        <v>246</v>
      </c>
      <c r="BK592" s="4" t="s">
        <v>254</v>
      </c>
      <c r="BL592" s="4" t="s">
        <v>255</v>
      </c>
      <c r="BM592" s="4" t="s">
        <v>241</v>
      </c>
      <c r="BN592" s="6">
        <f>0</f>
        <v>0</v>
      </c>
      <c r="BO592" s="6">
        <f>0</f>
        <v>0</v>
      </c>
      <c r="BP592" s="4" t="s">
        <v>256</v>
      </c>
      <c r="BQ592" s="4" t="s">
        <v>257</v>
      </c>
      <c r="CE592" s="4" t="s">
        <v>241</v>
      </c>
      <c r="CF592" s="4" t="s">
        <v>241</v>
      </c>
      <c r="CJ592" s="4" t="s">
        <v>258</v>
      </c>
      <c r="CK592" s="4" t="s">
        <v>259</v>
      </c>
      <c r="CL592" s="4" t="s">
        <v>241</v>
      </c>
      <c r="CO592" s="5" t="s">
        <v>260</v>
      </c>
      <c r="CP592" s="4" t="s">
        <v>241</v>
      </c>
      <c r="CQ592" s="4" t="s">
        <v>261</v>
      </c>
      <c r="CR592" s="4" t="s">
        <v>241</v>
      </c>
      <c r="CS592" s="4" t="s">
        <v>241</v>
      </c>
      <c r="CT592" s="4">
        <v>0</v>
      </c>
      <c r="CU592" s="4" t="s">
        <v>262</v>
      </c>
      <c r="CV592" s="4" t="s">
        <v>263</v>
      </c>
      <c r="CW592" s="4" t="s">
        <v>263</v>
      </c>
      <c r="CX592" s="4" t="s">
        <v>264</v>
      </c>
      <c r="DA592" s="6">
        <f>31493</f>
        <v>31493</v>
      </c>
      <c r="DC592" s="4" t="s">
        <v>3160</v>
      </c>
      <c r="DD592" s="4" t="s">
        <v>241</v>
      </c>
      <c r="DF592" s="4" t="s">
        <v>287</v>
      </c>
      <c r="DG592" s="6">
        <f>0</f>
        <v>0</v>
      </c>
      <c r="DI592" s="4" t="s">
        <v>3167</v>
      </c>
      <c r="DJ592" s="4" t="s">
        <v>241</v>
      </c>
      <c r="DK592" s="4" t="s">
        <v>241</v>
      </c>
      <c r="DL592" s="4" t="s">
        <v>241</v>
      </c>
      <c r="DP592" s="4" t="s">
        <v>241</v>
      </c>
      <c r="DQ592" s="4" t="s">
        <v>241</v>
      </c>
      <c r="DR592" s="4" t="s">
        <v>241</v>
      </c>
      <c r="DS592" s="4" t="s">
        <v>241</v>
      </c>
      <c r="DV592" s="4" t="s">
        <v>4520</v>
      </c>
      <c r="DW592" s="4" t="s">
        <v>1525</v>
      </c>
      <c r="HO592" s="4" t="s">
        <v>267</v>
      </c>
    </row>
    <row r="593" spans="1:223" ht="19.5" customHeight="1" x14ac:dyDescent="0.4">
      <c r="A593" s="4">
        <v>1</v>
      </c>
      <c r="B593" s="4" t="s">
        <v>239</v>
      </c>
      <c r="C593" s="4">
        <v>1455</v>
      </c>
      <c r="D593" s="4">
        <v>1</v>
      </c>
      <c r="E593" s="4">
        <v>1</v>
      </c>
      <c r="F593" s="4" t="s">
        <v>240</v>
      </c>
      <c r="G593" s="4" t="s">
        <v>241</v>
      </c>
      <c r="H593" s="4" t="s">
        <v>241</v>
      </c>
      <c r="I593" s="4" t="s">
        <v>4518</v>
      </c>
      <c r="J593" s="4" t="s">
        <v>3158</v>
      </c>
      <c r="K593" s="4" t="s">
        <v>251</v>
      </c>
      <c r="L593" s="4" t="s">
        <v>3180</v>
      </c>
      <c r="M593" s="5" t="s">
        <v>5451</v>
      </c>
      <c r="N593" s="6">
        <f>2390</f>
        <v>2390</v>
      </c>
      <c r="O593" s="4" t="s">
        <v>265</v>
      </c>
      <c r="P593" s="6">
        <f>26290</f>
        <v>26290</v>
      </c>
      <c r="Q593" s="6">
        <f>0</f>
        <v>0</v>
      </c>
      <c r="S593" s="6">
        <f>0</f>
        <v>0</v>
      </c>
      <c r="T593" s="6">
        <f>26290</f>
        <v>26290</v>
      </c>
      <c r="U593" s="5" t="s">
        <v>245</v>
      </c>
      <c r="V593" s="4" t="s">
        <v>270</v>
      </c>
      <c r="W593" s="4" t="s">
        <v>242</v>
      </c>
      <c r="X593" s="4" t="s">
        <v>243</v>
      </c>
      <c r="Y593" s="4" t="s">
        <v>241</v>
      </c>
      <c r="AB593" s="4" t="s">
        <v>241</v>
      </c>
      <c r="AD593" s="5" t="s">
        <v>241</v>
      </c>
      <c r="AG593" s="5" t="s">
        <v>246</v>
      </c>
      <c r="AH593" s="4" t="s">
        <v>241</v>
      </c>
      <c r="AI593" s="4" t="s">
        <v>247</v>
      </c>
      <c r="AJ593" s="4" t="s">
        <v>248</v>
      </c>
      <c r="AZ593" s="4" t="s">
        <v>249</v>
      </c>
      <c r="BA593" s="4" t="s">
        <v>241</v>
      </c>
      <c r="BB593" s="4" t="s">
        <v>250</v>
      </c>
      <c r="BC593" s="4" t="s">
        <v>241</v>
      </c>
      <c r="BD593" s="4" t="s">
        <v>252</v>
      </c>
      <c r="BE593" s="4" t="s">
        <v>241</v>
      </c>
      <c r="BI593" s="4" t="s">
        <v>253</v>
      </c>
      <c r="BJ593" s="5" t="s">
        <v>246</v>
      </c>
      <c r="BK593" s="4" t="s">
        <v>254</v>
      </c>
      <c r="BL593" s="4" t="s">
        <v>255</v>
      </c>
      <c r="BM593" s="4" t="s">
        <v>241</v>
      </c>
      <c r="BN593" s="6">
        <f>0</f>
        <v>0</v>
      </c>
      <c r="BO593" s="6">
        <f>0</f>
        <v>0</v>
      </c>
      <c r="BP593" s="4" t="s">
        <v>256</v>
      </c>
      <c r="BQ593" s="4" t="s">
        <v>257</v>
      </c>
      <c r="CE593" s="4" t="s">
        <v>241</v>
      </c>
      <c r="CF593" s="4" t="s">
        <v>241</v>
      </c>
      <c r="CJ593" s="4" t="s">
        <v>258</v>
      </c>
      <c r="CK593" s="4" t="s">
        <v>259</v>
      </c>
      <c r="CL593" s="4" t="s">
        <v>241</v>
      </c>
      <c r="CO593" s="5" t="s">
        <v>260</v>
      </c>
      <c r="CP593" s="4" t="s">
        <v>241</v>
      </c>
      <c r="CQ593" s="4" t="s">
        <v>261</v>
      </c>
      <c r="CR593" s="4" t="s">
        <v>241</v>
      </c>
      <c r="CS593" s="4" t="s">
        <v>241</v>
      </c>
      <c r="CT593" s="4">
        <v>0</v>
      </c>
      <c r="CU593" s="4" t="s">
        <v>262</v>
      </c>
      <c r="CV593" s="4" t="s">
        <v>263</v>
      </c>
      <c r="CW593" s="4" t="s">
        <v>263</v>
      </c>
      <c r="CX593" s="4" t="s">
        <v>264</v>
      </c>
      <c r="DA593" s="6">
        <f>26290</f>
        <v>26290</v>
      </c>
      <c r="DC593" s="4" t="s">
        <v>3160</v>
      </c>
      <c r="DD593" s="4" t="s">
        <v>241</v>
      </c>
      <c r="DF593" s="4" t="s">
        <v>287</v>
      </c>
      <c r="DG593" s="6">
        <f>0</f>
        <v>0</v>
      </c>
      <c r="DI593" s="4" t="s">
        <v>3167</v>
      </c>
      <c r="DJ593" s="4" t="s">
        <v>241</v>
      </c>
      <c r="DK593" s="4" t="s">
        <v>241</v>
      </c>
      <c r="DL593" s="4" t="s">
        <v>241</v>
      </c>
      <c r="DP593" s="4" t="s">
        <v>241</v>
      </c>
      <c r="DQ593" s="4" t="s">
        <v>241</v>
      </c>
      <c r="DR593" s="4" t="s">
        <v>241</v>
      </c>
      <c r="DS593" s="4" t="s">
        <v>241</v>
      </c>
      <c r="DV593" s="4" t="s">
        <v>4520</v>
      </c>
      <c r="DW593" s="4" t="s">
        <v>1990</v>
      </c>
      <c r="HO593" s="4" t="s">
        <v>267</v>
      </c>
    </row>
    <row r="594" spans="1:223" ht="19.5" customHeight="1" x14ac:dyDescent="0.4">
      <c r="A594" s="4">
        <v>1</v>
      </c>
      <c r="B594" s="4" t="s">
        <v>239</v>
      </c>
      <c r="C594" s="4">
        <v>1456</v>
      </c>
      <c r="D594" s="4">
        <v>1</v>
      </c>
      <c r="E594" s="4">
        <v>1</v>
      </c>
      <c r="F594" s="4" t="s">
        <v>240</v>
      </c>
      <c r="G594" s="4" t="s">
        <v>241</v>
      </c>
      <c r="H594" s="4" t="s">
        <v>241</v>
      </c>
      <c r="I594" s="4" t="s">
        <v>4518</v>
      </c>
      <c r="J594" s="4" t="s">
        <v>3158</v>
      </c>
      <c r="K594" s="4" t="s">
        <v>251</v>
      </c>
      <c r="L594" s="4" t="s">
        <v>3180</v>
      </c>
      <c r="M594" s="5" t="s">
        <v>4650</v>
      </c>
      <c r="N594" s="6">
        <f>2326</f>
        <v>2326</v>
      </c>
      <c r="O594" s="4" t="s">
        <v>265</v>
      </c>
      <c r="P594" s="6">
        <f>25586</f>
        <v>25586</v>
      </c>
      <c r="Q594" s="6">
        <f>0</f>
        <v>0</v>
      </c>
      <c r="S594" s="6">
        <f>0</f>
        <v>0</v>
      </c>
      <c r="T594" s="6">
        <f>25586</f>
        <v>25586</v>
      </c>
      <c r="U594" s="5" t="s">
        <v>245</v>
      </c>
      <c r="V594" s="4" t="s">
        <v>270</v>
      </c>
      <c r="W594" s="4" t="s">
        <v>242</v>
      </c>
      <c r="X594" s="4" t="s">
        <v>243</v>
      </c>
      <c r="Y594" s="4" t="s">
        <v>241</v>
      </c>
      <c r="AB594" s="4" t="s">
        <v>241</v>
      </c>
      <c r="AD594" s="5" t="s">
        <v>241</v>
      </c>
      <c r="AG594" s="5" t="s">
        <v>246</v>
      </c>
      <c r="AH594" s="4" t="s">
        <v>241</v>
      </c>
      <c r="AI594" s="4" t="s">
        <v>247</v>
      </c>
      <c r="AJ594" s="4" t="s">
        <v>248</v>
      </c>
      <c r="AZ594" s="4" t="s">
        <v>249</v>
      </c>
      <c r="BA594" s="4" t="s">
        <v>241</v>
      </c>
      <c r="BB594" s="4" t="s">
        <v>250</v>
      </c>
      <c r="BC594" s="4" t="s">
        <v>241</v>
      </c>
      <c r="BD594" s="4" t="s">
        <v>252</v>
      </c>
      <c r="BE594" s="4" t="s">
        <v>241</v>
      </c>
      <c r="BI594" s="4" t="s">
        <v>253</v>
      </c>
      <c r="BJ594" s="5" t="s">
        <v>246</v>
      </c>
      <c r="BK594" s="4" t="s">
        <v>254</v>
      </c>
      <c r="BL594" s="4" t="s">
        <v>255</v>
      </c>
      <c r="BM594" s="4" t="s">
        <v>241</v>
      </c>
      <c r="BN594" s="6">
        <f>0</f>
        <v>0</v>
      </c>
      <c r="BO594" s="6">
        <f>0</f>
        <v>0</v>
      </c>
      <c r="BP594" s="4" t="s">
        <v>256</v>
      </c>
      <c r="BQ594" s="4" t="s">
        <v>257</v>
      </c>
      <c r="CE594" s="4" t="s">
        <v>241</v>
      </c>
      <c r="CF594" s="4" t="s">
        <v>241</v>
      </c>
      <c r="CJ594" s="4" t="s">
        <v>258</v>
      </c>
      <c r="CK594" s="4" t="s">
        <v>259</v>
      </c>
      <c r="CL594" s="4" t="s">
        <v>241</v>
      </c>
      <c r="CO594" s="5" t="s">
        <v>260</v>
      </c>
      <c r="CP594" s="4" t="s">
        <v>241</v>
      </c>
      <c r="CQ594" s="4" t="s">
        <v>261</v>
      </c>
      <c r="CR594" s="4" t="s">
        <v>241</v>
      </c>
      <c r="CS594" s="4" t="s">
        <v>241</v>
      </c>
      <c r="CT594" s="4">
        <v>0</v>
      </c>
      <c r="CU594" s="4" t="s">
        <v>262</v>
      </c>
      <c r="CV594" s="4" t="s">
        <v>263</v>
      </c>
      <c r="CW594" s="4" t="s">
        <v>263</v>
      </c>
      <c r="CX594" s="4" t="s">
        <v>264</v>
      </c>
      <c r="DA594" s="6">
        <f>25586</f>
        <v>25586</v>
      </c>
      <c r="DC594" s="4" t="s">
        <v>3160</v>
      </c>
      <c r="DD594" s="4" t="s">
        <v>241</v>
      </c>
      <c r="DF594" s="4" t="s">
        <v>287</v>
      </c>
      <c r="DG594" s="6">
        <f>0</f>
        <v>0</v>
      </c>
      <c r="DI594" s="4" t="s">
        <v>3167</v>
      </c>
      <c r="DJ594" s="4" t="s">
        <v>241</v>
      </c>
      <c r="DK594" s="4" t="s">
        <v>241</v>
      </c>
      <c r="DL594" s="4" t="s">
        <v>241</v>
      </c>
      <c r="DP594" s="4" t="s">
        <v>241</v>
      </c>
      <c r="DQ594" s="4" t="s">
        <v>241</v>
      </c>
      <c r="DR594" s="4" t="s">
        <v>241</v>
      </c>
      <c r="DS594" s="4" t="s">
        <v>241</v>
      </c>
      <c r="DV594" s="4" t="s">
        <v>4520</v>
      </c>
      <c r="DW594" s="4" t="s">
        <v>1943</v>
      </c>
      <c r="HO594" s="4" t="s">
        <v>267</v>
      </c>
    </row>
    <row r="595" spans="1:223" ht="19.5" customHeight="1" x14ac:dyDescent="0.4">
      <c r="A595" s="4">
        <v>1</v>
      </c>
      <c r="B595" s="4" t="s">
        <v>239</v>
      </c>
      <c r="C595" s="4">
        <v>1457</v>
      </c>
      <c r="D595" s="4">
        <v>1</v>
      </c>
      <c r="E595" s="4">
        <v>1</v>
      </c>
      <c r="F595" s="4" t="s">
        <v>240</v>
      </c>
      <c r="G595" s="4" t="s">
        <v>241</v>
      </c>
      <c r="H595" s="4" t="s">
        <v>241</v>
      </c>
      <c r="I595" s="4" t="s">
        <v>4518</v>
      </c>
      <c r="J595" s="4" t="s">
        <v>3158</v>
      </c>
      <c r="K595" s="4" t="s">
        <v>251</v>
      </c>
      <c r="L595" s="4" t="s">
        <v>3180</v>
      </c>
      <c r="M595" s="5" t="s">
        <v>4651</v>
      </c>
      <c r="N595" s="6">
        <f>835</f>
        <v>835</v>
      </c>
      <c r="O595" s="4" t="s">
        <v>265</v>
      </c>
      <c r="P595" s="6">
        <f>9185</f>
        <v>9185</v>
      </c>
      <c r="Q595" s="6">
        <f>0</f>
        <v>0</v>
      </c>
      <c r="S595" s="6">
        <f>0</f>
        <v>0</v>
      </c>
      <c r="T595" s="6">
        <f>9185</f>
        <v>9185</v>
      </c>
      <c r="U595" s="5" t="s">
        <v>245</v>
      </c>
      <c r="V595" s="4" t="s">
        <v>270</v>
      </c>
      <c r="W595" s="4" t="s">
        <v>242</v>
      </c>
      <c r="X595" s="4" t="s">
        <v>243</v>
      </c>
      <c r="Y595" s="4" t="s">
        <v>241</v>
      </c>
      <c r="AB595" s="4" t="s">
        <v>241</v>
      </c>
      <c r="AD595" s="5" t="s">
        <v>241</v>
      </c>
      <c r="AG595" s="5" t="s">
        <v>246</v>
      </c>
      <c r="AH595" s="4" t="s">
        <v>241</v>
      </c>
      <c r="AI595" s="4" t="s">
        <v>247</v>
      </c>
      <c r="AJ595" s="4" t="s">
        <v>248</v>
      </c>
      <c r="AZ595" s="4" t="s">
        <v>249</v>
      </c>
      <c r="BA595" s="4" t="s">
        <v>241</v>
      </c>
      <c r="BB595" s="4" t="s">
        <v>250</v>
      </c>
      <c r="BC595" s="4" t="s">
        <v>241</v>
      </c>
      <c r="BD595" s="4" t="s">
        <v>252</v>
      </c>
      <c r="BE595" s="4" t="s">
        <v>241</v>
      </c>
      <c r="BI595" s="4" t="s">
        <v>253</v>
      </c>
      <c r="BJ595" s="5" t="s">
        <v>246</v>
      </c>
      <c r="BK595" s="4" t="s">
        <v>254</v>
      </c>
      <c r="BL595" s="4" t="s">
        <v>255</v>
      </c>
      <c r="BM595" s="4" t="s">
        <v>241</v>
      </c>
      <c r="BN595" s="6">
        <f>0</f>
        <v>0</v>
      </c>
      <c r="BO595" s="6">
        <f>0</f>
        <v>0</v>
      </c>
      <c r="BP595" s="4" t="s">
        <v>256</v>
      </c>
      <c r="BQ595" s="4" t="s">
        <v>257</v>
      </c>
      <c r="CE595" s="4" t="s">
        <v>241</v>
      </c>
      <c r="CF595" s="4" t="s">
        <v>241</v>
      </c>
      <c r="CJ595" s="4" t="s">
        <v>258</v>
      </c>
      <c r="CK595" s="4" t="s">
        <v>259</v>
      </c>
      <c r="CL595" s="4" t="s">
        <v>241</v>
      </c>
      <c r="CO595" s="5" t="s">
        <v>260</v>
      </c>
      <c r="CP595" s="4" t="s">
        <v>241</v>
      </c>
      <c r="CQ595" s="4" t="s">
        <v>261</v>
      </c>
      <c r="CR595" s="4" t="s">
        <v>241</v>
      </c>
      <c r="CS595" s="4" t="s">
        <v>241</v>
      </c>
      <c r="CT595" s="4">
        <v>0</v>
      </c>
      <c r="CU595" s="4" t="s">
        <v>262</v>
      </c>
      <c r="CV595" s="4" t="s">
        <v>263</v>
      </c>
      <c r="CW595" s="4" t="s">
        <v>263</v>
      </c>
      <c r="CX595" s="4" t="s">
        <v>264</v>
      </c>
      <c r="DA595" s="6">
        <f>9185</f>
        <v>9185</v>
      </c>
      <c r="DC595" s="4" t="s">
        <v>3160</v>
      </c>
      <c r="DD595" s="4" t="s">
        <v>241</v>
      </c>
      <c r="DF595" s="4" t="s">
        <v>287</v>
      </c>
      <c r="DG595" s="6">
        <f>0</f>
        <v>0</v>
      </c>
      <c r="DI595" s="4" t="s">
        <v>3167</v>
      </c>
      <c r="DJ595" s="4" t="s">
        <v>241</v>
      </c>
      <c r="DK595" s="4" t="s">
        <v>241</v>
      </c>
      <c r="DL595" s="4" t="s">
        <v>241</v>
      </c>
      <c r="DP595" s="4" t="s">
        <v>241</v>
      </c>
      <c r="DQ595" s="4" t="s">
        <v>241</v>
      </c>
      <c r="DR595" s="4" t="s">
        <v>241</v>
      </c>
      <c r="DS595" s="4" t="s">
        <v>241</v>
      </c>
      <c r="DV595" s="4" t="s">
        <v>4520</v>
      </c>
      <c r="DW595" s="4" t="s">
        <v>1907</v>
      </c>
      <c r="HO595" s="4" t="s">
        <v>267</v>
      </c>
    </row>
    <row r="596" spans="1:223" ht="19.5" customHeight="1" x14ac:dyDescent="0.4">
      <c r="A596" s="4">
        <v>1</v>
      </c>
      <c r="B596" s="4" t="s">
        <v>239</v>
      </c>
      <c r="C596" s="4">
        <v>1458</v>
      </c>
      <c r="D596" s="4">
        <v>1</v>
      </c>
      <c r="E596" s="4">
        <v>1</v>
      </c>
      <c r="F596" s="4" t="s">
        <v>240</v>
      </c>
      <c r="G596" s="4" t="s">
        <v>241</v>
      </c>
      <c r="H596" s="4" t="s">
        <v>241</v>
      </c>
      <c r="I596" s="4" t="s">
        <v>4518</v>
      </c>
      <c r="J596" s="4" t="s">
        <v>3158</v>
      </c>
      <c r="K596" s="4" t="s">
        <v>251</v>
      </c>
      <c r="L596" s="4" t="s">
        <v>3180</v>
      </c>
      <c r="M596" s="5" t="s">
        <v>4652</v>
      </c>
      <c r="N596" s="6">
        <f>7024</f>
        <v>7024</v>
      </c>
      <c r="O596" s="4" t="s">
        <v>265</v>
      </c>
      <c r="P596" s="6">
        <f>77264</f>
        <v>77264</v>
      </c>
      <c r="Q596" s="6">
        <f>0</f>
        <v>0</v>
      </c>
      <c r="S596" s="6">
        <f>0</f>
        <v>0</v>
      </c>
      <c r="T596" s="6">
        <f>77264</f>
        <v>77264</v>
      </c>
      <c r="U596" s="5" t="s">
        <v>245</v>
      </c>
      <c r="V596" s="4" t="s">
        <v>270</v>
      </c>
      <c r="W596" s="4" t="s">
        <v>242</v>
      </c>
      <c r="X596" s="4" t="s">
        <v>243</v>
      </c>
      <c r="Y596" s="4" t="s">
        <v>241</v>
      </c>
      <c r="AB596" s="4" t="s">
        <v>241</v>
      </c>
      <c r="AD596" s="5" t="s">
        <v>241</v>
      </c>
      <c r="AG596" s="5" t="s">
        <v>246</v>
      </c>
      <c r="AH596" s="4" t="s">
        <v>241</v>
      </c>
      <c r="AI596" s="4" t="s">
        <v>247</v>
      </c>
      <c r="AJ596" s="4" t="s">
        <v>248</v>
      </c>
      <c r="AZ596" s="4" t="s">
        <v>249</v>
      </c>
      <c r="BA596" s="4" t="s">
        <v>241</v>
      </c>
      <c r="BB596" s="4" t="s">
        <v>250</v>
      </c>
      <c r="BC596" s="4" t="s">
        <v>241</v>
      </c>
      <c r="BD596" s="4" t="s">
        <v>252</v>
      </c>
      <c r="BE596" s="4" t="s">
        <v>241</v>
      </c>
      <c r="BI596" s="4" t="s">
        <v>253</v>
      </c>
      <c r="BJ596" s="5" t="s">
        <v>246</v>
      </c>
      <c r="BK596" s="4" t="s">
        <v>254</v>
      </c>
      <c r="BL596" s="4" t="s">
        <v>255</v>
      </c>
      <c r="BM596" s="4" t="s">
        <v>241</v>
      </c>
      <c r="BN596" s="6">
        <f>0</f>
        <v>0</v>
      </c>
      <c r="BO596" s="6">
        <f>0</f>
        <v>0</v>
      </c>
      <c r="BP596" s="4" t="s">
        <v>256</v>
      </c>
      <c r="BQ596" s="4" t="s">
        <v>257</v>
      </c>
      <c r="CE596" s="4" t="s">
        <v>241</v>
      </c>
      <c r="CF596" s="4" t="s">
        <v>241</v>
      </c>
      <c r="CJ596" s="4" t="s">
        <v>258</v>
      </c>
      <c r="CK596" s="4" t="s">
        <v>259</v>
      </c>
      <c r="CL596" s="4" t="s">
        <v>241</v>
      </c>
      <c r="CO596" s="5" t="s">
        <v>260</v>
      </c>
      <c r="CP596" s="4" t="s">
        <v>241</v>
      </c>
      <c r="CQ596" s="4" t="s">
        <v>261</v>
      </c>
      <c r="CR596" s="4" t="s">
        <v>241</v>
      </c>
      <c r="CS596" s="4" t="s">
        <v>241</v>
      </c>
      <c r="CT596" s="4">
        <v>0</v>
      </c>
      <c r="CU596" s="4" t="s">
        <v>262</v>
      </c>
      <c r="CV596" s="4" t="s">
        <v>263</v>
      </c>
      <c r="CW596" s="4" t="s">
        <v>263</v>
      </c>
      <c r="CX596" s="4" t="s">
        <v>264</v>
      </c>
      <c r="DA596" s="6">
        <f>77264</f>
        <v>77264</v>
      </c>
      <c r="DC596" s="4" t="s">
        <v>3160</v>
      </c>
      <c r="DD596" s="4" t="s">
        <v>241</v>
      </c>
      <c r="DF596" s="4" t="s">
        <v>287</v>
      </c>
      <c r="DG596" s="6">
        <f>0</f>
        <v>0</v>
      </c>
      <c r="DI596" s="4" t="s">
        <v>3167</v>
      </c>
      <c r="DJ596" s="4" t="s">
        <v>241</v>
      </c>
      <c r="DK596" s="4" t="s">
        <v>241</v>
      </c>
      <c r="DL596" s="4" t="s">
        <v>241</v>
      </c>
      <c r="DP596" s="4" t="s">
        <v>241</v>
      </c>
      <c r="DQ596" s="4" t="s">
        <v>241</v>
      </c>
      <c r="DR596" s="4" t="s">
        <v>241</v>
      </c>
      <c r="DS596" s="4" t="s">
        <v>241</v>
      </c>
      <c r="DV596" s="4" t="s">
        <v>4520</v>
      </c>
      <c r="DW596" s="4" t="s">
        <v>2144</v>
      </c>
      <c r="HO596" s="4" t="s">
        <v>267</v>
      </c>
    </row>
    <row r="597" spans="1:223" ht="19.5" customHeight="1" x14ac:dyDescent="0.4">
      <c r="A597" s="4">
        <v>1</v>
      </c>
      <c r="B597" s="4" t="s">
        <v>239</v>
      </c>
      <c r="C597" s="4">
        <v>1459</v>
      </c>
      <c r="D597" s="4">
        <v>1</v>
      </c>
      <c r="E597" s="4">
        <v>1</v>
      </c>
      <c r="F597" s="4" t="s">
        <v>240</v>
      </c>
      <c r="G597" s="4" t="s">
        <v>241</v>
      </c>
      <c r="H597" s="4" t="s">
        <v>241</v>
      </c>
      <c r="I597" s="4" t="s">
        <v>4518</v>
      </c>
      <c r="J597" s="4" t="s">
        <v>3158</v>
      </c>
      <c r="K597" s="4" t="s">
        <v>251</v>
      </c>
      <c r="L597" s="4" t="s">
        <v>3180</v>
      </c>
      <c r="M597" s="5" t="s">
        <v>4653</v>
      </c>
      <c r="N597" s="6">
        <f>5545</f>
        <v>5545</v>
      </c>
      <c r="O597" s="4" t="s">
        <v>265</v>
      </c>
      <c r="P597" s="6">
        <f>60995</f>
        <v>60995</v>
      </c>
      <c r="Q597" s="6">
        <f>0</f>
        <v>0</v>
      </c>
      <c r="S597" s="6">
        <f>0</f>
        <v>0</v>
      </c>
      <c r="T597" s="6">
        <f>60995</f>
        <v>60995</v>
      </c>
      <c r="U597" s="5" t="s">
        <v>245</v>
      </c>
      <c r="V597" s="4" t="s">
        <v>270</v>
      </c>
      <c r="W597" s="4" t="s">
        <v>242</v>
      </c>
      <c r="X597" s="4" t="s">
        <v>243</v>
      </c>
      <c r="Y597" s="4" t="s">
        <v>241</v>
      </c>
      <c r="AB597" s="4" t="s">
        <v>241</v>
      </c>
      <c r="AD597" s="5" t="s">
        <v>241</v>
      </c>
      <c r="AG597" s="5" t="s">
        <v>246</v>
      </c>
      <c r="AH597" s="4" t="s">
        <v>241</v>
      </c>
      <c r="AI597" s="4" t="s">
        <v>247</v>
      </c>
      <c r="AJ597" s="4" t="s">
        <v>248</v>
      </c>
      <c r="AZ597" s="4" t="s">
        <v>249</v>
      </c>
      <c r="BA597" s="4" t="s">
        <v>241</v>
      </c>
      <c r="BB597" s="4" t="s">
        <v>250</v>
      </c>
      <c r="BC597" s="4" t="s">
        <v>241</v>
      </c>
      <c r="BD597" s="4" t="s">
        <v>252</v>
      </c>
      <c r="BE597" s="4" t="s">
        <v>241</v>
      </c>
      <c r="BI597" s="4" t="s">
        <v>253</v>
      </c>
      <c r="BJ597" s="5" t="s">
        <v>246</v>
      </c>
      <c r="BK597" s="4" t="s">
        <v>254</v>
      </c>
      <c r="BL597" s="4" t="s">
        <v>255</v>
      </c>
      <c r="BM597" s="4" t="s">
        <v>241</v>
      </c>
      <c r="BN597" s="6">
        <f>0</f>
        <v>0</v>
      </c>
      <c r="BO597" s="6">
        <f>0</f>
        <v>0</v>
      </c>
      <c r="BP597" s="4" t="s">
        <v>256</v>
      </c>
      <c r="BQ597" s="4" t="s">
        <v>257</v>
      </c>
      <c r="CE597" s="4" t="s">
        <v>241</v>
      </c>
      <c r="CF597" s="4" t="s">
        <v>241</v>
      </c>
      <c r="CJ597" s="4" t="s">
        <v>258</v>
      </c>
      <c r="CK597" s="4" t="s">
        <v>259</v>
      </c>
      <c r="CL597" s="4" t="s">
        <v>241</v>
      </c>
      <c r="CO597" s="5" t="s">
        <v>260</v>
      </c>
      <c r="CP597" s="4" t="s">
        <v>241</v>
      </c>
      <c r="CQ597" s="4" t="s">
        <v>261</v>
      </c>
      <c r="CR597" s="4" t="s">
        <v>241</v>
      </c>
      <c r="CS597" s="4" t="s">
        <v>241</v>
      </c>
      <c r="CT597" s="4">
        <v>0</v>
      </c>
      <c r="CU597" s="4" t="s">
        <v>262</v>
      </c>
      <c r="CV597" s="4" t="s">
        <v>263</v>
      </c>
      <c r="CW597" s="4" t="s">
        <v>263</v>
      </c>
      <c r="CX597" s="4" t="s">
        <v>264</v>
      </c>
      <c r="DA597" s="6">
        <f>60995</f>
        <v>60995</v>
      </c>
      <c r="DC597" s="4" t="s">
        <v>3160</v>
      </c>
      <c r="DD597" s="4" t="s">
        <v>241</v>
      </c>
      <c r="DF597" s="4" t="s">
        <v>287</v>
      </c>
      <c r="DG597" s="6">
        <f>0</f>
        <v>0</v>
      </c>
      <c r="DI597" s="4" t="s">
        <v>3167</v>
      </c>
      <c r="DJ597" s="4" t="s">
        <v>241</v>
      </c>
      <c r="DK597" s="4" t="s">
        <v>241</v>
      </c>
      <c r="DL597" s="4" t="s">
        <v>241</v>
      </c>
      <c r="DP597" s="4" t="s">
        <v>241</v>
      </c>
      <c r="DQ597" s="4" t="s">
        <v>241</v>
      </c>
      <c r="DR597" s="4" t="s">
        <v>241</v>
      </c>
      <c r="DS597" s="4" t="s">
        <v>241</v>
      </c>
      <c r="DV597" s="4" t="s">
        <v>4520</v>
      </c>
      <c r="DW597" s="4" t="s">
        <v>1625</v>
      </c>
      <c r="HO597" s="4" t="s">
        <v>267</v>
      </c>
    </row>
    <row r="598" spans="1:223" ht="19.5" customHeight="1" x14ac:dyDescent="0.4">
      <c r="A598" s="4">
        <v>1</v>
      </c>
      <c r="B598" s="4" t="s">
        <v>239</v>
      </c>
      <c r="C598" s="4">
        <v>1460</v>
      </c>
      <c r="D598" s="4">
        <v>1</v>
      </c>
      <c r="E598" s="4">
        <v>1</v>
      </c>
      <c r="F598" s="4" t="s">
        <v>240</v>
      </c>
      <c r="G598" s="4" t="s">
        <v>241</v>
      </c>
      <c r="H598" s="4" t="s">
        <v>241</v>
      </c>
      <c r="I598" s="4" t="s">
        <v>4518</v>
      </c>
      <c r="J598" s="4" t="s">
        <v>3158</v>
      </c>
      <c r="K598" s="4" t="s">
        <v>251</v>
      </c>
      <c r="L598" s="4" t="s">
        <v>3180</v>
      </c>
      <c r="M598" s="5" t="s">
        <v>4654</v>
      </c>
      <c r="N598" s="6">
        <f>1006</f>
        <v>1006</v>
      </c>
      <c r="O598" s="4" t="s">
        <v>265</v>
      </c>
      <c r="P598" s="6">
        <f>11066</f>
        <v>11066</v>
      </c>
      <c r="Q598" s="6">
        <f>0</f>
        <v>0</v>
      </c>
      <c r="S598" s="6">
        <f>0</f>
        <v>0</v>
      </c>
      <c r="T598" s="6">
        <f>11066</f>
        <v>11066</v>
      </c>
      <c r="U598" s="5" t="s">
        <v>245</v>
      </c>
      <c r="V598" s="4" t="s">
        <v>270</v>
      </c>
      <c r="W598" s="4" t="s">
        <v>242</v>
      </c>
      <c r="X598" s="4" t="s">
        <v>243</v>
      </c>
      <c r="Y598" s="4" t="s">
        <v>241</v>
      </c>
      <c r="AB598" s="4" t="s">
        <v>241</v>
      </c>
      <c r="AD598" s="5" t="s">
        <v>241</v>
      </c>
      <c r="AG598" s="5" t="s">
        <v>246</v>
      </c>
      <c r="AH598" s="4" t="s">
        <v>241</v>
      </c>
      <c r="AI598" s="4" t="s">
        <v>247</v>
      </c>
      <c r="AJ598" s="4" t="s">
        <v>248</v>
      </c>
      <c r="AZ598" s="4" t="s">
        <v>249</v>
      </c>
      <c r="BA598" s="4" t="s">
        <v>241</v>
      </c>
      <c r="BB598" s="4" t="s">
        <v>250</v>
      </c>
      <c r="BC598" s="4" t="s">
        <v>241</v>
      </c>
      <c r="BD598" s="4" t="s">
        <v>252</v>
      </c>
      <c r="BE598" s="4" t="s">
        <v>241</v>
      </c>
      <c r="BI598" s="4" t="s">
        <v>253</v>
      </c>
      <c r="BJ598" s="5" t="s">
        <v>246</v>
      </c>
      <c r="BK598" s="4" t="s">
        <v>254</v>
      </c>
      <c r="BL598" s="4" t="s">
        <v>255</v>
      </c>
      <c r="BM598" s="4" t="s">
        <v>241</v>
      </c>
      <c r="BN598" s="6">
        <f>0</f>
        <v>0</v>
      </c>
      <c r="BO598" s="6">
        <f>0</f>
        <v>0</v>
      </c>
      <c r="BP598" s="4" t="s">
        <v>256</v>
      </c>
      <c r="BQ598" s="4" t="s">
        <v>257</v>
      </c>
      <c r="CE598" s="4" t="s">
        <v>241</v>
      </c>
      <c r="CF598" s="4" t="s">
        <v>241</v>
      </c>
      <c r="CJ598" s="4" t="s">
        <v>258</v>
      </c>
      <c r="CK598" s="4" t="s">
        <v>259</v>
      </c>
      <c r="CL598" s="4" t="s">
        <v>241</v>
      </c>
      <c r="CO598" s="5" t="s">
        <v>260</v>
      </c>
      <c r="CP598" s="4" t="s">
        <v>241</v>
      </c>
      <c r="CQ598" s="4" t="s">
        <v>261</v>
      </c>
      <c r="CR598" s="4" t="s">
        <v>241</v>
      </c>
      <c r="CS598" s="4" t="s">
        <v>241</v>
      </c>
      <c r="CT598" s="4">
        <v>0</v>
      </c>
      <c r="CU598" s="4" t="s">
        <v>262</v>
      </c>
      <c r="CV598" s="4" t="s">
        <v>263</v>
      </c>
      <c r="CW598" s="4" t="s">
        <v>263</v>
      </c>
      <c r="CX598" s="4" t="s">
        <v>264</v>
      </c>
      <c r="DA598" s="6">
        <f>11066</f>
        <v>11066</v>
      </c>
      <c r="DC598" s="4" t="s">
        <v>3160</v>
      </c>
      <c r="DD598" s="4" t="s">
        <v>241</v>
      </c>
      <c r="DF598" s="4" t="s">
        <v>287</v>
      </c>
      <c r="DG598" s="6">
        <f>0</f>
        <v>0</v>
      </c>
      <c r="DI598" s="4" t="s">
        <v>3167</v>
      </c>
      <c r="DJ598" s="4" t="s">
        <v>241</v>
      </c>
      <c r="DK598" s="4" t="s">
        <v>241</v>
      </c>
      <c r="DL598" s="4" t="s">
        <v>241</v>
      </c>
      <c r="DP598" s="4" t="s">
        <v>241</v>
      </c>
      <c r="DQ598" s="4" t="s">
        <v>241</v>
      </c>
      <c r="DR598" s="4" t="s">
        <v>241</v>
      </c>
      <c r="DS598" s="4" t="s">
        <v>241</v>
      </c>
      <c r="DV598" s="4" t="s">
        <v>4520</v>
      </c>
      <c r="DW598" s="4" t="s">
        <v>1595</v>
      </c>
      <c r="HO598" s="4" t="s">
        <v>267</v>
      </c>
    </row>
    <row r="599" spans="1:223" ht="19.5" customHeight="1" x14ac:dyDescent="0.4">
      <c r="A599" s="4">
        <v>1</v>
      </c>
      <c r="B599" s="4" t="s">
        <v>239</v>
      </c>
      <c r="C599" s="4">
        <v>1461</v>
      </c>
      <c r="D599" s="4">
        <v>1</v>
      </c>
      <c r="E599" s="4">
        <v>1</v>
      </c>
      <c r="F599" s="4" t="s">
        <v>240</v>
      </c>
      <c r="G599" s="4" t="s">
        <v>241</v>
      </c>
      <c r="H599" s="4" t="s">
        <v>241</v>
      </c>
      <c r="I599" s="4" t="s">
        <v>4518</v>
      </c>
      <c r="J599" s="4" t="s">
        <v>3158</v>
      </c>
      <c r="K599" s="4" t="s">
        <v>251</v>
      </c>
      <c r="L599" s="4" t="s">
        <v>3180</v>
      </c>
      <c r="M599" s="5" t="s">
        <v>4655</v>
      </c>
      <c r="N599" s="6">
        <f>1195</f>
        <v>1195</v>
      </c>
      <c r="O599" s="4" t="s">
        <v>265</v>
      </c>
      <c r="P599" s="6">
        <f>13145</f>
        <v>13145</v>
      </c>
      <c r="Q599" s="6">
        <f>0</f>
        <v>0</v>
      </c>
      <c r="S599" s="6">
        <f>0</f>
        <v>0</v>
      </c>
      <c r="T599" s="6">
        <f>13145</f>
        <v>13145</v>
      </c>
      <c r="U599" s="5" t="s">
        <v>245</v>
      </c>
      <c r="V599" s="4" t="s">
        <v>270</v>
      </c>
      <c r="W599" s="4" t="s">
        <v>242</v>
      </c>
      <c r="X599" s="4" t="s">
        <v>243</v>
      </c>
      <c r="Y599" s="4" t="s">
        <v>241</v>
      </c>
      <c r="AB599" s="4" t="s">
        <v>241</v>
      </c>
      <c r="AD599" s="5" t="s">
        <v>241</v>
      </c>
      <c r="AG599" s="5" t="s">
        <v>246</v>
      </c>
      <c r="AH599" s="4" t="s">
        <v>241</v>
      </c>
      <c r="AI599" s="4" t="s">
        <v>247</v>
      </c>
      <c r="AJ599" s="4" t="s">
        <v>248</v>
      </c>
      <c r="AZ599" s="4" t="s">
        <v>249</v>
      </c>
      <c r="BA599" s="4" t="s">
        <v>241</v>
      </c>
      <c r="BB599" s="4" t="s">
        <v>250</v>
      </c>
      <c r="BC599" s="4" t="s">
        <v>241</v>
      </c>
      <c r="BD599" s="4" t="s">
        <v>252</v>
      </c>
      <c r="BE599" s="4" t="s">
        <v>241</v>
      </c>
      <c r="BI599" s="4" t="s">
        <v>253</v>
      </c>
      <c r="BJ599" s="5" t="s">
        <v>246</v>
      </c>
      <c r="BK599" s="4" t="s">
        <v>254</v>
      </c>
      <c r="BL599" s="4" t="s">
        <v>255</v>
      </c>
      <c r="BM599" s="4" t="s">
        <v>241</v>
      </c>
      <c r="BN599" s="6">
        <f>0</f>
        <v>0</v>
      </c>
      <c r="BO599" s="6">
        <f>0</f>
        <v>0</v>
      </c>
      <c r="BP599" s="4" t="s">
        <v>256</v>
      </c>
      <c r="BQ599" s="4" t="s">
        <v>257</v>
      </c>
      <c r="CE599" s="4" t="s">
        <v>241</v>
      </c>
      <c r="CF599" s="4" t="s">
        <v>241</v>
      </c>
      <c r="CJ599" s="4" t="s">
        <v>258</v>
      </c>
      <c r="CK599" s="4" t="s">
        <v>259</v>
      </c>
      <c r="CL599" s="4" t="s">
        <v>241</v>
      </c>
      <c r="CO599" s="5" t="s">
        <v>260</v>
      </c>
      <c r="CP599" s="4" t="s">
        <v>241</v>
      </c>
      <c r="CQ599" s="4" t="s">
        <v>261</v>
      </c>
      <c r="CR599" s="4" t="s">
        <v>241</v>
      </c>
      <c r="CS599" s="4" t="s">
        <v>241</v>
      </c>
      <c r="CT599" s="4">
        <v>0</v>
      </c>
      <c r="CU599" s="4" t="s">
        <v>262</v>
      </c>
      <c r="CV599" s="4" t="s">
        <v>263</v>
      </c>
      <c r="CW599" s="4" t="s">
        <v>263</v>
      </c>
      <c r="CX599" s="4" t="s">
        <v>264</v>
      </c>
      <c r="DA599" s="6">
        <f>13145</f>
        <v>13145</v>
      </c>
      <c r="DC599" s="4" t="s">
        <v>3160</v>
      </c>
      <c r="DD599" s="4" t="s">
        <v>241</v>
      </c>
      <c r="DF599" s="4" t="s">
        <v>287</v>
      </c>
      <c r="DG599" s="6">
        <f>0</f>
        <v>0</v>
      </c>
      <c r="DI599" s="4" t="s">
        <v>3167</v>
      </c>
      <c r="DJ599" s="4" t="s">
        <v>241</v>
      </c>
      <c r="DK599" s="4" t="s">
        <v>241</v>
      </c>
      <c r="DL599" s="4" t="s">
        <v>241</v>
      </c>
      <c r="DP599" s="4" t="s">
        <v>241</v>
      </c>
      <c r="DQ599" s="4" t="s">
        <v>241</v>
      </c>
      <c r="DR599" s="4" t="s">
        <v>241</v>
      </c>
      <c r="DS599" s="4" t="s">
        <v>241</v>
      </c>
      <c r="DV599" s="4" t="s">
        <v>4520</v>
      </c>
      <c r="DW599" s="4" t="s">
        <v>1623</v>
      </c>
      <c r="HO599" s="4" t="s">
        <v>267</v>
      </c>
    </row>
    <row r="600" spans="1:223" ht="19.5" customHeight="1" x14ac:dyDescent="0.4">
      <c r="A600" s="4">
        <v>1</v>
      </c>
      <c r="B600" s="4" t="s">
        <v>239</v>
      </c>
      <c r="C600" s="4">
        <v>1462</v>
      </c>
      <c r="D600" s="4">
        <v>1</v>
      </c>
      <c r="E600" s="4">
        <v>1</v>
      </c>
      <c r="F600" s="4" t="s">
        <v>240</v>
      </c>
      <c r="G600" s="4" t="s">
        <v>241</v>
      </c>
      <c r="H600" s="4" t="s">
        <v>241</v>
      </c>
      <c r="I600" s="4" t="s">
        <v>4518</v>
      </c>
      <c r="J600" s="4" t="s">
        <v>3158</v>
      </c>
      <c r="K600" s="4" t="s">
        <v>251</v>
      </c>
      <c r="L600" s="4" t="s">
        <v>3180</v>
      </c>
      <c r="M600" s="5" t="s">
        <v>4656</v>
      </c>
      <c r="N600" s="6">
        <f>1068</f>
        <v>1068</v>
      </c>
      <c r="O600" s="4" t="s">
        <v>265</v>
      </c>
      <c r="P600" s="6">
        <f>11748</f>
        <v>11748</v>
      </c>
      <c r="Q600" s="6">
        <f>0</f>
        <v>0</v>
      </c>
      <c r="S600" s="6">
        <f>0</f>
        <v>0</v>
      </c>
      <c r="T600" s="6">
        <f>11748</f>
        <v>11748</v>
      </c>
      <c r="U600" s="5" t="s">
        <v>245</v>
      </c>
      <c r="V600" s="4" t="s">
        <v>270</v>
      </c>
      <c r="W600" s="4" t="s">
        <v>242</v>
      </c>
      <c r="X600" s="4" t="s">
        <v>243</v>
      </c>
      <c r="Y600" s="4" t="s">
        <v>241</v>
      </c>
      <c r="AB600" s="4" t="s">
        <v>241</v>
      </c>
      <c r="AD600" s="5" t="s">
        <v>241</v>
      </c>
      <c r="AG600" s="5" t="s">
        <v>246</v>
      </c>
      <c r="AH600" s="4" t="s">
        <v>241</v>
      </c>
      <c r="AI600" s="4" t="s">
        <v>247</v>
      </c>
      <c r="AJ600" s="4" t="s">
        <v>248</v>
      </c>
      <c r="AZ600" s="4" t="s">
        <v>249</v>
      </c>
      <c r="BA600" s="4" t="s">
        <v>241</v>
      </c>
      <c r="BB600" s="4" t="s">
        <v>250</v>
      </c>
      <c r="BC600" s="4" t="s">
        <v>241</v>
      </c>
      <c r="BD600" s="4" t="s">
        <v>252</v>
      </c>
      <c r="BE600" s="4" t="s">
        <v>241</v>
      </c>
      <c r="BI600" s="4" t="s">
        <v>253</v>
      </c>
      <c r="BJ600" s="5" t="s">
        <v>246</v>
      </c>
      <c r="BK600" s="4" t="s">
        <v>254</v>
      </c>
      <c r="BL600" s="4" t="s">
        <v>255</v>
      </c>
      <c r="BM600" s="4" t="s">
        <v>241</v>
      </c>
      <c r="BN600" s="6">
        <f>0</f>
        <v>0</v>
      </c>
      <c r="BO600" s="6">
        <f>0</f>
        <v>0</v>
      </c>
      <c r="BP600" s="4" t="s">
        <v>256</v>
      </c>
      <c r="BQ600" s="4" t="s">
        <v>257</v>
      </c>
      <c r="CE600" s="4" t="s">
        <v>241</v>
      </c>
      <c r="CF600" s="4" t="s">
        <v>241</v>
      </c>
      <c r="CJ600" s="4" t="s">
        <v>258</v>
      </c>
      <c r="CK600" s="4" t="s">
        <v>259</v>
      </c>
      <c r="CL600" s="4" t="s">
        <v>241</v>
      </c>
      <c r="CO600" s="5" t="s">
        <v>260</v>
      </c>
      <c r="CP600" s="4" t="s">
        <v>241</v>
      </c>
      <c r="CQ600" s="4" t="s">
        <v>261</v>
      </c>
      <c r="CR600" s="4" t="s">
        <v>241</v>
      </c>
      <c r="CS600" s="4" t="s">
        <v>241</v>
      </c>
      <c r="CT600" s="4">
        <v>0</v>
      </c>
      <c r="CU600" s="4" t="s">
        <v>262</v>
      </c>
      <c r="CV600" s="4" t="s">
        <v>263</v>
      </c>
      <c r="CW600" s="4" t="s">
        <v>263</v>
      </c>
      <c r="CX600" s="4" t="s">
        <v>264</v>
      </c>
      <c r="DA600" s="6">
        <f>11748</f>
        <v>11748</v>
      </c>
      <c r="DC600" s="4" t="s">
        <v>3160</v>
      </c>
      <c r="DD600" s="4" t="s">
        <v>241</v>
      </c>
      <c r="DF600" s="4" t="s">
        <v>287</v>
      </c>
      <c r="DG600" s="6">
        <f>0</f>
        <v>0</v>
      </c>
      <c r="DI600" s="4" t="s">
        <v>3167</v>
      </c>
      <c r="DJ600" s="4" t="s">
        <v>241</v>
      </c>
      <c r="DK600" s="4" t="s">
        <v>241</v>
      </c>
      <c r="DL600" s="4" t="s">
        <v>241</v>
      </c>
      <c r="DP600" s="4" t="s">
        <v>241</v>
      </c>
      <c r="DQ600" s="4" t="s">
        <v>241</v>
      </c>
      <c r="DR600" s="4" t="s">
        <v>241</v>
      </c>
      <c r="DS600" s="4" t="s">
        <v>241</v>
      </c>
      <c r="DV600" s="4" t="s">
        <v>4520</v>
      </c>
      <c r="DW600" s="4" t="s">
        <v>1621</v>
      </c>
      <c r="HO600" s="4" t="s">
        <v>267</v>
      </c>
    </row>
    <row r="601" spans="1:223" ht="19.5" customHeight="1" x14ac:dyDescent="0.4">
      <c r="A601" s="4">
        <v>1</v>
      </c>
      <c r="B601" s="4" t="s">
        <v>239</v>
      </c>
      <c r="C601" s="4">
        <v>1463</v>
      </c>
      <c r="D601" s="4">
        <v>1</v>
      </c>
      <c r="E601" s="4">
        <v>1</v>
      </c>
      <c r="F601" s="4" t="s">
        <v>240</v>
      </c>
      <c r="G601" s="4" t="s">
        <v>241</v>
      </c>
      <c r="H601" s="4" t="s">
        <v>241</v>
      </c>
      <c r="I601" s="4" t="s">
        <v>4518</v>
      </c>
      <c r="J601" s="4" t="s">
        <v>3158</v>
      </c>
      <c r="K601" s="4" t="s">
        <v>251</v>
      </c>
      <c r="L601" s="4" t="s">
        <v>3180</v>
      </c>
      <c r="M601" s="5" t="s">
        <v>5452</v>
      </c>
      <c r="N601" s="6">
        <f>1260</f>
        <v>1260</v>
      </c>
      <c r="O601" s="4" t="s">
        <v>265</v>
      </c>
      <c r="P601" s="6">
        <f>13860</f>
        <v>13860</v>
      </c>
      <c r="Q601" s="6">
        <f>0</f>
        <v>0</v>
      </c>
      <c r="S601" s="6">
        <f>0</f>
        <v>0</v>
      </c>
      <c r="T601" s="6">
        <f>13860</f>
        <v>13860</v>
      </c>
      <c r="U601" s="5" t="s">
        <v>245</v>
      </c>
      <c r="V601" s="4" t="s">
        <v>270</v>
      </c>
      <c r="W601" s="4" t="s">
        <v>242</v>
      </c>
      <c r="X601" s="4" t="s">
        <v>243</v>
      </c>
      <c r="Y601" s="4" t="s">
        <v>241</v>
      </c>
      <c r="AB601" s="4" t="s">
        <v>241</v>
      </c>
      <c r="AD601" s="5" t="s">
        <v>241</v>
      </c>
      <c r="AG601" s="5" t="s">
        <v>246</v>
      </c>
      <c r="AH601" s="4" t="s">
        <v>241</v>
      </c>
      <c r="AI601" s="4" t="s">
        <v>247</v>
      </c>
      <c r="AJ601" s="4" t="s">
        <v>248</v>
      </c>
      <c r="AZ601" s="4" t="s">
        <v>249</v>
      </c>
      <c r="BA601" s="4" t="s">
        <v>241</v>
      </c>
      <c r="BB601" s="4" t="s">
        <v>250</v>
      </c>
      <c r="BC601" s="4" t="s">
        <v>241</v>
      </c>
      <c r="BD601" s="4" t="s">
        <v>252</v>
      </c>
      <c r="BE601" s="4" t="s">
        <v>241</v>
      </c>
      <c r="BI601" s="4" t="s">
        <v>253</v>
      </c>
      <c r="BJ601" s="5" t="s">
        <v>246</v>
      </c>
      <c r="BK601" s="4" t="s">
        <v>254</v>
      </c>
      <c r="BL601" s="4" t="s">
        <v>255</v>
      </c>
      <c r="BM601" s="4" t="s">
        <v>241</v>
      </c>
      <c r="BN601" s="6">
        <f>0</f>
        <v>0</v>
      </c>
      <c r="BO601" s="6">
        <f>0</f>
        <v>0</v>
      </c>
      <c r="BP601" s="4" t="s">
        <v>256</v>
      </c>
      <c r="BQ601" s="4" t="s">
        <v>257</v>
      </c>
      <c r="CE601" s="4" t="s">
        <v>241</v>
      </c>
      <c r="CF601" s="4" t="s">
        <v>241</v>
      </c>
      <c r="CJ601" s="4" t="s">
        <v>258</v>
      </c>
      <c r="CK601" s="4" t="s">
        <v>259</v>
      </c>
      <c r="CL601" s="4" t="s">
        <v>241</v>
      </c>
      <c r="CO601" s="5" t="s">
        <v>260</v>
      </c>
      <c r="CP601" s="4" t="s">
        <v>241</v>
      </c>
      <c r="CQ601" s="4" t="s">
        <v>261</v>
      </c>
      <c r="CR601" s="4" t="s">
        <v>241</v>
      </c>
      <c r="CS601" s="4" t="s">
        <v>241</v>
      </c>
      <c r="CT601" s="4">
        <v>0</v>
      </c>
      <c r="CU601" s="4" t="s">
        <v>262</v>
      </c>
      <c r="CV601" s="4" t="s">
        <v>263</v>
      </c>
      <c r="CW601" s="4" t="s">
        <v>263</v>
      </c>
      <c r="CX601" s="4" t="s">
        <v>264</v>
      </c>
      <c r="DA601" s="6">
        <f>13860</f>
        <v>13860</v>
      </c>
      <c r="DC601" s="4" t="s">
        <v>3160</v>
      </c>
      <c r="DD601" s="4" t="s">
        <v>241</v>
      </c>
      <c r="DF601" s="4" t="s">
        <v>287</v>
      </c>
      <c r="DG601" s="6">
        <f>0</f>
        <v>0</v>
      </c>
      <c r="DI601" s="4" t="s">
        <v>3167</v>
      </c>
      <c r="DJ601" s="4" t="s">
        <v>241</v>
      </c>
      <c r="DK601" s="4" t="s">
        <v>241</v>
      </c>
      <c r="DL601" s="4" t="s">
        <v>241</v>
      </c>
      <c r="DP601" s="4" t="s">
        <v>241</v>
      </c>
      <c r="DQ601" s="4" t="s">
        <v>241</v>
      </c>
      <c r="DR601" s="4" t="s">
        <v>241</v>
      </c>
      <c r="DS601" s="4" t="s">
        <v>241</v>
      </c>
      <c r="DV601" s="4" t="s">
        <v>4520</v>
      </c>
      <c r="DW601" s="4" t="s">
        <v>1639</v>
      </c>
      <c r="HO601" s="4" t="s">
        <v>267</v>
      </c>
    </row>
    <row r="602" spans="1:223" ht="19.5" customHeight="1" x14ac:dyDescent="0.4">
      <c r="A602" s="4">
        <v>1</v>
      </c>
      <c r="B602" s="4" t="s">
        <v>239</v>
      </c>
      <c r="C602" s="4">
        <v>1464</v>
      </c>
      <c r="D602" s="4">
        <v>1</v>
      </c>
      <c r="E602" s="4">
        <v>1</v>
      </c>
      <c r="F602" s="4" t="s">
        <v>240</v>
      </c>
      <c r="G602" s="4" t="s">
        <v>241</v>
      </c>
      <c r="H602" s="4" t="s">
        <v>241</v>
      </c>
      <c r="I602" s="4" t="s">
        <v>4518</v>
      </c>
      <c r="J602" s="4" t="s">
        <v>3158</v>
      </c>
      <c r="K602" s="4" t="s">
        <v>251</v>
      </c>
      <c r="L602" s="4" t="s">
        <v>3180</v>
      </c>
      <c r="M602" s="5" t="s">
        <v>4658</v>
      </c>
      <c r="N602" s="6">
        <f>6628</f>
        <v>6628</v>
      </c>
      <c r="O602" s="4" t="s">
        <v>265</v>
      </c>
      <c r="P602" s="6">
        <f>72908</f>
        <v>72908</v>
      </c>
      <c r="Q602" s="6">
        <f>0</f>
        <v>0</v>
      </c>
      <c r="S602" s="6">
        <f>0</f>
        <v>0</v>
      </c>
      <c r="T602" s="6">
        <f>72908</f>
        <v>72908</v>
      </c>
      <c r="U602" s="5" t="s">
        <v>245</v>
      </c>
      <c r="V602" s="4" t="s">
        <v>270</v>
      </c>
      <c r="W602" s="4" t="s">
        <v>242</v>
      </c>
      <c r="X602" s="4" t="s">
        <v>243</v>
      </c>
      <c r="Y602" s="4" t="s">
        <v>241</v>
      </c>
      <c r="AB602" s="4" t="s">
        <v>241</v>
      </c>
      <c r="AD602" s="5" t="s">
        <v>241</v>
      </c>
      <c r="AG602" s="5" t="s">
        <v>246</v>
      </c>
      <c r="AH602" s="4" t="s">
        <v>241</v>
      </c>
      <c r="AI602" s="4" t="s">
        <v>247</v>
      </c>
      <c r="AJ602" s="4" t="s">
        <v>248</v>
      </c>
      <c r="AZ602" s="4" t="s">
        <v>249</v>
      </c>
      <c r="BA602" s="4" t="s">
        <v>241</v>
      </c>
      <c r="BB602" s="4" t="s">
        <v>250</v>
      </c>
      <c r="BC602" s="4" t="s">
        <v>241</v>
      </c>
      <c r="BD602" s="4" t="s">
        <v>252</v>
      </c>
      <c r="BE602" s="4" t="s">
        <v>241</v>
      </c>
      <c r="BI602" s="4" t="s">
        <v>253</v>
      </c>
      <c r="BJ602" s="5" t="s">
        <v>246</v>
      </c>
      <c r="BK602" s="4" t="s">
        <v>254</v>
      </c>
      <c r="BL602" s="4" t="s">
        <v>255</v>
      </c>
      <c r="BM602" s="4" t="s">
        <v>241</v>
      </c>
      <c r="BN602" s="6">
        <f>0</f>
        <v>0</v>
      </c>
      <c r="BO602" s="6">
        <f>0</f>
        <v>0</v>
      </c>
      <c r="BP602" s="4" t="s">
        <v>256</v>
      </c>
      <c r="BQ602" s="4" t="s">
        <v>257</v>
      </c>
      <c r="CE602" s="4" t="s">
        <v>241</v>
      </c>
      <c r="CF602" s="4" t="s">
        <v>241</v>
      </c>
      <c r="CJ602" s="4" t="s">
        <v>258</v>
      </c>
      <c r="CK602" s="4" t="s">
        <v>259</v>
      </c>
      <c r="CL602" s="4" t="s">
        <v>241</v>
      </c>
      <c r="CO602" s="5" t="s">
        <v>260</v>
      </c>
      <c r="CP602" s="4" t="s">
        <v>241</v>
      </c>
      <c r="CQ602" s="4" t="s">
        <v>261</v>
      </c>
      <c r="CR602" s="4" t="s">
        <v>241</v>
      </c>
      <c r="CS602" s="4" t="s">
        <v>241</v>
      </c>
      <c r="CT602" s="4">
        <v>0</v>
      </c>
      <c r="CU602" s="4" t="s">
        <v>262</v>
      </c>
      <c r="CV602" s="4" t="s">
        <v>263</v>
      </c>
      <c r="CW602" s="4" t="s">
        <v>263</v>
      </c>
      <c r="CX602" s="4" t="s">
        <v>264</v>
      </c>
      <c r="DA602" s="6">
        <f>72908</f>
        <v>72908</v>
      </c>
      <c r="DC602" s="4" t="s">
        <v>3160</v>
      </c>
      <c r="DD602" s="4" t="s">
        <v>241</v>
      </c>
      <c r="DF602" s="4" t="s">
        <v>287</v>
      </c>
      <c r="DG602" s="6">
        <f>0</f>
        <v>0</v>
      </c>
      <c r="DI602" s="4" t="s">
        <v>3167</v>
      </c>
      <c r="DJ602" s="4" t="s">
        <v>241</v>
      </c>
      <c r="DK602" s="4" t="s">
        <v>241</v>
      </c>
      <c r="DL602" s="4" t="s">
        <v>241</v>
      </c>
      <c r="DP602" s="4" t="s">
        <v>241</v>
      </c>
      <c r="DQ602" s="4" t="s">
        <v>241</v>
      </c>
      <c r="DR602" s="4" t="s">
        <v>241</v>
      </c>
      <c r="DS602" s="4" t="s">
        <v>241</v>
      </c>
      <c r="DV602" s="4" t="s">
        <v>4520</v>
      </c>
      <c r="DW602" s="4" t="s">
        <v>1617</v>
      </c>
      <c r="HO602" s="4" t="s">
        <v>267</v>
      </c>
    </row>
    <row r="603" spans="1:223" ht="19.5" customHeight="1" x14ac:dyDescent="0.4">
      <c r="A603" s="4">
        <v>1</v>
      </c>
      <c r="B603" s="4" t="s">
        <v>239</v>
      </c>
      <c r="C603" s="4">
        <v>1465</v>
      </c>
      <c r="D603" s="4">
        <v>1</v>
      </c>
      <c r="E603" s="4">
        <v>1</v>
      </c>
      <c r="F603" s="4" t="s">
        <v>240</v>
      </c>
      <c r="G603" s="4" t="s">
        <v>241</v>
      </c>
      <c r="H603" s="4" t="s">
        <v>241</v>
      </c>
      <c r="I603" s="4" t="s">
        <v>4518</v>
      </c>
      <c r="J603" s="4" t="s">
        <v>3158</v>
      </c>
      <c r="K603" s="4" t="s">
        <v>251</v>
      </c>
      <c r="L603" s="4" t="s">
        <v>3180</v>
      </c>
      <c r="M603" s="5" t="s">
        <v>4659</v>
      </c>
      <c r="N603" s="6">
        <f>2803</f>
        <v>2803</v>
      </c>
      <c r="O603" s="4" t="s">
        <v>265</v>
      </c>
      <c r="P603" s="6">
        <f>30833</f>
        <v>30833</v>
      </c>
      <c r="Q603" s="6">
        <f>0</f>
        <v>0</v>
      </c>
      <c r="S603" s="6">
        <f>0</f>
        <v>0</v>
      </c>
      <c r="T603" s="6">
        <f>30833</f>
        <v>30833</v>
      </c>
      <c r="U603" s="5" t="s">
        <v>245</v>
      </c>
      <c r="V603" s="4" t="s">
        <v>270</v>
      </c>
      <c r="W603" s="4" t="s">
        <v>242</v>
      </c>
      <c r="X603" s="4" t="s">
        <v>243</v>
      </c>
      <c r="Y603" s="4" t="s">
        <v>241</v>
      </c>
      <c r="AB603" s="4" t="s">
        <v>241</v>
      </c>
      <c r="AD603" s="5" t="s">
        <v>241</v>
      </c>
      <c r="AG603" s="5" t="s">
        <v>246</v>
      </c>
      <c r="AH603" s="4" t="s">
        <v>241</v>
      </c>
      <c r="AI603" s="4" t="s">
        <v>247</v>
      </c>
      <c r="AJ603" s="4" t="s">
        <v>248</v>
      </c>
      <c r="AZ603" s="4" t="s">
        <v>249</v>
      </c>
      <c r="BA603" s="4" t="s">
        <v>241</v>
      </c>
      <c r="BB603" s="4" t="s">
        <v>250</v>
      </c>
      <c r="BC603" s="4" t="s">
        <v>241</v>
      </c>
      <c r="BD603" s="4" t="s">
        <v>252</v>
      </c>
      <c r="BE603" s="4" t="s">
        <v>241</v>
      </c>
      <c r="BI603" s="4" t="s">
        <v>253</v>
      </c>
      <c r="BJ603" s="5" t="s">
        <v>246</v>
      </c>
      <c r="BK603" s="4" t="s">
        <v>254</v>
      </c>
      <c r="BL603" s="4" t="s">
        <v>255</v>
      </c>
      <c r="BM603" s="4" t="s">
        <v>241</v>
      </c>
      <c r="BN603" s="6">
        <f>0</f>
        <v>0</v>
      </c>
      <c r="BO603" s="6">
        <f>0</f>
        <v>0</v>
      </c>
      <c r="BP603" s="4" t="s">
        <v>256</v>
      </c>
      <c r="BQ603" s="4" t="s">
        <v>257</v>
      </c>
      <c r="CE603" s="4" t="s">
        <v>241</v>
      </c>
      <c r="CF603" s="4" t="s">
        <v>241</v>
      </c>
      <c r="CJ603" s="4" t="s">
        <v>258</v>
      </c>
      <c r="CK603" s="4" t="s">
        <v>259</v>
      </c>
      <c r="CL603" s="4" t="s">
        <v>241</v>
      </c>
      <c r="CO603" s="5" t="s">
        <v>260</v>
      </c>
      <c r="CP603" s="4" t="s">
        <v>241</v>
      </c>
      <c r="CQ603" s="4" t="s">
        <v>261</v>
      </c>
      <c r="CR603" s="4" t="s">
        <v>241</v>
      </c>
      <c r="CS603" s="4" t="s">
        <v>241</v>
      </c>
      <c r="CT603" s="4">
        <v>0</v>
      </c>
      <c r="CU603" s="4" t="s">
        <v>262</v>
      </c>
      <c r="CV603" s="4" t="s">
        <v>263</v>
      </c>
      <c r="CW603" s="4" t="s">
        <v>263</v>
      </c>
      <c r="CX603" s="4" t="s">
        <v>264</v>
      </c>
      <c r="DA603" s="6">
        <f>30833</f>
        <v>30833</v>
      </c>
      <c r="DC603" s="4" t="s">
        <v>287</v>
      </c>
      <c r="DD603" s="4" t="s">
        <v>241</v>
      </c>
      <c r="DF603" s="4" t="s">
        <v>287</v>
      </c>
      <c r="DG603" s="6">
        <f>0</f>
        <v>0</v>
      </c>
      <c r="DI603" s="4" t="s">
        <v>3167</v>
      </c>
      <c r="DJ603" s="4" t="s">
        <v>241</v>
      </c>
      <c r="DK603" s="4" t="s">
        <v>241</v>
      </c>
      <c r="DL603" s="4" t="s">
        <v>241</v>
      </c>
      <c r="DP603" s="4" t="s">
        <v>241</v>
      </c>
      <c r="DQ603" s="4" t="s">
        <v>241</v>
      </c>
      <c r="DR603" s="4" t="s">
        <v>241</v>
      </c>
      <c r="DS603" s="4" t="s">
        <v>241</v>
      </c>
      <c r="DV603" s="4" t="s">
        <v>4520</v>
      </c>
      <c r="DW603" s="4" t="s">
        <v>1615</v>
      </c>
      <c r="HO603" s="4" t="s">
        <v>267</v>
      </c>
    </row>
    <row r="604" spans="1:223" ht="19.5" customHeight="1" x14ac:dyDescent="0.4">
      <c r="A604" s="4">
        <v>1</v>
      </c>
      <c r="B604" s="4" t="s">
        <v>239</v>
      </c>
      <c r="C604" s="4">
        <v>1466</v>
      </c>
      <c r="D604" s="4">
        <v>1</v>
      </c>
      <c r="E604" s="4">
        <v>1</v>
      </c>
      <c r="F604" s="4" t="s">
        <v>240</v>
      </c>
      <c r="G604" s="4" t="s">
        <v>241</v>
      </c>
      <c r="H604" s="4" t="s">
        <v>241</v>
      </c>
      <c r="I604" s="4" t="s">
        <v>4518</v>
      </c>
      <c r="J604" s="4" t="s">
        <v>3158</v>
      </c>
      <c r="K604" s="4" t="s">
        <v>251</v>
      </c>
      <c r="L604" s="4" t="s">
        <v>3180</v>
      </c>
      <c r="M604" s="5" t="s">
        <v>4660</v>
      </c>
      <c r="N604" s="6">
        <f>949</f>
        <v>949</v>
      </c>
      <c r="O604" s="4" t="s">
        <v>265</v>
      </c>
      <c r="P604" s="6">
        <f>10439</f>
        <v>10439</v>
      </c>
      <c r="Q604" s="6">
        <f>0</f>
        <v>0</v>
      </c>
      <c r="S604" s="6">
        <f>0</f>
        <v>0</v>
      </c>
      <c r="T604" s="6">
        <f>10439</f>
        <v>10439</v>
      </c>
      <c r="U604" s="5" t="s">
        <v>245</v>
      </c>
      <c r="V604" s="4" t="s">
        <v>270</v>
      </c>
      <c r="W604" s="4" t="s">
        <v>242</v>
      </c>
      <c r="X604" s="4" t="s">
        <v>243</v>
      </c>
      <c r="Y604" s="4" t="s">
        <v>241</v>
      </c>
      <c r="AB604" s="4" t="s">
        <v>241</v>
      </c>
      <c r="AD604" s="5" t="s">
        <v>241</v>
      </c>
      <c r="AG604" s="5" t="s">
        <v>246</v>
      </c>
      <c r="AH604" s="4" t="s">
        <v>241</v>
      </c>
      <c r="AI604" s="4" t="s">
        <v>247</v>
      </c>
      <c r="AJ604" s="4" t="s">
        <v>248</v>
      </c>
      <c r="AZ604" s="4" t="s">
        <v>249</v>
      </c>
      <c r="BA604" s="4" t="s">
        <v>241</v>
      </c>
      <c r="BB604" s="4" t="s">
        <v>250</v>
      </c>
      <c r="BC604" s="4" t="s">
        <v>241</v>
      </c>
      <c r="BD604" s="4" t="s">
        <v>252</v>
      </c>
      <c r="BE604" s="4" t="s">
        <v>241</v>
      </c>
      <c r="BI604" s="4" t="s">
        <v>253</v>
      </c>
      <c r="BJ604" s="5" t="s">
        <v>246</v>
      </c>
      <c r="BK604" s="4" t="s">
        <v>254</v>
      </c>
      <c r="BL604" s="4" t="s">
        <v>255</v>
      </c>
      <c r="BM604" s="4" t="s">
        <v>241</v>
      </c>
      <c r="BN604" s="6">
        <f>0</f>
        <v>0</v>
      </c>
      <c r="BO604" s="6">
        <f>0</f>
        <v>0</v>
      </c>
      <c r="BP604" s="4" t="s">
        <v>256</v>
      </c>
      <c r="BQ604" s="4" t="s">
        <v>257</v>
      </c>
      <c r="CE604" s="4" t="s">
        <v>241</v>
      </c>
      <c r="CF604" s="4" t="s">
        <v>241</v>
      </c>
      <c r="CJ604" s="4" t="s">
        <v>258</v>
      </c>
      <c r="CK604" s="4" t="s">
        <v>259</v>
      </c>
      <c r="CL604" s="4" t="s">
        <v>241</v>
      </c>
      <c r="CO604" s="5" t="s">
        <v>260</v>
      </c>
      <c r="CP604" s="4" t="s">
        <v>241</v>
      </c>
      <c r="CQ604" s="4" t="s">
        <v>261</v>
      </c>
      <c r="CR604" s="4" t="s">
        <v>241</v>
      </c>
      <c r="CS604" s="4" t="s">
        <v>241</v>
      </c>
      <c r="CT604" s="4">
        <v>0</v>
      </c>
      <c r="CU604" s="4" t="s">
        <v>262</v>
      </c>
      <c r="CV604" s="4" t="s">
        <v>263</v>
      </c>
      <c r="CW604" s="4" t="s">
        <v>263</v>
      </c>
      <c r="CX604" s="4" t="s">
        <v>264</v>
      </c>
      <c r="DA604" s="6">
        <f>10439</f>
        <v>10439</v>
      </c>
      <c r="DC604" s="4" t="s">
        <v>3160</v>
      </c>
      <c r="DD604" s="4" t="s">
        <v>241</v>
      </c>
      <c r="DF604" s="4" t="s">
        <v>287</v>
      </c>
      <c r="DG604" s="6">
        <f>0</f>
        <v>0</v>
      </c>
      <c r="DI604" s="4" t="s">
        <v>3167</v>
      </c>
      <c r="DJ604" s="4" t="s">
        <v>241</v>
      </c>
      <c r="DK604" s="4" t="s">
        <v>241</v>
      </c>
      <c r="DL604" s="4" t="s">
        <v>241</v>
      </c>
      <c r="DP604" s="4" t="s">
        <v>241</v>
      </c>
      <c r="DQ604" s="4" t="s">
        <v>241</v>
      </c>
      <c r="DR604" s="4" t="s">
        <v>241</v>
      </c>
      <c r="DS604" s="4" t="s">
        <v>241</v>
      </c>
      <c r="DV604" s="4" t="s">
        <v>4520</v>
      </c>
      <c r="DW604" s="4" t="s">
        <v>1613</v>
      </c>
      <c r="HO604" s="4" t="s">
        <v>267</v>
      </c>
    </row>
    <row r="605" spans="1:223" ht="19.5" customHeight="1" x14ac:dyDescent="0.4">
      <c r="A605" s="4">
        <v>1</v>
      </c>
      <c r="B605" s="4" t="s">
        <v>239</v>
      </c>
      <c r="C605" s="4">
        <v>1467</v>
      </c>
      <c r="D605" s="4">
        <v>1</v>
      </c>
      <c r="E605" s="4">
        <v>1</v>
      </c>
      <c r="F605" s="4" t="s">
        <v>240</v>
      </c>
      <c r="G605" s="4" t="s">
        <v>241</v>
      </c>
      <c r="H605" s="4" t="s">
        <v>241</v>
      </c>
      <c r="I605" s="4" t="s">
        <v>4518</v>
      </c>
      <c r="J605" s="4" t="s">
        <v>3158</v>
      </c>
      <c r="K605" s="4" t="s">
        <v>251</v>
      </c>
      <c r="L605" s="4" t="s">
        <v>3180</v>
      </c>
      <c r="M605" s="5" t="s">
        <v>4661</v>
      </c>
      <c r="N605" s="6">
        <f>4048</f>
        <v>4048</v>
      </c>
      <c r="O605" s="4" t="s">
        <v>265</v>
      </c>
      <c r="P605" s="6">
        <f>44528</f>
        <v>44528</v>
      </c>
      <c r="Q605" s="6">
        <f>0</f>
        <v>0</v>
      </c>
      <c r="S605" s="6">
        <f>0</f>
        <v>0</v>
      </c>
      <c r="T605" s="6">
        <f>44528</f>
        <v>44528</v>
      </c>
      <c r="U605" s="5" t="s">
        <v>245</v>
      </c>
      <c r="V605" s="4" t="s">
        <v>270</v>
      </c>
      <c r="W605" s="4" t="s">
        <v>242</v>
      </c>
      <c r="X605" s="4" t="s">
        <v>243</v>
      </c>
      <c r="Y605" s="4" t="s">
        <v>241</v>
      </c>
      <c r="AB605" s="4" t="s">
        <v>241</v>
      </c>
      <c r="AD605" s="5" t="s">
        <v>241</v>
      </c>
      <c r="AG605" s="5" t="s">
        <v>246</v>
      </c>
      <c r="AH605" s="4" t="s">
        <v>241</v>
      </c>
      <c r="AI605" s="4" t="s">
        <v>247</v>
      </c>
      <c r="AJ605" s="4" t="s">
        <v>248</v>
      </c>
      <c r="AZ605" s="4" t="s">
        <v>249</v>
      </c>
      <c r="BA605" s="4" t="s">
        <v>241</v>
      </c>
      <c r="BB605" s="4" t="s">
        <v>250</v>
      </c>
      <c r="BC605" s="4" t="s">
        <v>241</v>
      </c>
      <c r="BD605" s="4" t="s">
        <v>252</v>
      </c>
      <c r="BE605" s="4" t="s">
        <v>241</v>
      </c>
      <c r="BI605" s="4" t="s">
        <v>253</v>
      </c>
      <c r="BJ605" s="5" t="s">
        <v>246</v>
      </c>
      <c r="BK605" s="4" t="s">
        <v>254</v>
      </c>
      <c r="BL605" s="4" t="s">
        <v>255</v>
      </c>
      <c r="BM605" s="4" t="s">
        <v>241</v>
      </c>
      <c r="BN605" s="6">
        <f>0</f>
        <v>0</v>
      </c>
      <c r="BO605" s="6">
        <f>0</f>
        <v>0</v>
      </c>
      <c r="BP605" s="4" t="s">
        <v>256</v>
      </c>
      <c r="BQ605" s="4" t="s">
        <v>257</v>
      </c>
      <c r="CE605" s="4" t="s">
        <v>241</v>
      </c>
      <c r="CF605" s="4" t="s">
        <v>241</v>
      </c>
      <c r="CJ605" s="4" t="s">
        <v>258</v>
      </c>
      <c r="CK605" s="4" t="s">
        <v>259</v>
      </c>
      <c r="CL605" s="4" t="s">
        <v>241</v>
      </c>
      <c r="CO605" s="5" t="s">
        <v>260</v>
      </c>
      <c r="CP605" s="4" t="s">
        <v>241</v>
      </c>
      <c r="CQ605" s="4" t="s">
        <v>261</v>
      </c>
      <c r="CR605" s="4" t="s">
        <v>241</v>
      </c>
      <c r="CS605" s="4" t="s">
        <v>241</v>
      </c>
      <c r="CT605" s="4">
        <v>0</v>
      </c>
      <c r="CU605" s="4" t="s">
        <v>262</v>
      </c>
      <c r="CV605" s="4" t="s">
        <v>263</v>
      </c>
      <c r="CW605" s="4" t="s">
        <v>263</v>
      </c>
      <c r="CX605" s="4" t="s">
        <v>264</v>
      </c>
      <c r="DA605" s="6">
        <f>44528</f>
        <v>44528</v>
      </c>
      <c r="DC605" s="4" t="s">
        <v>287</v>
      </c>
      <c r="DD605" s="4" t="s">
        <v>241</v>
      </c>
      <c r="DF605" s="4" t="s">
        <v>287</v>
      </c>
      <c r="DG605" s="6">
        <f>0</f>
        <v>0</v>
      </c>
      <c r="DI605" s="4" t="s">
        <v>3167</v>
      </c>
      <c r="DJ605" s="4" t="s">
        <v>241</v>
      </c>
      <c r="DK605" s="4" t="s">
        <v>241</v>
      </c>
      <c r="DL605" s="4" t="s">
        <v>241</v>
      </c>
      <c r="DP605" s="4" t="s">
        <v>241</v>
      </c>
      <c r="DQ605" s="4" t="s">
        <v>241</v>
      </c>
      <c r="DR605" s="4" t="s">
        <v>241</v>
      </c>
      <c r="DS605" s="4" t="s">
        <v>241</v>
      </c>
      <c r="DV605" s="4" t="s">
        <v>4520</v>
      </c>
      <c r="DW605" s="4" t="s">
        <v>1611</v>
      </c>
      <c r="HO605" s="4" t="s">
        <v>267</v>
      </c>
    </row>
    <row r="606" spans="1:223" ht="19.5" customHeight="1" x14ac:dyDescent="0.4">
      <c r="A606" s="4">
        <v>1</v>
      </c>
      <c r="B606" s="4" t="s">
        <v>239</v>
      </c>
      <c r="C606" s="4">
        <v>1468</v>
      </c>
      <c r="D606" s="4">
        <v>1</v>
      </c>
      <c r="E606" s="4">
        <v>1</v>
      </c>
      <c r="F606" s="4" t="s">
        <v>240</v>
      </c>
      <c r="G606" s="4" t="s">
        <v>241</v>
      </c>
      <c r="H606" s="4" t="s">
        <v>241</v>
      </c>
      <c r="I606" s="4" t="s">
        <v>4518</v>
      </c>
      <c r="J606" s="4" t="s">
        <v>3158</v>
      </c>
      <c r="K606" s="4" t="s">
        <v>251</v>
      </c>
      <c r="L606" s="4" t="s">
        <v>3180</v>
      </c>
      <c r="M606" s="5" t="s">
        <v>4662</v>
      </c>
      <c r="N606" s="6">
        <f>138</f>
        <v>138</v>
      </c>
      <c r="O606" s="4" t="s">
        <v>265</v>
      </c>
      <c r="P606" s="6">
        <f>1518</f>
        <v>1518</v>
      </c>
      <c r="Q606" s="6">
        <f>0</f>
        <v>0</v>
      </c>
      <c r="S606" s="6">
        <f>0</f>
        <v>0</v>
      </c>
      <c r="T606" s="6">
        <f>1518</f>
        <v>1518</v>
      </c>
      <c r="U606" s="5" t="s">
        <v>245</v>
      </c>
      <c r="V606" s="4" t="s">
        <v>270</v>
      </c>
      <c r="W606" s="4" t="s">
        <v>242</v>
      </c>
      <c r="X606" s="4" t="s">
        <v>243</v>
      </c>
      <c r="Y606" s="4" t="s">
        <v>241</v>
      </c>
      <c r="AB606" s="4" t="s">
        <v>241</v>
      </c>
      <c r="AD606" s="5" t="s">
        <v>241</v>
      </c>
      <c r="AG606" s="5" t="s">
        <v>246</v>
      </c>
      <c r="AH606" s="4" t="s">
        <v>241</v>
      </c>
      <c r="AI606" s="4" t="s">
        <v>247</v>
      </c>
      <c r="AJ606" s="4" t="s">
        <v>248</v>
      </c>
      <c r="AZ606" s="4" t="s">
        <v>249</v>
      </c>
      <c r="BA606" s="4" t="s">
        <v>241</v>
      </c>
      <c r="BB606" s="4" t="s">
        <v>250</v>
      </c>
      <c r="BC606" s="4" t="s">
        <v>241</v>
      </c>
      <c r="BD606" s="4" t="s">
        <v>252</v>
      </c>
      <c r="BE606" s="4" t="s">
        <v>241</v>
      </c>
      <c r="BI606" s="4" t="s">
        <v>253</v>
      </c>
      <c r="BJ606" s="5" t="s">
        <v>246</v>
      </c>
      <c r="BK606" s="4" t="s">
        <v>254</v>
      </c>
      <c r="BL606" s="4" t="s">
        <v>255</v>
      </c>
      <c r="BM606" s="4" t="s">
        <v>241</v>
      </c>
      <c r="BN606" s="6">
        <f>0</f>
        <v>0</v>
      </c>
      <c r="BO606" s="6">
        <f>0</f>
        <v>0</v>
      </c>
      <c r="BP606" s="4" t="s">
        <v>256</v>
      </c>
      <c r="BQ606" s="4" t="s">
        <v>257</v>
      </c>
      <c r="CE606" s="4" t="s">
        <v>241</v>
      </c>
      <c r="CF606" s="4" t="s">
        <v>241</v>
      </c>
      <c r="CJ606" s="4" t="s">
        <v>258</v>
      </c>
      <c r="CK606" s="4" t="s">
        <v>259</v>
      </c>
      <c r="CL606" s="4" t="s">
        <v>241</v>
      </c>
      <c r="CO606" s="5" t="s">
        <v>260</v>
      </c>
      <c r="CP606" s="4" t="s">
        <v>241</v>
      </c>
      <c r="CQ606" s="4" t="s">
        <v>261</v>
      </c>
      <c r="CR606" s="4" t="s">
        <v>241</v>
      </c>
      <c r="CS606" s="4" t="s">
        <v>241</v>
      </c>
      <c r="CT606" s="4">
        <v>0</v>
      </c>
      <c r="CU606" s="4" t="s">
        <v>262</v>
      </c>
      <c r="CV606" s="4" t="s">
        <v>263</v>
      </c>
      <c r="CW606" s="4" t="s">
        <v>263</v>
      </c>
      <c r="CX606" s="4" t="s">
        <v>264</v>
      </c>
      <c r="DA606" s="6">
        <f>1518</f>
        <v>1518</v>
      </c>
      <c r="DC606" s="4" t="s">
        <v>3160</v>
      </c>
      <c r="DD606" s="4" t="s">
        <v>241</v>
      </c>
      <c r="DF606" s="4" t="s">
        <v>287</v>
      </c>
      <c r="DG606" s="6">
        <f>0</f>
        <v>0</v>
      </c>
      <c r="DI606" s="4" t="s">
        <v>3167</v>
      </c>
      <c r="DJ606" s="4" t="s">
        <v>241</v>
      </c>
      <c r="DK606" s="4" t="s">
        <v>241</v>
      </c>
      <c r="DL606" s="4" t="s">
        <v>241</v>
      </c>
      <c r="DP606" s="4" t="s">
        <v>241</v>
      </c>
      <c r="DQ606" s="4" t="s">
        <v>241</v>
      </c>
      <c r="DR606" s="4" t="s">
        <v>241</v>
      </c>
      <c r="DS606" s="4" t="s">
        <v>241</v>
      </c>
      <c r="DV606" s="4" t="s">
        <v>4520</v>
      </c>
      <c r="DW606" s="4" t="s">
        <v>1609</v>
      </c>
      <c r="HO606" s="4" t="s">
        <v>267</v>
      </c>
    </row>
    <row r="607" spans="1:223" ht="19.5" customHeight="1" x14ac:dyDescent="0.4">
      <c r="A607" s="4">
        <v>1</v>
      </c>
      <c r="B607" s="4" t="s">
        <v>239</v>
      </c>
      <c r="C607" s="4">
        <v>1469</v>
      </c>
      <c r="D607" s="4">
        <v>1</v>
      </c>
      <c r="E607" s="4">
        <v>1</v>
      </c>
      <c r="F607" s="4" t="s">
        <v>240</v>
      </c>
      <c r="G607" s="4" t="s">
        <v>241</v>
      </c>
      <c r="H607" s="4" t="s">
        <v>241</v>
      </c>
      <c r="I607" s="4" t="s">
        <v>4518</v>
      </c>
      <c r="J607" s="4" t="s">
        <v>3158</v>
      </c>
      <c r="K607" s="4" t="s">
        <v>251</v>
      </c>
      <c r="L607" s="4" t="s">
        <v>3180</v>
      </c>
      <c r="M607" s="5" t="s">
        <v>4663</v>
      </c>
      <c r="N607" s="6">
        <f>978</f>
        <v>978</v>
      </c>
      <c r="O607" s="4" t="s">
        <v>265</v>
      </c>
      <c r="P607" s="6">
        <f>10758</f>
        <v>10758</v>
      </c>
      <c r="Q607" s="6">
        <f>0</f>
        <v>0</v>
      </c>
      <c r="S607" s="6">
        <f>0</f>
        <v>0</v>
      </c>
      <c r="T607" s="6">
        <f>10758</f>
        <v>10758</v>
      </c>
      <c r="U607" s="5" t="s">
        <v>245</v>
      </c>
      <c r="V607" s="4" t="s">
        <v>270</v>
      </c>
      <c r="W607" s="4" t="s">
        <v>242</v>
      </c>
      <c r="X607" s="4" t="s">
        <v>243</v>
      </c>
      <c r="Y607" s="4" t="s">
        <v>241</v>
      </c>
      <c r="AB607" s="4" t="s">
        <v>241</v>
      </c>
      <c r="AD607" s="5" t="s">
        <v>241</v>
      </c>
      <c r="AG607" s="5" t="s">
        <v>246</v>
      </c>
      <c r="AH607" s="4" t="s">
        <v>241</v>
      </c>
      <c r="AI607" s="4" t="s">
        <v>247</v>
      </c>
      <c r="AJ607" s="4" t="s">
        <v>248</v>
      </c>
      <c r="AZ607" s="4" t="s">
        <v>249</v>
      </c>
      <c r="BA607" s="4" t="s">
        <v>241</v>
      </c>
      <c r="BB607" s="4" t="s">
        <v>250</v>
      </c>
      <c r="BC607" s="4" t="s">
        <v>241</v>
      </c>
      <c r="BD607" s="4" t="s">
        <v>252</v>
      </c>
      <c r="BE607" s="4" t="s">
        <v>241</v>
      </c>
      <c r="BI607" s="4" t="s">
        <v>253</v>
      </c>
      <c r="BJ607" s="5" t="s">
        <v>246</v>
      </c>
      <c r="BK607" s="4" t="s">
        <v>254</v>
      </c>
      <c r="BL607" s="4" t="s">
        <v>255</v>
      </c>
      <c r="BM607" s="4" t="s">
        <v>241</v>
      </c>
      <c r="BN607" s="6">
        <f>0</f>
        <v>0</v>
      </c>
      <c r="BO607" s="6">
        <f>0</f>
        <v>0</v>
      </c>
      <c r="BP607" s="4" t="s">
        <v>256</v>
      </c>
      <c r="BQ607" s="4" t="s">
        <v>257</v>
      </c>
      <c r="CE607" s="4" t="s">
        <v>241</v>
      </c>
      <c r="CF607" s="4" t="s">
        <v>241</v>
      </c>
      <c r="CJ607" s="4" t="s">
        <v>258</v>
      </c>
      <c r="CK607" s="4" t="s">
        <v>259</v>
      </c>
      <c r="CL607" s="4" t="s">
        <v>241</v>
      </c>
      <c r="CO607" s="5" t="s">
        <v>260</v>
      </c>
      <c r="CP607" s="4" t="s">
        <v>241</v>
      </c>
      <c r="CQ607" s="4" t="s">
        <v>261</v>
      </c>
      <c r="CR607" s="4" t="s">
        <v>241</v>
      </c>
      <c r="CS607" s="4" t="s">
        <v>241</v>
      </c>
      <c r="CT607" s="4">
        <v>0</v>
      </c>
      <c r="CU607" s="4" t="s">
        <v>262</v>
      </c>
      <c r="CV607" s="4" t="s">
        <v>263</v>
      </c>
      <c r="CW607" s="4" t="s">
        <v>263</v>
      </c>
      <c r="CX607" s="4" t="s">
        <v>264</v>
      </c>
      <c r="DA607" s="6">
        <f>10758</f>
        <v>10758</v>
      </c>
      <c r="DC607" s="4" t="s">
        <v>3160</v>
      </c>
      <c r="DD607" s="4" t="s">
        <v>241</v>
      </c>
      <c r="DF607" s="4" t="s">
        <v>287</v>
      </c>
      <c r="DG607" s="6">
        <f>0</f>
        <v>0</v>
      </c>
      <c r="DI607" s="4" t="s">
        <v>3167</v>
      </c>
      <c r="DJ607" s="4" t="s">
        <v>241</v>
      </c>
      <c r="DK607" s="4" t="s">
        <v>241</v>
      </c>
      <c r="DL607" s="4" t="s">
        <v>241</v>
      </c>
      <c r="DP607" s="4" t="s">
        <v>241</v>
      </c>
      <c r="DQ607" s="4" t="s">
        <v>241</v>
      </c>
      <c r="DR607" s="4" t="s">
        <v>241</v>
      </c>
      <c r="DS607" s="4" t="s">
        <v>241</v>
      </c>
      <c r="DV607" s="4" t="s">
        <v>4520</v>
      </c>
      <c r="DW607" s="4" t="s">
        <v>1607</v>
      </c>
      <c r="HO607" s="4" t="s">
        <v>267</v>
      </c>
    </row>
    <row r="608" spans="1:223" ht="19.5" customHeight="1" x14ac:dyDescent="0.4">
      <c r="A608" s="4">
        <v>1</v>
      </c>
      <c r="B608" s="4" t="s">
        <v>239</v>
      </c>
      <c r="C608" s="4">
        <v>1470</v>
      </c>
      <c r="D608" s="4">
        <v>1</v>
      </c>
      <c r="E608" s="4">
        <v>1</v>
      </c>
      <c r="F608" s="4" t="s">
        <v>240</v>
      </c>
      <c r="G608" s="4" t="s">
        <v>241</v>
      </c>
      <c r="H608" s="4" t="s">
        <v>241</v>
      </c>
      <c r="I608" s="4" t="s">
        <v>4518</v>
      </c>
      <c r="J608" s="4" t="s">
        <v>3158</v>
      </c>
      <c r="K608" s="4" t="s">
        <v>251</v>
      </c>
      <c r="L608" s="4" t="s">
        <v>3180</v>
      </c>
      <c r="M608" s="5" t="s">
        <v>4664</v>
      </c>
      <c r="N608" s="6">
        <f>512</f>
        <v>512</v>
      </c>
      <c r="O608" s="4" t="s">
        <v>265</v>
      </c>
      <c r="P608" s="6">
        <f>5632</f>
        <v>5632</v>
      </c>
      <c r="Q608" s="6">
        <f>0</f>
        <v>0</v>
      </c>
      <c r="S608" s="6">
        <f>0</f>
        <v>0</v>
      </c>
      <c r="T608" s="6">
        <f>5632</f>
        <v>5632</v>
      </c>
      <c r="U608" s="5" t="s">
        <v>245</v>
      </c>
      <c r="V608" s="4" t="s">
        <v>270</v>
      </c>
      <c r="W608" s="4" t="s">
        <v>242</v>
      </c>
      <c r="X608" s="4" t="s">
        <v>243</v>
      </c>
      <c r="Y608" s="4" t="s">
        <v>241</v>
      </c>
      <c r="AB608" s="4" t="s">
        <v>241</v>
      </c>
      <c r="AD608" s="5" t="s">
        <v>241</v>
      </c>
      <c r="AG608" s="5" t="s">
        <v>246</v>
      </c>
      <c r="AH608" s="4" t="s">
        <v>241</v>
      </c>
      <c r="AI608" s="4" t="s">
        <v>247</v>
      </c>
      <c r="AJ608" s="4" t="s">
        <v>248</v>
      </c>
      <c r="AZ608" s="4" t="s">
        <v>249</v>
      </c>
      <c r="BA608" s="4" t="s">
        <v>241</v>
      </c>
      <c r="BB608" s="4" t="s">
        <v>250</v>
      </c>
      <c r="BC608" s="4" t="s">
        <v>241</v>
      </c>
      <c r="BD608" s="4" t="s">
        <v>252</v>
      </c>
      <c r="BE608" s="4" t="s">
        <v>241</v>
      </c>
      <c r="BI608" s="4" t="s">
        <v>253</v>
      </c>
      <c r="BJ608" s="5" t="s">
        <v>246</v>
      </c>
      <c r="BK608" s="4" t="s">
        <v>254</v>
      </c>
      <c r="BL608" s="4" t="s">
        <v>255</v>
      </c>
      <c r="BM608" s="4" t="s">
        <v>241</v>
      </c>
      <c r="BN608" s="6">
        <f>0</f>
        <v>0</v>
      </c>
      <c r="BO608" s="6">
        <f>0</f>
        <v>0</v>
      </c>
      <c r="BP608" s="4" t="s">
        <v>256</v>
      </c>
      <c r="BQ608" s="4" t="s">
        <v>257</v>
      </c>
      <c r="CE608" s="4" t="s">
        <v>241</v>
      </c>
      <c r="CF608" s="4" t="s">
        <v>241</v>
      </c>
      <c r="CJ608" s="4" t="s">
        <v>258</v>
      </c>
      <c r="CK608" s="4" t="s">
        <v>259</v>
      </c>
      <c r="CL608" s="4" t="s">
        <v>241</v>
      </c>
      <c r="CO608" s="5" t="s">
        <v>260</v>
      </c>
      <c r="CP608" s="4" t="s">
        <v>241</v>
      </c>
      <c r="CQ608" s="4" t="s">
        <v>261</v>
      </c>
      <c r="CR608" s="4" t="s">
        <v>241</v>
      </c>
      <c r="CS608" s="4" t="s">
        <v>241</v>
      </c>
      <c r="CT608" s="4">
        <v>0</v>
      </c>
      <c r="CU608" s="4" t="s">
        <v>262</v>
      </c>
      <c r="CV608" s="4" t="s">
        <v>263</v>
      </c>
      <c r="CW608" s="4" t="s">
        <v>263</v>
      </c>
      <c r="CX608" s="4" t="s">
        <v>264</v>
      </c>
      <c r="DA608" s="6">
        <f>5632</f>
        <v>5632</v>
      </c>
      <c r="DC608" s="4" t="s">
        <v>3160</v>
      </c>
      <c r="DD608" s="4" t="s">
        <v>241</v>
      </c>
      <c r="DF608" s="4" t="s">
        <v>287</v>
      </c>
      <c r="DG608" s="6">
        <f>0</f>
        <v>0</v>
      </c>
      <c r="DI608" s="4" t="s">
        <v>3167</v>
      </c>
      <c r="DJ608" s="4" t="s">
        <v>241</v>
      </c>
      <c r="DK608" s="4" t="s">
        <v>241</v>
      </c>
      <c r="DL608" s="4" t="s">
        <v>241</v>
      </c>
      <c r="DP608" s="4" t="s">
        <v>241</v>
      </c>
      <c r="DQ608" s="4" t="s">
        <v>241</v>
      </c>
      <c r="DR608" s="4" t="s">
        <v>241</v>
      </c>
      <c r="DS608" s="4" t="s">
        <v>241</v>
      </c>
      <c r="DV608" s="4" t="s">
        <v>4520</v>
      </c>
      <c r="DW608" s="4" t="s">
        <v>1605</v>
      </c>
      <c r="HO608" s="4" t="s">
        <v>267</v>
      </c>
    </row>
    <row r="609" spans="1:223" ht="19.5" customHeight="1" x14ac:dyDescent="0.4">
      <c r="A609" s="4">
        <v>1</v>
      </c>
      <c r="B609" s="4" t="s">
        <v>239</v>
      </c>
      <c r="C609" s="4">
        <v>1471</v>
      </c>
      <c r="D609" s="4">
        <v>1</v>
      </c>
      <c r="E609" s="4">
        <v>1</v>
      </c>
      <c r="F609" s="4" t="s">
        <v>240</v>
      </c>
      <c r="G609" s="4" t="s">
        <v>241</v>
      </c>
      <c r="H609" s="4" t="s">
        <v>241</v>
      </c>
      <c r="I609" s="4" t="s">
        <v>4518</v>
      </c>
      <c r="J609" s="4" t="s">
        <v>3158</v>
      </c>
      <c r="K609" s="4" t="s">
        <v>251</v>
      </c>
      <c r="L609" s="4" t="s">
        <v>3180</v>
      </c>
      <c r="M609" s="5" t="s">
        <v>5453</v>
      </c>
      <c r="N609" s="6">
        <f>2003</f>
        <v>2003</v>
      </c>
      <c r="O609" s="4" t="s">
        <v>265</v>
      </c>
      <c r="P609" s="6">
        <f>22033</f>
        <v>22033</v>
      </c>
      <c r="Q609" s="6">
        <f>0</f>
        <v>0</v>
      </c>
      <c r="S609" s="6">
        <f>0</f>
        <v>0</v>
      </c>
      <c r="T609" s="6">
        <f>22033</f>
        <v>22033</v>
      </c>
      <c r="U609" s="5" t="s">
        <v>245</v>
      </c>
      <c r="V609" s="4" t="s">
        <v>270</v>
      </c>
      <c r="W609" s="4" t="s">
        <v>242</v>
      </c>
      <c r="X609" s="4" t="s">
        <v>243</v>
      </c>
      <c r="Y609" s="4" t="s">
        <v>241</v>
      </c>
      <c r="AB609" s="4" t="s">
        <v>241</v>
      </c>
      <c r="AD609" s="5" t="s">
        <v>241</v>
      </c>
      <c r="AG609" s="5" t="s">
        <v>246</v>
      </c>
      <c r="AH609" s="4" t="s">
        <v>241</v>
      </c>
      <c r="AI609" s="4" t="s">
        <v>247</v>
      </c>
      <c r="AJ609" s="4" t="s">
        <v>248</v>
      </c>
      <c r="AZ609" s="4" t="s">
        <v>249</v>
      </c>
      <c r="BA609" s="4" t="s">
        <v>241</v>
      </c>
      <c r="BB609" s="4" t="s">
        <v>250</v>
      </c>
      <c r="BC609" s="4" t="s">
        <v>241</v>
      </c>
      <c r="BD609" s="4" t="s">
        <v>252</v>
      </c>
      <c r="BE609" s="4" t="s">
        <v>241</v>
      </c>
      <c r="BI609" s="4" t="s">
        <v>253</v>
      </c>
      <c r="BJ609" s="5" t="s">
        <v>246</v>
      </c>
      <c r="BK609" s="4" t="s">
        <v>254</v>
      </c>
      <c r="BL609" s="4" t="s">
        <v>255</v>
      </c>
      <c r="BM609" s="4" t="s">
        <v>241</v>
      </c>
      <c r="BN609" s="6">
        <f>0</f>
        <v>0</v>
      </c>
      <c r="BO609" s="6">
        <f>0</f>
        <v>0</v>
      </c>
      <c r="BP609" s="4" t="s">
        <v>256</v>
      </c>
      <c r="BQ609" s="4" t="s">
        <v>257</v>
      </c>
      <c r="CE609" s="4" t="s">
        <v>241</v>
      </c>
      <c r="CF609" s="4" t="s">
        <v>241</v>
      </c>
      <c r="CJ609" s="4" t="s">
        <v>258</v>
      </c>
      <c r="CK609" s="4" t="s">
        <v>259</v>
      </c>
      <c r="CL609" s="4" t="s">
        <v>241</v>
      </c>
      <c r="CO609" s="5" t="s">
        <v>260</v>
      </c>
      <c r="CP609" s="4" t="s">
        <v>241</v>
      </c>
      <c r="CQ609" s="4" t="s">
        <v>261</v>
      </c>
      <c r="CR609" s="4" t="s">
        <v>241</v>
      </c>
      <c r="CS609" s="4" t="s">
        <v>241</v>
      </c>
      <c r="CT609" s="4">
        <v>0</v>
      </c>
      <c r="CU609" s="4" t="s">
        <v>262</v>
      </c>
      <c r="CV609" s="4" t="s">
        <v>263</v>
      </c>
      <c r="CW609" s="4" t="s">
        <v>263</v>
      </c>
      <c r="CX609" s="4" t="s">
        <v>264</v>
      </c>
      <c r="DA609" s="6">
        <f>22033</f>
        <v>22033</v>
      </c>
      <c r="DC609" s="4" t="s">
        <v>3160</v>
      </c>
      <c r="DD609" s="4" t="s">
        <v>241</v>
      </c>
      <c r="DF609" s="4" t="s">
        <v>287</v>
      </c>
      <c r="DG609" s="6">
        <f>0</f>
        <v>0</v>
      </c>
      <c r="DI609" s="4" t="s">
        <v>3167</v>
      </c>
      <c r="DJ609" s="4" t="s">
        <v>241</v>
      </c>
      <c r="DK609" s="4" t="s">
        <v>241</v>
      </c>
      <c r="DL609" s="4" t="s">
        <v>241</v>
      </c>
      <c r="DP609" s="4" t="s">
        <v>241</v>
      </c>
      <c r="DQ609" s="4" t="s">
        <v>241</v>
      </c>
      <c r="DR609" s="4" t="s">
        <v>241</v>
      </c>
      <c r="DS609" s="4" t="s">
        <v>241</v>
      </c>
      <c r="DV609" s="4" t="s">
        <v>4520</v>
      </c>
      <c r="DW609" s="4" t="s">
        <v>1603</v>
      </c>
      <c r="HO609" s="4" t="s">
        <v>267</v>
      </c>
    </row>
    <row r="610" spans="1:223" ht="19.5" customHeight="1" x14ac:dyDescent="0.4">
      <c r="A610" s="4">
        <v>1</v>
      </c>
      <c r="B610" s="4" t="s">
        <v>239</v>
      </c>
      <c r="C610" s="4">
        <v>1472</v>
      </c>
      <c r="D610" s="4">
        <v>1</v>
      </c>
      <c r="E610" s="4">
        <v>1</v>
      </c>
      <c r="F610" s="4" t="s">
        <v>240</v>
      </c>
      <c r="G610" s="4" t="s">
        <v>241</v>
      </c>
      <c r="H610" s="4" t="s">
        <v>241</v>
      </c>
      <c r="I610" s="4" t="s">
        <v>4518</v>
      </c>
      <c r="J610" s="4" t="s">
        <v>3158</v>
      </c>
      <c r="K610" s="4" t="s">
        <v>251</v>
      </c>
      <c r="L610" s="4" t="s">
        <v>3180</v>
      </c>
      <c r="M610" s="5" t="s">
        <v>4666</v>
      </c>
      <c r="N610" s="6">
        <f>4252</f>
        <v>4252</v>
      </c>
      <c r="O610" s="4" t="s">
        <v>265</v>
      </c>
      <c r="P610" s="6">
        <f>46772</f>
        <v>46772</v>
      </c>
      <c r="Q610" s="6">
        <f>0</f>
        <v>0</v>
      </c>
      <c r="S610" s="6">
        <f>0</f>
        <v>0</v>
      </c>
      <c r="T610" s="6">
        <f>46772</f>
        <v>46772</v>
      </c>
      <c r="U610" s="5" t="s">
        <v>245</v>
      </c>
      <c r="V610" s="4" t="s">
        <v>270</v>
      </c>
      <c r="W610" s="4" t="s">
        <v>242</v>
      </c>
      <c r="X610" s="4" t="s">
        <v>243</v>
      </c>
      <c r="Y610" s="4" t="s">
        <v>241</v>
      </c>
      <c r="AB610" s="4" t="s">
        <v>241</v>
      </c>
      <c r="AD610" s="5" t="s">
        <v>241</v>
      </c>
      <c r="AG610" s="5" t="s">
        <v>246</v>
      </c>
      <c r="AH610" s="4" t="s">
        <v>241</v>
      </c>
      <c r="AI610" s="4" t="s">
        <v>247</v>
      </c>
      <c r="AJ610" s="4" t="s">
        <v>248</v>
      </c>
      <c r="AZ610" s="4" t="s">
        <v>249</v>
      </c>
      <c r="BA610" s="4" t="s">
        <v>241</v>
      </c>
      <c r="BB610" s="4" t="s">
        <v>250</v>
      </c>
      <c r="BC610" s="4" t="s">
        <v>241</v>
      </c>
      <c r="BD610" s="4" t="s">
        <v>252</v>
      </c>
      <c r="BE610" s="4" t="s">
        <v>241</v>
      </c>
      <c r="BI610" s="4" t="s">
        <v>253</v>
      </c>
      <c r="BJ610" s="5" t="s">
        <v>246</v>
      </c>
      <c r="BK610" s="4" t="s">
        <v>254</v>
      </c>
      <c r="BL610" s="4" t="s">
        <v>255</v>
      </c>
      <c r="BM610" s="4" t="s">
        <v>241</v>
      </c>
      <c r="BN610" s="6">
        <f>0</f>
        <v>0</v>
      </c>
      <c r="BO610" s="6">
        <f>0</f>
        <v>0</v>
      </c>
      <c r="BP610" s="4" t="s">
        <v>256</v>
      </c>
      <c r="BQ610" s="4" t="s">
        <v>257</v>
      </c>
      <c r="CE610" s="4" t="s">
        <v>241</v>
      </c>
      <c r="CF610" s="4" t="s">
        <v>241</v>
      </c>
      <c r="CJ610" s="4" t="s">
        <v>258</v>
      </c>
      <c r="CK610" s="4" t="s">
        <v>259</v>
      </c>
      <c r="CL610" s="4" t="s">
        <v>241</v>
      </c>
      <c r="CO610" s="5" t="s">
        <v>260</v>
      </c>
      <c r="CP610" s="4" t="s">
        <v>241</v>
      </c>
      <c r="CQ610" s="4" t="s">
        <v>261</v>
      </c>
      <c r="CR610" s="4" t="s">
        <v>241</v>
      </c>
      <c r="CS610" s="4" t="s">
        <v>241</v>
      </c>
      <c r="CT610" s="4">
        <v>0</v>
      </c>
      <c r="CU610" s="4" t="s">
        <v>262</v>
      </c>
      <c r="CV610" s="4" t="s">
        <v>263</v>
      </c>
      <c r="CW610" s="4" t="s">
        <v>263</v>
      </c>
      <c r="CX610" s="4" t="s">
        <v>264</v>
      </c>
      <c r="DA610" s="6">
        <f>46772</f>
        <v>46772</v>
      </c>
      <c r="DC610" s="4" t="s">
        <v>3160</v>
      </c>
      <c r="DD610" s="4" t="s">
        <v>241</v>
      </c>
      <c r="DF610" s="4" t="s">
        <v>287</v>
      </c>
      <c r="DG610" s="6">
        <f>0</f>
        <v>0</v>
      </c>
      <c r="DI610" s="4" t="s">
        <v>3167</v>
      </c>
      <c r="DJ610" s="4" t="s">
        <v>241</v>
      </c>
      <c r="DK610" s="4" t="s">
        <v>241</v>
      </c>
      <c r="DL610" s="4" t="s">
        <v>241</v>
      </c>
      <c r="DP610" s="4" t="s">
        <v>241</v>
      </c>
      <c r="DQ610" s="4" t="s">
        <v>241</v>
      </c>
      <c r="DR610" s="4" t="s">
        <v>241</v>
      </c>
      <c r="DS610" s="4" t="s">
        <v>241</v>
      </c>
      <c r="DV610" s="4" t="s">
        <v>4520</v>
      </c>
      <c r="DW610" s="4" t="s">
        <v>2747</v>
      </c>
      <c r="HO610" s="4" t="s">
        <v>267</v>
      </c>
    </row>
    <row r="611" spans="1:223" ht="19.5" customHeight="1" x14ac:dyDescent="0.4">
      <c r="A611" s="4">
        <v>1</v>
      </c>
      <c r="B611" s="4" t="s">
        <v>239</v>
      </c>
      <c r="C611" s="4">
        <v>1473</v>
      </c>
      <c r="D611" s="4">
        <v>1</v>
      </c>
      <c r="E611" s="4">
        <v>1</v>
      </c>
      <c r="F611" s="4" t="s">
        <v>240</v>
      </c>
      <c r="G611" s="4" t="s">
        <v>241</v>
      </c>
      <c r="H611" s="4" t="s">
        <v>241</v>
      </c>
      <c r="I611" s="4" t="s">
        <v>4518</v>
      </c>
      <c r="J611" s="4" t="s">
        <v>3158</v>
      </c>
      <c r="K611" s="4" t="s">
        <v>251</v>
      </c>
      <c r="L611" s="4" t="s">
        <v>3180</v>
      </c>
      <c r="M611" s="5" t="s">
        <v>4667</v>
      </c>
      <c r="N611" s="6">
        <f>397</f>
        <v>397</v>
      </c>
      <c r="O611" s="4" t="s">
        <v>265</v>
      </c>
      <c r="P611" s="6">
        <f>4367</f>
        <v>4367</v>
      </c>
      <c r="Q611" s="6">
        <f>0</f>
        <v>0</v>
      </c>
      <c r="S611" s="6">
        <f>0</f>
        <v>0</v>
      </c>
      <c r="T611" s="6">
        <f>4367</f>
        <v>4367</v>
      </c>
      <c r="U611" s="5" t="s">
        <v>245</v>
      </c>
      <c r="V611" s="4" t="s">
        <v>270</v>
      </c>
      <c r="W611" s="4" t="s">
        <v>242</v>
      </c>
      <c r="X611" s="4" t="s">
        <v>243</v>
      </c>
      <c r="Y611" s="4" t="s">
        <v>241</v>
      </c>
      <c r="AB611" s="4" t="s">
        <v>241</v>
      </c>
      <c r="AD611" s="5" t="s">
        <v>241</v>
      </c>
      <c r="AG611" s="5" t="s">
        <v>246</v>
      </c>
      <c r="AH611" s="4" t="s">
        <v>241</v>
      </c>
      <c r="AI611" s="4" t="s">
        <v>247</v>
      </c>
      <c r="AJ611" s="4" t="s">
        <v>248</v>
      </c>
      <c r="AZ611" s="4" t="s">
        <v>249</v>
      </c>
      <c r="BA611" s="4" t="s">
        <v>241</v>
      </c>
      <c r="BB611" s="4" t="s">
        <v>250</v>
      </c>
      <c r="BC611" s="4" t="s">
        <v>241</v>
      </c>
      <c r="BD611" s="4" t="s">
        <v>252</v>
      </c>
      <c r="BE611" s="4" t="s">
        <v>241</v>
      </c>
      <c r="BI611" s="4" t="s">
        <v>253</v>
      </c>
      <c r="BJ611" s="5" t="s">
        <v>246</v>
      </c>
      <c r="BK611" s="4" t="s">
        <v>254</v>
      </c>
      <c r="BL611" s="4" t="s">
        <v>255</v>
      </c>
      <c r="BM611" s="4" t="s">
        <v>241</v>
      </c>
      <c r="BN611" s="6">
        <f>0</f>
        <v>0</v>
      </c>
      <c r="BO611" s="6">
        <f>0</f>
        <v>0</v>
      </c>
      <c r="BP611" s="4" t="s">
        <v>256</v>
      </c>
      <c r="BQ611" s="4" t="s">
        <v>257</v>
      </c>
      <c r="CE611" s="4" t="s">
        <v>241</v>
      </c>
      <c r="CF611" s="4" t="s">
        <v>241</v>
      </c>
      <c r="CJ611" s="4" t="s">
        <v>258</v>
      </c>
      <c r="CK611" s="4" t="s">
        <v>259</v>
      </c>
      <c r="CL611" s="4" t="s">
        <v>241</v>
      </c>
      <c r="CO611" s="5" t="s">
        <v>260</v>
      </c>
      <c r="CP611" s="4" t="s">
        <v>241</v>
      </c>
      <c r="CQ611" s="4" t="s">
        <v>261</v>
      </c>
      <c r="CR611" s="4" t="s">
        <v>241</v>
      </c>
      <c r="CS611" s="4" t="s">
        <v>241</v>
      </c>
      <c r="CT611" s="4">
        <v>0</v>
      </c>
      <c r="CU611" s="4" t="s">
        <v>262</v>
      </c>
      <c r="CV611" s="4" t="s">
        <v>263</v>
      </c>
      <c r="CW611" s="4" t="s">
        <v>263</v>
      </c>
      <c r="CX611" s="4" t="s">
        <v>264</v>
      </c>
      <c r="DA611" s="6">
        <f>4367</f>
        <v>4367</v>
      </c>
      <c r="DC611" s="4" t="s">
        <v>3160</v>
      </c>
      <c r="DD611" s="4" t="s">
        <v>241</v>
      </c>
      <c r="DF611" s="4" t="s">
        <v>287</v>
      </c>
      <c r="DG611" s="6">
        <f>0</f>
        <v>0</v>
      </c>
      <c r="DI611" s="4" t="s">
        <v>3167</v>
      </c>
      <c r="DJ611" s="4" t="s">
        <v>241</v>
      </c>
      <c r="DK611" s="4" t="s">
        <v>241</v>
      </c>
      <c r="DL611" s="4" t="s">
        <v>241</v>
      </c>
      <c r="DP611" s="4" t="s">
        <v>241</v>
      </c>
      <c r="DQ611" s="4" t="s">
        <v>241</v>
      </c>
      <c r="DR611" s="4" t="s">
        <v>241</v>
      </c>
      <c r="DS611" s="4" t="s">
        <v>241</v>
      </c>
      <c r="DV611" s="4" t="s">
        <v>4520</v>
      </c>
      <c r="DW611" s="4" t="s">
        <v>1601</v>
      </c>
      <c r="HO611" s="4" t="s">
        <v>267</v>
      </c>
    </row>
    <row r="612" spans="1:223" ht="19.5" customHeight="1" x14ac:dyDescent="0.4">
      <c r="A612" s="4">
        <v>1</v>
      </c>
      <c r="B612" s="4" t="s">
        <v>239</v>
      </c>
      <c r="C612" s="4">
        <v>1474</v>
      </c>
      <c r="D612" s="4">
        <v>1</v>
      </c>
      <c r="E612" s="4">
        <v>1</v>
      </c>
      <c r="F612" s="4" t="s">
        <v>240</v>
      </c>
      <c r="G612" s="4" t="s">
        <v>241</v>
      </c>
      <c r="H612" s="4" t="s">
        <v>241</v>
      </c>
      <c r="I612" s="4" t="s">
        <v>4518</v>
      </c>
      <c r="J612" s="4" t="s">
        <v>3158</v>
      </c>
      <c r="K612" s="4" t="s">
        <v>251</v>
      </c>
      <c r="L612" s="4" t="s">
        <v>3180</v>
      </c>
      <c r="M612" s="5" t="s">
        <v>4668</v>
      </c>
      <c r="N612" s="6">
        <f>375</f>
        <v>375</v>
      </c>
      <c r="O612" s="4" t="s">
        <v>265</v>
      </c>
      <c r="P612" s="6">
        <f>4125</f>
        <v>4125</v>
      </c>
      <c r="Q612" s="6">
        <f>0</f>
        <v>0</v>
      </c>
      <c r="S612" s="6">
        <f>0</f>
        <v>0</v>
      </c>
      <c r="T612" s="6">
        <f>4125</f>
        <v>4125</v>
      </c>
      <c r="U612" s="5" t="s">
        <v>245</v>
      </c>
      <c r="V612" s="4" t="s">
        <v>270</v>
      </c>
      <c r="W612" s="4" t="s">
        <v>242</v>
      </c>
      <c r="X612" s="4" t="s">
        <v>243</v>
      </c>
      <c r="Y612" s="4" t="s">
        <v>241</v>
      </c>
      <c r="AB612" s="4" t="s">
        <v>241</v>
      </c>
      <c r="AD612" s="5" t="s">
        <v>241</v>
      </c>
      <c r="AG612" s="5" t="s">
        <v>246</v>
      </c>
      <c r="AH612" s="4" t="s">
        <v>241</v>
      </c>
      <c r="AI612" s="4" t="s">
        <v>247</v>
      </c>
      <c r="AJ612" s="4" t="s">
        <v>248</v>
      </c>
      <c r="AZ612" s="4" t="s">
        <v>249</v>
      </c>
      <c r="BA612" s="4" t="s">
        <v>241</v>
      </c>
      <c r="BB612" s="4" t="s">
        <v>250</v>
      </c>
      <c r="BC612" s="4" t="s">
        <v>241</v>
      </c>
      <c r="BD612" s="4" t="s">
        <v>252</v>
      </c>
      <c r="BE612" s="4" t="s">
        <v>241</v>
      </c>
      <c r="BI612" s="4" t="s">
        <v>253</v>
      </c>
      <c r="BJ612" s="5" t="s">
        <v>246</v>
      </c>
      <c r="BK612" s="4" t="s">
        <v>254</v>
      </c>
      <c r="BL612" s="4" t="s">
        <v>255</v>
      </c>
      <c r="BM612" s="4" t="s">
        <v>241</v>
      </c>
      <c r="BN612" s="6">
        <f>0</f>
        <v>0</v>
      </c>
      <c r="BO612" s="6">
        <f>0</f>
        <v>0</v>
      </c>
      <c r="BP612" s="4" t="s">
        <v>256</v>
      </c>
      <c r="BQ612" s="4" t="s">
        <v>257</v>
      </c>
      <c r="CE612" s="4" t="s">
        <v>241</v>
      </c>
      <c r="CF612" s="4" t="s">
        <v>241</v>
      </c>
      <c r="CJ612" s="4" t="s">
        <v>258</v>
      </c>
      <c r="CK612" s="4" t="s">
        <v>259</v>
      </c>
      <c r="CL612" s="4" t="s">
        <v>241</v>
      </c>
      <c r="CO612" s="5" t="s">
        <v>260</v>
      </c>
      <c r="CP612" s="4" t="s">
        <v>241</v>
      </c>
      <c r="CQ612" s="4" t="s">
        <v>261</v>
      </c>
      <c r="CR612" s="4" t="s">
        <v>241</v>
      </c>
      <c r="CS612" s="4" t="s">
        <v>241</v>
      </c>
      <c r="CT612" s="4">
        <v>0</v>
      </c>
      <c r="CU612" s="4" t="s">
        <v>262</v>
      </c>
      <c r="CV612" s="4" t="s">
        <v>263</v>
      </c>
      <c r="CW612" s="4" t="s">
        <v>263</v>
      </c>
      <c r="CX612" s="4" t="s">
        <v>264</v>
      </c>
      <c r="DA612" s="6">
        <f>4125</f>
        <v>4125</v>
      </c>
      <c r="DC612" s="4" t="s">
        <v>3160</v>
      </c>
      <c r="DD612" s="4" t="s">
        <v>241</v>
      </c>
      <c r="DF612" s="4" t="s">
        <v>287</v>
      </c>
      <c r="DG612" s="6">
        <f>0</f>
        <v>0</v>
      </c>
      <c r="DI612" s="4" t="s">
        <v>3167</v>
      </c>
      <c r="DJ612" s="4" t="s">
        <v>241</v>
      </c>
      <c r="DK612" s="4" t="s">
        <v>241</v>
      </c>
      <c r="DL612" s="4" t="s">
        <v>241</v>
      </c>
      <c r="DP612" s="4" t="s">
        <v>241</v>
      </c>
      <c r="DQ612" s="4" t="s">
        <v>241</v>
      </c>
      <c r="DR612" s="4" t="s">
        <v>241</v>
      </c>
      <c r="DS612" s="4" t="s">
        <v>241</v>
      </c>
      <c r="DV612" s="4" t="s">
        <v>4520</v>
      </c>
      <c r="DW612" s="4" t="s">
        <v>1599</v>
      </c>
      <c r="HO612" s="4" t="s">
        <v>267</v>
      </c>
    </row>
    <row r="613" spans="1:223" ht="19.5" customHeight="1" x14ac:dyDescent="0.4">
      <c r="A613" s="4">
        <v>1</v>
      </c>
      <c r="B613" s="4" t="s">
        <v>239</v>
      </c>
      <c r="C613" s="4">
        <v>1475</v>
      </c>
      <c r="D613" s="4">
        <v>1</v>
      </c>
      <c r="E613" s="4">
        <v>1</v>
      </c>
      <c r="F613" s="4" t="s">
        <v>240</v>
      </c>
      <c r="G613" s="4" t="s">
        <v>241</v>
      </c>
      <c r="H613" s="4" t="s">
        <v>241</v>
      </c>
      <c r="I613" s="4" t="s">
        <v>4518</v>
      </c>
      <c r="J613" s="4" t="s">
        <v>3158</v>
      </c>
      <c r="K613" s="4" t="s">
        <v>251</v>
      </c>
      <c r="L613" s="4" t="s">
        <v>3180</v>
      </c>
      <c r="M613" s="5" t="s">
        <v>4669</v>
      </c>
      <c r="N613" s="6">
        <f>1285</f>
        <v>1285</v>
      </c>
      <c r="O613" s="4" t="s">
        <v>265</v>
      </c>
      <c r="P613" s="6">
        <f>14135</f>
        <v>14135</v>
      </c>
      <c r="Q613" s="6">
        <f>0</f>
        <v>0</v>
      </c>
      <c r="S613" s="6">
        <f>0</f>
        <v>0</v>
      </c>
      <c r="T613" s="6">
        <f>14135</f>
        <v>14135</v>
      </c>
      <c r="U613" s="5" t="s">
        <v>245</v>
      </c>
      <c r="V613" s="4" t="s">
        <v>270</v>
      </c>
      <c r="W613" s="4" t="s">
        <v>242</v>
      </c>
      <c r="X613" s="4" t="s">
        <v>243</v>
      </c>
      <c r="Y613" s="4" t="s">
        <v>241</v>
      </c>
      <c r="AB613" s="4" t="s">
        <v>241</v>
      </c>
      <c r="AD613" s="5" t="s">
        <v>241</v>
      </c>
      <c r="AG613" s="5" t="s">
        <v>246</v>
      </c>
      <c r="AH613" s="4" t="s">
        <v>241</v>
      </c>
      <c r="AI613" s="4" t="s">
        <v>247</v>
      </c>
      <c r="AJ613" s="4" t="s">
        <v>248</v>
      </c>
      <c r="AZ613" s="4" t="s">
        <v>249</v>
      </c>
      <c r="BA613" s="4" t="s">
        <v>241</v>
      </c>
      <c r="BB613" s="4" t="s">
        <v>250</v>
      </c>
      <c r="BC613" s="4" t="s">
        <v>241</v>
      </c>
      <c r="BD613" s="4" t="s">
        <v>252</v>
      </c>
      <c r="BE613" s="4" t="s">
        <v>241</v>
      </c>
      <c r="BI613" s="4" t="s">
        <v>253</v>
      </c>
      <c r="BJ613" s="5" t="s">
        <v>246</v>
      </c>
      <c r="BK613" s="4" t="s">
        <v>254</v>
      </c>
      <c r="BL613" s="4" t="s">
        <v>255</v>
      </c>
      <c r="BM613" s="4" t="s">
        <v>241</v>
      </c>
      <c r="BN613" s="6">
        <f>0</f>
        <v>0</v>
      </c>
      <c r="BO613" s="6">
        <f>0</f>
        <v>0</v>
      </c>
      <c r="BP613" s="4" t="s">
        <v>256</v>
      </c>
      <c r="BQ613" s="4" t="s">
        <v>257</v>
      </c>
      <c r="CE613" s="4" t="s">
        <v>241</v>
      </c>
      <c r="CF613" s="4" t="s">
        <v>241</v>
      </c>
      <c r="CJ613" s="4" t="s">
        <v>258</v>
      </c>
      <c r="CK613" s="4" t="s">
        <v>259</v>
      </c>
      <c r="CL613" s="4" t="s">
        <v>241</v>
      </c>
      <c r="CO613" s="5" t="s">
        <v>260</v>
      </c>
      <c r="CP613" s="4" t="s">
        <v>241</v>
      </c>
      <c r="CQ613" s="4" t="s">
        <v>261</v>
      </c>
      <c r="CR613" s="4" t="s">
        <v>241</v>
      </c>
      <c r="CS613" s="4" t="s">
        <v>241</v>
      </c>
      <c r="CT613" s="4">
        <v>0</v>
      </c>
      <c r="CU613" s="4" t="s">
        <v>262</v>
      </c>
      <c r="CV613" s="4" t="s">
        <v>263</v>
      </c>
      <c r="CW613" s="4" t="s">
        <v>263</v>
      </c>
      <c r="CX613" s="4" t="s">
        <v>264</v>
      </c>
      <c r="DA613" s="6">
        <f>14135</f>
        <v>14135</v>
      </c>
      <c r="DC613" s="4" t="s">
        <v>3160</v>
      </c>
      <c r="DD613" s="4" t="s">
        <v>241</v>
      </c>
      <c r="DF613" s="4" t="s">
        <v>287</v>
      </c>
      <c r="DG613" s="6">
        <f>0</f>
        <v>0</v>
      </c>
      <c r="DI613" s="4" t="s">
        <v>3167</v>
      </c>
      <c r="DJ613" s="4" t="s">
        <v>241</v>
      </c>
      <c r="DK613" s="4" t="s">
        <v>241</v>
      </c>
      <c r="DL613" s="4" t="s">
        <v>241</v>
      </c>
      <c r="DP613" s="4" t="s">
        <v>241</v>
      </c>
      <c r="DQ613" s="4" t="s">
        <v>241</v>
      </c>
      <c r="DR613" s="4" t="s">
        <v>241</v>
      </c>
      <c r="DS613" s="4" t="s">
        <v>241</v>
      </c>
      <c r="DV613" s="4" t="s">
        <v>4520</v>
      </c>
      <c r="DW613" s="4" t="s">
        <v>1597</v>
      </c>
      <c r="HO613" s="4" t="s">
        <v>267</v>
      </c>
    </row>
    <row r="614" spans="1:223" ht="19.5" customHeight="1" x14ac:dyDescent="0.4">
      <c r="A614" s="4">
        <v>1</v>
      </c>
      <c r="B614" s="4" t="s">
        <v>239</v>
      </c>
      <c r="C614" s="4">
        <v>1476</v>
      </c>
      <c r="D614" s="4">
        <v>1</v>
      </c>
      <c r="E614" s="4">
        <v>1</v>
      </c>
      <c r="F614" s="4" t="s">
        <v>240</v>
      </c>
      <c r="G614" s="4" t="s">
        <v>241</v>
      </c>
      <c r="H614" s="4" t="s">
        <v>241</v>
      </c>
      <c r="I614" s="4" t="s">
        <v>4518</v>
      </c>
      <c r="J614" s="4" t="s">
        <v>3158</v>
      </c>
      <c r="K614" s="4" t="s">
        <v>251</v>
      </c>
      <c r="L614" s="4" t="s">
        <v>3180</v>
      </c>
      <c r="M614" s="5" t="s">
        <v>4670</v>
      </c>
      <c r="N614" s="6">
        <f>538</f>
        <v>538</v>
      </c>
      <c r="O614" s="4" t="s">
        <v>265</v>
      </c>
      <c r="P614" s="6">
        <f>5918</f>
        <v>5918</v>
      </c>
      <c r="Q614" s="6">
        <f>0</f>
        <v>0</v>
      </c>
      <c r="S614" s="6">
        <f>0</f>
        <v>0</v>
      </c>
      <c r="T614" s="6">
        <f>5918</f>
        <v>5918</v>
      </c>
      <c r="U614" s="5" t="s">
        <v>245</v>
      </c>
      <c r="V614" s="4" t="s">
        <v>270</v>
      </c>
      <c r="W614" s="4" t="s">
        <v>242</v>
      </c>
      <c r="X614" s="4" t="s">
        <v>243</v>
      </c>
      <c r="Y614" s="4" t="s">
        <v>241</v>
      </c>
      <c r="AB614" s="4" t="s">
        <v>241</v>
      </c>
      <c r="AD614" s="5" t="s">
        <v>241</v>
      </c>
      <c r="AG614" s="5" t="s">
        <v>246</v>
      </c>
      <c r="AH614" s="4" t="s">
        <v>241</v>
      </c>
      <c r="AI614" s="4" t="s">
        <v>247</v>
      </c>
      <c r="AJ614" s="4" t="s">
        <v>248</v>
      </c>
      <c r="AZ614" s="4" t="s">
        <v>249</v>
      </c>
      <c r="BA614" s="4" t="s">
        <v>241</v>
      </c>
      <c r="BB614" s="4" t="s">
        <v>250</v>
      </c>
      <c r="BC614" s="4" t="s">
        <v>241</v>
      </c>
      <c r="BD614" s="4" t="s">
        <v>252</v>
      </c>
      <c r="BE614" s="4" t="s">
        <v>241</v>
      </c>
      <c r="BI614" s="4" t="s">
        <v>253</v>
      </c>
      <c r="BJ614" s="5" t="s">
        <v>246</v>
      </c>
      <c r="BK614" s="4" t="s">
        <v>254</v>
      </c>
      <c r="BL614" s="4" t="s">
        <v>255</v>
      </c>
      <c r="BM614" s="4" t="s">
        <v>241</v>
      </c>
      <c r="BN614" s="6">
        <f>0</f>
        <v>0</v>
      </c>
      <c r="BO614" s="6">
        <f>0</f>
        <v>0</v>
      </c>
      <c r="BP614" s="4" t="s">
        <v>256</v>
      </c>
      <c r="BQ614" s="4" t="s">
        <v>257</v>
      </c>
      <c r="CE614" s="4" t="s">
        <v>241</v>
      </c>
      <c r="CF614" s="4" t="s">
        <v>241</v>
      </c>
      <c r="CJ614" s="4" t="s">
        <v>258</v>
      </c>
      <c r="CK614" s="4" t="s">
        <v>259</v>
      </c>
      <c r="CL614" s="4" t="s">
        <v>241</v>
      </c>
      <c r="CO614" s="5" t="s">
        <v>260</v>
      </c>
      <c r="CP614" s="4" t="s">
        <v>241</v>
      </c>
      <c r="CQ614" s="4" t="s">
        <v>261</v>
      </c>
      <c r="CR614" s="4" t="s">
        <v>241</v>
      </c>
      <c r="CS614" s="4" t="s">
        <v>241</v>
      </c>
      <c r="CT614" s="4">
        <v>0</v>
      </c>
      <c r="CU614" s="4" t="s">
        <v>262</v>
      </c>
      <c r="CV614" s="4" t="s">
        <v>263</v>
      </c>
      <c r="CW614" s="4" t="s">
        <v>263</v>
      </c>
      <c r="CX614" s="4" t="s">
        <v>264</v>
      </c>
      <c r="DA614" s="6">
        <f>5918</f>
        <v>5918</v>
      </c>
      <c r="DC614" s="4" t="s">
        <v>3160</v>
      </c>
      <c r="DD614" s="4" t="s">
        <v>241</v>
      </c>
      <c r="DF614" s="4" t="s">
        <v>287</v>
      </c>
      <c r="DG614" s="6">
        <f>0</f>
        <v>0</v>
      </c>
      <c r="DI614" s="4" t="s">
        <v>3167</v>
      </c>
      <c r="DJ614" s="4" t="s">
        <v>241</v>
      </c>
      <c r="DK614" s="4" t="s">
        <v>241</v>
      </c>
      <c r="DL614" s="4" t="s">
        <v>241</v>
      </c>
      <c r="DP614" s="4" t="s">
        <v>241</v>
      </c>
      <c r="DQ614" s="4" t="s">
        <v>241</v>
      </c>
      <c r="DR614" s="4" t="s">
        <v>241</v>
      </c>
      <c r="DS614" s="4" t="s">
        <v>241</v>
      </c>
      <c r="DV614" s="4" t="s">
        <v>4520</v>
      </c>
      <c r="DW614" s="4" t="s">
        <v>1805</v>
      </c>
      <c r="HO614" s="4" t="s">
        <v>267</v>
      </c>
    </row>
    <row r="615" spans="1:223" ht="19.5" customHeight="1" x14ac:dyDescent="0.4">
      <c r="A615" s="4">
        <v>1</v>
      </c>
      <c r="B615" s="4" t="s">
        <v>239</v>
      </c>
      <c r="C615" s="4">
        <v>1477</v>
      </c>
      <c r="D615" s="4">
        <v>1</v>
      </c>
      <c r="E615" s="4">
        <v>1</v>
      </c>
      <c r="F615" s="4" t="s">
        <v>240</v>
      </c>
      <c r="G615" s="4" t="s">
        <v>241</v>
      </c>
      <c r="H615" s="4" t="s">
        <v>241</v>
      </c>
      <c r="I615" s="4" t="s">
        <v>4518</v>
      </c>
      <c r="J615" s="4" t="s">
        <v>3158</v>
      </c>
      <c r="K615" s="4" t="s">
        <v>251</v>
      </c>
      <c r="L615" s="4" t="s">
        <v>3180</v>
      </c>
      <c r="M615" s="5" t="s">
        <v>4671</v>
      </c>
      <c r="N615" s="6">
        <f>623</f>
        <v>623</v>
      </c>
      <c r="O615" s="4" t="s">
        <v>265</v>
      </c>
      <c r="P615" s="6">
        <f>6853</f>
        <v>6853</v>
      </c>
      <c r="Q615" s="6">
        <f>0</f>
        <v>0</v>
      </c>
      <c r="S615" s="6">
        <f>0</f>
        <v>0</v>
      </c>
      <c r="T615" s="6">
        <f>6853</f>
        <v>6853</v>
      </c>
      <c r="U615" s="5" t="s">
        <v>245</v>
      </c>
      <c r="V615" s="4" t="s">
        <v>270</v>
      </c>
      <c r="W615" s="4" t="s">
        <v>242</v>
      </c>
      <c r="X615" s="4" t="s">
        <v>243</v>
      </c>
      <c r="Y615" s="4" t="s">
        <v>241</v>
      </c>
      <c r="AB615" s="4" t="s">
        <v>241</v>
      </c>
      <c r="AD615" s="5" t="s">
        <v>241</v>
      </c>
      <c r="AG615" s="5" t="s">
        <v>246</v>
      </c>
      <c r="AH615" s="4" t="s">
        <v>241</v>
      </c>
      <c r="AI615" s="4" t="s">
        <v>247</v>
      </c>
      <c r="AJ615" s="4" t="s">
        <v>248</v>
      </c>
      <c r="AZ615" s="4" t="s">
        <v>249</v>
      </c>
      <c r="BA615" s="4" t="s">
        <v>241</v>
      </c>
      <c r="BB615" s="4" t="s">
        <v>250</v>
      </c>
      <c r="BC615" s="4" t="s">
        <v>241</v>
      </c>
      <c r="BD615" s="4" t="s">
        <v>252</v>
      </c>
      <c r="BE615" s="4" t="s">
        <v>241</v>
      </c>
      <c r="BI615" s="4" t="s">
        <v>253</v>
      </c>
      <c r="BJ615" s="5" t="s">
        <v>246</v>
      </c>
      <c r="BK615" s="4" t="s">
        <v>254</v>
      </c>
      <c r="BL615" s="4" t="s">
        <v>255</v>
      </c>
      <c r="BM615" s="4" t="s">
        <v>241</v>
      </c>
      <c r="BN615" s="6">
        <f>0</f>
        <v>0</v>
      </c>
      <c r="BO615" s="6">
        <f>0</f>
        <v>0</v>
      </c>
      <c r="BP615" s="4" t="s">
        <v>256</v>
      </c>
      <c r="BQ615" s="4" t="s">
        <v>257</v>
      </c>
      <c r="CE615" s="4" t="s">
        <v>241</v>
      </c>
      <c r="CF615" s="4" t="s">
        <v>241</v>
      </c>
      <c r="CJ615" s="4" t="s">
        <v>258</v>
      </c>
      <c r="CK615" s="4" t="s">
        <v>259</v>
      </c>
      <c r="CL615" s="4" t="s">
        <v>241</v>
      </c>
      <c r="CO615" s="5" t="s">
        <v>260</v>
      </c>
      <c r="CP615" s="4" t="s">
        <v>241</v>
      </c>
      <c r="CQ615" s="4" t="s">
        <v>261</v>
      </c>
      <c r="CR615" s="4" t="s">
        <v>241</v>
      </c>
      <c r="CS615" s="4" t="s">
        <v>241</v>
      </c>
      <c r="CT615" s="4">
        <v>0</v>
      </c>
      <c r="CU615" s="4" t="s">
        <v>262</v>
      </c>
      <c r="CV615" s="4" t="s">
        <v>263</v>
      </c>
      <c r="CW615" s="4" t="s">
        <v>263</v>
      </c>
      <c r="CX615" s="4" t="s">
        <v>264</v>
      </c>
      <c r="DA615" s="6">
        <f>6853</f>
        <v>6853</v>
      </c>
      <c r="DC615" s="4" t="s">
        <v>3160</v>
      </c>
      <c r="DD615" s="4" t="s">
        <v>241</v>
      </c>
      <c r="DF615" s="4" t="s">
        <v>287</v>
      </c>
      <c r="DG615" s="6">
        <f>0</f>
        <v>0</v>
      </c>
      <c r="DI615" s="4" t="s">
        <v>3167</v>
      </c>
      <c r="DJ615" s="4" t="s">
        <v>241</v>
      </c>
      <c r="DK615" s="4" t="s">
        <v>241</v>
      </c>
      <c r="DL615" s="4" t="s">
        <v>241</v>
      </c>
      <c r="DP615" s="4" t="s">
        <v>241</v>
      </c>
      <c r="DQ615" s="4" t="s">
        <v>241</v>
      </c>
      <c r="DR615" s="4" t="s">
        <v>241</v>
      </c>
      <c r="DS615" s="4" t="s">
        <v>241</v>
      </c>
      <c r="DV615" s="4" t="s">
        <v>4520</v>
      </c>
      <c r="DW615" s="4" t="s">
        <v>1593</v>
      </c>
      <c r="HO615" s="4" t="s">
        <v>267</v>
      </c>
    </row>
    <row r="616" spans="1:223" ht="19.5" customHeight="1" x14ac:dyDescent="0.4">
      <c r="A616" s="4">
        <v>1</v>
      </c>
      <c r="B616" s="4" t="s">
        <v>239</v>
      </c>
      <c r="C616" s="4">
        <v>1478</v>
      </c>
      <c r="D616" s="4">
        <v>1</v>
      </c>
      <c r="E616" s="4">
        <v>1</v>
      </c>
      <c r="F616" s="4" t="s">
        <v>240</v>
      </c>
      <c r="G616" s="4" t="s">
        <v>241</v>
      </c>
      <c r="H616" s="4" t="s">
        <v>241</v>
      </c>
      <c r="I616" s="4" t="s">
        <v>4518</v>
      </c>
      <c r="J616" s="4" t="s">
        <v>3158</v>
      </c>
      <c r="K616" s="4" t="s">
        <v>251</v>
      </c>
      <c r="L616" s="4" t="s">
        <v>3180</v>
      </c>
      <c r="M616" s="5" t="s">
        <v>4672</v>
      </c>
      <c r="N616" s="6">
        <f>4966</f>
        <v>4966</v>
      </c>
      <c r="O616" s="4" t="s">
        <v>265</v>
      </c>
      <c r="P616" s="6">
        <f>54626</f>
        <v>54626</v>
      </c>
      <c r="Q616" s="6">
        <f>0</f>
        <v>0</v>
      </c>
      <c r="S616" s="6">
        <f>0</f>
        <v>0</v>
      </c>
      <c r="T616" s="6">
        <f>54626</f>
        <v>54626</v>
      </c>
      <c r="U616" s="5" t="s">
        <v>245</v>
      </c>
      <c r="V616" s="4" t="s">
        <v>270</v>
      </c>
      <c r="W616" s="4" t="s">
        <v>242</v>
      </c>
      <c r="X616" s="4" t="s">
        <v>243</v>
      </c>
      <c r="Y616" s="4" t="s">
        <v>241</v>
      </c>
      <c r="AB616" s="4" t="s">
        <v>241</v>
      </c>
      <c r="AD616" s="5" t="s">
        <v>241</v>
      </c>
      <c r="AG616" s="5" t="s">
        <v>246</v>
      </c>
      <c r="AH616" s="4" t="s">
        <v>241</v>
      </c>
      <c r="AI616" s="4" t="s">
        <v>247</v>
      </c>
      <c r="AJ616" s="4" t="s">
        <v>248</v>
      </c>
      <c r="AZ616" s="4" t="s">
        <v>249</v>
      </c>
      <c r="BA616" s="4" t="s">
        <v>241</v>
      </c>
      <c r="BB616" s="4" t="s">
        <v>250</v>
      </c>
      <c r="BC616" s="4" t="s">
        <v>241</v>
      </c>
      <c r="BD616" s="4" t="s">
        <v>252</v>
      </c>
      <c r="BE616" s="4" t="s">
        <v>241</v>
      </c>
      <c r="BI616" s="4" t="s">
        <v>253</v>
      </c>
      <c r="BJ616" s="5" t="s">
        <v>246</v>
      </c>
      <c r="BK616" s="4" t="s">
        <v>254</v>
      </c>
      <c r="BL616" s="4" t="s">
        <v>255</v>
      </c>
      <c r="BM616" s="4" t="s">
        <v>241</v>
      </c>
      <c r="BN616" s="6">
        <f>0</f>
        <v>0</v>
      </c>
      <c r="BO616" s="6">
        <f>0</f>
        <v>0</v>
      </c>
      <c r="BP616" s="4" t="s">
        <v>256</v>
      </c>
      <c r="BQ616" s="4" t="s">
        <v>257</v>
      </c>
      <c r="CE616" s="4" t="s">
        <v>241</v>
      </c>
      <c r="CF616" s="4" t="s">
        <v>241</v>
      </c>
      <c r="CJ616" s="4" t="s">
        <v>258</v>
      </c>
      <c r="CK616" s="4" t="s">
        <v>259</v>
      </c>
      <c r="CL616" s="4" t="s">
        <v>241</v>
      </c>
      <c r="CO616" s="5" t="s">
        <v>260</v>
      </c>
      <c r="CP616" s="4" t="s">
        <v>241</v>
      </c>
      <c r="CQ616" s="4" t="s">
        <v>261</v>
      </c>
      <c r="CR616" s="4" t="s">
        <v>241</v>
      </c>
      <c r="CS616" s="4" t="s">
        <v>241</v>
      </c>
      <c r="CT616" s="4">
        <v>0</v>
      </c>
      <c r="CU616" s="4" t="s">
        <v>262</v>
      </c>
      <c r="CV616" s="4" t="s">
        <v>263</v>
      </c>
      <c r="CW616" s="4" t="s">
        <v>263</v>
      </c>
      <c r="CX616" s="4" t="s">
        <v>264</v>
      </c>
      <c r="DA616" s="6">
        <f>54626</f>
        <v>54626</v>
      </c>
      <c r="DC616" s="4" t="s">
        <v>3160</v>
      </c>
      <c r="DD616" s="4" t="s">
        <v>241</v>
      </c>
      <c r="DF616" s="4" t="s">
        <v>287</v>
      </c>
      <c r="DG616" s="6">
        <f>0</f>
        <v>0</v>
      </c>
      <c r="DI616" s="4" t="s">
        <v>3167</v>
      </c>
      <c r="DJ616" s="4" t="s">
        <v>241</v>
      </c>
      <c r="DK616" s="4" t="s">
        <v>241</v>
      </c>
      <c r="DL616" s="4" t="s">
        <v>241</v>
      </c>
      <c r="DP616" s="4" t="s">
        <v>241</v>
      </c>
      <c r="DQ616" s="4" t="s">
        <v>241</v>
      </c>
      <c r="DR616" s="4" t="s">
        <v>241</v>
      </c>
      <c r="DS616" s="4" t="s">
        <v>241</v>
      </c>
      <c r="DV616" s="4" t="s">
        <v>4520</v>
      </c>
      <c r="DW616" s="4" t="s">
        <v>1871</v>
      </c>
      <c r="HO616" s="4" t="s">
        <v>267</v>
      </c>
    </row>
    <row r="617" spans="1:223" ht="19.5" customHeight="1" x14ac:dyDescent="0.4">
      <c r="A617" s="4">
        <v>1</v>
      </c>
      <c r="B617" s="4" t="s">
        <v>239</v>
      </c>
      <c r="C617" s="4">
        <v>1479</v>
      </c>
      <c r="D617" s="4">
        <v>1</v>
      </c>
      <c r="E617" s="4">
        <v>1</v>
      </c>
      <c r="F617" s="4" t="s">
        <v>240</v>
      </c>
      <c r="G617" s="4" t="s">
        <v>241</v>
      </c>
      <c r="H617" s="4" t="s">
        <v>241</v>
      </c>
      <c r="I617" s="4" t="s">
        <v>4518</v>
      </c>
      <c r="J617" s="4" t="s">
        <v>3158</v>
      </c>
      <c r="K617" s="4" t="s">
        <v>251</v>
      </c>
      <c r="L617" s="4" t="s">
        <v>3180</v>
      </c>
      <c r="M617" s="5" t="s">
        <v>5454</v>
      </c>
      <c r="N617" s="6">
        <f>1548</f>
        <v>1548</v>
      </c>
      <c r="O617" s="4" t="s">
        <v>265</v>
      </c>
      <c r="P617" s="6">
        <f>17028</f>
        <v>17028</v>
      </c>
      <c r="Q617" s="6">
        <f>0</f>
        <v>0</v>
      </c>
      <c r="S617" s="6">
        <f>0</f>
        <v>0</v>
      </c>
      <c r="T617" s="6">
        <f>17028</f>
        <v>17028</v>
      </c>
      <c r="U617" s="5" t="s">
        <v>245</v>
      </c>
      <c r="V617" s="4" t="s">
        <v>270</v>
      </c>
      <c r="W617" s="4" t="s">
        <v>242</v>
      </c>
      <c r="X617" s="4" t="s">
        <v>243</v>
      </c>
      <c r="Y617" s="4" t="s">
        <v>241</v>
      </c>
      <c r="AB617" s="4" t="s">
        <v>241</v>
      </c>
      <c r="AD617" s="5" t="s">
        <v>241</v>
      </c>
      <c r="AG617" s="5" t="s">
        <v>246</v>
      </c>
      <c r="AH617" s="4" t="s">
        <v>241</v>
      </c>
      <c r="AI617" s="4" t="s">
        <v>247</v>
      </c>
      <c r="AJ617" s="4" t="s">
        <v>248</v>
      </c>
      <c r="AZ617" s="4" t="s">
        <v>249</v>
      </c>
      <c r="BA617" s="4" t="s">
        <v>241</v>
      </c>
      <c r="BB617" s="4" t="s">
        <v>250</v>
      </c>
      <c r="BC617" s="4" t="s">
        <v>241</v>
      </c>
      <c r="BD617" s="4" t="s">
        <v>252</v>
      </c>
      <c r="BE617" s="4" t="s">
        <v>241</v>
      </c>
      <c r="BI617" s="4" t="s">
        <v>253</v>
      </c>
      <c r="BJ617" s="5" t="s">
        <v>246</v>
      </c>
      <c r="BK617" s="4" t="s">
        <v>254</v>
      </c>
      <c r="BL617" s="4" t="s">
        <v>255</v>
      </c>
      <c r="BM617" s="4" t="s">
        <v>241</v>
      </c>
      <c r="BN617" s="6">
        <f>0</f>
        <v>0</v>
      </c>
      <c r="BO617" s="6">
        <f>0</f>
        <v>0</v>
      </c>
      <c r="BP617" s="4" t="s">
        <v>256</v>
      </c>
      <c r="BQ617" s="4" t="s">
        <v>257</v>
      </c>
      <c r="CE617" s="4" t="s">
        <v>241</v>
      </c>
      <c r="CF617" s="4" t="s">
        <v>241</v>
      </c>
      <c r="CJ617" s="4" t="s">
        <v>258</v>
      </c>
      <c r="CK617" s="4" t="s">
        <v>259</v>
      </c>
      <c r="CL617" s="4" t="s">
        <v>241</v>
      </c>
      <c r="CO617" s="5" t="s">
        <v>260</v>
      </c>
      <c r="CP617" s="4" t="s">
        <v>241</v>
      </c>
      <c r="CQ617" s="4" t="s">
        <v>261</v>
      </c>
      <c r="CR617" s="4" t="s">
        <v>241</v>
      </c>
      <c r="CS617" s="4" t="s">
        <v>241</v>
      </c>
      <c r="CT617" s="4">
        <v>0</v>
      </c>
      <c r="CU617" s="4" t="s">
        <v>262</v>
      </c>
      <c r="CV617" s="4" t="s">
        <v>263</v>
      </c>
      <c r="CW617" s="4" t="s">
        <v>263</v>
      </c>
      <c r="CX617" s="4" t="s">
        <v>264</v>
      </c>
      <c r="DA617" s="6">
        <f>17028</f>
        <v>17028</v>
      </c>
      <c r="DC617" s="4" t="s">
        <v>3160</v>
      </c>
      <c r="DD617" s="4" t="s">
        <v>241</v>
      </c>
      <c r="DF617" s="4" t="s">
        <v>287</v>
      </c>
      <c r="DG617" s="6">
        <f>0</f>
        <v>0</v>
      </c>
      <c r="DI617" s="4" t="s">
        <v>3167</v>
      </c>
      <c r="DJ617" s="4" t="s">
        <v>241</v>
      </c>
      <c r="DK617" s="4" t="s">
        <v>241</v>
      </c>
      <c r="DL617" s="4" t="s">
        <v>241</v>
      </c>
      <c r="DP617" s="4" t="s">
        <v>241</v>
      </c>
      <c r="DQ617" s="4" t="s">
        <v>241</v>
      </c>
      <c r="DR617" s="4" t="s">
        <v>241</v>
      </c>
      <c r="DS617" s="4" t="s">
        <v>241</v>
      </c>
      <c r="DV617" s="4" t="s">
        <v>4520</v>
      </c>
      <c r="DW617" s="4" t="s">
        <v>1589</v>
      </c>
      <c r="HO617" s="4" t="s">
        <v>267</v>
      </c>
    </row>
    <row r="618" spans="1:223" ht="19.5" customHeight="1" x14ac:dyDescent="0.4">
      <c r="A618" s="4">
        <v>1</v>
      </c>
      <c r="B618" s="4" t="s">
        <v>239</v>
      </c>
      <c r="C618" s="4">
        <v>1480</v>
      </c>
      <c r="D618" s="4">
        <v>1</v>
      </c>
      <c r="E618" s="4">
        <v>1</v>
      </c>
      <c r="F618" s="4" t="s">
        <v>240</v>
      </c>
      <c r="G618" s="4" t="s">
        <v>241</v>
      </c>
      <c r="H618" s="4" t="s">
        <v>241</v>
      </c>
      <c r="I618" s="4" t="s">
        <v>4518</v>
      </c>
      <c r="J618" s="4" t="s">
        <v>3158</v>
      </c>
      <c r="K618" s="4" t="s">
        <v>251</v>
      </c>
      <c r="L618" s="4" t="s">
        <v>3180</v>
      </c>
      <c r="M618" s="5" t="s">
        <v>4674</v>
      </c>
      <c r="N618" s="6">
        <f>8351</f>
        <v>8351</v>
      </c>
      <c r="O618" s="4" t="s">
        <v>265</v>
      </c>
      <c r="P618" s="6">
        <f>91861</f>
        <v>91861</v>
      </c>
      <c r="Q618" s="6">
        <f>0</f>
        <v>0</v>
      </c>
      <c r="S618" s="6">
        <f>0</f>
        <v>0</v>
      </c>
      <c r="T618" s="6">
        <f>91861</f>
        <v>91861</v>
      </c>
      <c r="U618" s="5" t="s">
        <v>245</v>
      </c>
      <c r="V618" s="4" t="s">
        <v>270</v>
      </c>
      <c r="W618" s="4" t="s">
        <v>242</v>
      </c>
      <c r="X618" s="4" t="s">
        <v>243</v>
      </c>
      <c r="Y618" s="4" t="s">
        <v>241</v>
      </c>
      <c r="AB618" s="4" t="s">
        <v>241</v>
      </c>
      <c r="AD618" s="5" t="s">
        <v>241</v>
      </c>
      <c r="AG618" s="5" t="s">
        <v>246</v>
      </c>
      <c r="AH618" s="4" t="s">
        <v>241</v>
      </c>
      <c r="AI618" s="4" t="s">
        <v>247</v>
      </c>
      <c r="AJ618" s="4" t="s">
        <v>248</v>
      </c>
      <c r="AZ618" s="4" t="s">
        <v>249</v>
      </c>
      <c r="BA618" s="4" t="s">
        <v>241</v>
      </c>
      <c r="BB618" s="4" t="s">
        <v>250</v>
      </c>
      <c r="BC618" s="4" t="s">
        <v>241</v>
      </c>
      <c r="BD618" s="4" t="s">
        <v>252</v>
      </c>
      <c r="BE618" s="4" t="s">
        <v>241</v>
      </c>
      <c r="BI618" s="4" t="s">
        <v>253</v>
      </c>
      <c r="BJ618" s="5" t="s">
        <v>246</v>
      </c>
      <c r="BK618" s="4" t="s">
        <v>254</v>
      </c>
      <c r="BL618" s="4" t="s">
        <v>255</v>
      </c>
      <c r="BM618" s="4" t="s">
        <v>241</v>
      </c>
      <c r="BN618" s="6">
        <f>0</f>
        <v>0</v>
      </c>
      <c r="BO618" s="6">
        <f>0</f>
        <v>0</v>
      </c>
      <c r="BP618" s="4" t="s">
        <v>256</v>
      </c>
      <c r="BQ618" s="4" t="s">
        <v>257</v>
      </c>
      <c r="CE618" s="4" t="s">
        <v>241</v>
      </c>
      <c r="CF618" s="4" t="s">
        <v>241</v>
      </c>
      <c r="CJ618" s="4" t="s">
        <v>258</v>
      </c>
      <c r="CK618" s="4" t="s">
        <v>259</v>
      </c>
      <c r="CL618" s="4" t="s">
        <v>241</v>
      </c>
      <c r="CO618" s="5" t="s">
        <v>260</v>
      </c>
      <c r="CP618" s="4" t="s">
        <v>241</v>
      </c>
      <c r="CQ618" s="4" t="s">
        <v>261</v>
      </c>
      <c r="CR618" s="4" t="s">
        <v>241</v>
      </c>
      <c r="CS618" s="4" t="s">
        <v>241</v>
      </c>
      <c r="CT618" s="4">
        <v>0</v>
      </c>
      <c r="CU618" s="4" t="s">
        <v>262</v>
      </c>
      <c r="CV618" s="4" t="s">
        <v>263</v>
      </c>
      <c r="CW618" s="4" t="s">
        <v>263</v>
      </c>
      <c r="CX618" s="4" t="s">
        <v>264</v>
      </c>
      <c r="DA618" s="6">
        <f>91861</f>
        <v>91861</v>
      </c>
      <c r="DC618" s="4" t="s">
        <v>3160</v>
      </c>
      <c r="DD618" s="4" t="s">
        <v>241</v>
      </c>
      <c r="DF618" s="4" t="s">
        <v>287</v>
      </c>
      <c r="DG618" s="6">
        <f>0</f>
        <v>0</v>
      </c>
      <c r="DI618" s="4" t="s">
        <v>3167</v>
      </c>
      <c r="DJ618" s="4" t="s">
        <v>241</v>
      </c>
      <c r="DK618" s="4" t="s">
        <v>241</v>
      </c>
      <c r="DL618" s="4" t="s">
        <v>241</v>
      </c>
      <c r="DP618" s="4" t="s">
        <v>241</v>
      </c>
      <c r="DQ618" s="4" t="s">
        <v>241</v>
      </c>
      <c r="DR618" s="4" t="s">
        <v>241</v>
      </c>
      <c r="DS618" s="4" t="s">
        <v>241</v>
      </c>
      <c r="DV618" s="4" t="s">
        <v>4520</v>
      </c>
      <c r="DW618" s="4" t="s">
        <v>1587</v>
      </c>
      <c r="HO618" s="4" t="s">
        <v>267</v>
      </c>
    </row>
    <row r="619" spans="1:223" ht="19.5" customHeight="1" x14ac:dyDescent="0.4">
      <c r="A619" s="4">
        <v>1</v>
      </c>
      <c r="B619" s="4" t="s">
        <v>239</v>
      </c>
      <c r="C619" s="4">
        <v>1481</v>
      </c>
      <c r="D619" s="4">
        <v>1</v>
      </c>
      <c r="E619" s="4">
        <v>1</v>
      </c>
      <c r="F619" s="4" t="s">
        <v>240</v>
      </c>
      <c r="G619" s="4" t="s">
        <v>241</v>
      </c>
      <c r="H619" s="4" t="s">
        <v>241</v>
      </c>
      <c r="I619" s="4" t="s">
        <v>4518</v>
      </c>
      <c r="J619" s="4" t="s">
        <v>3158</v>
      </c>
      <c r="K619" s="4" t="s">
        <v>251</v>
      </c>
      <c r="L619" s="4" t="s">
        <v>3180</v>
      </c>
      <c r="M619" s="5" t="s">
        <v>4675</v>
      </c>
      <c r="N619" s="6">
        <f>711</f>
        <v>711</v>
      </c>
      <c r="O619" s="4" t="s">
        <v>265</v>
      </c>
      <c r="P619" s="6">
        <f>7821</f>
        <v>7821</v>
      </c>
      <c r="Q619" s="6">
        <f>0</f>
        <v>0</v>
      </c>
      <c r="S619" s="6">
        <f>0</f>
        <v>0</v>
      </c>
      <c r="T619" s="6">
        <f>7821</f>
        <v>7821</v>
      </c>
      <c r="U619" s="5" t="s">
        <v>245</v>
      </c>
      <c r="V619" s="4" t="s">
        <v>270</v>
      </c>
      <c r="W619" s="4" t="s">
        <v>242</v>
      </c>
      <c r="X619" s="4" t="s">
        <v>243</v>
      </c>
      <c r="Y619" s="4" t="s">
        <v>241</v>
      </c>
      <c r="AB619" s="4" t="s">
        <v>241</v>
      </c>
      <c r="AD619" s="5" t="s">
        <v>241</v>
      </c>
      <c r="AG619" s="5" t="s">
        <v>246</v>
      </c>
      <c r="AH619" s="4" t="s">
        <v>241</v>
      </c>
      <c r="AI619" s="4" t="s">
        <v>247</v>
      </c>
      <c r="AJ619" s="4" t="s">
        <v>248</v>
      </c>
      <c r="AZ619" s="4" t="s">
        <v>249</v>
      </c>
      <c r="BA619" s="4" t="s">
        <v>241</v>
      </c>
      <c r="BB619" s="4" t="s">
        <v>250</v>
      </c>
      <c r="BC619" s="4" t="s">
        <v>241</v>
      </c>
      <c r="BD619" s="4" t="s">
        <v>252</v>
      </c>
      <c r="BE619" s="4" t="s">
        <v>241</v>
      </c>
      <c r="BI619" s="4" t="s">
        <v>253</v>
      </c>
      <c r="BJ619" s="5" t="s">
        <v>246</v>
      </c>
      <c r="BK619" s="4" t="s">
        <v>254</v>
      </c>
      <c r="BL619" s="4" t="s">
        <v>255</v>
      </c>
      <c r="BM619" s="4" t="s">
        <v>241</v>
      </c>
      <c r="BN619" s="6">
        <f>0</f>
        <v>0</v>
      </c>
      <c r="BO619" s="6">
        <f>0</f>
        <v>0</v>
      </c>
      <c r="BP619" s="4" t="s">
        <v>256</v>
      </c>
      <c r="BQ619" s="4" t="s">
        <v>257</v>
      </c>
      <c r="CE619" s="4" t="s">
        <v>241</v>
      </c>
      <c r="CF619" s="4" t="s">
        <v>241</v>
      </c>
      <c r="CJ619" s="4" t="s">
        <v>258</v>
      </c>
      <c r="CK619" s="4" t="s">
        <v>259</v>
      </c>
      <c r="CL619" s="4" t="s">
        <v>241</v>
      </c>
      <c r="CO619" s="5" t="s">
        <v>260</v>
      </c>
      <c r="CP619" s="4" t="s">
        <v>241</v>
      </c>
      <c r="CQ619" s="4" t="s">
        <v>261</v>
      </c>
      <c r="CR619" s="4" t="s">
        <v>241</v>
      </c>
      <c r="CS619" s="4" t="s">
        <v>241</v>
      </c>
      <c r="CT619" s="4">
        <v>0</v>
      </c>
      <c r="CU619" s="4" t="s">
        <v>262</v>
      </c>
      <c r="CV619" s="4" t="s">
        <v>263</v>
      </c>
      <c r="CW619" s="4" t="s">
        <v>263</v>
      </c>
      <c r="CX619" s="4" t="s">
        <v>264</v>
      </c>
      <c r="DA619" s="6">
        <f>7821</f>
        <v>7821</v>
      </c>
      <c r="DC619" s="4" t="s">
        <v>3160</v>
      </c>
      <c r="DD619" s="4" t="s">
        <v>241</v>
      </c>
      <c r="DF619" s="4" t="s">
        <v>287</v>
      </c>
      <c r="DG619" s="6">
        <f>0</f>
        <v>0</v>
      </c>
      <c r="DI619" s="4" t="s">
        <v>3167</v>
      </c>
      <c r="DJ619" s="4" t="s">
        <v>241</v>
      </c>
      <c r="DK619" s="4" t="s">
        <v>241</v>
      </c>
      <c r="DL619" s="4" t="s">
        <v>241</v>
      </c>
      <c r="DP619" s="4" t="s">
        <v>241</v>
      </c>
      <c r="DQ619" s="4" t="s">
        <v>241</v>
      </c>
      <c r="DR619" s="4" t="s">
        <v>241</v>
      </c>
      <c r="DS619" s="4" t="s">
        <v>241</v>
      </c>
      <c r="DV619" s="4" t="s">
        <v>4520</v>
      </c>
      <c r="DW619" s="4" t="s">
        <v>1585</v>
      </c>
      <c r="HO619" s="4" t="s">
        <v>267</v>
      </c>
    </row>
    <row r="620" spans="1:223" ht="19.5" customHeight="1" x14ac:dyDescent="0.4">
      <c r="A620" s="4">
        <v>1</v>
      </c>
      <c r="B620" s="4" t="s">
        <v>239</v>
      </c>
      <c r="C620" s="4">
        <v>1482</v>
      </c>
      <c r="D620" s="4">
        <v>1</v>
      </c>
      <c r="E620" s="4">
        <v>1</v>
      </c>
      <c r="F620" s="4" t="s">
        <v>240</v>
      </c>
      <c r="G620" s="4" t="s">
        <v>241</v>
      </c>
      <c r="H620" s="4" t="s">
        <v>241</v>
      </c>
      <c r="I620" s="4" t="s">
        <v>4518</v>
      </c>
      <c r="J620" s="4" t="s">
        <v>3158</v>
      </c>
      <c r="K620" s="4" t="s">
        <v>251</v>
      </c>
      <c r="L620" s="4" t="s">
        <v>3180</v>
      </c>
      <c r="M620" s="5" t="s">
        <v>4676</v>
      </c>
      <c r="N620" s="6">
        <f>2784</f>
        <v>2784</v>
      </c>
      <c r="O620" s="4" t="s">
        <v>265</v>
      </c>
      <c r="P620" s="6">
        <f>30624</f>
        <v>30624</v>
      </c>
      <c r="Q620" s="6">
        <f>0</f>
        <v>0</v>
      </c>
      <c r="S620" s="6">
        <f>0</f>
        <v>0</v>
      </c>
      <c r="T620" s="6">
        <f>30624</f>
        <v>30624</v>
      </c>
      <c r="U620" s="5" t="s">
        <v>245</v>
      </c>
      <c r="V620" s="4" t="s">
        <v>270</v>
      </c>
      <c r="W620" s="4" t="s">
        <v>242</v>
      </c>
      <c r="X620" s="4" t="s">
        <v>243</v>
      </c>
      <c r="Y620" s="4" t="s">
        <v>241</v>
      </c>
      <c r="AB620" s="4" t="s">
        <v>241</v>
      </c>
      <c r="AD620" s="5" t="s">
        <v>241</v>
      </c>
      <c r="AG620" s="5" t="s">
        <v>246</v>
      </c>
      <c r="AH620" s="4" t="s">
        <v>241</v>
      </c>
      <c r="AI620" s="4" t="s">
        <v>247</v>
      </c>
      <c r="AJ620" s="4" t="s">
        <v>248</v>
      </c>
      <c r="AZ620" s="4" t="s">
        <v>249</v>
      </c>
      <c r="BA620" s="4" t="s">
        <v>241</v>
      </c>
      <c r="BB620" s="4" t="s">
        <v>250</v>
      </c>
      <c r="BC620" s="4" t="s">
        <v>241</v>
      </c>
      <c r="BD620" s="4" t="s">
        <v>252</v>
      </c>
      <c r="BE620" s="4" t="s">
        <v>241</v>
      </c>
      <c r="BI620" s="4" t="s">
        <v>253</v>
      </c>
      <c r="BJ620" s="5" t="s">
        <v>246</v>
      </c>
      <c r="BK620" s="4" t="s">
        <v>254</v>
      </c>
      <c r="BL620" s="4" t="s">
        <v>255</v>
      </c>
      <c r="BM620" s="4" t="s">
        <v>241</v>
      </c>
      <c r="BN620" s="6">
        <f>0</f>
        <v>0</v>
      </c>
      <c r="BO620" s="6">
        <f>0</f>
        <v>0</v>
      </c>
      <c r="BP620" s="4" t="s">
        <v>256</v>
      </c>
      <c r="BQ620" s="4" t="s">
        <v>257</v>
      </c>
      <c r="CE620" s="4" t="s">
        <v>241</v>
      </c>
      <c r="CF620" s="4" t="s">
        <v>241</v>
      </c>
      <c r="CJ620" s="4" t="s">
        <v>258</v>
      </c>
      <c r="CK620" s="4" t="s">
        <v>259</v>
      </c>
      <c r="CL620" s="4" t="s">
        <v>241</v>
      </c>
      <c r="CO620" s="5" t="s">
        <v>260</v>
      </c>
      <c r="CP620" s="4" t="s">
        <v>241</v>
      </c>
      <c r="CQ620" s="4" t="s">
        <v>261</v>
      </c>
      <c r="CR620" s="4" t="s">
        <v>241</v>
      </c>
      <c r="CS620" s="4" t="s">
        <v>241</v>
      </c>
      <c r="CT620" s="4">
        <v>0</v>
      </c>
      <c r="CU620" s="4" t="s">
        <v>262</v>
      </c>
      <c r="CV620" s="4" t="s">
        <v>263</v>
      </c>
      <c r="CW620" s="4" t="s">
        <v>263</v>
      </c>
      <c r="CX620" s="4" t="s">
        <v>264</v>
      </c>
      <c r="DA620" s="6">
        <f>30624</f>
        <v>30624</v>
      </c>
      <c r="DC620" s="4" t="s">
        <v>3160</v>
      </c>
      <c r="DD620" s="4" t="s">
        <v>241</v>
      </c>
      <c r="DF620" s="4" t="s">
        <v>287</v>
      </c>
      <c r="DG620" s="6">
        <f>0</f>
        <v>0</v>
      </c>
      <c r="DI620" s="4" t="s">
        <v>3167</v>
      </c>
      <c r="DJ620" s="4" t="s">
        <v>241</v>
      </c>
      <c r="DK620" s="4" t="s">
        <v>241</v>
      </c>
      <c r="DL620" s="4" t="s">
        <v>241</v>
      </c>
      <c r="DP620" s="4" t="s">
        <v>241</v>
      </c>
      <c r="DQ620" s="4" t="s">
        <v>241</v>
      </c>
      <c r="DR620" s="4" t="s">
        <v>241</v>
      </c>
      <c r="DS620" s="4" t="s">
        <v>241</v>
      </c>
      <c r="DV620" s="4" t="s">
        <v>4520</v>
      </c>
      <c r="DW620" s="4" t="s">
        <v>1583</v>
      </c>
      <c r="HO620" s="4" t="s">
        <v>267</v>
      </c>
    </row>
    <row r="621" spans="1:223" ht="19.5" customHeight="1" x14ac:dyDescent="0.4">
      <c r="A621" s="4">
        <v>1</v>
      </c>
      <c r="B621" s="4" t="s">
        <v>239</v>
      </c>
      <c r="C621" s="4">
        <v>1483</v>
      </c>
      <c r="D621" s="4">
        <v>1</v>
      </c>
      <c r="E621" s="4">
        <v>1</v>
      </c>
      <c r="F621" s="4" t="s">
        <v>240</v>
      </c>
      <c r="G621" s="4" t="s">
        <v>241</v>
      </c>
      <c r="H621" s="4" t="s">
        <v>241</v>
      </c>
      <c r="I621" s="4" t="s">
        <v>4518</v>
      </c>
      <c r="J621" s="4" t="s">
        <v>3158</v>
      </c>
      <c r="K621" s="4" t="s">
        <v>251</v>
      </c>
      <c r="L621" s="4" t="s">
        <v>3180</v>
      </c>
      <c r="M621" s="5" t="s">
        <v>4677</v>
      </c>
      <c r="N621" s="6">
        <f>504</f>
        <v>504</v>
      </c>
      <c r="O621" s="4" t="s">
        <v>265</v>
      </c>
      <c r="P621" s="6">
        <f>5544</f>
        <v>5544</v>
      </c>
      <c r="Q621" s="6">
        <f>0</f>
        <v>0</v>
      </c>
      <c r="S621" s="6">
        <f>0</f>
        <v>0</v>
      </c>
      <c r="T621" s="6">
        <f>5544</f>
        <v>5544</v>
      </c>
      <c r="U621" s="5" t="s">
        <v>245</v>
      </c>
      <c r="V621" s="4" t="s">
        <v>270</v>
      </c>
      <c r="W621" s="4" t="s">
        <v>242</v>
      </c>
      <c r="X621" s="4" t="s">
        <v>243</v>
      </c>
      <c r="Y621" s="4" t="s">
        <v>241</v>
      </c>
      <c r="AB621" s="4" t="s">
        <v>241</v>
      </c>
      <c r="AD621" s="5" t="s">
        <v>241</v>
      </c>
      <c r="AG621" s="5" t="s">
        <v>246</v>
      </c>
      <c r="AH621" s="4" t="s">
        <v>241</v>
      </c>
      <c r="AI621" s="4" t="s">
        <v>247</v>
      </c>
      <c r="AJ621" s="4" t="s">
        <v>248</v>
      </c>
      <c r="AZ621" s="4" t="s">
        <v>249</v>
      </c>
      <c r="BA621" s="4" t="s">
        <v>241</v>
      </c>
      <c r="BB621" s="4" t="s">
        <v>250</v>
      </c>
      <c r="BC621" s="4" t="s">
        <v>241</v>
      </c>
      <c r="BD621" s="4" t="s">
        <v>252</v>
      </c>
      <c r="BE621" s="4" t="s">
        <v>241</v>
      </c>
      <c r="BI621" s="4" t="s">
        <v>253</v>
      </c>
      <c r="BJ621" s="5" t="s">
        <v>246</v>
      </c>
      <c r="BK621" s="4" t="s">
        <v>254</v>
      </c>
      <c r="BL621" s="4" t="s">
        <v>255</v>
      </c>
      <c r="BM621" s="4" t="s">
        <v>241</v>
      </c>
      <c r="BN621" s="6">
        <f>0</f>
        <v>0</v>
      </c>
      <c r="BO621" s="6">
        <f>0</f>
        <v>0</v>
      </c>
      <c r="BP621" s="4" t="s">
        <v>256</v>
      </c>
      <c r="BQ621" s="4" t="s">
        <v>257</v>
      </c>
      <c r="CE621" s="4" t="s">
        <v>241</v>
      </c>
      <c r="CF621" s="4" t="s">
        <v>241</v>
      </c>
      <c r="CJ621" s="4" t="s">
        <v>258</v>
      </c>
      <c r="CK621" s="4" t="s">
        <v>259</v>
      </c>
      <c r="CL621" s="4" t="s">
        <v>241</v>
      </c>
      <c r="CO621" s="5" t="s">
        <v>260</v>
      </c>
      <c r="CP621" s="4" t="s">
        <v>241</v>
      </c>
      <c r="CQ621" s="4" t="s">
        <v>261</v>
      </c>
      <c r="CR621" s="4" t="s">
        <v>241</v>
      </c>
      <c r="CS621" s="4" t="s">
        <v>241</v>
      </c>
      <c r="CT621" s="4">
        <v>0</v>
      </c>
      <c r="CU621" s="4" t="s">
        <v>262</v>
      </c>
      <c r="CV621" s="4" t="s">
        <v>263</v>
      </c>
      <c r="CW621" s="4" t="s">
        <v>263</v>
      </c>
      <c r="CX621" s="4" t="s">
        <v>264</v>
      </c>
      <c r="DA621" s="6">
        <f>5544</f>
        <v>5544</v>
      </c>
      <c r="DC621" s="4" t="s">
        <v>3160</v>
      </c>
      <c r="DD621" s="4" t="s">
        <v>241</v>
      </c>
      <c r="DF621" s="4" t="s">
        <v>287</v>
      </c>
      <c r="DG621" s="6">
        <f>0</f>
        <v>0</v>
      </c>
      <c r="DI621" s="4" t="s">
        <v>3167</v>
      </c>
      <c r="DJ621" s="4" t="s">
        <v>241</v>
      </c>
      <c r="DK621" s="4" t="s">
        <v>241</v>
      </c>
      <c r="DL621" s="4" t="s">
        <v>241</v>
      </c>
      <c r="DP621" s="4" t="s">
        <v>241</v>
      </c>
      <c r="DQ621" s="4" t="s">
        <v>241</v>
      </c>
      <c r="DR621" s="4" t="s">
        <v>241</v>
      </c>
      <c r="DS621" s="4" t="s">
        <v>241</v>
      </c>
      <c r="DV621" s="4" t="s">
        <v>4520</v>
      </c>
      <c r="DW621" s="4" t="s">
        <v>1581</v>
      </c>
      <c r="HO621" s="4" t="s">
        <v>267</v>
      </c>
    </row>
    <row r="622" spans="1:223" ht="19.5" customHeight="1" x14ac:dyDescent="0.4">
      <c r="A622" s="4">
        <v>1</v>
      </c>
      <c r="B622" s="4" t="s">
        <v>239</v>
      </c>
      <c r="C622" s="4">
        <v>1484</v>
      </c>
      <c r="D622" s="4">
        <v>1</v>
      </c>
      <c r="E622" s="4">
        <v>1</v>
      </c>
      <c r="F622" s="4" t="s">
        <v>240</v>
      </c>
      <c r="G622" s="4" t="s">
        <v>241</v>
      </c>
      <c r="H622" s="4" t="s">
        <v>241</v>
      </c>
      <c r="I622" s="4" t="s">
        <v>4518</v>
      </c>
      <c r="J622" s="4" t="s">
        <v>3158</v>
      </c>
      <c r="K622" s="4" t="s">
        <v>251</v>
      </c>
      <c r="L622" s="4" t="s">
        <v>3180</v>
      </c>
      <c r="M622" s="5" t="s">
        <v>4678</v>
      </c>
      <c r="N622" s="6">
        <f>337</f>
        <v>337</v>
      </c>
      <c r="O622" s="4" t="s">
        <v>265</v>
      </c>
      <c r="P622" s="6">
        <f>3707</f>
        <v>3707</v>
      </c>
      <c r="Q622" s="6">
        <f>0</f>
        <v>0</v>
      </c>
      <c r="S622" s="6">
        <f>0</f>
        <v>0</v>
      </c>
      <c r="T622" s="6">
        <f>3707</f>
        <v>3707</v>
      </c>
      <c r="U622" s="5" t="s">
        <v>245</v>
      </c>
      <c r="V622" s="4" t="s">
        <v>270</v>
      </c>
      <c r="W622" s="4" t="s">
        <v>242</v>
      </c>
      <c r="X622" s="4" t="s">
        <v>243</v>
      </c>
      <c r="Y622" s="4" t="s">
        <v>241</v>
      </c>
      <c r="AB622" s="4" t="s">
        <v>241</v>
      </c>
      <c r="AD622" s="5" t="s">
        <v>241</v>
      </c>
      <c r="AG622" s="5" t="s">
        <v>246</v>
      </c>
      <c r="AH622" s="4" t="s">
        <v>241</v>
      </c>
      <c r="AI622" s="4" t="s">
        <v>247</v>
      </c>
      <c r="AJ622" s="4" t="s">
        <v>248</v>
      </c>
      <c r="AZ622" s="4" t="s">
        <v>249</v>
      </c>
      <c r="BA622" s="4" t="s">
        <v>241</v>
      </c>
      <c r="BB622" s="4" t="s">
        <v>250</v>
      </c>
      <c r="BC622" s="4" t="s">
        <v>241</v>
      </c>
      <c r="BD622" s="4" t="s">
        <v>252</v>
      </c>
      <c r="BE622" s="4" t="s">
        <v>241</v>
      </c>
      <c r="BI622" s="4" t="s">
        <v>253</v>
      </c>
      <c r="BJ622" s="5" t="s">
        <v>246</v>
      </c>
      <c r="BK622" s="4" t="s">
        <v>254</v>
      </c>
      <c r="BL622" s="4" t="s">
        <v>255</v>
      </c>
      <c r="BM622" s="4" t="s">
        <v>241</v>
      </c>
      <c r="BN622" s="6">
        <f>0</f>
        <v>0</v>
      </c>
      <c r="BO622" s="6">
        <f>0</f>
        <v>0</v>
      </c>
      <c r="BP622" s="4" t="s">
        <v>256</v>
      </c>
      <c r="BQ622" s="4" t="s">
        <v>257</v>
      </c>
      <c r="CE622" s="4" t="s">
        <v>241</v>
      </c>
      <c r="CF622" s="4" t="s">
        <v>241</v>
      </c>
      <c r="CJ622" s="4" t="s">
        <v>258</v>
      </c>
      <c r="CK622" s="4" t="s">
        <v>259</v>
      </c>
      <c r="CL622" s="4" t="s">
        <v>241</v>
      </c>
      <c r="CO622" s="5" t="s">
        <v>260</v>
      </c>
      <c r="CP622" s="4" t="s">
        <v>241</v>
      </c>
      <c r="CQ622" s="4" t="s">
        <v>261</v>
      </c>
      <c r="CR622" s="4" t="s">
        <v>241</v>
      </c>
      <c r="CS622" s="4" t="s">
        <v>241</v>
      </c>
      <c r="CT622" s="4">
        <v>0</v>
      </c>
      <c r="CU622" s="4" t="s">
        <v>262</v>
      </c>
      <c r="CV622" s="4" t="s">
        <v>263</v>
      </c>
      <c r="CW622" s="4" t="s">
        <v>263</v>
      </c>
      <c r="CX622" s="4" t="s">
        <v>264</v>
      </c>
      <c r="DA622" s="6">
        <f>3707</f>
        <v>3707</v>
      </c>
      <c r="DC622" s="4" t="s">
        <v>3160</v>
      </c>
      <c r="DD622" s="4" t="s">
        <v>241</v>
      </c>
      <c r="DF622" s="4" t="s">
        <v>287</v>
      </c>
      <c r="DG622" s="6">
        <f>0</f>
        <v>0</v>
      </c>
      <c r="DI622" s="4" t="s">
        <v>3167</v>
      </c>
      <c r="DJ622" s="4" t="s">
        <v>241</v>
      </c>
      <c r="DK622" s="4" t="s">
        <v>241</v>
      </c>
      <c r="DL622" s="4" t="s">
        <v>241</v>
      </c>
      <c r="DP622" s="4" t="s">
        <v>241</v>
      </c>
      <c r="DQ622" s="4" t="s">
        <v>241</v>
      </c>
      <c r="DR622" s="4" t="s">
        <v>241</v>
      </c>
      <c r="DS622" s="4" t="s">
        <v>241</v>
      </c>
      <c r="DV622" s="4" t="s">
        <v>4520</v>
      </c>
      <c r="DW622" s="4" t="s">
        <v>1579</v>
      </c>
      <c r="HO622" s="4" t="s">
        <v>267</v>
      </c>
    </row>
    <row r="623" spans="1:223" ht="19.5" customHeight="1" x14ac:dyDescent="0.4">
      <c r="A623" s="4">
        <v>1</v>
      </c>
      <c r="B623" s="4" t="s">
        <v>239</v>
      </c>
      <c r="C623" s="4">
        <v>1485</v>
      </c>
      <c r="D623" s="4">
        <v>1</v>
      </c>
      <c r="E623" s="4">
        <v>1</v>
      </c>
      <c r="F623" s="4" t="s">
        <v>240</v>
      </c>
      <c r="G623" s="4" t="s">
        <v>241</v>
      </c>
      <c r="H623" s="4" t="s">
        <v>241</v>
      </c>
      <c r="I623" s="4" t="s">
        <v>4518</v>
      </c>
      <c r="J623" s="4" t="s">
        <v>3158</v>
      </c>
      <c r="K623" s="4" t="s">
        <v>251</v>
      </c>
      <c r="L623" s="4" t="s">
        <v>3180</v>
      </c>
      <c r="M623" s="5" t="s">
        <v>4679</v>
      </c>
      <c r="N623" s="6">
        <f>389</f>
        <v>389</v>
      </c>
      <c r="O623" s="4" t="s">
        <v>265</v>
      </c>
      <c r="P623" s="6">
        <f>4279</f>
        <v>4279</v>
      </c>
      <c r="Q623" s="6">
        <f>0</f>
        <v>0</v>
      </c>
      <c r="S623" s="6">
        <f>0</f>
        <v>0</v>
      </c>
      <c r="T623" s="6">
        <f>4279</f>
        <v>4279</v>
      </c>
      <c r="U623" s="5" t="s">
        <v>245</v>
      </c>
      <c r="V623" s="4" t="s">
        <v>270</v>
      </c>
      <c r="W623" s="4" t="s">
        <v>242</v>
      </c>
      <c r="X623" s="4" t="s">
        <v>243</v>
      </c>
      <c r="Y623" s="4" t="s">
        <v>241</v>
      </c>
      <c r="AB623" s="4" t="s">
        <v>241</v>
      </c>
      <c r="AD623" s="5" t="s">
        <v>241</v>
      </c>
      <c r="AG623" s="5" t="s">
        <v>246</v>
      </c>
      <c r="AH623" s="4" t="s">
        <v>241</v>
      </c>
      <c r="AI623" s="4" t="s">
        <v>247</v>
      </c>
      <c r="AJ623" s="4" t="s">
        <v>248</v>
      </c>
      <c r="AZ623" s="4" t="s">
        <v>249</v>
      </c>
      <c r="BA623" s="4" t="s">
        <v>241</v>
      </c>
      <c r="BB623" s="4" t="s">
        <v>250</v>
      </c>
      <c r="BC623" s="4" t="s">
        <v>241</v>
      </c>
      <c r="BD623" s="4" t="s">
        <v>252</v>
      </c>
      <c r="BE623" s="4" t="s">
        <v>241</v>
      </c>
      <c r="BI623" s="4" t="s">
        <v>253</v>
      </c>
      <c r="BJ623" s="5" t="s">
        <v>246</v>
      </c>
      <c r="BK623" s="4" t="s">
        <v>254</v>
      </c>
      <c r="BL623" s="4" t="s">
        <v>255</v>
      </c>
      <c r="BM623" s="4" t="s">
        <v>241</v>
      </c>
      <c r="BN623" s="6">
        <f>0</f>
        <v>0</v>
      </c>
      <c r="BO623" s="6">
        <f>0</f>
        <v>0</v>
      </c>
      <c r="BP623" s="4" t="s">
        <v>256</v>
      </c>
      <c r="BQ623" s="4" t="s">
        <v>257</v>
      </c>
      <c r="CE623" s="4" t="s">
        <v>241</v>
      </c>
      <c r="CF623" s="4" t="s">
        <v>241</v>
      </c>
      <c r="CJ623" s="4" t="s">
        <v>258</v>
      </c>
      <c r="CK623" s="4" t="s">
        <v>259</v>
      </c>
      <c r="CL623" s="4" t="s">
        <v>241</v>
      </c>
      <c r="CO623" s="5" t="s">
        <v>260</v>
      </c>
      <c r="CP623" s="4" t="s">
        <v>241</v>
      </c>
      <c r="CQ623" s="4" t="s">
        <v>261</v>
      </c>
      <c r="CR623" s="4" t="s">
        <v>241</v>
      </c>
      <c r="CS623" s="4" t="s">
        <v>241</v>
      </c>
      <c r="CT623" s="4">
        <v>0</v>
      </c>
      <c r="CU623" s="4" t="s">
        <v>262</v>
      </c>
      <c r="CV623" s="4" t="s">
        <v>263</v>
      </c>
      <c r="CW623" s="4" t="s">
        <v>263</v>
      </c>
      <c r="CX623" s="4" t="s">
        <v>264</v>
      </c>
      <c r="DA623" s="6">
        <f>4279</f>
        <v>4279</v>
      </c>
      <c r="DC623" s="4" t="s">
        <v>3160</v>
      </c>
      <c r="DD623" s="4" t="s">
        <v>241</v>
      </c>
      <c r="DF623" s="4" t="s">
        <v>287</v>
      </c>
      <c r="DG623" s="6">
        <f>0</f>
        <v>0</v>
      </c>
      <c r="DI623" s="4" t="s">
        <v>3167</v>
      </c>
      <c r="DJ623" s="4" t="s">
        <v>241</v>
      </c>
      <c r="DK623" s="4" t="s">
        <v>241</v>
      </c>
      <c r="DL623" s="4" t="s">
        <v>241</v>
      </c>
      <c r="DP623" s="4" t="s">
        <v>241</v>
      </c>
      <c r="DQ623" s="4" t="s">
        <v>241</v>
      </c>
      <c r="DR623" s="4" t="s">
        <v>241</v>
      </c>
      <c r="DS623" s="4" t="s">
        <v>241</v>
      </c>
      <c r="DV623" s="4" t="s">
        <v>4520</v>
      </c>
      <c r="DW623" s="4" t="s">
        <v>1577</v>
      </c>
      <c r="HO623" s="4" t="s">
        <v>267</v>
      </c>
    </row>
    <row r="624" spans="1:223" ht="19.5" customHeight="1" x14ac:dyDescent="0.4">
      <c r="A624" s="4">
        <v>1</v>
      </c>
      <c r="B624" s="4" t="s">
        <v>239</v>
      </c>
      <c r="C624" s="4">
        <v>1486</v>
      </c>
      <c r="D624" s="4">
        <v>1</v>
      </c>
      <c r="E624" s="4">
        <v>1</v>
      </c>
      <c r="F624" s="4" t="s">
        <v>240</v>
      </c>
      <c r="G624" s="4" t="s">
        <v>241</v>
      </c>
      <c r="H624" s="4" t="s">
        <v>241</v>
      </c>
      <c r="I624" s="4" t="s">
        <v>4518</v>
      </c>
      <c r="J624" s="4" t="s">
        <v>3158</v>
      </c>
      <c r="K624" s="4" t="s">
        <v>251</v>
      </c>
      <c r="L624" s="4" t="s">
        <v>3180</v>
      </c>
      <c r="M624" s="5" t="s">
        <v>4680</v>
      </c>
      <c r="N624" s="6">
        <f>1461</f>
        <v>1461</v>
      </c>
      <c r="O624" s="4" t="s">
        <v>265</v>
      </c>
      <c r="P624" s="6">
        <f>16071</f>
        <v>16071</v>
      </c>
      <c r="Q624" s="6">
        <f>0</f>
        <v>0</v>
      </c>
      <c r="S624" s="6">
        <f>0</f>
        <v>0</v>
      </c>
      <c r="T624" s="6">
        <f>16071</f>
        <v>16071</v>
      </c>
      <c r="U624" s="5" t="s">
        <v>245</v>
      </c>
      <c r="V624" s="4" t="s">
        <v>270</v>
      </c>
      <c r="W624" s="4" t="s">
        <v>242</v>
      </c>
      <c r="X624" s="4" t="s">
        <v>243</v>
      </c>
      <c r="Y624" s="4" t="s">
        <v>241</v>
      </c>
      <c r="AB624" s="4" t="s">
        <v>241</v>
      </c>
      <c r="AD624" s="5" t="s">
        <v>241</v>
      </c>
      <c r="AG624" s="5" t="s">
        <v>246</v>
      </c>
      <c r="AH624" s="4" t="s">
        <v>241</v>
      </c>
      <c r="AI624" s="4" t="s">
        <v>247</v>
      </c>
      <c r="AJ624" s="4" t="s">
        <v>248</v>
      </c>
      <c r="AZ624" s="4" t="s">
        <v>249</v>
      </c>
      <c r="BA624" s="4" t="s">
        <v>241</v>
      </c>
      <c r="BB624" s="4" t="s">
        <v>250</v>
      </c>
      <c r="BC624" s="4" t="s">
        <v>241</v>
      </c>
      <c r="BD624" s="4" t="s">
        <v>252</v>
      </c>
      <c r="BE624" s="4" t="s">
        <v>241</v>
      </c>
      <c r="BI624" s="4" t="s">
        <v>253</v>
      </c>
      <c r="BJ624" s="5" t="s">
        <v>246</v>
      </c>
      <c r="BK624" s="4" t="s">
        <v>254</v>
      </c>
      <c r="BL624" s="4" t="s">
        <v>255</v>
      </c>
      <c r="BM624" s="4" t="s">
        <v>241</v>
      </c>
      <c r="BN624" s="6">
        <f>0</f>
        <v>0</v>
      </c>
      <c r="BO624" s="6">
        <f>0</f>
        <v>0</v>
      </c>
      <c r="BP624" s="4" t="s">
        <v>256</v>
      </c>
      <c r="BQ624" s="4" t="s">
        <v>257</v>
      </c>
      <c r="CE624" s="4" t="s">
        <v>241</v>
      </c>
      <c r="CF624" s="4" t="s">
        <v>241</v>
      </c>
      <c r="CJ624" s="4" t="s">
        <v>258</v>
      </c>
      <c r="CK624" s="4" t="s">
        <v>259</v>
      </c>
      <c r="CL624" s="4" t="s">
        <v>241</v>
      </c>
      <c r="CO624" s="5" t="s">
        <v>260</v>
      </c>
      <c r="CP624" s="4" t="s">
        <v>241</v>
      </c>
      <c r="CQ624" s="4" t="s">
        <v>261</v>
      </c>
      <c r="CR624" s="4" t="s">
        <v>241</v>
      </c>
      <c r="CS624" s="4" t="s">
        <v>241</v>
      </c>
      <c r="CT624" s="4">
        <v>0</v>
      </c>
      <c r="CU624" s="4" t="s">
        <v>262</v>
      </c>
      <c r="CV624" s="4" t="s">
        <v>263</v>
      </c>
      <c r="CW624" s="4" t="s">
        <v>263</v>
      </c>
      <c r="CX624" s="4" t="s">
        <v>264</v>
      </c>
      <c r="DA624" s="6">
        <f>16071</f>
        <v>16071</v>
      </c>
      <c r="DC624" s="4" t="s">
        <v>3160</v>
      </c>
      <c r="DD624" s="4" t="s">
        <v>241</v>
      </c>
      <c r="DF624" s="4" t="s">
        <v>287</v>
      </c>
      <c r="DG624" s="6">
        <f>0</f>
        <v>0</v>
      </c>
      <c r="DI624" s="4" t="s">
        <v>3167</v>
      </c>
      <c r="DJ624" s="4" t="s">
        <v>241</v>
      </c>
      <c r="DK624" s="4" t="s">
        <v>241</v>
      </c>
      <c r="DL624" s="4" t="s">
        <v>241</v>
      </c>
      <c r="DP624" s="4" t="s">
        <v>241</v>
      </c>
      <c r="DQ624" s="4" t="s">
        <v>241</v>
      </c>
      <c r="DR624" s="4" t="s">
        <v>241</v>
      </c>
      <c r="DS624" s="4" t="s">
        <v>241</v>
      </c>
      <c r="DV624" s="4" t="s">
        <v>4520</v>
      </c>
      <c r="DW624" s="4" t="s">
        <v>1575</v>
      </c>
      <c r="HO624" s="4" t="s">
        <v>267</v>
      </c>
    </row>
    <row r="625" spans="1:223" ht="19.5" customHeight="1" x14ac:dyDescent="0.4">
      <c r="A625" s="4">
        <v>1</v>
      </c>
      <c r="B625" s="4" t="s">
        <v>239</v>
      </c>
      <c r="C625" s="4">
        <v>1487</v>
      </c>
      <c r="D625" s="4">
        <v>1</v>
      </c>
      <c r="E625" s="4">
        <v>1</v>
      </c>
      <c r="F625" s="4" t="s">
        <v>240</v>
      </c>
      <c r="G625" s="4" t="s">
        <v>241</v>
      </c>
      <c r="H625" s="4" t="s">
        <v>241</v>
      </c>
      <c r="I625" s="4" t="s">
        <v>4518</v>
      </c>
      <c r="J625" s="4" t="s">
        <v>3158</v>
      </c>
      <c r="K625" s="4" t="s">
        <v>251</v>
      </c>
      <c r="L625" s="4" t="s">
        <v>3180</v>
      </c>
      <c r="M625" s="5" t="s">
        <v>5455</v>
      </c>
      <c r="N625" s="6">
        <f>3338</f>
        <v>3338</v>
      </c>
      <c r="O625" s="4" t="s">
        <v>265</v>
      </c>
      <c r="P625" s="6">
        <f>36718</f>
        <v>36718</v>
      </c>
      <c r="Q625" s="6">
        <f>0</f>
        <v>0</v>
      </c>
      <c r="S625" s="6">
        <f>0</f>
        <v>0</v>
      </c>
      <c r="T625" s="6">
        <f>36718</f>
        <v>36718</v>
      </c>
      <c r="U625" s="5" t="s">
        <v>245</v>
      </c>
      <c r="V625" s="4" t="s">
        <v>270</v>
      </c>
      <c r="W625" s="4" t="s">
        <v>242</v>
      </c>
      <c r="X625" s="4" t="s">
        <v>243</v>
      </c>
      <c r="Y625" s="4" t="s">
        <v>241</v>
      </c>
      <c r="AB625" s="4" t="s">
        <v>241</v>
      </c>
      <c r="AD625" s="5" t="s">
        <v>241</v>
      </c>
      <c r="AG625" s="5" t="s">
        <v>246</v>
      </c>
      <c r="AH625" s="4" t="s">
        <v>241</v>
      </c>
      <c r="AI625" s="4" t="s">
        <v>247</v>
      </c>
      <c r="AJ625" s="4" t="s">
        <v>248</v>
      </c>
      <c r="AZ625" s="4" t="s">
        <v>249</v>
      </c>
      <c r="BA625" s="4" t="s">
        <v>241</v>
      </c>
      <c r="BB625" s="4" t="s">
        <v>250</v>
      </c>
      <c r="BC625" s="4" t="s">
        <v>241</v>
      </c>
      <c r="BD625" s="4" t="s">
        <v>252</v>
      </c>
      <c r="BE625" s="4" t="s">
        <v>241</v>
      </c>
      <c r="BI625" s="4" t="s">
        <v>253</v>
      </c>
      <c r="BJ625" s="5" t="s">
        <v>246</v>
      </c>
      <c r="BK625" s="4" t="s">
        <v>254</v>
      </c>
      <c r="BL625" s="4" t="s">
        <v>255</v>
      </c>
      <c r="BM625" s="4" t="s">
        <v>241</v>
      </c>
      <c r="BN625" s="6">
        <f>0</f>
        <v>0</v>
      </c>
      <c r="BO625" s="6">
        <f>0</f>
        <v>0</v>
      </c>
      <c r="BP625" s="4" t="s">
        <v>256</v>
      </c>
      <c r="BQ625" s="4" t="s">
        <v>257</v>
      </c>
      <c r="CE625" s="4" t="s">
        <v>241</v>
      </c>
      <c r="CF625" s="4" t="s">
        <v>241</v>
      </c>
      <c r="CJ625" s="4" t="s">
        <v>258</v>
      </c>
      <c r="CK625" s="4" t="s">
        <v>259</v>
      </c>
      <c r="CL625" s="4" t="s">
        <v>241</v>
      </c>
      <c r="CO625" s="5" t="s">
        <v>260</v>
      </c>
      <c r="CP625" s="4" t="s">
        <v>241</v>
      </c>
      <c r="CQ625" s="4" t="s">
        <v>261</v>
      </c>
      <c r="CR625" s="4" t="s">
        <v>241</v>
      </c>
      <c r="CS625" s="4" t="s">
        <v>241</v>
      </c>
      <c r="CT625" s="4">
        <v>0</v>
      </c>
      <c r="CU625" s="4" t="s">
        <v>262</v>
      </c>
      <c r="CV625" s="4" t="s">
        <v>263</v>
      </c>
      <c r="CW625" s="4" t="s">
        <v>263</v>
      </c>
      <c r="CX625" s="4" t="s">
        <v>264</v>
      </c>
      <c r="DA625" s="6">
        <f>36718</f>
        <v>36718</v>
      </c>
      <c r="DC625" s="4" t="s">
        <v>3160</v>
      </c>
      <c r="DD625" s="4" t="s">
        <v>241</v>
      </c>
      <c r="DF625" s="4" t="s">
        <v>287</v>
      </c>
      <c r="DG625" s="6">
        <f>0</f>
        <v>0</v>
      </c>
      <c r="DI625" s="4" t="s">
        <v>3167</v>
      </c>
      <c r="DJ625" s="4" t="s">
        <v>241</v>
      </c>
      <c r="DK625" s="4" t="s">
        <v>241</v>
      </c>
      <c r="DL625" s="4" t="s">
        <v>241</v>
      </c>
      <c r="DP625" s="4" t="s">
        <v>241</v>
      </c>
      <c r="DQ625" s="4" t="s">
        <v>241</v>
      </c>
      <c r="DR625" s="4" t="s">
        <v>241</v>
      </c>
      <c r="DS625" s="4" t="s">
        <v>241</v>
      </c>
      <c r="DV625" s="4" t="s">
        <v>4520</v>
      </c>
      <c r="DW625" s="4" t="s">
        <v>1573</v>
      </c>
      <c r="HO625" s="4" t="s">
        <v>267</v>
      </c>
    </row>
    <row r="626" spans="1:223" ht="19.5" customHeight="1" x14ac:dyDescent="0.4">
      <c r="A626" s="4">
        <v>1</v>
      </c>
      <c r="B626" s="4" t="s">
        <v>239</v>
      </c>
      <c r="C626" s="4">
        <v>1488</v>
      </c>
      <c r="D626" s="4">
        <v>1</v>
      </c>
      <c r="E626" s="4">
        <v>1</v>
      </c>
      <c r="F626" s="4" t="s">
        <v>240</v>
      </c>
      <c r="G626" s="4" t="s">
        <v>241</v>
      </c>
      <c r="H626" s="4" t="s">
        <v>241</v>
      </c>
      <c r="I626" s="4" t="s">
        <v>4518</v>
      </c>
      <c r="J626" s="4" t="s">
        <v>3158</v>
      </c>
      <c r="K626" s="4" t="s">
        <v>251</v>
      </c>
      <c r="L626" s="4" t="s">
        <v>3180</v>
      </c>
      <c r="M626" s="5" t="s">
        <v>4682</v>
      </c>
      <c r="N626" s="6">
        <f>5925</f>
        <v>5925</v>
      </c>
      <c r="O626" s="4" t="s">
        <v>265</v>
      </c>
      <c r="P626" s="6">
        <f>65175</f>
        <v>65175</v>
      </c>
      <c r="Q626" s="6">
        <f>0</f>
        <v>0</v>
      </c>
      <c r="S626" s="6">
        <f>0</f>
        <v>0</v>
      </c>
      <c r="T626" s="6">
        <f>65175</f>
        <v>65175</v>
      </c>
      <c r="U626" s="5" t="s">
        <v>245</v>
      </c>
      <c r="V626" s="4" t="s">
        <v>270</v>
      </c>
      <c r="W626" s="4" t="s">
        <v>242</v>
      </c>
      <c r="X626" s="4" t="s">
        <v>243</v>
      </c>
      <c r="Y626" s="4" t="s">
        <v>241</v>
      </c>
      <c r="AB626" s="4" t="s">
        <v>241</v>
      </c>
      <c r="AD626" s="5" t="s">
        <v>241</v>
      </c>
      <c r="AG626" s="5" t="s">
        <v>246</v>
      </c>
      <c r="AH626" s="4" t="s">
        <v>241</v>
      </c>
      <c r="AI626" s="4" t="s">
        <v>247</v>
      </c>
      <c r="AJ626" s="4" t="s">
        <v>248</v>
      </c>
      <c r="AZ626" s="4" t="s">
        <v>249</v>
      </c>
      <c r="BA626" s="4" t="s">
        <v>241</v>
      </c>
      <c r="BB626" s="4" t="s">
        <v>250</v>
      </c>
      <c r="BC626" s="4" t="s">
        <v>241</v>
      </c>
      <c r="BD626" s="4" t="s">
        <v>252</v>
      </c>
      <c r="BE626" s="4" t="s">
        <v>241</v>
      </c>
      <c r="BI626" s="4" t="s">
        <v>253</v>
      </c>
      <c r="BJ626" s="5" t="s">
        <v>246</v>
      </c>
      <c r="BK626" s="4" t="s">
        <v>254</v>
      </c>
      <c r="BL626" s="4" t="s">
        <v>255</v>
      </c>
      <c r="BM626" s="4" t="s">
        <v>241</v>
      </c>
      <c r="BN626" s="6">
        <f>0</f>
        <v>0</v>
      </c>
      <c r="BO626" s="6">
        <f>0</f>
        <v>0</v>
      </c>
      <c r="BP626" s="4" t="s">
        <v>256</v>
      </c>
      <c r="BQ626" s="4" t="s">
        <v>257</v>
      </c>
      <c r="CE626" s="4" t="s">
        <v>241</v>
      </c>
      <c r="CF626" s="4" t="s">
        <v>241</v>
      </c>
      <c r="CJ626" s="4" t="s">
        <v>258</v>
      </c>
      <c r="CK626" s="4" t="s">
        <v>259</v>
      </c>
      <c r="CL626" s="4" t="s">
        <v>241</v>
      </c>
      <c r="CO626" s="5" t="s">
        <v>260</v>
      </c>
      <c r="CP626" s="4" t="s">
        <v>241</v>
      </c>
      <c r="CQ626" s="4" t="s">
        <v>261</v>
      </c>
      <c r="CR626" s="4" t="s">
        <v>241</v>
      </c>
      <c r="CS626" s="4" t="s">
        <v>241</v>
      </c>
      <c r="CT626" s="4">
        <v>0</v>
      </c>
      <c r="CU626" s="4" t="s">
        <v>262</v>
      </c>
      <c r="CV626" s="4" t="s">
        <v>263</v>
      </c>
      <c r="CW626" s="4" t="s">
        <v>263</v>
      </c>
      <c r="CX626" s="4" t="s">
        <v>264</v>
      </c>
      <c r="DA626" s="6">
        <f>65175</f>
        <v>65175</v>
      </c>
      <c r="DC626" s="4" t="s">
        <v>3160</v>
      </c>
      <c r="DD626" s="4" t="s">
        <v>241</v>
      </c>
      <c r="DF626" s="4" t="s">
        <v>287</v>
      </c>
      <c r="DG626" s="6">
        <f>0</f>
        <v>0</v>
      </c>
      <c r="DI626" s="4" t="s">
        <v>3167</v>
      </c>
      <c r="DJ626" s="4" t="s">
        <v>241</v>
      </c>
      <c r="DK626" s="4" t="s">
        <v>241</v>
      </c>
      <c r="DL626" s="4" t="s">
        <v>241</v>
      </c>
      <c r="DP626" s="4" t="s">
        <v>241</v>
      </c>
      <c r="DQ626" s="4" t="s">
        <v>241</v>
      </c>
      <c r="DR626" s="4" t="s">
        <v>241</v>
      </c>
      <c r="DS626" s="4" t="s">
        <v>241</v>
      </c>
      <c r="DV626" s="4" t="s">
        <v>4520</v>
      </c>
      <c r="DW626" s="4" t="s">
        <v>1571</v>
      </c>
      <c r="HO626" s="4" t="s">
        <v>267</v>
      </c>
    </row>
    <row r="627" spans="1:223" ht="19.5" customHeight="1" x14ac:dyDescent="0.4">
      <c r="A627" s="4">
        <v>1</v>
      </c>
      <c r="B627" s="4" t="s">
        <v>239</v>
      </c>
      <c r="C627" s="4">
        <v>1489</v>
      </c>
      <c r="D627" s="4">
        <v>1</v>
      </c>
      <c r="E627" s="4">
        <v>1</v>
      </c>
      <c r="F627" s="4" t="s">
        <v>240</v>
      </c>
      <c r="G627" s="4" t="s">
        <v>241</v>
      </c>
      <c r="H627" s="4" t="s">
        <v>241</v>
      </c>
      <c r="I627" s="4" t="s">
        <v>4518</v>
      </c>
      <c r="J627" s="4" t="s">
        <v>3158</v>
      </c>
      <c r="K627" s="4" t="s">
        <v>251</v>
      </c>
      <c r="L627" s="4" t="s">
        <v>3180</v>
      </c>
      <c r="M627" s="5" t="s">
        <v>4683</v>
      </c>
      <c r="N627" s="6">
        <f>280</f>
        <v>280</v>
      </c>
      <c r="O627" s="4" t="s">
        <v>265</v>
      </c>
      <c r="P627" s="6">
        <f>3080</f>
        <v>3080</v>
      </c>
      <c r="Q627" s="6">
        <f>0</f>
        <v>0</v>
      </c>
      <c r="S627" s="6">
        <f>0</f>
        <v>0</v>
      </c>
      <c r="T627" s="6">
        <f>3080</f>
        <v>3080</v>
      </c>
      <c r="U627" s="5" t="s">
        <v>245</v>
      </c>
      <c r="V627" s="4" t="s">
        <v>270</v>
      </c>
      <c r="W627" s="4" t="s">
        <v>242</v>
      </c>
      <c r="X627" s="4" t="s">
        <v>243</v>
      </c>
      <c r="Y627" s="4" t="s">
        <v>241</v>
      </c>
      <c r="AB627" s="4" t="s">
        <v>241</v>
      </c>
      <c r="AD627" s="5" t="s">
        <v>241</v>
      </c>
      <c r="AG627" s="5" t="s">
        <v>246</v>
      </c>
      <c r="AH627" s="4" t="s">
        <v>241</v>
      </c>
      <c r="AI627" s="4" t="s">
        <v>247</v>
      </c>
      <c r="AJ627" s="4" t="s">
        <v>248</v>
      </c>
      <c r="AZ627" s="4" t="s">
        <v>249</v>
      </c>
      <c r="BA627" s="4" t="s">
        <v>241</v>
      </c>
      <c r="BB627" s="4" t="s">
        <v>250</v>
      </c>
      <c r="BC627" s="4" t="s">
        <v>241</v>
      </c>
      <c r="BD627" s="4" t="s">
        <v>252</v>
      </c>
      <c r="BE627" s="4" t="s">
        <v>241</v>
      </c>
      <c r="BI627" s="4" t="s">
        <v>253</v>
      </c>
      <c r="BJ627" s="5" t="s">
        <v>246</v>
      </c>
      <c r="BK627" s="4" t="s">
        <v>254</v>
      </c>
      <c r="BL627" s="4" t="s">
        <v>255</v>
      </c>
      <c r="BM627" s="4" t="s">
        <v>241</v>
      </c>
      <c r="BN627" s="6">
        <f>0</f>
        <v>0</v>
      </c>
      <c r="BO627" s="6">
        <f>0</f>
        <v>0</v>
      </c>
      <c r="BP627" s="4" t="s">
        <v>256</v>
      </c>
      <c r="BQ627" s="4" t="s">
        <v>257</v>
      </c>
      <c r="CE627" s="4" t="s">
        <v>241</v>
      </c>
      <c r="CF627" s="4" t="s">
        <v>241</v>
      </c>
      <c r="CJ627" s="4" t="s">
        <v>258</v>
      </c>
      <c r="CK627" s="4" t="s">
        <v>259</v>
      </c>
      <c r="CL627" s="4" t="s">
        <v>241</v>
      </c>
      <c r="CO627" s="5" t="s">
        <v>260</v>
      </c>
      <c r="CP627" s="4" t="s">
        <v>241</v>
      </c>
      <c r="CQ627" s="4" t="s">
        <v>261</v>
      </c>
      <c r="CR627" s="4" t="s">
        <v>241</v>
      </c>
      <c r="CS627" s="4" t="s">
        <v>241</v>
      </c>
      <c r="CT627" s="4">
        <v>0</v>
      </c>
      <c r="CU627" s="4" t="s">
        <v>262</v>
      </c>
      <c r="CV627" s="4" t="s">
        <v>263</v>
      </c>
      <c r="CW627" s="4" t="s">
        <v>263</v>
      </c>
      <c r="CX627" s="4" t="s">
        <v>264</v>
      </c>
      <c r="DA627" s="6">
        <f>3080</f>
        <v>3080</v>
      </c>
      <c r="DC627" s="4" t="s">
        <v>3160</v>
      </c>
      <c r="DD627" s="4" t="s">
        <v>241</v>
      </c>
      <c r="DF627" s="4" t="s">
        <v>287</v>
      </c>
      <c r="DG627" s="6">
        <f>0</f>
        <v>0</v>
      </c>
      <c r="DI627" s="4" t="s">
        <v>3167</v>
      </c>
      <c r="DJ627" s="4" t="s">
        <v>241</v>
      </c>
      <c r="DK627" s="4" t="s">
        <v>241</v>
      </c>
      <c r="DL627" s="4" t="s">
        <v>241</v>
      </c>
      <c r="DP627" s="4" t="s">
        <v>241</v>
      </c>
      <c r="DQ627" s="4" t="s">
        <v>241</v>
      </c>
      <c r="DR627" s="4" t="s">
        <v>241</v>
      </c>
      <c r="DS627" s="4" t="s">
        <v>241</v>
      </c>
      <c r="DV627" s="4" t="s">
        <v>4520</v>
      </c>
      <c r="DW627" s="4" t="s">
        <v>1569</v>
      </c>
      <c r="HO627" s="4" t="s">
        <v>267</v>
      </c>
    </row>
    <row r="628" spans="1:223" ht="19.5" customHeight="1" x14ac:dyDescent="0.4">
      <c r="A628" s="4">
        <v>1</v>
      </c>
      <c r="B628" s="4" t="s">
        <v>239</v>
      </c>
      <c r="C628" s="4">
        <v>1490</v>
      </c>
      <c r="D628" s="4">
        <v>1</v>
      </c>
      <c r="E628" s="4">
        <v>1</v>
      </c>
      <c r="F628" s="4" t="s">
        <v>240</v>
      </c>
      <c r="G628" s="4" t="s">
        <v>241</v>
      </c>
      <c r="H628" s="4" t="s">
        <v>241</v>
      </c>
      <c r="I628" s="4" t="s">
        <v>4518</v>
      </c>
      <c r="J628" s="4" t="s">
        <v>3158</v>
      </c>
      <c r="K628" s="4" t="s">
        <v>251</v>
      </c>
      <c r="L628" s="4" t="s">
        <v>3180</v>
      </c>
      <c r="M628" s="5" t="s">
        <v>4684</v>
      </c>
      <c r="N628" s="6">
        <f>496</f>
        <v>496</v>
      </c>
      <c r="O628" s="4" t="s">
        <v>265</v>
      </c>
      <c r="P628" s="6">
        <f>5456</f>
        <v>5456</v>
      </c>
      <c r="Q628" s="6">
        <f>0</f>
        <v>0</v>
      </c>
      <c r="S628" s="6">
        <f>0</f>
        <v>0</v>
      </c>
      <c r="T628" s="6">
        <f>5456</f>
        <v>5456</v>
      </c>
      <c r="U628" s="5" t="s">
        <v>245</v>
      </c>
      <c r="V628" s="4" t="s">
        <v>270</v>
      </c>
      <c r="W628" s="4" t="s">
        <v>242</v>
      </c>
      <c r="X628" s="4" t="s">
        <v>243</v>
      </c>
      <c r="Y628" s="4" t="s">
        <v>241</v>
      </c>
      <c r="AB628" s="4" t="s">
        <v>241</v>
      </c>
      <c r="AD628" s="5" t="s">
        <v>241</v>
      </c>
      <c r="AG628" s="5" t="s">
        <v>246</v>
      </c>
      <c r="AH628" s="4" t="s">
        <v>241</v>
      </c>
      <c r="AI628" s="4" t="s">
        <v>247</v>
      </c>
      <c r="AJ628" s="4" t="s">
        <v>248</v>
      </c>
      <c r="AZ628" s="4" t="s">
        <v>249</v>
      </c>
      <c r="BA628" s="4" t="s">
        <v>241</v>
      </c>
      <c r="BB628" s="4" t="s">
        <v>250</v>
      </c>
      <c r="BC628" s="4" t="s">
        <v>241</v>
      </c>
      <c r="BD628" s="4" t="s">
        <v>252</v>
      </c>
      <c r="BE628" s="4" t="s">
        <v>241</v>
      </c>
      <c r="BI628" s="4" t="s">
        <v>253</v>
      </c>
      <c r="BJ628" s="5" t="s">
        <v>246</v>
      </c>
      <c r="BK628" s="4" t="s">
        <v>254</v>
      </c>
      <c r="BL628" s="4" t="s">
        <v>255</v>
      </c>
      <c r="BM628" s="4" t="s">
        <v>241</v>
      </c>
      <c r="BN628" s="6">
        <f>0</f>
        <v>0</v>
      </c>
      <c r="BO628" s="6">
        <f>0</f>
        <v>0</v>
      </c>
      <c r="BP628" s="4" t="s">
        <v>256</v>
      </c>
      <c r="BQ628" s="4" t="s">
        <v>257</v>
      </c>
      <c r="CE628" s="4" t="s">
        <v>241</v>
      </c>
      <c r="CF628" s="4" t="s">
        <v>241</v>
      </c>
      <c r="CJ628" s="4" t="s">
        <v>258</v>
      </c>
      <c r="CK628" s="4" t="s">
        <v>259</v>
      </c>
      <c r="CL628" s="4" t="s">
        <v>241</v>
      </c>
      <c r="CO628" s="5" t="s">
        <v>260</v>
      </c>
      <c r="CP628" s="4" t="s">
        <v>241</v>
      </c>
      <c r="CQ628" s="4" t="s">
        <v>261</v>
      </c>
      <c r="CR628" s="4" t="s">
        <v>241</v>
      </c>
      <c r="CS628" s="4" t="s">
        <v>241</v>
      </c>
      <c r="CT628" s="4">
        <v>0</v>
      </c>
      <c r="CU628" s="4" t="s">
        <v>262</v>
      </c>
      <c r="CV628" s="4" t="s">
        <v>263</v>
      </c>
      <c r="CW628" s="4" t="s">
        <v>263</v>
      </c>
      <c r="CX628" s="4" t="s">
        <v>264</v>
      </c>
      <c r="DA628" s="6">
        <f>5456</f>
        <v>5456</v>
      </c>
      <c r="DC628" s="4" t="s">
        <v>3160</v>
      </c>
      <c r="DD628" s="4" t="s">
        <v>241</v>
      </c>
      <c r="DF628" s="4" t="s">
        <v>287</v>
      </c>
      <c r="DG628" s="6">
        <f>0</f>
        <v>0</v>
      </c>
      <c r="DI628" s="4" t="s">
        <v>3167</v>
      </c>
      <c r="DJ628" s="4" t="s">
        <v>241</v>
      </c>
      <c r="DK628" s="4" t="s">
        <v>241</v>
      </c>
      <c r="DL628" s="4" t="s">
        <v>241</v>
      </c>
      <c r="DP628" s="4" t="s">
        <v>241</v>
      </c>
      <c r="DQ628" s="4" t="s">
        <v>241</v>
      </c>
      <c r="DR628" s="4" t="s">
        <v>241</v>
      </c>
      <c r="DS628" s="4" t="s">
        <v>241</v>
      </c>
      <c r="DV628" s="4" t="s">
        <v>4520</v>
      </c>
      <c r="DW628" s="4" t="s">
        <v>1567</v>
      </c>
      <c r="HO628" s="4" t="s">
        <v>267</v>
      </c>
    </row>
    <row r="629" spans="1:223" ht="19.5" customHeight="1" x14ac:dyDescent="0.4">
      <c r="A629" s="4">
        <v>1</v>
      </c>
      <c r="B629" s="4" t="s">
        <v>239</v>
      </c>
      <c r="C629" s="4">
        <v>1491</v>
      </c>
      <c r="D629" s="4">
        <v>1</v>
      </c>
      <c r="E629" s="4">
        <v>1</v>
      </c>
      <c r="F629" s="4" t="s">
        <v>240</v>
      </c>
      <c r="G629" s="4" t="s">
        <v>241</v>
      </c>
      <c r="H629" s="4" t="s">
        <v>241</v>
      </c>
      <c r="I629" s="4" t="s">
        <v>4518</v>
      </c>
      <c r="J629" s="4" t="s">
        <v>3158</v>
      </c>
      <c r="K629" s="4" t="s">
        <v>251</v>
      </c>
      <c r="L629" s="4" t="s">
        <v>3180</v>
      </c>
      <c r="M629" s="5" t="s">
        <v>5456</v>
      </c>
      <c r="N629" s="6">
        <f>6188</f>
        <v>6188</v>
      </c>
      <c r="O629" s="4" t="s">
        <v>265</v>
      </c>
      <c r="P629" s="6">
        <f>68068</f>
        <v>68068</v>
      </c>
      <c r="Q629" s="6">
        <f>0</f>
        <v>0</v>
      </c>
      <c r="S629" s="6">
        <f>0</f>
        <v>0</v>
      </c>
      <c r="T629" s="6">
        <f>68068</f>
        <v>68068</v>
      </c>
      <c r="U629" s="5" t="s">
        <v>245</v>
      </c>
      <c r="V629" s="4" t="s">
        <v>270</v>
      </c>
      <c r="W629" s="4" t="s">
        <v>242</v>
      </c>
      <c r="X629" s="4" t="s">
        <v>243</v>
      </c>
      <c r="Y629" s="4" t="s">
        <v>241</v>
      </c>
      <c r="AB629" s="4" t="s">
        <v>241</v>
      </c>
      <c r="AD629" s="5" t="s">
        <v>241</v>
      </c>
      <c r="AG629" s="5" t="s">
        <v>246</v>
      </c>
      <c r="AH629" s="4" t="s">
        <v>241</v>
      </c>
      <c r="AI629" s="4" t="s">
        <v>247</v>
      </c>
      <c r="AJ629" s="4" t="s">
        <v>248</v>
      </c>
      <c r="AZ629" s="4" t="s">
        <v>249</v>
      </c>
      <c r="BA629" s="4" t="s">
        <v>241</v>
      </c>
      <c r="BB629" s="4" t="s">
        <v>250</v>
      </c>
      <c r="BC629" s="4" t="s">
        <v>241</v>
      </c>
      <c r="BD629" s="4" t="s">
        <v>252</v>
      </c>
      <c r="BE629" s="4" t="s">
        <v>241</v>
      </c>
      <c r="BI629" s="4" t="s">
        <v>253</v>
      </c>
      <c r="BJ629" s="5" t="s">
        <v>246</v>
      </c>
      <c r="BK629" s="4" t="s">
        <v>254</v>
      </c>
      <c r="BL629" s="4" t="s">
        <v>255</v>
      </c>
      <c r="BM629" s="4" t="s">
        <v>241</v>
      </c>
      <c r="BN629" s="6">
        <f>0</f>
        <v>0</v>
      </c>
      <c r="BO629" s="6">
        <f>0</f>
        <v>0</v>
      </c>
      <c r="BP629" s="4" t="s">
        <v>256</v>
      </c>
      <c r="BQ629" s="4" t="s">
        <v>257</v>
      </c>
      <c r="CE629" s="4" t="s">
        <v>241</v>
      </c>
      <c r="CF629" s="4" t="s">
        <v>241</v>
      </c>
      <c r="CJ629" s="4" t="s">
        <v>258</v>
      </c>
      <c r="CK629" s="4" t="s">
        <v>259</v>
      </c>
      <c r="CL629" s="4" t="s">
        <v>241</v>
      </c>
      <c r="CO629" s="5" t="s">
        <v>260</v>
      </c>
      <c r="CP629" s="4" t="s">
        <v>241</v>
      </c>
      <c r="CQ629" s="4" t="s">
        <v>261</v>
      </c>
      <c r="CR629" s="4" t="s">
        <v>241</v>
      </c>
      <c r="CS629" s="4" t="s">
        <v>241</v>
      </c>
      <c r="CT629" s="4">
        <v>0</v>
      </c>
      <c r="CU629" s="4" t="s">
        <v>262</v>
      </c>
      <c r="CV629" s="4" t="s">
        <v>263</v>
      </c>
      <c r="CW629" s="4" t="s">
        <v>263</v>
      </c>
      <c r="CX629" s="4" t="s">
        <v>264</v>
      </c>
      <c r="DA629" s="6">
        <f>68068</f>
        <v>68068</v>
      </c>
      <c r="DC629" s="4" t="s">
        <v>287</v>
      </c>
      <c r="DD629" s="4" t="s">
        <v>241</v>
      </c>
      <c r="DF629" s="4" t="s">
        <v>287</v>
      </c>
      <c r="DG629" s="6">
        <f>0</f>
        <v>0</v>
      </c>
      <c r="DI629" s="4" t="s">
        <v>3167</v>
      </c>
      <c r="DJ629" s="4" t="s">
        <v>241</v>
      </c>
      <c r="DK629" s="4" t="s">
        <v>241</v>
      </c>
      <c r="DL629" s="4" t="s">
        <v>241</v>
      </c>
      <c r="DP629" s="4" t="s">
        <v>241</v>
      </c>
      <c r="DQ629" s="4" t="s">
        <v>241</v>
      </c>
      <c r="DR629" s="4" t="s">
        <v>241</v>
      </c>
      <c r="DS629" s="4" t="s">
        <v>241</v>
      </c>
      <c r="DV629" s="4" t="s">
        <v>4520</v>
      </c>
      <c r="DW629" s="4" t="s">
        <v>1565</v>
      </c>
      <c r="HO629" s="4" t="s">
        <v>267</v>
      </c>
    </row>
    <row r="630" spans="1:223" ht="19.5" customHeight="1" x14ac:dyDescent="0.4">
      <c r="A630" s="4">
        <v>1</v>
      </c>
      <c r="B630" s="4" t="s">
        <v>239</v>
      </c>
      <c r="C630" s="4">
        <v>1492</v>
      </c>
      <c r="D630" s="4">
        <v>1</v>
      </c>
      <c r="E630" s="4">
        <v>1</v>
      </c>
      <c r="F630" s="4" t="s">
        <v>240</v>
      </c>
      <c r="G630" s="4" t="s">
        <v>241</v>
      </c>
      <c r="H630" s="4" t="s">
        <v>241</v>
      </c>
      <c r="I630" s="4" t="s">
        <v>4518</v>
      </c>
      <c r="J630" s="4" t="s">
        <v>3158</v>
      </c>
      <c r="K630" s="4" t="s">
        <v>251</v>
      </c>
      <c r="L630" s="4" t="s">
        <v>3180</v>
      </c>
      <c r="M630" s="5" t="s">
        <v>4686</v>
      </c>
      <c r="N630" s="6">
        <f>558</f>
        <v>558</v>
      </c>
      <c r="O630" s="4" t="s">
        <v>265</v>
      </c>
      <c r="P630" s="6">
        <f>6138</f>
        <v>6138</v>
      </c>
      <c r="Q630" s="6">
        <f>0</f>
        <v>0</v>
      </c>
      <c r="S630" s="6">
        <f>0</f>
        <v>0</v>
      </c>
      <c r="T630" s="6">
        <f>6138</f>
        <v>6138</v>
      </c>
      <c r="U630" s="5" t="s">
        <v>245</v>
      </c>
      <c r="V630" s="4" t="s">
        <v>270</v>
      </c>
      <c r="W630" s="4" t="s">
        <v>242</v>
      </c>
      <c r="X630" s="4" t="s">
        <v>243</v>
      </c>
      <c r="Y630" s="4" t="s">
        <v>241</v>
      </c>
      <c r="AB630" s="4" t="s">
        <v>241</v>
      </c>
      <c r="AD630" s="5" t="s">
        <v>241</v>
      </c>
      <c r="AG630" s="5" t="s">
        <v>246</v>
      </c>
      <c r="AH630" s="4" t="s">
        <v>241</v>
      </c>
      <c r="AI630" s="4" t="s">
        <v>247</v>
      </c>
      <c r="AJ630" s="4" t="s">
        <v>248</v>
      </c>
      <c r="AZ630" s="4" t="s">
        <v>249</v>
      </c>
      <c r="BA630" s="4" t="s">
        <v>241</v>
      </c>
      <c r="BB630" s="4" t="s">
        <v>250</v>
      </c>
      <c r="BC630" s="4" t="s">
        <v>241</v>
      </c>
      <c r="BD630" s="4" t="s">
        <v>252</v>
      </c>
      <c r="BE630" s="4" t="s">
        <v>241</v>
      </c>
      <c r="BI630" s="4" t="s">
        <v>253</v>
      </c>
      <c r="BJ630" s="5" t="s">
        <v>246</v>
      </c>
      <c r="BK630" s="4" t="s">
        <v>254</v>
      </c>
      <c r="BL630" s="4" t="s">
        <v>255</v>
      </c>
      <c r="BM630" s="4" t="s">
        <v>241</v>
      </c>
      <c r="BN630" s="6">
        <f>0</f>
        <v>0</v>
      </c>
      <c r="BO630" s="6">
        <f>0</f>
        <v>0</v>
      </c>
      <c r="BP630" s="4" t="s">
        <v>256</v>
      </c>
      <c r="BQ630" s="4" t="s">
        <v>257</v>
      </c>
      <c r="CE630" s="4" t="s">
        <v>241</v>
      </c>
      <c r="CF630" s="4" t="s">
        <v>241</v>
      </c>
      <c r="CJ630" s="4" t="s">
        <v>258</v>
      </c>
      <c r="CK630" s="4" t="s">
        <v>259</v>
      </c>
      <c r="CL630" s="4" t="s">
        <v>241</v>
      </c>
      <c r="CO630" s="5" t="s">
        <v>260</v>
      </c>
      <c r="CP630" s="4" t="s">
        <v>241</v>
      </c>
      <c r="CQ630" s="4" t="s">
        <v>261</v>
      </c>
      <c r="CR630" s="4" t="s">
        <v>241</v>
      </c>
      <c r="CS630" s="4" t="s">
        <v>241</v>
      </c>
      <c r="CT630" s="4">
        <v>0</v>
      </c>
      <c r="CU630" s="4" t="s">
        <v>262</v>
      </c>
      <c r="CV630" s="4" t="s">
        <v>263</v>
      </c>
      <c r="CW630" s="4" t="s">
        <v>263</v>
      </c>
      <c r="CX630" s="4" t="s">
        <v>264</v>
      </c>
      <c r="DA630" s="6">
        <f>6138</f>
        <v>6138</v>
      </c>
      <c r="DC630" s="4" t="s">
        <v>3160</v>
      </c>
      <c r="DD630" s="4" t="s">
        <v>241</v>
      </c>
      <c r="DF630" s="4" t="s">
        <v>3160</v>
      </c>
      <c r="DG630" s="6">
        <f>828</f>
        <v>828</v>
      </c>
      <c r="DI630" s="4" t="s">
        <v>3167</v>
      </c>
      <c r="DJ630" s="4" t="s">
        <v>241</v>
      </c>
      <c r="DK630" s="4" t="s">
        <v>241</v>
      </c>
      <c r="DL630" s="4" t="s">
        <v>241</v>
      </c>
      <c r="DP630" s="4" t="s">
        <v>241</v>
      </c>
      <c r="DQ630" s="4" t="s">
        <v>241</v>
      </c>
      <c r="DR630" s="4" t="s">
        <v>241</v>
      </c>
      <c r="DS630" s="4" t="s">
        <v>241</v>
      </c>
      <c r="DV630" s="4" t="s">
        <v>4520</v>
      </c>
      <c r="DW630" s="4" t="s">
        <v>1563</v>
      </c>
      <c r="HO630" s="4" t="s">
        <v>267</v>
      </c>
    </row>
    <row r="631" spans="1:223" ht="19.5" customHeight="1" x14ac:dyDescent="0.4">
      <c r="A631" s="4">
        <v>1</v>
      </c>
      <c r="B631" s="4" t="s">
        <v>239</v>
      </c>
      <c r="C631" s="4">
        <v>1493</v>
      </c>
      <c r="D631" s="4">
        <v>1</v>
      </c>
      <c r="E631" s="4">
        <v>1</v>
      </c>
      <c r="F631" s="4" t="s">
        <v>240</v>
      </c>
      <c r="G631" s="4" t="s">
        <v>241</v>
      </c>
      <c r="H631" s="4" t="s">
        <v>241</v>
      </c>
      <c r="I631" s="4" t="s">
        <v>4518</v>
      </c>
      <c r="J631" s="4" t="s">
        <v>3158</v>
      </c>
      <c r="K631" s="4" t="s">
        <v>251</v>
      </c>
      <c r="L631" s="4" t="s">
        <v>3180</v>
      </c>
      <c r="M631" s="5" t="s">
        <v>4687</v>
      </c>
      <c r="N631" s="6">
        <f>1198</f>
        <v>1198</v>
      </c>
      <c r="O631" s="4" t="s">
        <v>265</v>
      </c>
      <c r="P631" s="6">
        <f>13178</f>
        <v>13178</v>
      </c>
      <c r="Q631" s="6">
        <f>0</f>
        <v>0</v>
      </c>
      <c r="S631" s="6">
        <f>0</f>
        <v>0</v>
      </c>
      <c r="T631" s="6">
        <f>13178</f>
        <v>13178</v>
      </c>
      <c r="U631" s="5" t="s">
        <v>245</v>
      </c>
      <c r="V631" s="4" t="s">
        <v>270</v>
      </c>
      <c r="W631" s="4" t="s">
        <v>242</v>
      </c>
      <c r="X631" s="4" t="s">
        <v>243</v>
      </c>
      <c r="Y631" s="4" t="s">
        <v>241</v>
      </c>
      <c r="AB631" s="4" t="s">
        <v>241</v>
      </c>
      <c r="AD631" s="5" t="s">
        <v>241</v>
      </c>
      <c r="AG631" s="5" t="s">
        <v>246</v>
      </c>
      <c r="AH631" s="4" t="s">
        <v>241</v>
      </c>
      <c r="AI631" s="4" t="s">
        <v>247</v>
      </c>
      <c r="AJ631" s="4" t="s">
        <v>248</v>
      </c>
      <c r="AZ631" s="4" t="s">
        <v>249</v>
      </c>
      <c r="BA631" s="4" t="s">
        <v>241</v>
      </c>
      <c r="BB631" s="4" t="s">
        <v>250</v>
      </c>
      <c r="BC631" s="4" t="s">
        <v>241</v>
      </c>
      <c r="BD631" s="4" t="s">
        <v>252</v>
      </c>
      <c r="BE631" s="4" t="s">
        <v>241</v>
      </c>
      <c r="BI631" s="4" t="s">
        <v>253</v>
      </c>
      <c r="BJ631" s="5" t="s">
        <v>246</v>
      </c>
      <c r="BK631" s="4" t="s">
        <v>254</v>
      </c>
      <c r="BL631" s="4" t="s">
        <v>255</v>
      </c>
      <c r="BM631" s="4" t="s">
        <v>241</v>
      </c>
      <c r="BN631" s="6">
        <f>0</f>
        <v>0</v>
      </c>
      <c r="BO631" s="6">
        <f>0</f>
        <v>0</v>
      </c>
      <c r="BP631" s="4" t="s">
        <v>256</v>
      </c>
      <c r="BQ631" s="4" t="s">
        <v>257</v>
      </c>
      <c r="CE631" s="4" t="s">
        <v>241</v>
      </c>
      <c r="CF631" s="4" t="s">
        <v>241</v>
      </c>
      <c r="CJ631" s="4" t="s">
        <v>258</v>
      </c>
      <c r="CK631" s="4" t="s">
        <v>259</v>
      </c>
      <c r="CL631" s="4" t="s">
        <v>241</v>
      </c>
      <c r="CO631" s="5" t="s">
        <v>260</v>
      </c>
      <c r="CP631" s="4" t="s">
        <v>241</v>
      </c>
      <c r="CQ631" s="4" t="s">
        <v>261</v>
      </c>
      <c r="CR631" s="4" t="s">
        <v>241</v>
      </c>
      <c r="CS631" s="4" t="s">
        <v>241</v>
      </c>
      <c r="CT631" s="4">
        <v>0</v>
      </c>
      <c r="CU631" s="4" t="s">
        <v>262</v>
      </c>
      <c r="CV631" s="4" t="s">
        <v>263</v>
      </c>
      <c r="CW631" s="4" t="s">
        <v>263</v>
      </c>
      <c r="CX631" s="4" t="s">
        <v>264</v>
      </c>
      <c r="DA631" s="6">
        <f>13178</f>
        <v>13178</v>
      </c>
      <c r="DC631" s="4" t="s">
        <v>3160</v>
      </c>
      <c r="DD631" s="4" t="s">
        <v>241</v>
      </c>
      <c r="DF631" s="4" t="s">
        <v>287</v>
      </c>
      <c r="DG631" s="6">
        <f>0</f>
        <v>0</v>
      </c>
      <c r="DI631" s="4" t="s">
        <v>3167</v>
      </c>
      <c r="DJ631" s="4" t="s">
        <v>241</v>
      </c>
      <c r="DK631" s="4" t="s">
        <v>241</v>
      </c>
      <c r="DL631" s="4" t="s">
        <v>241</v>
      </c>
      <c r="DP631" s="4" t="s">
        <v>241</v>
      </c>
      <c r="DQ631" s="4" t="s">
        <v>241</v>
      </c>
      <c r="DR631" s="4" t="s">
        <v>241</v>
      </c>
      <c r="DS631" s="4" t="s">
        <v>241</v>
      </c>
      <c r="DV631" s="4" t="s">
        <v>4520</v>
      </c>
      <c r="DW631" s="4" t="s">
        <v>1561</v>
      </c>
      <c r="HO631" s="4" t="s">
        <v>267</v>
      </c>
    </row>
    <row r="632" spans="1:223" ht="19.5" customHeight="1" x14ac:dyDescent="0.4">
      <c r="A632" s="4">
        <v>1</v>
      </c>
      <c r="B632" s="4" t="s">
        <v>239</v>
      </c>
      <c r="C632" s="4">
        <v>1494</v>
      </c>
      <c r="D632" s="4">
        <v>1</v>
      </c>
      <c r="E632" s="4">
        <v>1</v>
      </c>
      <c r="F632" s="4" t="s">
        <v>240</v>
      </c>
      <c r="G632" s="4" t="s">
        <v>241</v>
      </c>
      <c r="H632" s="4" t="s">
        <v>241</v>
      </c>
      <c r="I632" s="4" t="s">
        <v>4518</v>
      </c>
      <c r="J632" s="4" t="s">
        <v>3158</v>
      </c>
      <c r="K632" s="4" t="s">
        <v>251</v>
      </c>
      <c r="L632" s="4" t="s">
        <v>3180</v>
      </c>
      <c r="M632" s="5" t="s">
        <v>4688</v>
      </c>
      <c r="N632" s="6">
        <f>8413</f>
        <v>8413</v>
      </c>
      <c r="O632" s="4" t="s">
        <v>265</v>
      </c>
      <c r="P632" s="6">
        <f>92543</f>
        <v>92543</v>
      </c>
      <c r="Q632" s="6">
        <f>0</f>
        <v>0</v>
      </c>
      <c r="S632" s="6">
        <f>0</f>
        <v>0</v>
      </c>
      <c r="T632" s="6">
        <f>92543</f>
        <v>92543</v>
      </c>
      <c r="U632" s="5" t="s">
        <v>245</v>
      </c>
      <c r="V632" s="4" t="s">
        <v>270</v>
      </c>
      <c r="W632" s="4" t="s">
        <v>242</v>
      </c>
      <c r="X632" s="4" t="s">
        <v>243</v>
      </c>
      <c r="Y632" s="4" t="s">
        <v>241</v>
      </c>
      <c r="AB632" s="4" t="s">
        <v>241</v>
      </c>
      <c r="AD632" s="5" t="s">
        <v>241</v>
      </c>
      <c r="AG632" s="5" t="s">
        <v>246</v>
      </c>
      <c r="AH632" s="4" t="s">
        <v>241</v>
      </c>
      <c r="AI632" s="4" t="s">
        <v>247</v>
      </c>
      <c r="AJ632" s="4" t="s">
        <v>248</v>
      </c>
      <c r="AZ632" s="4" t="s">
        <v>249</v>
      </c>
      <c r="BA632" s="4" t="s">
        <v>241</v>
      </c>
      <c r="BB632" s="4" t="s">
        <v>250</v>
      </c>
      <c r="BC632" s="4" t="s">
        <v>241</v>
      </c>
      <c r="BD632" s="4" t="s">
        <v>252</v>
      </c>
      <c r="BE632" s="4" t="s">
        <v>241</v>
      </c>
      <c r="BI632" s="4" t="s">
        <v>253</v>
      </c>
      <c r="BJ632" s="5" t="s">
        <v>246</v>
      </c>
      <c r="BK632" s="4" t="s">
        <v>254</v>
      </c>
      <c r="BL632" s="4" t="s">
        <v>255</v>
      </c>
      <c r="BM632" s="4" t="s">
        <v>241</v>
      </c>
      <c r="BN632" s="6">
        <f>0</f>
        <v>0</v>
      </c>
      <c r="BO632" s="6">
        <f>0</f>
        <v>0</v>
      </c>
      <c r="BP632" s="4" t="s">
        <v>256</v>
      </c>
      <c r="BQ632" s="4" t="s">
        <v>257</v>
      </c>
      <c r="CE632" s="4" t="s">
        <v>241</v>
      </c>
      <c r="CF632" s="4" t="s">
        <v>241</v>
      </c>
      <c r="CJ632" s="4" t="s">
        <v>258</v>
      </c>
      <c r="CK632" s="4" t="s">
        <v>259</v>
      </c>
      <c r="CL632" s="4" t="s">
        <v>241</v>
      </c>
      <c r="CO632" s="5" t="s">
        <v>260</v>
      </c>
      <c r="CP632" s="4" t="s">
        <v>241</v>
      </c>
      <c r="CQ632" s="4" t="s">
        <v>261</v>
      </c>
      <c r="CR632" s="4" t="s">
        <v>241</v>
      </c>
      <c r="CS632" s="4" t="s">
        <v>241</v>
      </c>
      <c r="CT632" s="4">
        <v>0</v>
      </c>
      <c r="CU632" s="4" t="s">
        <v>262</v>
      </c>
      <c r="CV632" s="4" t="s">
        <v>263</v>
      </c>
      <c r="CW632" s="4" t="s">
        <v>263</v>
      </c>
      <c r="CX632" s="4" t="s">
        <v>264</v>
      </c>
      <c r="DA632" s="6">
        <f>92543</f>
        <v>92543</v>
      </c>
      <c r="DC632" s="4" t="s">
        <v>3160</v>
      </c>
      <c r="DD632" s="4" t="s">
        <v>241</v>
      </c>
      <c r="DF632" s="4" t="s">
        <v>287</v>
      </c>
      <c r="DG632" s="6">
        <f>0</f>
        <v>0</v>
      </c>
      <c r="DI632" s="4" t="s">
        <v>3167</v>
      </c>
      <c r="DJ632" s="4" t="s">
        <v>241</v>
      </c>
      <c r="DK632" s="4" t="s">
        <v>241</v>
      </c>
      <c r="DL632" s="4" t="s">
        <v>241</v>
      </c>
      <c r="DP632" s="4" t="s">
        <v>241</v>
      </c>
      <c r="DQ632" s="4" t="s">
        <v>241</v>
      </c>
      <c r="DR632" s="4" t="s">
        <v>241</v>
      </c>
      <c r="DS632" s="4" t="s">
        <v>241</v>
      </c>
      <c r="DV632" s="4" t="s">
        <v>4520</v>
      </c>
      <c r="DW632" s="4" t="s">
        <v>1559</v>
      </c>
      <c r="HO632" s="4" t="s">
        <v>267</v>
      </c>
    </row>
    <row r="633" spans="1:223" ht="19.5" customHeight="1" x14ac:dyDescent="0.4">
      <c r="A633" s="4">
        <v>1</v>
      </c>
      <c r="B633" s="4" t="s">
        <v>239</v>
      </c>
      <c r="C633" s="4">
        <v>1495</v>
      </c>
      <c r="D633" s="4">
        <v>1</v>
      </c>
      <c r="E633" s="4">
        <v>1</v>
      </c>
      <c r="F633" s="4" t="s">
        <v>240</v>
      </c>
      <c r="G633" s="4" t="s">
        <v>241</v>
      </c>
      <c r="H633" s="4" t="s">
        <v>241</v>
      </c>
      <c r="I633" s="4" t="s">
        <v>4518</v>
      </c>
      <c r="J633" s="4" t="s">
        <v>3158</v>
      </c>
      <c r="K633" s="4" t="s">
        <v>251</v>
      </c>
      <c r="L633" s="4" t="s">
        <v>3180</v>
      </c>
      <c r="M633" s="5" t="s">
        <v>5457</v>
      </c>
      <c r="N633" s="6">
        <f>8806</f>
        <v>8806</v>
      </c>
      <c r="O633" s="4" t="s">
        <v>265</v>
      </c>
      <c r="P633" s="6">
        <f>96866</f>
        <v>96866</v>
      </c>
      <c r="Q633" s="6">
        <f>0</f>
        <v>0</v>
      </c>
      <c r="S633" s="6">
        <f>0</f>
        <v>0</v>
      </c>
      <c r="T633" s="6">
        <f>96866</f>
        <v>96866</v>
      </c>
      <c r="U633" s="5" t="s">
        <v>245</v>
      </c>
      <c r="V633" s="4" t="s">
        <v>270</v>
      </c>
      <c r="W633" s="4" t="s">
        <v>242</v>
      </c>
      <c r="X633" s="4" t="s">
        <v>243</v>
      </c>
      <c r="Y633" s="4" t="s">
        <v>241</v>
      </c>
      <c r="AB633" s="4" t="s">
        <v>241</v>
      </c>
      <c r="AD633" s="5" t="s">
        <v>241</v>
      </c>
      <c r="AG633" s="5" t="s">
        <v>246</v>
      </c>
      <c r="AH633" s="4" t="s">
        <v>241</v>
      </c>
      <c r="AI633" s="4" t="s">
        <v>247</v>
      </c>
      <c r="AJ633" s="4" t="s">
        <v>248</v>
      </c>
      <c r="AZ633" s="4" t="s">
        <v>249</v>
      </c>
      <c r="BA633" s="4" t="s">
        <v>241</v>
      </c>
      <c r="BB633" s="4" t="s">
        <v>250</v>
      </c>
      <c r="BC633" s="4" t="s">
        <v>241</v>
      </c>
      <c r="BD633" s="4" t="s">
        <v>252</v>
      </c>
      <c r="BE633" s="4" t="s">
        <v>241</v>
      </c>
      <c r="BI633" s="4" t="s">
        <v>253</v>
      </c>
      <c r="BJ633" s="5" t="s">
        <v>246</v>
      </c>
      <c r="BK633" s="4" t="s">
        <v>254</v>
      </c>
      <c r="BL633" s="4" t="s">
        <v>255</v>
      </c>
      <c r="BM633" s="4" t="s">
        <v>241</v>
      </c>
      <c r="BN633" s="6">
        <f>0</f>
        <v>0</v>
      </c>
      <c r="BO633" s="6">
        <f>0</f>
        <v>0</v>
      </c>
      <c r="BP633" s="4" t="s">
        <v>256</v>
      </c>
      <c r="BQ633" s="4" t="s">
        <v>257</v>
      </c>
      <c r="CE633" s="4" t="s">
        <v>241</v>
      </c>
      <c r="CF633" s="4" t="s">
        <v>241</v>
      </c>
      <c r="CJ633" s="4" t="s">
        <v>258</v>
      </c>
      <c r="CK633" s="4" t="s">
        <v>259</v>
      </c>
      <c r="CL633" s="4" t="s">
        <v>241</v>
      </c>
      <c r="CO633" s="5" t="s">
        <v>260</v>
      </c>
      <c r="CP633" s="4" t="s">
        <v>241</v>
      </c>
      <c r="CQ633" s="4" t="s">
        <v>261</v>
      </c>
      <c r="CR633" s="4" t="s">
        <v>241</v>
      </c>
      <c r="CS633" s="4" t="s">
        <v>241</v>
      </c>
      <c r="CT633" s="4">
        <v>0</v>
      </c>
      <c r="CU633" s="4" t="s">
        <v>262</v>
      </c>
      <c r="CV633" s="4" t="s">
        <v>263</v>
      </c>
      <c r="CW633" s="4" t="s">
        <v>263</v>
      </c>
      <c r="CX633" s="4" t="s">
        <v>264</v>
      </c>
      <c r="DA633" s="6">
        <f>96866</f>
        <v>96866</v>
      </c>
      <c r="DC633" s="4" t="s">
        <v>3160</v>
      </c>
      <c r="DD633" s="4" t="s">
        <v>241</v>
      </c>
      <c r="DF633" s="4" t="s">
        <v>287</v>
      </c>
      <c r="DG633" s="6">
        <f>0</f>
        <v>0</v>
      </c>
      <c r="DI633" s="4" t="s">
        <v>3167</v>
      </c>
      <c r="DJ633" s="4" t="s">
        <v>241</v>
      </c>
      <c r="DK633" s="4" t="s">
        <v>241</v>
      </c>
      <c r="DL633" s="4" t="s">
        <v>241</v>
      </c>
      <c r="DP633" s="4" t="s">
        <v>241</v>
      </c>
      <c r="DQ633" s="4" t="s">
        <v>241</v>
      </c>
      <c r="DR633" s="4" t="s">
        <v>241</v>
      </c>
      <c r="DS633" s="4" t="s">
        <v>241</v>
      </c>
      <c r="DV633" s="4" t="s">
        <v>4520</v>
      </c>
      <c r="DW633" s="4" t="s">
        <v>1557</v>
      </c>
      <c r="HO633" s="4" t="s">
        <v>267</v>
      </c>
    </row>
    <row r="634" spans="1:223" ht="19.5" customHeight="1" x14ac:dyDescent="0.4">
      <c r="A634" s="4">
        <v>1</v>
      </c>
      <c r="B634" s="4" t="s">
        <v>239</v>
      </c>
      <c r="C634" s="4">
        <v>1496</v>
      </c>
      <c r="D634" s="4">
        <v>1</v>
      </c>
      <c r="E634" s="4">
        <v>1</v>
      </c>
      <c r="F634" s="4" t="s">
        <v>240</v>
      </c>
      <c r="G634" s="4" t="s">
        <v>241</v>
      </c>
      <c r="H634" s="4" t="s">
        <v>241</v>
      </c>
      <c r="I634" s="4" t="s">
        <v>4518</v>
      </c>
      <c r="J634" s="4" t="s">
        <v>3158</v>
      </c>
      <c r="K634" s="4" t="s">
        <v>251</v>
      </c>
      <c r="L634" s="4" t="s">
        <v>3180</v>
      </c>
      <c r="M634" s="5" t="s">
        <v>4690</v>
      </c>
      <c r="N634" s="6">
        <f>572</f>
        <v>572</v>
      </c>
      <c r="O634" s="4" t="s">
        <v>265</v>
      </c>
      <c r="P634" s="6">
        <f>6292</f>
        <v>6292</v>
      </c>
      <c r="Q634" s="6">
        <f>0</f>
        <v>0</v>
      </c>
      <c r="S634" s="6">
        <f>0</f>
        <v>0</v>
      </c>
      <c r="T634" s="6">
        <f>6292</f>
        <v>6292</v>
      </c>
      <c r="U634" s="5" t="s">
        <v>245</v>
      </c>
      <c r="V634" s="4" t="s">
        <v>270</v>
      </c>
      <c r="W634" s="4" t="s">
        <v>242</v>
      </c>
      <c r="X634" s="4" t="s">
        <v>243</v>
      </c>
      <c r="Y634" s="4" t="s">
        <v>241</v>
      </c>
      <c r="AB634" s="4" t="s">
        <v>241</v>
      </c>
      <c r="AD634" s="5" t="s">
        <v>241</v>
      </c>
      <c r="AG634" s="5" t="s">
        <v>246</v>
      </c>
      <c r="AH634" s="4" t="s">
        <v>241</v>
      </c>
      <c r="AI634" s="4" t="s">
        <v>247</v>
      </c>
      <c r="AJ634" s="4" t="s">
        <v>248</v>
      </c>
      <c r="AZ634" s="4" t="s">
        <v>249</v>
      </c>
      <c r="BA634" s="4" t="s">
        <v>241</v>
      </c>
      <c r="BB634" s="4" t="s">
        <v>250</v>
      </c>
      <c r="BC634" s="4" t="s">
        <v>241</v>
      </c>
      <c r="BD634" s="4" t="s">
        <v>252</v>
      </c>
      <c r="BE634" s="4" t="s">
        <v>241</v>
      </c>
      <c r="BI634" s="4" t="s">
        <v>253</v>
      </c>
      <c r="BJ634" s="5" t="s">
        <v>246</v>
      </c>
      <c r="BK634" s="4" t="s">
        <v>254</v>
      </c>
      <c r="BL634" s="4" t="s">
        <v>255</v>
      </c>
      <c r="BM634" s="4" t="s">
        <v>241</v>
      </c>
      <c r="BN634" s="6">
        <f>0</f>
        <v>0</v>
      </c>
      <c r="BO634" s="6">
        <f>0</f>
        <v>0</v>
      </c>
      <c r="BP634" s="4" t="s">
        <v>256</v>
      </c>
      <c r="BQ634" s="4" t="s">
        <v>257</v>
      </c>
      <c r="CE634" s="4" t="s">
        <v>241</v>
      </c>
      <c r="CF634" s="4" t="s">
        <v>241</v>
      </c>
      <c r="CJ634" s="4" t="s">
        <v>258</v>
      </c>
      <c r="CK634" s="4" t="s">
        <v>259</v>
      </c>
      <c r="CL634" s="4" t="s">
        <v>241</v>
      </c>
      <c r="CO634" s="5" t="s">
        <v>260</v>
      </c>
      <c r="CP634" s="4" t="s">
        <v>241</v>
      </c>
      <c r="CQ634" s="4" t="s">
        <v>261</v>
      </c>
      <c r="CR634" s="4" t="s">
        <v>241</v>
      </c>
      <c r="CS634" s="4" t="s">
        <v>241</v>
      </c>
      <c r="CT634" s="4">
        <v>0</v>
      </c>
      <c r="CU634" s="4" t="s">
        <v>262</v>
      </c>
      <c r="CV634" s="4" t="s">
        <v>263</v>
      </c>
      <c r="CW634" s="4" t="s">
        <v>263</v>
      </c>
      <c r="CX634" s="4" t="s">
        <v>264</v>
      </c>
      <c r="DA634" s="6">
        <f>6292</f>
        <v>6292</v>
      </c>
      <c r="DC634" s="4" t="s">
        <v>3160</v>
      </c>
      <c r="DD634" s="4" t="s">
        <v>241</v>
      </c>
      <c r="DF634" s="4" t="s">
        <v>287</v>
      </c>
      <c r="DG634" s="6">
        <f>0</f>
        <v>0</v>
      </c>
      <c r="DI634" s="4" t="s">
        <v>3167</v>
      </c>
      <c r="DJ634" s="4" t="s">
        <v>241</v>
      </c>
      <c r="DK634" s="4" t="s">
        <v>241</v>
      </c>
      <c r="DL634" s="4" t="s">
        <v>241</v>
      </c>
      <c r="DP634" s="4" t="s">
        <v>241</v>
      </c>
      <c r="DQ634" s="4" t="s">
        <v>241</v>
      </c>
      <c r="DR634" s="4" t="s">
        <v>241</v>
      </c>
      <c r="DS634" s="4" t="s">
        <v>241</v>
      </c>
      <c r="DV634" s="4" t="s">
        <v>4520</v>
      </c>
      <c r="DW634" s="4" t="s">
        <v>1555</v>
      </c>
      <c r="HO634" s="4" t="s">
        <v>267</v>
      </c>
    </row>
    <row r="635" spans="1:223" ht="19.5" customHeight="1" x14ac:dyDescent="0.4">
      <c r="A635" s="4">
        <v>1</v>
      </c>
      <c r="B635" s="4" t="s">
        <v>239</v>
      </c>
      <c r="C635" s="4">
        <v>1497</v>
      </c>
      <c r="D635" s="4">
        <v>1</v>
      </c>
      <c r="E635" s="4">
        <v>1</v>
      </c>
      <c r="F635" s="4" t="s">
        <v>240</v>
      </c>
      <c r="G635" s="4" t="s">
        <v>241</v>
      </c>
      <c r="H635" s="4" t="s">
        <v>241</v>
      </c>
      <c r="I635" s="4" t="s">
        <v>4518</v>
      </c>
      <c r="J635" s="4" t="s">
        <v>3158</v>
      </c>
      <c r="K635" s="4" t="s">
        <v>251</v>
      </c>
      <c r="L635" s="4" t="s">
        <v>3180</v>
      </c>
      <c r="M635" s="5" t="s">
        <v>4691</v>
      </c>
      <c r="N635" s="6">
        <f>1714</f>
        <v>1714</v>
      </c>
      <c r="O635" s="4" t="s">
        <v>265</v>
      </c>
      <c r="P635" s="6">
        <f>18854</f>
        <v>18854</v>
      </c>
      <c r="Q635" s="6">
        <f>0</f>
        <v>0</v>
      </c>
      <c r="S635" s="6">
        <f>0</f>
        <v>0</v>
      </c>
      <c r="T635" s="6">
        <f>18854</f>
        <v>18854</v>
      </c>
      <c r="U635" s="5" t="s">
        <v>245</v>
      </c>
      <c r="V635" s="4" t="s">
        <v>270</v>
      </c>
      <c r="W635" s="4" t="s">
        <v>242</v>
      </c>
      <c r="X635" s="4" t="s">
        <v>243</v>
      </c>
      <c r="Y635" s="4" t="s">
        <v>241</v>
      </c>
      <c r="AB635" s="4" t="s">
        <v>241</v>
      </c>
      <c r="AD635" s="5" t="s">
        <v>241</v>
      </c>
      <c r="AG635" s="5" t="s">
        <v>246</v>
      </c>
      <c r="AH635" s="4" t="s">
        <v>241</v>
      </c>
      <c r="AI635" s="4" t="s">
        <v>247</v>
      </c>
      <c r="AJ635" s="4" t="s">
        <v>248</v>
      </c>
      <c r="AZ635" s="4" t="s">
        <v>249</v>
      </c>
      <c r="BA635" s="4" t="s">
        <v>241</v>
      </c>
      <c r="BB635" s="4" t="s">
        <v>250</v>
      </c>
      <c r="BC635" s="4" t="s">
        <v>241</v>
      </c>
      <c r="BD635" s="4" t="s">
        <v>252</v>
      </c>
      <c r="BE635" s="4" t="s">
        <v>241</v>
      </c>
      <c r="BI635" s="4" t="s">
        <v>253</v>
      </c>
      <c r="BJ635" s="5" t="s">
        <v>246</v>
      </c>
      <c r="BK635" s="4" t="s">
        <v>254</v>
      </c>
      <c r="BL635" s="4" t="s">
        <v>255</v>
      </c>
      <c r="BM635" s="4" t="s">
        <v>241</v>
      </c>
      <c r="BN635" s="6">
        <f>0</f>
        <v>0</v>
      </c>
      <c r="BO635" s="6">
        <f>0</f>
        <v>0</v>
      </c>
      <c r="BP635" s="4" t="s">
        <v>256</v>
      </c>
      <c r="BQ635" s="4" t="s">
        <v>257</v>
      </c>
      <c r="CE635" s="4" t="s">
        <v>241</v>
      </c>
      <c r="CF635" s="4" t="s">
        <v>241</v>
      </c>
      <c r="CJ635" s="4" t="s">
        <v>258</v>
      </c>
      <c r="CK635" s="4" t="s">
        <v>259</v>
      </c>
      <c r="CL635" s="4" t="s">
        <v>241</v>
      </c>
      <c r="CO635" s="5" t="s">
        <v>260</v>
      </c>
      <c r="CP635" s="4" t="s">
        <v>241</v>
      </c>
      <c r="CQ635" s="4" t="s">
        <v>261</v>
      </c>
      <c r="CR635" s="4" t="s">
        <v>241</v>
      </c>
      <c r="CS635" s="4" t="s">
        <v>241</v>
      </c>
      <c r="CT635" s="4">
        <v>0</v>
      </c>
      <c r="CU635" s="4" t="s">
        <v>262</v>
      </c>
      <c r="CV635" s="4" t="s">
        <v>263</v>
      </c>
      <c r="CW635" s="4" t="s">
        <v>263</v>
      </c>
      <c r="CX635" s="4" t="s">
        <v>264</v>
      </c>
      <c r="DA635" s="6">
        <f>18854</f>
        <v>18854</v>
      </c>
      <c r="DC635" s="4" t="s">
        <v>3160</v>
      </c>
      <c r="DD635" s="4" t="s">
        <v>241</v>
      </c>
      <c r="DF635" s="4" t="s">
        <v>287</v>
      </c>
      <c r="DG635" s="6">
        <f>0</f>
        <v>0</v>
      </c>
      <c r="DI635" s="4" t="s">
        <v>3167</v>
      </c>
      <c r="DJ635" s="4" t="s">
        <v>241</v>
      </c>
      <c r="DK635" s="4" t="s">
        <v>241</v>
      </c>
      <c r="DL635" s="4" t="s">
        <v>241</v>
      </c>
      <c r="DP635" s="4" t="s">
        <v>241</v>
      </c>
      <c r="DQ635" s="4" t="s">
        <v>241</v>
      </c>
      <c r="DR635" s="4" t="s">
        <v>241</v>
      </c>
      <c r="DS635" s="4" t="s">
        <v>241</v>
      </c>
      <c r="DV635" s="4" t="s">
        <v>4520</v>
      </c>
      <c r="DW635" s="4" t="s">
        <v>1553</v>
      </c>
      <c r="HO635" s="4" t="s">
        <v>267</v>
      </c>
    </row>
    <row r="636" spans="1:223" ht="19.5" customHeight="1" x14ac:dyDescent="0.4">
      <c r="A636" s="4">
        <v>1</v>
      </c>
      <c r="B636" s="4" t="s">
        <v>239</v>
      </c>
      <c r="C636" s="4">
        <v>1498</v>
      </c>
      <c r="D636" s="4">
        <v>1</v>
      </c>
      <c r="E636" s="4">
        <v>1</v>
      </c>
      <c r="F636" s="4" t="s">
        <v>240</v>
      </c>
      <c r="G636" s="4" t="s">
        <v>241</v>
      </c>
      <c r="H636" s="4" t="s">
        <v>241</v>
      </c>
      <c r="I636" s="4" t="s">
        <v>4518</v>
      </c>
      <c r="J636" s="4" t="s">
        <v>3158</v>
      </c>
      <c r="K636" s="4" t="s">
        <v>251</v>
      </c>
      <c r="L636" s="4" t="s">
        <v>3180</v>
      </c>
      <c r="M636" s="5" t="s">
        <v>4692</v>
      </c>
      <c r="N636" s="6">
        <f>1094</f>
        <v>1094</v>
      </c>
      <c r="O636" s="4" t="s">
        <v>265</v>
      </c>
      <c r="P636" s="6">
        <f>12034</f>
        <v>12034</v>
      </c>
      <c r="Q636" s="6">
        <f>0</f>
        <v>0</v>
      </c>
      <c r="S636" s="6">
        <f>0</f>
        <v>0</v>
      </c>
      <c r="T636" s="6">
        <f>12034</f>
        <v>12034</v>
      </c>
      <c r="U636" s="5" t="s">
        <v>245</v>
      </c>
      <c r="V636" s="4" t="s">
        <v>270</v>
      </c>
      <c r="W636" s="4" t="s">
        <v>242</v>
      </c>
      <c r="X636" s="4" t="s">
        <v>243</v>
      </c>
      <c r="Y636" s="4" t="s">
        <v>241</v>
      </c>
      <c r="AB636" s="4" t="s">
        <v>241</v>
      </c>
      <c r="AD636" s="5" t="s">
        <v>241</v>
      </c>
      <c r="AG636" s="5" t="s">
        <v>246</v>
      </c>
      <c r="AH636" s="4" t="s">
        <v>241</v>
      </c>
      <c r="AI636" s="4" t="s">
        <v>247</v>
      </c>
      <c r="AJ636" s="4" t="s">
        <v>248</v>
      </c>
      <c r="AZ636" s="4" t="s">
        <v>249</v>
      </c>
      <c r="BA636" s="4" t="s">
        <v>241</v>
      </c>
      <c r="BB636" s="4" t="s">
        <v>250</v>
      </c>
      <c r="BC636" s="4" t="s">
        <v>241</v>
      </c>
      <c r="BD636" s="4" t="s">
        <v>252</v>
      </c>
      <c r="BE636" s="4" t="s">
        <v>241</v>
      </c>
      <c r="BI636" s="4" t="s">
        <v>253</v>
      </c>
      <c r="BJ636" s="5" t="s">
        <v>246</v>
      </c>
      <c r="BK636" s="4" t="s">
        <v>254</v>
      </c>
      <c r="BL636" s="4" t="s">
        <v>255</v>
      </c>
      <c r="BM636" s="4" t="s">
        <v>241</v>
      </c>
      <c r="BN636" s="6">
        <f>0</f>
        <v>0</v>
      </c>
      <c r="BO636" s="6">
        <f>0</f>
        <v>0</v>
      </c>
      <c r="BP636" s="4" t="s">
        <v>256</v>
      </c>
      <c r="BQ636" s="4" t="s">
        <v>257</v>
      </c>
      <c r="CE636" s="4" t="s">
        <v>241</v>
      </c>
      <c r="CF636" s="4" t="s">
        <v>241</v>
      </c>
      <c r="CJ636" s="4" t="s">
        <v>258</v>
      </c>
      <c r="CK636" s="4" t="s">
        <v>259</v>
      </c>
      <c r="CL636" s="4" t="s">
        <v>241</v>
      </c>
      <c r="CO636" s="5" t="s">
        <v>260</v>
      </c>
      <c r="CP636" s="4" t="s">
        <v>241</v>
      </c>
      <c r="CQ636" s="4" t="s">
        <v>261</v>
      </c>
      <c r="CR636" s="4" t="s">
        <v>241</v>
      </c>
      <c r="CS636" s="4" t="s">
        <v>241</v>
      </c>
      <c r="CT636" s="4">
        <v>0</v>
      </c>
      <c r="CU636" s="4" t="s">
        <v>262</v>
      </c>
      <c r="CV636" s="4" t="s">
        <v>263</v>
      </c>
      <c r="CW636" s="4" t="s">
        <v>263</v>
      </c>
      <c r="CX636" s="4" t="s">
        <v>264</v>
      </c>
      <c r="DA636" s="6">
        <f>12034</f>
        <v>12034</v>
      </c>
      <c r="DC636" s="4" t="s">
        <v>3160</v>
      </c>
      <c r="DD636" s="4" t="s">
        <v>241</v>
      </c>
      <c r="DF636" s="4" t="s">
        <v>287</v>
      </c>
      <c r="DG636" s="6">
        <f>0</f>
        <v>0</v>
      </c>
      <c r="DI636" s="4" t="s">
        <v>3167</v>
      </c>
      <c r="DJ636" s="4" t="s">
        <v>241</v>
      </c>
      <c r="DK636" s="4" t="s">
        <v>241</v>
      </c>
      <c r="DL636" s="4" t="s">
        <v>241</v>
      </c>
      <c r="DP636" s="4" t="s">
        <v>241</v>
      </c>
      <c r="DQ636" s="4" t="s">
        <v>241</v>
      </c>
      <c r="DR636" s="4" t="s">
        <v>241</v>
      </c>
      <c r="DS636" s="4" t="s">
        <v>241</v>
      </c>
      <c r="DV636" s="4" t="s">
        <v>4520</v>
      </c>
      <c r="DW636" s="4" t="s">
        <v>1551</v>
      </c>
      <c r="HO636" s="4" t="s">
        <v>267</v>
      </c>
    </row>
    <row r="637" spans="1:223" ht="19.5" customHeight="1" x14ac:dyDescent="0.4">
      <c r="A637" s="4">
        <v>1</v>
      </c>
      <c r="B637" s="4" t="s">
        <v>239</v>
      </c>
      <c r="C637" s="4">
        <v>1499</v>
      </c>
      <c r="D637" s="4">
        <v>1</v>
      </c>
      <c r="E637" s="4">
        <v>1</v>
      </c>
      <c r="F637" s="4" t="s">
        <v>240</v>
      </c>
      <c r="G637" s="4" t="s">
        <v>241</v>
      </c>
      <c r="H637" s="4" t="s">
        <v>241</v>
      </c>
      <c r="I637" s="4" t="s">
        <v>4518</v>
      </c>
      <c r="J637" s="4" t="s">
        <v>3158</v>
      </c>
      <c r="K637" s="4" t="s">
        <v>251</v>
      </c>
      <c r="L637" s="4" t="s">
        <v>3180</v>
      </c>
      <c r="M637" s="5" t="s">
        <v>4693</v>
      </c>
      <c r="N637" s="6">
        <f>1969</f>
        <v>1969</v>
      </c>
      <c r="O637" s="4" t="s">
        <v>265</v>
      </c>
      <c r="P637" s="6">
        <f>21659</f>
        <v>21659</v>
      </c>
      <c r="Q637" s="6">
        <f>0</f>
        <v>0</v>
      </c>
      <c r="S637" s="6">
        <f>0</f>
        <v>0</v>
      </c>
      <c r="T637" s="6">
        <f>21659</f>
        <v>21659</v>
      </c>
      <c r="U637" s="5" t="s">
        <v>245</v>
      </c>
      <c r="V637" s="4" t="s">
        <v>270</v>
      </c>
      <c r="W637" s="4" t="s">
        <v>242</v>
      </c>
      <c r="X637" s="4" t="s">
        <v>243</v>
      </c>
      <c r="Y637" s="4" t="s">
        <v>241</v>
      </c>
      <c r="AB637" s="4" t="s">
        <v>241</v>
      </c>
      <c r="AD637" s="5" t="s">
        <v>241</v>
      </c>
      <c r="AG637" s="5" t="s">
        <v>246</v>
      </c>
      <c r="AH637" s="4" t="s">
        <v>241</v>
      </c>
      <c r="AI637" s="4" t="s">
        <v>247</v>
      </c>
      <c r="AJ637" s="4" t="s">
        <v>248</v>
      </c>
      <c r="AZ637" s="4" t="s">
        <v>249</v>
      </c>
      <c r="BA637" s="4" t="s">
        <v>241</v>
      </c>
      <c r="BB637" s="4" t="s">
        <v>250</v>
      </c>
      <c r="BC637" s="4" t="s">
        <v>241</v>
      </c>
      <c r="BD637" s="4" t="s">
        <v>252</v>
      </c>
      <c r="BE637" s="4" t="s">
        <v>241</v>
      </c>
      <c r="BI637" s="4" t="s">
        <v>253</v>
      </c>
      <c r="BJ637" s="5" t="s">
        <v>246</v>
      </c>
      <c r="BK637" s="4" t="s">
        <v>254</v>
      </c>
      <c r="BL637" s="4" t="s">
        <v>255</v>
      </c>
      <c r="BM637" s="4" t="s">
        <v>241</v>
      </c>
      <c r="BN637" s="6">
        <f>0</f>
        <v>0</v>
      </c>
      <c r="BO637" s="6">
        <f>0</f>
        <v>0</v>
      </c>
      <c r="BP637" s="4" t="s">
        <v>256</v>
      </c>
      <c r="BQ637" s="4" t="s">
        <v>257</v>
      </c>
      <c r="CE637" s="4" t="s">
        <v>241</v>
      </c>
      <c r="CF637" s="4" t="s">
        <v>241</v>
      </c>
      <c r="CJ637" s="4" t="s">
        <v>258</v>
      </c>
      <c r="CK637" s="4" t="s">
        <v>259</v>
      </c>
      <c r="CL637" s="4" t="s">
        <v>241</v>
      </c>
      <c r="CO637" s="5" t="s">
        <v>260</v>
      </c>
      <c r="CP637" s="4" t="s">
        <v>241</v>
      </c>
      <c r="CQ637" s="4" t="s">
        <v>261</v>
      </c>
      <c r="CR637" s="4" t="s">
        <v>241</v>
      </c>
      <c r="CS637" s="4" t="s">
        <v>241</v>
      </c>
      <c r="CT637" s="4">
        <v>0</v>
      </c>
      <c r="CU637" s="4" t="s">
        <v>262</v>
      </c>
      <c r="CV637" s="4" t="s">
        <v>263</v>
      </c>
      <c r="CW637" s="4" t="s">
        <v>263</v>
      </c>
      <c r="CX637" s="4" t="s">
        <v>264</v>
      </c>
      <c r="DA637" s="6">
        <f>21659</f>
        <v>21659</v>
      </c>
      <c r="DC637" s="4" t="s">
        <v>3160</v>
      </c>
      <c r="DD637" s="4" t="s">
        <v>241</v>
      </c>
      <c r="DF637" s="4" t="s">
        <v>287</v>
      </c>
      <c r="DG637" s="6">
        <f>0</f>
        <v>0</v>
      </c>
      <c r="DI637" s="4" t="s">
        <v>3167</v>
      </c>
      <c r="DJ637" s="4" t="s">
        <v>241</v>
      </c>
      <c r="DK637" s="4" t="s">
        <v>241</v>
      </c>
      <c r="DL637" s="4" t="s">
        <v>241</v>
      </c>
      <c r="DP637" s="4" t="s">
        <v>241</v>
      </c>
      <c r="DQ637" s="4" t="s">
        <v>241</v>
      </c>
      <c r="DR637" s="4" t="s">
        <v>241</v>
      </c>
      <c r="DS637" s="4" t="s">
        <v>241</v>
      </c>
      <c r="DV637" s="4" t="s">
        <v>4520</v>
      </c>
      <c r="DW637" s="4" t="s">
        <v>1549</v>
      </c>
      <c r="HO637" s="4" t="s">
        <v>267</v>
      </c>
    </row>
    <row r="638" spans="1:223" ht="19.5" customHeight="1" x14ac:dyDescent="0.4">
      <c r="A638" s="4">
        <v>1</v>
      </c>
      <c r="B638" s="4" t="s">
        <v>239</v>
      </c>
      <c r="C638" s="4">
        <v>1500</v>
      </c>
      <c r="D638" s="4">
        <v>1</v>
      </c>
      <c r="E638" s="4">
        <v>1</v>
      </c>
      <c r="F638" s="4" t="s">
        <v>240</v>
      </c>
      <c r="G638" s="4" t="s">
        <v>241</v>
      </c>
      <c r="H638" s="4" t="s">
        <v>241</v>
      </c>
      <c r="I638" s="4" t="s">
        <v>4518</v>
      </c>
      <c r="J638" s="4" t="s">
        <v>3158</v>
      </c>
      <c r="K638" s="4" t="s">
        <v>251</v>
      </c>
      <c r="L638" s="4" t="s">
        <v>3180</v>
      </c>
      <c r="M638" s="5" t="s">
        <v>4694</v>
      </c>
      <c r="N638" s="6">
        <f>9011</f>
        <v>9011</v>
      </c>
      <c r="O638" s="4" t="s">
        <v>265</v>
      </c>
      <c r="P638" s="6">
        <f>99121</f>
        <v>99121</v>
      </c>
      <c r="Q638" s="6">
        <f>0</f>
        <v>0</v>
      </c>
      <c r="S638" s="6">
        <f>0</f>
        <v>0</v>
      </c>
      <c r="T638" s="6">
        <f>99121</f>
        <v>99121</v>
      </c>
      <c r="U638" s="5" t="s">
        <v>245</v>
      </c>
      <c r="V638" s="4" t="s">
        <v>270</v>
      </c>
      <c r="W638" s="4" t="s">
        <v>242</v>
      </c>
      <c r="X638" s="4" t="s">
        <v>243</v>
      </c>
      <c r="Y638" s="4" t="s">
        <v>241</v>
      </c>
      <c r="AB638" s="4" t="s">
        <v>241</v>
      </c>
      <c r="AD638" s="5" t="s">
        <v>241</v>
      </c>
      <c r="AG638" s="5" t="s">
        <v>246</v>
      </c>
      <c r="AH638" s="4" t="s">
        <v>241</v>
      </c>
      <c r="AI638" s="4" t="s">
        <v>247</v>
      </c>
      <c r="AJ638" s="4" t="s">
        <v>248</v>
      </c>
      <c r="AZ638" s="4" t="s">
        <v>249</v>
      </c>
      <c r="BA638" s="4" t="s">
        <v>241</v>
      </c>
      <c r="BB638" s="4" t="s">
        <v>250</v>
      </c>
      <c r="BC638" s="4" t="s">
        <v>241</v>
      </c>
      <c r="BD638" s="4" t="s">
        <v>252</v>
      </c>
      <c r="BE638" s="4" t="s">
        <v>241</v>
      </c>
      <c r="BI638" s="4" t="s">
        <v>253</v>
      </c>
      <c r="BJ638" s="5" t="s">
        <v>246</v>
      </c>
      <c r="BK638" s="4" t="s">
        <v>254</v>
      </c>
      <c r="BL638" s="4" t="s">
        <v>255</v>
      </c>
      <c r="BM638" s="4" t="s">
        <v>241</v>
      </c>
      <c r="BN638" s="6">
        <f>0</f>
        <v>0</v>
      </c>
      <c r="BO638" s="6">
        <f>0</f>
        <v>0</v>
      </c>
      <c r="BP638" s="4" t="s">
        <v>256</v>
      </c>
      <c r="BQ638" s="4" t="s">
        <v>257</v>
      </c>
      <c r="CE638" s="4" t="s">
        <v>241</v>
      </c>
      <c r="CF638" s="4" t="s">
        <v>241</v>
      </c>
      <c r="CJ638" s="4" t="s">
        <v>258</v>
      </c>
      <c r="CK638" s="4" t="s">
        <v>259</v>
      </c>
      <c r="CL638" s="4" t="s">
        <v>241</v>
      </c>
      <c r="CO638" s="5" t="s">
        <v>260</v>
      </c>
      <c r="CP638" s="4" t="s">
        <v>241</v>
      </c>
      <c r="CQ638" s="4" t="s">
        <v>261</v>
      </c>
      <c r="CR638" s="4" t="s">
        <v>241</v>
      </c>
      <c r="CS638" s="4" t="s">
        <v>241</v>
      </c>
      <c r="CT638" s="4">
        <v>0</v>
      </c>
      <c r="CU638" s="4" t="s">
        <v>262</v>
      </c>
      <c r="CV638" s="4" t="s">
        <v>263</v>
      </c>
      <c r="CW638" s="4" t="s">
        <v>263</v>
      </c>
      <c r="CX638" s="4" t="s">
        <v>264</v>
      </c>
      <c r="DA638" s="6">
        <f>99121</f>
        <v>99121</v>
      </c>
      <c r="DC638" s="4" t="s">
        <v>3160</v>
      </c>
      <c r="DD638" s="4" t="s">
        <v>241</v>
      </c>
      <c r="DF638" s="4" t="s">
        <v>287</v>
      </c>
      <c r="DG638" s="6">
        <f>0</f>
        <v>0</v>
      </c>
      <c r="DI638" s="4" t="s">
        <v>3167</v>
      </c>
      <c r="DJ638" s="4" t="s">
        <v>241</v>
      </c>
      <c r="DK638" s="4" t="s">
        <v>241</v>
      </c>
      <c r="DL638" s="4" t="s">
        <v>241</v>
      </c>
      <c r="DP638" s="4" t="s">
        <v>241</v>
      </c>
      <c r="DQ638" s="4" t="s">
        <v>241</v>
      </c>
      <c r="DR638" s="4" t="s">
        <v>241</v>
      </c>
      <c r="DS638" s="4" t="s">
        <v>241</v>
      </c>
      <c r="DV638" s="4" t="s">
        <v>4520</v>
      </c>
      <c r="DW638" s="4" t="s">
        <v>1547</v>
      </c>
      <c r="HO638" s="4" t="s">
        <v>267</v>
      </c>
    </row>
    <row r="639" spans="1:223" ht="19.5" customHeight="1" x14ac:dyDescent="0.4">
      <c r="A639" s="4">
        <v>1</v>
      </c>
      <c r="B639" s="4" t="s">
        <v>239</v>
      </c>
      <c r="C639" s="4">
        <v>1501</v>
      </c>
      <c r="D639" s="4">
        <v>1</v>
      </c>
      <c r="E639" s="4">
        <v>1</v>
      </c>
      <c r="F639" s="4" t="s">
        <v>240</v>
      </c>
      <c r="G639" s="4" t="s">
        <v>241</v>
      </c>
      <c r="H639" s="4" t="s">
        <v>241</v>
      </c>
      <c r="I639" s="4" t="s">
        <v>4518</v>
      </c>
      <c r="J639" s="4" t="s">
        <v>3158</v>
      </c>
      <c r="K639" s="4" t="s">
        <v>251</v>
      </c>
      <c r="L639" s="4" t="s">
        <v>3180</v>
      </c>
      <c r="M639" s="5" t="s">
        <v>4695</v>
      </c>
      <c r="N639" s="6">
        <f>2084</f>
        <v>2084</v>
      </c>
      <c r="O639" s="4" t="s">
        <v>265</v>
      </c>
      <c r="P639" s="6">
        <f>22924</f>
        <v>22924</v>
      </c>
      <c r="Q639" s="6">
        <f>0</f>
        <v>0</v>
      </c>
      <c r="S639" s="6">
        <f>0</f>
        <v>0</v>
      </c>
      <c r="T639" s="6">
        <f>22924</f>
        <v>22924</v>
      </c>
      <c r="U639" s="5" t="s">
        <v>245</v>
      </c>
      <c r="V639" s="4" t="s">
        <v>270</v>
      </c>
      <c r="W639" s="4" t="s">
        <v>242</v>
      </c>
      <c r="X639" s="4" t="s">
        <v>243</v>
      </c>
      <c r="Y639" s="4" t="s">
        <v>241</v>
      </c>
      <c r="AB639" s="4" t="s">
        <v>241</v>
      </c>
      <c r="AD639" s="5" t="s">
        <v>241</v>
      </c>
      <c r="AG639" s="5" t="s">
        <v>246</v>
      </c>
      <c r="AH639" s="4" t="s">
        <v>241</v>
      </c>
      <c r="AI639" s="4" t="s">
        <v>247</v>
      </c>
      <c r="AJ639" s="4" t="s">
        <v>248</v>
      </c>
      <c r="AZ639" s="4" t="s">
        <v>249</v>
      </c>
      <c r="BA639" s="4" t="s">
        <v>241</v>
      </c>
      <c r="BB639" s="4" t="s">
        <v>250</v>
      </c>
      <c r="BC639" s="4" t="s">
        <v>241</v>
      </c>
      <c r="BD639" s="4" t="s">
        <v>252</v>
      </c>
      <c r="BE639" s="4" t="s">
        <v>241</v>
      </c>
      <c r="BI639" s="4" t="s">
        <v>253</v>
      </c>
      <c r="BJ639" s="5" t="s">
        <v>246</v>
      </c>
      <c r="BK639" s="4" t="s">
        <v>254</v>
      </c>
      <c r="BL639" s="4" t="s">
        <v>255</v>
      </c>
      <c r="BM639" s="4" t="s">
        <v>241</v>
      </c>
      <c r="BN639" s="6">
        <f>0</f>
        <v>0</v>
      </c>
      <c r="BO639" s="6">
        <f>0</f>
        <v>0</v>
      </c>
      <c r="BP639" s="4" t="s">
        <v>256</v>
      </c>
      <c r="BQ639" s="4" t="s">
        <v>257</v>
      </c>
      <c r="CE639" s="4" t="s">
        <v>241</v>
      </c>
      <c r="CF639" s="4" t="s">
        <v>241</v>
      </c>
      <c r="CJ639" s="4" t="s">
        <v>258</v>
      </c>
      <c r="CK639" s="4" t="s">
        <v>259</v>
      </c>
      <c r="CL639" s="4" t="s">
        <v>241</v>
      </c>
      <c r="CO639" s="5" t="s">
        <v>260</v>
      </c>
      <c r="CP639" s="4" t="s">
        <v>241</v>
      </c>
      <c r="CQ639" s="4" t="s">
        <v>261</v>
      </c>
      <c r="CR639" s="4" t="s">
        <v>241</v>
      </c>
      <c r="CS639" s="4" t="s">
        <v>241</v>
      </c>
      <c r="CT639" s="4">
        <v>0</v>
      </c>
      <c r="CU639" s="4" t="s">
        <v>262</v>
      </c>
      <c r="CV639" s="4" t="s">
        <v>263</v>
      </c>
      <c r="CW639" s="4" t="s">
        <v>263</v>
      </c>
      <c r="CX639" s="4" t="s">
        <v>264</v>
      </c>
      <c r="DA639" s="6">
        <f>22924</f>
        <v>22924</v>
      </c>
      <c r="DC639" s="4" t="s">
        <v>3160</v>
      </c>
      <c r="DD639" s="4" t="s">
        <v>241</v>
      </c>
      <c r="DF639" s="4" t="s">
        <v>287</v>
      </c>
      <c r="DG639" s="6">
        <f>0</f>
        <v>0</v>
      </c>
      <c r="DI639" s="4" t="s">
        <v>3167</v>
      </c>
      <c r="DJ639" s="4" t="s">
        <v>241</v>
      </c>
      <c r="DK639" s="4" t="s">
        <v>241</v>
      </c>
      <c r="DL639" s="4" t="s">
        <v>241</v>
      </c>
      <c r="DP639" s="4" t="s">
        <v>241</v>
      </c>
      <c r="DQ639" s="4" t="s">
        <v>241</v>
      </c>
      <c r="DR639" s="4" t="s">
        <v>241</v>
      </c>
      <c r="DS639" s="4" t="s">
        <v>241</v>
      </c>
      <c r="DV639" s="4" t="s">
        <v>4520</v>
      </c>
      <c r="DW639" s="4" t="s">
        <v>1545</v>
      </c>
      <c r="HO639" s="4" t="s">
        <v>267</v>
      </c>
    </row>
    <row r="640" spans="1:223" ht="19.5" customHeight="1" x14ac:dyDescent="0.4">
      <c r="A640" s="4">
        <v>1</v>
      </c>
      <c r="B640" s="4" t="s">
        <v>239</v>
      </c>
      <c r="C640" s="4">
        <v>1502</v>
      </c>
      <c r="D640" s="4">
        <v>1</v>
      </c>
      <c r="E640" s="4">
        <v>1</v>
      </c>
      <c r="F640" s="4" t="s">
        <v>240</v>
      </c>
      <c r="G640" s="4" t="s">
        <v>241</v>
      </c>
      <c r="H640" s="4" t="s">
        <v>241</v>
      </c>
      <c r="I640" s="4" t="s">
        <v>4518</v>
      </c>
      <c r="J640" s="4" t="s">
        <v>3158</v>
      </c>
      <c r="K640" s="4" t="s">
        <v>251</v>
      </c>
      <c r="L640" s="4" t="s">
        <v>3180</v>
      </c>
      <c r="M640" s="5" t="s">
        <v>5436</v>
      </c>
      <c r="N640" s="6">
        <f>3198</f>
        <v>3198</v>
      </c>
      <c r="O640" s="4" t="s">
        <v>265</v>
      </c>
      <c r="P640" s="6">
        <f>35178</f>
        <v>35178</v>
      </c>
      <c r="Q640" s="6">
        <f>0</f>
        <v>0</v>
      </c>
      <c r="S640" s="6">
        <f>0</f>
        <v>0</v>
      </c>
      <c r="T640" s="6">
        <f>35178</f>
        <v>35178</v>
      </c>
      <c r="U640" s="5" t="s">
        <v>245</v>
      </c>
      <c r="V640" s="4" t="s">
        <v>270</v>
      </c>
      <c r="W640" s="4" t="s">
        <v>242</v>
      </c>
      <c r="X640" s="4" t="s">
        <v>243</v>
      </c>
      <c r="Y640" s="4" t="s">
        <v>241</v>
      </c>
      <c r="AB640" s="4" t="s">
        <v>241</v>
      </c>
      <c r="AD640" s="5" t="s">
        <v>241</v>
      </c>
      <c r="AG640" s="5" t="s">
        <v>246</v>
      </c>
      <c r="AH640" s="4" t="s">
        <v>241</v>
      </c>
      <c r="AI640" s="4" t="s">
        <v>247</v>
      </c>
      <c r="AJ640" s="4" t="s">
        <v>248</v>
      </c>
      <c r="AZ640" s="4" t="s">
        <v>249</v>
      </c>
      <c r="BA640" s="4" t="s">
        <v>241</v>
      </c>
      <c r="BB640" s="4" t="s">
        <v>250</v>
      </c>
      <c r="BC640" s="4" t="s">
        <v>241</v>
      </c>
      <c r="BD640" s="4" t="s">
        <v>252</v>
      </c>
      <c r="BE640" s="4" t="s">
        <v>241</v>
      </c>
      <c r="BI640" s="4" t="s">
        <v>253</v>
      </c>
      <c r="BJ640" s="5" t="s">
        <v>246</v>
      </c>
      <c r="BK640" s="4" t="s">
        <v>254</v>
      </c>
      <c r="BL640" s="4" t="s">
        <v>255</v>
      </c>
      <c r="BM640" s="4" t="s">
        <v>241</v>
      </c>
      <c r="BN640" s="6">
        <f>0</f>
        <v>0</v>
      </c>
      <c r="BO640" s="6">
        <f>0</f>
        <v>0</v>
      </c>
      <c r="BP640" s="4" t="s">
        <v>256</v>
      </c>
      <c r="BQ640" s="4" t="s">
        <v>257</v>
      </c>
      <c r="CE640" s="4" t="s">
        <v>241</v>
      </c>
      <c r="CF640" s="4" t="s">
        <v>241</v>
      </c>
      <c r="CJ640" s="4" t="s">
        <v>258</v>
      </c>
      <c r="CK640" s="4" t="s">
        <v>259</v>
      </c>
      <c r="CL640" s="4" t="s">
        <v>241</v>
      </c>
      <c r="CO640" s="5" t="s">
        <v>260</v>
      </c>
      <c r="CP640" s="4" t="s">
        <v>241</v>
      </c>
      <c r="CQ640" s="4" t="s">
        <v>261</v>
      </c>
      <c r="CR640" s="4" t="s">
        <v>241</v>
      </c>
      <c r="CS640" s="4" t="s">
        <v>241</v>
      </c>
      <c r="CT640" s="4">
        <v>0</v>
      </c>
      <c r="CU640" s="4" t="s">
        <v>262</v>
      </c>
      <c r="CV640" s="4" t="s">
        <v>263</v>
      </c>
      <c r="CW640" s="4" t="s">
        <v>263</v>
      </c>
      <c r="CX640" s="4" t="s">
        <v>264</v>
      </c>
      <c r="DA640" s="6">
        <f>35178</f>
        <v>35178</v>
      </c>
      <c r="DC640" s="4" t="s">
        <v>3160</v>
      </c>
      <c r="DD640" s="4" t="s">
        <v>241</v>
      </c>
      <c r="DF640" s="4" t="s">
        <v>287</v>
      </c>
      <c r="DG640" s="6">
        <f>0</f>
        <v>0</v>
      </c>
      <c r="DI640" s="4" t="s">
        <v>3167</v>
      </c>
      <c r="DJ640" s="4" t="s">
        <v>241</v>
      </c>
      <c r="DK640" s="4" t="s">
        <v>241</v>
      </c>
      <c r="DL640" s="4" t="s">
        <v>241</v>
      </c>
      <c r="DP640" s="4" t="s">
        <v>241</v>
      </c>
      <c r="DQ640" s="4" t="s">
        <v>241</v>
      </c>
      <c r="DR640" s="4" t="s">
        <v>241</v>
      </c>
      <c r="DS640" s="4" t="s">
        <v>241</v>
      </c>
      <c r="DV640" s="4" t="s">
        <v>4520</v>
      </c>
      <c r="DW640" s="4" t="s">
        <v>1543</v>
      </c>
      <c r="HO640" s="4" t="s">
        <v>267</v>
      </c>
    </row>
    <row r="641" spans="1:223" ht="19.5" customHeight="1" x14ac:dyDescent="0.4">
      <c r="A641" s="4">
        <v>1</v>
      </c>
      <c r="B641" s="4" t="s">
        <v>239</v>
      </c>
      <c r="C641" s="4">
        <v>1503</v>
      </c>
      <c r="D641" s="4">
        <v>1</v>
      </c>
      <c r="E641" s="4">
        <v>1</v>
      </c>
      <c r="F641" s="4" t="s">
        <v>240</v>
      </c>
      <c r="G641" s="4" t="s">
        <v>241</v>
      </c>
      <c r="H641" s="4" t="s">
        <v>241</v>
      </c>
      <c r="I641" s="4" t="s">
        <v>4518</v>
      </c>
      <c r="J641" s="4" t="s">
        <v>3158</v>
      </c>
      <c r="K641" s="4" t="s">
        <v>251</v>
      </c>
      <c r="L641" s="4" t="s">
        <v>3180</v>
      </c>
      <c r="M641" s="5" t="s">
        <v>4573</v>
      </c>
      <c r="N641" s="6">
        <f>6470</f>
        <v>6470</v>
      </c>
      <c r="O641" s="4" t="s">
        <v>265</v>
      </c>
      <c r="P641" s="6">
        <f>71170</f>
        <v>71170</v>
      </c>
      <c r="Q641" s="6">
        <f>0</f>
        <v>0</v>
      </c>
      <c r="S641" s="6">
        <f>0</f>
        <v>0</v>
      </c>
      <c r="T641" s="6">
        <f>71170</f>
        <v>71170</v>
      </c>
      <c r="U641" s="5" t="s">
        <v>245</v>
      </c>
      <c r="V641" s="4" t="s">
        <v>270</v>
      </c>
      <c r="W641" s="4" t="s">
        <v>242</v>
      </c>
      <c r="X641" s="4" t="s">
        <v>243</v>
      </c>
      <c r="Y641" s="4" t="s">
        <v>241</v>
      </c>
      <c r="AB641" s="4" t="s">
        <v>241</v>
      </c>
      <c r="AD641" s="5" t="s">
        <v>241</v>
      </c>
      <c r="AG641" s="5" t="s">
        <v>246</v>
      </c>
      <c r="AH641" s="4" t="s">
        <v>241</v>
      </c>
      <c r="AI641" s="4" t="s">
        <v>247</v>
      </c>
      <c r="AJ641" s="4" t="s">
        <v>248</v>
      </c>
      <c r="AZ641" s="4" t="s">
        <v>249</v>
      </c>
      <c r="BA641" s="4" t="s">
        <v>241</v>
      </c>
      <c r="BB641" s="4" t="s">
        <v>250</v>
      </c>
      <c r="BC641" s="4" t="s">
        <v>241</v>
      </c>
      <c r="BD641" s="4" t="s">
        <v>252</v>
      </c>
      <c r="BE641" s="4" t="s">
        <v>241</v>
      </c>
      <c r="BI641" s="4" t="s">
        <v>253</v>
      </c>
      <c r="BJ641" s="5" t="s">
        <v>246</v>
      </c>
      <c r="BK641" s="4" t="s">
        <v>254</v>
      </c>
      <c r="BL641" s="4" t="s">
        <v>255</v>
      </c>
      <c r="BM641" s="4" t="s">
        <v>241</v>
      </c>
      <c r="BN641" s="6">
        <f>0</f>
        <v>0</v>
      </c>
      <c r="BO641" s="6">
        <f>0</f>
        <v>0</v>
      </c>
      <c r="BP641" s="4" t="s">
        <v>256</v>
      </c>
      <c r="BQ641" s="4" t="s">
        <v>257</v>
      </c>
      <c r="CE641" s="4" t="s">
        <v>241</v>
      </c>
      <c r="CF641" s="4" t="s">
        <v>241</v>
      </c>
      <c r="CJ641" s="4" t="s">
        <v>258</v>
      </c>
      <c r="CK641" s="4" t="s">
        <v>259</v>
      </c>
      <c r="CL641" s="4" t="s">
        <v>241</v>
      </c>
      <c r="CO641" s="5" t="s">
        <v>260</v>
      </c>
      <c r="CP641" s="4" t="s">
        <v>241</v>
      </c>
      <c r="CQ641" s="4" t="s">
        <v>261</v>
      </c>
      <c r="CR641" s="4" t="s">
        <v>241</v>
      </c>
      <c r="CS641" s="4" t="s">
        <v>241</v>
      </c>
      <c r="CT641" s="4">
        <v>0</v>
      </c>
      <c r="CU641" s="4" t="s">
        <v>262</v>
      </c>
      <c r="CV641" s="4" t="s">
        <v>263</v>
      </c>
      <c r="CW641" s="4" t="s">
        <v>263</v>
      </c>
      <c r="CX641" s="4" t="s">
        <v>264</v>
      </c>
      <c r="DA641" s="6">
        <f>71170</f>
        <v>71170</v>
      </c>
      <c r="DC641" s="4" t="s">
        <v>3160</v>
      </c>
      <c r="DD641" s="4" t="s">
        <v>241</v>
      </c>
      <c r="DF641" s="4" t="s">
        <v>287</v>
      </c>
      <c r="DG641" s="6">
        <f>0</f>
        <v>0</v>
      </c>
      <c r="DI641" s="4" t="s">
        <v>3167</v>
      </c>
      <c r="DJ641" s="4" t="s">
        <v>241</v>
      </c>
      <c r="DK641" s="4" t="s">
        <v>241</v>
      </c>
      <c r="DL641" s="4" t="s">
        <v>241</v>
      </c>
      <c r="DP641" s="4" t="s">
        <v>241</v>
      </c>
      <c r="DQ641" s="4" t="s">
        <v>241</v>
      </c>
      <c r="DR641" s="4" t="s">
        <v>241</v>
      </c>
      <c r="DS641" s="4" t="s">
        <v>241</v>
      </c>
      <c r="DV641" s="4" t="s">
        <v>4520</v>
      </c>
      <c r="DW641" s="4" t="s">
        <v>1541</v>
      </c>
      <c r="HO641" s="4" t="s">
        <v>267</v>
      </c>
    </row>
    <row r="642" spans="1:223" ht="19.5" customHeight="1" x14ac:dyDescent="0.4">
      <c r="A642" s="4">
        <v>1</v>
      </c>
      <c r="B642" s="4" t="s">
        <v>239</v>
      </c>
      <c r="C642" s="4">
        <v>1504</v>
      </c>
      <c r="D642" s="4">
        <v>1</v>
      </c>
      <c r="E642" s="4">
        <v>1</v>
      </c>
      <c r="F642" s="4" t="s">
        <v>240</v>
      </c>
      <c r="G642" s="4" t="s">
        <v>241</v>
      </c>
      <c r="H642" s="4" t="s">
        <v>241</v>
      </c>
      <c r="I642" s="4" t="s">
        <v>4518</v>
      </c>
      <c r="J642" s="4" t="s">
        <v>3158</v>
      </c>
      <c r="K642" s="4" t="s">
        <v>251</v>
      </c>
      <c r="L642" s="4" t="s">
        <v>3180</v>
      </c>
      <c r="M642" s="5" t="s">
        <v>4574</v>
      </c>
      <c r="N642" s="6">
        <f>720</f>
        <v>720</v>
      </c>
      <c r="O642" s="4" t="s">
        <v>265</v>
      </c>
      <c r="P642" s="6">
        <f>7920</f>
        <v>7920</v>
      </c>
      <c r="Q642" s="6">
        <f>0</f>
        <v>0</v>
      </c>
      <c r="S642" s="6">
        <f>0</f>
        <v>0</v>
      </c>
      <c r="T642" s="6">
        <f>7920</f>
        <v>7920</v>
      </c>
      <c r="U642" s="5" t="s">
        <v>245</v>
      </c>
      <c r="V642" s="4" t="s">
        <v>270</v>
      </c>
      <c r="W642" s="4" t="s">
        <v>242</v>
      </c>
      <c r="X642" s="4" t="s">
        <v>243</v>
      </c>
      <c r="Y642" s="4" t="s">
        <v>241</v>
      </c>
      <c r="AB642" s="4" t="s">
        <v>241</v>
      </c>
      <c r="AD642" s="5" t="s">
        <v>241</v>
      </c>
      <c r="AG642" s="5" t="s">
        <v>246</v>
      </c>
      <c r="AH642" s="4" t="s">
        <v>241</v>
      </c>
      <c r="AI642" s="4" t="s">
        <v>247</v>
      </c>
      <c r="AJ642" s="4" t="s">
        <v>248</v>
      </c>
      <c r="AZ642" s="4" t="s">
        <v>249</v>
      </c>
      <c r="BA642" s="4" t="s">
        <v>241</v>
      </c>
      <c r="BB642" s="4" t="s">
        <v>250</v>
      </c>
      <c r="BC642" s="4" t="s">
        <v>241</v>
      </c>
      <c r="BD642" s="4" t="s">
        <v>252</v>
      </c>
      <c r="BE642" s="4" t="s">
        <v>241</v>
      </c>
      <c r="BI642" s="4" t="s">
        <v>253</v>
      </c>
      <c r="BJ642" s="5" t="s">
        <v>246</v>
      </c>
      <c r="BK642" s="4" t="s">
        <v>254</v>
      </c>
      <c r="BL642" s="4" t="s">
        <v>255</v>
      </c>
      <c r="BM642" s="4" t="s">
        <v>241</v>
      </c>
      <c r="BN642" s="6">
        <f>0</f>
        <v>0</v>
      </c>
      <c r="BO642" s="6">
        <f>0</f>
        <v>0</v>
      </c>
      <c r="BP642" s="4" t="s">
        <v>256</v>
      </c>
      <c r="BQ642" s="4" t="s">
        <v>257</v>
      </c>
      <c r="CE642" s="4" t="s">
        <v>241</v>
      </c>
      <c r="CF642" s="4" t="s">
        <v>241</v>
      </c>
      <c r="CJ642" s="4" t="s">
        <v>258</v>
      </c>
      <c r="CK642" s="4" t="s">
        <v>259</v>
      </c>
      <c r="CL642" s="4" t="s">
        <v>241</v>
      </c>
      <c r="CO642" s="5" t="s">
        <v>260</v>
      </c>
      <c r="CP642" s="4" t="s">
        <v>241</v>
      </c>
      <c r="CQ642" s="4" t="s">
        <v>261</v>
      </c>
      <c r="CR642" s="4" t="s">
        <v>241</v>
      </c>
      <c r="CS642" s="4" t="s">
        <v>241</v>
      </c>
      <c r="CT642" s="4">
        <v>0</v>
      </c>
      <c r="CU642" s="4" t="s">
        <v>262</v>
      </c>
      <c r="CV642" s="4" t="s">
        <v>263</v>
      </c>
      <c r="CW642" s="4" t="s">
        <v>263</v>
      </c>
      <c r="CX642" s="4" t="s">
        <v>264</v>
      </c>
      <c r="DA642" s="6">
        <f>7920</f>
        <v>7920</v>
      </c>
      <c r="DC642" s="4" t="s">
        <v>3160</v>
      </c>
      <c r="DD642" s="4" t="s">
        <v>241</v>
      </c>
      <c r="DF642" s="4" t="s">
        <v>287</v>
      </c>
      <c r="DG642" s="6">
        <f>0</f>
        <v>0</v>
      </c>
      <c r="DI642" s="4" t="s">
        <v>3167</v>
      </c>
      <c r="DJ642" s="4" t="s">
        <v>241</v>
      </c>
      <c r="DK642" s="4" t="s">
        <v>241</v>
      </c>
      <c r="DL642" s="4" t="s">
        <v>241</v>
      </c>
      <c r="DP642" s="4" t="s">
        <v>241</v>
      </c>
      <c r="DQ642" s="4" t="s">
        <v>241</v>
      </c>
      <c r="DR642" s="4" t="s">
        <v>241</v>
      </c>
      <c r="DS642" s="4" t="s">
        <v>241</v>
      </c>
      <c r="DV642" s="4" t="s">
        <v>4520</v>
      </c>
      <c r="DW642" s="4" t="s">
        <v>1539</v>
      </c>
      <c r="HO642" s="4" t="s">
        <v>267</v>
      </c>
    </row>
    <row r="643" spans="1:223" ht="19.5" customHeight="1" x14ac:dyDescent="0.4">
      <c r="A643" s="4">
        <v>1</v>
      </c>
      <c r="B643" s="4" t="s">
        <v>239</v>
      </c>
      <c r="C643" s="4">
        <v>1505</v>
      </c>
      <c r="D643" s="4">
        <v>1</v>
      </c>
      <c r="E643" s="4">
        <v>1</v>
      </c>
      <c r="F643" s="4" t="s">
        <v>240</v>
      </c>
      <c r="G643" s="4" t="s">
        <v>241</v>
      </c>
      <c r="H643" s="4" t="s">
        <v>241</v>
      </c>
      <c r="I643" s="4" t="s">
        <v>4518</v>
      </c>
      <c r="J643" s="4" t="s">
        <v>3158</v>
      </c>
      <c r="K643" s="4" t="s">
        <v>251</v>
      </c>
      <c r="L643" s="4" t="s">
        <v>3180</v>
      </c>
      <c r="M643" s="5" t="s">
        <v>4576</v>
      </c>
      <c r="N643" s="6">
        <f>662</f>
        <v>662</v>
      </c>
      <c r="O643" s="4" t="s">
        <v>265</v>
      </c>
      <c r="P643" s="6">
        <f>7282</f>
        <v>7282</v>
      </c>
      <c r="Q643" s="6">
        <f>0</f>
        <v>0</v>
      </c>
      <c r="S643" s="6">
        <f>0</f>
        <v>0</v>
      </c>
      <c r="T643" s="6">
        <f>7282</f>
        <v>7282</v>
      </c>
      <c r="U643" s="5" t="s">
        <v>245</v>
      </c>
      <c r="V643" s="4" t="s">
        <v>270</v>
      </c>
      <c r="W643" s="4" t="s">
        <v>242</v>
      </c>
      <c r="X643" s="4" t="s">
        <v>243</v>
      </c>
      <c r="Y643" s="4" t="s">
        <v>241</v>
      </c>
      <c r="AB643" s="4" t="s">
        <v>241</v>
      </c>
      <c r="AD643" s="5" t="s">
        <v>241</v>
      </c>
      <c r="AG643" s="5" t="s">
        <v>246</v>
      </c>
      <c r="AH643" s="4" t="s">
        <v>241</v>
      </c>
      <c r="AI643" s="4" t="s">
        <v>247</v>
      </c>
      <c r="AJ643" s="4" t="s">
        <v>248</v>
      </c>
      <c r="AZ643" s="4" t="s">
        <v>249</v>
      </c>
      <c r="BA643" s="4" t="s">
        <v>241</v>
      </c>
      <c r="BB643" s="4" t="s">
        <v>250</v>
      </c>
      <c r="BC643" s="4" t="s">
        <v>241</v>
      </c>
      <c r="BD643" s="4" t="s">
        <v>252</v>
      </c>
      <c r="BE643" s="4" t="s">
        <v>241</v>
      </c>
      <c r="BI643" s="4" t="s">
        <v>253</v>
      </c>
      <c r="BJ643" s="5" t="s">
        <v>246</v>
      </c>
      <c r="BK643" s="4" t="s">
        <v>254</v>
      </c>
      <c r="BL643" s="4" t="s">
        <v>255</v>
      </c>
      <c r="BM643" s="4" t="s">
        <v>241</v>
      </c>
      <c r="BN643" s="6">
        <f>0</f>
        <v>0</v>
      </c>
      <c r="BO643" s="6">
        <f>0</f>
        <v>0</v>
      </c>
      <c r="BP643" s="4" t="s">
        <v>256</v>
      </c>
      <c r="BQ643" s="4" t="s">
        <v>257</v>
      </c>
      <c r="CE643" s="4" t="s">
        <v>241</v>
      </c>
      <c r="CF643" s="4" t="s">
        <v>241</v>
      </c>
      <c r="CJ643" s="4" t="s">
        <v>258</v>
      </c>
      <c r="CK643" s="4" t="s">
        <v>259</v>
      </c>
      <c r="CL643" s="4" t="s">
        <v>241</v>
      </c>
      <c r="CO643" s="5" t="s">
        <v>260</v>
      </c>
      <c r="CP643" s="4" t="s">
        <v>241</v>
      </c>
      <c r="CQ643" s="4" t="s">
        <v>261</v>
      </c>
      <c r="CR643" s="4" t="s">
        <v>241</v>
      </c>
      <c r="CS643" s="4" t="s">
        <v>241</v>
      </c>
      <c r="CT643" s="4">
        <v>0</v>
      </c>
      <c r="CU643" s="4" t="s">
        <v>262</v>
      </c>
      <c r="CV643" s="4" t="s">
        <v>263</v>
      </c>
      <c r="CW643" s="4" t="s">
        <v>263</v>
      </c>
      <c r="CX643" s="4" t="s">
        <v>264</v>
      </c>
      <c r="DA643" s="6">
        <f>7282</f>
        <v>7282</v>
      </c>
      <c r="DC643" s="4" t="s">
        <v>3160</v>
      </c>
      <c r="DD643" s="4" t="s">
        <v>241</v>
      </c>
      <c r="DF643" s="4" t="s">
        <v>287</v>
      </c>
      <c r="DG643" s="6">
        <f>0</f>
        <v>0</v>
      </c>
      <c r="DI643" s="4" t="s">
        <v>3167</v>
      </c>
      <c r="DJ643" s="4" t="s">
        <v>241</v>
      </c>
      <c r="DK643" s="4" t="s">
        <v>241</v>
      </c>
      <c r="DL643" s="4" t="s">
        <v>241</v>
      </c>
      <c r="DP643" s="4" t="s">
        <v>241</v>
      </c>
      <c r="DQ643" s="4" t="s">
        <v>241</v>
      </c>
      <c r="DR643" s="4" t="s">
        <v>241</v>
      </c>
      <c r="DS643" s="4" t="s">
        <v>241</v>
      </c>
      <c r="DV643" s="4" t="s">
        <v>4520</v>
      </c>
      <c r="DW643" s="4" t="s">
        <v>1537</v>
      </c>
      <c r="HO643" s="4" t="s">
        <v>267</v>
      </c>
    </row>
    <row r="644" spans="1:223" ht="19.5" customHeight="1" x14ac:dyDescent="0.4">
      <c r="A644" s="4">
        <v>1</v>
      </c>
      <c r="B644" s="4" t="s">
        <v>239</v>
      </c>
      <c r="C644" s="4">
        <v>1506</v>
      </c>
      <c r="D644" s="4">
        <v>1</v>
      </c>
      <c r="E644" s="4">
        <v>1</v>
      </c>
      <c r="F644" s="4" t="s">
        <v>240</v>
      </c>
      <c r="G644" s="4" t="s">
        <v>241</v>
      </c>
      <c r="H644" s="4" t="s">
        <v>241</v>
      </c>
      <c r="I644" s="4" t="s">
        <v>4518</v>
      </c>
      <c r="J644" s="4" t="s">
        <v>3158</v>
      </c>
      <c r="K644" s="4" t="s">
        <v>251</v>
      </c>
      <c r="L644" s="4" t="s">
        <v>3180</v>
      </c>
      <c r="M644" s="5" t="s">
        <v>5443</v>
      </c>
      <c r="N644" s="6">
        <f>888</f>
        <v>888</v>
      </c>
      <c r="O644" s="4" t="s">
        <v>265</v>
      </c>
      <c r="P644" s="6">
        <f>9768</f>
        <v>9768</v>
      </c>
      <c r="Q644" s="6">
        <f>0</f>
        <v>0</v>
      </c>
      <c r="S644" s="6">
        <f>0</f>
        <v>0</v>
      </c>
      <c r="T644" s="6">
        <f>9768</f>
        <v>9768</v>
      </c>
      <c r="U644" s="5" t="s">
        <v>245</v>
      </c>
      <c r="V644" s="4" t="s">
        <v>270</v>
      </c>
      <c r="W644" s="4" t="s">
        <v>242</v>
      </c>
      <c r="X644" s="4" t="s">
        <v>243</v>
      </c>
      <c r="Y644" s="4" t="s">
        <v>241</v>
      </c>
      <c r="AB644" s="4" t="s">
        <v>241</v>
      </c>
      <c r="AD644" s="5" t="s">
        <v>241</v>
      </c>
      <c r="AG644" s="5" t="s">
        <v>246</v>
      </c>
      <c r="AH644" s="4" t="s">
        <v>241</v>
      </c>
      <c r="AI644" s="4" t="s">
        <v>247</v>
      </c>
      <c r="AJ644" s="4" t="s">
        <v>248</v>
      </c>
      <c r="AZ644" s="4" t="s">
        <v>249</v>
      </c>
      <c r="BA644" s="4" t="s">
        <v>241</v>
      </c>
      <c r="BB644" s="4" t="s">
        <v>250</v>
      </c>
      <c r="BC644" s="4" t="s">
        <v>241</v>
      </c>
      <c r="BD644" s="4" t="s">
        <v>252</v>
      </c>
      <c r="BE644" s="4" t="s">
        <v>241</v>
      </c>
      <c r="BI644" s="4" t="s">
        <v>253</v>
      </c>
      <c r="BJ644" s="5" t="s">
        <v>246</v>
      </c>
      <c r="BK644" s="4" t="s">
        <v>254</v>
      </c>
      <c r="BL644" s="4" t="s">
        <v>255</v>
      </c>
      <c r="BM644" s="4" t="s">
        <v>241</v>
      </c>
      <c r="BN644" s="6">
        <f>0</f>
        <v>0</v>
      </c>
      <c r="BO644" s="6">
        <f>0</f>
        <v>0</v>
      </c>
      <c r="BP644" s="4" t="s">
        <v>256</v>
      </c>
      <c r="BQ644" s="4" t="s">
        <v>257</v>
      </c>
      <c r="CE644" s="4" t="s">
        <v>241</v>
      </c>
      <c r="CF644" s="4" t="s">
        <v>241</v>
      </c>
      <c r="CJ644" s="4" t="s">
        <v>258</v>
      </c>
      <c r="CK644" s="4" t="s">
        <v>259</v>
      </c>
      <c r="CL644" s="4" t="s">
        <v>241</v>
      </c>
      <c r="CO644" s="5" t="s">
        <v>260</v>
      </c>
      <c r="CP644" s="4" t="s">
        <v>241</v>
      </c>
      <c r="CQ644" s="4" t="s">
        <v>261</v>
      </c>
      <c r="CR644" s="4" t="s">
        <v>241</v>
      </c>
      <c r="CS644" s="4" t="s">
        <v>241</v>
      </c>
      <c r="CT644" s="4">
        <v>0</v>
      </c>
      <c r="CU644" s="4" t="s">
        <v>262</v>
      </c>
      <c r="CV644" s="4" t="s">
        <v>263</v>
      </c>
      <c r="CW644" s="4" t="s">
        <v>263</v>
      </c>
      <c r="CX644" s="4" t="s">
        <v>264</v>
      </c>
      <c r="DA644" s="6">
        <f>9768</f>
        <v>9768</v>
      </c>
      <c r="DC644" s="4" t="s">
        <v>3160</v>
      </c>
      <c r="DD644" s="4" t="s">
        <v>241</v>
      </c>
      <c r="DF644" s="4" t="s">
        <v>287</v>
      </c>
      <c r="DG644" s="6">
        <f>0</f>
        <v>0</v>
      </c>
      <c r="DI644" s="4" t="s">
        <v>3167</v>
      </c>
      <c r="DJ644" s="4" t="s">
        <v>241</v>
      </c>
      <c r="DK644" s="4" t="s">
        <v>241</v>
      </c>
      <c r="DL644" s="4" t="s">
        <v>241</v>
      </c>
      <c r="DP644" s="4" t="s">
        <v>241</v>
      </c>
      <c r="DQ644" s="4" t="s">
        <v>241</v>
      </c>
      <c r="DR644" s="4" t="s">
        <v>241</v>
      </c>
      <c r="DS644" s="4" t="s">
        <v>241</v>
      </c>
      <c r="DV644" s="4" t="s">
        <v>4520</v>
      </c>
      <c r="DW644" s="4" t="s">
        <v>1535</v>
      </c>
      <c r="HO644" s="4" t="s">
        <v>267</v>
      </c>
    </row>
    <row r="645" spans="1:223" ht="19.5" customHeight="1" x14ac:dyDescent="0.4">
      <c r="A645" s="4">
        <v>1</v>
      </c>
      <c r="B645" s="4" t="s">
        <v>239</v>
      </c>
      <c r="C645" s="4">
        <v>1507</v>
      </c>
      <c r="D645" s="4">
        <v>1</v>
      </c>
      <c r="E645" s="4">
        <v>1</v>
      </c>
      <c r="F645" s="4" t="s">
        <v>240</v>
      </c>
      <c r="G645" s="4" t="s">
        <v>241</v>
      </c>
      <c r="H645" s="4" t="s">
        <v>241</v>
      </c>
      <c r="I645" s="4" t="s">
        <v>4518</v>
      </c>
      <c r="J645" s="4" t="s">
        <v>3158</v>
      </c>
      <c r="K645" s="4" t="s">
        <v>251</v>
      </c>
      <c r="L645" s="4" t="s">
        <v>3180</v>
      </c>
      <c r="M645" s="5" t="s">
        <v>4580</v>
      </c>
      <c r="N645" s="6">
        <f>1990</f>
        <v>1990</v>
      </c>
      <c r="O645" s="4" t="s">
        <v>265</v>
      </c>
      <c r="P645" s="6">
        <f>21890</f>
        <v>21890</v>
      </c>
      <c r="Q645" s="6">
        <f>0</f>
        <v>0</v>
      </c>
      <c r="S645" s="6">
        <f>0</f>
        <v>0</v>
      </c>
      <c r="T645" s="6">
        <f>21890</f>
        <v>21890</v>
      </c>
      <c r="U645" s="5" t="s">
        <v>245</v>
      </c>
      <c r="V645" s="4" t="s">
        <v>270</v>
      </c>
      <c r="W645" s="4" t="s">
        <v>242</v>
      </c>
      <c r="X645" s="4" t="s">
        <v>243</v>
      </c>
      <c r="Y645" s="4" t="s">
        <v>241</v>
      </c>
      <c r="AB645" s="4" t="s">
        <v>241</v>
      </c>
      <c r="AD645" s="5" t="s">
        <v>241</v>
      </c>
      <c r="AG645" s="5" t="s">
        <v>246</v>
      </c>
      <c r="AH645" s="4" t="s">
        <v>241</v>
      </c>
      <c r="AI645" s="4" t="s">
        <v>247</v>
      </c>
      <c r="AJ645" s="4" t="s">
        <v>248</v>
      </c>
      <c r="AZ645" s="4" t="s">
        <v>249</v>
      </c>
      <c r="BA645" s="4" t="s">
        <v>241</v>
      </c>
      <c r="BB645" s="4" t="s">
        <v>250</v>
      </c>
      <c r="BC645" s="4" t="s">
        <v>241</v>
      </c>
      <c r="BD645" s="4" t="s">
        <v>252</v>
      </c>
      <c r="BE645" s="4" t="s">
        <v>241</v>
      </c>
      <c r="BI645" s="4" t="s">
        <v>253</v>
      </c>
      <c r="BJ645" s="5" t="s">
        <v>246</v>
      </c>
      <c r="BK645" s="4" t="s">
        <v>254</v>
      </c>
      <c r="BL645" s="4" t="s">
        <v>255</v>
      </c>
      <c r="BM645" s="4" t="s">
        <v>241</v>
      </c>
      <c r="BN645" s="6">
        <f>0</f>
        <v>0</v>
      </c>
      <c r="BO645" s="6">
        <f>0</f>
        <v>0</v>
      </c>
      <c r="BP645" s="4" t="s">
        <v>256</v>
      </c>
      <c r="BQ645" s="4" t="s">
        <v>257</v>
      </c>
      <c r="CE645" s="4" t="s">
        <v>241</v>
      </c>
      <c r="CF645" s="4" t="s">
        <v>241</v>
      </c>
      <c r="CJ645" s="4" t="s">
        <v>258</v>
      </c>
      <c r="CK645" s="4" t="s">
        <v>259</v>
      </c>
      <c r="CL645" s="4" t="s">
        <v>241</v>
      </c>
      <c r="CO645" s="5" t="s">
        <v>260</v>
      </c>
      <c r="CP645" s="4" t="s">
        <v>241</v>
      </c>
      <c r="CQ645" s="4" t="s">
        <v>261</v>
      </c>
      <c r="CR645" s="4" t="s">
        <v>241</v>
      </c>
      <c r="CS645" s="4" t="s">
        <v>241</v>
      </c>
      <c r="CT645" s="4">
        <v>0</v>
      </c>
      <c r="CU645" s="4" t="s">
        <v>262</v>
      </c>
      <c r="CV645" s="4" t="s">
        <v>263</v>
      </c>
      <c r="CW645" s="4" t="s">
        <v>263</v>
      </c>
      <c r="CX645" s="4" t="s">
        <v>264</v>
      </c>
      <c r="DA645" s="6">
        <f>21890</f>
        <v>21890</v>
      </c>
      <c r="DC645" s="4" t="s">
        <v>3160</v>
      </c>
      <c r="DD645" s="4" t="s">
        <v>241</v>
      </c>
      <c r="DF645" s="4" t="s">
        <v>287</v>
      </c>
      <c r="DG645" s="6">
        <f>0</f>
        <v>0</v>
      </c>
      <c r="DI645" s="4" t="s">
        <v>3167</v>
      </c>
      <c r="DJ645" s="4" t="s">
        <v>241</v>
      </c>
      <c r="DK645" s="4" t="s">
        <v>241</v>
      </c>
      <c r="DL645" s="4" t="s">
        <v>241</v>
      </c>
      <c r="DP645" s="4" t="s">
        <v>241</v>
      </c>
      <c r="DQ645" s="4" t="s">
        <v>241</v>
      </c>
      <c r="DR645" s="4" t="s">
        <v>241</v>
      </c>
      <c r="DS645" s="4" t="s">
        <v>241</v>
      </c>
      <c r="DV645" s="4" t="s">
        <v>4520</v>
      </c>
      <c r="DW645" s="4" t="s">
        <v>1533</v>
      </c>
      <c r="HO645" s="4" t="s">
        <v>267</v>
      </c>
    </row>
    <row r="646" spans="1:223" ht="19.5" customHeight="1" x14ac:dyDescent="0.4">
      <c r="A646" s="4">
        <v>1</v>
      </c>
      <c r="B646" s="4" t="s">
        <v>239</v>
      </c>
      <c r="C646" s="4">
        <v>1508</v>
      </c>
      <c r="D646" s="4">
        <v>1</v>
      </c>
      <c r="E646" s="4">
        <v>1</v>
      </c>
      <c r="F646" s="4" t="s">
        <v>240</v>
      </c>
      <c r="G646" s="4" t="s">
        <v>241</v>
      </c>
      <c r="H646" s="4" t="s">
        <v>241</v>
      </c>
      <c r="I646" s="4" t="s">
        <v>4518</v>
      </c>
      <c r="J646" s="4" t="s">
        <v>3158</v>
      </c>
      <c r="K646" s="4" t="s">
        <v>251</v>
      </c>
      <c r="L646" s="4" t="s">
        <v>3180</v>
      </c>
      <c r="M646" s="5" t="s">
        <v>4528</v>
      </c>
      <c r="N646" s="6">
        <f>740</f>
        <v>740</v>
      </c>
      <c r="O646" s="4" t="s">
        <v>265</v>
      </c>
      <c r="P646" s="6">
        <f>8140</f>
        <v>8140</v>
      </c>
      <c r="Q646" s="6">
        <f>0</f>
        <v>0</v>
      </c>
      <c r="S646" s="6">
        <f>0</f>
        <v>0</v>
      </c>
      <c r="T646" s="6">
        <f>8140</f>
        <v>8140</v>
      </c>
      <c r="U646" s="5" t="s">
        <v>245</v>
      </c>
      <c r="V646" s="4" t="s">
        <v>270</v>
      </c>
      <c r="W646" s="4" t="s">
        <v>242</v>
      </c>
      <c r="X646" s="4" t="s">
        <v>243</v>
      </c>
      <c r="Y646" s="4" t="s">
        <v>241</v>
      </c>
      <c r="AB646" s="4" t="s">
        <v>241</v>
      </c>
      <c r="AD646" s="5" t="s">
        <v>241</v>
      </c>
      <c r="AG646" s="5" t="s">
        <v>246</v>
      </c>
      <c r="AH646" s="4" t="s">
        <v>241</v>
      </c>
      <c r="AI646" s="4" t="s">
        <v>247</v>
      </c>
      <c r="AJ646" s="4" t="s">
        <v>248</v>
      </c>
      <c r="AZ646" s="4" t="s">
        <v>249</v>
      </c>
      <c r="BA646" s="4" t="s">
        <v>241</v>
      </c>
      <c r="BB646" s="4" t="s">
        <v>250</v>
      </c>
      <c r="BC646" s="4" t="s">
        <v>241</v>
      </c>
      <c r="BD646" s="4" t="s">
        <v>252</v>
      </c>
      <c r="BE646" s="4" t="s">
        <v>241</v>
      </c>
      <c r="BI646" s="4" t="s">
        <v>253</v>
      </c>
      <c r="BJ646" s="5" t="s">
        <v>246</v>
      </c>
      <c r="BK646" s="4" t="s">
        <v>254</v>
      </c>
      <c r="BL646" s="4" t="s">
        <v>255</v>
      </c>
      <c r="BM646" s="4" t="s">
        <v>241</v>
      </c>
      <c r="BN646" s="6">
        <f>0</f>
        <v>0</v>
      </c>
      <c r="BO646" s="6">
        <f>0</f>
        <v>0</v>
      </c>
      <c r="BP646" s="4" t="s">
        <v>256</v>
      </c>
      <c r="BQ646" s="4" t="s">
        <v>257</v>
      </c>
      <c r="CE646" s="4" t="s">
        <v>241</v>
      </c>
      <c r="CF646" s="4" t="s">
        <v>241</v>
      </c>
      <c r="CJ646" s="4" t="s">
        <v>258</v>
      </c>
      <c r="CK646" s="4" t="s">
        <v>259</v>
      </c>
      <c r="CL646" s="4" t="s">
        <v>241</v>
      </c>
      <c r="CO646" s="5" t="s">
        <v>260</v>
      </c>
      <c r="CP646" s="4" t="s">
        <v>241</v>
      </c>
      <c r="CQ646" s="4" t="s">
        <v>261</v>
      </c>
      <c r="CR646" s="4" t="s">
        <v>241</v>
      </c>
      <c r="CS646" s="4" t="s">
        <v>241</v>
      </c>
      <c r="CT646" s="4">
        <v>0</v>
      </c>
      <c r="CU646" s="4" t="s">
        <v>262</v>
      </c>
      <c r="CV646" s="4" t="s">
        <v>263</v>
      </c>
      <c r="CW646" s="4" t="s">
        <v>263</v>
      </c>
      <c r="CX646" s="4" t="s">
        <v>264</v>
      </c>
      <c r="DA646" s="6">
        <f>8140</f>
        <v>8140</v>
      </c>
      <c r="DC646" s="4" t="s">
        <v>3160</v>
      </c>
      <c r="DD646" s="4" t="s">
        <v>241</v>
      </c>
      <c r="DF646" s="4" t="s">
        <v>287</v>
      </c>
      <c r="DG646" s="6">
        <f>0</f>
        <v>0</v>
      </c>
      <c r="DI646" s="4" t="s">
        <v>3167</v>
      </c>
      <c r="DJ646" s="4" t="s">
        <v>241</v>
      </c>
      <c r="DK646" s="4" t="s">
        <v>241</v>
      </c>
      <c r="DL646" s="4" t="s">
        <v>241</v>
      </c>
      <c r="DP646" s="4" t="s">
        <v>241</v>
      </c>
      <c r="DQ646" s="4" t="s">
        <v>241</v>
      </c>
      <c r="DR646" s="4" t="s">
        <v>241</v>
      </c>
      <c r="DS646" s="4" t="s">
        <v>241</v>
      </c>
      <c r="DV646" s="4" t="s">
        <v>4520</v>
      </c>
      <c r="DW646" s="4" t="s">
        <v>1531</v>
      </c>
      <c r="HO646" s="4" t="s">
        <v>267</v>
      </c>
    </row>
    <row r="647" spans="1:223" ht="19.5" customHeight="1" x14ac:dyDescent="0.4">
      <c r="A647" s="4">
        <v>1</v>
      </c>
      <c r="B647" s="4" t="s">
        <v>239</v>
      </c>
      <c r="C647" s="4">
        <v>1509</v>
      </c>
      <c r="D647" s="4">
        <v>1</v>
      </c>
      <c r="E647" s="4">
        <v>1</v>
      </c>
      <c r="F647" s="4" t="s">
        <v>240</v>
      </c>
      <c r="G647" s="4" t="s">
        <v>241</v>
      </c>
      <c r="H647" s="4" t="s">
        <v>241</v>
      </c>
      <c r="I647" s="4" t="s">
        <v>4518</v>
      </c>
      <c r="J647" s="4" t="s">
        <v>3158</v>
      </c>
      <c r="K647" s="4" t="s">
        <v>251</v>
      </c>
      <c r="L647" s="4" t="s">
        <v>3180</v>
      </c>
      <c r="M647" s="5" t="s">
        <v>4523</v>
      </c>
      <c r="N647" s="6">
        <f>393</f>
        <v>393</v>
      </c>
      <c r="O647" s="4" t="s">
        <v>265</v>
      </c>
      <c r="P647" s="6">
        <f>4323</f>
        <v>4323</v>
      </c>
      <c r="Q647" s="6">
        <f>0</f>
        <v>0</v>
      </c>
      <c r="S647" s="6">
        <f>0</f>
        <v>0</v>
      </c>
      <c r="T647" s="6">
        <f>4323</f>
        <v>4323</v>
      </c>
      <c r="U647" s="5" t="s">
        <v>245</v>
      </c>
      <c r="V647" s="4" t="s">
        <v>270</v>
      </c>
      <c r="W647" s="4" t="s">
        <v>242</v>
      </c>
      <c r="X647" s="4" t="s">
        <v>243</v>
      </c>
      <c r="Y647" s="4" t="s">
        <v>241</v>
      </c>
      <c r="AB647" s="4" t="s">
        <v>241</v>
      </c>
      <c r="AD647" s="5" t="s">
        <v>241</v>
      </c>
      <c r="AG647" s="5" t="s">
        <v>246</v>
      </c>
      <c r="AH647" s="4" t="s">
        <v>241</v>
      </c>
      <c r="AI647" s="4" t="s">
        <v>247</v>
      </c>
      <c r="AJ647" s="4" t="s">
        <v>248</v>
      </c>
      <c r="AZ647" s="4" t="s">
        <v>249</v>
      </c>
      <c r="BA647" s="4" t="s">
        <v>241</v>
      </c>
      <c r="BB647" s="4" t="s">
        <v>250</v>
      </c>
      <c r="BC647" s="4" t="s">
        <v>241</v>
      </c>
      <c r="BD647" s="4" t="s">
        <v>252</v>
      </c>
      <c r="BE647" s="4" t="s">
        <v>241</v>
      </c>
      <c r="BI647" s="4" t="s">
        <v>253</v>
      </c>
      <c r="BJ647" s="5" t="s">
        <v>246</v>
      </c>
      <c r="BK647" s="4" t="s">
        <v>254</v>
      </c>
      <c r="BL647" s="4" t="s">
        <v>255</v>
      </c>
      <c r="BM647" s="4" t="s">
        <v>241</v>
      </c>
      <c r="BN647" s="6">
        <f>0</f>
        <v>0</v>
      </c>
      <c r="BO647" s="6">
        <f>0</f>
        <v>0</v>
      </c>
      <c r="BP647" s="4" t="s">
        <v>256</v>
      </c>
      <c r="BQ647" s="4" t="s">
        <v>257</v>
      </c>
      <c r="CE647" s="4" t="s">
        <v>241</v>
      </c>
      <c r="CF647" s="4" t="s">
        <v>241</v>
      </c>
      <c r="CJ647" s="4" t="s">
        <v>258</v>
      </c>
      <c r="CK647" s="4" t="s">
        <v>259</v>
      </c>
      <c r="CL647" s="4" t="s">
        <v>241</v>
      </c>
      <c r="CO647" s="5" t="s">
        <v>260</v>
      </c>
      <c r="CP647" s="4" t="s">
        <v>241</v>
      </c>
      <c r="CQ647" s="4" t="s">
        <v>261</v>
      </c>
      <c r="CR647" s="4" t="s">
        <v>241</v>
      </c>
      <c r="CS647" s="4" t="s">
        <v>241</v>
      </c>
      <c r="CT647" s="4">
        <v>0</v>
      </c>
      <c r="CU647" s="4" t="s">
        <v>262</v>
      </c>
      <c r="CV647" s="4" t="s">
        <v>263</v>
      </c>
      <c r="CW647" s="4" t="s">
        <v>263</v>
      </c>
      <c r="CX647" s="4" t="s">
        <v>264</v>
      </c>
      <c r="DA647" s="6">
        <f>4323</f>
        <v>4323</v>
      </c>
      <c r="DC647" s="4" t="s">
        <v>3160</v>
      </c>
      <c r="DD647" s="4" t="s">
        <v>241</v>
      </c>
      <c r="DF647" s="4" t="s">
        <v>287</v>
      </c>
      <c r="DG647" s="6">
        <f>0</f>
        <v>0</v>
      </c>
      <c r="DI647" s="4" t="s">
        <v>3167</v>
      </c>
      <c r="DJ647" s="4" t="s">
        <v>241</v>
      </c>
      <c r="DK647" s="4" t="s">
        <v>241</v>
      </c>
      <c r="DL647" s="4" t="s">
        <v>241</v>
      </c>
      <c r="DP647" s="4" t="s">
        <v>241</v>
      </c>
      <c r="DQ647" s="4" t="s">
        <v>241</v>
      </c>
      <c r="DR647" s="4" t="s">
        <v>241</v>
      </c>
      <c r="DS647" s="4" t="s">
        <v>241</v>
      </c>
      <c r="DV647" s="4" t="s">
        <v>4520</v>
      </c>
      <c r="DW647" s="4" t="s">
        <v>1529</v>
      </c>
      <c r="HO647" s="4" t="s">
        <v>267</v>
      </c>
    </row>
    <row r="648" spans="1:223" ht="19.5" customHeight="1" x14ac:dyDescent="0.4">
      <c r="A648" s="4">
        <v>1</v>
      </c>
      <c r="B648" s="4" t="s">
        <v>239</v>
      </c>
      <c r="C648" s="4">
        <v>1510</v>
      </c>
      <c r="D648" s="4">
        <v>1</v>
      </c>
      <c r="E648" s="4">
        <v>1</v>
      </c>
      <c r="F648" s="4" t="s">
        <v>240</v>
      </c>
      <c r="G648" s="4" t="s">
        <v>241</v>
      </c>
      <c r="H648" s="4" t="s">
        <v>241</v>
      </c>
      <c r="I648" s="4" t="s">
        <v>4518</v>
      </c>
      <c r="J648" s="4" t="s">
        <v>3158</v>
      </c>
      <c r="K648" s="4" t="s">
        <v>251</v>
      </c>
      <c r="L648" s="4" t="s">
        <v>3180</v>
      </c>
      <c r="M648" s="5" t="s">
        <v>4743</v>
      </c>
      <c r="N648" s="6">
        <f>10127</f>
        <v>10127</v>
      </c>
      <c r="O648" s="4" t="s">
        <v>265</v>
      </c>
      <c r="P648" s="6">
        <f>111397</f>
        <v>111397</v>
      </c>
      <c r="Q648" s="6">
        <f>0</f>
        <v>0</v>
      </c>
      <c r="S648" s="6">
        <f>0</f>
        <v>0</v>
      </c>
      <c r="T648" s="6">
        <f>111397</f>
        <v>111397</v>
      </c>
      <c r="U648" s="5" t="s">
        <v>245</v>
      </c>
      <c r="V648" s="4" t="s">
        <v>270</v>
      </c>
      <c r="W648" s="4" t="s">
        <v>242</v>
      </c>
      <c r="X648" s="4" t="s">
        <v>243</v>
      </c>
      <c r="Y648" s="4" t="s">
        <v>241</v>
      </c>
      <c r="AB648" s="4" t="s">
        <v>241</v>
      </c>
      <c r="AD648" s="5" t="s">
        <v>241</v>
      </c>
      <c r="AG648" s="5" t="s">
        <v>246</v>
      </c>
      <c r="AH648" s="4" t="s">
        <v>241</v>
      </c>
      <c r="AI648" s="4" t="s">
        <v>247</v>
      </c>
      <c r="AJ648" s="4" t="s">
        <v>248</v>
      </c>
      <c r="AZ648" s="4" t="s">
        <v>249</v>
      </c>
      <c r="BA648" s="4" t="s">
        <v>241</v>
      </c>
      <c r="BB648" s="4" t="s">
        <v>250</v>
      </c>
      <c r="BC648" s="4" t="s">
        <v>241</v>
      </c>
      <c r="BD648" s="4" t="s">
        <v>252</v>
      </c>
      <c r="BE648" s="4" t="s">
        <v>241</v>
      </c>
      <c r="BI648" s="4" t="s">
        <v>253</v>
      </c>
      <c r="BJ648" s="5" t="s">
        <v>246</v>
      </c>
      <c r="BK648" s="4" t="s">
        <v>254</v>
      </c>
      <c r="BL648" s="4" t="s">
        <v>255</v>
      </c>
      <c r="BM648" s="4" t="s">
        <v>241</v>
      </c>
      <c r="BN648" s="6">
        <f>0</f>
        <v>0</v>
      </c>
      <c r="BO648" s="6">
        <f>0</f>
        <v>0</v>
      </c>
      <c r="BP648" s="4" t="s">
        <v>256</v>
      </c>
      <c r="BQ648" s="4" t="s">
        <v>257</v>
      </c>
      <c r="CE648" s="4" t="s">
        <v>241</v>
      </c>
      <c r="CF648" s="4" t="s">
        <v>241</v>
      </c>
      <c r="CJ648" s="4" t="s">
        <v>258</v>
      </c>
      <c r="CK648" s="4" t="s">
        <v>259</v>
      </c>
      <c r="CL648" s="4" t="s">
        <v>241</v>
      </c>
      <c r="CO648" s="5" t="s">
        <v>260</v>
      </c>
      <c r="CP648" s="4" t="s">
        <v>241</v>
      </c>
      <c r="CQ648" s="4" t="s">
        <v>261</v>
      </c>
      <c r="CR648" s="4" t="s">
        <v>241</v>
      </c>
      <c r="CS648" s="4" t="s">
        <v>241</v>
      </c>
      <c r="CT648" s="4">
        <v>0</v>
      </c>
      <c r="CU648" s="4" t="s">
        <v>262</v>
      </c>
      <c r="CV648" s="4" t="s">
        <v>263</v>
      </c>
      <c r="CW648" s="4" t="s">
        <v>263</v>
      </c>
      <c r="CX648" s="4" t="s">
        <v>264</v>
      </c>
      <c r="DA648" s="6">
        <f>111397</f>
        <v>111397</v>
      </c>
      <c r="DC648" s="4" t="s">
        <v>3160</v>
      </c>
      <c r="DD648" s="4" t="s">
        <v>241</v>
      </c>
      <c r="DF648" s="4" t="s">
        <v>287</v>
      </c>
      <c r="DG648" s="6">
        <f>0</f>
        <v>0</v>
      </c>
      <c r="DI648" s="4" t="s">
        <v>3167</v>
      </c>
      <c r="DJ648" s="4" t="s">
        <v>241</v>
      </c>
      <c r="DK648" s="4" t="s">
        <v>241</v>
      </c>
      <c r="DL648" s="4" t="s">
        <v>241</v>
      </c>
      <c r="DP648" s="4" t="s">
        <v>241</v>
      </c>
      <c r="DQ648" s="4" t="s">
        <v>241</v>
      </c>
      <c r="DR648" s="4" t="s">
        <v>241</v>
      </c>
      <c r="DS648" s="4" t="s">
        <v>241</v>
      </c>
      <c r="DV648" s="4" t="s">
        <v>4520</v>
      </c>
      <c r="DW648" s="4" t="s">
        <v>1527</v>
      </c>
      <c r="HO648" s="4" t="s">
        <v>267</v>
      </c>
    </row>
    <row r="649" spans="1:223" ht="19.5" customHeight="1" x14ac:dyDescent="0.4">
      <c r="A649" s="4">
        <v>1</v>
      </c>
      <c r="B649" s="4" t="s">
        <v>239</v>
      </c>
      <c r="C649" s="4">
        <v>1511</v>
      </c>
      <c r="D649" s="4">
        <v>1</v>
      </c>
      <c r="E649" s="4">
        <v>1</v>
      </c>
      <c r="F649" s="4" t="s">
        <v>240</v>
      </c>
      <c r="G649" s="4" t="s">
        <v>241</v>
      </c>
      <c r="H649" s="4" t="s">
        <v>241</v>
      </c>
      <c r="I649" s="4" t="s">
        <v>4518</v>
      </c>
      <c r="J649" s="4" t="s">
        <v>3158</v>
      </c>
      <c r="K649" s="4" t="s">
        <v>251</v>
      </c>
      <c r="L649" s="4" t="s">
        <v>3180</v>
      </c>
      <c r="M649" s="5" t="s">
        <v>5461</v>
      </c>
      <c r="N649" s="6">
        <f>70</f>
        <v>70</v>
      </c>
      <c r="O649" s="4" t="s">
        <v>265</v>
      </c>
      <c r="P649" s="6">
        <f>770</f>
        <v>770</v>
      </c>
      <c r="Q649" s="6">
        <f>0</f>
        <v>0</v>
      </c>
      <c r="S649" s="6">
        <f>0</f>
        <v>0</v>
      </c>
      <c r="T649" s="6">
        <f>770</f>
        <v>770</v>
      </c>
      <c r="U649" s="5" t="s">
        <v>245</v>
      </c>
      <c r="V649" s="4" t="s">
        <v>270</v>
      </c>
      <c r="W649" s="4" t="s">
        <v>242</v>
      </c>
      <c r="X649" s="4" t="s">
        <v>243</v>
      </c>
      <c r="Y649" s="4" t="s">
        <v>241</v>
      </c>
      <c r="AB649" s="4" t="s">
        <v>241</v>
      </c>
      <c r="AD649" s="5" t="s">
        <v>241</v>
      </c>
      <c r="AG649" s="5" t="s">
        <v>246</v>
      </c>
      <c r="AH649" s="4" t="s">
        <v>241</v>
      </c>
      <c r="AI649" s="4" t="s">
        <v>247</v>
      </c>
      <c r="AJ649" s="4" t="s">
        <v>248</v>
      </c>
      <c r="AZ649" s="4" t="s">
        <v>249</v>
      </c>
      <c r="BA649" s="4" t="s">
        <v>241</v>
      </c>
      <c r="BB649" s="4" t="s">
        <v>250</v>
      </c>
      <c r="BC649" s="4" t="s">
        <v>241</v>
      </c>
      <c r="BD649" s="4" t="s">
        <v>252</v>
      </c>
      <c r="BE649" s="4" t="s">
        <v>241</v>
      </c>
      <c r="BI649" s="4" t="s">
        <v>253</v>
      </c>
      <c r="BJ649" s="5" t="s">
        <v>246</v>
      </c>
      <c r="BK649" s="4" t="s">
        <v>254</v>
      </c>
      <c r="BL649" s="4" t="s">
        <v>255</v>
      </c>
      <c r="BM649" s="4" t="s">
        <v>241</v>
      </c>
      <c r="BN649" s="6">
        <f>0</f>
        <v>0</v>
      </c>
      <c r="BO649" s="6">
        <f>0</f>
        <v>0</v>
      </c>
      <c r="BP649" s="4" t="s">
        <v>256</v>
      </c>
      <c r="BQ649" s="4" t="s">
        <v>257</v>
      </c>
      <c r="CE649" s="4" t="s">
        <v>241</v>
      </c>
      <c r="CF649" s="4" t="s">
        <v>241</v>
      </c>
      <c r="CJ649" s="4" t="s">
        <v>258</v>
      </c>
      <c r="CK649" s="4" t="s">
        <v>259</v>
      </c>
      <c r="CL649" s="4" t="s">
        <v>241</v>
      </c>
      <c r="CO649" s="5" t="s">
        <v>260</v>
      </c>
      <c r="CP649" s="4" t="s">
        <v>241</v>
      </c>
      <c r="CQ649" s="4" t="s">
        <v>261</v>
      </c>
      <c r="CR649" s="4" t="s">
        <v>241</v>
      </c>
      <c r="CS649" s="4" t="s">
        <v>241</v>
      </c>
      <c r="CT649" s="4">
        <v>0</v>
      </c>
      <c r="CU649" s="4" t="s">
        <v>262</v>
      </c>
      <c r="CV649" s="4" t="s">
        <v>263</v>
      </c>
      <c r="CW649" s="4" t="s">
        <v>263</v>
      </c>
      <c r="CX649" s="4" t="s">
        <v>264</v>
      </c>
      <c r="DA649" s="6">
        <f>770</f>
        <v>770</v>
      </c>
      <c r="DC649" s="4" t="s">
        <v>3160</v>
      </c>
      <c r="DD649" s="4" t="s">
        <v>241</v>
      </c>
      <c r="DF649" s="4" t="s">
        <v>287</v>
      </c>
      <c r="DG649" s="6">
        <f>0</f>
        <v>0</v>
      </c>
      <c r="DI649" s="4" t="s">
        <v>3167</v>
      </c>
      <c r="DJ649" s="4" t="s">
        <v>241</v>
      </c>
      <c r="DK649" s="4" t="s">
        <v>241</v>
      </c>
      <c r="DL649" s="4" t="s">
        <v>241</v>
      </c>
      <c r="DP649" s="4" t="s">
        <v>241</v>
      </c>
      <c r="DQ649" s="4" t="s">
        <v>241</v>
      </c>
      <c r="DR649" s="4" t="s">
        <v>241</v>
      </c>
      <c r="DS649" s="4" t="s">
        <v>241</v>
      </c>
      <c r="DV649" s="4" t="s">
        <v>4520</v>
      </c>
      <c r="DW649" s="4" t="s">
        <v>1523</v>
      </c>
      <c r="HO649" s="4" t="s">
        <v>267</v>
      </c>
    </row>
    <row r="650" spans="1:223" ht="19.5" customHeight="1" x14ac:dyDescent="0.4">
      <c r="A650" s="4">
        <v>1</v>
      </c>
      <c r="B650" s="4" t="s">
        <v>239</v>
      </c>
      <c r="C650" s="4">
        <v>1512</v>
      </c>
      <c r="D650" s="4">
        <v>1</v>
      </c>
      <c r="E650" s="4">
        <v>1</v>
      </c>
      <c r="F650" s="4" t="s">
        <v>240</v>
      </c>
      <c r="G650" s="4" t="s">
        <v>241</v>
      </c>
      <c r="H650" s="4" t="s">
        <v>241</v>
      </c>
      <c r="I650" s="4" t="s">
        <v>4518</v>
      </c>
      <c r="J650" s="4" t="s">
        <v>3158</v>
      </c>
      <c r="K650" s="4" t="s">
        <v>251</v>
      </c>
      <c r="L650" s="4" t="s">
        <v>3180</v>
      </c>
      <c r="M650" s="5" t="s">
        <v>4532</v>
      </c>
      <c r="N650" s="6">
        <f>1244</f>
        <v>1244</v>
      </c>
      <c r="O650" s="4" t="s">
        <v>265</v>
      </c>
      <c r="P650" s="6">
        <f>13684</f>
        <v>13684</v>
      </c>
      <c r="Q650" s="6">
        <f>0</f>
        <v>0</v>
      </c>
      <c r="S650" s="6">
        <f>0</f>
        <v>0</v>
      </c>
      <c r="T650" s="6">
        <f>13684</f>
        <v>13684</v>
      </c>
      <c r="U650" s="5" t="s">
        <v>245</v>
      </c>
      <c r="V650" s="4" t="s">
        <v>270</v>
      </c>
      <c r="W650" s="4" t="s">
        <v>242</v>
      </c>
      <c r="X650" s="4" t="s">
        <v>243</v>
      </c>
      <c r="Y650" s="4" t="s">
        <v>241</v>
      </c>
      <c r="AB650" s="4" t="s">
        <v>241</v>
      </c>
      <c r="AD650" s="5" t="s">
        <v>241</v>
      </c>
      <c r="AG650" s="5" t="s">
        <v>246</v>
      </c>
      <c r="AH650" s="4" t="s">
        <v>241</v>
      </c>
      <c r="AI650" s="4" t="s">
        <v>247</v>
      </c>
      <c r="AJ650" s="4" t="s">
        <v>248</v>
      </c>
      <c r="AZ650" s="4" t="s">
        <v>249</v>
      </c>
      <c r="BA650" s="4" t="s">
        <v>241</v>
      </c>
      <c r="BB650" s="4" t="s">
        <v>250</v>
      </c>
      <c r="BC650" s="4" t="s">
        <v>241</v>
      </c>
      <c r="BD650" s="4" t="s">
        <v>252</v>
      </c>
      <c r="BE650" s="4" t="s">
        <v>241</v>
      </c>
      <c r="BI650" s="4" t="s">
        <v>253</v>
      </c>
      <c r="BJ650" s="5" t="s">
        <v>246</v>
      </c>
      <c r="BK650" s="4" t="s">
        <v>254</v>
      </c>
      <c r="BL650" s="4" t="s">
        <v>255</v>
      </c>
      <c r="BM650" s="4" t="s">
        <v>241</v>
      </c>
      <c r="BN650" s="6">
        <f>0</f>
        <v>0</v>
      </c>
      <c r="BO650" s="6">
        <f>0</f>
        <v>0</v>
      </c>
      <c r="BP650" s="4" t="s">
        <v>256</v>
      </c>
      <c r="BQ650" s="4" t="s">
        <v>257</v>
      </c>
      <c r="CE650" s="4" t="s">
        <v>241</v>
      </c>
      <c r="CF650" s="4" t="s">
        <v>241</v>
      </c>
      <c r="CJ650" s="4" t="s">
        <v>258</v>
      </c>
      <c r="CK650" s="4" t="s">
        <v>259</v>
      </c>
      <c r="CL650" s="4" t="s">
        <v>241</v>
      </c>
      <c r="CO650" s="5" t="s">
        <v>260</v>
      </c>
      <c r="CP650" s="4" t="s">
        <v>241</v>
      </c>
      <c r="CQ650" s="4" t="s">
        <v>261</v>
      </c>
      <c r="CR650" s="4" t="s">
        <v>241</v>
      </c>
      <c r="CS650" s="4" t="s">
        <v>241</v>
      </c>
      <c r="CT650" s="4">
        <v>0</v>
      </c>
      <c r="CU650" s="4" t="s">
        <v>262</v>
      </c>
      <c r="CV650" s="4" t="s">
        <v>263</v>
      </c>
      <c r="CW650" s="4" t="s">
        <v>263</v>
      </c>
      <c r="CX650" s="4" t="s">
        <v>264</v>
      </c>
      <c r="DA650" s="6">
        <f>13684</f>
        <v>13684</v>
      </c>
      <c r="DC650" s="4" t="s">
        <v>3160</v>
      </c>
      <c r="DD650" s="4" t="s">
        <v>241</v>
      </c>
      <c r="DF650" s="4" t="s">
        <v>287</v>
      </c>
      <c r="DG650" s="6">
        <f>0</f>
        <v>0</v>
      </c>
      <c r="DI650" s="4" t="s">
        <v>3167</v>
      </c>
      <c r="DJ650" s="4" t="s">
        <v>241</v>
      </c>
      <c r="DK650" s="4" t="s">
        <v>241</v>
      </c>
      <c r="DL650" s="4" t="s">
        <v>241</v>
      </c>
      <c r="DP650" s="4" t="s">
        <v>241</v>
      </c>
      <c r="DQ650" s="4" t="s">
        <v>241</v>
      </c>
      <c r="DR650" s="4" t="s">
        <v>241</v>
      </c>
      <c r="DS650" s="4" t="s">
        <v>241</v>
      </c>
      <c r="DV650" s="4" t="s">
        <v>4520</v>
      </c>
      <c r="DW650" s="4" t="s">
        <v>1521</v>
      </c>
      <c r="HO650" s="4" t="s">
        <v>267</v>
      </c>
    </row>
    <row r="651" spans="1:223" ht="19.5" customHeight="1" x14ac:dyDescent="0.4">
      <c r="A651" s="4">
        <v>1</v>
      </c>
      <c r="B651" s="4" t="s">
        <v>239</v>
      </c>
      <c r="C651" s="4">
        <v>1513</v>
      </c>
      <c r="D651" s="4">
        <v>1</v>
      </c>
      <c r="E651" s="4">
        <v>1</v>
      </c>
      <c r="F651" s="4" t="s">
        <v>240</v>
      </c>
      <c r="G651" s="4" t="s">
        <v>241</v>
      </c>
      <c r="H651" s="4" t="s">
        <v>241</v>
      </c>
      <c r="I651" s="4" t="s">
        <v>4518</v>
      </c>
      <c r="J651" s="4" t="s">
        <v>3158</v>
      </c>
      <c r="K651" s="4" t="s">
        <v>251</v>
      </c>
      <c r="L651" s="4" t="s">
        <v>3180</v>
      </c>
      <c r="M651" s="5" t="s">
        <v>4527</v>
      </c>
      <c r="N651" s="6">
        <f>610</f>
        <v>610</v>
      </c>
      <c r="O651" s="4" t="s">
        <v>265</v>
      </c>
      <c r="P651" s="6">
        <f>6710</f>
        <v>6710</v>
      </c>
      <c r="Q651" s="6">
        <f>0</f>
        <v>0</v>
      </c>
      <c r="S651" s="6">
        <f>0</f>
        <v>0</v>
      </c>
      <c r="T651" s="6">
        <f>6710</f>
        <v>6710</v>
      </c>
      <c r="U651" s="5" t="s">
        <v>245</v>
      </c>
      <c r="V651" s="4" t="s">
        <v>270</v>
      </c>
      <c r="W651" s="4" t="s">
        <v>242</v>
      </c>
      <c r="X651" s="4" t="s">
        <v>243</v>
      </c>
      <c r="Y651" s="4" t="s">
        <v>241</v>
      </c>
      <c r="AB651" s="4" t="s">
        <v>241</v>
      </c>
      <c r="AD651" s="5" t="s">
        <v>241</v>
      </c>
      <c r="AG651" s="5" t="s">
        <v>246</v>
      </c>
      <c r="AH651" s="4" t="s">
        <v>241</v>
      </c>
      <c r="AI651" s="4" t="s">
        <v>247</v>
      </c>
      <c r="AJ651" s="4" t="s">
        <v>248</v>
      </c>
      <c r="AZ651" s="4" t="s">
        <v>249</v>
      </c>
      <c r="BA651" s="4" t="s">
        <v>241</v>
      </c>
      <c r="BB651" s="4" t="s">
        <v>250</v>
      </c>
      <c r="BC651" s="4" t="s">
        <v>241</v>
      </c>
      <c r="BD651" s="4" t="s">
        <v>252</v>
      </c>
      <c r="BE651" s="4" t="s">
        <v>241</v>
      </c>
      <c r="BI651" s="4" t="s">
        <v>253</v>
      </c>
      <c r="BJ651" s="5" t="s">
        <v>246</v>
      </c>
      <c r="BK651" s="4" t="s">
        <v>254</v>
      </c>
      <c r="BL651" s="4" t="s">
        <v>255</v>
      </c>
      <c r="BM651" s="4" t="s">
        <v>241</v>
      </c>
      <c r="BN651" s="6">
        <f>0</f>
        <v>0</v>
      </c>
      <c r="BO651" s="6">
        <f>0</f>
        <v>0</v>
      </c>
      <c r="BP651" s="4" t="s">
        <v>256</v>
      </c>
      <c r="BQ651" s="4" t="s">
        <v>257</v>
      </c>
      <c r="CE651" s="4" t="s">
        <v>241</v>
      </c>
      <c r="CF651" s="4" t="s">
        <v>241</v>
      </c>
      <c r="CJ651" s="4" t="s">
        <v>258</v>
      </c>
      <c r="CK651" s="4" t="s">
        <v>259</v>
      </c>
      <c r="CL651" s="4" t="s">
        <v>241</v>
      </c>
      <c r="CO651" s="5" t="s">
        <v>260</v>
      </c>
      <c r="CP651" s="4" t="s">
        <v>241</v>
      </c>
      <c r="CQ651" s="4" t="s">
        <v>261</v>
      </c>
      <c r="CR651" s="4" t="s">
        <v>241</v>
      </c>
      <c r="CS651" s="4" t="s">
        <v>241</v>
      </c>
      <c r="CT651" s="4">
        <v>0</v>
      </c>
      <c r="CU651" s="4" t="s">
        <v>262</v>
      </c>
      <c r="CV651" s="4" t="s">
        <v>263</v>
      </c>
      <c r="CW651" s="4" t="s">
        <v>263</v>
      </c>
      <c r="CX651" s="4" t="s">
        <v>264</v>
      </c>
      <c r="DA651" s="6">
        <f>6710</f>
        <v>6710</v>
      </c>
      <c r="DC651" s="4" t="s">
        <v>3160</v>
      </c>
      <c r="DD651" s="4" t="s">
        <v>241</v>
      </c>
      <c r="DF651" s="4" t="s">
        <v>287</v>
      </c>
      <c r="DG651" s="6">
        <f>0</f>
        <v>0</v>
      </c>
      <c r="DI651" s="4" t="s">
        <v>3167</v>
      </c>
      <c r="DJ651" s="4" t="s">
        <v>241</v>
      </c>
      <c r="DK651" s="4" t="s">
        <v>241</v>
      </c>
      <c r="DL651" s="4" t="s">
        <v>241</v>
      </c>
      <c r="DP651" s="4" t="s">
        <v>241</v>
      </c>
      <c r="DQ651" s="4" t="s">
        <v>241</v>
      </c>
      <c r="DR651" s="4" t="s">
        <v>241</v>
      </c>
      <c r="DS651" s="4" t="s">
        <v>241</v>
      </c>
      <c r="DV651" s="4" t="s">
        <v>4520</v>
      </c>
      <c r="DW651" s="4" t="s">
        <v>1519</v>
      </c>
      <c r="HO651" s="4" t="s">
        <v>267</v>
      </c>
    </row>
    <row r="652" spans="1:223" ht="19.5" customHeight="1" x14ac:dyDescent="0.4">
      <c r="A652" s="4">
        <v>1</v>
      </c>
      <c r="B652" s="4" t="s">
        <v>239</v>
      </c>
      <c r="C652" s="4">
        <v>1514</v>
      </c>
      <c r="D652" s="4">
        <v>1</v>
      </c>
      <c r="E652" s="4">
        <v>1</v>
      </c>
      <c r="F652" s="4" t="s">
        <v>240</v>
      </c>
      <c r="G652" s="4" t="s">
        <v>241</v>
      </c>
      <c r="H652" s="4" t="s">
        <v>241</v>
      </c>
      <c r="I652" s="4" t="s">
        <v>4518</v>
      </c>
      <c r="J652" s="4" t="s">
        <v>3158</v>
      </c>
      <c r="K652" s="4" t="s">
        <v>251</v>
      </c>
      <c r="L652" s="4" t="s">
        <v>3180</v>
      </c>
      <c r="M652" s="5" t="s">
        <v>4563</v>
      </c>
      <c r="N652" s="6">
        <f>503</f>
        <v>503</v>
      </c>
      <c r="O652" s="4" t="s">
        <v>265</v>
      </c>
      <c r="P652" s="6">
        <f>5533</f>
        <v>5533</v>
      </c>
      <c r="Q652" s="6">
        <f>0</f>
        <v>0</v>
      </c>
      <c r="S652" s="6">
        <f>0</f>
        <v>0</v>
      </c>
      <c r="T652" s="6">
        <f>5533</f>
        <v>5533</v>
      </c>
      <c r="U652" s="5" t="s">
        <v>245</v>
      </c>
      <c r="V652" s="4" t="s">
        <v>270</v>
      </c>
      <c r="W652" s="4" t="s">
        <v>242</v>
      </c>
      <c r="X652" s="4" t="s">
        <v>243</v>
      </c>
      <c r="Y652" s="4" t="s">
        <v>241</v>
      </c>
      <c r="AB652" s="4" t="s">
        <v>241</v>
      </c>
      <c r="AD652" s="5" t="s">
        <v>241</v>
      </c>
      <c r="AG652" s="5" t="s">
        <v>246</v>
      </c>
      <c r="AH652" s="4" t="s">
        <v>241</v>
      </c>
      <c r="AI652" s="4" t="s">
        <v>247</v>
      </c>
      <c r="AJ652" s="4" t="s">
        <v>248</v>
      </c>
      <c r="AZ652" s="4" t="s">
        <v>249</v>
      </c>
      <c r="BA652" s="4" t="s">
        <v>241</v>
      </c>
      <c r="BB652" s="4" t="s">
        <v>250</v>
      </c>
      <c r="BC652" s="4" t="s">
        <v>241</v>
      </c>
      <c r="BD652" s="4" t="s">
        <v>252</v>
      </c>
      <c r="BE652" s="4" t="s">
        <v>241</v>
      </c>
      <c r="BI652" s="4" t="s">
        <v>253</v>
      </c>
      <c r="BJ652" s="5" t="s">
        <v>246</v>
      </c>
      <c r="BK652" s="4" t="s">
        <v>254</v>
      </c>
      <c r="BL652" s="4" t="s">
        <v>255</v>
      </c>
      <c r="BM652" s="4" t="s">
        <v>241</v>
      </c>
      <c r="BN652" s="6">
        <f>0</f>
        <v>0</v>
      </c>
      <c r="BO652" s="6">
        <f>0</f>
        <v>0</v>
      </c>
      <c r="BP652" s="4" t="s">
        <v>256</v>
      </c>
      <c r="BQ652" s="4" t="s">
        <v>257</v>
      </c>
      <c r="CE652" s="4" t="s">
        <v>241</v>
      </c>
      <c r="CF652" s="4" t="s">
        <v>241</v>
      </c>
      <c r="CJ652" s="4" t="s">
        <v>258</v>
      </c>
      <c r="CK652" s="4" t="s">
        <v>259</v>
      </c>
      <c r="CL652" s="4" t="s">
        <v>241</v>
      </c>
      <c r="CO652" s="5" t="s">
        <v>260</v>
      </c>
      <c r="CP652" s="4" t="s">
        <v>241</v>
      </c>
      <c r="CQ652" s="4" t="s">
        <v>261</v>
      </c>
      <c r="CR652" s="4" t="s">
        <v>241</v>
      </c>
      <c r="CS652" s="4" t="s">
        <v>241</v>
      </c>
      <c r="CT652" s="4">
        <v>0</v>
      </c>
      <c r="CU652" s="4" t="s">
        <v>262</v>
      </c>
      <c r="CV652" s="4" t="s">
        <v>263</v>
      </c>
      <c r="CW652" s="4" t="s">
        <v>263</v>
      </c>
      <c r="CX652" s="4" t="s">
        <v>264</v>
      </c>
      <c r="DA652" s="6">
        <f>5533</f>
        <v>5533</v>
      </c>
      <c r="DC652" s="4" t="s">
        <v>3160</v>
      </c>
      <c r="DD652" s="4" t="s">
        <v>241</v>
      </c>
      <c r="DF652" s="4" t="s">
        <v>287</v>
      </c>
      <c r="DG652" s="6">
        <f>0</f>
        <v>0</v>
      </c>
      <c r="DI652" s="4" t="s">
        <v>3167</v>
      </c>
      <c r="DJ652" s="4" t="s">
        <v>241</v>
      </c>
      <c r="DK652" s="4" t="s">
        <v>241</v>
      </c>
      <c r="DL652" s="4" t="s">
        <v>241</v>
      </c>
      <c r="DP652" s="4" t="s">
        <v>241</v>
      </c>
      <c r="DQ652" s="4" t="s">
        <v>241</v>
      </c>
      <c r="DR652" s="4" t="s">
        <v>241</v>
      </c>
      <c r="DS652" s="4" t="s">
        <v>241</v>
      </c>
      <c r="DV652" s="4" t="s">
        <v>4520</v>
      </c>
      <c r="DW652" s="4" t="s">
        <v>1517</v>
      </c>
      <c r="HO652" s="4" t="s">
        <v>267</v>
      </c>
    </row>
    <row r="653" spans="1:223" ht="19.5" customHeight="1" x14ac:dyDescent="0.4">
      <c r="A653" s="4">
        <v>1</v>
      </c>
      <c r="B653" s="4" t="s">
        <v>239</v>
      </c>
      <c r="C653" s="4">
        <v>1515</v>
      </c>
      <c r="D653" s="4">
        <v>1</v>
      </c>
      <c r="E653" s="4">
        <v>1</v>
      </c>
      <c r="F653" s="4" t="s">
        <v>240</v>
      </c>
      <c r="G653" s="4" t="s">
        <v>241</v>
      </c>
      <c r="H653" s="4" t="s">
        <v>241</v>
      </c>
      <c r="I653" s="4" t="s">
        <v>4518</v>
      </c>
      <c r="J653" s="4" t="s">
        <v>3158</v>
      </c>
      <c r="K653" s="4" t="s">
        <v>251</v>
      </c>
      <c r="L653" s="4" t="s">
        <v>3180</v>
      </c>
      <c r="M653" s="5" t="s">
        <v>4718</v>
      </c>
      <c r="N653" s="6">
        <f>570</f>
        <v>570</v>
      </c>
      <c r="O653" s="4" t="s">
        <v>265</v>
      </c>
      <c r="P653" s="6">
        <f>6270</f>
        <v>6270</v>
      </c>
      <c r="Q653" s="6">
        <f>0</f>
        <v>0</v>
      </c>
      <c r="S653" s="6">
        <f>0</f>
        <v>0</v>
      </c>
      <c r="T653" s="6">
        <f>6270</f>
        <v>6270</v>
      </c>
      <c r="U653" s="5" t="s">
        <v>245</v>
      </c>
      <c r="V653" s="4" t="s">
        <v>270</v>
      </c>
      <c r="W653" s="4" t="s">
        <v>242</v>
      </c>
      <c r="X653" s="4" t="s">
        <v>243</v>
      </c>
      <c r="Y653" s="4" t="s">
        <v>241</v>
      </c>
      <c r="AB653" s="4" t="s">
        <v>241</v>
      </c>
      <c r="AD653" s="5" t="s">
        <v>241</v>
      </c>
      <c r="AG653" s="5" t="s">
        <v>246</v>
      </c>
      <c r="AH653" s="4" t="s">
        <v>241</v>
      </c>
      <c r="AI653" s="4" t="s">
        <v>247</v>
      </c>
      <c r="AJ653" s="4" t="s">
        <v>248</v>
      </c>
      <c r="AZ653" s="4" t="s">
        <v>249</v>
      </c>
      <c r="BA653" s="4" t="s">
        <v>241</v>
      </c>
      <c r="BB653" s="4" t="s">
        <v>250</v>
      </c>
      <c r="BC653" s="4" t="s">
        <v>241</v>
      </c>
      <c r="BD653" s="4" t="s">
        <v>252</v>
      </c>
      <c r="BE653" s="4" t="s">
        <v>241</v>
      </c>
      <c r="BI653" s="4" t="s">
        <v>253</v>
      </c>
      <c r="BJ653" s="5" t="s">
        <v>246</v>
      </c>
      <c r="BK653" s="4" t="s">
        <v>254</v>
      </c>
      <c r="BL653" s="4" t="s">
        <v>255</v>
      </c>
      <c r="BM653" s="4" t="s">
        <v>241</v>
      </c>
      <c r="BN653" s="6">
        <f>0</f>
        <v>0</v>
      </c>
      <c r="BO653" s="6">
        <f>0</f>
        <v>0</v>
      </c>
      <c r="BP653" s="4" t="s">
        <v>256</v>
      </c>
      <c r="BQ653" s="4" t="s">
        <v>257</v>
      </c>
      <c r="CE653" s="4" t="s">
        <v>241</v>
      </c>
      <c r="CF653" s="4" t="s">
        <v>241</v>
      </c>
      <c r="CJ653" s="4" t="s">
        <v>258</v>
      </c>
      <c r="CK653" s="4" t="s">
        <v>259</v>
      </c>
      <c r="CL653" s="4" t="s">
        <v>241</v>
      </c>
      <c r="CO653" s="5" t="s">
        <v>260</v>
      </c>
      <c r="CP653" s="4" t="s">
        <v>241</v>
      </c>
      <c r="CQ653" s="4" t="s">
        <v>261</v>
      </c>
      <c r="CR653" s="4" t="s">
        <v>241</v>
      </c>
      <c r="CS653" s="4" t="s">
        <v>241</v>
      </c>
      <c r="CT653" s="4">
        <v>0</v>
      </c>
      <c r="CU653" s="4" t="s">
        <v>262</v>
      </c>
      <c r="CV653" s="4" t="s">
        <v>263</v>
      </c>
      <c r="CW653" s="4" t="s">
        <v>263</v>
      </c>
      <c r="CX653" s="4" t="s">
        <v>264</v>
      </c>
      <c r="DA653" s="6">
        <f>6270</f>
        <v>6270</v>
      </c>
      <c r="DC653" s="4" t="s">
        <v>3160</v>
      </c>
      <c r="DD653" s="4" t="s">
        <v>241</v>
      </c>
      <c r="DF653" s="4" t="s">
        <v>287</v>
      </c>
      <c r="DG653" s="6">
        <f>0</f>
        <v>0</v>
      </c>
      <c r="DI653" s="4" t="s">
        <v>3167</v>
      </c>
      <c r="DJ653" s="4" t="s">
        <v>241</v>
      </c>
      <c r="DK653" s="4" t="s">
        <v>241</v>
      </c>
      <c r="DL653" s="4" t="s">
        <v>241</v>
      </c>
      <c r="DP653" s="4" t="s">
        <v>241</v>
      </c>
      <c r="DQ653" s="4" t="s">
        <v>241</v>
      </c>
      <c r="DR653" s="4" t="s">
        <v>241</v>
      </c>
      <c r="DS653" s="4" t="s">
        <v>241</v>
      </c>
      <c r="DV653" s="4" t="s">
        <v>4520</v>
      </c>
      <c r="DW653" s="4" t="s">
        <v>1515</v>
      </c>
      <c r="HO653" s="4" t="s">
        <v>267</v>
      </c>
    </row>
    <row r="654" spans="1:223" ht="19.5" customHeight="1" x14ac:dyDescent="0.4">
      <c r="A654" s="4">
        <v>1</v>
      </c>
      <c r="B654" s="4" t="s">
        <v>239</v>
      </c>
      <c r="C654" s="4">
        <v>1516</v>
      </c>
      <c r="D654" s="4">
        <v>1</v>
      </c>
      <c r="E654" s="4">
        <v>1</v>
      </c>
      <c r="F654" s="4" t="s">
        <v>240</v>
      </c>
      <c r="G654" s="4" t="s">
        <v>241</v>
      </c>
      <c r="H654" s="4" t="s">
        <v>241</v>
      </c>
      <c r="I654" s="4" t="s">
        <v>4518</v>
      </c>
      <c r="J654" s="4" t="s">
        <v>3158</v>
      </c>
      <c r="K654" s="4" t="s">
        <v>251</v>
      </c>
      <c r="L654" s="4" t="s">
        <v>3180</v>
      </c>
      <c r="M654" s="5" t="s">
        <v>4704</v>
      </c>
      <c r="N654" s="6">
        <f>570</f>
        <v>570</v>
      </c>
      <c r="O654" s="4" t="s">
        <v>265</v>
      </c>
      <c r="P654" s="6">
        <f>6270</f>
        <v>6270</v>
      </c>
      <c r="Q654" s="6">
        <f>0</f>
        <v>0</v>
      </c>
      <c r="S654" s="6">
        <f>0</f>
        <v>0</v>
      </c>
      <c r="T654" s="6">
        <f>6270</f>
        <v>6270</v>
      </c>
      <c r="U654" s="5" t="s">
        <v>245</v>
      </c>
      <c r="V654" s="4" t="s">
        <v>270</v>
      </c>
      <c r="W654" s="4" t="s">
        <v>242</v>
      </c>
      <c r="X654" s="4" t="s">
        <v>243</v>
      </c>
      <c r="Y654" s="4" t="s">
        <v>241</v>
      </c>
      <c r="AB654" s="4" t="s">
        <v>241</v>
      </c>
      <c r="AD654" s="5" t="s">
        <v>241</v>
      </c>
      <c r="AG654" s="5" t="s">
        <v>246</v>
      </c>
      <c r="AH654" s="4" t="s">
        <v>241</v>
      </c>
      <c r="AI654" s="4" t="s">
        <v>247</v>
      </c>
      <c r="AJ654" s="4" t="s">
        <v>248</v>
      </c>
      <c r="AZ654" s="4" t="s">
        <v>249</v>
      </c>
      <c r="BA654" s="4" t="s">
        <v>241</v>
      </c>
      <c r="BB654" s="4" t="s">
        <v>250</v>
      </c>
      <c r="BC654" s="4" t="s">
        <v>241</v>
      </c>
      <c r="BD654" s="4" t="s">
        <v>252</v>
      </c>
      <c r="BE654" s="4" t="s">
        <v>241</v>
      </c>
      <c r="BI654" s="4" t="s">
        <v>253</v>
      </c>
      <c r="BJ654" s="5" t="s">
        <v>246</v>
      </c>
      <c r="BK654" s="4" t="s">
        <v>254</v>
      </c>
      <c r="BL654" s="4" t="s">
        <v>255</v>
      </c>
      <c r="BM654" s="4" t="s">
        <v>241</v>
      </c>
      <c r="BN654" s="6">
        <f>0</f>
        <v>0</v>
      </c>
      <c r="BO654" s="6">
        <f>0</f>
        <v>0</v>
      </c>
      <c r="BP654" s="4" t="s">
        <v>256</v>
      </c>
      <c r="BQ654" s="4" t="s">
        <v>257</v>
      </c>
      <c r="CE654" s="4" t="s">
        <v>241</v>
      </c>
      <c r="CF654" s="4" t="s">
        <v>241</v>
      </c>
      <c r="CJ654" s="4" t="s">
        <v>258</v>
      </c>
      <c r="CK654" s="4" t="s">
        <v>259</v>
      </c>
      <c r="CL654" s="4" t="s">
        <v>241</v>
      </c>
      <c r="CO654" s="5" t="s">
        <v>260</v>
      </c>
      <c r="CP654" s="4" t="s">
        <v>241</v>
      </c>
      <c r="CQ654" s="4" t="s">
        <v>261</v>
      </c>
      <c r="CR654" s="4" t="s">
        <v>241</v>
      </c>
      <c r="CS654" s="4" t="s">
        <v>241</v>
      </c>
      <c r="CT654" s="4">
        <v>0</v>
      </c>
      <c r="CU654" s="4" t="s">
        <v>262</v>
      </c>
      <c r="CV654" s="4" t="s">
        <v>263</v>
      </c>
      <c r="CW654" s="4" t="s">
        <v>263</v>
      </c>
      <c r="CX654" s="4" t="s">
        <v>264</v>
      </c>
      <c r="DA654" s="6">
        <f>6270</f>
        <v>6270</v>
      </c>
      <c r="DC654" s="4" t="s">
        <v>3160</v>
      </c>
      <c r="DD654" s="4" t="s">
        <v>241</v>
      </c>
      <c r="DF654" s="4" t="s">
        <v>287</v>
      </c>
      <c r="DG654" s="6">
        <f>0</f>
        <v>0</v>
      </c>
      <c r="DI654" s="4" t="s">
        <v>3167</v>
      </c>
      <c r="DJ654" s="4" t="s">
        <v>241</v>
      </c>
      <c r="DK654" s="4" t="s">
        <v>241</v>
      </c>
      <c r="DL654" s="4" t="s">
        <v>241</v>
      </c>
      <c r="DP654" s="4" t="s">
        <v>241</v>
      </c>
      <c r="DQ654" s="4" t="s">
        <v>241</v>
      </c>
      <c r="DR654" s="4" t="s">
        <v>241</v>
      </c>
      <c r="DS654" s="4" t="s">
        <v>241</v>
      </c>
      <c r="DV654" s="4" t="s">
        <v>4520</v>
      </c>
      <c r="DW654" s="4" t="s">
        <v>1513</v>
      </c>
      <c r="HO654" s="4" t="s">
        <v>267</v>
      </c>
    </row>
    <row r="655" spans="1:223" ht="19.5" customHeight="1" x14ac:dyDescent="0.4">
      <c r="A655" s="4">
        <v>1</v>
      </c>
      <c r="B655" s="4" t="s">
        <v>239</v>
      </c>
      <c r="C655" s="4">
        <v>1517</v>
      </c>
      <c r="D655" s="4">
        <v>1</v>
      </c>
      <c r="E655" s="4">
        <v>1</v>
      </c>
      <c r="F655" s="4" t="s">
        <v>240</v>
      </c>
      <c r="G655" s="4" t="s">
        <v>241</v>
      </c>
      <c r="H655" s="4" t="s">
        <v>241</v>
      </c>
      <c r="I655" s="4" t="s">
        <v>4518</v>
      </c>
      <c r="J655" s="4" t="s">
        <v>3158</v>
      </c>
      <c r="K655" s="4" t="s">
        <v>251</v>
      </c>
      <c r="L655" s="4" t="s">
        <v>3180</v>
      </c>
      <c r="M655" s="5" t="s">
        <v>4742</v>
      </c>
      <c r="N655" s="6">
        <f>912</f>
        <v>912</v>
      </c>
      <c r="O655" s="4" t="s">
        <v>265</v>
      </c>
      <c r="P655" s="6">
        <f>10032</f>
        <v>10032</v>
      </c>
      <c r="Q655" s="6">
        <f>0</f>
        <v>0</v>
      </c>
      <c r="S655" s="6">
        <f>0</f>
        <v>0</v>
      </c>
      <c r="T655" s="6">
        <f>10032</f>
        <v>10032</v>
      </c>
      <c r="U655" s="5" t="s">
        <v>245</v>
      </c>
      <c r="V655" s="4" t="s">
        <v>270</v>
      </c>
      <c r="W655" s="4" t="s">
        <v>242</v>
      </c>
      <c r="X655" s="4" t="s">
        <v>243</v>
      </c>
      <c r="Y655" s="4" t="s">
        <v>241</v>
      </c>
      <c r="AB655" s="4" t="s">
        <v>241</v>
      </c>
      <c r="AD655" s="5" t="s">
        <v>241</v>
      </c>
      <c r="AG655" s="5" t="s">
        <v>246</v>
      </c>
      <c r="AH655" s="4" t="s">
        <v>241</v>
      </c>
      <c r="AI655" s="4" t="s">
        <v>247</v>
      </c>
      <c r="AJ655" s="4" t="s">
        <v>248</v>
      </c>
      <c r="AZ655" s="4" t="s">
        <v>249</v>
      </c>
      <c r="BA655" s="4" t="s">
        <v>241</v>
      </c>
      <c r="BB655" s="4" t="s">
        <v>250</v>
      </c>
      <c r="BC655" s="4" t="s">
        <v>241</v>
      </c>
      <c r="BD655" s="4" t="s">
        <v>252</v>
      </c>
      <c r="BE655" s="4" t="s">
        <v>241</v>
      </c>
      <c r="BI655" s="4" t="s">
        <v>253</v>
      </c>
      <c r="BJ655" s="5" t="s">
        <v>246</v>
      </c>
      <c r="BK655" s="4" t="s">
        <v>254</v>
      </c>
      <c r="BL655" s="4" t="s">
        <v>255</v>
      </c>
      <c r="BM655" s="4" t="s">
        <v>241</v>
      </c>
      <c r="BN655" s="6">
        <f>0</f>
        <v>0</v>
      </c>
      <c r="BO655" s="6">
        <f>0</f>
        <v>0</v>
      </c>
      <c r="BP655" s="4" t="s">
        <v>256</v>
      </c>
      <c r="BQ655" s="4" t="s">
        <v>257</v>
      </c>
      <c r="CE655" s="4" t="s">
        <v>241</v>
      </c>
      <c r="CF655" s="4" t="s">
        <v>241</v>
      </c>
      <c r="CJ655" s="4" t="s">
        <v>258</v>
      </c>
      <c r="CK655" s="4" t="s">
        <v>259</v>
      </c>
      <c r="CL655" s="4" t="s">
        <v>241</v>
      </c>
      <c r="CO655" s="5" t="s">
        <v>260</v>
      </c>
      <c r="CP655" s="4" t="s">
        <v>241</v>
      </c>
      <c r="CQ655" s="4" t="s">
        <v>261</v>
      </c>
      <c r="CR655" s="4" t="s">
        <v>241</v>
      </c>
      <c r="CS655" s="4" t="s">
        <v>241</v>
      </c>
      <c r="CT655" s="4">
        <v>0</v>
      </c>
      <c r="CU655" s="4" t="s">
        <v>262</v>
      </c>
      <c r="CV655" s="4" t="s">
        <v>263</v>
      </c>
      <c r="CW655" s="4" t="s">
        <v>263</v>
      </c>
      <c r="CX655" s="4" t="s">
        <v>264</v>
      </c>
      <c r="DA655" s="6">
        <f>10032</f>
        <v>10032</v>
      </c>
      <c r="DC655" s="4" t="s">
        <v>3160</v>
      </c>
      <c r="DD655" s="4" t="s">
        <v>241</v>
      </c>
      <c r="DF655" s="4" t="s">
        <v>287</v>
      </c>
      <c r="DG655" s="6">
        <f>0</f>
        <v>0</v>
      </c>
      <c r="DI655" s="4" t="s">
        <v>3167</v>
      </c>
      <c r="DJ655" s="4" t="s">
        <v>241</v>
      </c>
      <c r="DK655" s="4" t="s">
        <v>241</v>
      </c>
      <c r="DL655" s="4" t="s">
        <v>241</v>
      </c>
      <c r="DP655" s="4" t="s">
        <v>241</v>
      </c>
      <c r="DQ655" s="4" t="s">
        <v>241</v>
      </c>
      <c r="DR655" s="4" t="s">
        <v>241</v>
      </c>
      <c r="DS655" s="4" t="s">
        <v>241</v>
      </c>
      <c r="DV655" s="4" t="s">
        <v>4520</v>
      </c>
      <c r="DW655" s="4" t="s">
        <v>1511</v>
      </c>
      <c r="HO655" s="4" t="s">
        <v>267</v>
      </c>
    </row>
    <row r="656" spans="1:223" ht="19.5" customHeight="1" x14ac:dyDescent="0.4">
      <c r="A656" s="4">
        <v>1</v>
      </c>
      <c r="B656" s="4" t="s">
        <v>239</v>
      </c>
      <c r="C656" s="4">
        <v>1518</v>
      </c>
      <c r="D656" s="4">
        <v>1</v>
      </c>
      <c r="E656" s="4">
        <v>1</v>
      </c>
      <c r="F656" s="4" t="s">
        <v>240</v>
      </c>
      <c r="G656" s="4" t="s">
        <v>241</v>
      </c>
      <c r="H656" s="4" t="s">
        <v>241</v>
      </c>
      <c r="I656" s="4" t="s">
        <v>4518</v>
      </c>
      <c r="J656" s="4" t="s">
        <v>3158</v>
      </c>
      <c r="K656" s="4" t="s">
        <v>251</v>
      </c>
      <c r="L656" s="4" t="s">
        <v>3180</v>
      </c>
      <c r="M656" s="5" t="s">
        <v>4728</v>
      </c>
      <c r="N656" s="6">
        <f>6860</f>
        <v>6860</v>
      </c>
      <c r="O656" s="4" t="s">
        <v>265</v>
      </c>
      <c r="P656" s="6">
        <f>75460</f>
        <v>75460</v>
      </c>
      <c r="Q656" s="6">
        <f>0</f>
        <v>0</v>
      </c>
      <c r="S656" s="6">
        <f>0</f>
        <v>0</v>
      </c>
      <c r="T656" s="6">
        <f>75460</f>
        <v>75460</v>
      </c>
      <c r="U656" s="5" t="s">
        <v>245</v>
      </c>
      <c r="V656" s="4" t="s">
        <v>270</v>
      </c>
      <c r="W656" s="4" t="s">
        <v>242</v>
      </c>
      <c r="X656" s="4" t="s">
        <v>243</v>
      </c>
      <c r="Y656" s="4" t="s">
        <v>241</v>
      </c>
      <c r="AB656" s="4" t="s">
        <v>241</v>
      </c>
      <c r="AD656" s="5" t="s">
        <v>241</v>
      </c>
      <c r="AG656" s="5" t="s">
        <v>246</v>
      </c>
      <c r="AH656" s="4" t="s">
        <v>241</v>
      </c>
      <c r="AI656" s="4" t="s">
        <v>247</v>
      </c>
      <c r="AJ656" s="4" t="s">
        <v>248</v>
      </c>
      <c r="AZ656" s="4" t="s">
        <v>249</v>
      </c>
      <c r="BA656" s="4" t="s">
        <v>241</v>
      </c>
      <c r="BB656" s="4" t="s">
        <v>250</v>
      </c>
      <c r="BC656" s="4" t="s">
        <v>241</v>
      </c>
      <c r="BD656" s="4" t="s">
        <v>252</v>
      </c>
      <c r="BE656" s="4" t="s">
        <v>241</v>
      </c>
      <c r="BI656" s="4" t="s">
        <v>253</v>
      </c>
      <c r="BJ656" s="5" t="s">
        <v>246</v>
      </c>
      <c r="BK656" s="4" t="s">
        <v>254</v>
      </c>
      <c r="BL656" s="4" t="s">
        <v>255</v>
      </c>
      <c r="BM656" s="4" t="s">
        <v>241</v>
      </c>
      <c r="BN656" s="6">
        <f>0</f>
        <v>0</v>
      </c>
      <c r="BO656" s="6">
        <f>0</f>
        <v>0</v>
      </c>
      <c r="BP656" s="4" t="s">
        <v>256</v>
      </c>
      <c r="BQ656" s="4" t="s">
        <v>257</v>
      </c>
      <c r="CE656" s="4" t="s">
        <v>241</v>
      </c>
      <c r="CF656" s="4" t="s">
        <v>241</v>
      </c>
      <c r="CJ656" s="4" t="s">
        <v>258</v>
      </c>
      <c r="CK656" s="4" t="s">
        <v>259</v>
      </c>
      <c r="CL656" s="4" t="s">
        <v>241</v>
      </c>
      <c r="CO656" s="5" t="s">
        <v>260</v>
      </c>
      <c r="CP656" s="4" t="s">
        <v>241</v>
      </c>
      <c r="CQ656" s="4" t="s">
        <v>261</v>
      </c>
      <c r="CR656" s="4" t="s">
        <v>241</v>
      </c>
      <c r="CS656" s="4" t="s">
        <v>241</v>
      </c>
      <c r="CT656" s="4">
        <v>0</v>
      </c>
      <c r="CU656" s="4" t="s">
        <v>262</v>
      </c>
      <c r="CV656" s="4" t="s">
        <v>263</v>
      </c>
      <c r="CW656" s="4" t="s">
        <v>263</v>
      </c>
      <c r="CX656" s="4" t="s">
        <v>264</v>
      </c>
      <c r="DA656" s="6">
        <f>75460</f>
        <v>75460</v>
      </c>
      <c r="DC656" s="4" t="s">
        <v>3160</v>
      </c>
      <c r="DD656" s="4" t="s">
        <v>241</v>
      </c>
      <c r="DF656" s="4" t="s">
        <v>287</v>
      </c>
      <c r="DG656" s="6">
        <f>0</f>
        <v>0</v>
      </c>
      <c r="DI656" s="4" t="s">
        <v>3167</v>
      </c>
      <c r="DJ656" s="4" t="s">
        <v>241</v>
      </c>
      <c r="DK656" s="4" t="s">
        <v>241</v>
      </c>
      <c r="DL656" s="4" t="s">
        <v>241</v>
      </c>
      <c r="DP656" s="4" t="s">
        <v>241</v>
      </c>
      <c r="DQ656" s="4" t="s">
        <v>241</v>
      </c>
      <c r="DR656" s="4" t="s">
        <v>241</v>
      </c>
      <c r="DS656" s="4" t="s">
        <v>241</v>
      </c>
      <c r="DV656" s="4" t="s">
        <v>4520</v>
      </c>
      <c r="DW656" s="4" t="s">
        <v>1509</v>
      </c>
      <c r="HO656" s="4" t="s">
        <v>267</v>
      </c>
    </row>
    <row r="657" spans="1:223" ht="19.5" customHeight="1" x14ac:dyDescent="0.4">
      <c r="A657" s="4">
        <v>1</v>
      </c>
      <c r="B657" s="4" t="s">
        <v>239</v>
      </c>
      <c r="C657" s="4">
        <v>1519</v>
      </c>
      <c r="D657" s="4">
        <v>1</v>
      </c>
      <c r="E657" s="4">
        <v>1</v>
      </c>
      <c r="F657" s="4" t="s">
        <v>240</v>
      </c>
      <c r="G657" s="4" t="s">
        <v>241</v>
      </c>
      <c r="H657" s="4" t="s">
        <v>241</v>
      </c>
      <c r="I657" s="4" t="s">
        <v>4518</v>
      </c>
      <c r="J657" s="4" t="s">
        <v>3158</v>
      </c>
      <c r="K657" s="4" t="s">
        <v>251</v>
      </c>
      <c r="L657" s="4" t="s">
        <v>3180</v>
      </c>
      <c r="M657" s="5" t="s">
        <v>4726</v>
      </c>
      <c r="N657" s="6">
        <f>2889</f>
        <v>2889</v>
      </c>
      <c r="O657" s="4" t="s">
        <v>265</v>
      </c>
      <c r="P657" s="6">
        <f>31779</f>
        <v>31779</v>
      </c>
      <c r="Q657" s="6">
        <f>0</f>
        <v>0</v>
      </c>
      <c r="S657" s="6">
        <f>0</f>
        <v>0</v>
      </c>
      <c r="T657" s="6">
        <f>31779</f>
        <v>31779</v>
      </c>
      <c r="U657" s="5" t="s">
        <v>245</v>
      </c>
      <c r="V657" s="4" t="s">
        <v>270</v>
      </c>
      <c r="W657" s="4" t="s">
        <v>242</v>
      </c>
      <c r="X657" s="4" t="s">
        <v>243</v>
      </c>
      <c r="Y657" s="4" t="s">
        <v>241</v>
      </c>
      <c r="AB657" s="4" t="s">
        <v>241</v>
      </c>
      <c r="AD657" s="5" t="s">
        <v>241</v>
      </c>
      <c r="AG657" s="5" t="s">
        <v>246</v>
      </c>
      <c r="AH657" s="4" t="s">
        <v>241</v>
      </c>
      <c r="AI657" s="4" t="s">
        <v>247</v>
      </c>
      <c r="AJ657" s="4" t="s">
        <v>248</v>
      </c>
      <c r="AZ657" s="4" t="s">
        <v>249</v>
      </c>
      <c r="BA657" s="4" t="s">
        <v>241</v>
      </c>
      <c r="BB657" s="4" t="s">
        <v>250</v>
      </c>
      <c r="BC657" s="4" t="s">
        <v>241</v>
      </c>
      <c r="BD657" s="4" t="s">
        <v>252</v>
      </c>
      <c r="BE657" s="4" t="s">
        <v>241</v>
      </c>
      <c r="BI657" s="4" t="s">
        <v>253</v>
      </c>
      <c r="BJ657" s="5" t="s">
        <v>246</v>
      </c>
      <c r="BK657" s="4" t="s">
        <v>254</v>
      </c>
      <c r="BL657" s="4" t="s">
        <v>255</v>
      </c>
      <c r="BM657" s="4" t="s">
        <v>241</v>
      </c>
      <c r="BN657" s="6">
        <f>0</f>
        <v>0</v>
      </c>
      <c r="BO657" s="6">
        <f>0</f>
        <v>0</v>
      </c>
      <c r="BP657" s="4" t="s">
        <v>256</v>
      </c>
      <c r="BQ657" s="4" t="s">
        <v>257</v>
      </c>
      <c r="CE657" s="4" t="s">
        <v>241</v>
      </c>
      <c r="CF657" s="4" t="s">
        <v>241</v>
      </c>
      <c r="CJ657" s="4" t="s">
        <v>258</v>
      </c>
      <c r="CK657" s="4" t="s">
        <v>259</v>
      </c>
      <c r="CL657" s="4" t="s">
        <v>241</v>
      </c>
      <c r="CO657" s="5" t="s">
        <v>260</v>
      </c>
      <c r="CP657" s="4" t="s">
        <v>241</v>
      </c>
      <c r="CQ657" s="4" t="s">
        <v>261</v>
      </c>
      <c r="CR657" s="4" t="s">
        <v>241</v>
      </c>
      <c r="CS657" s="4" t="s">
        <v>241</v>
      </c>
      <c r="CT657" s="4">
        <v>0</v>
      </c>
      <c r="CU657" s="4" t="s">
        <v>262</v>
      </c>
      <c r="CV657" s="4" t="s">
        <v>263</v>
      </c>
      <c r="CW657" s="4" t="s">
        <v>263</v>
      </c>
      <c r="CX657" s="4" t="s">
        <v>264</v>
      </c>
      <c r="DA657" s="6">
        <f>31779</f>
        <v>31779</v>
      </c>
      <c r="DC657" s="4" t="s">
        <v>3160</v>
      </c>
      <c r="DD657" s="4" t="s">
        <v>241</v>
      </c>
      <c r="DF657" s="4" t="s">
        <v>287</v>
      </c>
      <c r="DG657" s="6">
        <f>0</f>
        <v>0</v>
      </c>
      <c r="DI657" s="4" t="s">
        <v>3167</v>
      </c>
      <c r="DJ657" s="4" t="s">
        <v>241</v>
      </c>
      <c r="DK657" s="4" t="s">
        <v>241</v>
      </c>
      <c r="DL657" s="4" t="s">
        <v>241</v>
      </c>
      <c r="DP657" s="4" t="s">
        <v>241</v>
      </c>
      <c r="DQ657" s="4" t="s">
        <v>241</v>
      </c>
      <c r="DR657" s="4" t="s">
        <v>241</v>
      </c>
      <c r="DS657" s="4" t="s">
        <v>241</v>
      </c>
      <c r="DV657" s="4" t="s">
        <v>4520</v>
      </c>
      <c r="DW657" s="4" t="s">
        <v>1505</v>
      </c>
      <c r="HO657" s="4" t="s">
        <v>267</v>
      </c>
    </row>
    <row r="658" spans="1:223" ht="19.5" customHeight="1" x14ac:dyDescent="0.4">
      <c r="A658" s="4">
        <v>1</v>
      </c>
      <c r="B658" s="4" t="s">
        <v>239</v>
      </c>
      <c r="C658" s="4">
        <v>1520</v>
      </c>
      <c r="D658" s="4">
        <v>1</v>
      </c>
      <c r="E658" s="4">
        <v>1</v>
      </c>
      <c r="F658" s="4" t="s">
        <v>240</v>
      </c>
      <c r="G658" s="4" t="s">
        <v>241</v>
      </c>
      <c r="H658" s="4" t="s">
        <v>241</v>
      </c>
      <c r="I658" s="4" t="s">
        <v>4518</v>
      </c>
      <c r="J658" s="4" t="s">
        <v>3158</v>
      </c>
      <c r="K658" s="4" t="s">
        <v>251</v>
      </c>
      <c r="L658" s="4" t="s">
        <v>3180</v>
      </c>
      <c r="M658" s="5" t="s">
        <v>4715</v>
      </c>
      <c r="N658" s="6">
        <f>4944</f>
        <v>4944</v>
      </c>
      <c r="O658" s="4" t="s">
        <v>265</v>
      </c>
      <c r="P658" s="6">
        <f>54384</f>
        <v>54384</v>
      </c>
      <c r="Q658" s="6">
        <f>0</f>
        <v>0</v>
      </c>
      <c r="S658" s="6">
        <f>0</f>
        <v>0</v>
      </c>
      <c r="T658" s="6">
        <f>54384</f>
        <v>54384</v>
      </c>
      <c r="U658" s="5" t="s">
        <v>245</v>
      </c>
      <c r="V658" s="4" t="s">
        <v>270</v>
      </c>
      <c r="W658" s="4" t="s">
        <v>242</v>
      </c>
      <c r="X658" s="4" t="s">
        <v>243</v>
      </c>
      <c r="Y658" s="4" t="s">
        <v>241</v>
      </c>
      <c r="AB658" s="4" t="s">
        <v>241</v>
      </c>
      <c r="AD658" s="5" t="s">
        <v>241</v>
      </c>
      <c r="AG658" s="5" t="s">
        <v>246</v>
      </c>
      <c r="AH658" s="4" t="s">
        <v>241</v>
      </c>
      <c r="AI658" s="4" t="s">
        <v>247</v>
      </c>
      <c r="AJ658" s="4" t="s">
        <v>248</v>
      </c>
      <c r="AZ658" s="4" t="s">
        <v>249</v>
      </c>
      <c r="BA658" s="4" t="s">
        <v>241</v>
      </c>
      <c r="BB658" s="4" t="s">
        <v>250</v>
      </c>
      <c r="BC658" s="4" t="s">
        <v>241</v>
      </c>
      <c r="BD658" s="4" t="s">
        <v>252</v>
      </c>
      <c r="BE658" s="4" t="s">
        <v>241</v>
      </c>
      <c r="BI658" s="4" t="s">
        <v>253</v>
      </c>
      <c r="BJ658" s="5" t="s">
        <v>246</v>
      </c>
      <c r="BK658" s="4" t="s">
        <v>254</v>
      </c>
      <c r="BL658" s="4" t="s">
        <v>255</v>
      </c>
      <c r="BM658" s="4" t="s">
        <v>241</v>
      </c>
      <c r="BN658" s="6">
        <f>0</f>
        <v>0</v>
      </c>
      <c r="BO658" s="6">
        <f>0</f>
        <v>0</v>
      </c>
      <c r="BP658" s="4" t="s">
        <v>256</v>
      </c>
      <c r="BQ658" s="4" t="s">
        <v>257</v>
      </c>
      <c r="CE658" s="4" t="s">
        <v>241</v>
      </c>
      <c r="CF658" s="4" t="s">
        <v>241</v>
      </c>
      <c r="CJ658" s="4" t="s">
        <v>258</v>
      </c>
      <c r="CK658" s="4" t="s">
        <v>259</v>
      </c>
      <c r="CL658" s="4" t="s">
        <v>241</v>
      </c>
      <c r="CO658" s="5" t="s">
        <v>260</v>
      </c>
      <c r="CP658" s="4" t="s">
        <v>241</v>
      </c>
      <c r="CQ658" s="4" t="s">
        <v>261</v>
      </c>
      <c r="CR658" s="4" t="s">
        <v>241</v>
      </c>
      <c r="CS658" s="4" t="s">
        <v>241</v>
      </c>
      <c r="CT658" s="4">
        <v>0</v>
      </c>
      <c r="CU658" s="4" t="s">
        <v>262</v>
      </c>
      <c r="CV658" s="4" t="s">
        <v>263</v>
      </c>
      <c r="CW658" s="4" t="s">
        <v>263</v>
      </c>
      <c r="CX658" s="4" t="s">
        <v>264</v>
      </c>
      <c r="DA658" s="6">
        <f>54384</f>
        <v>54384</v>
      </c>
      <c r="DC658" s="4" t="s">
        <v>3160</v>
      </c>
      <c r="DD658" s="4" t="s">
        <v>241</v>
      </c>
      <c r="DF658" s="4" t="s">
        <v>287</v>
      </c>
      <c r="DG658" s="6">
        <f>0</f>
        <v>0</v>
      </c>
      <c r="DI658" s="4" t="s">
        <v>3167</v>
      </c>
      <c r="DJ658" s="4" t="s">
        <v>241</v>
      </c>
      <c r="DK658" s="4" t="s">
        <v>241</v>
      </c>
      <c r="DL658" s="4" t="s">
        <v>241</v>
      </c>
      <c r="DP658" s="4" t="s">
        <v>241</v>
      </c>
      <c r="DQ658" s="4" t="s">
        <v>241</v>
      </c>
      <c r="DR658" s="4" t="s">
        <v>241</v>
      </c>
      <c r="DS658" s="4" t="s">
        <v>241</v>
      </c>
      <c r="DV658" s="4" t="s">
        <v>4520</v>
      </c>
      <c r="DW658" s="4" t="s">
        <v>1503</v>
      </c>
      <c r="HO658" s="4" t="s">
        <v>267</v>
      </c>
    </row>
    <row r="659" spans="1:223" ht="19.5" customHeight="1" x14ac:dyDescent="0.4">
      <c r="A659" s="4">
        <v>1</v>
      </c>
      <c r="B659" s="4" t="s">
        <v>239</v>
      </c>
      <c r="C659" s="4">
        <v>1521</v>
      </c>
      <c r="D659" s="4">
        <v>1</v>
      </c>
      <c r="E659" s="4">
        <v>1</v>
      </c>
      <c r="F659" s="4" t="s">
        <v>240</v>
      </c>
      <c r="G659" s="4" t="s">
        <v>241</v>
      </c>
      <c r="H659" s="4" t="s">
        <v>241</v>
      </c>
      <c r="I659" s="4" t="s">
        <v>4518</v>
      </c>
      <c r="J659" s="4" t="s">
        <v>3158</v>
      </c>
      <c r="K659" s="4" t="s">
        <v>251</v>
      </c>
      <c r="L659" s="4" t="s">
        <v>3180</v>
      </c>
      <c r="M659" s="5" t="s">
        <v>4526</v>
      </c>
      <c r="N659" s="6">
        <f>2341</f>
        <v>2341</v>
      </c>
      <c r="O659" s="4" t="s">
        <v>265</v>
      </c>
      <c r="P659" s="6">
        <f>25751</f>
        <v>25751</v>
      </c>
      <c r="Q659" s="6">
        <f>0</f>
        <v>0</v>
      </c>
      <c r="S659" s="6">
        <f>0</f>
        <v>0</v>
      </c>
      <c r="T659" s="6">
        <f>25751</f>
        <v>25751</v>
      </c>
      <c r="U659" s="5" t="s">
        <v>245</v>
      </c>
      <c r="V659" s="4" t="s">
        <v>270</v>
      </c>
      <c r="W659" s="4" t="s">
        <v>242</v>
      </c>
      <c r="X659" s="4" t="s">
        <v>243</v>
      </c>
      <c r="Y659" s="4" t="s">
        <v>241</v>
      </c>
      <c r="AB659" s="4" t="s">
        <v>241</v>
      </c>
      <c r="AD659" s="5" t="s">
        <v>241</v>
      </c>
      <c r="AG659" s="5" t="s">
        <v>246</v>
      </c>
      <c r="AH659" s="4" t="s">
        <v>241</v>
      </c>
      <c r="AI659" s="4" t="s">
        <v>247</v>
      </c>
      <c r="AJ659" s="4" t="s">
        <v>248</v>
      </c>
      <c r="AZ659" s="4" t="s">
        <v>249</v>
      </c>
      <c r="BA659" s="4" t="s">
        <v>241</v>
      </c>
      <c r="BB659" s="4" t="s">
        <v>250</v>
      </c>
      <c r="BC659" s="4" t="s">
        <v>241</v>
      </c>
      <c r="BD659" s="4" t="s">
        <v>252</v>
      </c>
      <c r="BE659" s="4" t="s">
        <v>241</v>
      </c>
      <c r="BI659" s="4" t="s">
        <v>253</v>
      </c>
      <c r="BJ659" s="5" t="s">
        <v>246</v>
      </c>
      <c r="BK659" s="4" t="s">
        <v>254</v>
      </c>
      <c r="BL659" s="4" t="s">
        <v>255</v>
      </c>
      <c r="BM659" s="4" t="s">
        <v>241</v>
      </c>
      <c r="BN659" s="6">
        <f>0</f>
        <v>0</v>
      </c>
      <c r="BO659" s="6">
        <f>0</f>
        <v>0</v>
      </c>
      <c r="BP659" s="4" t="s">
        <v>256</v>
      </c>
      <c r="BQ659" s="4" t="s">
        <v>257</v>
      </c>
      <c r="CE659" s="4" t="s">
        <v>241</v>
      </c>
      <c r="CF659" s="4" t="s">
        <v>241</v>
      </c>
      <c r="CJ659" s="4" t="s">
        <v>258</v>
      </c>
      <c r="CK659" s="4" t="s">
        <v>259</v>
      </c>
      <c r="CL659" s="4" t="s">
        <v>241</v>
      </c>
      <c r="CO659" s="5" t="s">
        <v>260</v>
      </c>
      <c r="CP659" s="4" t="s">
        <v>241</v>
      </c>
      <c r="CQ659" s="4" t="s">
        <v>261</v>
      </c>
      <c r="CR659" s="4" t="s">
        <v>241</v>
      </c>
      <c r="CS659" s="4" t="s">
        <v>241</v>
      </c>
      <c r="CT659" s="4">
        <v>0</v>
      </c>
      <c r="CU659" s="4" t="s">
        <v>262</v>
      </c>
      <c r="CV659" s="4" t="s">
        <v>263</v>
      </c>
      <c r="CW659" s="4" t="s">
        <v>263</v>
      </c>
      <c r="CX659" s="4" t="s">
        <v>264</v>
      </c>
      <c r="DA659" s="6">
        <f>25751</f>
        <v>25751</v>
      </c>
      <c r="DC659" s="4" t="s">
        <v>3160</v>
      </c>
      <c r="DD659" s="4" t="s">
        <v>241</v>
      </c>
      <c r="DF659" s="4" t="s">
        <v>287</v>
      </c>
      <c r="DG659" s="6">
        <f>0</f>
        <v>0</v>
      </c>
      <c r="DI659" s="4" t="s">
        <v>3167</v>
      </c>
      <c r="DJ659" s="4" t="s">
        <v>241</v>
      </c>
      <c r="DK659" s="4" t="s">
        <v>241</v>
      </c>
      <c r="DL659" s="4" t="s">
        <v>241</v>
      </c>
      <c r="DP659" s="4" t="s">
        <v>241</v>
      </c>
      <c r="DQ659" s="4" t="s">
        <v>241</v>
      </c>
      <c r="DR659" s="4" t="s">
        <v>241</v>
      </c>
      <c r="DS659" s="4" t="s">
        <v>241</v>
      </c>
      <c r="DV659" s="4" t="s">
        <v>4520</v>
      </c>
      <c r="DW659" s="4" t="s">
        <v>1501</v>
      </c>
      <c r="HO659" s="4" t="s">
        <v>267</v>
      </c>
    </row>
    <row r="660" spans="1:223" ht="19.5" customHeight="1" x14ac:dyDescent="0.4">
      <c r="A660" s="4">
        <v>1</v>
      </c>
      <c r="B660" s="4" t="s">
        <v>239</v>
      </c>
      <c r="C660" s="4">
        <v>1522</v>
      </c>
      <c r="D660" s="4">
        <v>1</v>
      </c>
      <c r="E660" s="4">
        <v>1</v>
      </c>
      <c r="F660" s="4" t="s">
        <v>240</v>
      </c>
      <c r="G660" s="4" t="s">
        <v>241</v>
      </c>
      <c r="H660" s="4" t="s">
        <v>241</v>
      </c>
      <c r="I660" s="4" t="s">
        <v>4518</v>
      </c>
      <c r="J660" s="4" t="s">
        <v>3158</v>
      </c>
      <c r="K660" s="4" t="s">
        <v>251</v>
      </c>
      <c r="L660" s="4" t="s">
        <v>3180</v>
      </c>
      <c r="M660" s="5" t="s">
        <v>4727</v>
      </c>
      <c r="N660" s="6">
        <f>1752</f>
        <v>1752</v>
      </c>
      <c r="O660" s="4" t="s">
        <v>265</v>
      </c>
      <c r="P660" s="6">
        <f>19272</f>
        <v>19272</v>
      </c>
      <c r="Q660" s="6">
        <f>0</f>
        <v>0</v>
      </c>
      <c r="S660" s="6">
        <f>0</f>
        <v>0</v>
      </c>
      <c r="T660" s="6">
        <f>19272</f>
        <v>19272</v>
      </c>
      <c r="U660" s="5" t="s">
        <v>245</v>
      </c>
      <c r="V660" s="4" t="s">
        <v>270</v>
      </c>
      <c r="W660" s="4" t="s">
        <v>242</v>
      </c>
      <c r="X660" s="4" t="s">
        <v>243</v>
      </c>
      <c r="Y660" s="4" t="s">
        <v>241</v>
      </c>
      <c r="AB660" s="4" t="s">
        <v>241</v>
      </c>
      <c r="AD660" s="5" t="s">
        <v>241</v>
      </c>
      <c r="AG660" s="5" t="s">
        <v>246</v>
      </c>
      <c r="AH660" s="4" t="s">
        <v>241</v>
      </c>
      <c r="AI660" s="4" t="s">
        <v>247</v>
      </c>
      <c r="AJ660" s="4" t="s">
        <v>248</v>
      </c>
      <c r="AZ660" s="4" t="s">
        <v>249</v>
      </c>
      <c r="BA660" s="4" t="s">
        <v>241</v>
      </c>
      <c r="BB660" s="4" t="s">
        <v>250</v>
      </c>
      <c r="BC660" s="4" t="s">
        <v>241</v>
      </c>
      <c r="BD660" s="4" t="s">
        <v>252</v>
      </c>
      <c r="BE660" s="4" t="s">
        <v>241</v>
      </c>
      <c r="BI660" s="4" t="s">
        <v>253</v>
      </c>
      <c r="BJ660" s="5" t="s">
        <v>246</v>
      </c>
      <c r="BK660" s="4" t="s">
        <v>254</v>
      </c>
      <c r="BL660" s="4" t="s">
        <v>255</v>
      </c>
      <c r="BM660" s="4" t="s">
        <v>241</v>
      </c>
      <c r="BN660" s="6">
        <f>0</f>
        <v>0</v>
      </c>
      <c r="BO660" s="6">
        <f>0</f>
        <v>0</v>
      </c>
      <c r="BP660" s="4" t="s">
        <v>256</v>
      </c>
      <c r="BQ660" s="4" t="s">
        <v>257</v>
      </c>
      <c r="CE660" s="4" t="s">
        <v>241</v>
      </c>
      <c r="CF660" s="4" t="s">
        <v>241</v>
      </c>
      <c r="CJ660" s="4" t="s">
        <v>258</v>
      </c>
      <c r="CK660" s="4" t="s">
        <v>259</v>
      </c>
      <c r="CL660" s="4" t="s">
        <v>241</v>
      </c>
      <c r="CO660" s="5" t="s">
        <v>260</v>
      </c>
      <c r="CP660" s="4" t="s">
        <v>241</v>
      </c>
      <c r="CQ660" s="4" t="s">
        <v>261</v>
      </c>
      <c r="CR660" s="4" t="s">
        <v>241</v>
      </c>
      <c r="CS660" s="4" t="s">
        <v>241</v>
      </c>
      <c r="CT660" s="4">
        <v>0</v>
      </c>
      <c r="CU660" s="4" t="s">
        <v>262</v>
      </c>
      <c r="CV660" s="4" t="s">
        <v>263</v>
      </c>
      <c r="CW660" s="4" t="s">
        <v>263</v>
      </c>
      <c r="CX660" s="4" t="s">
        <v>264</v>
      </c>
      <c r="DA660" s="6">
        <f>19272</f>
        <v>19272</v>
      </c>
      <c r="DC660" s="4" t="s">
        <v>3160</v>
      </c>
      <c r="DD660" s="4" t="s">
        <v>241</v>
      </c>
      <c r="DF660" s="4" t="s">
        <v>287</v>
      </c>
      <c r="DG660" s="6">
        <f>0</f>
        <v>0</v>
      </c>
      <c r="DI660" s="4" t="s">
        <v>3167</v>
      </c>
      <c r="DJ660" s="4" t="s">
        <v>241</v>
      </c>
      <c r="DK660" s="4" t="s">
        <v>241</v>
      </c>
      <c r="DL660" s="4" t="s">
        <v>241</v>
      </c>
      <c r="DP660" s="4" t="s">
        <v>241</v>
      </c>
      <c r="DQ660" s="4" t="s">
        <v>241</v>
      </c>
      <c r="DR660" s="4" t="s">
        <v>241</v>
      </c>
      <c r="DS660" s="4" t="s">
        <v>241</v>
      </c>
      <c r="DV660" s="4" t="s">
        <v>4520</v>
      </c>
      <c r="DW660" s="4" t="s">
        <v>1499</v>
      </c>
      <c r="HO660" s="4" t="s">
        <v>267</v>
      </c>
    </row>
    <row r="661" spans="1:223" ht="19.5" customHeight="1" x14ac:dyDescent="0.4">
      <c r="A661" s="4">
        <v>1</v>
      </c>
      <c r="B661" s="4" t="s">
        <v>239</v>
      </c>
      <c r="C661" s="4">
        <v>1523</v>
      </c>
      <c r="D661" s="4">
        <v>1</v>
      </c>
      <c r="E661" s="4">
        <v>1</v>
      </c>
      <c r="F661" s="4" t="s">
        <v>240</v>
      </c>
      <c r="G661" s="4" t="s">
        <v>241</v>
      </c>
      <c r="H661" s="4" t="s">
        <v>241</v>
      </c>
      <c r="I661" s="4" t="s">
        <v>4518</v>
      </c>
      <c r="J661" s="4" t="s">
        <v>3158</v>
      </c>
      <c r="K661" s="4" t="s">
        <v>251</v>
      </c>
      <c r="L661" s="4" t="s">
        <v>3180</v>
      </c>
      <c r="M661" s="5" t="s">
        <v>4740</v>
      </c>
      <c r="N661" s="6">
        <f>1157</f>
        <v>1157</v>
      </c>
      <c r="O661" s="4" t="s">
        <v>265</v>
      </c>
      <c r="P661" s="6">
        <f>12727</f>
        <v>12727</v>
      </c>
      <c r="Q661" s="6">
        <f>0</f>
        <v>0</v>
      </c>
      <c r="S661" s="6">
        <f>0</f>
        <v>0</v>
      </c>
      <c r="T661" s="6">
        <f>12727</f>
        <v>12727</v>
      </c>
      <c r="U661" s="5" t="s">
        <v>245</v>
      </c>
      <c r="V661" s="4" t="s">
        <v>270</v>
      </c>
      <c r="W661" s="4" t="s">
        <v>242</v>
      </c>
      <c r="X661" s="4" t="s">
        <v>243</v>
      </c>
      <c r="Y661" s="4" t="s">
        <v>241</v>
      </c>
      <c r="AB661" s="4" t="s">
        <v>241</v>
      </c>
      <c r="AD661" s="5" t="s">
        <v>241</v>
      </c>
      <c r="AG661" s="5" t="s">
        <v>246</v>
      </c>
      <c r="AH661" s="4" t="s">
        <v>241</v>
      </c>
      <c r="AI661" s="4" t="s">
        <v>247</v>
      </c>
      <c r="AJ661" s="4" t="s">
        <v>248</v>
      </c>
      <c r="AZ661" s="4" t="s">
        <v>249</v>
      </c>
      <c r="BA661" s="4" t="s">
        <v>241</v>
      </c>
      <c r="BB661" s="4" t="s">
        <v>250</v>
      </c>
      <c r="BC661" s="4" t="s">
        <v>241</v>
      </c>
      <c r="BD661" s="4" t="s">
        <v>252</v>
      </c>
      <c r="BE661" s="4" t="s">
        <v>241</v>
      </c>
      <c r="BI661" s="4" t="s">
        <v>253</v>
      </c>
      <c r="BJ661" s="5" t="s">
        <v>246</v>
      </c>
      <c r="BK661" s="4" t="s">
        <v>254</v>
      </c>
      <c r="BL661" s="4" t="s">
        <v>255</v>
      </c>
      <c r="BM661" s="4" t="s">
        <v>241</v>
      </c>
      <c r="BN661" s="6">
        <f>0</f>
        <v>0</v>
      </c>
      <c r="BO661" s="6">
        <f>0</f>
        <v>0</v>
      </c>
      <c r="BP661" s="4" t="s">
        <v>256</v>
      </c>
      <c r="BQ661" s="4" t="s">
        <v>257</v>
      </c>
      <c r="CE661" s="4" t="s">
        <v>241</v>
      </c>
      <c r="CF661" s="4" t="s">
        <v>241</v>
      </c>
      <c r="CJ661" s="4" t="s">
        <v>258</v>
      </c>
      <c r="CK661" s="4" t="s">
        <v>259</v>
      </c>
      <c r="CL661" s="4" t="s">
        <v>241</v>
      </c>
      <c r="CO661" s="5" t="s">
        <v>260</v>
      </c>
      <c r="CP661" s="4" t="s">
        <v>241</v>
      </c>
      <c r="CQ661" s="4" t="s">
        <v>261</v>
      </c>
      <c r="CR661" s="4" t="s">
        <v>241</v>
      </c>
      <c r="CS661" s="4" t="s">
        <v>241</v>
      </c>
      <c r="CT661" s="4">
        <v>0</v>
      </c>
      <c r="CU661" s="4" t="s">
        <v>262</v>
      </c>
      <c r="CV661" s="4" t="s">
        <v>263</v>
      </c>
      <c r="CW661" s="4" t="s">
        <v>263</v>
      </c>
      <c r="CX661" s="4" t="s">
        <v>264</v>
      </c>
      <c r="DA661" s="6">
        <f>12727</f>
        <v>12727</v>
      </c>
      <c r="DC661" s="4" t="s">
        <v>3160</v>
      </c>
      <c r="DD661" s="4" t="s">
        <v>241</v>
      </c>
      <c r="DF661" s="4" t="s">
        <v>287</v>
      </c>
      <c r="DG661" s="6">
        <f>0</f>
        <v>0</v>
      </c>
      <c r="DI661" s="4" t="s">
        <v>3167</v>
      </c>
      <c r="DJ661" s="4" t="s">
        <v>241</v>
      </c>
      <c r="DK661" s="4" t="s">
        <v>241</v>
      </c>
      <c r="DL661" s="4" t="s">
        <v>241</v>
      </c>
      <c r="DP661" s="4" t="s">
        <v>241</v>
      </c>
      <c r="DQ661" s="4" t="s">
        <v>241</v>
      </c>
      <c r="DR661" s="4" t="s">
        <v>241</v>
      </c>
      <c r="DS661" s="4" t="s">
        <v>241</v>
      </c>
      <c r="DV661" s="4" t="s">
        <v>4520</v>
      </c>
      <c r="DW661" s="4" t="s">
        <v>1495</v>
      </c>
      <c r="HO661" s="4" t="s">
        <v>267</v>
      </c>
    </row>
    <row r="662" spans="1:223" ht="19.5" customHeight="1" x14ac:dyDescent="0.4">
      <c r="A662" s="4">
        <v>1</v>
      </c>
      <c r="B662" s="4" t="s">
        <v>239</v>
      </c>
      <c r="C662" s="4">
        <v>1524</v>
      </c>
      <c r="D662" s="4">
        <v>1</v>
      </c>
      <c r="E662" s="4">
        <v>1</v>
      </c>
      <c r="F662" s="4" t="s">
        <v>240</v>
      </c>
      <c r="G662" s="4" t="s">
        <v>241</v>
      </c>
      <c r="H662" s="4" t="s">
        <v>241</v>
      </c>
      <c r="I662" s="4" t="s">
        <v>4518</v>
      </c>
      <c r="J662" s="4" t="s">
        <v>3158</v>
      </c>
      <c r="K662" s="4" t="s">
        <v>251</v>
      </c>
      <c r="L662" s="4" t="s">
        <v>3180</v>
      </c>
      <c r="M662" s="5" t="s">
        <v>4737</v>
      </c>
      <c r="N662" s="6">
        <f>540</f>
        <v>540</v>
      </c>
      <c r="O662" s="4" t="s">
        <v>265</v>
      </c>
      <c r="P662" s="6">
        <f>5940</f>
        <v>5940</v>
      </c>
      <c r="Q662" s="6">
        <f>0</f>
        <v>0</v>
      </c>
      <c r="S662" s="6">
        <f>0</f>
        <v>0</v>
      </c>
      <c r="T662" s="6">
        <f>5940</f>
        <v>5940</v>
      </c>
      <c r="U662" s="5" t="s">
        <v>245</v>
      </c>
      <c r="V662" s="4" t="s">
        <v>270</v>
      </c>
      <c r="W662" s="4" t="s">
        <v>242</v>
      </c>
      <c r="X662" s="4" t="s">
        <v>243</v>
      </c>
      <c r="Y662" s="4" t="s">
        <v>241</v>
      </c>
      <c r="AB662" s="4" t="s">
        <v>241</v>
      </c>
      <c r="AD662" s="5" t="s">
        <v>241</v>
      </c>
      <c r="AG662" s="5" t="s">
        <v>246</v>
      </c>
      <c r="AH662" s="4" t="s">
        <v>241</v>
      </c>
      <c r="AI662" s="4" t="s">
        <v>247</v>
      </c>
      <c r="AJ662" s="4" t="s">
        <v>248</v>
      </c>
      <c r="AZ662" s="4" t="s">
        <v>249</v>
      </c>
      <c r="BA662" s="4" t="s">
        <v>241</v>
      </c>
      <c r="BB662" s="4" t="s">
        <v>250</v>
      </c>
      <c r="BC662" s="4" t="s">
        <v>241</v>
      </c>
      <c r="BD662" s="4" t="s">
        <v>252</v>
      </c>
      <c r="BE662" s="4" t="s">
        <v>241</v>
      </c>
      <c r="BI662" s="4" t="s">
        <v>253</v>
      </c>
      <c r="BJ662" s="5" t="s">
        <v>246</v>
      </c>
      <c r="BK662" s="4" t="s">
        <v>254</v>
      </c>
      <c r="BL662" s="4" t="s">
        <v>255</v>
      </c>
      <c r="BM662" s="4" t="s">
        <v>241</v>
      </c>
      <c r="BN662" s="6">
        <f>0</f>
        <v>0</v>
      </c>
      <c r="BO662" s="6">
        <f>0</f>
        <v>0</v>
      </c>
      <c r="BP662" s="4" t="s">
        <v>256</v>
      </c>
      <c r="BQ662" s="4" t="s">
        <v>257</v>
      </c>
      <c r="CE662" s="4" t="s">
        <v>241</v>
      </c>
      <c r="CF662" s="4" t="s">
        <v>241</v>
      </c>
      <c r="CJ662" s="4" t="s">
        <v>258</v>
      </c>
      <c r="CK662" s="4" t="s">
        <v>259</v>
      </c>
      <c r="CL662" s="4" t="s">
        <v>241</v>
      </c>
      <c r="CO662" s="5" t="s">
        <v>260</v>
      </c>
      <c r="CP662" s="4" t="s">
        <v>241</v>
      </c>
      <c r="CQ662" s="4" t="s">
        <v>261</v>
      </c>
      <c r="CR662" s="4" t="s">
        <v>241</v>
      </c>
      <c r="CS662" s="4" t="s">
        <v>241</v>
      </c>
      <c r="CT662" s="4">
        <v>0</v>
      </c>
      <c r="CU662" s="4" t="s">
        <v>262</v>
      </c>
      <c r="CV662" s="4" t="s">
        <v>263</v>
      </c>
      <c r="CW662" s="4" t="s">
        <v>263</v>
      </c>
      <c r="CX662" s="4" t="s">
        <v>264</v>
      </c>
      <c r="DA662" s="6">
        <f>5940</f>
        <v>5940</v>
      </c>
      <c r="DC662" s="4" t="s">
        <v>3160</v>
      </c>
      <c r="DD662" s="4" t="s">
        <v>241</v>
      </c>
      <c r="DF662" s="4" t="s">
        <v>287</v>
      </c>
      <c r="DG662" s="6">
        <f>0</f>
        <v>0</v>
      </c>
      <c r="DI662" s="4" t="s">
        <v>3167</v>
      </c>
      <c r="DJ662" s="4" t="s">
        <v>241</v>
      </c>
      <c r="DK662" s="4" t="s">
        <v>241</v>
      </c>
      <c r="DL662" s="4" t="s">
        <v>241</v>
      </c>
      <c r="DP662" s="4" t="s">
        <v>241</v>
      </c>
      <c r="DQ662" s="4" t="s">
        <v>241</v>
      </c>
      <c r="DR662" s="4" t="s">
        <v>241</v>
      </c>
      <c r="DS662" s="4" t="s">
        <v>241</v>
      </c>
      <c r="DV662" s="4" t="s">
        <v>4520</v>
      </c>
      <c r="DW662" s="4" t="s">
        <v>1493</v>
      </c>
      <c r="HO662" s="4" t="s">
        <v>267</v>
      </c>
    </row>
    <row r="663" spans="1:223" ht="19.5" customHeight="1" x14ac:dyDescent="0.4">
      <c r="A663" s="4">
        <v>1</v>
      </c>
      <c r="B663" s="4" t="s">
        <v>239</v>
      </c>
      <c r="C663" s="4">
        <v>1525</v>
      </c>
      <c r="D663" s="4">
        <v>1</v>
      </c>
      <c r="E663" s="4">
        <v>1</v>
      </c>
      <c r="F663" s="4" t="s">
        <v>240</v>
      </c>
      <c r="G663" s="4" t="s">
        <v>241</v>
      </c>
      <c r="H663" s="4" t="s">
        <v>241</v>
      </c>
      <c r="I663" s="4" t="s">
        <v>4518</v>
      </c>
      <c r="J663" s="4" t="s">
        <v>3158</v>
      </c>
      <c r="K663" s="4" t="s">
        <v>251</v>
      </c>
      <c r="L663" s="4" t="s">
        <v>3180</v>
      </c>
      <c r="M663" s="5" t="s">
        <v>4720</v>
      </c>
      <c r="N663" s="6">
        <f>662</f>
        <v>662</v>
      </c>
      <c r="O663" s="4" t="s">
        <v>265</v>
      </c>
      <c r="P663" s="6">
        <f>7282</f>
        <v>7282</v>
      </c>
      <c r="Q663" s="6">
        <f>0</f>
        <v>0</v>
      </c>
      <c r="S663" s="6">
        <f>0</f>
        <v>0</v>
      </c>
      <c r="T663" s="6">
        <f>7282</f>
        <v>7282</v>
      </c>
      <c r="U663" s="5" t="s">
        <v>245</v>
      </c>
      <c r="V663" s="4" t="s">
        <v>270</v>
      </c>
      <c r="W663" s="4" t="s">
        <v>242</v>
      </c>
      <c r="X663" s="4" t="s">
        <v>243</v>
      </c>
      <c r="Y663" s="4" t="s">
        <v>241</v>
      </c>
      <c r="AB663" s="4" t="s">
        <v>241</v>
      </c>
      <c r="AD663" s="5" t="s">
        <v>241</v>
      </c>
      <c r="AG663" s="5" t="s">
        <v>246</v>
      </c>
      <c r="AH663" s="4" t="s">
        <v>241</v>
      </c>
      <c r="AI663" s="4" t="s">
        <v>247</v>
      </c>
      <c r="AJ663" s="4" t="s">
        <v>248</v>
      </c>
      <c r="AZ663" s="4" t="s">
        <v>249</v>
      </c>
      <c r="BA663" s="4" t="s">
        <v>241</v>
      </c>
      <c r="BB663" s="4" t="s">
        <v>250</v>
      </c>
      <c r="BC663" s="4" t="s">
        <v>241</v>
      </c>
      <c r="BD663" s="4" t="s">
        <v>252</v>
      </c>
      <c r="BE663" s="4" t="s">
        <v>241</v>
      </c>
      <c r="BI663" s="4" t="s">
        <v>253</v>
      </c>
      <c r="BJ663" s="5" t="s">
        <v>246</v>
      </c>
      <c r="BK663" s="4" t="s">
        <v>254</v>
      </c>
      <c r="BL663" s="4" t="s">
        <v>255</v>
      </c>
      <c r="BM663" s="4" t="s">
        <v>241</v>
      </c>
      <c r="BN663" s="6">
        <f>0</f>
        <v>0</v>
      </c>
      <c r="BO663" s="6">
        <f>0</f>
        <v>0</v>
      </c>
      <c r="BP663" s="4" t="s">
        <v>256</v>
      </c>
      <c r="BQ663" s="4" t="s">
        <v>257</v>
      </c>
      <c r="CE663" s="4" t="s">
        <v>241</v>
      </c>
      <c r="CF663" s="4" t="s">
        <v>241</v>
      </c>
      <c r="CJ663" s="4" t="s">
        <v>258</v>
      </c>
      <c r="CK663" s="4" t="s">
        <v>259</v>
      </c>
      <c r="CL663" s="4" t="s">
        <v>241</v>
      </c>
      <c r="CO663" s="5" t="s">
        <v>260</v>
      </c>
      <c r="CP663" s="4" t="s">
        <v>241</v>
      </c>
      <c r="CQ663" s="4" t="s">
        <v>261</v>
      </c>
      <c r="CR663" s="4" t="s">
        <v>241</v>
      </c>
      <c r="CS663" s="4" t="s">
        <v>241</v>
      </c>
      <c r="CT663" s="4">
        <v>0</v>
      </c>
      <c r="CU663" s="4" t="s">
        <v>262</v>
      </c>
      <c r="CV663" s="4" t="s">
        <v>263</v>
      </c>
      <c r="CW663" s="4" t="s">
        <v>263</v>
      </c>
      <c r="CX663" s="4" t="s">
        <v>264</v>
      </c>
      <c r="DA663" s="6">
        <f>7282</f>
        <v>7282</v>
      </c>
      <c r="DC663" s="4" t="s">
        <v>3160</v>
      </c>
      <c r="DD663" s="4" t="s">
        <v>241</v>
      </c>
      <c r="DF663" s="4" t="s">
        <v>287</v>
      </c>
      <c r="DG663" s="6">
        <f>0</f>
        <v>0</v>
      </c>
      <c r="DI663" s="4" t="s">
        <v>3167</v>
      </c>
      <c r="DJ663" s="4" t="s">
        <v>241</v>
      </c>
      <c r="DK663" s="4" t="s">
        <v>241</v>
      </c>
      <c r="DL663" s="4" t="s">
        <v>241</v>
      </c>
      <c r="DP663" s="4" t="s">
        <v>241</v>
      </c>
      <c r="DQ663" s="4" t="s">
        <v>241</v>
      </c>
      <c r="DR663" s="4" t="s">
        <v>241</v>
      </c>
      <c r="DS663" s="4" t="s">
        <v>241</v>
      </c>
      <c r="DV663" s="4" t="s">
        <v>4520</v>
      </c>
      <c r="DW663" s="4" t="s">
        <v>1490</v>
      </c>
      <c r="HO663" s="4" t="s">
        <v>267</v>
      </c>
    </row>
    <row r="664" spans="1:223" ht="19.5" customHeight="1" x14ac:dyDescent="0.4">
      <c r="A664" s="4">
        <v>1</v>
      </c>
      <c r="B664" s="4" t="s">
        <v>239</v>
      </c>
      <c r="C664" s="4">
        <v>1526</v>
      </c>
      <c r="D664" s="4">
        <v>1</v>
      </c>
      <c r="E664" s="4">
        <v>1</v>
      </c>
      <c r="F664" s="4" t="s">
        <v>240</v>
      </c>
      <c r="G664" s="4" t="s">
        <v>241</v>
      </c>
      <c r="H664" s="4" t="s">
        <v>241</v>
      </c>
      <c r="I664" s="4" t="s">
        <v>4518</v>
      </c>
      <c r="J664" s="4" t="s">
        <v>3158</v>
      </c>
      <c r="K664" s="4" t="s">
        <v>251</v>
      </c>
      <c r="L664" s="4" t="s">
        <v>3180</v>
      </c>
      <c r="M664" s="5" t="s">
        <v>4741</v>
      </c>
      <c r="N664" s="6">
        <f>37551</f>
        <v>37551</v>
      </c>
      <c r="O664" s="4" t="s">
        <v>265</v>
      </c>
      <c r="P664" s="6">
        <f>413061</f>
        <v>413061</v>
      </c>
      <c r="Q664" s="6">
        <f>0</f>
        <v>0</v>
      </c>
      <c r="S664" s="6">
        <f>0</f>
        <v>0</v>
      </c>
      <c r="T664" s="6">
        <f>413061</f>
        <v>413061</v>
      </c>
      <c r="U664" s="5" t="s">
        <v>245</v>
      </c>
      <c r="V664" s="4" t="s">
        <v>270</v>
      </c>
      <c r="W664" s="4" t="s">
        <v>242</v>
      </c>
      <c r="X664" s="4" t="s">
        <v>243</v>
      </c>
      <c r="Y664" s="4" t="s">
        <v>241</v>
      </c>
      <c r="AB664" s="4" t="s">
        <v>241</v>
      </c>
      <c r="AD664" s="5" t="s">
        <v>241</v>
      </c>
      <c r="AG664" s="5" t="s">
        <v>246</v>
      </c>
      <c r="AH664" s="4" t="s">
        <v>241</v>
      </c>
      <c r="AI664" s="4" t="s">
        <v>247</v>
      </c>
      <c r="AJ664" s="4" t="s">
        <v>248</v>
      </c>
      <c r="AZ664" s="4" t="s">
        <v>249</v>
      </c>
      <c r="BA664" s="4" t="s">
        <v>241</v>
      </c>
      <c r="BB664" s="4" t="s">
        <v>250</v>
      </c>
      <c r="BC664" s="4" t="s">
        <v>241</v>
      </c>
      <c r="BD664" s="4" t="s">
        <v>252</v>
      </c>
      <c r="BE664" s="4" t="s">
        <v>241</v>
      </c>
      <c r="BI664" s="4" t="s">
        <v>253</v>
      </c>
      <c r="BJ664" s="5" t="s">
        <v>246</v>
      </c>
      <c r="BK664" s="4" t="s">
        <v>254</v>
      </c>
      <c r="BL664" s="4" t="s">
        <v>255</v>
      </c>
      <c r="BM664" s="4" t="s">
        <v>241</v>
      </c>
      <c r="BN664" s="6">
        <f>0</f>
        <v>0</v>
      </c>
      <c r="BO664" s="6">
        <f>0</f>
        <v>0</v>
      </c>
      <c r="BP664" s="4" t="s">
        <v>256</v>
      </c>
      <c r="BQ664" s="4" t="s">
        <v>257</v>
      </c>
      <c r="CE664" s="4" t="s">
        <v>241</v>
      </c>
      <c r="CF664" s="4" t="s">
        <v>241</v>
      </c>
      <c r="CJ664" s="4" t="s">
        <v>258</v>
      </c>
      <c r="CK664" s="4" t="s">
        <v>259</v>
      </c>
      <c r="CL664" s="4" t="s">
        <v>241</v>
      </c>
      <c r="CO664" s="5" t="s">
        <v>260</v>
      </c>
      <c r="CP664" s="4" t="s">
        <v>241</v>
      </c>
      <c r="CQ664" s="4" t="s">
        <v>261</v>
      </c>
      <c r="CR664" s="4" t="s">
        <v>241</v>
      </c>
      <c r="CS664" s="4" t="s">
        <v>241</v>
      </c>
      <c r="CT664" s="4">
        <v>0</v>
      </c>
      <c r="CU664" s="4" t="s">
        <v>262</v>
      </c>
      <c r="CV664" s="4" t="s">
        <v>263</v>
      </c>
      <c r="CW664" s="4" t="s">
        <v>263</v>
      </c>
      <c r="CX664" s="4" t="s">
        <v>264</v>
      </c>
      <c r="DA664" s="6">
        <f>413061</f>
        <v>413061</v>
      </c>
      <c r="DC664" s="4" t="s">
        <v>3160</v>
      </c>
      <c r="DD664" s="4" t="s">
        <v>241</v>
      </c>
      <c r="DF664" s="4" t="s">
        <v>287</v>
      </c>
      <c r="DG664" s="6">
        <f>0</f>
        <v>0</v>
      </c>
      <c r="DI664" s="4" t="s">
        <v>3167</v>
      </c>
      <c r="DJ664" s="4" t="s">
        <v>241</v>
      </c>
      <c r="DK664" s="4" t="s">
        <v>241</v>
      </c>
      <c r="DL664" s="4" t="s">
        <v>241</v>
      </c>
      <c r="DP664" s="4" t="s">
        <v>241</v>
      </c>
      <c r="DQ664" s="4" t="s">
        <v>241</v>
      </c>
      <c r="DR664" s="4" t="s">
        <v>241</v>
      </c>
      <c r="DS664" s="4" t="s">
        <v>241</v>
      </c>
      <c r="DV664" s="4" t="s">
        <v>4520</v>
      </c>
      <c r="DW664" s="4" t="s">
        <v>1488</v>
      </c>
      <c r="HO664" s="4" t="s">
        <v>267</v>
      </c>
    </row>
    <row r="665" spans="1:223" ht="19.5" customHeight="1" x14ac:dyDescent="0.4">
      <c r="A665" s="4">
        <v>1</v>
      </c>
      <c r="B665" s="4" t="s">
        <v>239</v>
      </c>
      <c r="C665" s="4">
        <v>1527</v>
      </c>
      <c r="D665" s="4">
        <v>1</v>
      </c>
      <c r="E665" s="4">
        <v>1</v>
      </c>
      <c r="F665" s="4" t="s">
        <v>240</v>
      </c>
      <c r="G665" s="4" t="s">
        <v>241</v>
      </c>
      <c r="H665" s="4" t="s">
        <v>241</v>
      </c>
      <c r="I665" s="4" t="s">
        <v>4518</v>
      </c>
      <c r="J665" s="4" t="s">
        <v>3158</v>
      </c>
      <c r="K665" s="4" t="s">
        <v>251</v>
      </c>
      <c r="L665" s="4" t="s">
        <v>3180</v>
      </c>
      <c r="M665" s="5" t="s">
        <v>4736</v>
      </c>
      <c r="N665" s="6">
        <f>416</f>
        <v>416</v>
      </c>
      <c r="O665" s="4" t="s">
        <v>265</v>
      </c>
      <c r="P665" s="6">
        <f>4576</f>
        <v>4576</v>
      </c>
      <c r="Q665" s="6">
        <f>0</f>
        <v>0</v>
      </c>
      <c r="S665" s="6">
        <f>0</f>
        <v>0</v>
      </c>
      <c r="T665" s="6">
        <f>4576</f>
        <v>4576</v>
      </c>
      <c r="U665" s="5" t="s">
        <v>245</v>
      </c>
      <c r="V665" s="4" t="s">
        <v>270</v>
      </c>
      <c r="W665" s="4" t="s">
        <v>242</v>
      </c>
      <c r="X665" s="4" t="s">
        <v>243</v>
      </c>
      <c r="Y665" s="4" t="s">
        <v>241</v>
      </c>
      <c r="AB665" s="4" t="s">
        <v>241</v>
      </c>
      <c r="AD665" s="5" t="s">
        <v>241</v>
      </c>
      <c r="AG665" s="5" t="s">
        <v>246</v>
      </c>
      <c r="AH665" s="4" t="s">
        <v>241</v>
      </c>
      <c r="AI665" s="4" t="s">
        <v>247</v>
      </c>
      <c r="AJ665" s="4" t="s">
        <v>248</v>
      </c>
      <c r="AZ665" s="4" t="s">
        <v>249</v>
      </c>
      <c r="BA665" s="4" t="s">
        <v>241</v>
      </c>
      <c r="BB665" s="4" t="s">
        <v>250</v>
      </c>
      <c r="BC665" s="4" t="s">
        <v>241</v>
      </c>
      <c r="BD665" s="4" t="s">
        <v>252</v>
      </c>
      <c r="BE665" s="4" t="s">
        <v>241</v>
      </c>
      <c r="BI665" s="4" t="s">
        <v>253</v>
      </c>
      <c r="BJ665" s="5" t="s">
        <v>246</v>
      </c>
      <c r="BK665" s="4" t="s">
        <v>254</v>
      </c>
      <c r="BL665" s="4" t="s">
        <v>255</v>
      </c>
      <c r="BM665" s="4" t="s">
        <v>241</v>
      </c>
      <c r="BN665" s="6">
        <f>0</f>
        <v>0</v>
      </c>
      <c r="BO665" s="6">
        <f>0</f>
        <v>0</v>
      </c>
      <c r="BP665" s="4" t="s">
        <v>256</v>
      </c>
      <c r="BQ665" s="4" t="s">
        <v>257</v>
      </c>
      <c r="CE665" s="4" t="s">
        <v>241</v>
      </c>
      <c r="CF665" s="4" t="s">
        <v>241</v>
      </c>
      <c r="CJ665" s="4" t="s">
        <v>258</v>
      </c>
      <c r="CK665" s="4" t="s">
        <v>259</v>
      </c>
      <c r="CL665" s="4" t="s">
        <v>241</v>
      </c>
      <c r="CO665" s="5" t="s">
        <v>260</v>
      </c>
      <c r="CP665" s="4" t="s">
        <v>241</v>
      </c>
      <c r="CQ665" s="4" t="s">
        <v>261</v>
      </c>
      <c r="CR665" s="4" t="s">
        <v>241</v>
      </c>
      <c r="CS665" s="4" t="s">
        <v>241</v>
      </c>
      <c r="CT665" s="4">
        <v>0</v>
      </c>
      <c r="CU665" s="4" t="s">
        <v>262</v>
      </c>
      <c r="CV665" s="4" t="s">
        <v>263</v>
      </c>
      <c r="CW665" s="4" t="s">
        <v>263</v>
      </c>
      <c r="CX665" s="4" t="s">
        <v>264</v>
      </c>
      <c r="DA665" s="6">
        <f>4576</f>
        <v>4576</v>
      </c>
      <c r="DC665" s="4" t="s">
        <v>3160</v>
      </c>
      <c r="DD665" s="4" t="s">
        <v>241</v>
      </c>
      <c r="DF665" s="4" t="s">
        <v>287</v>
      </c>
      <c r="DG665" s="6">
        <f>0</f>
        <v>0</v>
      </c>
      <c r="DI665" s="4" t="s">
        <v>3167</v>
      </c>
      <c r="DJ665" s="4" t="s">
        <v>241</v>
      </c>
      <c r="DK665" s="4" t="s">
        <v>241</v>
      </c>
      <c r="DL665" s="4" t="s">
        <v>241</v>
      </c>
      <c r="DP665" s="4" t="s">
        <v>241</v>
      </c>
      <c r="DQ665" s="4" t="s">
        <v>241</v>
      </c>
      <c r="DR665" s="4" t="s">
        <v>241</v>
      </c>
      <c r="DS665" s="4" t="s">
        <v>241</v>
      </c>
      <c r="DV665" s="4" t="s">
        <v>4520</v>
      </c>
      <c r="DW665" s="4" t="s">
        <v>1823</v>
      </c>
      <c r="HO665" s="4" t="s">
        <v>267</v>
      </c>
    </row>
    <row r="666" spans="1:223" ht="19.5" customHeight="1" x14ac:dyDescent="0.4">
      <c r="A666" s="4">
        <v>1</v>
      </c>
      <c r="B666" s="4" t="s">
        <v>239</v>
      </c>
      <c r="C666" s="4">
        <v>1528</v>
      </c>
      <c r="D666" s="4">
        <v>1</v>
      </c>
      <c r="E666" s="4">
        <v>1</v>
      </c>
      <c r="F666" s="4" t="s">
        <v>240</v>
      </c>
      <c r="G666" s="4" t="s">
        <v>241</v>
      </c>
      <c r="H666" s="4" t="s">
        <v>241</v>
      </c>
      <c r="I666" s="4" t="s">
        <v>4518</v>
      </c>
      <c r="J666" s="4" t="s">
        <v>3158</v>
      </c>
      <c r="K666" s="4" t="s">
        <v>251</v>
      </c>
      <c r="L666" s="4" t="s">
        <v>3180</v>
      </c>
      <c r="M666" s="5" t="s">
        <v>4735</v>
      </c>
      <c r="N666" s="6">
        <f>1983</f>
        <v>1983</v>
      </c>
      <c r="O666" s="4" t="s">
        <v>265</v>
      </c>
      <c r="P666" s="6">
        <f>21813</f>
        <v>21813</v>
      </c>
      <c r="Q666" s="6">
        <f>0</f>
        <v>0</v>
      </c>
      <c r="S666" s="6">
        <f>0</f>
        <v>0</v>
      </c>
      <c r="T666" s="6">
        <f>21813</f>
        <v>21813</v>
      </c>
      <c r="U666" s="5" t="s">
        <v>245</v>
      </c>
      <c r="V666" s="4" t="s">
        <v>270</v>
      </c>
      <c r="W666" s="4" t="s">
        <v>242</v>
      </c>
      <c r="X666" s="4" t="s">
        <v>243</v>
      </c>
      <c r="Y666" s="4" t="s">
        <v>241</v>
      </c>
      <c r="AB666" s="4" t="s">
        <v>241</v>
      </c>
      <c r="AD666" s="5" t="s">
        <v>241</v>
      </c>
      <c r="AG666" s="5" t="s">
        <v>246</v>
      </c>
      <c r="AH666" s="4" t="s">
        <v>241</v>
      </c>
      <c r="AI666" s="4" t="s">
        <v>247</v>
      </c>
      <c r="AJ666" s="4" t="s">
        <v>248</v>
      </c>
      <c r="AZ666" s="4" t="s">
        <v>249</v>
      </c>
      <c r="BA666" s="4" t="s">
        <v>241</v>
      </c>
      <c r="BB666" s="4" t="s">
        <v>250</v>
      </c>
      <c r="BC666" s="4" t="s">
        <v>241</v>
      </c>
      <c r="BD666" s="4" t="s">
        <v>252</v>
      </c>
      <c r="BE666" s="4" t="s">
        <v>241</v>
      </c>
      <c r="BI666" s="4" t="s">
        <v>253</v>
      </c>
      <c r="BJ666" s="5" t="s">
        <v>246</v>
      </c>
      <c r="BK666" s="4" t="s">
        <v>254</v>
      </c>
      <c r="BL666" s="4" t="s">
        <v>255</v>
      </c>
      <c r="BM666" s="4" t="s">
        <v>241</v>
      </c>
      <c r="BN666" s="6">
        <f>0</f>
        <v>0</v>
      </c>
      <c r="BO666" s="6">
        <f>0</f>
        <v>0</v>
      </c>
      <c r="BP666" s="4" t="s">
        <v>256</v>
      </c>
      <c r="BQ666" s="4" t="s">
        <v>257</v>
      </c>
      <c r="CE666" s="4" t="s">
        <v>241</v>
      </c>
      <c r="CF666" s="4" t="s">
        <v>241</v>
      </c>
      <c r="CJ666" s="4" t="s">
        <v>258</v>
      </c>
      <c r="CK666" s="4" t="s">
        <v>259</v>
      </c>
      <c r="CL666" s="4" t="s">
        <v>241</v>
      </c>
      <c r="CO666" s="5" t="s">
        <v>260</v>
      </c>
      <c r="CP666" s="4" t="s">
        <v>241</v>
      </c>
      <c r="CQ666" s="4" t="s">
        <v>261</v>
      </c>
      <c r="CR666" s="4" t="s">
        <v>241</v>
      </c>
      <c r="CS666" s="4" t="s">
        <v>241</v>
      </c>
      <c r="CT666" s="4">
        <v>0</v>
      </c>
      <c r="CU666" s="4" t="s">
        <v>262</v>
      </c>
      <c r="CV666" s="4" t="s">
        <v>263</v>
      </c>
      <c r="CW666" s="4" t="s">
        <v>263</v>
      </c>
      <c r="CX666" s="4" t="s">
        <v>264</v>
      </c>
      <c r="DA666" s="6">
        <f>21813</f>
        <v>21813</v>
      </c>
      <c r="DC666" s="4" t="s">
        <v>3160</v>
      </c>
      <c r="DD666" s="4" t="s">
        <v>241</v>
      </c>
      <c r="DF666" s="4" t="s">
        <v>287</v>
      </c>
      <c r="DG666" s="6">
        <f>0</f>
        <v>0</v>
      </c>
      <c r="DI666" s="4" t="s">
        <v>3167</v>
      </c>
      <c r="DJ666" s="4" t="s">
        <v>241</v>
      </c>
      <c r="DK666" s="4" t="s">
        <v>241</v>
      </c>
      <c r="DL666" s="4" t="s">
        <v>241</v>
      </c>
      <c r="DP666" s="4" t="s">
        <v>241</v>
      </c>
      <c r="DQ666" s="4" t="s">
        <v>241</v>
      </c>
      <c r="DR666" s="4" t="s">
        <v>241</v>
      </c>
      <c r="DS666" s="4" t="s">
        <v>241</v>
      </c>
      <c r="DV666" s="4" t="s">
        <v>4520</v>
      </c>
      <c r="DW666" s="4" t="s">
        <v>1485</v>
      </c>
      <c r="HO666" s="4" t="s">
        <v>267</v>
      </c>
    </row>
    <row r="667" spans="1:223" ht="19.5" customHeight="1" x14ac:dyDescent="0.4">
      <c r="A667" s="4">
        <v>1</v>
      </c>
      <c r="B667" s="4" t="s">
        <v>239</v>
      </c>
      <c r="C667" s="4">
        <v>1529</v>
      </c>
      <c r="D667" s="4">
        <v>1</v>
      </c>
      <c r="E667" s="4">
        <v>1</v>
      </c>
      <c r="F667" s="4" t="s">
        <v>240</v>
      </c>
      <c r="G667" s="4" t="s">
        <v>241</v>
      </c>
      <c r="H667" s="4" t="s">
        <v>241</v>
      </c>
      <c r="I667" s="4" t="s">
        <v>4518</v>
      </c>
      <c r="J667" s="4" t="s">
        <v>3158</v>
      </c>
      <c r="K667" s="4" t="s">
        <v>251</v>
      </c>
      <c r="L667" s="4" t="s">
        <v>3180</v>
      </c>
      <c r="M667" s="5" t="s">
        <v>4733</v>
      </c>
      <c r="N667" s="6">
        <f>13029</f>
        <v>13029</v>
      </c>
      <c r="O667" s="4" t="s">
        <v>265</v>
      </c>
      <c r="P667" s="6">
        <f>143319</f>
        <v>143319</v>
      </c>
      <c r="Q667" s="6">
        <f>0</f>
        <v>0</v>
      </c>
      <c r="S667" s="6">
        <f>0</f>
        <v>0</v>
      </c>
      <c r="T667" s="6">
        <f>143319</f>
        <v>143319</v>
      </c>
      <c r="U667" s="5" t="s">
        <v>245</v>
      </c>
      <c r="V667" s="4" t="s">
        <v>270</v>
      </c>
      <c r="W667" s="4" t="s">
        <v>242</v>
      </c>
      <c r="X667" s="4" t="s">
        <v>243</v>
      </c>
      <c r="Y667" s="4" t="s">
        <v>241</v>
      </c>
      <c r="AB667" s="4" t="s">
        <v>241</v>
      </c>
      <c r="AD667" s="5" t="s">
        <v>241</v>
      </c>
      <c r="AG667" s="5" t="s">
        <v>246</v>
      </c>
      <c r="AH667" s="4" t="s">
        <v>241</v>
      </c>
      <c r="AI667" s="4" t="s">
        <v>247</v>
      </c>
      <c r="AJ667" s="4" t="s">
        <v>248</v>
      </c>
      <c r="AZ667" s="4" t="s">
        <v>249</v>
      </c>
      <c r="BA667" s="4" t="s">
        <v>241</v>
      </c>
      <c r="BB667" s="4" t="s">
        <v>250</v>
      </c>
      <c r="BC667" s="4" t="s">
        <v>241</v>
      </c>
      <c r="BD667" s="4" t="s">
        <v>252</v>
      </c>
      <c r="BE667" s="4" t="s">
        <v>241</v>
      </c>
      <c r="BI667" s="4" t="s">
        <v>253</v>
      </c>
      <c r="BJ667" s="5" t="s">
        <v>246</v>
      </c>
      <c r="BK667" s="4" t="s">
        <v>254</v>
      </c>
      <c r="BL667" s="4" t="s">
        <v>255</v>
      </c>
      <c r="BM667" s="4" t="s">
        <v>241</v>
      </c>
      <c r="BN667" s="6">
        <f>0</f>
        <v>0</v>
      </c>
      <c r="BO667" s="6">
        <f>0</f>
        <v>0</v>
      </c>
      <c r="BP667" s="4" t="s">
        <v>256</v>
      </c>
      <c r="BQ667" s="4" t="s">
        <v>257</v>
      </c>
      <c r="CE667" s="4" t="s">
        <v>241</v>
      </c>
      <c r="CF667" s="4" t="s">
        <v>241</v>
      </c>
      <c r="CJ667" s="4" t="s">
        <v>258</v>
      </c>
      <c r="CK667" s="4" t="s">
        <v>259</v>
      </c>
      <c r="CL667" s="4" t="s">
        <v>241</v>
      </c>
      <c r="CO667" s="5" t="s">
        <v>260</v>
      </c>
      <c r="CP667" s="4" t="s">
        <v>241</v>
      </c>
      <c r="CQ667" s="4" t="s">
        <v>261</v>
      </c>
      <c r="CR667" s="4" t="s">
        <v>241</v>
      </c>
      <c r="CS667" s="4" t="s">
        <v>241</v>
      </c>
      <c r="CT667" s="4">
        <v>0</v>
      </c>
      <c r="CU667" s="4" t="s">
        <v>262</v>
      </c>
      <c r="CV667" s="4" t="s">
        <v>263</v>
      </c>
      <c r="CW667" s="4" t="s">
        <v>263</v>
      </c>
      <c r="CX667" s="4" t="s">
        <v>264</v>
      </c>
      <c r="DA667" s="6">
        <f>143319</f>
        <v>143319</v>
      </c>
      <c r="DC667" s="4" t="s">
        <v>3160</v>
      </c>
      <c r="DD667" s="4" t="s">
        <v>241</v>
      </c>
      <c r="DF667" s="4" t="s">
        <v>287</v>
      </c>
      <c r="DG667" s="6">
        <f>0</f>
        <v>0</v>
      </c>
      <c r="DI667" s="4" t="s">
        <v>3167</v>
      </c>
      <c r="DJ667" s="4" t="s">
        <v>241</v>
      </c>
      <c r="DK667" s="4" t="s">
        <v>241</v>
      </c>
      <c r="DL667" s="4" t="s">
        <v>241</v>
      </c>
      <c r="DP667" s="4" t="s">
        <v>241</v>
      </c>
      <c r="DQ667" s="4" t="s">
        <v>241</v>
      </c>
      <c r="DR667" s="4" t="s">
        <v>241</v>
      </c>
      <c r="DS667" s="4" t="s">
        <v>241</v>
      </c>
      <c r="DV667" s="4" t="s">
        <v>4520</v>
      </c>
      <c r="DW667" s="4" t="s">
        <v>1483</v>
      </c>
      <c r="HO667" s="4" t="s">
        <v>267</v>
      </c>
    </row>
    <row r="668" spans="1:223" ht="19.5" customHeight="1" x14ac:dyDescent="0.4">
      <c r="A668" s="4">
        <v>1</v>
      </c>
      <c r="B668" s="4" t="s">
        <v>239</v>
      </c>
      <c r="C668" s="4">
        <v>1530</v>
      </c>
      <c r="D668" s="4">
        <v>1</v>
      </c>
      <c r="E668" s="4">
        <v>1</v>
      </c>
      <c r="F668" s="4" t="s">
        <v>240</v>
      </c>
      <c r="G668" s="4" t="s">
        <v>241</v>
      </c>
      <c r="H668" s="4" t="s">
        <v>241</v>
      </c>
      <c r="I668" s="4" t="s">
        <v>4518</v>
      </c>
      <c r="J668" s="4" t="s">
        <v>3158</v>
      </c>
      <c r="K668" s="4" t="s">
        <v>251</v>
      </c>
      <c r="L668" s="4" t="s">
        <v>3180</v>
      </c>
      <c r="M668" s="5" t="s">
        <v>4746</v>
      </c>
      <c r="N668" s="6">
        <f>320</f>
        <v>320</v>
      </c>
      <c r="O668" s="4" t="s">
        <v>265</v>
      </c>
      <c r="P668" s="6">
        <f>3520</f>
        <v>3520</v>
      </c>
      <c r="Q668" s="6">
        <f>0</f>
        <v>0</v>
      </c>
      <c r="S668" s="6">
        <f>0</f>
        <v>0</v>
      </c>
      <c r="T668" s="6">
        <f>3520</f>
        <v>3520</v>
      </c>
      <c r="U668" s="5" t="s">
        <v>245</v>
      </c>
      <c r="V668" s="4" t="s">
        <v>270</v>
      </c>
      <c r="W668" s="4" t="s">
        <v>242</v>
      </c>
      <c r="X668" s="4" t="s">
        <v>243</v>
      </c>
      <c r="Y668" s="4" t="s">
        <v>241</v>
      </c>
      <c r="AB668" s="4" t="s">
        <v>241</v>
      </c>
      <c r="AD668" s="5" t="s">
        <v>241</v>
      </c>
      <c r="AG668" s="5" t="s">
        <v>246</v>
      </c>
      <c r="AH668" s="4" t="s">
        <v>241</v>
      </c>
      <c r="AI668" s="4" t="s">
        <v>247</v>
      </c>
      <c r="AJ668" s="4" t="s">
        <v>248</v>
      </c>
      <c r="AZ668" s="4" t="s">
        <v>249</v>
      </c>
      <c r="BA668" s="4" t="s">
        <v>241</v>
      </c>
      <c r="BB668" s="4" t="s">
        <v>250</v>
      </c>
      <c r="BC668" s="4" t="s">
        <v>241</v>
      </c>
      <c r="BD668" s="4" t="s">
        <v>252</v>
      </c>
      <c r="BE668" s="4" t="s">
        <v>241</v>
      </c>
      <c r="BI668" s="4" t="s">
        <v>253</v>
      </c>
      <c r="BJ668" s="5" t="s">
        <v>246</v>
      </c>
      <c r="BK668" s="4" t="s">
        <v>254</v>
      </c>
      <c r="BL668" s="4" t="s">
        <v>255</v>
      </c>
      <c r="BM668" s="4" t="s">
        <v>241</v>
      </c>
      <c r="BN668" s="6">
        <f>0</f>
        <v>0</v>
      </c>
      <c r="BO668" s="6">
        <f>0</f>
        <v>0</v>
      </c>
      <c r="BP668" s="4" t="s">
        <v>256</v>
      </c>
      <c r="BQ668" s="4" t="s">
        <v>257</v>
      </c>
      <c r="CE668" s="4" t="s">
        <v>241</v>
      </c>
      <c r="CF668" s="4" t="s">
        <v>241</v>
      </c>
      <c r="CJ668" s="4" t="s">
        <v>258</v>
      </c>
      <c r="CK668" s="4" t="s">
        <v>259</v>
      </c>
      <c r="CL668" s="4" t="s">
        <v>241</v>
      </c>
      <c r="CO668" s="5" t="s">
        <v>260</v>
      </c>
      <c r="CP668" s="4" t="s">
        <v>241</v>
      </c>
      <c r="CQ668" s="4" t="s">
        <v>261</v>
      </c>
      <c r="CR668" s="4" t="s">
        <v>241</v>
      </c>
      <c r="CS668" s="4" t="s">
        <v>241</v>
      </c>
      <c r="CT668" s="4">
        <v>0</v>
      </c>
      <c r="CU668" s="4" t="s">
        <v>262</v>
      </c>
      <c r="CV668" s="4" t="s">
        <v>263</v>
      </c>
      <c r="CW668" s="4" t="s">
        <v>263</v>
      </c>
      <c r="CX668" s="4" t="s">
        <v>264</v>
      </c>
      <c r="DA668" s="6">
        <f>3520</f>
        <v>3520</v>
      </c>
      <c r="DC668" s="4" t="s">
        <v>3167</v>
      </c>
      <c r="DD668" s="4" t="s">
        <v>241</v>
      </c>
      <c r="DF668" s="4" t="s">
        <v>287</v>
      </c>
      <c r="DG668" s="6">
        <f>0</f>
        <v>0</v>
      </c>
      <c r="DI668" s="4" t="s">
        <v>3167</v>
      </c>
      <c r="DJ668" s="4" t="s">
        <v>241</v>
      </c>
      <c r="DK668" s="4" t="s">
        <v>241</v>
      </c>
      <c r="DL668" s="4" t="s">
        <v>241</v>
      </c>
      <c r="DP668" s="4" t="s">
        <v>241</v>
      </c>
      <c r="DQ668" s="4" t="s">
        <v>241</v>
      </c>
      <c r="DR668" s="4" t="s">
        <v>241</v>
      </c>
      <c r="DS668" s="4" t="s">
        <v>241</v>
      </c>
      <c r="DV668" s="4" t="s">
        <v>4520</v>
      </c>
      <c r="DW668" s="4" t="s">
        <v>1481</v>
      </c>
      <c r="HO668" s="4" t="s">
        <v>267</v>
      </c>
    </row>
    <row r="669" spans="1:223" ht="19.5" customHeight="1" x14ac:dyDescent="0.4">
      <c r="A669" s="4">
        <v>1</v>
      </c>
      <c r="B669" s="4" t="s">
        <v>239</v>
      </c>
      <c r="C669" s="4">
        <v>1531</v>
      </c>
      <c r="D669" s="4">
        <v>1</v>
      </c>
      <c r="E669" s="4">
        <v>1</v>
      </c>
      <c r="F669" s="4" t="s">
        <v>240</v>
      </c>
      <c r="G669" s="4" t="s">
        <v>241</v>
      </c>
      <c r="H669" s="4" t="s">
        <v>241</v>
      </c>
      <c r="I669" s="4" t="s">
        <v>4518</v>
      </c>
      <c r="J669" s="4" t="s">
        <v>3158</v>
      </c>
      <c r="K669" s="4" t="s">
        <v>251</v>
      </c>
      <c r="L669" s="4" t="s">
        <v>3180</v>
      </c>
      <c r="M669" s="5" t="s">
        <v>4696</v>
      </c>
      <c r="N669" s="6">
        <f>988</f>
        <v>988</v>
      </c>
      <c r="O669" s="4" t="s">
        <v>265</v>
      </c>
      <c r="P669" s="6">
        <f>10868</f>
        <v>10868</v>
      </c>
      <c r="Q669" s="6">
        <f>0</f>
        <v>0</v>
      </c>
      <c r="S669" s="6">
        <f>0</f>
        <v>0</v>
      </c>
      <c r="T669" s="6">
        <f>10868</f>
        <v>10868</v>
      </c>
      <c r="U669" s="5" t="s">
        <v>245</v>
      </c>
      <c r="V669" s="4" t="s">
        <v>270</v>
      </c>
      <c r="W669" s="4" t="s">
        <v>242</v>
      </c>
      <c r="X669" s="4" t="s">
        <v>243</v>
      </c>
      <c r="Y669" s="4" t="s">
        <v>241</v>
      </c>
      <c r="AB669" s="4" t="s">
        <v>241</v>
      </c>
      <c r="AD669" s="5" t="s">
        <v>241</v>
      </c>
      <c r="AG669" s="5" t="s">
        <v>246</v>
      </c>
      <c r="AH669" s="4" t="s">
        <v>241</v>
      </c>
      <c r="AI669" s="4" t="s">
        <v>247</v>
      </c>
      <c r="AJ669" s="4" t="s">
        <v>248</v>
      </c>
      <c r="AZ669" s="4" t="s">
        <v>249</v>
      </c>
      <c r="BA669" s="4" t="s">
        <v>241</v>
      </c>
      <c r="BB669" s="4" t="s">
        <v>250</v>
      </c>
      <c r="BC669" s="4" t="s">
        <v>241</v>
      </c>
      <c r="BD669" s="4" t="s">
        <v>252</v>
      </c>
      <c r="BE669" s="4" t="s">
        <v>241</v>
      </c>
      <c r="BI669" s="4" t="s">
        <v>253</v>
      </c>
      <c r="BJ669" s="5" t="s">
        <v>246</v>
      </c>
      <c r="BK669" s="4" t="s">
        <v>254</v>
      </c>
      <c r="BL669" s="4" t="s">
        <v>255</v>
      </c>
      <c r="BM669" s="4" t="s">
        <v>241</v>
      </c>
      <c r="BN669" s="6">
        <f>0</f>
        <v>0</v>
      </c>
      <c r="BO669" s="6">
        <f>0</f>
        <v>0</v>
      </c>
      <c r="BP669" s="4" t="s">
        <v>256</v>
      </c>
      <c r="BQ669" s="4" t="s">
        <v>257</v>
      </c>
      <c r="CE669" s="4" t="s">
        <v>241</v>
      </c>
      <c r="CF669" s="4" t="s">
        <v>241</v>
      </c>
      <c r="CJ669" s="4" t="s">
        <v>258</v>
      </c>
      <c r="CK669" s="4" t="s">
        <v>259</v>
      </c>
      <c r="CL669" s="4" t="s">
        <v>241</v>
      </c>
      <c r="CO669" s="5" t="s">
        <v>260</v>
      </c>
      <c r="CP669" s="4" t="s">
        <v>241</v>
      </c>
      <c r="CQ669" s="4" t="s">
        <v>261</v>
      </c>
      <c r="CR669" s="4" t="s">
        <v>241</v>
      </c>
      <c r="CS669" s="4" t="s">
        <v>241</v>
      </c>
      <c r="CT669" s="4">
        <v>0</v>
      </c>
      <c r="CU669" s="4" t="s">
        <v>262</v>
      </c>
      <c r="CV669" s="4" t="s">
        <v>263</v>
      </c>
      <c r="CW669" s="4" t="s">
        <v>263</v>
      </c>
      <c r="CX669" s="4" t="s">
        <v>264</v>
      </c>
      <c r="DA669" s="6">
        <f>10868</f>
        <v>10868</v>
      </c>
      <c r="DC669" s="4" t="s">
        <v>3160</v>
      </c>
      <c r="DD669" s="4" t="s">
        <v>241</v>
      </c>
      <c r="DF669" s="4" t="s">
        <v>287</v>
      </c>
      <c r="DG669" s="6">
        <f>0</f>
        <v>0</v>
      </c>
      <c r="DI669" s="4" t="s">
        <v>3167</v>
      </c>
      <c r="DJ669" s="4" t="s">
        <v>241</v>
      </c>
      <c r="DK669" s="4" t="s">
        <v>241</v>
      </c>
      <c r="DL669" s="4" t="s">
        <v>241</v>
      </c>
      <c r="DP669" s="4" t="s">
        <v>241</v>
      </c>
      <c r="DQ669" s="4" t="s">
        <v>241</v>
      </c>
      <c r="DR669" s="4" t="s">
        <v>241</v>
      </c>
      <c r="DS669" s="4" t="s">
        <v>241</v>
      </c>
      <c r="DV669" s="4" t="s">
        <v>4520</v>
      </c>
      <c r="DW669" s="4" t="s">
        <v>427</v>
      </c>
      <c r="HO669" s="4" t="s">
        <v>267</v>
      </c>
    </row>
    <row r="670" spans="1:223" ht="19.5" customHeight="1" x14ac:dyDescent="0.4">
      <c r="A670" s="4">
        <v>1</v>
      </c>
      <c r="B670" s="4" t="s">
        <v>239</v>
      </c>
      <c r="C670" s="4">
        <v>1532</v>
      </c>
      <c r="D670" s="4">
        <v>1</v>
      </c>
      <c r="E670" s="4">
        <v>1</v>
      </c>
      <c r="F670" s="4" t="s">
        <v>240</v>
      </c>
      <c r="G670" s="4" t="s">
        <v>241</v>
      </c>
      <c r="H670" s="4" t="s">
        <v>241</v>
      </c>
      <c r="I670" s="4" t="s">
        <v>4518</v>
      </c>
      <c r="J670" s="4" t="s">
        <v>3158</v>
      </c>
      <c r="K670" s="4" t="s">
        <v>251</v>
      </c>
      <c r="L670" s="4" t="s">
        <v>3180</v>
      </c>
      <c r="M670" s="5" t="s">
        <v>4697</v>
      </c>
      <c r="N670" s="6">
        <f>2976</f>
        <v>2976</v>
      </c>
      <c r="O670" s="4" t="s">
        <v>265</v>
      </c>
      <c r="P670" s="6">
        <f>32736</f>
        <v>32736</v>
      </c>
      <c r="Q670" s="6">
        <f>0</f>
        <v>0</v>
      </c>
      <c r="S670" s="6">
        <f>0</f>
        <v>0</v>
      </c>
      <c r="T670" s="6">
        <f>32736</f>
        <v>32736</v>
      </c>
      <c r="U670" s="5" t="s">
        <v>245</v>
      </c>
      <c r="V670" s="4" t="s">
        <v>270</v>
      </c>
      <c r="W670" s="4" t="s">
        <v>242</v>
      </c>
      <c r="X670" s="4" t="s">
        <v>243</v>
      </c>
      <c r="Y670" s="4" t="s">
        <v>241</v>
      </c>
      <c r="AB670" s="4" t="s">
        <v>241</v>
      </c>
      <c r="AD670" s="5" t="s">
        <v>241</v>
      </c>
      <c r="AG670" s="5" t="s">
        <v>246</v>
      </c>
      <c r="AH670" s="4" t="s">
        <v>241</v>
      </c>
      <c r="AI670" s="4" t="s">
        <v>247</v>
      </c>
      <c r="AJ670" s="4" t="s">
        <v>248</v>
      </c>
      <c r="AZ670" s="4" t="s">
        <v>249</v>
      </c>
      <c r="BA670" s="4" t="s">
        <v>241</v>
      </c>
      <c r="BB670" s="4" t="s">
        <v>250</v>
      </c>
      <c r="BC670" s="4" t="s">
        <v>241</v>
      </c>
      <c r="BD670" s="4" t="s">
        <v>252</v>
      </c>
      <c r="BE670" s="4" t="s">
        <v>241</v>
      </c>
      <c r="BI670" s="4" t="s">
        <v>253</v>
      </c>
      <c r="BJ670" s="5" t="s">
        <v>246</v>
      </c>
      <c r="BK670" s="4" t="s">
        <v>254</v>
      </c>
      <c r="BL670" s="4" t="s">
        <v>255</v>
      </c>
      <c r="BM670" s="4" t="s">
        <v>241</v>
      </c>
      <c r="BN670" s="6">
        <f>0</f>
        <v>0</v>
      </c>
      <c r="BO670" s="6">
        <f>0</f>
        <v>0</v>
      </c>
      <c r="BP670" s="4" t="s">
        <v>256</v>
      </c>
      <c r="BQ670" s="4" t="s">
        <v>257</v>
      </c>
      <c r="CE670" s="4" t="s">
        <v>241</v>
      </c>
      <c r="CF670" s="4" t="s">
        <v>241</v>
      </c>
      <c r="CJ670" s="4" t="s">
        <v>258</v>
      </c>
      <c r="CK670" s="4" t="s">
        <v>259</v>
      </c>
      <c r="CL670" s="4" t="s">
        <v>241</v>
      </c>
      <c r="CO670" s="5" t="s">
        <v>260</v>
      </c>
      <c r="CP670" s="4" t="s">
        <v>241</v>
      </c>
      <c r="CQ670" s="4" t="s">
        <v>261</v>
      </c>
      <c r="CR670" s="4" t="s">
        <v>241</v>
      </c>
      <c r="CS670" s="4" t="s">
        <v>241</v>
      </c>
      <c r="CT670" s="4">
        <v>0</v>
      </c>
      <c r="CU670" s="4" t="s">
        <v>262</v>
      </c>
      <c r="CV670" s="4" t="s">
        <v>263</v>
      </c>
      <c r="CW670" s="4" t="s">
        <v>263</v>
      </c>
      <c r="CX670" s="4" t="s">
        <v>264</v>
      </c>
      <c r="DA670" s="6">
        <f>32736</f>
        <v>32736</v>
      </c>
      <c r="DC670" s="4" t="s">
        <v>3160</v>
      </c>
      <c r="DD670" s="4" t="s">
        <v>241</v>
      </c>
      <c r="DF670" s="4" t="s">
        <v>287</v>
      </c>
      <c r="DG670" s="6">
        <f>0</f>
        <v>0</v>
      </c>
      <c r="DI670" s="4" t="s">
        <v>3167</v>
      </c>
      <c r="DJ670" s="4" t="s">
        <v>241</v>
      </c>
      <c r="DK670" s="4" t="s">
        <v>241</v>
      </c>
      <c r="DL670" s="4" t="s">
        <v>241</v>
      </c>
      <c r="DP670" s="4" t="s">
        <v>241</v>
      </c>
      <c r="DQ670" s="4" t="s">
        <v>241</v>
      </c>
      <c r="DR670" s="4" t="s">
        <v>241</v>
      </c>
      <c r="DS670" s="4" t="s">
        <v>241</v>
      </c>
      <c r="DV670" s="4" t="s">
        <v>4520</v>
      </c>
      <c r="DW670" s="4" t="s">
        <v>429</v>
      </c>
      <c r="HO670" s="4" t="s">
        <v>267</v>
      </c>
    </row>
    <row r="671" spans="1:223" ht="19.5" customHeight="1" x14ac:dyDescent="0.4">
      <c r="A671" s="4">
        <v>1</v>
      </c>
      <c r="B671" s="4" t="s">
        <v>239</v>
      </c>
      <c r="C671" s="4">
        <v>1533</v>
      </c>
      <c r="D671" s="4">
        <v>1</v>
      </c>
      <c r="E671" s="4">
        <v>1</v>
      </c>
      <c r="F671" s="4" t="s">
        <v>240</v>
      </c>
      <c r="G671" s="4" t="s">
        <v>241</v>
      </c>
      <c r="H671" s="4" t="s">
        <v>241</v>
      </c>
      <c r="I671" s="4" t="s">
        <v>4518</v>
      </c>
      <c r="J671" s="4" t="s">
        <v>3158</v>
      </c>
      <c r="K671" s="4" t="s">
        <v>251</v>
      </c>
      <c r="L671" s="4" t="s">
        <v>3180</v>
      </c>
      <c r="M671" s="5" t="s">
        <v>4698</v>
      </c>
      <c r="N671" s="6">
        <f>596</f>
        <v>596</v>
      </c>
      <c r="O671" s="4" t="s">
        <v>265</v>
      </c>
      <c r="P671" s="6">
        <f>6556</f>
        <v>6556</v>
      </c>
      <c r="Q671" s="6">
        <f>0</f>
        <v>0</v>
      </c>
      <c r="S671" s="6">
        <f>0</f>
        <v>0</v>
      </c>
      <c r="T671" s="6">
        <f>6556</f>
        <v>6556</v>
      </c>
      <c r="U671" s="5" t="s">
        <v>245</v>
      </c>
      <c r="V671" s="4" t="s">
        <v>270</v>
      </c>
      <c r="W671" s="4" t="s">
        <v>242</v>
      </c>
      <c r="X671" s="4" t="s">
        <v>243</v>
      </c>
      <c r="Y671" s="4" t="s">
        <v>241</v>
      </c>
      <c r="AB671" s="4" t="s">
        <v>241</v>
      </c>
      <c r="AD671" s="5" t="s">
        <v>241</v>
      </c>
      <c r="AG671" s="5" t="s">
        <v>246</v>
      </c>
      <c r="AH671" s="4" t="s">
        <v>241</v>
      </c>
      <c r="AI671" s="4" t="s">
        <v>247</v>
      </c>
      <c r="AJ671" s="4" t="s">
        <v>248</v>
      </c>
      <c r="AZ671" s="4" t="s">
        <v>249</v>
      </c>
      <c r="BA671" s="4" t="s">
        <v>241</v>
      </c>
      <c r="BB671" s="4" t="s">
        <v>250</v>
      </c>
      <c r="BC671" s="4" t="s">
        <v>241</v>
      </c>
      <c r="BD671" s="4" t="s">
        <v>252</v>
      </c>
      <c r="BE671" s="4" t="s">
        <v>241</v>
      </c>
      <c r="BI671" s="4" t="s">
        <v>253</v>
      </c>
      <c r="BJ671" s="5" t="s">
        <v>246</v>
      </c>
      <c r="BK671" s="4" t="s">
        <v>254</v>
      </c>
      <c r="BL671" s="4" t="s">
        <v>255</v>
      </c>
      <c r="BM671" s="4" t="s">
        <v>241</v>
      </c>
      <c r="BN671" s="6">
        <f>0</f>
        <v>0</v>
      </c>
      <c r="BO671" s="6">
        <f>0</f>
        <v>0</v>
      </c>
      <c r="BP671" s="4" t="s">
        <v>256</v>
      </c>
      <c r="BQ671" s="4" t="s">
        <v>257</v>
      </c>
      <c r="CE671" s="4" t="s">
        <v>241</v>
      </c>
      <c r="CF671" s="4" t="s">
        <v>241</v>
      </c>
      <c r="CJ671" s="4" t="s">
        <v>258</v>
      </c>
      <c r="CK671" s="4" t="s">
        <v>259</v>
      </c>
      <c r="CL671" s="4" t="s">
        <v>241</v>
      </c>
      <c r="CO671" s="5" t="s">
        <v>260</v>
      </c>
      <c r="CP671" s="4" t="s">
        <v>241</v>
      </c>
      <c r="CQ671" s="4" t="s">
        <v>261</v>
      </c>
      <c r="CR671" s="4" t="s">
        <v>241</v>
      </c>
      <c r="CS671" s="4" t="s">
        <v>241</v>
      </c>
      <c r="CT671" s="4">
        <v>0</v>
      </c>
      <c r="CU671" s="4" t="s">
        <v>262</v>
      </c>
      <c r="CV671" s="4" t="s">
        <v>263</v>
      </c>
      <c r="CW671" s="4" t="s">
        <v>263</v>
      </c>
      <c r="CX671" s="4" t="s">
        <v>264</v>
      </c>
      <c r="DA671" s="6">
        <f>6556</f>
        <v>6556</v>
      </c>
      <c r="DC671" s="4" t="s">
        <v>3160</v>
      </c>
      <c r="DD671" s="4" t="s">
        <v>241</v>
      </c>
      <c r="DF671" s="4" t="s">
        <v>287</v>
      </c>
      <c r="DG671" s="6">
        <f>0</f>
        <v>0</v>
      </c>
      <c r="DI671" s="4" t="s">
        <v>3167</v>
      </c>
      <c r="DJ671" s="4" t="s">
        <v>241</v>
      </c>
      <c r="DK671" s="4" t="s">
        <v>241</v>
      </c>
      <c r="DL671" s="4" t="s">
        <v>241</v>
      </c>
      <c r="DP671" s="4" t="s">
        <v>241</v>
      </c>
      <c r="DQ671" s="4" t="s">
        <v>241</v>
      </c>
      <c r="DR671" s="4" t="s">
        <v>241</v>
      </c>
      <c r="DS671" s="4" t="s">
        <v>241</v>
      </c>
      <c r="DV671" s="4" t="s">
        <v>4520</v>
      </c>
      <c r="DW671" s="4" t="s">
        <v>433</v>
      </c>
      <c r="HO671" s="4" t="s">
        <v>267</v>
      </c>
    </row>
    <row r="672" spans="1:223" ht="19.5" customHeight="1" x14ac:dyDescent="0.4">
      <c r="A672" s="4">
        <v>1</v>
      </c>
      <c r="B672" s="4" t="s">
        <v>239</v>
      </c>
      <c r="C672" s="4">
        <v>1534</v>
      </c>
      <c r="D672" s="4">
        <v>1</v>
      </c>
      <c r="E672" s="4">
        <v>1</v>
      </c>
      <c r="F672" s="4" t="s">
        <v>240</v>
      </c>
      <c r="G672" s="4" t="s">
        <v>241</v>
      </c>
      <c r="H672" s="4" t="s">
        <v>241</v>
      </c>
      <c r="I672" s="4" t="s">
        <v>4518</v>
      </c>
      <c r="J672" s="4" t="s">
        <v>3158</v>
      </c>
      <c r="K672" s="4" t="s">
        <v>251</v>
      </c>
      <c r="L672" s="4" t="s">
        <v>3180</v>
      </c>
      <c r="M672" s="5" t="s">
        <v>4699</v>
      </c>
      <c r="N672" s="6">
        <f>493</f>
        <v>493</v>
      </c>
      <c r="O672" s="4" t="s">
        <v>265</v>
      </c>
      <c r="P672" s="6">
        <f>5423</f>
        <v>5423</v>
      </c>
      <c r="Q672" s="6">
        <f>0</f>
        <v>0</v>
      </c>
      <c r="S672" s="6">
        <f>0</f>
        <v>0</v>
      </c>
      <c r="T672" s="6">
        <f>5423</f>
        <v>5423</v>
      </c>
      <c r="U672" s="5" t="s">
        <v>245</v>
      </c>
      <c r="V672" s="4" t="s">
        <v>270</v>
      </c>
      <c r="W672" s="4" t="s">
        <v>242</v>
      </c>
      <c r="X672" s="4" t="s">
        <v>243</v>
      </c>
      <c r="Y672" s="4" t="s">
        <v>241</v>
      </c>
      <c r="AB672" s="4" t="s">
        <v>241</v>
      </c>
      <c r="AD672" s="5" t="s">
        <v>241</v>
      </c>
      <c r="AG672" s="5" t="s">
        <v>246</v>
      </c>
      <c r="AH672" s="4" t="s">
        <v>241</v>
      </c>
      <c r="AI672" s="4" t="s">
        <v>247</v>
      </c>
      <c r="AJ672" s="4" t="s">
        <v>248</v>
      </c>
      <c r="AZ672" s="4" t="s">
        <v>249</v>
      </c>
      <c r="BA672" s="4" t="s">
        <v>241</v>
      </c>
      <c r="BB672" s="4" t="s">
        <v>250</v>
      </c>
      <c r="BC672" s="4" t="s">
        <v>241</v>
      </c>
      <c r="BD672" s="4" t="s">
        <v>252</v>
      </c>
      <c r="BE672" s="4" t="s">
        <v>241</v>
      </c>
      <c r="BI672" s="4" t="s">
        <v>253</v>
      </c>
      <c r="BJ672" s="5" t="s">
        <v>246</v>
      </c>
      <c r="BK672" s="4" t="s">
        <v>254</v>
      </c>
      <c r="BL672" s="4" t="s">
        <v>255</v>
      </c>
      <c r="BM672" s="4" t="s">
        <v>241</v>
      </c>
      <c r="BN672" s="6">
        <f>0</f>
        <v>0</v>
      </c>
      <c r="BO672" s="6">
        <f>0</f>
        <v>0</v>
      </c>
      <c r="BP672" s="4" t="s">
        <v>256</v>
      </c>
      <c r="BQ672" s="4" t="s">
        <v>257</v>
      </c>
      <c r="CE672" s="4" t="s">
        <v>241</v>
      </c>
      <c r="CF672" s="4" t="s">
        <v>241</v>
      </c>
      <c r="CJ672" s="4" t="s">
        <v>258</v>
      </c>
      <c r="CK672" s="4" t="s">
        <v>259</v>
      </c>
      <c r="CL672" s="4" t="s">
        <v>241</v>
      </c>
      <c r="CO672" s="5" t="s">
        <v>260</v>
      </c>
      <c r="CP672" s="4" t="s">
        <v>241</v>
      </c>
      <c r="CQ672" s="4" t="s">
        <v>261</v>
      </c>
      <c r="CR672" s="4" t="s">
        <v>241</v>
      </c>
      <c r="CS672" s="4" t="s">
        <v>241</v>
      </c>
      <c r="CT672" s="4">
        <v>0</v>
      </c>
      <c r="CU672" s="4" t="s">
        <v>262</v>
      </c>
      <c r="CV672" s="4" t="s">
        <v>263</v>
      </c>
      <c r="CW672" s="4" t="s">
        <v>263</v>
      </c>
      <c r="CX672" s="4" t="s">
        <v>264</v>
      </c>
      <c r="DA672" s="6">
        <f>5423</f>
        <v>5423</v>
      </c>
      <c r="DC672" s="4" t="s">
        <v>3160</v>
      </c>
      <c r="DD672" s="4" t="s">
        <v>241</v>
      </c>
      <c r="DF672" s="4" t="s">
        <v>287</v>
      </c>
      <c r="DG672" s="6">
        <f>0</f>
        <v>0</v>
      </c>
      <c r="DI672" s="4" t="s">
        <v>3167</v>
      </c>
      <c r="DJ672" s="4" t="s">
        <v>241</v>
      </c>
      <c r="DK672" s="4" t="s">
        <v>241</v>
      </c>
      <c r="DL672" s="4" t="s">
        <v>241</v>
      </c>
      <c r="DP672" s="4" t="s">
        <v>241</v>
      </c>
      <c r="DQ672" s="4" t="s">
        <v>241</v>
      </c>
      <c r="DR672" s="4" t="s">
        <v>241</v>
      </c>
      <c r="DS672" s="4" t="s">
        <v>241</v>
      </c>
      <c r="DV672" s="4" t="s">
        <v>4520</v>
      </c>
      <c r="DW672" s="4" t="s">
        <v>435</v>
      </c>
      <c r="HO672" s="4" t="s">
        <v>267</v>
      </c>
    </row>
    <row r="673" spans="1:223" ht="19.5" customHeight="1" x14ac:dyDescent="0.4">
      <c r="A673" s="4">
        <v>1</v>
      </c>
      <c r="B673" s="4" t="s">
        <v>239</v>
      </c>
      <c r="C673" s="4">
        <v>1535</v>
      </c>
      <c r="D673" s="4">
        <v>1</v>
      </c>
      <c r="E673" s="4">
        <v>1</v>
      </c>
      <c r="F673" s="4" t="s">
        <v>240</v>
      </c>
      <c r="G673" s="4" t="s">
        <v>241</v>
      </c>
      <c r="H673" s="4" t="s">
        <v>241</v>
      </c>
      <c r="I673" s="4" t="s">
        <v>4518</v>
      </c>
      <c r="J673" s="4" t="s">
        <v>3158</v>
      </c>
      <c r="K673" s="4" t="s">
        <v>251</v>
      </c>
      <c r="L673" s="4" t="s">
        <v>3180</v>
      </c>
      <c r="M673" s="5" t="s">
        <v>4700</v>
      </c>
      <c r="N673" s="6">
        <f>718</f>
        <v>718</v>
      </c>
      <c r="O673" s="4" t="s">
        <v>265</v>
      </c>
      <c r="P673" s="6">
        <f>7898</f>
        <v>7898</v>
      </c>
      <c r="Q673" s="6">
        <f>0</f>
        <v>0</v>
      </c>
      <c r="S673" s="6">
        <f>0</f>
        <v>0</v>
      </c>
      <c r="T673" s="6">
        <f>7898</f>
        <v>7898</v>
      </c>
      <c r="U673" s="5" t="s">
        <v>245</v>
      </c>
      <c r="V673" s="4" t="s">
        <v>270</v>
      </c>
      <c r="W673" s="4" t="s">
        <v>242</v>
      </c>
      <c r="X673" s="4" t="s">
        <v>243</v>
      </c>
      <c r="Y673" s="4" t="s">
        <v>241</v>
      </c>
      <c r="AB673" s="4" t="s">
        <v>241</v>
      </c>
      <c r="AD673" s="5" t="s">
        <v>241</v>
      </c>
      <c r="AG673" s="5" t="s">
        <v>246</v>
      </c>
      <c r="AH673" s="4" t="s">
        <v>241</v>
      </c>
      <c r="AI673" s="4" t="s">
        <v>247</v>
      </c>
      <c r="AJ673" s="4" t="s">
        <v>248</v>
      </c>
      <c r="AZ673" s="4" t="s">
        <v>249</v>
      </c>
      <c r="BA673" s="4" t="s">
        <v>241</v>
      </c>
      <c r="BB673" s="4" t="s">
        <v>250</v>
      </c>
      <c r="BC673" s="4" t="s">
        <v>241</v>
      </c>
      <c r="BD673" s="4" t="s">
        <v>252</v>
      </c>
      <c r="BE673" s="4" t="s">
        <v>241</v>
      </c>
      <c r="BI673" s="4" t="s">
        <v>253</v>
      </c>
      <c r="BJ673" s="5" t="s">
        <v>246</v>
      </c>
      <c r="BK673" s="4" t="s">
        <v>254</v>
      </c>
      <c r="BL673" s="4" t="s">
        <v>255</v>
      </c>
      <c r="BM673" s="4" t="s">
        <v>241</v>
      </c>
      <c r="BN673" s="6">
        <f>0</f>
        <v>0</v>
      </c>
      <c r="BO673" s="6">
        <f>0</f>
        <v>0</v>
      </c>
      <c r="BP673" s="4" t="s">
        <v>256</v>
      </c>
      <c r="BQ673" s="4" t="s">
        <v>257</v>
      </c>
      <c r="CE673" s="4" t="s">
        <v>241</v>
      </c>
      <c r="CF673" s="4" t="s">
        <v>241</v>
      </c>
      <c r="CJ673" s="4" t="s">
        <v>258</v>
      </c>
      <c r="CK673" s="4" t="s">
        <v>259</v>
      </c>
      <c r="CL673" s="4" t="s">
        <v>241</v>
      </c>
      <c r="CO673" s="5" t="s">
        <v>260</v>
      </c>
      <c r="CP673" s="4" t="s">
        <v>241</v>
      </c>
      <c r="CQ673" s="4" t="s">
        <v>261</v>
      </c>
      <c r="CR673" s="4" t="s">
        <v>241</v>
      </c>
      <c r="CS673" s="4" t="s">
        <v>241</v>
      </c>
      <c r="CT673" s="4">
        <v>0</v>
      </c>
      <c r="CU673" s="4" t="s">
        <v>262</v>
      </c>
      <c r="CV673" s="4" t="s">
        <v>263</v>
      </c>
      <c r="CW673" s="4" t="s">
        <v>263</v>
      </c>
      <c r="CX673" s="4" t="s">
        <v>264</v>
      </c>
      <c r="DA673" s="6">
        <f>7898</f>
        <v>7898</v>
      </c>
      <c r="DC673" s="4" t="s">
        <v>3160</v>
      </c>
      <c r="DD673" s="4" t="s">
        <v>241</v>
      </c>
      <c r="DF673" s="4" t="s">
        <v>287</v>
      </c>
      <c r="DG673" s="6">
        <f>0</f>
        <v>0</v>
      </c>
      <c r="DI673" s="4" t="s">
        <v>3167</v>
      </c>
      <c r="DJ673" s="4" t="s">
        <v>241</v>
      </c>
      <c r="DK673" s="4" t="s">
        <v>241</v>
      </c>
      <c r="DL673" s="4" t="s">
        <v>241</v>
      </c>
      <c r="DP673" s="4" t="s">
        <v>241</v>
      </c>
      <c r="DQ673" s="4" t="s">
        <v>241</v>
      </c>
      <c r="DR673" s="4" t="s">
        <v>241</v>
      </c>
      <c r="DS673" s="4" t="s">
        <v>241</v>
      </c>
      <c r="DV673" s="4" t="s">
        <v>4520</v>
      </c>
      <c r="DW673" s="4" t="s">
        <v>441</v>
      </c>
      <c r="HO673" s="4" t="s">
        <v>267</v>
      </c>
    </row>
    <row r="674" spans="1:223" ht="19.5" customHeight="1" x14ac:dyDescent="0.4">
      <c r="A674" s="4">
        <v>1</v>
      </c>
      <c r="B674" s="4" t="s">
        <v>239</v>
      </c>
      <c r="C674" s="4">
        <v>1536</v>
      </c>
      <c r="D674" s="4">
        <v>1</v>
      </c>
      <c r="E674" s="4">
        <v>1</v>
      </c>
      <c r="F674" s="4" t="s">
        <v>240</v>
      </c>
      <c r="G674" s="4" t="s">
        <v>241</v>
      </c>
      <c r="H674" s="4" t="s">
        <v>241</v>
      </c>
      <c r="I674" s="4" t="s">
        <v>4518</v>
      </c>
      <c r="J674" s="4" t="s">
        <v>3158</v>
      </c>
      <c r="K674" s="4" t="s">
        <v>251</v>
      </c>
      <c r="L674" s="4" t="s">
        <v>3180</v>
      </c>
      <c r="M674" s="5" t="s">
        <v>4701</v>
      </c>
      <c r="N674" s="6">
        <f>307</f>
        <v>307</v>
      </c>
      <c r="O674" s="4" t="s">
        <v>265</v>
      </c>
      <c r="P674" s="6">
        <f>3377</f>
        <v>3377</v>
      </c>
      <c r="Q674" s="6">
        <f>0</f>
        <v>0</v>
      </c>
      <c r="S674" s="6">
        <f>0</f>
        <v>0</v>
      </c>
      <c r="T674" s="6">
        <f>3377</f>
        <v>3377</v>
      </c>
      <c r="U674" s="5" t="s">
        <v>245</v>
      </c>
      <c r="V674" s="4" t="s">
        <v>270</v>
      </c>
      <c r="W674" s="4" t="s">
        <v>242</v>
      </c>
      <c r="X674" s="4" t="s">
        <v>243</v>
      </c>
      <c r="Y674" s="4" t="s">
        <v>241</v>
      </c>
      <c r="AB674" s="4" t="s">
        <v>241</v>
      </c>
      <c r="AD674" s="5" t="s">
        <v>241</v>
      </c>
      <c r="AG674" s="5" t="s">
        <v>246</v>
      </c>
      <c r="AH674" s="4" t="s">
        <v>241</v>
      </c>
      <c r="AI674" s="4" t="s">
        <v>247</v>
      </c>
      <c r="AJ674" s="4" t="s">
        <v>248</v>
      </c>
      <c r="AZ674" s="4" t="s">
        <v>249</v>
      </c>
      <c r="BA674" s="4" t="s">
        <v>241</v>
      </c>
      <c r="BB674" s="4" t="s">
        <v>250</v>
      </c>
      <c r="BC674" s="4" t="s">
        <v>241</v>
      </c>
      <c r="BD674" s="4" t="s">
        <v>252</v>
      </c>
      <c r="BE674" s="4" t="s">
        <v>241</v>
      </c>
      <c r="BI674" s="4" t="s">
        <v>253</v>
      </c>
      <c r="BJ674" s="5" t="s">
        <v>246</v>
      </c>
      <c r="BK674" s="4" t="s">
        <v>254</v>
      </c>
      <c r="BL674" s="4" t="s">
        <v>255</v>
      </c>
      <c r="BM674" s="4" t="s">
        <v>241</v>
      </c>
      <c r="BN674" s="6">
        <f>0</f>
        <v>0</v>
      </c>
      <c r="BO674" s="6">
        <f>0</f>
        <v>0</v>
      </c>
      <c r="BP674" s="4" t="s">
        <v>256</v>
      </c>
      <c r="BQ674" s="4" t="s">
        <v>257</v>
      </c>
      <c r="CE674" s="4" t="s">
        <v>241</v>
      </c>
      <c r="CF674" s="4" t="s">
        <v>241</v>
      </c>
      <c r="CJ674" s="4" t="s">
        <v>258</v>
      </c>
      <c r="CK674" s="4" t="s">
        <v>259</v>
      </c>
      <c r="CL674" s="4" t="s">
        <v>241</v>
      </c>
      <c r="CO674" s="5" t="s">
        <v>260</v>
      </c>
      <c r="CP674" s="4" t="s">
        <v>241</v>
      </c>
      <c r="CQ674" s="4" t="s">
        <v>261</v>
      </c>
      <c r="CR674" s="4" t="s">
        <v>241</v>
      </c>
      <c r="CS674" s="4" t="s">
        <v>241</v>
      </c>
      <c r="CT674" s="4">
        <v>0</v>
      </c>
      <c r="CU674" s="4" t="s">
        <v>262</v>
      </c>
      <c r="CV674" s="4" t="s">
        <v>263</v>
      </c>
      <c r="CW674" s="4" t="s">
        <v>263</v>
      </c>
      <c r="CX674" s="4" t="s">
        <v>264</v>
      </c>
      <c r="DA674" s="6">
        <f>3377</f>
        <v>3377</v>
      </c>
      <c r="DC674" s="4" t="s">
        <v>3160</v>
      </c>
      <c r="DD674" s="4" t="s">
        <v>241</v>
      </c>
      <c r="DF674" s="4" t="s">
        <v>287</v>
      </c>
      <c r="DG674" s="6">
        <f>0</f>
        <v>0</v>
      </c>
      <c r="DI674" s="4" t="s">
        <v>3167</v>
      </c>
      <c r="DJ674" s="4" t="s">
        <v>241</v>
      </c>
      <c r="DK674" s="4" t="s">
        <v>241</v>
      </c>
      <c r="DL674" s="4" t="s">
        <v>241</v>
      </c>
      <c r="DP674" s="4" t="s">
        <v>241</v>
      </c>
      <c r="DQ674" s="4" t="s">
        <v>241</v>
      </c>
      <c r="DR674" s="4" t="s">
        <v>241</v>
      </c>
      <c r="DS674" s="4" t="s">
        <v>241</v>
      </c>
      <c r="DV674" s="4" t="s">
        <v>4520</v>
      </c>
      <c r="DW674" s="4" t="s">
        <v>443</v>
      </c>
      <c r="HO674" s="4" t="s">
        <v>267</v>
      </c>
    </row>
    <row r="675" spans="1:223" ht="19.5" customHeight="1" x14ac:dyDescent="0.4">
      <c r="A675" s="4">
        <v>1</v>
      </c>
      <c r="B675" s="4" t="s">
        <v>239</v>
      </c>
      <c r="C675" s="4">
        <v>1537</v>
      </c>
      <c r="D675" s="4">
        <v>1</v>
      </c>
      <c r="E675" s="4">
        <v>1</v>
      </c>
      <c r="F675" s="4" t="s">
        <v>240</v>
      </c>
      <c r="G675" s="4" t="s">
        <v>241</v>
      </c>
      <c r="H675" s="4" t="s">
        <v>241</v>
      </c>
      <c r="I675" s="4" t="s">
        <v>4518</v>
      </c>
      <c r="J675" s="4" t="s">
        <v>3158</v>
      </c>
      <c r="K675" s="4" t="s">
        <v>251</v>
      </c>
      <c r="L675" s="4" t="s">
        <v>3180</v>
      </c>
      <c r="M675" s="5" t="s">
        <v>4702</v>
      </c>
      <c r="N675" s="6">
        <f>2063</f>
        <v>2063</v>
      </c>
      <c r="O675" s="4" t="s">
        <v>265</v>
      </c>
      <c r="P675" s="6">
        <f>22693</f>
        <v>22693</v>
      </c>
      <c r="Q675" s="6">
        <f>0</f>
        <v>0</v>
      </c>
      <c r="S675" s="6">
        <f>0</f>
        <v>0</v>
      </c>
      <c r="T675" s="6">
        <f>22693</f>
        <v>22693</v>
      </c>
      <c r="U675" s="5" t="s">
        <v>245</v>
      </c>
      <c r="V675" s="4" t="s">
        <v>270</v>
      </c>
      <c r="W675" s="4" t="s">
        <v>242</v>
      </c>
      <c r="X675" s="4" t="s">
        <v>243</v>
      </c>
      <c r="Y675" s="4" t="s">
        <v>241</v>
      </c>
      <c r="AB675" s="4" t="s">
        <v>241</v>
      </c>
      <c r="AD675" s="5" t="s">
        <v>241</v>
      </c>
      <c r="AG675" s="5" t="s">
        <v>246</v>
      </c>
      <c r="AH675" s="4" t="s">
        <v>241</v>
      </c>
      <c r="AI675" s="4" t="s">
        <v>247</v>
      </c>
      <c r="AJ675" s="4" t="s">
        <v>248</v>
      </c>
      <c r="AZ675" s="4" t="s">
        <v>249</v>
      </c>
      <c r="BA675" s="4" t="s">
        <v>241</v>
      </c>
      <c r="BB675" s="4" t="s">
        <v>250</v>
      </c>
      <c r="BC675" s="4" t="s">
        <v>241</v>
      </c>
      <c r="BD675" s="4" t="s">
        <v>252</v>
      </c>
      <c r="BE675" s="4" t="s">
        <v>241</v>
      </c>
      <c r="BI675" s="4" t="s">
        <v>253</v>
      </c>
      <c r="BJ675" s="5" t="s">
        <v>246</v>
      </c>
      <c r="BK675" s="4" t="s">
        <v>254</v>
      </c>
      <c r="BL675" s="4" t="s">
        <v>255</v>
      </c>
      <c r="BM675" s="4" t="s">
        <v>241</v>
      </c>
      <c r="BN675" s="6">
        <f>0</f>
        <v>0</v>
      </c>
      <c r="BO675" s="6">
        <f>0</f>
        <v>0</v>
      </c>
      <c r="BP675" s="4" t="s">
        <v>256</v>
      </c>
      <c r="BQ675" s="4" t="s">
        <v>257</v>
      </c>
      <c r="CE675" s="4" t="s">
        <v>241</v>
      </c>
      <c r="CF675" s="4" t="s">
        <v>241</v>
      </c>
      <c r="CJ675" s="4" t="s">
        <v>258</v>
      </c>
      <c r="CK675" s="4" t="s">
        <v>259</v>
      </c>
      <c r="CL675" s="4" t="s">
        <v>241</v>
      </c>
      <c r="CO675" s="5" t="s">
        <v>260</v>
      </c>
      <c r="CP675" s="4" t="s">
        <v>241</v>
      </c>
      <c r="CQ675" s="4" t="s">
        <v>261</v>
      </c>
      <c r="CR675" s="4" t="s">
        <v>241</v>
      </c>
      <c r="CS675" s="4" t="s">
        <v>241</v>
      </c>
      <c r="CT675" s="4">
        <v>0</v>
      </c>
      <c r="CU675" s="4" t="s">
        <v>262</v>
      </c>
      <c r="CV675" s="4" t="s">
        <v>263</v>
      </c>
      <c r="CW675" s="4" t="s">
        <v>263</v>
      </c>
      <c r="CX675" s="4" t="s">
        <v>264</v>
      </c>
      <c r="DA675" s="6">
        <f>22693</f>
        <v>22693</v>
      </c>
      <c r="DC675" s="4" t="s">
        <v>3160</v>
      </c>
      <c r="DD675" s="4" t="s">
        <v>241</v>
      </c>
      <c r="DF675" s="4" t="s">
        <v>287</v>
      </c>
      <c r="DG675" s="6">
        <f>0</f>
        <v>0</v>
      </c>
      <c r="DI675" s="4" t="s">
        <v>3167</v>
      </c>
      <c r="DJ675" s="4" t="s">
        <v>241</v>
      </c>
      <c r="DK675" s="4" t="s">
        <v>241</v>
      </c>
      <c r="DL675" s="4" t="s">
        <v>241</v>
      </c>
      <c r="DP675" s="4" t="s">
        <v>241</v>
      </c>
      <c r="DQ675" s="4" t="s">
        <v>241</v>
      </c>
      <c r="DR675" s="4" t="s">
        <v>241</v>
      </c>
      <c r="DS675" s="4" t="s">
        <v>241</v>
      </c>
      <c r="DV675" s="4" t="s">
        <v>4520</v>
      </c>
      <c r="DW675" s="4" t="s">
        <v>446</v>
      </c>
      <c r="HO675" s="4" t="s">
        <v>267</v>
      </c>
    </row>
    <row r="676" spans="1:223" ht="19.5" customHeight="1" x14ac:dyDescent="0.4">
      <c r="A676" s="4">
        <v>1</v>
      </c>
      <c r="B676" s="4" t="s">
        <v>239</v>
      </c>
      <c r="C676" s="4">
        <v>1538</v>
      </c>
      <c r="D676" s="4">
        <v>1</v>
      </c>
      <c r="E676" s="4">
        <v>1</v>
      </c>
      <c r="F676" s="4" t="s">
        <v>240</v>
      </c>
      <c r="G676" s="4" t="s">
        <v>241</v>
      </c>
      <c r="H676" s="4" t="s">
        <v>241</v>
      </c>
      <c r="I676" s="4" t="s">
        <v>4518</v>
      </c>
      <c r="J676" s="4" t="s">
        <v>3158</v>
      </c>
      <c r="K676" s="4" t="s">
        <v>251</v>
      </c>
      <c r="L676" s="4" t="s">
        <v>3180</v>
      </c>
      <c r="M676" s="5" t="s">
        <v>4531</v>
      </c>
      <c r="N676" s="6">
        <f>197</f>
        <v>197</v>
      </c>
      <c r="O676" s="4" t="s">
        <v>265</v>
      </c>
      <c r="P676" s="6">
        <f>2167</f>
        <v>2167</v>
      </c>
      <c r="Q676" s="6">
        <f>0</f>
        <v>0</v>
      </c>
      <c r="S676" s="6">
        <f>0</f>
        <v>0</v>
      </c>
      <c r="T676" s="6">
        <f>2167</f>
        <v>2167</v>
      </c>
      <c r="U676" s="5" t="s">
        <v>245</v>
      </c>
      <c r="V676" s="4" t="s">
        <v>270</v>
      </c>
      <c r="W676" s="4" t="s">
        <v>242</v>
      </c>
      <c r="X676" s="4" t="s">
        <v>243</v>
      </c>
      <c r="Y676" s="4" t="s">
        <v>241</v>
      </c>
      <c r="AB676" s="4" t="s">
        <v>241</v>
      </c>
      <c r="AD676" s="5" t="s">
        <v>241</v>
      </c>
      <c r="AG676" s="5" t="s">
        <v>246</v>
      </c>
      <c r="AH676" s="4" t="s">
        <v>241</v>
      </c>
      <c r="AI676" s="4" t="s">
        <v>247</v>
      </c>
      <c r="AJ676" s="4" t="s">
        <v>248</v>
      </c>
      <c r="AZ676" s="4" t="s">
        <v>249</v>
      </c>
      <c r="BA676" s="4" t="s">
        <v>241</v>
      </c>
      <c r="BB676" s="4" t="s">
        <v>250</v>
      </c>
      <c r="BC676" s="4" t="s">
        <v>241</v>
      </c>
      <c r="BD676" s="4" t="s">
        <v>252</v>
      </c>
      <c r="BE676" s="4" t="s">
        <v>241</v>
      </c>
      <c r="BI676" s="4" t="s">
        <v>253</v>
      </c>
      <c r="BJ676" s="5" t="s">
        <v>246</v>
      </c>
      <c r="BK676" s="4" t="s">
        <v>254</v>
      </c>
      <c r="BL676" s="4" t="s">
        <v>255</v>
      </c>
      <c r="BM676" s="4" t="s">
        <v>241</v>
      </c>
      <c r="BN676" s="6">
        <f>0</f>
        <v>0</v>
      </c>
      <c r="BO676" s="6">
        <f>0</f>
        <v>0</v>
      </c>
      <c r="BP676" s="4" t="s">
        <v>256</v>
      </c>
      <c r="BQ676" s="4" t="s">
        <v>257</v>
      </c>
      <c r="CE676" s="4" t="s">
        <v>241</v>
      </c>
      <c r="CF676" s="4" t="s">
        <v>241</v>
      </c>
      <c r="CJ676" s="4" t="s">
        <v>258</v>
      </c>
      <c r="CK676" s="4" t="s">
        <v>259</v>
      </c>
      <c r="CL676" s="4" t="s">
        <v>241</v>
      </c>
      <c r="CO676" s="5" t="s">
        <v>260</v>
      </c>
      <c r="CP676" s="4" t="s">
        <v>241</v>
      </c>
      <c r="CQ676" s="4" t="s">
        <v>261</v>
      </c>
      <c r="CR676" s="4" t="s">
        <v>241</v>
      </c>
      <c r="CS676" s="4" t="s">
        <v>241</v>
      </c>
      <c r="CT676" s="4">
        <v>0</v>
      </c>
      <c r="CU676" s="4" t="s">
        <v>262</v>
      </c>
      <c r="CV676" s="4" t="s">
        <v>263</v>
      </c>
      <c r="CW676" s="4" t="s">
        <v>263</v>
      </c>
      <c r="CX676" s="4" t="s">
        <v>264</v>
      </c>
      <c r="DA676" s="6">
        <f>2167</f>
        <v>2167</v>
      </c>
      <c r="DC676" s="4" t="s">
        <v>3160</v>
      </c>
      <c r="DD676" s="4" t="s">
        <v>241</v>
      </c>
      <c r="DF676" s="4" t="s">
        <v>3160</v>
      </c>
      <c r="DG676" s="6">
        <f>197</f>
        <v>197</v>
      </c>
      <c r="DI676" s="4" t="s">
        <v>3167</v>
      </c>
      <c r="DJ676" s="4" t="s">
        <v>241</v>
      </c>
      <c r="DK676" s="4" t="s">
        <v>241</v>
      </c>
      <c r="DL676" s="4" t="s">
        <v>241</v>
      </c>
      <c r="DP676" s="4" t="s">
        <v>241</v>
      </c>
      <c r="DQ676" s="4" t="s">
        <v>241</v>
      </c>
      <c r="DR676" s="4" t="s">
        <v>241</v>
      </c>
      <c r="DS676" s="4" t="s">
        <v>241</v>
      </c>
      <c r="DV676" s="4" t="s">
        <v>4520</v>
      </c>
      <c r="DW676" s="4" t="s">
        <v>448</v>
      </c>
      <c r="HO676" s="4" t="s">
        <v>267</v>
      </c>
    </row>
    <row r="677" spans="1:223" ht="19.5" customHeight="1" x14ac:dyDescent="0.4">
      <c r="A677" s="4">
        <v>1</v>
      </c>
      <c r="B677" s="4" t="s">
        <v>239</v>
      </c>
      <c r="C677" s="4">
        <v>1539</v>
      </c>
      <c r="D677" s="4">
        <v>1</v>
      </c>
      <c r="E677" s="4">
        <v>1</v>
      </c>
      <c r="F677" s="4" t="s">
        <v>240</v>
      </c>
      <c r="G677" s="4" t="s">
        <v>241</v>
      </c>
      <c r="H677" s="4" t="s">
        <v>241</v>
      </c>
      <c r="I677" s="4" t="s">
        <v>4518</v>
      </c>
      <c r="J677" s="4" t="s">
        <v>3158</v>
      </c>
      <c r="K677" s="4" t="s">
        <v>251</v>
      </c>
      <c r="L677" s="4" t="s">
        <v>3180</v>
      </c>
      <c r="M677" s="5" t="s">
        <v>4703</v>
      </c>
      <c r="N677" s="6">
        <f>6188</f>
        <v>6188</v>
      </c>
      <c r="O677" s="4" t="s">
        <v>265</v>
      </c>
      <c r="P677" s="6">
        <f>68068</f>
        <v>68068</v>
      </c>
      <c r="Q677" s="6">
        <f>0</f>
        <v>0</v>
      </c>
      <c r="S677" s="6">
        <f>0</f>
        <v>0</v>
      </c>
      <c r="T677" s="6">
        <f>68068</f>
        <v>68068</v>
      </c>
      <c r="U677" s="5" t="s">
        <v>245</v>
      </c>
      <c r="V677" s="4" t="s">
        <v>270</v>
      </c>
      <c r="W677" s="4" t="s">
        <v>242</v>
      </c>
      <c r="X677" s="4" t="s">
        <v>243</v>
      </c>
      <c r="Y677" s="4" t="s">
        <v>241</v>
      </c>
      <c r="AB677" s="4" t="s">
        <v>241</v>
      </c>
      <c r="AD677" s="5" t="s">
        <v>241</v>
      </c>
      <c r="AG677" s="5" t="s">
        <v>246</v>
      </c>
      <c r="AH677" s="4" t="s">
        <v>241</v>
      </c>
      <c r="AI677" s="4" t="s">
        <v>247</v>
      </c>
      <c r="AJ677" s="4" t="s">
        <v>248</v>
      </c>
      <c r="AZ677" s="4" t="s">
        <v>249</v>
      </c>
      <c r="BA677" s="4" t="s">
        <v>241</v>
      </c>
      <c r="BB677" s="4" t="s">
        <v>250</v>
      </c>
      <c r="BC677" s="4" t="s">
        <v>241</v>
      </c>
      <c r="BD677" s="4" t="s">
        <v>252</v>
      </c>
      <c r="BE677" s="4" t="s">
        <v>241</v>
      </c>
      <c r="BI677" s="4" t="s">
        <v>253</v>
      </c>
      <c r="BJ677" s="5" t="s">
        <v>246</v>
      </c>
      <c r="BK677" s="4" t="s">
        <v>254</v>
      </c>
      <c r="BL677" s="4" t="s">
        <v>255</v>
      </c>
      <c r="BM677" s="4" t="s">
        <v>241</v>
      </c>
      <c r="BN677" s="6">
        <f>0</f>
        <v>0</v>
      </c>
      <c r="BO677" s="6">
        <f>0</f>
        <v>0</v>
      </c>
      <c r="BP677" s="4" t="s">
        <v>256</v>
      </c>
      <c r="BQ677" s="4" t="s">
        <v>257</v>
      </c>
      <c r="CE677" s="4" t="s">
        <v>241</v>
      </c>
      <c r="CF677" s="4" t="s">
        <v>241</v>
      </c>
      <c r="CJ677" s="4" t="s">
        <v>258</v>
      </c>
      <c r="CK677" s="4" t="s">
        <v>259</v>
      </c>
      <c r="CL677" s="4" t="s">
        <v>241</v>
      </c>
      <c r="CO677" s="5" t="s">
        <v>260</v>
      </c>
      <c r="CP677" s="4" t="s">
        <v>241</v>
      </c>
      <c r="CQ677" s="4" t="s">
        <v>261</v>
      </c>
      <c r="CR677" s="4" t="s">
        <v>241</v>
      </c>
      <c r="CS677" s="4" t="s">
        <v>241</v>
      </c>
      <c r="CT677" s="4">
        <v>0</v>
      </c>
      <c r="CU677" s="4" t="s">
        <v>262</v>
      </c>
      <c r="CV677" s="4" t="s">
        <v>263</v>
      </c>
      <c r="CW677" s="4" t="s">
        <v>263</v>
      </c>
      <c r="CX677" s="4" t="s">
        <v>264</v>
      </c>
      <c r="DA677" s="6">
        <f>68068</f>
        <v>68068</v>
      </c>
      <c r="DC677" s="4" t="s">
        <v>3160</v>
      </c>
      <c r="DD677" s="4" t="s">
        <v>241</v>
      </c>
      <c r="DF677" s="4" t="s">
        <v>3160</v>
      </c>
      <c r="DG677" s="6">
        <f>6188</f>
        <v>6188</v>
      </c>
      <c r="DI677" s="4" t="s">
        <v>3167</v>
      </c>
      <c r="DJ677" s="4" t="s">
        <v>241</v>
      </c>
      <c r="DK677" s="4" t="s">
        <v>241</v>
      </c>
      <c r="DL677" s="4" t="s">
        <v>241</v>
      </c>
      <c r="DP677" s="4" t="s">
        <v>241</v>
      </c>
      <c r="DQ677" s="4" t="s">
        <v>241</v>
      </c>
      <c r="DR677" s="4" t="s">
        <v>241</v>
      </c>
      <c r="DS677" s="4" t="s">
        <v>241</v>
      </c>
      <c r="DV677" s="4" t="s">
        <v>4520</v>
      </c>
      <c r="DW677" s="4" t="s">
        <v>456</v>
      </c>
      <c r="HO677" s="4" t="s">
        <v>267</v>
      </c>
    </row>
    <row r="678" spans="1:223" ht="19.5" customHeight="1" x14ac:dyDescent="0.4">
      <c r="A678" s="4">
        <v>1</v>
      </c>
      <c r="B678" s="4" t="s">
        <v>239</v>
      </c>
      <c r="C678" s="4">
        <v>1540</v>
      </c>
      <c r="D678" s="4">
        <v>1</v>
      </c>
      <c r="E678" s="4">
        <v>1</v>
      </c>
      <c r="F678" s="4" t="s">
        <v>240</v>
      </c>
      <c r="G678" s="4" t="s">
        <v>241</v>
      </c>
      <c r="H678" s="4" t="s">
        <v>241</v>
      </c>
      <c r="I678" s="4" t="s">
        <v>4518</v>
      </c>
      <c r="J678" s="4" t="s">
        <v>3158</v>
      </c>
      <c r="K678" s="4" t="s">
        <v>251</v>
      </c>
      <c r="L678" s="4" t="s">
        <v>3180</v>
      </c>
      <c r="M678" s="5" t="s">
        <v>5458</v>
      </c>
      <c r="N678" s="6">
        <f>61447</f>
        <v>61447</v>
      </c>
      <c r="O678" s="4" t="s">
        <v>265</v>
      </c>
      <c r="P678" s="6">
        <f>675917</f>
        <v>675917</v>
      </c>
      <c r="Q678" s="6">
        <f>0</f>
        <v>0</v>
      </c>
      <c r="S678" s="6">
        <f>0</f>
        <v>0</v>
      </c>
      <c r="T678" s="6">
        <f>675917</f>
        <v>675917</v>
      </c>
      <c r="U678" s="5" t="s">
        <v>245</v>
      </c>
      <c r="V678" s="4" t="s">
        <v>270</v>
      </c>
      <c r="W678" s="4" t="s">
        <v>242</v>
      </c>
      <c r="X678" s="4" t="s">
        <v>243</v>
      </c>
      <c r="Y678" s="4" t="s">
        <v>241</v>
      </c>
      <c r="AB678" s="4" t="s">
        <v>241</v>
      </c>
      <c r="AD678" s="5" t="s">
        <v>241</v>
      </c>
      <c r="AG678" s="5" t="s">
        <v>246</v>
      </c>
      <c r="AH678" s="4" t="s">
        <v>241</v>
      </c>
      <c r="AI678" s="4" t="s">
        <v>247</v>
      </c>
      <c r="AJ678" s="4" t="s">
        <v>248</v>
      </c>
      <c r="AZ678" s="4" t="s">
        <v>249</v>
      </c>
      <c r="BA678" s="4" t="s">
        <v>241</v>
      </c>
      <c r="BB678" s="4" t="s">
        <v>250</v>
      </c>
      <c r="BC678" s="4" t="s">
        <v>241</v>
      </c>
      <c r="BD678" s="4" t="s">
        <v>252</v>
      </c>
      <c r="BE678" s="4" t="s">
        <v>241</v>
      </c>
      <c r="BI678" s="4" t="s">
        <v>253</v>
      </c>
      <c r="BJ678" s="5" t="s">
        <v>246</v>
      </c>
      <c r="BK678" s="4" t="s">
        <v>254</v>
      </c>
      <c r="BL678" s="4" t="s">
        <v>255</v>
      </c>
      <c r="BM678" s="4" t="s">
        <v>241</v>
      </c>
      <c r="BN678" s="6">
        <f>0</f>
        <v>0</v>
      </c>
      <c r="BO678" s="6">
        <f>0</f>
        <v>0</v>
      </c>
      <c r="BP678" s="4" t="s">
        <v>256</v>
      </c>
      <c r="BQ678" s="4" t="s">
        <v>257</v>
      </c>
      <c r="CE678" s="4" t="s">
        <v>241</v>
      </c>
      <c r="CF678" s="4" t="s">
        <v>241</v>
      </c>
      <c r="CJ678" s="4" t="s">
        <v>258</v>
      </c>
      <c r="CK678" s="4" t="s">
        <v>259</v>
      </c>
      <c r="CL678" s="4" t="s">
        <v>241</v>
      </c>
      <c r="CO678" s="5" t="s">
        <v>260</v>
      </c>
      <c r="CP678" s="4" t="s">
        <v>241</v>
      </c>
      <c r="CQ678" s="4" t="s">
        <v>261</v>
      </c>
      <c r="CR678" s="4" t="s">
        <v>241</v>
      </c>
      <c r="CS678" s="4" t="s">
        <v>241</v>
      </c>
      <c r="CT678" s="4">
        <v>0</v>
      </c>
      <c r="CU678" s="4" t="s">
        <v>262</v>
      </c>
      <c r="CV678" s="4" t="s">
        <v>263</v>
      </c>
      <c r="CW678" s="4" t="s">
        <v>263</v>
      </c>
      <c r="CX678" s="4" t="s">
        <v>264</v>
      </c>
      <c r="DA678" s="6">
        <f>675917</f>
        <v>675917</v>
      </c>
      <c r="DC678" s="4" t="s">
        <v>3160</v>
      </c>
      <c r="DD678" s="4" t="s">
        <v>241</v>
      </c>
      <c r="DF678" s="4" t="s">
        <v>3160</v>
      </c>
      <c r="DG678" s="6">
        <f>61447</f>
        <v>61447</v>
      </c>
      <c r="DI678" s="4" t="s">
        <v>3167</v>
      </c>
      <c r="DJ678" s="4" t="s">
        <v>241</v>
      </c>
      <c r="DK678" s="4" t="s">
        <v>241</v>
      </c>
      <c r="DL678" s="4" t="s">
        <v>241</v>
      </c>
      <c r="DP678" s="4" t="s">
        <v>241</v>
      </c>
      <c r="DQ678" s="4" t="s">
        <v>241</v>
      </c>
      <c r="DR678" s="4" t="s">
        <v>241</v>
      </c>
      <c r="DS678" s="4" t="s">
        <v>241</v>
      </c>
      <c r="DV678" s="4" t="s">
        <v>4520</v>
      </c>
      <c r="DW678" s="4" t="s">
        <v>458</v>
      </c>
      <c r="HO678" s="4" t="s">
        <v>267</v>
      </c>
    </row>
    <row r="679" spans="1:223" ht="19.5" customHeight="1" x14ac:dyDescent="0.4">
      <c r="A679" s="4">
        <v>1</v>
      </c>
      <c r="B679" s="4" t="s">
        <v>239</v>
      </c>
      <c r="C679" s="4">
        <v>1541</v>
      </c>
      <c r="D679" s="4">
        <v>1</v>
      </c>
      <c r="E679" s="4">
        <v>1</v>
      </c>
      <c r="F679" s="4" t="s">
        <v>240</v>
      </c>
      <c r="G679" s="4" t="s">
        <v>241</v>
      </c>
      <c r="H679" s="4" t="s">
        <v>241</v>
      </c>
      <c r="I679" s="4" t="s">
        <v>4518</v>
      </c>
      <c r="J679" s="4" t="s">
        <v>3158</v>
      </c>
      <c r="K679" s="4" t="s">
        <v>251</v>
      </c>
      <c r="L679" s="4" t="s">
        <v>3180</v>
      </c>
      <c r="M679" s="5" t="s">
        <v>4707</v>
      </c>
      <c r="N679" s="6">
        <f>20</f>
        <v>20</v>
      </c>
      <c r="O679" s="4" t="s">
        <v>265</v>
      </c>
      <c r="P679" s="6">
        <f>220</f>
        <v>220</v>
      </c>
      <c r="Q679" s="6">
        <f>0</f>
        <v>0</v>
      </c>
      <c r="S679" s="6">
        <f>0</f>
        <v>0</v>
      </c>
      <c r="T679" s="6">
        <f>220</f>
        <v>220</v>
      </c>
      <c r="U679" s="5" t="s">
        <v>245</v>
      </c>
      <c r="V679" s="4" t="s">
        <v>270</v>
      </c>
      <c r="W679" s="4" t="s">
        <v>242</v>
      </c>
      <c r="X679" s="4" t="s">
        <v>243</v>
      </c>
      <c r="Y679" s="4" t="s">
        <v>241</v>
      </c>
      <c r="AB679" s="4" t="s">
        <v>241</v>
      </c>
      <c r="AD679" s="5" t="s">
        <v>241</v>
      </c>
      <c r="AG679" s="5" t="s">
        <v>246</v>
      </c>
      <c r="AH679" s="4" t="s">
        <v>241</v>
      </c>
      <c r="AI679" s="4" t="s">
        <v>247</v>
      </c>
      <c r="AJ679" s="4" t="s">
        <v>248</v>
      </c>
      <c r="AZ679" s="4" t="s">
        <v>249</v>
      </c>
      <c r="BA679" s="4" t="s">
        <v>241</v>
      </c>
      <c r="BB679" s="4" t="s">
        <v>250</v>
      </c>
      <c r="BC679" s="4" t="s">
        <v>241</v>
      </c>
      <c r="BD679" s="4" t="s">
        <v>252</v>
      </c>
      <c r="BE679" s="4" t="s">
        <v>241</v>
      </c>
      <c r="BI679" s="4" t="s">
        <v>253</v>
      </c>
      <c r="BJ679" s="5" t="s">
        <v>246</v>
      </c>
      <c r="BK679" s="4" t="s">
        <v>254</v>
      </c>
      <c r="BL679" s="4" t="s">
        <v>255</v>
      </c>
      <c r="BM679" s="4" t="s">
        <v>241</v>
      </c>
      <c r="BN679" s="6">
        <f>0</f>
        <v>0</v>
      </c>
      <c r="BO679" s="6">
        <f>0</f>
        <v>0</v>
      </c>
      <c r="BP679" s="4" t="s">
        <v>256</v>
      </c>
      <c r="BQ679" s="4" t="s">
        <v>257</v>
      </c>
      <c r="CE679" s="4" t="s">
        <v>241</v>
      </c>
      <c r="CF679" s="4" t="s">
        <v>241</v>
      </c>
      <c r="CJ679" s="4" t="s">
        <v>258</v>
      </c>
      <c r="CK679" s="4" t="s">
        <v>259</v>
      </c>
      <c r="CL679" s="4" t="s">
        <v>241</v>
      </c>
      <c r="CO679" s="5" t="s">
        <v>260</v>
      </c>
      <c r="CP679" s="4" t="s">
        <v>241</v>
      </c>
      <c r="CQ679" s="4" t="s">
        <v>261</v>
      </c>
      <c r="CR679" s="4" t="s">
        <v>241</v>
      </c>
      <c r="CS679" s="4" t="s">
        <v>241</v>
      </c>
      <c r="CT679" s="4">
        <v>0</v>
      </c>
      <c r="CU679" s="4" t="s">
        <v>262</v>
      </c>
      <c r="CV679" s="4" t="s">
        <v>263</v>
      </c>
      <c r="CW679" s="4" t="s">
        <v>263</v>
      </c>
      <c r="CX679" s="4" t="s">
        <v>264</v>
      </c>
      <c r="DA679" s="6">
        <f>220</f>
        <v>220</v>
      </c>
      <c r="DC679" s="4" t="s">
        <v>3160</v>
      </c>
      <c r="DD679" s="4" t="s">
        <v>241</v>
      </c>
      <c r="DF679" s="4" t="s">
        <v>3160</v>
      </c>
      <c r="DG679" s="6">
        <f>20</f>
        <v>20</v>
      </c>
      <c r="DI679" s="4" t="s">
        <v>3167</v>
      </c>
      <c r="DJ679" s="4" t="s">
        <v>241</v>
      </c>
      <c r="DK679" s="4" t="s">
        <v>241</v>
      </c>
      <c r="DL679" s="4" t="s">
        <v>241</v>
      </c>
      <c r="DP679" s="4" t="s">
        <v>241</v>
      </c>
      <c r="DQ679" s="4" t="s">
        <v>241</v>
      </c>
      <c r="DR679" s="4" t="s">
        <v>241</v>
      </c>
      <c r="DS679" s="4" t="s">
        <v>241</v>
      </c>
      <c r="DV679" s="4" t="s">
        <v>4520</v>
      </c>
      <c r="DW679" s="4" t="s">
        <v>462</v>
      </c>
      <c r="HO679" s="4" t="s">
        <v>267</v>
      </c>
    </row>
    <row r="680" spans="1:223" ht="19.5" customHeight="1" x14ac:dyDescent="0.4">
      <c r="A680" s="4">
        <v>1</v>
      </c>
      <c r="B680" s="4" t="s">
        <v>239</v>
      </c>
      <c r="C680" s="4">
        <v>1542</v>
      </c>
      <c r="D680" s="4">
        <v>1</v>
      </c>
      <c r="E680" s="4">
        <v>1</v>
      </c>
      <c r="F680" s="4" t="s">
        <v>240</v>
      </c>
      <c r="G680" s="4" t="s">
        <v>241</v>
      </c>
      <c r="H680" s="4" t="s">
        <v>241</v>
      </c>
      <c r="I680" s="4" t="s">
        <v>4518</v>
      </c>
      <c r="J680" s="4" t="s">
        <v>3158</v>
      </c>
      <c r="K680" s="4" t="s">
        <v>251</v>
      </c>
      <c r="L680" s="4" t="s">
        <v>3180</v>
      </c>
      <c r="M680" s="5" t="s">
        <v>4708</v>
      </c>
      <c r="N680" s="6">
        <f>79</f>
        <v>79</v>
      </c>
      <c r="O680" s="4" t="s">
        <v>265</v>
      </c>
      <c r="P680" s="6">
        <f>869</f>
        <v>869</v>
      </c>
      <c r="Q680" s="6">
        <f>0</f>
        <v>0</v>
      </c>
      <c r="S680" s="6">
        <f>0</f>
        <v>0</v>
      </c>
      <c r="T680" s="6">
        <f>869</f>
        <v>869</v>
      </c>
      <c r="U680" s="5" t="s">
        <v>245</v>
      </c>
      <c r="V680" s="4" t="s">
        <v>270</v>
      </c>
      <c r="W680" s="4" t="s">
        <v>242</v>
      </c>
      <c r="X680" s="4" t="s">
        <v>243</v>
      </c>
      <c r="Y680" s="4" t="s">
        <v>241</v>
      </c>
      <c r="AB680" s="4" t="s">
        <v>241</v>
      </c>
      <c r="AD680" s="5" t="s">
        <v>241</v>
      </c>
      <c r="AG680" s="5" t="s">
        <v>246</v>
      </c>
      <c r="AH680" s="4" t="s">
        <v>241</v>
      </c>
      <c r="AI680" s="4" t="s">
        <v>247</v>
      </c>
      <c r="AJ680" s="4" t="s">
        <v>248</v>
      </c>
      <c r="AZ680" s="4" t="s">
        <v>249</v>
      </c>
      <c r="BA680" s="4" t="s">
        <v>241</v>
      </c>
      <c r="BB680" s="4" t="s">
        <v>250</v>
      </c>
      <c r="BC680" s="4" t="s">
        <v>241</v>
      </c>
      <c r="BD680" s="4" t="s">
        <v>252</v>
      </c>
      <c r="BE680" s="4" t="s">
        <v>241</v>
      </c>
      <c r="BI680" s="4" t="s">
        <v>253</v>
      </c>
      <c r="BJ680" s="5" t="s">
        <v>246</v>
      </c>
      <c r="BK680" s="4" t="s">
        <v>254</v>
      </c>
      <c r="BL680" s="4" t="s">
        <v>255</v>
      </c>
      <c r="BM680" s="4" t="s">
        <v>241</v>
      </c>
      <c r="BN680" s="6">
        <f>0</f>
        <v>0</v>
      </c>
      <c r="BO680" s="6">
        <f>0</f>
        <v>0</v>
      </c>
      <c r="BP680" s="4" t="s">
        <v>256</v>
      </c>
      <c r="BQ680" s="4" t="s">
        <v>257</v>
      </c>
      <c r="CE680" s="4" t="s">
        <v>241</v>
      </c>
      <c r="CF680" s="4" t="s">
        <v>241</v>
      </c>
      <c r="CJ680" s="4" t="s">
        <v>258</v>
      </c>
      <c r="CK680" s="4" t="s">
        <v>259</v>
      </c>
      <c r="CL680" s="4" t="s">
        <v>241</v>
      </c>
      <c r="CO680" s="5" t="s">
        <v>260</v>
      </c>
      <c r="CP680" s="4" t="s">
        <v>241</v>
      </c>
      <c r="CQ680" s="4" t="s">
        <v>261</v>
      </c>
      <c r="CR680" s="4" t="s">
        <v>241</v>
      </c>
      <c r="CS680" s="4" t="s">
        <v>241</v>
      </c>
      <c r="CT680" s="4">
        <v>0</v>
      </c>
      <c r="CU680" s="4" t="s">
        <v>262</v>
      </c>
      <c r="CV680" s="4" t="s">
        <v>263</v>
      </c>
      <c r="CW680" s="4" t="s">
        <v>263</v>
      </c>
      <c r="CX680" s="4" t="s">
        <v>264</v>
      </c>
      <c r="DA680" s="6">
        <f>869</f>
        <v>869</v>
      </c>
      <c r="DC680" s="4" t="s">
        <v>3160</v>
      </c>
      <c r="DD680" s="4" t="s">
        <v>241</v>
      </c>
      <c r="DF680" s="4" t="s">
        <v>3160</v>
      </c>
      <c r="DG680" s="6">
        <f>79</f>
        <v>79</v>
      </c>
      <c r="DI680" s="4" t="s">
        <v>3167</v>
      </c>
      <c r="DJ680" s="4" t="s">
        <v>241</v>
      </c>
      <c r="DK680" s="4" t="s">
        <v>241</v>
      </c>
      <c r="DL680" s="4" t="s">
        <v>241</v>
      </c>
      <c r="DP680" s="4" t="s">
        <v>241</v>
      </c>
      <c r="DQ680" s="4" t="s">
        <v>241</v>
      </c>
      <c r="DR680" s="4" t="s">
        <v>241</v>
      </c>
      <c r="DS680" s="4" t="s">
        <v>241</v>
      </c>
      <c r="DV680" s="4" t="s">
        <v>4520</v>
      </c>
      <c r="DW680" s="4" t="s">
        <v>464</v>
      </c>
      <c r="HO680" s="4" t="s">
        <v>267</v>
      </c>
    </row>
    <row r="681" spans="1:223" ht="19.5" customHeight="1" x14ac:dyDescent="0.4">
      <c r="A681" s="4">
        <v>1</v>
      </c>
      <c r="B681" s="4" t="s">
        <v>239</v>
      </c>
      <c r="C681" s="4">
        <v>1543</v>
      </c>
      <c r="D681" s="4">
        <v>1</v>
      </c>
      <c r="E681" s="4">
        <v>1</v>
      </c>
      <c r="F681" s="4" t="s">
        <v>240</v>
      </c>
      <c r="G681" s="4" t="s">
        <v>241</v>
      </c>
      <c r="H681" s="4" t="s">
        <v>241</v>
      </c>
      <c r="I681" s="4" t="s">
        <v>4518</v>
      </c>
      <c r="J681" s="4" t="s">
        <v>3158</v>
      </c>
      <c r="K681" s="4" t="s">
        <v>251</v>
      </c>
      <c r="L681" s="4" t="s">
        <v>3180</v>
      </c>
      <c r="M681" s="5" t="s">
        <v>4710</v>
      </c>
      <c r="N681" s="6">
        <f>24</f>
        <v>24</v>
      </c>
      <c r="O681" s="4" t="s">
        <v>265</v>
      </c>
      <c r="P681" s="6">
        <f>264</f>
        <v>264</v>
      </c>
      <c r="Q681" s="6">
        <f>0</f>
        <v>0</v>
      </c>
      <c r="S681" s="6">
        <f>0</f>
        <v>0</v>
      </c>
      <c r="T681" s="6">
        <f>264</f>
        <v>264</v>
      </c>
      <c r="U681" s="5" t="s">
        <v>245</v>
      </c>
      <c r="V681" s="4" t="s">
        <v>270</v>
      </c>
      <c r="W681" s="4" t="s">
        <v>242</v>
      </c>
      <c r="X681" s="4" t="s">
        <v>243</v>
      </c>
      <c r="Y681" s="4" t="s">
        <v>241</v>
      </c>
      <c r="AB681" s="4" t="s">
        <v>241</v>
      </c>
      <c r="AD681" s="5" t="s">
        <v>241</v>
      </c>
      <c r="AG681" s="5" t="s">
        <v>246</v>
      </c>
      <c r="AH681" s="4" t="s">
        <v>241</v>
      </c>
      <c r="AI681" s="4" t="s">
        <v>247</v>
      </c>
      <c r="AJ681" s="4" t="s">
        <v>248</v>
      </c>
      <c r="AZ681" s="4" t="s">
        <v>249</v>
      </c>
      <c r="BA681" s="4" t="s">
        <v>241</v>
      </c>
      <c r="BB681" s="4" t="s">
        <v>250</v>
      </c>
      <c r="BC681" s="4" t="s">
        <v>241</v>
      </c>
      <c r="BD681" s="4" t="s">
        <v>252</v>
      </c>
      <c r="BE681" s="4" t="s">
        <v>241</v>
      </c>
      <c r="BI681" s="4" t="s">
        <v>253</v>
      </c>
      <c r="BJ681" s="5" t="s">
        <v>246</v>
      </c>
      <c r="BK681" s="4" t="s">
        <v>254</v>
      </c>
      <c r="BL681" s="4" t="s">
        <v>255</v>
      </c>
      <c r="BM681" s="4" t="s">
        <v>241</v>
      </c>
      <c r="BN681" s="6">
        <f>0</f>
        <v>0</v>
      </c>
      <c r="BO681" s="6">
        <f>0</f>
        <v>0</v>
      </c>
      <c r="BP681" s="4" t="s">
        <v>256</v>
      </c>
      <c r="BQ681" s="4" t="s">
        <v>257</v>
      </c>
      <c r="CE681" s="4" t="s">
        <v>241</v>
      </c>
      <c r="CF681" s="4" t="s">
        <v>241</v>
      </c>
      <c r="CJ681" s="4" t="s">
        <v>258</v>
      </c>
      <c r="CK681" s="4" t="s">
        <v>259</v>
      </c>
      <c r="CL681" s="4" t="s">
        <v>241</v>
      </c>
      <c r="CO681" s="5" t="s">
        <v>260</v>
      </c>
      <c r="CP681" s="4" t="s">
        <v>241</v>
      </c>
      <c r="CQ681" s="4" t="s">
        <v>261</v>
      </c>
      <c r="CR681" s="4" t="s">
        <v>241</v>
      </c>
      <c r="CS681" s="4" t="s">
        <v>241</v>
      </c>
      <c r="CT681" s="4">
        <v>0</v>
      </c>
      <c r="CU681" s="4" t="s">
        <v>262</v>
      </c>
      <c r="CV681" s="4" t="s">
        <v>263</v>
      </c>
      <c r="CW681" s="4" t="s">
        <v>263</v>
      </c>
      <c r="CX681" s="4" t="s">
        <v>264</v>
      </c>
      <c r="DA681" s="6">
        <f>264</f>
        <v>264</v>
      </c>
      <c r="DC681" s="4" t="s">
        <v>3160</v>
      </c>
      <c r="DD681" s="4" t="s">
        <v>241</v>
      </c>
      <c r="DF681" s="4" t="s">
        <v>3160</v>
      </c>
      <c r="DG681" s="6">
        <f>24</f>
        <v>24</v>
      </c>
      <c r="DI681" s="4" t="s">
        <v>3167</v>
      </c>
      <c r="DJ681" s="4" t="s">
        <v>241</v>
      </c>
      <c r="DK681" s="4" t="s">
        <v>241</v>
      </c>
      <c r="DL681" s="4" t="s">
        <v>241</v>
      </c>
      <c r="DP681" s="4" t="s">
        <v>241</v>
      </c>
      <c r="DQ681" s="4" t="s">
        <v>241</v>
      </c>
      <c r="DR681" s="4" t="s">
        <v>241</v>
      </c>
      <c r="DS681" s="4" t="s">
        <v>241</v>
      </c>
      <c r="DV681" s="4" t="s">
        <v>4520</v>
      </c>
      <c r="DW681" s="4" t="s">
        <v>468</v>
      </c>
      <c r="HO681" s="4" t="s">
        <v>267</v>
      </c>
    </row>
    <row r="682" spans="1:223" ht="19.5" customHeight="1" x14ac:dyDescent="0.4">
      <c r="A682" s="4">
        <v>1</v>
      </c>
      <c r="B682" s="4" t="s">
        <v>239</v>
      </c>
      <c r="C682" s="4">
        <v>1544</v>
      </c>
      <c r="D682" s="4">
        <v>1</v>
      </c>
      <c r="E682" s="4">
        <v>1</v>
      </c>
      <c r="F682" s="4" t="s">
        <v>240</v>
      </c>
      <c r="G682" s="4" t="s">
        <v>241</v>
      </c>
      <c r="H682" s="4" t="s">
        <v>241</v>
      </c>
      <c r="I682" s="4" t="s">
        <v>4518</v>
      </c>
      <c r="J682" s="4" t="s">
        <v>3158</v>
      </c>
      <c r="K682" s="4" t="s">
        <v>251</v>
      </c>
      <c r="L682" s="4" t="s">
        <v>3180</v>
      </c>
      <c r="M682" s="5" t="s">
        <v>5459</v>
      </c>
      <c r="N682" s="6">
        <f>69</f>
        <v>69</v>
      </c>
      <c r="O682" s="4" t="s">
        <v>265</v>
      </c>
      <c r="P682" s="6">
        <f>759</f>
        <v>759</v>
      </c>
      <c r="Q682" s="6">
        <f>0</f>
        <v>0</v>
      </c>
      <c r="S682" s="6">
        <f>0</f>
        <v>0</v>
      </c>
      <c r="T682" s="6">
        <f>759</f>
        <v>759</v>
      </c>
      <c r="U682" s="5" t="s">
        <v>245</v>
      </c>
      <c r="V682" s="4" t="s">
        <v>270</v>
      </c>
      <c r="W682" s="4" t="s">
        <v>242</v>
      </c>
      <c r="X682" s="4" t="s">
        <v>243</v>
      </c>
      <c r="Y682" s="4" t="s">
        <v>241</v>
      </c>
      <c r="AB682" s="4" t="s">
        <v>241</v>
      </c>
      <c r="AD682" s="5" t="s">
        <v>241</v>
      </c>
      <c r="AG682" s="5" t="s">
        <v>246</v>
      </c>
      <c r="AH682" s="4" t="s">
        <v>241</v>
      </c>
      <c r="AI682" s="4" t="s">
        <v>247</v>
      </c>
      <c r="AJ682" s="4" t="s">
        <v>248</v>
      </c>
      <c r="AZ682" s="4" t="s">
        <v>249</v>
      </c>
      <c r="BA682" s="4" t="s">
        <v>241</v>
      </c>
      <c r="BB682" s="4" t="s">
        <v>250</v>
      </c>
      <c r="BC682" s="4" t="s">
        <v>241</v>
      </c>
      <c r="BD682" s="4" t="s">
        <v>252</v>
      </c>
      <c r="BE682" s="4" t="s">
        <v>241</v>
      </c>
      <c r="BI682" s="4" t="s">
        <v>253</v>
      </c>
      <c r="BJ682" s="5" t="s">
        <v>246</v>
      </c>
      <c r="BK682" s="4" t="s">
        <v>254</v>
      </c>
      <c r="BL682" s="4" t="s">
        <v>255</v>
      </c>
      <c r="BM682" s="4" t="s">
        <v>241</v>
      </c>
      <c r="BN682" s="6">
        <f>0</f>
        <v>0</v>
      </c>
      <c r="BO682" s="6">
        <f>0</f>
        <v>0</v>
      </c>
      <c r="BP682" s="4" t="s">
        <v>256</v>
      </c>
      <c r="BQ682" s="4" t="s">
        <v>257</v>
      </c>
      <c r="CE682" s="4" t="s">
        <v>241</v>
      </c>
      <c r="CF682" s="4" t="s">
        <v>241</v>
      </c>
      <c r="CJ682" s="4" t="s">
        <v>258</v>
      </c>
      <c r="CK682" s="4" t="s">
        <v>259</v>
      </c>
      <c r="CL682" s="4" t="s">
        <v>241</v>
      </c>
      <c r="CO682" s="5" t="s">
        <v>260</v>
      </c>
      <c r="CP682" s="4" t="s">
        <v>241</v>
      </c>
      <c r="CQ682" s="4" t="s">
        <v>261</v>
      </c>
      <c r="CR682" s="4" t="s">
        <v>241</v>
      </c>
      <c r="CS682" s="4" t="s">
        <v>241</v>
      </c>
      <c r="CT682" s="4">
        <v>0</v>
      </c>
      <c r="CU682" s="4" t="s">
        <v>262</v>
      </c>
      <c r="CV682" s="4" t="s">
        <v>263</v>
      </c>
      <c r="CW682" s="4" t="s">
        <v>263</v>
      </c>
      <c r="CX682" s="4" t="s">
        <v>264</v>
      </c>
      <c r="DA682" s="6">
        <f>759</f>
        <v>759</v>
      </c>
      <c r="DC682" s="4" t="s">
        <v>3160</v>
      </c>
      <c r="DD682" s="4" t="s">
        <v>241</v>
      </c>
      <c r="DF682" s="4" t="s">
        <v>3160</v>
      </c>
      <c r="DG682" s="6">
        <f>69</f>
        <v>69</v>
      </c>
      <c r="DI682" s="4" t="s">
        <v>3167</v>
      </c>
      <c r="DJ682" s="4" t="s">
        <v>241</v>
      </c>
      <c r="DK682" s="4" t="s">
        <v>241</v>
      </c>
      <c r="DL682" s="4" t="s">
        <v>241</v>
      </c>
      <c r="DP682" s="4" t="s">
        <v>241</v>
      </c>
      <c r="DQ682" s="4" t="s">
        <v>241</v>
      </c>
      <c r="DR682" s="4" t="s">
        <v>241</v>
      </c>
      <c r="DS682" s="4" t="s">
        <v>241</v>
      </c>
      <c r="DV682" s="4" t="s">
        <v>4520</v>
      </c>
      <c r="DW682" s="4" t="s">
        <v>470</v>
      </c>
      <c r="HO682" s="4" t="s">
        <v>267</v>
      </c>
    </row>
    <row r="683" spans="1:223" ht="19.5" customHeight="1" x14ac:dyDescent="0.4">
      <c r="A683" s="4">
        <v>1</v>
      </c>
      <c r="B683" s="4" t="s">
        <v>239</v>
      </c>
      <c r="C683" s="4">
        <v>1545</v>
      </c>
      <c r="D683" s="4">
        <v>1</v>
      </c>
      <c r="E683" s="4">
        <v>1</v>
      </c>
      <c r="F683" s="4" t="s">
        <v>240</v>
      </c>
      <c r="G683" s="4" t="s">
        <v>241</v>
      </c>
      <c r="H683" s="4" t="s">
        <v>241</v>
      </c>
      <c r="I683" s="4" t="s">
        <v>4518</v>
      </c>
      <c r="J683" s="4" t="s">
        <v>3158</v>
      </c>
      <c r="K683" s="4" t="s">
        <v>251</v>
      </c>
      <c r="L683" s="4" t="s">
        <v>3180</v>
      </c>
      <c r="M683" s="5" t="s">
        <v>4714</v>
      </c>
      <c r="N683" s="6">
        <f>250</f>
        <v>250</v>
      </c>
      <c r="O683" s="4" t="s">
        <v>265</v>
      </c>
      <c r="P683" s="6">
        <f>2750</f>
        <v>2750</v>
      </c>
      <c r="Q683" s="6">
        <f>0</f>
        <v>0</v>
      </c>
      <c r="S683" s="6">
        <f>0</f>
        <v>0</v>
      </c>
      <c r="T683" s="6">
        <f>2750</f>
        <v>2750</v>
      </c>
      <c r="U683" s="5" t="s">
        <v>245</v>
      </c>
      <c r="V683" s="4" t="s">
        <v>270</v>
      </c>
      <c r="W683" s="4" t="s">
        <v>242</v>
      </c>
      <c r="X683" s="4" t="s">
        <v>243</v>
      </c>
      <c r="Y683" s="4" t="s">
        <v>241</v>
      </c>
      <c r="AB683" s="4" t="s">
        <v>241</v>
      </c>
      <c r="AD683" s="5" t="s">
        <v>241</v>
      </c>
      <c r="AG683" s="5" t="s">
        <v>246</v>
      </c>
      <c r="AH683" s="4" t="s">
        <v>241</v>
      </c>
      <c r="AI683" s="4" t="s">
        <v>247</v>
      </c>
      <c r="AJ683" s="4" t="s">
        <v>248</v>
      </c>
      <c r="AZ683" s="4" t="s">
        <v>249</v>
      </c>
      <c r="BA683" s="4" t="s">
        <v>241</v>
      </c>
      <c r="BB683" s="4" t="s">
        <v>250</v>
      </c>
      <c r="BC683" s="4" t="s">
        <v>241</v>
      </c>
      <c r="BD683" s="4" t="s">
        <v>252</v>
      </c>
      <c r="BE683" s="4" t="s">
        <v>241</v>
      </c>
      <c r="BI683" s="4" t="s">
        <v>253</v>
      </c>
      <c r="BJ683" s="5" t="s">
        <v>246</v>
      </c>
      <c r="BK683" s="4" t="s">
        <v>254</v>
      </c>
      <c r="BL683" s="4" t="s">
        <v>255</v>
      </c>
      <c r="BM683" s="4" t="s">
        <v>241</v>
      </c>
      <c r="BN683" s="6">
        <f>0</f>
        <v>0</v>
      </c>
      <c r="BO683" s="6">
        <f>0</f>
        <v>0</v>
      </c>
      <c r="BP683" s="4" t="s">
        <v>256</v>
      </c>
      <c r="BQ683" s="4" t="s">
        <v>257</v>
      </c>
      <c r="CE683" s="4" t="s">
        <v>241</v>
      </c>
      <c r="CF683" s="4" t="s">
        <v>241</v>
      </c>
      <c r="CJ683" s="4" t="s">
        <v>258</v>
      </c>
      <c r="CK683" s="4" t="s">
        <v>259</v>
      </c>
      <c r="CL683" s="4" t="s">
        <v>241</v>
      </c>
      <c r="CO683" s="5" t="s">
        <v>260</v>
      </c>
      <c r="CP683" s="4" t="s">
        <v>241</v>
      </c>
      <c r="CQ683" s="4" t="s">
        <v>261</v>
      </c>
      <c r="CR683" s="4" t="s">
        <v>241</v>
      </c>
      <c r="CS683" s="4" t="s">
        <v>241</v>
      </c>
      <c r="CT683" s="4">
        <v>0</v>
      </c>
      <c r="CU683" s="4" t="s">
        <v>262</v>
      </c>
      <c r="CV683" s="4" t="s">
        <v>263</v>
      </c>
      <c r="CW683" s="4" t="s">
        <v>263</v>
      </c>
      <c r="CX683" s="4" t="s">
        <v>264</v>
      </c>
      <c r="DA683" s="6">
        <f>2750</f>
        <v>2750</v>
      </c>
      <c r="DC683" s="4" t="s">
        <v>3160</v>
      </c>
      <c r="DD683" s="4" t="s">
        <v>241</v>
      </c>
      <c r="DF683" s="4" t="s">
        <v>3160</v>
      </c>
      <c r="DG683" s="6">
        <f>250</f>
        <v>250</v>
      </c>
      <c r="DI683" s="4" t="s">
        <v>3167</v>
      </c>
      <c r="DJ683" s="4" t="s">
        <v>241</v>
      </c>
      <c r="DK683" s="4" t="s">
        <v>241</v>
      </c>
      <c r="DL683" s="4" t="s">
        <v>241</v>
      </c>
      <c r="DP683" s="4" t="s">
        <v>241</v>
      </c>
      <c r="DQ683" s="4" t="s">
        <v>241</v>
      </c>
      <c r="DR683" s="4" t="s">
        <v>241</v>
      </c>
      <c r="DS683" s="4" t="s">
        <v>241</v>
      </c>
      <c r="DV683" s="4" t="s">
        <v>4520</v>
      </c>
      <c r="DW683" s="4" t="s">
        <v>1457</v>
      </c>
      <c r="HO683" s="4" t="s">
        <v>267</v>
      </c>
    </row>
    <row r="684" spans="1:223" ht="19.5" customHeight="1" x14ac:dyDescent="0.4">
      <c r="A684" s="4">
        <v>1</v>
      </c>
      <c r="B684" s="4" t="s">
        <v>239</v>
      </c>
      <c r="C684" s="4">
        <v>1546</v>
      </c>
      <c r="D684" s="4">
        <v>1</v>
      </c>
      <c r="E684" s="4">
        <v>1</v>
      </c>
      <c r="F684" s="4" t="s">
        <v>240</v>
      </c>
      <c r="G684" s="4" t="s">
        <v>241</v>
      </c>
      <c r="H684" s="4" t="s">
        <v>241</v>
      </c>
      <c r="I684" s="4" t="s">
        <v>4518</v>
      </c>
      <c r="J684" s="4" t="s">
        <v>3158</v>
      </c>
      <c r="K684" s="4" t="s">
        <v>251</v>
      </c>
      <c r="L684" s="4" t="s">
        <v>3180</v>
      </c>
      <c r="M684" s="5" t="s">
        <v>4716</v>
      </c>
      <c r="N684" s="6">
        <f>205</f>
        <v>205</v>
      </c>
      <c r="O684" s="4" t="s">
        <v>265</v>
      </c>
      <c r="P684" s="6">
        <f>100450</f>
        <v>100450</v>
      </c>
      <c r="Q684" s="6">
        <f>0</f>
        <v>0</v>
      </c>
      <c r="S684" s="6">
        <f>0</f>
        <v>0</v>
      </c>
      <c r="T684" s="6">
        <f>100450</f>
        <v>100450</v>
      </c>
      <c r="U684" s="5" t="s">
        <v>245</v>
      </c>
      <c r="V684" s="4" t="s">
        <v>270</v>
      </c>
      <c r="W684" s="4" t="s">
        <v>242</v>
      </c>
      <c r="X684" s="4" t="s">
        <v>243</v>
      </c>
      <c r="Y684" s="4" t="s">
        <v>241</v>
      </c>
      <c r="AB684" s="4" t="s">
        <v>241</v>
      </c>
      <c r="AD684" s="5" t="s">
        <v>241</v>
      </c>
      <c r="AG684" s="5" t="s">
        <v>246</v>
      </c>
      <c r="AH684" s="4" t="s">
        <v>241</v>
      </c>
      <c r="AI684" s="4" t="s">
        <v>247</v>
      </c>
      <c r="AJ684" s="4" t="s">
        <v>248</v>
      </c>
      <c r="AZ684" s="4" t="s">
        <v>249</v>
      </c>
      <c r="BA684" s="4" t="s">
        <v>241</v>
      </c>
      <c r="BB684" s="4" t="s">
        <v>250</v>
      </c>
      <c r="BC684" s="4" t="s">
        <v>241</v>
      </c>
      <c r="BD684" s="4" t="s">
        <v>252</v>
      </c>
      <c r="BE684" s="4" t="s">
        <v>241</v>
      </c>
      <c r="BI684" s="4" t="s">
        <v>253</v>
      </c>
      <c r="BJ684" s="5" t="s">
        <v>246</v>
      </c>
      <c r="BK684" s="4" t="s">
        <v>254</v>
      </c>
      <c r="BL684" s="4" t="s">
        <v>255</v>
      </c>
      <c r="BM684" s="4" t="s">
        <v>241</v>
      </c>
      <c r="BN684" s="6">
        <f>0</f>
        <v>0</v>
      </c>
      <c r="BO684" s="6">
        <f>0</f>
        <v>0</v>
      </c>
      <c r="BP684" s="4" t="s">
        <v>256</v>
      </c>
      <c r="BQ684" s="4" t="s">
        <v>257</v>
      </c>
      <c r="CE684" s="4" t="s">
        <v>241</v>
      </c>
      <c r="CF684" s="4" t="s">
        <v>241</v>
      </c>
      <c r="CJ684" s="4" t="s">
        <v>258</v>
      </c>
      <c r="CK684" s="4" t="s">
        <v>259</v>
      </c>
      <c r="CL684" s="4" t="s">
        <v>241</v>
      </c>
      <c r="CO684" s="5" t="s">
        <v>260</v>
      </c>
      <c r="CP684" s="4" t="s">
        <v>241</v>
      </c>
      <c r="CQ684" s="4" t="s">
        <v>261</v>
      </c>
      <c r="CR684" s="4" t="s">
        <v>241</v>
      </c>
      <c r="CS684" s="4" t="s">
        <v>241</v>
      </c>
      <c r="CT684" s="4">
        <v>0</v>
      </c>
      <c r="CU684" s="4" t="s">
        <v>262</v>
      </c>
      <c r="CV684" s="4" t="s">
        <v>263</v>
      </c>
      <c r="CW684" s="4" t="s">
        <v>263</v>
      </c>
      <c r="CX684" s="4" t="s">
        <v>264</v>
      </c>
      <c r="DA684" s="6">
        <f>100450</f>
        <v>100450</v>
      </c>
      <c r="DC684" s="4" t="s">
        <v>4717</v>
      </c>
      <c r="DD684" s="4" t="s">
        <v>241</v>
      </c>
      <c r="DF684" s="4" t="s">
        <v>4717</v>
      </c>
      <c r="DG684" s="6">
        <f>205</f>
        <v>205</v>
      </c>
      <c r="DI684" s="4" t="s">
        <v>287</v>
      </c>
      <c r="DJ684" s="4" t="s">
        <v>241</v>
      </c>
      <c r="DK684" s="4" t="s">
        <v>241</v>
      </c>
      <c r="DL684" s="4" t="s">
        <v>241</v>
      </c>
      <c r="DP684" s="4" t="s">
        <v>241</v>
      </c>
      <c r="DQ684" s="4" t="s">
        <v>241</v>
      </c>
      <c r="DR684" s="4" t="s">
        <v>241</v>
      </c>
      <c r="DS684" s="4" t="s">
        <v>241</v>
      </c>
      <c r="DV684" s="4" t="s">
        <v>4520</v>
      </c>
      <c r="DW684" s="4" t="s">
        <v>476</v>
      </c>
      <c r="HO684" s="4" t="s">
        <v>267</v>
      </c>
    </row>
    <row r="685" spans="1:223" ht="19.5" customHeight="1" x14ac:dyDescent="0.4">
      <c r="A685" s="4">
        <v>1</v>
      </c>
      <c r="B685" s="4" t="s">
        <v>239</v>
      </c>
      <c r="C685" s="4">
        <v>1547</v>
      </c>
      <c r="D685" s="4">
        <v>1</v>
      </c>
      <c r="E685" s="4">
        <v>1</v>
      </c>
      <c r="F685" s="4" t="s">
        <v>240</v>
      </c>
      <c r="G685" s="4" t="s">
        <v>241</v>
      </c>
      <c r="H685" s="4" t="s">
        <v>241</v>
      </c>
      <c r="I685" s="4" t="s">
        <v>4515</v>
      </c>
      <c r="J685" s="4" t="s">
        <v>3158</v>
      </c>
      <c r="K685" s="4" t="s">
        <v>251</v>
      </c>
      <c r="L685" s="4" t="s">
        <v>4514</v>
      </c>
      <c r="M685" s="5" t="s">
        <v>4516</v>
      </c>
      <c r="N685" s="6">
        <f>1942</f>
        <v>1942</v>
      </c>
      <c r="O685" s="4" t="s">
        <v>265</v>
      </c>
      <c r="P685" s="6">
        <f>21362</f>
        <v>21362</v>
      </c>
      <c r="Q685" s="6">
        <f>0</f>
        <v>0</v>
      </c>
      <c r="S685" s="6">
        <f>0</f>
        <v>0</v>
      </c>
      <c r="T685" s="6">
        <f>21362</f>
        <v>21362</v>
      </c>
      <c r="U685" s="5" t="s">
        <v>245</v>
      </c>
      <c r="V685" s="4" t="s">
        <v>270</v>
      </c>
      <c r="W685" s="4" t="s">
        <v>242</v>
      </c>
      <c r="X685" s="4" t="s">
        <v>243</v>
      </c>
      <c r="Y685" s="4" t="s">
        <v>241</v>
      </c>
      <c r="AB685" s="4" t="s">
        <v>241</v>
      </c>
      <c r="AD685" s="5" t="s">
        <v>241</v>
      </c>
      <c r="AG685" s="5" t="s">
        <v>246</v>
      </c>
      <c r="AH685" s="4" t="s">
        <v>241</v>
      </c>
      <c r="AI685" s="4" t="s">
        <v>247</v>
      </c>
      <c r="AJ685" s="4" t="s">
        <v>248</v>
      </c>
      <c r="AZ685" s="4" t="s">
        <v>249</v>
      </c>
      <c r="BA685" s="4" t="s">
        <v>241</v>
      </c>
      <c r="BB685" s="4" t="s">
        <v>250</v>
      </c>
      <c r="BC685" s="4" t="s">
        <v>241</v>
      </c>
      <c r="BD685" s="4" t="s">
        <v>252</v>
      </c>
      <c r="BE685" s="4" t="s">
        <v>241</v>
      </c>
      <c r="BG685" s="4" t="s">
        <v>412</v>
      </c>
      <c r="BI685" s="4" t="s">
        <v>253</v>
      </c>
      <c r="BJ685" s="5" t="s">
        <v>246</v>
      </c>
      <c r="BK685" s="4" t="s">
        <v>254</v>
      </c>
      <c r="BL685" s="4" t="s">
        <v>255</v>
      </c>
      <c r="BM685" s="4" t="s">
        <v>241</v>
      </c>
      <c r="BN685" s="6">
        <f>0</f>
        <v>0</v>
      </c>
      <c r="BO685" s="6">
        <f>0</f>
        <v>0</v>
      </c>
      <c r="BP685" s="4" t="s">
        <v>256</v>
      </c>
      <c r="BQ685" s="4" t="s">
        <v>257</v>
      </c>
      <c r="CE685" s="4" t="s">
        <v>241</v>
      </c>
      <c r="CF685" s="4" t="s">
        <v>241</v>
      </c>
      <c r="CJ685" s="4" t="s">
        <v>258</v>
      </c>
      <c r="CK685" s="4" t="s">
        <v>259</v>
      </c>
      <c r="CL685" s="4" t="s">
        <v>241</v>
      </c>
      <c r="CO685" s="5" t="s">
        <v>260</v>
      </c>
      <c r="CP685" s="4" t="s">
        <v>241</v>
      </c>
      <c r="CQ685" s="4" t="s">
        <v>261</v>
      </c>
      <c r="CR685" s="4" t="s">
        <v>241</v>
      </c>
      <c r="CS685" s="4" t="s">
        <v>241</v>
      </c>
      <c r="CT685" s="4">
        <v>0</v>
      </c>
      <c r="CU685" s="4" t="s">
        <v>262</v>
      </c>
      <c r="CV685" s="4" t="s">
        <v>263</v>
      </c>
      <c r="CW685" s="4" t="s">
        <v>263</v>
      </c>
      <c r="CX685" s="4" t="s">
        <v>264</v>
      </c>
      <c r="DA685" s="6">
        <f>21362</f>
        <v>21362</v>
      </c>
      <c r="DC685" s="4" t="s">
        <v>3167</v>
      </c>
      <c r="DD685" s="4" t="s">
        <v>241</v>
      </c>
      <c r="DF685" s="4" t="s">
        <v>287</v>
      </c>
      <c r="DG685" s="6">
        <f>0</f>
        <v>0</v>
      </c>
      <c r="DI685" s="4" t="s">
        <v>3167</v>
      </c>
      <c r="DJ685" s="4" t="s">
        <v>241</v>
      </c>
      <c r="DK685" s="4" t="s">
        <v>241</v>
      </c>
      <c r="DL685" s="4" t="s">
        <v>241</v>
      </c>
      <c r="DP685" s="4" t="s">
        <v>241</v>
      </c>
      <c r="DQ685" s="4" t="s">
        <v>241</v>
      </c>
      <c r="DR685" s="4" t="s">
        <v>241</v>
      </c>
      <c r="DS685" s="4" t="s">
        <v>241</v>
      </c>
      <c r="DV685" s="4" t="s">
        <v>4517</v>
      </c>
      <c r="DW685" s="4" t="s">
        <v>267</v>
      </c>
      <c r="HO685" s="4" t="s">
        <v>267</v>
      </c>
    </row>
    <row r="686" spans="1:223" ht="19.5" customHeight="1" x14ac:dyDescent="0.4">
      <c r="A686" s="4">
        <v>1</v>
      </c>
      <c r="B686" s="4" t="s">
        <v>239</v>
      </c>
      <c r="C686" s="4">
        <v>1548</v>
      </c>
      <c r="D686" s="4">
        <v>1</v>
      </c>
      <c r="E686" s="4">
        <v>1</v>
      </c>
      <c r="F686" s="4" t="s">
        <v>240</v>
      </c>
      <c r="G686" s="4" t="s">
        <v>241</v>
      </c>
      <c r="H686" s="4" t="s">
        <v>241</v>
      </c>
      <c r="I686" s="4" t="s">
        <v>4511</v>
      </c>
      <c r="J686" s="4" t="s">
        <v>3158</v>
      </c>
      <c r="K686" s="4" t="s">
        <v>251</v>
      </c>
      <c r="L686" s="4" t="s">
        <v>4510</v>
      </c>
      <c r="M686" s="5" t="s">
        <v>4512</v>
      </c>
      <c r="N686" s="6">
        <f>551</f>
        <v>551</v>
      </c>
      <c r="O686" s="4" t="s">
        <v>265</v>
      </c>
      <c r="P686" s="6">
        <f>6061</f>
        <v>6061</v>
      </c>
      <c r="Q686" s="6">
        <f>0</f>
        <v>0</v>
      </c>
      <c r="S686" s="6">
        <f>0</f>
        <v>0</v>
      </c>
      <c r="T686" s="6">
        <f>6061</f>
        <v>6061</v>
      </c>
      <c r="U686" s="5" t="s">
        <v>245</v>
      </c>
      <c r="V686" s="4" t="s">
        <v>270</v>
      </c>
      <c r="W686" s="4" t="s">
        <v>242</v>
      </c>
      <c r="X686" s="4" t="s">
        <v>243</v>
      </c>
      <c r="Y686" s="4" t="s">
        <v>241</v>
      </c>
      <c r="AB686" s="4" t="s">
        <v>241</v>
      </c>
      <c r="AD686" s="5" t="s">
        <v>241</v>
      </c>
      <c r="AG686" s="5" t="s">
        <v>246</v>
      </c>
      <c r="AH686" s="4" t="s">
        <v>241</v>
      </c>
      <c r="AI686" s="4" t="s">
        <v>247</v>
      </c>
      <c r="AJ686" s="4" t="s">
        <v>248</v>
      </c>
      <c r="AZ686" s="4" t="s">
        <v>249</v>
      </c>
      <c r="BA686" s="4" t="s">
        <v>241</v>
      </c>
      <c r="BB686" s="4" t="s">
        <v>250</v>
      </c>
      <c r="BC686" s="4" t="s">
        <v>241</v>
      </c>
      <c r="BD686" s="4" t="s">
        <v>252</v>
      </c>
      <c r="BE686" s="4" t="s">
        <v>241</v>
      </c>
      <c r="BG686" s="4" t="s">
        <v>412</v>
      </c>
      <c r="BI686" s="4" t="s">
        <v>253</v>
      </c>
      <c r="BJ686" s="5" t="s">
        <v>246</v>
      </c>
      <c r="BK686" s="4" t="s">
        <v>254</v>
      </c>
      <c r="BL686" s="4" t="s">
        <v>255</v>
      </c>
      <c r="BM686" s="4" t="s">
        <v>241</v>
      </c>
      <c r="BN686" s="6">
        <f>0</f>
        <v>0</v>
      </c>
      <c r="BO686" s="6">
        <f>0</f>
        <v>0</v>
      </c>
      <c r="BP686" s="4" t="s">
        <v>256</v>
      </c>
      <c r="BQ686" s="4" t="s">
        <v>257</v>
      </c>
      <c r="CE686" s="4" t="s">
        <v>241</v>
      </c>
      <c r="CF686" s="4" t="s">
        <v>241</v>
      </c>
      <c r="CJ686" s="4" t="s">
        <v>258</v>
      </c>
      <c r="CK686" s="4" t="s">
        <v>259</v>
      </c>
      <c r="CL686" s="4" t="s">
        <v>241</v>
      </c>
      <c r="CO686" s="5" t="s">
        <v>260</v>
      </c>
      <c r="CP686" s="4" t="s">
        <v>241</v>
      </c>
      <c r="CQ686" s="4" t="s">
        <v>261</v>
      </c>
      <c r="CR686" s="4" t="s">
        <v>241</v>
      </c>
      <c r="CS686" s="4" t="s">
        <v>241</v>
      </c>
      <c r="CT686" s="4">
        <v>0</v>
      </c>
      <c r="CU686" s="4" t="s">
        <v>262</v>
      </c>
      <c r="CV686" s="4" t="s">
        <v>263</v>
      </c>
      <c r="CW686" s="4" t="s">
        <v>263</v>
      </c>
      <c r="CX686" s="4" t="s">
        <v>264</v>
      </c>
      <c r="DA686" s="6">
        <f>6061</f>
        <v>6061</v>
      </c>
      <c r="DC686" s="4" t="s">
        <v>287</v>
      </c>
      <c r="DD686" s="4" t="s">
        <v>241</v>
      </c>
      <c r="DF686" s="4" t="s">
        <v>287</v>
      </c>
      <c r="DG686" s="6">
        <f>0</f>
        <v>0</v>
      </c>
      <c r="DI686" s="4" t="s">
        <v>3167</v>
      </c>
      <c r="DJ686" s="4" t="s">
        <v>241</v>
      </c>
      <c r="DK686" s="4" t="s">
        <v>241</v>
      </c>
      <c r="DL686" s="4" t="s">
        <v>241</v>
      </c>
      <c r="DP686" s="4" t="s">
        <v>241</v>
      </c>
      <c r="DQ686" s="4" t="s">
        <v>241</v>
      </c>
      <c r="DR686" s="4" t="s">
        <v>241</v>
      </c>
      <c r="DS686" s="4" t="s">
        <v>241</v>
      </c>
      <c r="DV686" s="4" t="s">
        <v>4513</v>
      </c>
      <c r="DW686" s="4" t="s">
        <v>267</v>
      </c>
      <c r="HO686" s="4" t="s">
        <v>267</v>
      </c>
    </row>
    <row r="687" spans="1:223" ht="19.5" customHeight="1" x14ac:dyDescent="0.4">
      <c r="A687" s="4">
        <v>1</v>
      </c>
      <c r="B687" s="4" t="s">
        <v>239</v>
      </c>
      <c r="C687" s="4">
        <v>1549</v>
      </c>
      <c r="D687" s="4">
        <v>1</v>
      </c>
      <c r="E687" s="4">
        <v>1</v>
      </c>
      <c r="F687" s="4" t="s">
        <v>240</v>
      </c>
      <c r="G687" s="4" t="s">
        <v>241</v>
      </c>
      <c r="H687" s="4" t="s">
        <v>241</v>
      </c>
      <c r="I687" s="4" t="s">
        <v>4507</v>
      </c>
      <c r="J687" s="4" t="s">
        <v>3158</v>
      </c>
      <c r="K687" s="4" t="s">
        <v>251</v>
      </c>
      <c r="L687" s="4" t="s">
        <v>4506</v>
      </c>
      <c r="M687" s="5" t="s">
        <v>4508</v>
      </c>
      <c r="N687" s="6">
        <f>660</f>
        <v>660</v>
      </c>
      <c r="O687" s="4" t="s">
        <v>265</v>
      </c>
      <c r="P687" s="6">
        <f>7260</f>
        <v>7260</v>
      </c>
      <c r="Q687" s="6">
        <f>0</f>
        <v>0</v>
      </c>
      <c r="S687" s="6">
        <f>0</f>
        <v>0</v>
      </c>
      <c r="T687" s="6">
        <f>7260</f>
        <v>7260</v>
      </c>
      <c r="U687" s="5" t="s">
        <v>245</v>
      </c>
      <c r="V687" s="4" t="s">
        <v>270</v>
      </c>
      <c r="W687" s="4" t="s">
        <v>242</v>
      </c>
      <c r="X687" s="4" t="s">
        <v>243</v>
      </c>
      <c r="Y687" s="4" t="s">
        <v>241</v>
      </c>
      <c r="AB687" s="4" t="s">
        <v>241</v>
      </c>
      <c r="AD687" s="5" t="s">
        <v>241</v>
      </c>
      <c r="AG687" s="5" t="s">
        <v>246</v>
      </c>
      <c r="AH687" s="4" t="s">
        <v>241</v>
      </c>
      <c r="AI687" s="4" t="s">
        <v>247</v>
      </c>
      <c r="AJ687" s="4" t="s">
        <v>248</v>
      </c>
      <c r="AZ687" s="4" t="s">
        <v>249</v>
      </c>
      <c r="BA687" s="4" t="s">
        <v>241</v>
      </c>
      <c r="BB687" s="4" t="s">
        <v>250</v>
      </c>
      <c r="BC687" s="4" t="s">
        <v>241</v>
      </c>
      <c r="BD687" s="4" t="s">
        <v>252</v>
      </c>
      <c r="BE687" s="4" t="s">
        <v>241</v>
      </c>
      <c r="BG687" s="4" t="s">
        <v>412</v>
      </c>
      <c r="BI687" s="4" t="s">
        <v>253</v>
      </c>
      <c r="BJ687" s="5" t="s">
        <v>246</v>
      </c>
      <c r="BK687" s="4" t="s">
        <v>254</v>
      </c>
      <c r="BL687" s="4" t="s">
        <v>255</v>
      </c>
      <c r="BM687" s="4" t="s">
        <v>241</v>
      </c>
      <c r="BN687" s="6">
        <f>0</f>
        <v>0</v>
      </c>
      <c r="BO687" s="6">
        <f>0</f>
        <v>0</v>
      </c>
      <c r="BP687" s="4" t="s">
        <v>256</v>
      </c>
      <c r="BQ687" s="4" t="s">
        <v>257</v>
      </c>
      <c r="CE687" s="4" t="s">
        <v>241</v>
      </c>
      <c r="CF687" s="4" t="s">
        <v>241</v>
      </c>
      <c r="CJ687" s="4" t="s">
        <v>258</v>
      </c>
      <c r="CK687" s="4" t="s">
        <v>259</v>
      </c>
      <c r="CL687" s="4" t="s">
        <v>241</v>
      </c>
      <c r="CO687" s="5" t="s">
        <v>260</v>
      </c>
      <c r="CP687" s="4" t="s">
        <v>241</v>
      </c>
      <c r="CQ687" s="4" t="s">
        <v>261</v>
      </c>
      <c r="CR687" s="4" t="s">
        <v>241</v>
      </c>
      <c r="CS687" s="4" t="s">
        <v>241</v>
      </c>
      <c r="CT687" s="4">
        <v>0</v>
      </c>
      <c r="CU687" s="4" t="s">
        <v>262</v>
      </c>
      <c r="CV687" s="4" t="s">
        <v>263</v>
      </c>
      <c r="CW687" s="4" t="s">
        <v>263</v>
      </c>
      <c r="CX687" s="4" t="s">
        <v>264</v>
      </c>
      <c r="DA687" s="6">
        <f>7260</f>
        <v>7260</v>
      </c>
      <c r="DC687" s="4" t="s">
        <v>287</v>
      </c>
      <c r="DD687" s="4" t="s">
        <v>241</v>
      </c>
      <c r="DF687" s="4" t="s">
        <v>287</v>
      </c>
      <c r="DG687" s="6">
        <f>0</f>
        <v>0</v>
      </c>
      <c r="DI687" s="4" t="s">
        <v>3167</v>
      </c>
      <c r="DJ687" s="4" t="s">
        <v>241</v>
      </c>
      <c r="DK687" s="4" t="s">
        <v>241</v>
      </c>
      <c r="DL687" s="4" t="s">
        <v>241</v>
      </c>
      <c r="DP687" s="4" t="s">
        <v>241</v>
      </c>
      <c r="DQ687" s="4" t="s">
        <v>241</v>
      </c>
      <c r="DR687" s="4" t="s">
        <v>241</v>
      </c>
      <c r="DS687" s="4" t="s">
        <v>241</v>
      </c>
      <c r="DV687" s="4" t="s">
        <v>4509</v>
      </c>
      <c r="DW687" s="4" t="s">
        <v>267</v>
      </c>
      <c r="HO687" s="4" t="s">
        <v>267</v>
      </c>
    </row>
    <row r="688" spans="1:223" ht="19.5" customHeight="1" x14ac:dyDescent="0.4">
      <c r="A688" s="4">
        <v>1</v>
      </c>
      <c r="B688" s="4" t="s">
        <v>239</v>
      </c>
      <c r="C688" s="4">
        <v>1550</v>
      </c>
      <c r="D688" s="4">
        <v>1</v>
      </c>
      <c r="E688" s="4">
        <v>1</v>
      </c>
      <c r="F688" s="4" t="s">
        <v>240</v>
      </c>
      <c r="G688" s="4" t="s">
        <v>241</v>
      </c>
      <c r="H688" s="4" t="s">
        <v>241</v>
      </c>
      <c r="I688" s="4" t="s">
        <v>4504</v>
      </c>
      <c r="J688" s="4" t="s">
        <v>3158</v>
      </c>
      <c r="K688" s="4" t="s">
        <v>251</v>
      </c>
      <c r="L688" s="4" t="s">
        <v>4503</v>
      </c>
      <c r="M688" s="5" t="s">
        <v>3170</v>
      </c>
      <c r="N688" s="6">
        <f>66210.58</f>
        <v>66210.58</v>
      </c>
      <c r="O688" s="4" t="s">
        <v>265</v>
      </c>
      <c r="P688" s="6">
        <f>728316</f>
        <v>728316</v>
      </c>
      <c r="Q688" s="6">
        <f>0</f>
        <v>0</v>
      </c>
      <c r="S688" s="6">
        <f>0</f>
        <v>0</v>
      </c>
      <c r="T688" s="6">
        <f>728316</f>
        <v>728316</v>
      </c>
      <c r="U688" s="5" t="s">
        <v>4488</v>
      </c>
      <c r="V688" s="4" t="s">
        <v>270</v>
      </c>
      <c r="W688" s="4" t="s">
        <v>242</v>
      </c>
      <c r="X688" s="4" t="s">
        <v>243</v>
      </c>
      <c r="Y688" s="4" t="s">
        <v>241</v>
      </c>
      <c r="AB688" s="4" t="s">
        <v>241</v>
      </c>
      <c r="AD688" s="5" t="s">
        <v>241</v>
      </c>
      <c r="AG688" s="5" t="s">
        <v>246</v>
      </c>
      <c r="AH688" s="4" t="s">
        <v>241</v>
      </c>
      <c r="AI688" s="4" t="s">
        <v>247</v>
      </c>
      <c r="AJ688" s="4" t="s">
        <v>248</v>
      </c>
      <c r="AZ688" s="4" t="s">
        <v>249</v>
      </c>
      <c r="BA688" s="4" t="s">
        <v>241</v>
      </c>
      <c r="BB688" s="4" t="s">
        <v>250</v>
      </c>
      <c r="BC688" s="4" t="s">
        <v>241</v>
      </c>
      <c r="BD688" s="4" t="s">
        <v>252</v>
      </c>
      <c r="BE688" s="4" t="s">
        <v>241</v>
      </c>
      <c r="BG688" s="4" t="s">
        <v>412</v>
      </c>
      <c r="BI688" s="4" t="s">
        <v>253</v>
      </c>
      <c r="BJ688" s="5" t="s">
        <v>246</v>
      </c>
      <c r="BK688" s="4" t="s">
        <v>254</v>
      </c>
      <c r="BL688" s="4" t="s">
        <v>255</v>
      </c>
      <c r="BM688" s="4" t="s">
        <v>241</v>
      </c>
      <c r="BN688" s="6">
        <f>0</f>
        <v>0</v>
      </c>
      <c r="BO688" s="6">
        <f>0</f>
        <v>0</v>
      </c>
      <c r="BP688" s="4" t="s">
        <v>256</v>
      </c>
      <c r="BQ688" s="4" t="s">
        <v>257</v>
      </c>
      <c r="CE688" s="4" t="s">
        <v>241</v>
      </c>
      <c r="CF688" s="4" t="s">
        <v>241</v>
      </c>
      <c r="CJ688" s="4" t="s">
        <v>258</v>
      </c>
      <c r="CK688" s="4" t="s">
        <v>259</v>
      </c>
      <c r="CL688" s="4" t="s">
        <v>241</v>
      </c>
      <c r="CO688" s="5" t="s">
        <v>260</v>
      </c>
      <c r="CP688" s="4" t="s">
        <v>241</v>
      </c>
      <c r="CQ688" s="4" t="s">
        <v>261</v>
      </c>
      <c r="CR688" s="4" t="s">
        <v>241</v>
      </c>
      <c r="CS688" s="4" t="s">
        <v>241</v>
      </c>
      <c r="CT688" s="4">
        <v>0</v>
      </c>
      <c r="CU688" s="4" t="s">
        <v>262</v>
      </c>
      <c r="CV688" s="4" t="s">
        <v>263</v>
      </c>
      <c r="CW688" s="4" t="s">
        <v>263</v>
      </c>
      <c r="CX688" s="4" t="s">
        <v>264</v>
      </c>
      <c r="DA688" s="6">
        <f>728316</f>
        <v>728316</v>
      </c>
      <c r="DC688" s="4" t="s">
        <v>3160</v>
      </c>
      <c r="DD688" s="4" t="s">
        <v>241</v>
      </c>
      <c r="DF688" s="4" t="s">
        <v>3160</v>
      </c>
      <c r="DG688" s="6">
        <f>66646</f>
        <v>66646</v>
      </c>
      <c r="DI688" s="4" t="s">
        <v>3167</v>
      </c>
      <c r="DJ688" s="4" t="s">
        <v>241</v>
      </c>
      <c r="DK688" s="4" t="s">
        <v>241</v>
      </c>
      <c r="DL688" s="4" t="s">
        <v>241</v>
      </c>
      <c r="DP688" s="4" t="s">
        <v>241</v>
      </c>
      <c r="DQ688" s="4" t="s">
        <v>241</v>
      </c>
      <c r="DR688" s="4" t="s">
        <v>241</v>
      </c>
      <c r="DS688" s="4" t="s">
        <v>241</v>
      </c>
      <c r="DV688" s="4" t="s">
        <v>4505</v>
      </c>
      <c r="DW688" s="4" t="s">
        <v>267</v>
      </c>
      <c r="HO688" s="4" t="s">
        <v>267</v>
      </c>
    </row>
    <row r="689" spans="1:223" ht="19.5" customHeight="1" x14ac:dyDescent="0.4">
      <c r="A689" s="4">
        <v>1</v>
      </c>
      <c r="B689" s="4" t="s">
        <v>239</v>
      </c>
      <c r="C689" s="4">
        <v>1551</v>
      </c>
      <c r="D689" s="4">
        <v>1</v>
      </c>
      <c r="E689" s="4">
        <v>1</v>
      </c>
      <c r="F689" s="4" t="s">
        <v>240</v>
      </c>
      <c r="G689" s="4" t="s">
        <v>241</v>
      </c>
      <c r="H689" s="4" t="s">
        <v>241</v>
      </c>
      <c r="I689" s="4" t="s">
        <v>4500</v>
      </c>
      <c r="J689" s="4" t="s">
        <v>3158</v>
      </c>
      <c r="K689" s="4" t="s">
        <v>251</v>
      </c>
      <c r="L689" s="4" t="s">
        <v>4499</v>
      </c>
      <c r="M689" s="5" t="s">
        <v>4501</v>
      </c>
      <c r="N689" s="6">
        <f>8986</f>
        <v>8986</v>
      </c>
      <c r="O689" s="4" t="s">
        <v>265</v>
      </c>
      <c r="P689" s="6">
        <f>98846</f>
        <v>98846</v>
      </c>
      <c r="Q689" s="6">
        <f>0</f>
        <v>0</v>
      </c>
      <c r="S689" s="6">
        <f>0</f>
        <v>0</v>
      </c>
      <c r="T689" s="6">
        <f>98846</f>
        <v>98846</v>
      </c>
      <c r="U689" s="5" t="s">
        <v>245</v>
      </c>
      <c r="V689" s="4" t="s">
        <v>270</v>
      </c>
      <c r="W689" s="4" t="s">
        <v>242</v>
      </c>
      <c r="X689" s="4" t="s">
        <v>243</v>
      </c>
      <c r="Y689" s="4" t="s">
        <v>241</v>
      </c>
      <c r="AB689" s="4" t="s">
        <v>241</v>
      </c>
      <c r="AD689" s="5" t="s">
        <v>241</v>
      </c>
      <c r="AG689" s="5" t="s">
        <v>246</v>
      </c>
      <c r="AH689" s="4" t="s">
        <v>241</v>
      </c>
      <c r="AI689" s="4" t="s">
        <v>247</v>
      </c>
      <c r="AJ689" s="4" t="s">
        <v>248</v>
      </c>
      <c r="AZ689" s="4" t="s">
        <v>249</v>
      </c>
      <c r="BA689" s="4" t="s">
        <v>241</v>
      </c>
      <c r="BB689" s="4" t="s">
        <v>250</v>
      </c>
      <c r="BC689" s="4" t="s">
        <v>241</v>
      </c>
      <c r="BD689" s="4" t="s">
        <v>252</v>
      </c>
      <c r="BE689" s="4" t="s">
        <v>241</v>
      </c>
      <c r="BG689" s="4" t="s">
        <v>412</v>
      </c>
      <c r="BI689" s="4" t="s">
        <v>253</v>
      </c>
      <c r="BJ689" s="5" t="s">
        <v>246</v>
      </c>
      <c r="BK689" s="4" t="s">
        <v>254</v>
      </c>
      <c r="BL689" s="4" t="s">
        <v>255</v>
      </c>
      <c r="BM689" s="4" t="s">
        <v>241</v>
      </c>
      <c r="BN689" s="6">
        <f>0</f>
        <v>0</v>
      </c>
      <c r="BO689" s="6">
        <f>0</f>
        <v>0</v>
      </c>
      <c r="BP689" s="4" t="s">
        <v>256</v>
      </c>
      <c r="BQ689" s="4" t="s">
        <v>257</v>
      </c>
      <c r="CE689" s="4" t="s">
        <v>241</v>
      </c>
      <c r="CF689" s="4" t="s">
        <v>241</v>
      </c>
      <c r="CJ689" s="4" t="s">
        <v>258</v>
      </c>
      <c r="CK689" s="4" t="s">
        <v>259</v>
      </c>
      <c r="CL689" s="4" t="s">
        <v>241</v>
      </c>
      <c r="CO689" s="5" t="s">
        <v>260</v>
      </c>
      <c r="CP689" s="4" t="s">
        <v>241</v>
      </c>
      <c r="CQ689" s="4" t="s">
        <v>261</v>
      </c>
      <c r="CR689" s="4" t="s">
        <v>241</v>
      </c>
      <c r="CS689" s="4" t="s">
        <v>241</v>
      </c>
      <c r="CT689" s="4">
        <v>0</v>
      </c>
      <c r="CU689" s="4" t="s">
        <v>262</v>
      </c>
      <c r="CV689" s="4" t="s">
        <v>263</v>
      </c>
      <c r="CW689" s="4" t="s">
        <v>263</v>
      </c>
      <c r="CX689" s="4" t="s">
        <v>264</v>
      </c>
      <c r="DA689" s="6">
        <f>98846</f>
        <v>98846</v>
      </c>
      <c r="DC689" s="4" t="s">
        <v>287</v>
      </c>
      <c r="DD689" s="4" t="s">
        <v>241</v>
      </c>
      <c r="DF689" s="4" t="s">
        <v>287</v>
      </c>
      <c r="DG689" s="6">
        <f>0</f>
        <v>0</v>
      </c>
      <c r="DI689" s="4" t="s">
        <v>3167</v>
      </c>
      <c r="DJ689" s="4" t="s">
        <v>241</v>
      </c>
      <c r="DK689" s="4" t="s">
        <v>241</v>
      </c>
      <c r="DL689" s="4" t="s">
        <v>241</v>
      </c>
      <c r="DP689" s="4" t="s">
        <v>241</v>
      </c>
      <c r="DQ689" s="4" t="s">
        <v>241</v>
      </c>
      <c r="DR689" s="4" t="s">
        <v>241</v>
      </c>
      <c r="DS689" s="4" t="s">
        <v>241</v>
      </c>
      <c r="DV689" s="4" t="s">
        <v>4502</v>
      </c>
      <c r="DW689" s="4" t="s">
        <v>267</v>
      </c>
      <c r="HO689" s="4" t="s">
        <v>267</v>
      </c>
    </row>
    <row r="690" spans="1:223" ht="19.5" customHeight="1" x14ac:dyDescent="0.4">
      <c r="A690" s="4">
        <v>1</v>
      </c>
      <c r="B690" s="4" t="s">
        <v>239</v>
      </c>
      <c r="C690" s="4">
        <v>1552</v>
      </c>
      <c r="D690" s="4">
        <v>1</v>
      </c>
      <c r="E690" s="4">
        <v>1</v>
      </c>
      <c r="F690" s="4" t="s">
        <v>240</v>
      </c>
      <c r="G690" s="4" t="s">
        <v>241</v>
      </c>
      <c r="H690" s="4" t="s">
        <v>241</v>
      </c>
      <c r="I690" s="4" t="s">
        <v>4496</v>
      </c>
      <c r="J690" s="4" t="s">
        <v>3158</v>
      </c>
      <c r="K690" s="4" t="s">
        <v>251</v>
      </c>
      <c r="L690" s="4" t="s">
        <v>4495</v>
      </c>
      <c r="M690" s="5" t="s">
        <v>4497</v>
      </c>
      <c r="N690" s="6">
        <f>1189</f>
        <v>1189</v>
      </c>
      <c r="O690" s="4" t="s">
        <v>265</v>
      </c>
      <c r="P690" s="6">
        <f>13079</f>
        <v>13079</v>
      </c>
      <c r="Q690" s="6">
        <f>0</f>
        <v>0</v>
      </c>
      <c r="S690" s="6">
        <f>0</f>
        <v>0</v>
      </c>
      <c r="T690" s="6">
        <f>13079</f>
        <v>13079</v>
      </c>
      <c r="U690" s="5" t="s">
        <v>245</v>
      </c>
      <c r="V690" s="4" t="s">
        <v>270</v>
      </c>
      <c r="W690" s="4" t="s">
        <v>242</v>
      </c>
      <c r="X690" s="4" t="s">
        <v>243</v>
      </c>
      <c r="Y690" s="4" t="s">
        <v>241</v>
      </c>
      <c r="AB690" s="4" t="s">
        <v>241</v>
      </c>
      <c r="AD690" s="5" t="s">
        <v>241</v>
      </c>
      <c r="AG690" s="5" t="s">
        <v>246</v>
      </c>
      <c r="AH690" s="4" t="s">
        <v>241</v>
      </c>
      <c r="AI690" s="4" t="s">
        <v>247</v>
      </c>
      <c r="AJ690" s="4" t="s">
        <v>248</v>
      </c>
      <c r="AZ690" s="4" t="s">
        <v>249</v>
      </c>
      <c r="BA690" s="4" t="s">
        <v>241</v>
      </c>
      <c r="BB690" s="4" t="s">
        <v>250</v>
      </c>
      <c r="BC690" s="4" t="s">
        <v>241</v>
      </c>
      <c r="BD690" s="4" t="s">
        <v>252</v>
      </c>
      <c r="BE690" s="4" t="s">
        <v>241</v>
      </c>
      <c r="BG690" s="4" t="s">
        <v>412</v>
      </c>
      <c r="BI690" s="4" t="s">
        <v>253</v>
      </c>
      <c r="BJ690" s="5" t="s">
        <v>246</v>
      </c>
      <c r="BK690" s="4" t="s">
        <v>254</v>
      </c>
      <c r="BL690" s="4" t="s">
        <v>255</v>
      </c>
      <c r="BM690" s="4" t="s">
        <v>241</v>
      </c>
      <c r="BN690" s="6">
        <f>0</f>
        <v>0</v>
      </c>
      <c r="BO690" s="6">
        <f>0</f>
        <v>0</v>
      </c>
      <c r="BP690" s="4" t="s">
        <v>256</v>
      </c>
      <c r="BQ690" s="4" t="s">
        <v>257</v>
      </c>
      <c r="CE690" s="4" t="s">
        <v>241</v>
      </c>
      <c r="CF690" s="4" t="s">
        <v>241</v>
      </c>
      <c r="CJ690" s="4" t="s">
        <v>258</v>
      </c>
      <c r="CK690" s="4" t="s">
        <v>259</v>
      </c>
      <c r="CL690" s="4" t="s">
        <v>241</v>
      </c>
      <c r="CO690" s="5" t="s">
        <v>260</v>
      </c>
      <c r="CP690" s="4" t="s">
        <v>241</v>
      </c>
      <c r="CQ690" s="4" t="s">
        <v>261</v>
      </c>
      <c r="CR690" s="4" t="s">
        <v>241</v>
      </c>
      <c r="CS690" s="4" t="s">
        <v>241</v>
      </c>
      <c r="CT690" s="4">
        <v>0</v>
      </c>
      <c r="CU690" s="4" t="s">
        <v>262</v>
      </c>
      <c r="CV690" s="4" t="s">
        <v>263</v>
      </c>
      <c r="CW690" s="4" t="s">
        <v>263</v>
      </c>
      <c r="CX690" s="4" t="s">
        <v>264</v>
      </c>
      <c r="DA690" s="6">
        <f>13079</f>
        <v>13079</v>
      </c>
      <c r="DC690" s="4" t="s">
        <v>287</v>
      </c>
      <c r="DD690" s="4" t="s">
        <v>241</v>
      </c>
      <c r="DF690" s="4" t="s">
        <v>287</v>
      </c>
      <c r="DG690" s="6">
        <f>0</f>
        <v>0</v>
      </c>
      <c r="DI690" s="4" t="s">
        <v>3167</v>
      </c>
      <c r="DJ690" s="4" t="s">
        <v>241</v>
      </c>
      <c r="DK690" s="4" t="s">
        <v>241</v>
      </c>
      <c r="DL690" s="4" t="s">
        <v>241</v>
      </c>
      <c r="DP690" s="4" t="s">
        <v>241</v>
      </c>
      <c r="DQ690" s="4" t="s">
        <v>241</v>
      </c>
      <c r="DR690" s="4" t="s">
        <v>241</v>
      </c>
      <c r="DS690" s="4" t="s">
        <v>241</v>
      </c>
      <c r="DV690" s="4" t="s">
        <v>4498</v>
      </c>
      <c r="DW690" s="4" t="s">
        <v>267</v>
      </c>
      <c r="HO690" s="4" t="s">
        <v>267</v>
      </c>
    </row>
    <row r="691" spans="1:223" ht="19.5" customHeight="1" x14ac:dyDescent="0.4">
      <c r="A691" s="4">
        <v>1</v>
      </c>
      <c r="B691" s="4" t="s">
        <v>239</v>
      </c>
      <c r="C691" s="4">
        <v>1553</v>
      </c>
      <c r="D691" s="4">
        <v>1</v>
      </c>
      <c r="E691" s="4">
        <v>1</v>
      </c>
      <c r="F691" s="4" t="s">
        <v>240</v>
      </c>
      <c r="G691" s="4" t="s">
        <v>241</v>
      </c>
      <c r="H691" s="4" t="s">
        <v>241</v>
      </c>
      <c r="I691" s="4" t="s">
        <v>5432</v>
      </c>
      <c r="J691" s="4" t="s">
        <v>3158</v>
      </c>
      <c r="K691" s="4" t="s">
        <v>251</v>
      </c>
      <c r="L691" s="4" t="s">
        <v>5431</v>
      </c>
      <c r="M691" s="5" t="s">
        <v>5433</v>
      </c>
      <c r="N691" s="6">
        <f>921</f>
        <v>921</v>
      </c>
      <c r="O691" s="4" t="s">
        <v>265</v>
      </c>
      <c r="P691" s="6">
        <f>10131</f>
        <v>10131</v>
      </c>
      <c r="Q691" s="6">
        <f>0</f>
        <v>0</v>
      </c>
      <c r="S691" s="6">
        <f>0</f>
        <v>0</v>
      </c>
      <c r="T691" s="6">
        <f>10131</f>
        <v>10131</v>
      </c>
      <c r="U691" s="5" t="s">
        <v>245</v>
      </c>
      <c r="V691" s="4" t="s">
        <v>270</v>
      </c>
      <c r="W691" s="4" t="s">
        <v>242</v>
      </c>
      <c r="X691" s="4" t="s">
        <v>243</v>
      </c>
      <c r="Y691" s="4" t="s">
        <v>241</v>
      </c>
      <c r="AB691" s="4" t="s">
        <v>241</v>
      </c>
      <c r="AD691" s="5" t="s">
        <v>241</v>
      </c>
      <c r="AG691" s="5" t="s">
        <v>246</v>
      </c>
      <c r="AH691" s="4" t="s">
        <v>241</v>
      </c>
      <c r="AI691" s="4" t="s">
        <v>247</v>
      </c>
      <c r="AJ691" s="4" t="s">
        <v>248</v>
      </c>
      <c r="AZ691" s="4" t="s">
        <v>249</v>
      </c>
      <c r="BA691" s="4" t="s">
        <v>241</v>
      </c>
      <c r="BB691" s="4" t="s">
        <v>250</v>
      </c>
      <c r="BC691" s="4" t="s">
        <v>241</v>
      </c>
      <c r="BD691" s="4" t="s">
        <v>252</v>
      </c>
      <c r="BE691" s="4" t="s">
        <v>241</v>
      </c>
      <c r="BG691" s="4" t="s">
        <v>412</v>
      </c>
      <c r="BI691" s="4" t="s">
        <v>253</v>
      </c>
      <c r="BJ691" s="5" t="s">
        <v>246</v>
      </c>
      <c r="BK691" s="4" t="s">
        <v>254</v>
      </c>
      <c r="BL691" s="4" t="s">
        <v>255</v>
      </c>
      <c r="BM691" s="4" t="s">
        <v>241</v>
      </c>
      <c r="BN691" s="6">
        <f>0</f>
        <v>0</v>
      </c>
      <c r="BO691" s="6">
        <f>0</f>
        <v>0</v>
      </c>
      <c r="BP691" s="4" t="s">
        <v>256</v>
      </c>
      <c r="BQ691" s="4" t="s">
        <v>257</v>
      </c>
      <c r="CE691" s="4" t="s">
        <v>241</v>
      </c>
      <c r="CF691" s="4" t="s">
        <v>241</v>
      </c>
      <c r="CJ691" s="4" t="s">
        <v>258</v>
      </c>
      <c r="CK691" s="4" t="s">
        <v>259</v>
      </c>
      <c r="CL691" s="4" t="s">
        <v>241</v>
      </c>
      <c r="CO691" s="5" t="s">
        <v>260</v>
      </c>
      <c r="CP691" s="4" t="s">
        <v>241</v>
      </c>
      <c r="CQ691" s="4" t="s">
        <v>261</v>
      </c>
      <c r="CR691" s="4" t="s">
        <v>241</v>
      </c>
      <c r="CS691" s="4" t="s">
        <v>241</v>
      </c>
      <c r="CT691" s="4">
        <v>0</v>
      </c>
      <c r="CU691" s="4" t="s">
        <v>262</v>
      </c>
      <c r="CV691" s="4" t="s">
        <v>263</v>
      </c>
      <c r="CW691" s="4" t="s">
        <v>263</v>
      </c>
      <c r="CX691" s="4" t="s">
        <v>264</v>
      </c>
      <c r="DA691" s="6">
        <f>10131</f>
        <v>10131</v>
      </c>
      <c r="DC691" s="4" t="s">
        <v>287</v>
      </c>
      <c r="DD691" s="4" t="s">
        <v>241</v>
      </c>
      <c r="DF691" s="4" t="s">
        <v>287</v>
      </c>
      <c r="DG691" s="6">
        <f>0</f>
        <v>0</v>
      </c>
      <c r="DI691" s="4" t="s">
        <v>3167</v>
      </c>
      <c r="DJ691" s="4" t="s">
        <v>241</v>
      </c>
      <c r="DK691" s="4" t="s">
        <v>241</v>
      </c>
      <c r="DL691" s="4" t="s">
        <v>241</v>
      </c>
      <c r="DP691" s="4" t="s">
        <v>241</v>
      </c>
      <c r="DQ691" s="4" t="s">
        <v>241</v>
      </c>
      <c r="DR691" s="4" t="s">
        <v>241</v>
      </c>
      <c r="DS691" s="4" t="s">
        <v>241</v>
      </c>
      <c r="DV691" s="4" t="s">
        <v>5434</v>
      </c>
      <c r="DW691" s="4" t="s">
        <v>267</v>
      </c>
      <c r="HO691" s="4" t="s">
        <v>267</v>
      </c>
    </row>
    <row r="692" spans="1:223" ht="19.5" customHeight="1" x14ac:dyDescent="0.4">
      <c r="A692" s="4">
        <v>1</v>
      </c>
      <c r="B692" s="4" t="s">
        <v>239</v>
      </c>
      <c r="C692" s="4">
        <v>1554</v>
      </c>
      <c r="D692" s="4">
        <v>1</v>
      </c>
      <c r="E692" s="4">
        <v>1</v>
      </c>
      <c r="F692" s="4" t="s">
        <v>240</v>
      </c>
      <c r="G692" s="4" t="s">
        <v>241</v>
      </c>
      <c r="H692" s="4" t="s">
        <v>241</v>
      </c>
      <c r="I692" s="4" t="s">
        <v>4491</v>
      </c>
      <c r="J692" s="4" t="s">
        <v>3158</v>
      </c>
      <c r="K692" s="4" t="s">
        <v>251</v>
      </c>
      <c r="L692" s="4" t="s">
        <v>4490</v>
      </c>
      <c r="M692" s="5" t="s">
        <v>4492</v>
      </c>
      <c r="N692" s="6">
        <f>997</f>
        <v>997</v>
      </c>
      <c r="O692" s="4" t="s">
        <v>265</v>
      </c>
      <c r="P692" s="6">
        <f>10967</f>
        <v>10967</v>
      </c>
      <c r="Q692" s="6">
        <f>0</f>
        <v>0</v>
      </c>
      <c r="S692" s="6">
        <f>0</f>
        <v>0</v>
      </c>
      <c r="T692" s="6">
        <f>10967</f>
        <v>10967</v>
      </c>
      <c r="U692" s="5" t="s">
        <v>245</v>
      </c>
      <c r="V692" s="4" t="s">
        <v>270</v>
      </c>
      <c r="W692" s="4" t="s">
        <v>242</v>
      </c>
      <c r="X692" s="4" t="s">
        <v>243</v>
      </c>
      <c r="Y692" s="4" t="s">
        <v>241</v>
      </c>
      <c r="AB692" s="4" t="s">
        <v>241</v>
      </c>
      <c r="AD692" s="5" t="s">
        <v>241</v>
      </c>
      <c r="AG692" s="5" t="s">
        <v>246</v>
      </c>
      <c r="AH692" s="4" t="s">
        <v>241</v>
      </c>
      <c r="AI692" s="4" t="s">
        <v>247</v>
      </c>
      <c r="AJ692" s="4" t="s">
        <v>248</v>
      </c>
      <c r="AZ692" s="4" t="s">
        <v>249</v>
      </c>
      <c r="BA692" s="4" t="s">
        <v>241</v>
      </c>
      <c r="BB692" s="4" t="s">
        <v>250</v>
      </c>
      <c r="BC692" s="4" t="s">
        <v>241</v>
      </c>
      <c r="BD692" s="4" t="s">
        <v>252</v>
      </c>
      <c r="BE692" s="4" t="s">
        <v>241</v>
      </c>
      <c r="BG692" s="4" t="s">
        <v>412</v>
      </c>
      <c r="BI692" s="4" t="s">
        <v>253</v>
      </c>
      <c r="BJ692" s="5" t="s">
        <v>246</v>
      </c>
      <c r="BK692" s="4" t="s">
        <v>254</v>
      </c>
      <c r="BL692" s="4" t="s">
        <v>255</v>
      </c>
      <c r="BM692" s="4" t="s">
        <v>241</v>
      </c>
      <c r="BN692" s="6">
        <f>0</f>
        <v>0</v>
      </c>
      <c r="BO692" s="6">
        <f>0</f>
        <v>0</v>
      </c>
      <c r="BP692" s="4" t="s">
        <v>256</v>
      </c>
      <c r="BQ692" s="4" t="s">
        <v>257</v>
      </c>
      <c r="CE692" s="4" t="s">
        <v>241</v>
      </c>
      <c r="CF692" s="4" t="s">
        <v>241</v>
      </c>
      <c r="CJ692" s="4" t="s">
        <v>258</v>
      </c>
      <c r="CK692" s="4" t="s">
        <v>259</v>
      </c>
      <c r="CL692" s="4" t="s">
        <v>241</v>
      </c>
      <c r="CO692" s="5" t="s">
        <v>260</v>
      </c>
      <c r="CP692" s="4" t="s">
        <v>241</v>
      </c>
      <c r="CQ692" s="4" t="s">
        <v>261</v>
      </c>
      <c r="CR692" s="4" t="s">
        <v>241</v>
      </c>
      <c r="CS692" s="4" t="s">
        <v>241</v>
      </c>
      <c r="CT692" s="4">
        <v>0</v>
      </c>
      <c r="CU692" s="4" t="s">
        <v>262</v>
      </c>
      <c r="CV692" s="4" t="s">
        <v>263</v>
      </c>
      <c r="CW692" s="4" t="s">
        <v>263</v>
      </c>
      <c r="CX692" s="4" t="s">
        <v>264</v>
      </c>
      <c r="DA692" s="6">
        <f>10967</f>
        <v>10967</v>
      </c>
      <c r="DC692" s="4" t="s">
        <v>287</v>
      </c>
      <c r="DD692" s="4" t="s">
        <v>241</v>
      </c>
      <c r="DF692" s="4" t="s">
        <v>287</v>
      </c>
      <c r="DG692" s="6">
        <f>0</f>
        <v>0</v>
      </c>
      <c r="DI692" s="4" t="s">
        <v>3167</v>
      </c>
      <c r="DJ692" s="4" t="s">
        <v>241</v>
      </c>
      <c r="DK692" s="4" t="s">
        <v>241</v>
      </c>
      <c r="DL692" s="4" t="s">
        <v>241</v>
      </c>
      <c r="DP692" s="4" t="s">
        <v>241</v>
      </c>
      <c r="DQ692" s="4" t="s">
        <v>241</v>
      </c>
      <c r="DR692" s="4" t="s">
        <v>241</v>
      </c>
      <c r="DS692" s="4" t="s">
        <v>241</v>
      </c>
      <c r="DV692" s="4" t="s">
        <v>4493</v>
      </c>
      <c r="DW692" s="4" t="s">
        <v>267</v>
      </c>
      <c r="HO692" s="4" t="s">
        <v>267</v>
      </c>
    </row>
    <row r="693" spans="1:223" ht="19.5" customHeight="1" x14ac:dyDescent="0.4">
      <c r="A693" s="4">
        <v>1</v>
      </c>
      <c r="B693" s="4" t="s">
        <v>239</v>
      </c>
      <c r="C693" s="4">
        <v>1555</v>
      </c>
      <c r="D693" s="4">
        <v>1</v>
      </c>
      <c r="E693" s="4">
        <v>1</v>
      </c>
      <c r="F693" s="4" t="s">
        <v>240</v>
      </c>
      <c r="G693" s="4" t="s">
        <v>241</v>
      </c>
      <c r="H693" s="4" t="s">
        <v>241</v>
      </c>
      <c r="I693" s="4" t="s">
        <v>4486</v>
      </c>
      <c r="J693" s="4" t="s">
        <v>3158</v>
      </c>
      <c r="K693" s="4" t="s">
        <v>251</v>
      </c>
      <c r="L693" s="4" t="s">
        <v>4485</v>
      </c>
      <c r="M693" s="5" t="s">
        <v>4487</v>
      </c>
      <c r="N693" s="6">
        <f>254</f>
        <v>254</v>
      </c>
      <c r="O693" s="4" t="s">
        <v>265</v>
      </c>
      <c r="P693" s="6">
        <f>2794</f>
        <v>2794</v>
      </c>
      <c r="Q693" s="6">
        <f>0</f>
        <v>0</v>
      </c>
      <c r="S693" s="6">
        <f>0</f>
        <v>0</v>
      </c>
      <c r="T693" s="6">
        <f>2794</f>
        <v>2794</v>
      </c>
      <c r="U693" s="5" t="s">
        <v>245</v>
      </c>
      <c r="V693" s="4" t="s">
        <v>270</v>
      </c>
      <c r="W693" s="4" t="s">
        <v>242</v>
      </c>
      <c r="X693" s="4" t="s">
        <v>243</v>
      </c>
      <c r="Y693" s="4" t="s">
        <v>241</v>
      </c>
      <c r="AB693" s="4" t="s">
        <v>241</v>
      </c>
      <c r="AD693" s="5" t="s">
        <v>241</v>
      </c>
      <c r="AG693" s="5" t="s">
        <v>246</v>
      </c>
      <c r="AH693" s="4" t="s">
        <v>241</v>
      </c>
      <c r="AI693" s="4" t="s">
        <v>247</v>
      </c>
      <c r="AJ693" s="4" t="s">
        <v>248</v>
      </c>
      <c r="AZ693" s="4" t="s">
        <v>249</v>
      </c>
      <c r="BA693" s="4" t="s">
        <v>241</v>
      </c>
      <c r="BB693" s="4" t="s">
        <v>250</v>
      </c>
      <c r="BC693" s="4" t="s">
        <v>241</v>
      </c>
      <c r="BD693" s="4" t="s">
        <v>252</v>
      </c>
      <c r="BE693" s="4" t="s">
        <v>241</v>
      </c>
      <c r="BG693" s="4" t="s">
        <v>412</v>
      </c>
      <c r="BI693" s="4" t="s">
        <v>253</v>
      </c>
      <c r="BJ693" s="5" t="s">
        <v>246</v>
      </c>
      <c r="BK693" s="4" t="s">
        <v>254</v>
      </c>
      <c r="BL693" s="4" t="s">
        <v>255</v>
      </c>
      <c r="BM693" s="4" t="s">
        <v>241</v>
      </c>
      <c r="BN693" s="6">
        <f>0</f>
        <v>0</v>
      </c>
      <c r="BO693" s="6">
        <f>0</f>
        <v>0</v>
      </c>
      <c r="BP693" s="4" t="s">
        <v>256</v>
      </c>
      <c r="BQ693" s="4" t="s">
        <v>257</v>
      </c>
      <c r="CE693" s="4" t="s">
        <v>241</v>
      </c>
      <c r="CF693" s="4" t="s">
        <v>241</v>
      </c>
      <c r="CJ693" s="4" t="s">
        <v>258</v>
      </c>
      <c r="CK693" s="4" t="s">
        <v>259</v>
      </c>
      <c r="CL693" s="4" t="s">
        <v>241</v>
      </c>
      <c r="CO693" s="5" t="s">
        <v>260</v>
      </c>
      <c r="CP693" s="4" t="s">
        <v>241</v>
      </c>
      <c r="CQ693" s="4" t="s">
        <v>261</v>
      </c>
      <c r="CR693" s="4" t="s">
        <v>241</v>
      </c>
      <c r="CS693" s="4" t="s">
        <v>241</v>
      </c>
      <c r="CT693" s="4">
        <v>0</v>
      </c>
      <c r="CU693" s="4" t="s">
        <v>262</v>
      </c>
      <c r="CV693" s="4" t="s">
        <v>263</v>
      </c>
      <c r="CW693" s="4" t="s">
        <v>263</v>
      </c>
      <c r="CX693" s="4" t="s">
        <v>264</v>
      </c>
      <c r="DA693" s="6">
        <f>2794</f>
        <v>2794</v>
      </c>
      <c r="DC693" s="4" t="s">
        <v>287</v>
      </c>
      <c r="DD693" s="4" t="s">
        <v>241</v>
      </c>
      <c r="DF693" s="4" t="s">
        <v>287</v>
      </c>
      <c r="DG693" s="6">
        <f>0</f>
        <v>0</v>
      </c>
      <c r="DH693" s="5" t="s">
        <v>4488</v>
      </c>
      <c r="DI693" s="4" t="s">
        <v>3167</v>
      </c>
      <c r="DJ693" s="4" t="s">
        <v>241</v>
      </c>
      <c r="DK693" s="4" t="s">
        <v>241</v>
      </c>
      <c r="DL693" s="4" t="s">
        <v>241</v>
      </c>
      <c r="DP693" s="4" t="s">
        <v>241</v>
      </c>
      <c r="DQ693" s="4" t="s">
        <v>241</v>
      </c>
      <c r="DR693" s="4" t="s">
        <v>241</v>
      </c>
      <c r="DS693" s="4" t="s">
        <v>241</v>
      </c>
      <c r="DV693" s="4" t="s">
        <v>4489</v>
      </c>
      <c r="DW693" s="4" t="s">
        <v>267</v>
      </c>
      <c r="HO693" s="4" t="s">
        <v>267</v>
      </c>
    </row>
    <row r="694" spans="1:223" ht="19.5" customHeight="1" x14ac:dyDescent="0.4">
      <c r="A694" s="4">
        <v>1</v>
      </c>
      <c r="B694" s="4" t="s">
        <v>239</v>
      </c>
      <c r="C694" s="4">
        <v>1556</v>
      </c>
      <c r="D694" s="4">
        <v>1</v>
      </c>
      <c r="E694" s="4">
        <v>1</v>
      </c>
      <c r="F694" s="4" t="s">
        <v>240</v>
      </c>
      <c r="G694" s="4" t="s">
        <v>241</v>
      </c>
      <c r="H694" s="4" t="s">
        <v>241</v>
      </c>
      <c r="I694" s="4" t="s">
        <v>4482</v>
      </c>
      <c r="J694" s="4" t="s">
        <v>3158</v>
      </c>
      <c r="K694" s="4" t="s">
        <v>251</v>
      </c>
      <c r="L694" s="4" t="s">
        <v>4481</v>
      </c>
      <c r="M694" s="5" t="s">
        <v>4483</v>
      </c>
      <c r="N694" s="6">
        <f>834</f>
        <v>834</v>
      </c>
      <c r="O694" s="4" t="s">
        <v>265</v>
      </c>
      <c r="P694" s="6">
        <f>9174</f>
        <v>9174</v>
      </c>
      <c r="Q694" s="6">
        <f>0</f>
        <v>0</v>
      </c>
      <c r="S694" s="6">
        <f>0</f>
        <v>0</v>
      </c>
      <c r="T694" s="6">
        <f>9174</f>
        <v>9174</v>
      </c>
      <c r="U694" s="5" t="s">
        <v>245</v>
      </c>
      <c r="V694" s="4" t="s">
        <v>270</v>
      </c>
      <c r="W694" s="4" t="s">
        <v>242</v>
      </c>
      <c r="X694" s="4" t="s">
        <v>243</v>
      </c>
      <c r="Y694" s="4" t="s">
        <v>241</v>
      </c>
      <c r="AB694" s="4" t="s">
        <v>241</v>
      </c>
      <c r="AD694" s="5" t="s">
        <v>241</v>
      </c>
      <c r="AG694" s="5" t="s">
        <v>246</v>
      </c>
      <c r="AH694" s="4" t="s">
        <v>241</v>
      </c>
      <c r="AI694" s="4" t="s">
        <v>247</v>
      </c>
      <c r="AJ694" s="4" t="s">
        <v>248</v>
      </c>
      <c r="AZ694" s="4" t="s">
        <v>249</v>
      </c>
      <c r="BA694" s="4" t="s">
        <v>241</v>
      </c>
      <c r="BB694" s="4" t="s">
        <v>250</v>
      </c>
      <c r="BC694" s="4" t="s">
        <v>241</v>
      </c>
      <c r="BD694" s="4" t="s">
        <v>252</v>
      </c>
      <c r="BE694" s="4" t="s">
        <v>241</v>
      </c>
      <c r="BG694" s="4" t="s">
        <v>412</v>
      </c>
      <c r="BI694" s="4" t="s">
        <v>253</v>
      </c>
      <c r="BJ694" s="5" t="s">
        <v>246</v>
      </c>
      <c r="BK694" s="4" t="s">
        <v>254</v>
      </c>
      <c r="BL694" s="4" t="s">
        <v>255</v>
      </c>
      <c r="BM694" s="4" t="s">
        <v>241</v>
      </c>
      <c r="BN694" s="6">
        <f>0</f>
        <v>0</v>
      </c>
      <c r="BO694" s="6">
        <f>0</f>
        <v>0</v>
      </c>
      <c r="BP694" s="4" t="s">
        <v>256</v>
      </c>
      <c r="BQ694" s="4" t="s">
        <v>257</v>
      </c>
      <c r="CE694" s="4" t="s">
        <v>241</v>
      </c>
      <c r="CF694" s="4" t="s">
        <v>241</v>
      </c>
      <c r="CJ694" s="4" t="s">
        <v>258</v>
      </c>
      <c r="CK694" s="4" t="s">
        <v>259</v>
      </c>
      <c r="CL694" s="4" t="s">
        <v>241</v>
      </c>
      <c r="CO694" s="5" t="s">
        <v>260</v>
      </c>
      <c r="CP694" s="4" t="s">
        <v>241</v>
      </c>
      <c r="CQ694" s="4" t="s">
        <v>261</v>
      </c>
      <c r="CR694" s="4" t="s">
        <v>241</v>
      </c>
      <c r="CS694" s="4" t="s">
        <v>241</v>
      </c>
      <c r="CT694" s="4">
        <v>0</v>
      </c>
      <c r="CU694" s="4" t="s">
        <v>262</v>
      </c>
      <c r="CV694" s="4" t="s">
        <v>263</v>
      </c>
      <c r="CW694" s="4" t="s">
        <v>263</v>
      </c>
      <c r="CX694" s="4" t="s">
        <v>264</v>
      </c>
      <c r="DA694" s="6">
        <f>9174</f>
        <v>9174</v>
      </c>
      <c r="DC694" s="4" t="s">
        <v>287</v>
      </c>
      <c r="DD694" s="4" t="s">
        <v>241</v>
      </c>
      <c r="DF694" s="4" t="s">
        <v>287</v>
      </c>
      <c r="DG694" s="6">
        <f>0</f>
        <v>0</v>
      </c>
      <c r="DI694" s="4" t="s">
        <v>3167</v>
      </c>
      <c r="DJ694" s="4" t="s">
        <v>241</v>
      </c>
      <c r="DK694" s="4" t="s">
        <v>241</v>
      </c>
      <c r="DL694" s="4" t="s">
        <v>241</v>
      </c>
      <c r="DP694" s="4" t="s">
        <v>241</v>
      </c>
      <c r="DQ694" s="4" t="s">
        <v>241</v>
      </c>
      <c r="DR694" s="4" t="s">
        <v>241</v>
      </c>
      <c r="DS694" s="4" t="s">
        <v>241</v>
      </c>
      <c r="DV694" s="4" t="s">
        <v>4484</v>
      </c>
      <c r="DW694" s="4" t="s">
        <v>267</v>
      </c>
      <c r="HO694" s="4" t="s">
        <v>267</v>
      </c>
    </row>
    <row r="695" spans="1:223" ht="19.5" customHeight="1" x14ac:dyDescent="0.4">
      <c r="A695" s="4">
        <v>1</v>
      </c>
      <c r="B695" s="4" t="s">
        <v>239</v>
      </c>
      <c r="C695" s="4">
        <v>1557</v>
      </c>
      <c r="D695" s="4">
        <v>1</v>
      </c>
      <c r="E695" s="4">
        <v>1</v>
      </c>
      <c r="F695" s="4" t="s">
        <v>240</v>
      </c>
      <c r="G695" s="4" t="s">
        <v>241</v>
      </c>
      <c r="H695" s="4" t="s">
        <v>241</v>
      </c>
      <c r="I695" s="4" t="s">
        <v>4478</v>
      </c>
      <c r="J695" s="4" t="s">
        <v>3158</v>
      </c>
      <c r="K695" s="4" t="s">
        <v>251</v>
      </c>
      <c r="L695" s="4" t="s">
        <v>4477</v>
      </c>
      <c r="M695" s="5" t="s">
        <v>4479</v>
      </c>
      <c r="N695" s="6">
        <f>1102</f>
        <v>1102</v>
      </c>
      <c r="O695" s="4" t="s">
        <v>265</v>
      </c>
      <c r="P695" s="6">
        <f>12122</f>
        <v>12122</v>
      </c>
      <c r="Q695" s="6">
        <f>0</f>
        <v>0</v>
      </c>
      <c r="S695" s="6">
        <f>0</f>
        <v>0</v>
      </c>
      <c r="T695" s="6">
        <f>12122</f>
        <v>12122</v>
      </c>
      <c r="U695" s="5" t="s">
        <v>245</v>
      </c>
      <c r="V695" s="4" t="s">
        <v>270</v>
      </c>
      <c r="W695" s="4" t="s">
        <v>242</v>
      </c>
      <c r="X695" s="4" t="s">
        <v>243</v>
      </c>
      <c r="Y695" s="4" t="s">
        <v>241</v>
      </c>
      <c r="AB695" s="4" t="s">
        <v>241</v>
      </c>
      <c r="AD695" s="5" t="s">
        <v>241</v>
      </c>
      <c r="AG695" s="5" t="s">
        <v>246</v>
      </c>
      <c r="AH695" s="4" t="s">
        <v>241</v>
      </c>
      <c r="AI695" s="4" t="s">
        <v>247</v>
      </c>
      <c r="AJ695" s="4" t="s">
        <v>248</v>
      </c>
      <c r="AZ695" s="4" t="s">
        <v>249</v>
      </c>
      <c r="BA695" s="4" t="s">
        <v>241</v>
      </c>
      <c r="BB695" s="4" t="s">
        <v>250</v>
      </c>
      <c r="BC695" s="4" t="s">
        <v>241</v>
      </c>
      <c r="BD695" s="4" t="s">
        <v>252</v>
      </c>
      <c r="BE695" s="4" t="s">
        <v>241</v>
      </c>
      <c r="BG695" s="4" t="s">
        <v>412</v>
      </c>
      <c r="BI695" s="4" t="s">
        <v>253</v>
      </c>
      <c r="BJ695" s="5" t="s">
        <v>246</v>
      </c>
      <c r="BK695" s="4" t="s">
        <v>254</v>
      </c>
      <c r="BL695" s="4" t="s">
        <v>255</v>
      </c>
      <c r="BM695" s="4" t="s">
        <v>241</v>
      </c>
      <c r="BN695" s="6">
        <f>0</f>
        <v>0</v>
      </c>
      <c r="BO695" s="6">
        <f>0</f>
        <v>0</v>
      </c>
      <c r="BP695" s="4" t="s">
        <v>256</v>
      </c>
      <c r="BQ695" s="4" t="s">
        <v>257</v>
      </c>
      <c r="CE695" s="4" t="s">
        <v>241</v>
      </c>
      <c r="CF695" s="4" t="s">
        <v>241</v>
      </c>
      <c r="CJ695" s="4" t="s">
        <v>258</v>
      </c>
      <c r="CK695" s="4" t="s">
        <v>259</v>
      </c>
      <c r="CL695" s="4" t="s">
        <v>241</v>
      </c>
      <c r="CO695" s="5" t="s">
        <v>260</v>
      </c>
      <c r="CP695" s="4" t="s">
        <v>241</v>
      </c>
      <c r="CQ695" s="4" t="s">
        <v>261</v>
      </c>
      <c r="CR695" s="4" t="s">
        <v>241</v>
      </c>
      <c r="CS695" s="4" t="s">
        <v>241</v>
      </c>
      <c r="CT695" s="4">
        <v>0</v>
      </c>
      <c r="CU695" s="4" t="s">
        <v>262</v>
      </c>
      <c r="CV695" s="4" t="s">
        <v>263</v>
      </c>
      <c r="CW695" s="4" t="s">
        <v>263</v>
      </c>
      <c r="CX695" s="4" t="s">
        <v>264</v>
      </c>
      <c r="DA695" s="6">
        <f>12122</f>
        <v>12122</v>
      </c>
      <c r="DC695" s="4" t="s">
        <v>287</v>
      </c>
      <c r="DD695" s="4" t="s">
        <v>241</v>
      </c>
      <c r="DF695" s="4" t="s">
        <v>287</v>
      </c>
      <c r="DG695" s="6">
        <f>0</f>
        <v>0</v>
      </c>
      <c r="DI695" s="4" t="s">
        <v>3167</v>
      </c>
      <c r="DJ695" s="4" t="s">
        <v>241</v>
      </c>
      <c r="DK695" s="4" t="s">
        <v>241</v>
      </c>
      <c r="DL695" s="4" t="s">
        <v>241</v>
      </c>
      <c r="DP695" s="4" t="s">
        <v>241</v>
      </c>
      <c r="DQ695" s="4" t="s">
        <v>241</v>
      </c>
      <c r="DR695" s="4" t="s">
        <v>241</v>
      </c>
      <c r="DS695" s="4" t="s">
        <v>241</v>
      </c>
      <c r="DV695" s="4" t="s">
        <v>4480</v>
      </c>
      <c r="DW695" s="4" t="s">
        <v>267</v>
      </c>
      <c r="HO695" s="4" t="s">
        <v>267</v>
      </c>
    </row>
    <row r="696" spans="1:223" ht="19.5" customHeight="1" x14ac:dyDescent="0.4">
      <c r="A696" s="4">
        <v>1</v>
      </c>
      <c r="B696" s="4" t="s">
        <v>239</v>
      </c>
      <c r="C696" s="4">
        <v>1558</v>
      </c>
      <c r="D696" s="4">
        <v>1</v>
      </c>
      <c r="E696" s="4">
        <v>1</v>
      </c>
      <c r="F696" s="4" t="s">
        <v>240</v>
      </c>
      <c r="G696" s="4" t="s">
        <v>241</v>
      </c>
      <c r="H696" s="4" t="s">
        <v>241</v>
      </c>
      <c r="I696" s="4" t="s">
        <v>4474</v>
      </c>
      <c r="J696" s="4" t="s">
        <v>3158</v>
      </c>
      <c r="K696" s="4" t="s">
        <v>251</v>
      </c>
      <c r="L696" s="4" t="s">
        <v>4473</v>
      </c>
      <c r="M696" s="5" t="s">
        <v>4475</v>
      </c>
      <c r="N696" s="6">
        <f>10838</f>
        <v>10838</v>
      </c>
      <c r="O696" s="4" t="s">
        <v>265</v>
      </c>
      <c r="P696" s="6">
        <f>119218</f>
        <v>119218</v>
      </c>
      <c r="Q696" s="6">
        <f>0</f>
        <v>0</v>
      </c>
      <c r="S696" s="6">
        <f>0</f>
        <v>0</v>
      </c>
      <c r="T696" s="6">
        <f>119218</f>
        <v>119218</v>
      </c>
      <c r="U696" s="5" t="s">
        <v>245</v>
      </c>
      <c r="V696" s="4" t="s">
        <v>270</v>
      </c>
      <c r="W696" s="4" t="s">
        <v>242</v>
      </c>
      <c r="X696" s="4" t="s">
        <v>243</v>
      </c>
      <c r="Y696" s="4" t="s">
        <v>241</v>
      </c>
      <c r="AB696" s="4" t="s">
        <v>241</v>
      </c>
      <c r="AD696" s="5" t="s">
        <v>241</v>
      </c>
      <c r="AG696" s="5" t="s">
        <v>246</v>
      </c>
      <c r="AH696" s="4" t="s">
        <v>241</v>
      </c>
      <c r="AI696" s="4" t="s">
        <v>247</v>
      </c>
      <c r="AJ696" s="4" t="s">
        <v>248</v>
      </c>
      <c r="AZ696" s="4" t="s">
        <v>249</v>
      </c>
      <c r="BA696" s="4" t="s">
        <v>241</v>
      </c>
      <c r="BB696" s="4" t="s">
        <v>250</v>
      </c>
      <c r="BC696" s="4" t="s">
        <v>241</v>
      </c>
      <c r="BD696" s="4" t="s">
        <v>252</v>
      </c>
      <c r="BE696" s="4" t="s">
        <v>241</v>
      </c>
      <c r="BG696" s="4" t="s">
        <v>412</v>
      </c>
      <c r="BI696" s="4" t="s">
        <v>253</v>
      </c>
      <c r="BJ696" s="5" t="s">
        <v>246</v>
      </c>
      <c r="BK696" s="4" t="s">
        <v>254</v>
      </c>
      <c r="BL696" s="4" t="s">
        <v>255</v>
      </c>
      <c r="BM696" s="4" t="s">
        <v>241</v>
      </c>
      <c r="BN696" s="6">
        <f>0</f>
        <v>0</v>
      </c>
      <c r="BO696" s="6">
        <f>0</f>
        <v>0</v>
      </c>
      <c r="BP696" s="4" t="s">
        <v>256</v>
      </c>
      <c r="BQ696" s="4" t="s">
        <v>257</v>
      </c>
      <c r="CE696" s="4" t="s">
        <v>241</v>
      </c>
      <c r="CF696" s="4" t="s">
        <v>241</v>
      </c>
      <c r="CJ696" s="4" t="s">
        <v>258</v>
      </c>
      <c r="CK696" s="4" t="s">
        <v>259</v>
      </c>
      <c r="CL696" s="4" t="s">
        <v>241</v>
      </c>
      <c r="CO696" s="5" t="s">
        <v>260</v>
      </c>
      <c r="CP696" s="4" t="s">
        <v>241</v>
      </c>
      <c r="CQ696" s="4" t="s">
        <v>261</v>
      </c>
      <c r="CR696" s="4" t="s">
        <v>241</v>
      </c>
      <c r="CS696" s="4" t="s">
        <v>241</v>
      </c>
      <c r="CT696" s="4">
        <v>0</v>
      </c>
      <c r="CU696" s="4" t="s">
        <v>262</v>
      </c>
      <c r="CV696" s="4" t="s">
        <v>263</v>
      </c>
      <c r="CW696" s="4" t="s">
        <v>263</v>
      </c>
      <c r="CX696" s="4" t="s">
        <v>264</v>
      </c>
      <c r="DA696" s="6">
        <f>119218</f>
        <v>119218</v>
      </c>
      <c r="DC696" s="4" t="s">
        <v>287</v>
      </c>
      <c r="DD696" s="4" t="s">
        <v>241</v>
      </c>
      <c r="DF696" s="4" t="s">
        <v>287</v>
      </c>
      <c r="DG696" s="6">
        <f>0</f>
        <v>0</v>
      </c>
      <c r="DI696" s="4" t="s">
        <v>3167</v>
      </c>
      <c r="DJ696" s="4" t="s">
        <v>241</v>
      </c>
      <c r="DK696" s="4" t="s">
        <v>241</v>
      </c>
      <c r="DL696" s="4" t="s">
        <v>241</v>
      </c>
      <c r="DP696" s="4" t="s">
        <v>241</v>
      </c>
      <c r="DQ696" s="4" t="s">
        <v>241</v>
      </c>
      <c r="DR696" s="4" t="s">
        <v>241</v>
      </c>
      <c r="DS696" s="4" t="s">
        <v>241</v>
      </c>
      <c r="DV696" s="4" t="s">
        <v>4476</v>
      </c>
      <c r="DW696" s="4" t="s">
        <v>267</v>
      </c>
      <c r="HO696" s="4" t="s">
        <v>267</v>
      </c>
    </row>
    <row r="697" spans="1:223" ht="19.5" customHeight="1" x14ac:dyDescent="0.4">
      <c r="A697" s="4">
        <v>1</v>
      </c>
      <c r="B697" s="4" t="s">
        <v>239</v>
      </c>
      <c r="C697" s="4">
        <v>1559</v>
      </c>
      <c r="D697" s="4">
        <v>1</v>
      </c>
      <c r="E697" s="4">
        <v>1</v>
      </c>
      <c r="F697" s="4" t="s">
        <v>240</v>
      </c>
      <c r="G697" s="4" t="s">
        <v>241</v>
      </c>
      <c r="H697" s="4" t="s">
        <v>241</v>
      </c>
      <c r="I697" s="4" t="s">
        <v>4470</v>
      </c>
      <c r="J697" s="4" t="s">
        <v>3158</v>
      </c>
      <c r="K697" s="4" t="s">
        <v>251</v>
      </c>
      <c r="L697" s="4" t="s">
        <v>4469</v>
      </c>
      <c r="M697" s="5" t="s">
        <v>4471</v>
      </c>
      <c r="N697" s="6">
        <f>296</f>
        <v>296</v>
      </c>
      <c r="O697" s="4" t="s">
        <v>265</v>
      </c>
      <c r="P697" s="6">
        <f>3256</f>
        <v>3256</v>
      </c>
      <c r="Q697" s="6">
        <f>0</f>
        <v>0</v>
      </c>
      <c r="S697" s="6">
        <f>0</f>
        <v>0</v>
      </c>
      <c r="T697" s="6">
        <f>3256</f>
        <v>3256</v>
      </c>
      <c r="U697" s="5" t="s">
        <v>245</v>
      </c>
      <c r="V697" s="4" t="s">
        <v>270</v>
      </c>
      <c r="W697" s="4" t="s">
        <v>242</v>
      </c>
      <c r="X697" s="4" t="s">
        <v>243</v>
      </c>
      <c r="Y697" s="4" t="s">
        <v>241</v>
      </c>
      <c r="AB697" s="4" t="s">
        <v>241</v>
      </c>
      <c r="AD697" s="5" t="s">
        <v>241</v>
      </c>
      <c r="AG697" s="5" t="s">
        <v>246</v>
      </c>
      <c r="AH697" s="4" t="s">
        <v>241</v>
      </c>
      <c r="AI697" s="4" t="s">
        <v>247</v>
      </c>
      <c r="AJ697" s="4" t="s">
        <v>248</v>
      </c>
      <c r="AZ697" s="4" t="s">
        <v>249</v>
      </c>
      <c r="BA697" s="4" t="s">
        <v>241</v>
      </c>
      <c r="BB697" s="4" t="s">
        <v>250</v>
      </c>
      <c r="BC697" s="4" t="s">
        <v>241</v>
      </c>
      <c r="BD697" s="4" t="s">
        <v>252</v>
      </c>
      <c r="BE697" s="4" t="s">
        <v>241</v>
      </c>
      <c r="BG697" s="4" t="s">
        <v>412</v>
      </c>
      <c r="BI697" s="4" t="s">
        <v>253</v>
      </c>
      <c r="BJ697" s="5" t="s">
        <v>246</v>
      </c>
      <c r="BK697" s="4" t="s">
        <v>254</v>
      </c>
      <c r="BL697" s="4" t="s">
        <v>255</v>
      </c>
      <c r="BM697" s="4" t="s">
        <v>241</v>
      </c>
      <c r="BN697" s="6">
        <f>0</f>
        <v>0</v>
      </c>
      <c r="BO697" s="6">
        <f>0</f>
        <v>0</v>
      </c>
      <c r="BP697" s="4" t="s">
        <v>256</v>
      </c>
      <c r="BQ697" s="4" t="s">
        <v>257</v>
      </c>
      <c r="CE697" s="4" t="s">
        <v>241</v>
      </c>
      <c r="CF697" s="4" t="s">
        <v>241</v>
      </c>
      <c r="CJ697" s="4" t="s">
        <v>258</v>
      </c>
      <c r="CK697" s="4" t="s">
        <v>259</v>
      </c>
      <c r="CL697" s="4" t="s">
        <v>241</v>
      </c>
      <c r="CO697" s="5" t="s">
        <v>260</v>
      </c>
      <c r="CP697" s="4" t="s">
        <v>241</v>
      </c>
      <c r="CQ697" s="4" t="s">
        <v>261</v>
      </c>
      <c r="CR697" s="4" t="s">
        <v>241</v>
      </c>
      <c r="CS697" s="4" t="s">
        <v>241</v>
      </c>
      <c r="CT697" s="4">
        <v>0</v>
      </c>
      <c r="CU697" s="4" t="s">
        <v>262</v>
      </c>
      <c r="CV697" s="4" t="s">
        <v>263</v>
      </c>
      <c r="CW697" s="4" t="s">
        <v>263</v>
      </c>
      <c r="CX697" s="4" t="s">
        <v>264</v>
      </c>
      <c r="DA697" s="6">
        <f>3256</f>
        <v>3256</v>
      </c>
      <c r="DC697" s="4" t="s">
        <v>287</v>
      </c>
      <c r="DD697" s="4" t="s">
        <v>241</v>
      </c>
      <c r="DF697" s="4" t="s">
        <v>287</v>
      </c>
      <c r="DG697" s="6">
        <f>0</f>
        <v>0</v>
      </c>
      <c r="DI697" s="4" t="s">
        <v>3167</v>
      </c>
      <c r="DJ697" s="4" t="s">
        <v>241</v>
      </c>
      <c r="DK697" s="4" t="s">
        <v>241</v>
      </c>
      <c r="DL697" s="4" t="s">
        <v>241</v>
      </c>
      <c r="DP697" s="4" t="s">
        <v>241</v>
      </c>
      <c r="DQ697" s="4" t="s">
        <v>241</v>
      </c>
      <c r="DR697" s="4" t="s">
        <v>241</v>
      </c>
      <c r="DS697" s="4" t="s">
        <v>241</v>
      </c>
      <c r="DV697" s="4" t="s">
        <v>4472</v>
      </c>
      <c r="DW697" s="4" t="s">
        <v>267</v>
      </c>
      <c r="HO697" s="4" t="s">
        <v>267</v>
      </c>
    </row>
    <row r="698" spans="1:223" ht="19.5" customHeight="1" x14ac:dyDescent="0.4">
      <c r="A698" s="4">
        <v>1</v>
      </c>
      <c r="B698" s="4" t="s">
        <v>239</v>
      </c>
      <c r="C698" s="4">
        <v>1560</v>
      </c>
      <c r="D698" s="4">
        <v>1</v>
      </c>
      <c r="E698" s="4">
        <v>1</v>
      </c>
      <c r="F698" s="4" t="s">
        <v>240</v>
      </c>
      <c r="G698" s="4" t="s">
        <v>241</v>
      </c>
      <c r="H698" s="4" t="s">
        <v>241</v>
      </c>
      <c r="I698" s="4" t="s">
        <v>4466</v>
      </c>
      <c r="J698" s="4" t="s">
        <v>3158</v>
      </c>
      <c r="K698" s="4" t="s">
        <v>251</v>
      </c>
      <c r="L698" s="4" t="s">
        <v>4465</v>
      </c>
      <c r="M698" s="5" t="s">
        <v>4467</v>
      </c>
      <c r="N698" s="6">
        <f>232</f>
        <v>232</v>
      </c>
      <c r="O698" s="4" t="s">
        <v>265</v>
      </c>
      <c r="P698" s="6">
        <f>2552</f>
        <v>2552</v>
      </c>
      <c r="Q698" s="6">
        <f>0</f>
        <v>0</v>
      </c>
      <c r="S698" s="6">
        <f>0</f>
        <v>0</v>
      </c>
      <c r="T698" s="6">
        <f>2552</f>
        <v>2552</v>
      </c>
      <c r="U698" s="5" t="s">
        <v>245</v>
      </c>
      <c r="V698" s="4" t="s">
        <v>270</v>
      </c>
      <c r="W698" s="4" t="s">
        <v>242</v>
      </c>
      <c r="X698" s="4" t="s">
        <v>243</v>
      </c>
      <c r="Y698" s="4" t="s">
        <v>241</v>
      </c>
      <c r="AB698" s="4" t="s">
        <v>241</v>
      </c>
      <c r="AD698" s="5" t="s">
        <v>241</v>
      </c>
      <c r="AG698" s="5" t="s">
        <v>246</v>
      </c>
      <c r="AH698" s="4" t="s">
        <v>241</v>
      </c>
      <c r="AI698" s="4" t="s">
        <v>247</v>
      </c>
      <c r="AJ698" s="4" t="s">
        <v>248</v>
      </c>
      <c r="AZ698" s="4" t="s">
        <v>249</v>
      </c>
      <c r="BA698" s="4" t="s">
        <v>241</v>
      </c>
      <c r="BB698" s="4" t="s">
        <v>250</v>
      </c>
      <c r="BC698" s="4" t="s">
        <v>241</v>
      </c>
      <c r="BD698" s="4" t="s">
        <v>252</v>
      </c>
      <c r="BE698" s="4" t="s">
        <v>241</v>
      </c>
      <c r="BG698" s="4" t="s">
        <v>412</v>
      </c>
      <c r="BI698" s="4" t="s">
        <v>253</v>
      </c>
      <c r="BJ698" s="5" t="s">
        <v>246</v>
      </c>
      <c r="BK698" s="4" t="s">
        <v>254</v>
      </c>
      <c r="BL698" s="4" t="s">
        <v>255</v>
      </c>
      <c r="BM698" s="4" t="s">
        <v>241</v>
      </c>
      <c r="BN698" s="6">
        <f>0</f>
        <v>0</v>
      </c>
      <c r="BO698" s="6">
        <f>0</f>
        <v>0</v>
      </c>
      <c r="BP698" s="4" t="s">
        <v>256</v>
      </c>
      <c r="BQ698" s="4" t="s">
        <v>257</v>
      </c>
      <c r="CE698" s="4" t="s">
        <v>241</v>
      </c>
      <c r="CF698" s="4" t="s">
        <v>241</v>
      </c>
      <c r="CJ698" s="4" t="s">
        <v>258</v>
      </c>
      <c r="CK698" s="4" t="s">
        <v>259</v>
      </c>
      <c r="CL698" s="4" t="s">
        <v>241</v>
      </c>
      <c r="CO698" s="5" t="s">
        <v>260</v>
      </c>
      <c r="CP698" s="4" t="s">
        <v>241</v>
      </c>
      <c r="CQ698" s="4" t="s">
        <v>261</v>
      </c>
      <c r="CR698" s="4" t="s">
        <v>241</v>
      </c>
      <c r="CS698" s="4" t="s">
        <v>241</v>
      </c>
      <c r="CT698" s="4">
        <v>0</v>
      </c>
      <c r="CU698" s="4" t="s">
        <v>262</v>
      </c>
      <c r="CV698" s="4" t="s">
        <v>263</v>
      </c>
      <c r="CW698" s="4" t="s">
        <v>263</v>
      </c>
      <c r="CX698" s="4" t="s">
        <v>264</v>
      </c>
      <c r="DA698" s="6">
        <f>2552</f>
        <v>2552</v>
      </c>
      <c r="DC698" s="4" t="s">
        <v>287</v>
      </c>
      <c r="DD698" s="4" t="s">
        <v>241</v>
      </c>
      <c r="DF698" s="4" t="s">
        <v>287</v>
      </c>
      <c r="DG698" s="6">
        <f>0</f>
        <v>0</v>
      </c>
      <c r="DI698" s="4" t="s">
        <v>3167</v>
      </c>
      <c r="DJ698" s="4" t="s">
        <v>241</v>
      </c>
      <c r="DK698" s="4" t="s">
        <v>241</v>
      </c>
      <c r="DL698" s="4" t="s">
        <v>241</v>
      </c>
      <c r="DP698" s="4" t="s">
        <v>241</v>
      </c>
      <c r="DQ698" s="4" t="s">
        <v>241</v>
      </c>
      <c r="DR698" s="4" t="s">
        <v>241</v>
      </c>
      <c r="DS698" s="4" t="s">
        <v>241</v>
      </c>
      <c r="DV698" s="4" t="s">
        <v>4468</v>
      </c>
      <c r="DW698" s="4" t="s">
        <v>267</v>
      </c>
      <c r="HO698" s="4" t="s">
        <v>267</v>
      </c>
    </row>
    <row r="699" spans="1:223" ht="19.5" customHeight="1" x14ac:dyDescent="0.4">
      <c r="A699" s="4">
        <v>1</v>
      </c>
      <c r="B699" s="4" t="s">
        <v>239</v>
      </c>
      <c r="C699" s="4">
        <v>1561</v>
      </c>
      <c r="D699" s="4">
        <v>1</v>
      </c>
      <c r="E699" s="4">
        <v>1</v>
      </c>
      <c r="F699" s="4" t="s">
        <v>240</v>
      </c>
      <c r="G699" s="4" t="s">
        <v>241</v>
      </c>
      <c r="H699" s="4" t="s">
        <v>241</v>
      </c>
      <c r="I699" s="4" t="s">
        <v>4462</v>
      </c>
      <c r="J699" s="4" t="s">
        <v>3158</v>
      </c>
      <c r="K699" s="4" t="s">
        <v>251</v>
      </c>
      <c r="L699" s="4" t="s">
        <v>4461</v>
      </c>
      <c r="M699" s="5" t="s">
        <v>4463</v>
      </c>
      <c r="N699" s="6">
        <f>509</f>
        <v>509</v>
      </c>
      <c r="O699" s="4" t="s">
        <v>265</v>
      </c>
      <c r="P699" s="6">
        <f>5599</f>
        <v>5599</v>
      </c>
      <c r="Q699" s="6">
        <f>0</f>
        <v>0</v>
      </c>
      <c r="S699" s="6">
        <f>0</f>
        <v>0</v>
      </c>
      <c r="T699" s="6">
        <f>5599</f>
        <v>5599</v>
      </c>
      <c r="U699" s="5" t="s">
        <v>245</v>
      </c>
      <c r="V699" s="4" t="s">
        <v>270</v>
      </c>
      <c r="W699" s="4" t="s">
        <v>242</v>
      </c>
      <c r="X699" s="4" t="s">
        <v>243</v>
      </c>
      <c r="Y699" s="4" t="s">
        <v>241</v>
      </c>
      <c r="AB699" s="4" t="s">
        <v>241</v>
      </c>
      <c r="AD699" s="5" t="s">
        <v>241</v>
      </c>
      <c r="AG699" s="5" t="s">
        <v>246</v>
      </c>
      <c r="AH699" s="4" t="s">
        <v>241</v>
      </c>
      <c r="AI699" s="4" t="s">
        <v>247</v>
      </c>
      <c r="AJ699" s="4" t="s">
        <v>248</v>
      </c>
      <c r="AZ699" s="4" t="s">
        <v>249</v>
      </c>
      <c r="BA699" s="4" t="s">
        <v>241</v>
      </c>
      <c r="BB699" s="4" t="s">
        <v>250</v>
      </c>
      <c r="BC699" s="4" t="s">
        <v>241</v>
      </c>
      <c r="BD699" s="4" t="s">
        <v>252</v>
      </c>
      <c r="BE699" s="4" t="s">
        <v>241</v>
      </c>
      <c r="BG699" s="4" t="s">
        <v>412</v>
      </c>
      <c r="BI699" s="4" t="s">
        <v>253</v>
      </c>
      <c r="BJ699" s="5" t="s">
        <v>246</v>
      </c>
      <c r="BK699" s="4" t="s">
        <v>254</v>
      </c>
      <c r="BL699" s="4" t="s">
        <v>255</v>
      </c>
      <c r="BM699" s="4" t="s">
        <v>241</v>
      </c>
      <c r="BN699" s="6">
        <f>0</f>
        <v>0</v>
      </c>
      <c r="BO699" s="6">
        <f>0</f>
        <v>0</v>
      </c>
      <c r="BP699" s="4" t="s">
        <v>256</v>
      </c>
      <c r="BQ699" s="4" t="s">
        <v>257</v>
      </c>
      <c r="CE699" s="4" t="s">
        <v>241</v>
      </c>
      <c r="CF699" s="4" t="s">
        <v>241</v>
      </c>
      <c r="CJ699" s="4" t="s">
        <v>258</v>
      </c>
      <c r="CK699" s="4" t="s">
        <v>259</v>
      </c>
      <c r="CL699" s="4" t="s">
        <v>241</v>
      </c>
      <c r="CO699" s="5" t="s">
        <v>260</v>
      </c>
      <c r="CP699" s="4" t="s">
        <v>241</v>
      </c>
      <c r="CQ699" s="4" t="s">
        <v>261</v>
      </c>
      <c r="CR699" s="4" t="s">
        <v>241</v>
      </c>
      <c r="CS699" s="4" t="s">
        <v>241</v>
      </c>
      <c r="CT699" s="4">
        <v>0</v>
      </c>
      <c r="CU699" s="4" t="s">
        <v>262</v>
      </c>
      <c r="CV699" s="4" t="s">
        <v>263</v>
      </c>
      <c r="CW699" s="4" t="s">
        <v>263</v>
      </c>
      <c r="CX699" s="4" t="s">
        <v>264</v>
      </c>
      <c r="DA699" s="6">
        <f>5599</f>
        <v>5599</v>
      </c>
      <c r="DC699" s="4" t="s">
        <v>287</v>
      </c>
      <c r="DD699" s="4" t="s">
        <v>241</v>
      </c>
      <c r="DF699" s="4" t="s">
        <v>287</v>
      </c>
      <c r="DG699" s="6">
        <f>0</f>
        <v>0</v>
      </c>
      <c r="DI699" s="4" t="s">
        <v>3167</v>
      </c>
      <c r="DJ699" s="4" t="s">
        <v>241</v>
      </c>
      <c r="DK699" s="4" t="s">
        <v>241</v>
      </c>
      <c r="DL699" s="4" t="s">
        <v>241</v>
      </c>
      <c r="DP699" s="4" t="s">
        <v>241</v>
      </c>
      <c r="DQ699" s="4" t="s">
        <v>241</v>
      </c>
      <c r="DR699" s="4" t="s">
        <v>241</v>
      </c>
      <c r="DS699" s="4" t="s">
        <v>241</v>
      </c>
      <c r="DV699" s="4" t="s">
        <v>4464</v>
      </c>
      <c r="DW699" s="4" t="s">
        <v>267</v>
      </c>
      <c r="HO699" s="4" t="s">
        <v>267</v>
      </c>
    </row>
    <row r="700" spans="1:223" ht="19.5" customHeight="1" x14ac:dyDescent="0.4">
      <c r="A700" s="4">
        <v>1</v>
      </c>
      <c r="B700" s="4" t="s">
        <v>239</v>
      </c>
      <c r="C700" s="4">
        <v>1562</v>
      </c>
      <c r="D700" s="4">
        <v>1</v>
      </c>
      <c r="E700" s="4">
        <v>1</v>
      </c>
      <c r="F700" s="4" t="s">
        <v>240</v>
      </c>
      <c r="G700" s="4" t="s">
        <v>241</v>
      </c>
      <c r="H700" s="4" t="s">
        <v>241</v>
      </c>
      <c r="I700" s="4" t="s">
        <v>4458</v>
      </c>
      <c r="J700" s="4" t="s">
        <v>3158</v>
      </c>
      <c r="K700" s="4" t="s">
        <v>251</v>
      </c>
      <c r="L700" s="4" t="s">
        <v>4457</v>
      </c>
      <c r="M700" s="5" t="s">
        <v>4459</v>
      </c>
      <c r="N700" s="6">
        <f>2546</f>
        <v>2546</v>
      </c>
      <c r="O700" s="4" t="s">
        <v>265</v>
      </c>
      <c r="P700" s="6">
        <f>28006</f>
        <v>28006</v>
      </c>
      <c r="Q700" s="6">
        <f>0</f>
        <v>0</v>
      </c>
      <c r="S700" s="6">
        <f>0</f>
        <v>0</v>
      </c>
      <c r="T700" s="6">
        <f>28006</f>
        <v>28006</v>
      </c>
      <c r="U700" s="5" t="s">
        <v>245</v>
      </c>
      <c r="V700" s="4" t="s">
        <v>270</v>
      </c>
      <c r="W700" s="4" t="s">
        <v>242</v>
      </c>
      <c r="X700" s="4" t="s">
        <v>243</v>
      </c>
      <c r="Y700" s="4" t="s">
        <v>241</v>
      </c>
      <c r="AB700" s="4" t="s">
        <v>241</v>
      </c>
      <c r="AD700" s="5" t="s">
        <v>241</v>
      </c>
      <c r="AG700" s="5" t="s">
        <v>246</v>
      </c>
      <c r="AH700" s="4" t="s">
        <v>241</v>
      </c>
      <c r="AI700" s="4" t="s">
        <v>247</v>
      </c>
      <c r="AJ700" s="4" t="s">
        <v>248</v>
      </c>
      <c r="AZ700" s="4" t="s">
        <v>249</v>
      </c>
      <c r="BA700" s="4" t="s">
        <v>241</v>
      </c>
      <c r="BB700" s="4" t="s">
        <v>250</v>
      </c>
      <c r="BC700" s="4" t="s">
        <v>241</v>
      </c>
      <c r="BD700" s="4" t="s">
        <v>252</v>
      </c>
      <c r="BE700" s="4" t="s">
        <v>241</v>
      </c>
      <c r="BG700" s="4" t="s">
        <v>412</v>
      </c>
      <c r="BI700" s="4" t="s">
        <v>253</v>
      </c>
      <c r="BJ700" s="5" t="s">
        <v>246</v>
      </c>
      <c r="BK700" s="4" t="s">
        <v>254</v>
      </c>
      <c r="BL700" s="4" t="s">
        <v>255</v>
      </c>
      <c r="BM700" s="4" t="s">
        <v>241</v>
      </c>
      <c r="BN700" s="6">
        <f>0</f>
        <v>0</v>
      </c>
      <c r="BO700" s="6">
        <f>0</f>
        <v>0</v>
      </c>
      <c r="BP700" s="4" t="s">
        <v>256</v>
      </c>
      <c r="BQ700" s="4" t="s">
        <v>257</v>
      </c>
      <c r="CE700" s="4" t="s">
        <v>241</v>
      </c>
      <c r="CF700" s="4" t="s">
        <v>241</v>
      </c>
      <c r="CJ700" s="4" t="s">
        <v>258</v>
      </c>
      <c r="CK700" s="4" t="s">
        <v>259</v>
      </c>
      <c r="CL700" s="4" t="s">
        <v>241</v>
      </c>
      <c r="CO700" s="5" t="s">
        <v>260</v>
      </c>
      <c r="CP700" s="4" t="s">
        <v>241</v>
      </c>
      <c r="CQ700" s="4" t="s">
        <v>261</v>
      </c>
      <c r="CR700" s="4" t="s">
        <v>241</v>
      </c>
      <c r="CS700" s="4" t="s">
        <v>241</v>
      </c>
      <c r="CT700" s="4">
        <v>0</v>
      </c>
      <c r="CU700" s="4" t="s">
        <v>262</v>
      </c>
      <c r="CV700" s="4" t="s">
        <v>263</v>
      </c>
      <c r="CW700" s="4" t="s">
        <v>263</v>
      </c>
      <c r="CX700" s="4" t="s">
        <v>264</v>
      </c>
      <c r="DA700" s="6">
        <f>28006</f>
        <v>28006</v>
      </c>
      <c r="DC700" s="4" t="s">
        <v>287</v>
      </c>
      <c r="DD700" s="4" t="s">
        <v>241</v>
      </c>
      <c r="DF700" s="4" t="s">
        <v>287</v>
      </c>
      <c r="DG700" s="6">
        <f>0</f>
        <v>0</v>
      </c>
      <c r="DI700" s="4" t="s">
        <v>3167</v>
      </c>
      <c r="DJ700" s="4" t="s">
        <v>241</v>
      </c>
      <c r="DK700" s="4" t="s">
        <v>241</v>
      </c>
      <c r="DL700" s="4" t="s">
        <v>241</v>
      </c>
      <c r="DP700" s="4" t="s">
        <v>241</v>
      </c>
      <c r="DQ700" s="4" t="s">
        <v>241</v>
      </c>
      <c r="DR700" s="4" t="s">
        <v>241</v>
      </c>
      <c r="DS700" s="4" t="s">
        <v>241</v>
      </c>
      <c r="DV700" s="4" t="s">
        <v>4460</v>
      </c>
      <c r="DW700" s="4" t="s">
        <v>267</v>
      </c>
      <c r="HO700" s="4" t="s">
        <v>267</v>
      </c>
    </row>
    <row r="701" spans="1:223" ht="19.5" customHeight="1" x14ac:dyDescent="0.4">
      <c r="A701" s="4">
        <v>1</v>
      </c>
      <c r="B701" s="4" t="s">
        <v>239</v>
      </c>
      <c r="C701" s="4">
        <v>1563</v>
      </c>
      <c r="D701" s="4">
        <v>1</v>
      </c>
      <c r="E701" s="4">
        <v>1</v>
      </c>
      <c r="F701" s="4" t="s">
        <v>240</v>
      </c>
      <c r="G701" s="4" t="s">
        <v>241</v>
      </c>
      <c r="H701" s="4" t="s">
        <v>241</v>
      </c>
      <c r="I701" s="4" t="s">
        <v>4454</v>
      </c>
      <c r="J701" s="4" t="s">
        <v>3158</v>
      </c>
      <c r="K701" s="4" t="s">
        <v>251</v>
      </c>
      <c r="L701" s="4" t="s">
        <v>4453</v>
      </c>
      <c r="M701" s="5" t="s">
        <v>4455</v>
      </c>
      <c r="N701" s="6">
        <f>680</f>
        <v>680</v>
      </c>
      <c r="O701" s="4" t="s">
        <v>265</v>
      </c>
      <c r="P701" s="6">
        <f>7480</f>
        <v>7480</v>
      </c>
      <c r="Q701" s="6">
        <f>0</f>
        <v>0</v>
      </c>
      <c r="S701" s="6">
        <f>0</f>
        <v>0</v>
      </c>
      <c r="T701" s="6">
        <f>7480</f>
        <v>7480</v>
      </c>
      <c r="U701" s="5" t="s">
        <v>245</v>
      </c>
      <c r="V701" s="4" t="s">
        <v>270</v>
      </c>
      <c r="W701" s="4" t="s">
        <v>242</v>
      </c>
      <c r="X701" s="4" t="s">
        <v>243</v>
      </c>
      <c r="Y701" s="4" t="s">
        <v>241</v>
      </c>
      <c r="AB701" s="4" t="s">
        <v>241</v>
      </c>
      <c r="AD701" s="5" t="s">
        <v>241</v>
      </c>
      <c r="AG701" s="5" t="s">
        <v>246</v>
      </c>
      <c r="AH701" s="4" t="s">
        <v>241</v>
      </c>
      <c r="AI701" s="4" t="s">
        <v>247</v>
      </c>
      <c r="AJ701" s="4" t="s">
        <v>248</v>
      </c>
      <c r="AZ701" s="4" t="s">
        <v>249</v>
      </c>
      <c r="BA701" s="4" t="s">
        <v>241</v>
      </c>
      <c r="BB701" s="4" t="s">
        <v>250</v>
      </c>
      <c r="BC701" s="4" t="s">
        <v>241</v>
      </c>
      <c r="BD701" s="4" t="s">
        <v>252</v>
      </c>
      <c r="BE701" s="4" t="s">
        <v>241</v>
      </c>
      <c r="BG701" s="4" t="s">
        <v>412</v>
      </c>
      <c r="BI701" s="4" t="s">
        <v>253</v>
      </c>
      <c r="BJ701" s="5" t="s">
        <v>246</v>
      </c>
      <c r="BK701" s="4" t="s">
        <v>254</v>
      </c>
      <c r="BL701" s="4" t="s">
        <v>255</v>
      </c>
      <c r="BM701" s="4" t="s">
        <v>241</v>
      </c>
      <c r="BN701" s="6">
        <f>0</f>
        <v>0</v>
      </c>
      <c r="BO701" s="6">
        <f>0</f>
        <v>0</v>
      </c>
      <c r="BP701" s="4" t="s">
        <v>256</v>
      </c>
      <c r="BQ701" s="4" t="s">
        <v>257</v>
      </c>
      <c r="CE701" s="4" t="s">
        <v>241</v>
      </c>
      <c r="CF701" s="4" t="s">
        <v>241</v>
      </c>
      <c r="CJ701" s="4" t="s">
        <v>258</v>
      </c>
      <c r="CK701" s="4" t="s">
        <v>259</v>
      </c>
      <c r="CL701" s="4" t="s">
        <v>241</v>
      </c>
      <c r="CO701" s="5" t="s">
        <v>260</v>
      </c>
      <c r="CP701" s="4" t="s">
        <v>241</v>
      </c>
      <c r="CQ701" s="4" t="s">
        <v>261</v>
      </c>
      <c r="CR701" s="4" t="s">
        <v>241</v>
      </c>
      <c r="CS701" s="4" t="s">
        <v>241</v>
      </c>
      <c r="CT701" s="4">
        <v>0</v>
      </c>
      <c r="CU701" s="4" t="s">
        <v>262</v>
      </c>
      <c r="CV701" s="4" t="s">
        <v>263</v>
      </c>
      <c r="CW701" s="4" t="s">
        <v>263</v>
      </c>
      <c r="CX701" s="4" t="s">
        <v>264</v>
      </c>
      <c r="DA701" s="6">
        <f>7480</f>
        <v>7480</v>
      </c>
      <c r="DC701" s="4" t="s">
        <v>287</v>
      </c>
      <c r="DD701" s="4" t="s">
        <v>241</v>
      </c>
      <c r="DF701" s="4" t="s">
        <v>287</v>
      </c>
      <c r="DG701" s="6">
        <f>0</f>
        <v>0</v>
      </c>
      <c r="DI701" s="4" t="s">
        <v>3167</v>
      </c>
      <c r="DJ701" s="4" t="s">
        <v>241</v>
      </c>
      <c r="DK701" s="4" t="s">
        <v>241</v>
      </c>
      <c r="DL701" s="4" t="s">
        <v>241</v>
      </c>
      <c r="DP701" s="4" t="s">
        <v>241</v>
      </c>
      <c r="DQ701" s="4" t="s">
        <v>241</v>
      </c>
      <c r="DR701" s="4" t="s">
        <v>241</v>
      </c>
      <c r="DS701" s="4" t="s">
        <v>241</v>
      </c>
      <c r="DV701" s="4" t="s">
        <v>4456</v>
      </c>
      <c r="DW701" s="4" t="s">
        <v>267</v>
      </c>
      <c r="HO701" s="4" t="s">
        <v>267</v>
      </c>
    </row>
    <row r="702" spans="1:223" ht="19.5" customHeight="1" x14ac:dyDescent="0.4">
      <c r="A702" s="4">
        <v>1</v>
      </c>
      <c r="B702" s="4" t="s">
        <v>239</v>
      </c>
      <c r="C702" s="4">
        <v>1564</v>
      </c>
      <c r="D702" s="4">
        <v>1</v>
      </c>
      <c r="E702" s="4">
        <v>1</v>
      </c>
      <c r="F702" s="4" t="s">
        <v>240</v>
      </c>
      <c r="G702" s="4" t="s">
        <v>241</v>
      </c>
      <c r="H702" s="4" t="s">
        <v>241</v>
      </c>
      <c r="I702" s="4" t="s">
        <v>4451</v>
      </c>
      <c r="J702" s="4" t="s">
        <v>3158</v>
      </c>
      <c r="K702" s="4" t="s">
        <v>251</v>
      </c>
      <c r="L702" s="4" t="s">
        <v>4450</v>
      </c>
      <c r="M702" s="5" t="s">
        <v>3171</v>
      </c>
      <c r="N702" s="6">
        <f>2030.15</f>
        <v>2030.15</v>
      </c>
      <c r="O702" s="4" t="s">
        <v>265</v>
      </c>
      <c r="P702" s="6">
        <f>22331</f>
        <v>22331</v>
      </c>
      <c r="Q702" s="6">
        <f>0</f>
        <v>0</v>
      </c>
      <c r="S702" s="6">
        <f>0</f>
        <v>0</v>
      </c>
      <c r="T702" s="6">
        <f>22331</f>
        <v>22331</v>
      </c>
      <c r="U702" s="5" t="s">
        <v>245</v>
      </c>
      <c r="V702" s="4" t="s">
        <v>270</v>
      </c>
      <c r="W702" s="4" t="s">
        <v>242</v>
      </c>
      <c r="X702" s="4" t="s">
        <v>243</v>
      </c>
      <c r="Y702" s="4" t="s">
        <v>241</v>
      </c>
      <c r="AB702" s="4" t="s">
        <v>241</v>
      </c>
      <c r="AD702" s="5" t="s">
        <v>241</v>
      </c>
      <c r="AG702" s="5" t="s">
        <v>246</v>
      </c>
      <c r="AH702" s="4" t="s">
        <v>241</v>
      </c>
      <c r="AI702" s="4" t="s">
        <v>247</v>
      </c>
      <c r="AJ702" s="4" t="s">
        <v>248</v>
      </c>
      <c r="AZ702" s="4" t="s">
        <v>249</v>
      </c>
      <c r="BA702" s="4" t="s">
        <v>241</v>
      </c>
      <c r="BB702" s="4" t="s">
        <v>250</v>
      </c>
      <c r="BC702" s="4" t="s">
        <v>241</v>
      </c>
      <c r="BD702" s="4" t="s">
        <v>252</v>
      </c>
      <c r="BE702" s="4" t="s">
        <v>241</v>
      </c>
      <c r="BG702" s="4" t="s">
        <v>412</v>
      </c>
      <c r="BI702" s="4" t="s">
        <v>253</v>
      </c>
      <c r="BJ702" s="5" t="s">
        <v>246</v>
      </c>
      <c r="BK702" s="4" t="s">
        <v>254</v>
      </c>
      <c r="BL702" s="4" t="s">
        <v>255</v>
      </c>
      <c r="BM702" s="4" t="s">
        <v>241</v>
      </c>
      <c r="BN702" s="6">
        <f>0</f>
        <v>0</v>
      </c>
      <c r="BO702" s="6">
        <f>0</f>
        <v>0</v>
      </c>
      <c r="BP702" s="4" t="s">
        <v>256</v>
      </c>
      <c r="BQ702" s="4" t="s">
        <v>257</v>
      </c>
      <c r="CE702" s="4" t="s">
        <v>241</v>
      </c>
      <c r="CF702" s="4" t="s">
        <v>241</v>
      </c>
      <c r="CJ702" s="4" t="s">
        <v>258</v>
      </c>
      <c r="CK702" s="4" t="s">
        <v>259</v>
      </c>
      <c r="CL702" s="4" t="s">
        <v>241</v>
      </c>
      <c r="CO702" s="5" t="s">
        <v>260</v>
      </c>
      <c r="CP702" s="4" t="s">
        <v>241</v>
      </c>
      <c r="CQ702" s="4" t="s">
        <v>261</v>
      </c>
      <c r="CR702" s="4" t="s">
        <v>241</v>
      </c>
      <c r="CS702" s="4" t="s">
        <v>241</v>
      </c>
      <c r="CT702" s="4">
        <v>0</v>
      </c>
      <c r="CU702" s="4" t="s">
        <v>262</v>
      </c>
      <c r="CV702" s="4" t="s">
        <v>263</v>
      </c>
      <c r="CW702" s="4" t="s">
        <v>263</v>
      </c>
      <c r="CX702" s="4" t="s">
        <v>264</v>
      </c>
      <c r="DA702" s="6">
        <f>22331</f>
        <v>22331</v>
      </c>
      <c r="DC702" s="4" t="s">
        <v>287</v>
      </c>
      <c r="DD702" s="4" t="s">
        <v>241</v>
      </c>
      <c r="DF702" s="4" t="s">
        <v>287</v>
      </c>
      <c r="DG702" s="6">
        <f>0</f>
        <v>0</v>
      </c>
      <c r="DI702" s="4" t="s">
        <v>3167</v>
      </c>
      <c r="DJ702" s="4" t="s">
        <v>241</v>
      </c>
      <c r="DK702" s="4" t="s">
        <v>241</v>
      </c>
      <c r="DL702" s="4" t="s">
        <v>241</v>
      </c>
      <c r="DP702" s="4" t="s">
        <v>241</v>
      </c>
      <c r="DQ702" s="4" t="s">
        <v>241</v>
      </c>
      <c r="DR702" s="4" t="s">
        <v>241</v>
      </c>
      <c r="DS702" s="4" t="s">
        <v>241</v>
      </c>
      <c r="DV702" s="4" t="s">
        <v>4452</v>
      </c>
      <c r="DW702" s="4" t="s">
        <v>267</v>
      </c>
      <c r="HO702" s="4" t="s">
        <v>267</v>
      </c>
    </row>
    <row r="703" spans="1:223" ht="19.5" customHeight="1" x14ac:dyDescent="0.4">
      <c r="A703" s="4">
        <v>1</v>
      </c>
      <c r="B703" s="4" t="s">
        <v>239</v>
      </c>
      <c r="C703" s="4">
        <v>1565</v>
      </c>
      <c r="D703" s="4">
        <v>1</v>
      </c>
      <c r="E703" s="4">
        <v>1</v>
      </c>
      <c r="F703" s="4" t="s">
        <v>240</v>
      </c>
      <c r="G703" s="4" t="s">
        <v>241</v>
      </c>
      <c r="H703" s="4" t="s">
        <v>241</v>
      </c>
      <c r="I703" s="4" t="s">
        <v>4447</v>
      </c>
      <c r="J703" s="4" t="s">
        <v>3158</v>
      </c>
      <c r="K703" s="4" t="s">
        <v>251</v>
      </c>
      <c r="L703" s="4" t="s">
        <v>4446</v>
      </c>
      <c r="M703" s="5" t="s">
        <v>4448</v>
      </c>
      <c r="N703" s="6">
        <f>1621</f>
        <v>1621</v>
      </c>
      <c r="O703" s="4" t="s">
        <v>265</v>
      </c>
      <c r="P703" s="6">
        <f>17831</f>
        <v>17831</v>
      </c>
      <c r="Q703" s="6">
        <f>0</f>
        <v>0</v>
      </c>
      <c r="S703" s="6">
        <f>0</f>
        <v>0</v>
      </c>
      <c r="T703" s="6">
        <f>17831</f>
        <v>17831</v>
      </c>
      <c r="U703" s="5" t="s">
        <v>245</v>
      </c>
      <c r="V703" s="4" t="s">
        <v>270</v>
      </c>
      <c r="W703" s="4" t="s">
        <v>242</v>
      </c>
      <c r="X703" s="4" t="s">
        <v>243</v>
      </c>
      <c r="Y703" s="4" t="s">
        <v>241</v>
      </c>
      <c r="AB703" s="4" t="s">
        <v>241</v>
      </c>
      <c r="AD703" s="5" t="s">
        <v>241</v>
      </c>
      <c r="AG703" s="5" t="s">
        <v>246</v>
      </c>
      <c r="AH703" s="4" t="s">
        <v>241</v>
      </c>
      <c r="AI703" s="4" t="s">
        <v>247</v>
      </c>
      <c r="AJ703" s="4" t="s">
        <v>248</v>
      </c>
      <c r="AZ703" s="4" t="s">
        <v>249</v>
      </c>
      <c r="BA703" s="4" t="s">
        <v>241</v>
      </c>
      <c r="BB703" s="4" t="s">
        <v>250</v>
      </c>
      <c r="BC703" s="4" t="s">
        <v>241</v>
      </c>
      <c r="BD703" s="4" t="s">
        <v>252</v>
      </c>
      <c r="BE703" s="4" t="s">
        <v>241</v>
      </c>
      <c r="BG703" s="4" t="s">
        <v>412</v>
      </c>
      <c r="BI703" s="4" t="s">
        <v>253</v>
      </c>
      <c r="BJ703" s="5" t="s">
        <v>246</v>
      </c>
      <c r="BK703" s="4" t="s">
        <v>254</v>
      </c>
      <c r="BL703" s="4" t="s">
        <v>255</v>
      </c>
      <c r="BM703" s="4" t="s">
        <v>241</v>
      </c>
      <c r="BN703" s="6">
        <f>0</f>
        <v>0</v>
      </c>
      <c r="BO703" s="6">
        <f>0</f>
        <v>0</v>
      </c>
      <c r="BP703" s="4" t="s">
        <v>256</v>
      </c>
      <c r="BQ703" s="4" t="s">
        <v>257</v>
      </c>
      <c r="CE703" s="4" t="s">
        <v>241</v>
      </c>
      <c r="CF703" s="4" t="s">
        <v>241</v>
      </c>
      <c r="CJ703" s="4" t="s">
        <v>258</v>
      </c>
      <c r="CK703" s="4" t="s">
        <v>259</v>
      </c>
      <c r="CL703" s="4" t="s">
        <v>241</v>
      </c>
      <c r="CO703" s="5" t="s">
        <v>260</v>
      </c>
      <c r="CP703" s="4" t="s">
        <v>241</v>
      </c>
      <c r="CQ703" s="4" t="s">
        <v>261</v>
      </c>
      <c r="CR703" s="4" t="s">
        <v>241</v>
      </c>
      <c r="CS703" s="4" t="s">
        <v>241</v>
      </c>
      <c r="CT703" s="4">
        <v>0</v>
      </c>
      <c r="CU703" s="4" t="s">
        <v>262</v>
      </c>
      <c r="CV703" s="4" t="s">
        <v>263</v>
      </c>
      <c r="CW703" s="4" t="s">
        <v>263</v>
      </c>
      <c r="CX703" s="4" t="s">
        <v>264</v>
      </c>
      <c r="DA703" s="6">
        <f>17831</f>
        <v>17831</v>
      </c>
      <c r="DC703" s="4" t="s">
        <v>287</v>
      </c>
      <c r="DD703" s="4" t="s">
        <v>241</v>
      </c>
      <c r="DF703" s="4" t="s">
        <v>287</v>
      </c>
      <c r="DG703" s="6">
        <f>0</f>
        <v>0</v>
      </c>
      <c r="DI703" s="4" t="s">
        <v>3167</v>
      </c>
      <c r="DJ703" s="4" t="s">
        <v>241</v>
      </c>
      <c r="DK703" s="4" t="s">
        <v>241</v>
      </c>
      <c r="DL703" s="4" t="s">
        <v>241</v>
      </c>
      <c r="DP703" s="4" t="s">
        <v>241</v>
      </c>
      <c r="DQ703" s="4" t="s">
        <v>241</v>
      </c>
      <c r="DR703" s="4" t="s">
        <v>241</v>
      </c>
      <c r="DS703" s="4" t="s">
        <v>241</v>
      </c>
      <c r="DV703" s="4" t="s">
        <v>4449</v>
      </c>
      <c r="DW703" s="4" t="s">
        <v>267</v>
      </c>
      <c r="HO703" s="4" t="s">
        <v>267</v>
      </c>
    </row>
    <row r="704" spans="1:223" ht="19.5" customHeight="1" x14ac:dyDescent="0.4">
      <c r="A704" s="4">
        <v>1</v>
      </c>
      <c r="B704" s="4" t="s">
        <v>239</v>
      </c>
      <c r="C704" s="4">
        <v>1566</v>
      </c>
      <c r="D704" s="4">
        <v>1</v>
      </c>
      <c r="E704" s="4">
        <v>1</v>
      </c>
      <c r="F704" s="4" t="s">
        <v>240</v>
      </c>
      <c r="G704" s="4" t="s">
        <v>241</v>
      </c>
      <c r="H704" s="4" t="s">
        <v>241</v>
      </c>
      <c r="I704" s="4" t="s">
        <v>4443</v>
      </c>
      <c r="J704" s="4" t="s">
        <v>3158</v>
      </c>
      <c r="K704" s="4" t="s">
        <v>251</v>
      </c>
      <c r="L704" s="4" t="s">
        <v>4442</v>
      </c>
      <c r="M704" s="5" t="s">
        <v>4444</v>
      </c>
      <c r="N704" s="6">
        <f>1604</f>
        <v>1604</v>
      </c>
      <c r="O704" s="4" t="s">
        <v>265</v>
      </c>
      <c r="P704" s="6">
        <f>17644</f>
        <v>17644</v>
      </c>
      <c r="Q704" s="6">
        <f>0</f>
        <v>0</v>
      </c>
      <c r="S704" s="6">
        <f>0</f>
        <v>0</v>
      </c>
      <c r="T704" s="6">
        <f>17644</f>
        <v>17644</v>
      </c>
      <c r="U704" s="5" t="s">
        <v>245</v>
      </c>
      <c r="V704" s="4" t="s">
        <v>270</v>
      </c>
      <c r="W704" s="4" t="s">
        <v>242</v>
      </c>
      <c r="X704" s="4" t="s">
        <v>243</v>
      </c>
      <c r="Y704" s="4" t="s">
        <v>241</v>
      </c>
      <c r="AB704" s="4" t="s">
        <v>241</v>
      </c>
      <c r="AD704" s="5" t="s">
        <v>241</v>
      </c>
      <c r="AG704" s="5" t="s">
        <v>246</v>
      </c>
      <c r="AH704" s="4" t="s">
        <v>241</v>
      </c>
      <c r="AI704" s="4" t="s">
        <v>247</v>
      </c>
      <c r="AJ704" s="4" t="s">
        <v>248</v>
      </c>
      <c r="AZ704" s="4" t="s">
        <v>249</v>
      </c>
      <c r="BA704" s="4" t="s">
        <v>241</v>
      </c>
      <c r="BB704" s="4" t="s">
        <v>250</v>
      </c>
      <c r="BC704" s="4" t="s">
        <v>241</v>
      </c>
      <c r="BD704" s="4" t="s">
        <v>252</v>
      </c>
      <c r="BE704" s="4" t="s">
        <v>241</v>
      </c>
      <c r="BG704" s="4" t="s">
        <v>412</v>
      </c>
      <c r="BI704" s="4" t="s">
        <v>253</v>
      </c>
      <c r="BJ704" s="5" t="s">
        <v>246</v>
      </c>
      <c r="BK704" s="4" t="s">
        <v>254</v>
      </c>
      <c r="BL704" s="4" t="s">
        <v>255</v>
      </c>
      <c r="BM704" s="4" t="s">
        <v>241</v>
      </c>
      <c r="BN704" s="6">
        <f>0</f>
        <v>0</v>
      </c>
      <c r="BO704" s="6">
        <f>0</f>
        <v>0</v>
      </c>
      <c r="BP704" s="4" t="s">
        <v>256</v>
      </c>
      <c r="BQ704" s="4" t="s">
        <v>257</v>
      </c>
      <c r="CE704" s="4" t="s">
        <v>241</v>
      </c>
      <c r="CF704" s="4" t="s">
        <v>241</v>
      </c>
      <c r="CJ704" s="4" t="s">
        <v>258</v>
      </c>
      <c r="CK704" s="4" t="s">
        <v>259</v>
      </c>
      <c r="CL704" s="4" t="s">
        <v>241</v>
      </c>
      <c r="CO704" s="5" t="s">
        <v>260</v>
      </c>
      <c r="CP704" s="4" t="s">
        <v>241</v>
      </c>
      <c r="CQ704" s="4" t="s">
        <v>261</v>
      </c>
      <c r="CR704" s="4" t="s">
        <v>241</v>
      </c>
      <c r="CS704" s="4" t="s">
        <v>241</v>
      </c>
      <c r="CT704" s="4">
        <v>0</v>
      </c>
      <c r="CU704" s="4" t="s">
        <v>262</v>
      </c>
      <c r="CV704" s="4" t="s">
        <v>263</v>
      </c>
      <c r="CW704" s="4" t="s">
        <v>263</v>
      </c>
      <c r="CX704" s="4" t="s">
        <v>264</v>
      </c>
      <c r="DA704" s="6">
        <f>17644</f>
        <v>17644</v>
      </c>
      <c r="DC704" s="4" t="s">
        <v>287</v>
      </c>
      <c r="DD704" s="4" t="s">
        <v>241</v>
      </c>
      <c r="DF704" s="4" t="s">
        <v>287</v>
      </c>
      <c r="DG704" s="6">
        <f>0</f>
        <v>0</v>
      </c>
      <c r="DI704" s="4" t="s">
        <v>3167</v>
      </c>
      <c r="DJ704" s="4" t="s">
        <v>241</v>
      </c>
      <c r="DK704" s="4" t="s">
        <v>241</v>
      </c>
      <c r="DL704" s="4" t="s">
        <v>241</v>
      </c>
      <c r="DP704" s="4" t="s">
        <v>241</v>
      </c>
      <c r="DQ704" s="4" t="s">
        <v>241</v>
      </c>
      <c r="DR704" s="4" t="s">
        <v>241</v>
      </c>
      <c r="DS704" s="4" t="s">
        <v>241</v>
      </c>
      <c r="DV704" s="4" t="s">
        <v>4445</v>
      </c>
      <c r="DW704" s="4" t="s">
        <v>267</v>
      </c>
      <c r="HO704" s="4" t="s">
        <v>267</v>
      </c>
    </row>
    <row r="705" spans="1:223" ht="19.5" customHeight="1" x14ac:dyDescent="0.4">
      <c r="A705" s="4">
        <v>1</v>
      </c>
      <c r="B705" s="4" t="s">
        <v>239</v>
      </c>
      <c r="C705" s="4">
        <v>1567</v>
      </c>
      <c r="D705" s="4">
        <v>1</v>
      </c>
      <c r="E705" s="4">
        <v>1</v>
      </c>
      <c r="F705" s="4" t="s">
        <v>240</v>
      </c>
      <c r="G705" s="4" t="s">
        <v>241</v>
      </c>
      <c r="H705" s="4" t="s">
        <v>241</v>
      </c>
      <c r="I705" s="4" t="s">
        <v>4439</v>
      </c>
      <c r="J705" s="4" t="s">
        <v>3158</v>
      </c>
      <c r="K705" s="4" t="s">
        <v>251</v>
      </c>
      <c r="L705" s="4" t="s">
        <v>4438</v>
      </c>
      <c r="M705" s="5" t="s">
        <v>4440</v>
      </c>
      <c r="N705" s="6">
        <f>665</f>
        <v>665</v>
      </c>
      <c r="O705" s="4" t="s">
        <v>265</v>
      </c>
      <c r="P705" s="6">
        <f>7315</f>
        <v>7315</v>
      </c>
      <c r="Q705" s="6">
        <f>0</f>
        <v>0</v>
      </c>
      <c r="S705" s="6">
        <f>0</f>
        <v>0</v>
      </c>
      <c r="T705" s="6">
        <f>7315</f>
        <v>7315</v>
      </c>
      <c r="U705" s="5" t="s">
        <v>245</v>
      </c>
      <c r="V705" s="4" t="s">
        <v>270</v>
      </c>
      <c r="W705" s="4" t="s">
        <v>242</v>
      </c>
      <c r="X705" s="4" t="s">
        <v>243</v>
      </c>
      <c r="Y705" s="4" t="s">
        <v>241</v>
      </c>
      <c r="AB705" s="4" t="s">
        <v>241</v>
      </c>
      <c r="AD705" s="5" t="s">
        <v>241</v>
      </c>
      <c r="AG705" s="5" t="s">
        <v>246</v>
      </c>
      <c r="AH705" s="4" t="s">
        <v>241</v>
      </c>
      <c r="AI705" s="4" t="s">
        <v>247</v>
      </c>
      <c r="AJ705" s="4" t="s">
        <v>248</v>
      </c>
      <c r="AZ705" s="4" t="s">
        <v>249</v>
      </c>
      <c r="BA705" s="4" t="s">
        <v>241</v>
      </c>
      <c r="BB705" s="4" t="s">
        <v>250</v>
      </c>
      <c r="BC705" s="4" t="s">
        <v>241</v>
      </c>
      <c r="BD705" s="4" t="s">
        <v>252</v>
      </c>
      <c r="BE705" s="4" t="s">
        <v>241</v>
      </c>
      <c r="BG705" s="4" t="s">
        <v>412</v>
      </c>
      <c r="BI705" s="4" t="s">
        <v>253</v>
      </c>
      <c r="BJ705" s="5" t="s">
        <v>246</v>
      </c>
      <c r="BK705" s="4" t="s">
        <v>254</v>
      </c>
      <c r="BL705" s="4" t="s">
        <v>255</v>
      </c>
      <c r="BM705" s="4" t="s">
        <v>241</v>
      </c>
      <c r="BN705" s="6">
        <f>0</f>
        <v>0</v>
      </c>
      <c r="BO705" s="6">
        <f>0</f>
        <v>0</v>
      </c>
      <c r="BP705" s="4" t="s">
        <v>256</v>
      </c>
      <c r="BQ705" s="4" t="s">
        <v>257</v>
      </c>
      <c r="CE705" s="4" t="s">
        <v>241</v>
      </c>
      <c r="CF705" s="4" t="s">
        <v>241</v>
      </c>
      <c r="CJ705" s="4" t="s">
        <v>258</v>
      </c>
      <c r="CK705" s="4" t="s">
        <v>259</v>
      </c>
      <c r="CL705" s="4" t="s">
        <v>241</v>
      </c>
      <c r="CO705" s="5" t="s">
        <v>260</v>
      </c>
      <c r="CP705" s="4" t="s">
        <v>241</v>
      </c>
      <c r="CQ705" s="4" t="s">
        <v>261</v>
      </c>
      <c r="CR705" s="4" t="s">
        <v>241</v>
      </c>
      <c r="CS705" s="4" t="s">
        <v>241</v>
      </c>
      <c r="CT705" s="4">
        <v>0</v>
      </c>
      <c r="CU705" s="4" t="s">
        <v>262</v>
      </c>
      <c r="CV705" s="4" t="s">
        <v>263</v>
      </c>
      <c r="CW705" s="4" t="s">
        <v>263</v>
      </c>
      <c r="CX705" s="4" t="s">
        <v>264</v>
      </c>
      <c r="DA705" s="6">
        <f>7315</f>
        <v>7315</v>
      </c>
      <c r="DC705" s="4" t="s">
        <v>287</v>
      </c>
      <c r="DD705" s="4" t="s">
        <v>241</v>
      </c>
      <c r="DF705" s="4" t="s">
        <v>287</v>
      </c>
      <c r="DG705" s="6">
        <f>0</f>
        <v>0</v>
      </c>
      <c r="DI705" s="4" t="s">
        <v>3167</v>
      </c>
      <c r="DJ705" s="4" t="s">
        <v>241</v>
      </c>
      <c r="DK705" s="4" t="s">
        <v>241</v>
      </c>
      <c r="DL705" s="4" t="s">
        <v>241</v>
      </c>
      <c r="DP705" s="4" t="s">
        <v>241</v>
      </c>
      <c r="DQ705" s="4" t="s">
        <v>241</v>
      </c>
      <c r="DR705" s="4" t="s">
        <v>241</v>
      </c>
      <c r="DS705" s="4" t="s">
        <v>241</v>
      </c>
      <c r="DV705" s="4" t="s">
        <v>4441</v>
      </c>
      <c r="DW705" s="4" t="s">
        <v>267</v>
      </c>
      <c r="HO705" s="4" t="s">
        <v>267</v>
      </c>
    </row>
    <row r="706" spans="1:223" ht="19.5" customHeight="1" x14ac:dyDescent="0.4">
      <c r="A706" s="4">
        <v>1</v>
      </c>
      <c r="B706" s="4" t="s">
        <v>239</v>
      </c>
      <c r="C706" s="4">
        <v>1568</v>
      </c>
      <c r="D706" s="4">
        <v>1</v>
      </c>
      <c r="E706" s="4">
        <v>1</v>
      </c>
      <c r="F706" s="4" t="s">
        <v>240</v>
      </c>
      <c r="G706" s="4" t="s">
        <v>241</v>
      </c>
      <c r="H706" s="4" t="s">
        <v>241</v>
      </c>
      <c r="I706" s="4" t="s">
        <v>4435</v>
      </c>
      <c r="J706" s="4" t="s">
        <v>3158</v>
      </c>
      <c r="K706" s="4" t="s">
        <v>251</v>
      </c>
      <c r="L706" s="4" t="s">
        <v>4434</v>
      </c>
      <c r="M706" s="5" t="s">
        <v>4436</v>
      </c>
      <c r="N706" s="6">
        <f>899</f>
        <v>899</v>
      </c>
      <c r="O706" s="4" t="s">
        <v>265</v>
      </c>
      <c r="P706" s="6">
        <f>9889</f>
        <v>9889</v>
      </c>
      <c r="Q706" s="6">
        <f>0</f>
        <v>0</v>
      </c>
      <c r="S706" s="6">
        <f>0</f>
        <v>0</v>
      </c>
      <c r="T706" s="6">
        <f>9889</f>
        <v>9889</v>
      </c>
      <c r="U706" s="5" t="s">
        <v>245</v>
      </c>
      <c r="V706" s="4" t="s">
        <v>270</v>
      </c>
      <c r="W706" s="4" t="s">
        <v>242</v>
      </c>
      <c r="X706" s="4" t="s">
        <v>243</v>
      </c>
      <c r="Y706" s="4" t="s">
        <v>241</v>
      </c>
      <c r="AB706" s="4" t="s">
        <v>241</v>
      </c>
      <c r="AD706" s="5" t="s">
        <v>241</v>
      </c>
      <c r="AG706" s="5" t="s">
        <v>246</v>
      </c>
      <c r="AH706" s="4" t="s">
        <v>241</v>
      </c>
      <c r="AI706" s="4" t="s">
        <v>247</v>
      </c>
      <c r="AJ706" s="4" t="s">
        <v>248</v>
      </c>
      <c r="AZ706" s="4" t="s">
        <v>249</v>
      </c>
      <c r="BA706" s="4" t="s">
        <v>241</v>
      </c>
      <c r="BB706" s="4" t="s">
        <v>250</v>
      </c>
      <c r="BC706" s="4" t="s">
        <v>241</v>
      </c>
      <c r="BD706" s="4" t="s">
        <v>252</v>
      </c>
      <c r="BE706" s="4" t="s">
        <v>241</v>
      </c>
      <c r="BG706" s="4" t="s">
        <v>412</v>
      </c>
      <c r="BI706" s="4" t="s">
        <v>253</v>
      </c>
      <c r="BJ706" s="5" t="s">
        <v>246</v>
      </c>
      <c r="BK706" s="4" t="s">
        <v>254</v>
      </c>
      <c r="BL706" s="4" t="s">
        <v>255</v>
      </c>
      <c r="BM706" s="4" t="s">
        <v>241</v>
      </c>
      <c r="BN706" s="6">
        <f>0</f>
        <v>0</v>
      </c>
      <c r="BO706" s="6">
        <f>0</f>
        <v>0</v>
      </c>
      <c r="BP706" s="4" t="s">
        <v>256</v>
      </c>
      <c r="BQ706" s="4" t="s">
        <v>257</v>
      </c>
      <c r="CE706" s="4" t="s">
        <v>241</v>
      </c>
      <c r="CF706" s="4" t="s">
        <v>241</v>
      </c>
      <c r="CJ706" s="4" t="s">
        <v>258</v>
      </c>
      <c r="CK706" s="4" t="s">
        <v>259</v>
      </c>
      <c r="CL706" s="4" t="s">
        <v>241</v>
      </c>
      <c r="CO706" s="5" t="s">
        <v>260</v>
      </c>
      <c r="CP706" s="4" t="s">
        <v>241</v>
      </c>
      <c r="CQ706" s="4" t="s">
        <v>261</v>
      </c>
      <c r="CR706" s="4" t="s">
        <v>241</v>
      </c>
      <c r="CS706" s="4" t="s">
        <v>241</v>
      </c>
      <c r="CT706" s="4">
        <v>0</v>
      </c>
      <c r="CU706" s="4" t="s">
        <v>262</v>
      </c>
      <c r="CV706" s="4" t="s">
        <v>263</v>
      </c>
      <c r="CW706" s="4" t="s">
        <v>263</v>
      </c>
      <c r="CX706" s="4" t="s">
        <v>264</v>
      </c>
      <c r="DA706" s="6">
        <f>9889</f>
        <v>9889</v>
      </c>
      <c r="DC706" s="4" t="s">
        <v>287</v>
      </c>
      <c r="DD706" s="4" t="s">
        <v>241</v>
      </c>
      <c r="DF706" s="4" t="s">
        <v>287</v>
      </c>
      <c r="DG706" s="6">
        <f>0</f>
        <v>0</v>
      </c>
      <c r="DI706" s="4" t="s">
        <v>3167</v>
      </c>
      <c r="DJ706" s="4" t="s">
        <v>241</v>
      </c>
      <c r="DK706" s="4" t="s">
        <v>241</v>
      </c>
      <c r="DL706" s="4" t="s">
        <v>241</v>
      </c>
      <c r="DP706" s="4" t="s">
        <v>241</v>
      </c>
      <c r="DQ706" s="4" t="s">
        <v>241</v>
      </c>
      <c r="DR706" s="4" t="s">
        <v>241</v>
      </c>
      <c r="DS706" s="4" t="s">
        <v>241</v>
      </c>
      <c r="DV706" s="4" t="s">
        <v>4437</v>
      </c>
      <c r="DW706" s="4" t="s">
        <v>267</v>
      </c>
      <c r="HO706" s="4" t="s">
        <v>267</v>
      </c>
    </row>
    <row r="707" spans="1:223" ht="19.5" customHeight="1" x14ac:dyDescent="0.4">
      <c r="A707" s="4">
        <v>1</v>
      </c>
      <c r="B707" s="4" t="s">
        <v>239</v>
      </c>
      <c r="C707" s="4">
        <v>1569</v>
      </c>
      <c r="D707" s="4">
        <v>1</v>
      </c>
      <c r="E707" s="4">
        <v>1</v>
      </c>
      <c r="F707" s="4" t="s">
        <v>240</v>
      </c>
      <c r="G707" s="4" t="s">
        <v>241</v>
      </c>
      <c r="H707" s="4" t="s">
        <v>241</v>
      </c>
      <c r="I707" s="4" t="s">
        <v>5428</v>
      </c>
      <c r="J707" s="4" t="s">
        <v>3158</v>
      </c>
      <c r="K707" s="4" t="s">
        <v>251</v>
      </c>
      <c r="L707" s="4" t="s">
        <v>5427</v>
      </c>
      <c r="M707" s="5" t="s">
        <v>5429</v>
      </c>
      <c r="N707" s="6">
        <f>1153</f>
        <v>1153</v>
      </c>
      <c r="O707" s="4" t="s">
        <v>265</v>
      </c>
      <c r="P707" s="6">
        <f>12683</f>
        <v>12683</v>
      </c>
      <c r="Q707" s="6">
        <f>0</f>
        <v>0</v>
      </c>
      <c r="S707" s="6">
        <f>0</f>
        <v>0</v>
      </c>
      <c r="T707" s="6">
        <f>12683</f>
        <v>12683</v>
      </c>
      <c r="U707" s="5" t="s">
        <v>245</v>
      </c>
      <c r="V707" s="4" t="s">
        <v>270</v>
      </c>
      <c r="W707" s="4" t="s">
        <v>242</v>
      </c>
      <c r="X707" s="4" t="s">
        <v>243</v>
      </c>
      <c r="Y707" s="4" t="s">
        <v>241</v>
      </c>
      <c r="AB707" s="4" t="s">
        <v>241</v>
      </c>
      <c r="AD707" s="5" t="s">
        <v>241</v>
      </c>
      <c r="AG707" s="5" t="s">
        <v>246</v>
      </c>
      <c r="AH707" s="4" t="s">
        <v>241</v>
      </c>
      <c r="AI707" s="4" t="s">
        <v>247</v>
      </c>
      <c r="AJ707" s="4" t="s">
        <v>248</v>
      </c>
      <c r="AZ707" s="4" t="s">
        <v>249</v>
      </c>
      <c r="BA707" s="4" t="s">
        <v>241</v>
      </c>
      <c r="BB707" s="4" t="s">
        <v>250</v>
      </c>
      <c r="BC707" s="4" t="s">
        <v>241</v>
      </c>
      <c r="BD707" s="4" t="s">
        <v>252</v>
      </c>
      <c r="BE707" s="4" t="s">
        <v>241</v>
      </c>
      <c r="BG707" s="4" t="s">
        <v>412</v>
      </c>
      <c r="BI707" s="4" t="s">
        <v>253</v>
      </c>
      <c r="BJ707" s="5" t="s">
        <v>246</v>
      </c>
      <c r="BK707" s="4" t="s">
        <v>254</v>
      </c>
      <c r="BL707" s="4" t="s">
        <v>255</v>
      </c>
      <c r="BM707" s="4" t="s">
        <v>241</v>
      </c>
      <c r="BN707" s="6">
        <f>0</f>
        <v>0</v>
      </c>
      <c r="BO707" s="6">
        <f>0</f>
        <v>0</v>
      </c>
      <c r="BP707" s="4" t="s">
        <v>256</v>
      </c>
      <c r="BQ707" s="4" t="s">
        <v>257</v>
      </c>
      <c r="CE707" s="4" t="s">
        <v>241</v>
      </c>
      <c r="CF707" s="4" t="s">
        <v>241</v>
      </c>
      <c r="CJ707" s="4" t="s">
        <v>258</v>
      </c>
      <c r="CK707" s="4" t="s">
        <v>259</v>
      </c>
      <c r="CL707" s="4" t="s">
        <v>241</v>
      </c>
      <c r="CO707" s="5" t="s">
        <v>260</v>
      </c>
      <c r="CP707" s="4" t="s">
        <v>241</v>
      </c>
      <c r="CQ707" s="4" t="s">
        <v>261</v>
      </c>
      <c r="CR707" s="4" t="s">
        <v>241</v>
      </c>
      <c r="CS707" s="4" t="s">
        <v>241</v>
      </c>
      <c r="CT707" s="4">
        <v>0</v>
      </c>
      <c r="CU707" s="4" t="s">
        <v>262</v>
      </c>
      <c r="CV707" s="4" t="s">
        <v>263</v>
      </c>
      <c r="CW707" s="4" t="s">
        <v>263</v>
      </c>
      <c r="CX707" s="4" t="s">
        <v>264</v>
      </c>
      <c r="DA707" s="6">
        <f>12683</f>
        <v>12683</v>
      </c>
      <c r="DC707" s="4" t="s">
        <v>287</v>
      </c>
      <c r="DD707" s="4" t="s">
        <v>241</v>
      </c>
      <c r="DF707" s="4" t="s">
        <v>287</v>
      </c>
      <c r="DG707" s="6">
        <f>0</f>
        <v>0</v>
      </c>
      <c r="DI707" s="4" t="s">
        <v>3167</v>
      </c>
      <c r="DJ707" s="4" t="s">
        <v>241</v>
      </c>
      <c r="DK707" s="4" t="s">
        <v>241</v>
      </c>
      <c r="DL707" s="4" t="s">
        <v>241</v>
      </c>
      <c r="DP707" s="4" t="s">
        <v>241</v>
      </c>
      <c r="DQ707" s="4" t="s">
        <v>241</v>
      </c>
      <c r="DR707" s="4" t="s">
        <v>241</v>
      </c>
      <c r="DS707" s="4" t="s">
        <v>241</v>
      </c>
      <c r="DV707" s="4" t="s">
        <v>5430</v>
      </c>
      <c r="DW707" s="4" t="s">
        <v>267</v>
      </c>
      <c r="HO707" s="4" t="s">
        <v>267</v>
      </c>
    </row>
    <row r="708" spans="1:223" ht="19.5" customHeight="1" x14ac:dyDescent="0.4">
      <c r="A708" s="4">
        <v>1</v>
      </c>
      <c r="B708" s="4" t="s">
        <v>239</v>
      </c>
      <c r="C708" s="4">
        <v>1570</v>
      </c>
      <c r="D708" s="4">
        <v>1</v>
      </c>
      <c r="E708" s="4">
        <v>1</v>
      </c>
      <c r="F708" s="4" t="s">
        <v>240</v>
      </c>
      <c r="G708" s="4" t="s">
        <v>241</v>
      </c>
      <c r="H708" s="4" t="s">
        <v>241</v>
      </c>
      <c r="I708" s="4" t="s">
        <v>4430</v>
      </c>
      <c r="J708" s="4" t="s">
        <v>3158</v>
      </c>
      <c r="K708" s="4" t="s">
        <v>251</v>
      </c>
      <c r="L708" s="4" t="s">
        <v>4429</v>
      </c>
      <c r="M708" s="5" t="s">
        <v>4431</v>
      </c>
      <c r="N708" s="6">
        <f>2203</f>
        <v>2203</v>
      </c>
      <c r="O708" s="4" t="s">
        <v>265</v>
      </c>
      <c r="P708" s="6">
        <f>24233</f>
        <v>24233</v>
      </c>
      <c r="Q708" s="6">
        <f>0</f>
        <v>0</v>
      </c>
      <c r="S708" s="6">
        <f>0</f>
        <v>0</v>
      </c>
      <c r="T708" s="6">
        <f>24233</f>
        <v>24233</v>
      </c>
      <c r="U708" s="5" t="s">
        <v>245</v>
      </c>
      <c r="V708" s="4" t="s">
        <v>270</v>
      </c>
      <c r="W708" s="4" t="s">
        <v>242</v>
      </c>
      <c r="X708" s="4" t="s">
        <v>243</v>
      </c>
      <c r="Y708" s="4" t="s">
        <v>241</v>
      </c>
      <c r="AB708" s="4" t="s">
        <v>241</v>
      </c>
      <c r="AD708" s="5" t="s">
        <v>241</v>
      </c>
      <c r="AG708" s="5" t="s">
        <v>246</v>
      </c>
      <c r="AH708" s="4" t="s">
        <v>241</v>
      </c>
      <c r="AI708" s="4" t="s">
        <v>247</v>
      </c>
      <c r="AJ708" s="4" t="s">
        <v>248</v>
      </c>
      <c r="AZ708" s="4" t="s">
        <v>249</v>
      </c>
      <c r="BA708" s="4" t="s">
        <v>241</v>
      </c>
      <c r="BB708" s="4" t="s">
        <v>250</v>
      </c>
      <c r="BC708" s="4" t="s">
        <v>241</v>
      </c>
      <c r="BD708" s="4" t="s">
        <v>252</v>
      </c>
      <c r="BE708" s="4" t="s">
        <v>241</v>
      </c>
      <c r="BG708" s="4" t="s">
        <v>412</v>
      </c>
      <c r="BI708" s="4" t="s">
        <v>253</v>
      </c>
      <c r="BJ708" s="5" t="s">
        <v>246</v>
      </c>
      <c r="BK708" s="4" t="s">
        <v>254</v>
      </c>
      <c r="BL708" s="4" t="s">
        <v>255</v>
      </c>
      <c r="BM708" s="4" t="s">
        <v>241</v>
      </c>
      <c r="BN708" s="6">
        <f>0</f>
        <v>0</v>
      </c>
      <c r="BO708" s="6">
        <f>0</f>
        <v>0</v>
      </c>
      <c r="BP708" s="4" t="s">
        <v>256</v>
      </c>
      <c r="BQ708" s="4" t="s">
        <v>257</v>
      </c>
      <c r="CE708" s="4" t="s">
        <v>241</v>
      </c>
      <c r="CF708" s="4" t="s">
        <v>241</v>
      </c>
      <c r="CJ708" s="4" t="s">
        <v>258</v>
      </c>
      <c r="CK708" s="4" t="s">
        <v>259</v>
      </c>
      <c r="CL708" s="4" t="s">
        <v>241</v>
      </c>
      <c r="CO708" s="5" t="s">
        <v>260</v>
      </c>
      <c r="CP708" s="4" t="s">
        <v>241</v>
      </c>
      <c r="CQ708" s="4" t="s">
        <v>261</v>
      </c>
      <c r="CR708" s="4" t="s">
        <v>241</v>
      </c>
      <c r="CS708" s="4" t="s">
        <v>241</v>
      </c>
      <c r="CT708" s="4">
        <v>0</v>
      </c>
      <c r="CU708" s="4" t="s">
        <v>262</v>
      </c>
      <c r="CV708" s="4" t="s">
        <v>263</v>
      </c>
      <c r="CW708" s="4" t="s">
        <v>263</v>
      </c>
      <c r="CX708" s="4" t="s">
        <v>264</v>
      </c>
      <c r="DA708" s="6">
        <f>24233</f>
        <v>24233</v>
      </c>
      <c r="DC708" s="4" t="s">
        <v>287</v>
      </c>
      <c r="DD708" s="4" t="s">
        <v>241</v>
      </c>
      <c r="DF708" s="4" t="s">
        <v>287</v>
      </c>
      <c r="DG708" s="6">
        <f>0</f>
        <v>0</v>
      </c>
      <c r="DI708" s="4" t="s">
        <v>3167</v>
      </c>
      <c r="DJ708" s="4" t="s">
        <v>241</v>
      </c>
      <c r="DK708" s="4" t="s">
        <v>241</v>
      </c>
      <c r="DL708" s="4" t="s">
        <v>241</v>
      </c>
      <c r="DP708" s="4" t="s">
        <v>241</v>
      </c>
      <c r="DQ708" s="4" t="s">
        <v>241</v>
      </c>
      <c r="DR708" s="4" t="s">
        <v>241</v>
      </c>
      <c r="DS708" s="4" t="s">
        <v>241</v>
      </c>
      <c r="DV708" s="4" t="s">
        <v>4432</v>
      </c>
      <c r="DW708" s="4" t="s">
        <v>267</v>
      </c>
      <c r="HO708" s="4" t="s">
        <v>267</v>
      </c>
    </row>
    <row r="709" spans="1:223" ht="19.5" customHeight="1" x14ac:dyDescent="0.4">
      <c r="A709" s="4">
        <v>1</v>
      </c>
      <c r="B709" s="4" t="s">
        <v>239</v>
      </c>
      <c r="C709" s="4">
        <v>1571</v>
      </c>
      <c r="D709" s="4">
        <v>1</v>
      </c>
      <c r="E709" s="4">
        <v>1</v>
      </c>
      <c r="F709" s="4" t="s">
        <v>240</v>
      </c>
      <c r="G709" s="4" t="s">
        <v>241</v>
      </c>
      <c r="H709" s="4" t="s">
        <v>241</v>
      </c>
      <c r="I709" s="4" t="s">
        <v>4426</v>
      </c>
      <c r="J709" s="4" t="s">
        <v>3158</v>
      </c>
      <c r="K709" s="4" t="s">
        <v>251</v>
      </c>
      <c r="L709" s="4" t="s">
        <v>4425</v>
      </c>
      <c r="M709" s="5" t="s">
        <v>4427</v>
      </c>
      <c r="N709" s="6">
        <f>1065</f>
        <v>1065</v>
      </c>
      <c r="O709" s="4" t="s">
        <v>265</v>
      </c>
      <c r="P709" s="6">
        <f>11715</f>
        <v>11715</v>
      </c>
      <c r="Q709" s="6">
        <f>0</f>
        <v>0</v>
      </c>
      <c r="S709" s="6">
        <f>0</f>
        <v>0</v>
      </c>
      <c r="T709" s="6">
        <f>11715</f>
        <v>11715</v>
      </c>
      <c r="U709" s="5" t="s">
        <v>245</v>
      </c>
      <c r="V709" s="4" t="s">
        <v>270</v>
      </c>
      <c r="W709" s="4" t="s">
        <v>242</v>
      </c>
      <c r="X709" s="4" t="s">
        <v>243</v>
      </c>
      <c r="Y709" s="4" t="s">
        <v>241</v>
      </c>
      <c r="AB709" s="4" t="s">
        <v>241</v>
      </c>
      <c r="AD709" s="5" t="s">
        <v>241</v>
      </c>
      <c r="AG709" s="5" t="s">
        <v>246</v>
      </c>
      <c r="AH709" s="4" t="s">
        <v>241</v>
      </c>
      <c r="AI709" s="4" t="s">
        <v>247</v>
      </c>
      <c r="AJ709" s="4" t="s">
        <v>248</v>
      </c>
      <c r="AZ709" s="4" t="s">
        <v>249</v>
      </c>
      <c r="BA709" s="4" t="s">
        <v>241</v>
      </c>
      <c r="BB709" s="4" t="s">
        <v>250</v>
      </c>
      <c r="BC709" s="4" t="s">
        <v>241</v>
      </c>
      <c r="BD709" s="4" t="s">
        <v>252</v>
      </c>
      <c r="BE709" s="4" t="s">
        <v>241</v>
      </c>
      <c r="BG709" s="4" t="s">
        <v>412</v>
      </c>
      <c r="BI709" s="4" t="s">
        <v>253</v>
      </c>
      <c r="BJ709" s="5" t="s">
        <v>246</v>
      </c>
      <c r="BK709" s="4" t="s">
        <v>254</v>
      </c>
      <c r="BL709" s="4" t="s">
        <v>255</v>
      </c>
      <c r="BM709" s="4" t="s">
        <v>241</v>
      </c>
      <c r="BN709" s="6">
        <f>0</f>
        <v>0</v>
      </c>
      <c r="BO709" s="6">
        <f>0</f>
        <v>0</v>
      </c>
      <c r="BP709" s="4" t="s">
        <v>256</v>
      </c>
      <c r="BQ709" s="4" t="s">
        <v>257</v>
      </c>
      <c r="CE709" s="4" t="s">
        <v>241</v>
      </c>
      <c r="CF709" s="4" t="s">
        <v>241</v>
      </c>
      <c r="CJ709" s="4" t="s">
        <v>258</v>
      </c>
      <c r="CK709" s="4" t="s">
        <v>259</v>
      </c>
      <c r="CL709" s="4" t="s">
        <v>241</v>
      </c>
      <c r="CO709" s="5" t="s">
        <v>260</v>
      </c>
      <c r="CP709" s="4" t="s">
        <v>241</v>
      </c>
      <c r="CQ709" s="4" t="s">
        <v>261</v>
      </c>
      <c r="CR709" s="4" t="s">
        <v>241</v>
      </c>
      <c r="CS709" s="4" t="s">
        <v>241</v>
      </c>
      <c r="CT709" s="4">
        <v>0</v>
      </c>
      <c r="CU709" s="4" t="s">
        <v>262</v>
      </c>
      <c r="CV709" s="4" t="s">
        <v>263</v>
      </c>
      <c r="CW709" s="4" t="s">
        <v>263</v>
      </c>
      <c r="CX709" s="4" t="s">
        <v>264</v>
      </c>
      <c r="DA709" s="6">
        <f>11715</f>
        <v>11715</v>
      </c>
      <c r="DC709" s="4" t="s">
        <v>287</v>
      </c>
      <c r="DD709" s="4" t="s">
        <v>241</v>
      </c>
      <c r="DF709" s="4" t="s">
        <v>287</v>
      </c>
      <c r="DG709" s="6">
        <f>0</f>
        <v>0</v>
      </c>
      <c r="DI709" s="4" t="s">
        <v>3167</v>
      </c>
      <c r="DJ709" s="4" t="s">
        <v>241</v>
      </c>
      <c r="DK709" s="4" t="s">
        <v>241</v>
      </c>
      <c r="DL709" s="4" t="s">
        <v>241</v>
      </c>
      <c r="DP709" s="4" t="s">
        <v>241</v>
      </c>
      <c r="DQ709" s="4" t="s">
        <v>241</v>
      </c>
      <c r="DR709" s="4" t="s">
        <v>241</v>
      </c>
      <c r="DS709" s="4" t="s">
        <v>241</v>
      </c>
      <c r="DV709" s="4" t="s">
        <v>4428</v>
      </c>
      <c r="DW709" s="4" t="s">
        <v>267</v>
      </c>
      <c r="HO709" s="4" t="s">
        <v>267</v>
      </c>
    </row>
    <row r="710" spans="1:223" ht="19.5" customHeight="1" x14ac:dyDescent="0.4">
      <c r="A710" s="4">
        <v>1</v>
      </c>
      <c r="B710" s="4" t="s">
        <v>239</v>
      </c>
      <c r="C710" s="4">
        <v>1572</v>
      </c>
      <c r="D710" s="4">
        <v>1</v>
      </c>
      <c r="E710" s="4">
        <v>1</v>
      </c>
      <c r="F710" s="4" t="s">
        <v>240</v>
      </c>
      <c r="G710" s="4" t="s">
        <v>241</v>
      </c>
      <c r="H710" s="4" t="s">
        <v>241</v>
      </c>
      <c r="I710" s="4" t="s">
        <v>4422</v>
      </c>
      <c r="J710" s="4" t="s">
        <v>3158</v>
      </c>
      <c r="K710" s="4" t="s">
        <v>251</v>
      </c>
      <c r="L710" s="4" t="s">
        <v>4421</v>
      </c>
      <c r="M710" s="5" t="s">
        <v>4423</v>
      </c>
      <c r="N710" s="6">
        <f>1451</f>
        <v>1451</v>
      </c>
      <c r="O710" s="4" t="s">
        <v>265</v>
      </c>
      <c r="P710" s="6">
        <f>15961</f>
        <v>15961</v>
      </c>
      <c r="Q710" s="6">
        <f>0</f>
        <v>0</v>
      </c>
      <c r="S710" s="6">
        <f>0</f>
        <v>0</v>
      </c>
      <c r="T710" s="6">
        <f>15961</f>
        <v>15961</v>
      </c>
      <c r="U710" s="5" t="s">
        <v>245</v>
      </c>
      <c r="V710" s="4" t="s">
        <v>270</v>
      </c>
      <c r="W710" s="4" t="s">
        <v>242</v>
      </c>
      <c r="X710" s="4" t="s">
        <v>243</v>
      </c>
      <c r="Y710" s="4" t="s">
        <v>241</v>
      </c>
      <c r="AB710" s="4" t="s">
        <v>241</v>
      </c>
      <c r="AD710" s="5" t="s">
        <v>241</v>
      </c>
      <c r="AG710" s="5" t="s">
        <v>246</v>
      </c>
      <c r="AH710" s="4" t="s">
        <v>241</v>
      </c>
      <c r="AI710" s="4" t="s">
        <v>247</v>
      </c>
      <c r="AJ710" s="4" t="s">
        <v>248</v>
      </c>
      <c r="AZ710" s="4" t="s">
        <v>249</v>
      </c>
      <c r="BA710" s="4" t="s">
        <v>241</v>
      </c>
      <c r="BB710" s="4" t="s">
        <v>250</v>
      </c>
      <c r="BC710" s="4" t="s">
        <v>241</v>
      </c>
      <c r="BD710" s="4" t="s">
        <v>252</v>
      </c>
      <c r="BE710" s="4" t="s">
        <v>241</v>
      </c>
      <c r="BG710" s="4" t="s">
        <v>412</v>
      </c>
      <c r="BI710" s="4" t="s">
        <v>253</v>
      </c>
      <c r="BJ710" s="5" t="s">
        <v>246</v>
      </c>
      <c r="BK710" s="4" t="s">
        <v>254</v>
      </c>
      <c r="BL710" s="4" t="s">
        <v>255</v>
      </c>
      <c r="BM710" s="4" t="s">
        <v>241</v>
      </c>
      <c r="BN710" s="6">
        <f>0</f>
        <v>0</v>
      </c>
      <c r="BO710" s="6">
        <f>0</f>
        <v>0</v>
      </c>
      <c r="BP710" s="4" t="s">
        <v>256</v>
      </c>
      <c r="BQ710" s="4" t="s">
        <v>257</v>
      </c>
      <c r="CE710" s="4" t="s">
        <v>241</v>
      </c>
      <c r="CF710" s="4" t="s">
        <v>241</v>
      </c>
      <c r="CJ710" s="4" t="s">
        <v>258</v>
      </c>
      <c r="CK710" s="4" t="s">
        <v>259</v>
      </c>
      <c r="CL710" s="4" t="s">
        <v>241</v>
      </c>
      <c r="CO710" s="5" t="s">
        <v>260</v>
      </c>
      <c r="CP710" s="4" t="s">
        <v>241</v>
      </c>
      <c r="CQ710" s="4" t="s">
        <v>261</v>
      </c>
      <c r="CR710" s="4" t="s">
        <v>241</v>
      </c>
      <c r="CS710" s="4" t="s">
        <v>241</v>
      </c>
      <c r="CT710" s="4">
        <v>0</v>
      </c>
      <c r="CU710" s="4" t="s">
        <v>262</v>
      </c>
      <c r="CV710" s="4" t="s">
        <v>263</v>
      </c>
      <c r="CW710" s="4" t="s">
        <v>263</v>
      </c>
      <c r="CX710" s="4" t="s">
        <v>264</v>
      </c>
      <c r="DA710" s="6">
        <f>15961</f>
        <v>15961</v>
      </c>
      <c r="DC710" s="4" t="s">
        <v>287</v>
      </c>
      <c r="DD710" s="4" t="s">
        <v>241</v>
      </c>
      <c r="DF710" s="4" t="s">
        <v>287</v>
      </c>
      <c r="DG710" s="6">
        <f>0</f>
        <v>0</v>
      </c>
      <c r="DI710" s="4" t="s">
        <v>3167</v>
      </c>
      <c r="DJ710" s="4" t="s">
        <v>241</v>
      </c>
      <c r="DK710" s="4" t="s">
        <v>241</v>
      </c>
      <c r="DL710" s="4" t="s">
        <v>241</v>
      </c>
      <c r="DP710" s="4" t="s">
        <v>241</v>
      </c>
      <c r="DQ710" s="4" t="s">
        <v>241</v>
      </c>
      <c r="DR710" s="4" t="s">
        <v>241</v>
      </c>
      <c r="DS710" s="4" t="s">
        <v>241</v>
      </c>
      <c r="DV710" s="4" t="s">
        <v>4424</v>
      </c>
      <c r="DW710" s="4" t="s">
        <v>267</v>
      </c>
      <c r="HO710" s="4" t="s">
        <v>267</v>
      </c>
    </row>
    <row r="711" spans="1:223" ht="19.5" customHeight="1" x14ac:dyDescent="0.4">
      <c r="A711" s="4">
        <v>1</v>
      </c>
      <c r="B711" s="4" t="s">
        <v>239</v>
      </c>
      <c r="C711" s="4">
        <v>1573</v>
      </c>
      <c r="D711" s="4">
        <v>1</v>
      </c>
      <c r="E711" s="4">
        <v>1</v>
      </c>
      <c r="F711" s="4" t="s">
        <v>240</v>
      </c>
      <c r="G711" s="4" t="s">
        <v>241</v>
      </c>
      <c r="H711" s="4" t="s">
        <v>241</v>
      </c>
      <c r="I711" s="4" t="s">
        <v>5424</v>
      </c>
      <c r="J711" s="4" t="s">
        <v>3158</v>
      </c>
      <c r="K711" s="4" t="s">
        <v>251</v>
      </c>
      <c r="L711" s="4" t="s">
        <v>5423</v>
      </c>
      <c r="M711" s="5" t="s">
        <v>5425</v>
      </c>
      <c r="N711" s="6">
        <f>512</f>
        <v>512</v>
      </c>
      <c r="O711" s="4" t="s">
        <v>265</v>
      </c>
      <c r="P711" s="6">
        <f>5632</f>
        <v>5632</v>
      </c>
      <c r="Q711" s="6">
        <f>0</f>
        <v>0</v>
      </c>
      <c r="S711" s="6">
        <f>0</f>
        <v>0</v>
      </c>
      <c r="T711" s="6">
        <f>5632</f>
        <v>5632</v>
      </c>
      <c r="U711" s="5" t="s">
        <v>245</v>
      </c>
      <c r="V711" s="4" t="s">
        <v>270</v>
      </c>
      <c r="W711" s="4" t="s">
        <v>242</v>
      </c>
      <c r="X711" s="4" t="s">
        <v>243</v>
      </c>
      <c r="Y711" s="4" t="s">
        <v>241</v>
      </c>
      <c r="AB711" s="4" t="s">
        <v>241</v>
      </c>
      <c r="AD711" s="5" t="s">
        <v>241</v>
      </c>
      <c r="AG711" s="5" t="s">
        <v>246</v>
      </c>
      <c r="AH711" s="4" t="s">
        <v>241</v>
      </c>
      <c r="AI711" s="4" t="s">
        <v>247</v>
      </c>
      <c r="AJ711" s="4" t="s">
        <v>248</v>
      </c>
      <c r="AZ711" s="4" t="s">
        <v>249</v>
      </c>
      <c r="BA711" s="4" t="s">
        <v>241</v>
      </c>
      <c r="BB711" s="4" t="s">
        <v>250</v>
      </c>
      <c r="BC711" s="4" t="s">
        <v>241</v>
      </c>
      <c r="BD711" s="4" t="s">
        <v>252</v>
      </c>
      <c r="BE711" s="4" t="s">
        <v>241</v>
      </c>
      <c r="BG711" s="4" t="s">
        <v>412</v>
      </c>
      <c r="BI711" s="4" t="s">
        <v>253</v>
      </c>
      <c r="BJ711" s="5" t="s">
        <v>246</v>
      </c>
      <c r="BK711" s="4" t="s">
        <v>254</v>
      </c>
      <c r="BL711" s="4" t="s">
        <v>255</v>
      </c>
      <c r="BM711" s="4" t="s">
        <v>241</v>
      </c>
      <c r="BN711" s="6">
        <f>0</f>
        <v>0</v>
      </c>
      <c r="BO711" s="6">
        <f>0</f>
        <v>0</v>
      </c>
      <c r="BP711" s="4" t="s">
        <v>256</v>
      </c>
      <c r="BQ711" s="4" t="s">
        <v>257</v>
      </c>
      <c r="CE711" s="4" t="s">
        <v>241</v>
      </c>
      <c r="CF711" s="4" t="s">
        <v>241</v>
      </c>
      <c r="CJ711" s="4" t="s">
        <v>258</v>
      </c>
      <c r="CK711" s="4" t="s">
        <v>259</v>
      </c>
      <c r="CL711" s="4" t="s">
        <v>241</v>
      </c>
      <c r="CO711" s="5" t="s">
        <v>260</v>
      </c>
      <c r="CP711" s="4" t="s">
        <v>241</v>
      </c>
      <c r="CQ711" s="4" t="s">
        <v>261</v>
      </c>
      <c r="CR711" s="4" t="s">
        <v>241</v>
      </c>
      <c r="CS711" s="4" t="s">
        <v>241</v>
      </c>
      <c r="CT711" s="4">
        <v>0</v>
      </c>
      <c r="CU711" s="4" t="s">
        <v>262</v>
      </c>
      <c r="CV711" s="4" t="s">
        <v>263</v>
      </c>
      <c r="CW711" s="4" t="s">
        <v>263</v>
      </c>
      <c r="CX711" s="4" t="s">
        <v>264</v>
      </c>
      <c r="DA711" s="6">
        <f>5632</f>
        <v>5632</v>
      </c>
      <c r="DC711" s="4" t="s">
        <v>287</v>
      </c>
      <c r="DD711" s="4" t="s">
        <v>241</v>
      </c>
      <c r="DF711" s="4" t="s">
        <v>287</v>
      </c>
      <c r="DG711" s="6">
        <f>0</f>
        <v>0</v>
      </c>
      <c r="DI711" s="4" t="s">
        <v>3167</v>
      </c>
      <c r="DJ711" s="4" t="s">
        <v>241</v>
      </c>
      <c r="DK711" s="4" t="s">
        <v>241</v>
      </c>
      <c r="DL711" s="4" t="s">
        <v>241</v>
      </c>
      <c r="DP711" s="4" t="s">
        <v>241</v>
      </c>
      <c r="DQ711" s="4" t="s">
        <v>241</v>
      </c>
      <c r="DR711" s="4" t="s">
        <v>241</v>
      </c>
      <c r="DS711" s="4" t="s">
        <v>241</v>
      </c>
      <c r="DV711" s="4" t="s">
        <v>5426</v>
      </c>
      <c r="DW711" s="4" t="s">
        <v>267</v>
      </c>
      <c r="HO711" s="4" t="s">
        <v>267</v>
      </c>
    </row>
    <row r="712" spans="1:223" ht="19.5" customHeight="1" x14ac:dyDescent="0.4">
      <c r="A712" s="4">
        <v>1</v>
      </c>
      <c r="B712" s="4" t="s">
        <v>239</v>
      </c>
      <c r="C712" s="4">
        <v>1574</v>
      </c>
      <c r="D712" s="4">
        <v>1</v>
      </c>
      <c r="E712" s="4">
        <v>1</v>
      </c>
      <c r="F712" s="4" t="s">
        <v>240</v>
      </c>
      <c r="G712" s="4" t="s">
        <v>241</v>
      </c>
      <c r="H712" s="4" t="s">
        <v>241</v>
      </c>
      <c r="I712" s="4" t="s">
        <v>4417</v>
      </c>
      <c r="J712" s="4" t="s">
        <v>3158</v>
      </c>
      <c r="K712" s="4" t="s">
        <v>251</v>
      </c>
      <c r="L712" s="4" t="s">
        <v>4416</v>
      </c>
      <c r="M712" s="5" t="s">
        <v>4418</v>
      </c>
      <c r="N712" s="6">
        <f>1075</f>
        <v>1075</v>
      </c>
      <c r="O712" s="4" t="s">
        <v>265</v>
      </c>
      <c r="P712" s="6">
        <f>11825</f>
        <v>11825</v>
      </c>
      <c r="Q712" s="6">
        <f>0</f>
        <v>0</v>
      </c>
      <c r="S712" s="6">
        <f>0</f>
        <v>0</v>
      </c>
      <c r="T712" s="6">
        <f>11825</f>
        <v>11825</v>
      </c>
      <c r="U712" s="5" t="s">
        <v>245</v>
      </c>
      <c r="V712" s="4" t="s">
        <v>270</v>
      </c>
      <c r="W712" s="4" t="s">
        <v>242</v>
      </c>
      <c r="X712" s="4" t="s">
        <v>243</v>
      </c>
      <c r="Y712" s="4" t="s">
        <v>241</v>
      </c>
      <c r="AB712" s="4" t="s">
        <v>241</v>
      </c>
      <c r="AD712" s="5" t="s">
        <v>241</v>
      </c>
      <c r="AG712" s="5" t="s">
        <v>246</v>
      </c>
      <c r="AH712" s="4" t="s">
        <v>241</v>
      </c>
      <c r="AI712" s="4" t="s">
        <v>247</v>
      </c>
      <c r="AJ712" s="4" t="s">
        <v>248</v>
      </c>
      <c r="AZ712" s="4" t="s">
        <v>249</v>
      </c>
      <c r="BA712" s="4" t="s">
        <v>241</v>
      </c>
      <c r="BB712" s="4" t="s">
        <v>250</v>
      </c>
      <c r="BC712" s="4" t="s">
        <v>241</v>
      </c>
      <c r="BD712" s="4" t="s">
        <v>252</v>
      </c>
      <c r="BE712" s="4" t="s">
        <v>241</v>
      </c>
      <c r="BG712" s="4" t="s">
        <v>412</v>
      </c>
      <c r="BI712" s="4" t="s">
        <v>253</v>
      </c>
      <c r="BJ712" s="5" t="s">
        <v>246</v>
      </c>
      <c r="BK712" s="4" t="s">
        <v>254</v>
      </c>
      <c r="BL712" s="4" t="s">
        <v>255</v>
      </c>
      <c r="BM712" s="4" t="s">
        <v>241</v>
      </c>
      <c r="BN712" s="6">
        <f>0</f>
        <v>0</v>
      </c>
      <c r="BO712" s="6">
        <f>0</f>
        <v>0</v>
      </c>
      <c r="BP712" s="4" t="s">
        <v>256</v>
      </c>
      <c r="BQ712" s="4" t="s">
        <v>257</v>
      </c>
      <c r="CE712" s="4" t="s">
        <v>241</v>
      </c>
      <c r="CF712" s="4" t="s">
        <v>241</v>
      </c>
      <c r="CJ712" s="4" t="s">
        <v>258</v>
      </c>
      <c r="CK712" s="4" t="s">
        <v>259</v>
      </c>
      <c r="CL712" s="4" t="s">
        <v>241</v>
      </c>
      <c r="CO712" s="5" t="s">
        <v>260</v>
      </c>
      <c r="CP712" s="4" t="s">
        <v>241</v>
      </c>
      <c r="CQ712" s="4" t="s">
        <v>261</v>
      </c>
      <c r="CR712" s="4" t="s">
        <v>241</v>
      </c>
      <c r="CS712" s="4" t="s">
        <v>241</v>
      </c>
      <c r="CT712" s="4">
        <v>0</v>
      </c>
      <c r="CU712" s="4" t="s">
        <v>262</v>
      </c>
      <c r="CV712" s="4" t="s">
        <v>263</v>
      </c>
      <c r="CW712" s="4" t="s">
        <v>263</v>
      </c>
      <c r="CX712" s="4" t="s">
        <v>264</v>
      </c>
      <c r="DA712" s="6">
        <f>11825</f>
        <v>11825</v>
      </c>
      <c r="DC712" s="4" t="s">
        <v>287</v>
      </c>
      <c r="DD712" s="4" t="s">
        <v>241</v>
      </c>
      <c r="DF712" s="4" t="s">
        <v>287</v>
      </c>
      <c r="DG712" s="6">
        <f>0</f>
        <v>0</v>
      </c>
      <c r="DI712" s="4" t="s">
        <v>3167</v>
      </c>
      <c r="DJ712" s="4" t="s">
        <v>241</v>
      </c>
      <c r="DK712" s="4" t="s">
        <v>241</v>
      </c>
      <c r="DL712" s="4" t="s">
        <v>241</v>
      </c>
      <c r="DP712" s="4" t="s">
        <v>241</v>
      </c>
      <c r="DQ712" s="4" t="s">
        <v>241</v>
      </c>
      <c r="DR712" s="4" t="s">
        <v>241</v>
      </c>
      <c r="DS712" s="4" t="s">
        <v>241</v>
      </c>
      <c r="DV712" s="4" t="s">
        <v>4419</v>
      </c>
      <c r="DW712" s="4" t="s">
        <v>267</v>
      </c>
      <c r="HO712" s="4" t="s">
        <v>267</v>
      </c>
    </row>
    <row r="713" spans="1:223" ht="19.5" customHeight="1" x14ac:dyDescent="0.4">
      <c r="A713" s="4">
        <v>1</v>
      </c>
      <c r="B713" s="4" t="s">
        <v>239</v>
      </c>
      <c r="C713" s="4">
        <v>1575</v>
      </c>
      <c r="D713" s="4">
        <v>1</v>
      </c>
      <c r="E713" s="4">
        <v>1</v>
      </c>
      <c r="F713" s="4" t="s">
        <v>240</v>
      </c>
      <c r="G713" s="4" t="s">
        <v>241</v>
      </c>
      <c r="H713" s="4" t="s">
        <v>241</v>
      </c>
      <c r="I713" s="4" t="s">
        <v>4414</v>
      </c>
      <c r="J713" s="4" t="s">
        <v>3158</v>
      </c>
      <c r="K713" s="4" t="s">
        <v>251</v>
      </c>
      <c r="L713" s="4" t="s">
        <v>4413</v>
      </c>
      <c r="M713" s="5" t="s">
        <v>3173</v>
      </c>
      <c r="N713" s="6">
        <f>839.76</f>
        <v>839.76</v>
      </c>
      <c r="O713" s="4" t="s">
        <v>265</v>
      </c>
      <c r="P713" s="6">
        <f>1860068</f>
        <v>1860068</v>
      </c>
      <c r="Q713" s="6">
        <f>0</f>
        <v>0</v>
      </c>
      <c r="S713" s="6">
        <f>0</f>
        <v>0</v>
      </c>
      <c r="T713" s="6">
        <f>1860068</f>
        <v>1860068</v>
      </c>
      <c r="U713" s="5" t="s">
        <v>245</v>
      </c>
      <c r="V713" s="4" t="s">
        <v>270</v>
      </c>
      <c r="W713" s="4" t="s">
        <v>242</v>
      </c>
      <c r="X713" s="4" t="s">
        <v>243</v>
      </c>
      <c r="Y713" s="4" t="s">
        <v>241</v>
      </c>
      <c r="AB713" s="4" t="s">
        <v>241</v>
      </c>
      <c r="AD713" s="5" t="s">
        <v>241</v>
      </c>
      <c r="AG713" s="5" t="s">
        <v>246</v>
      </c>
      <c r="AH713" s="4" t="s">
        <v>241</v>
      </c>
      <c r="AI713" s="4" t="s">
        <v>247</v>
      </c>
      <c r="AJ713" s="4" t="s">
        <v>248</v>
      </c>
      <c r="AZ713" s="4" t="s">
        <v>249</v>
      </c>
      <c r="BA713" s="4" t="s">
        <v>241</v>
      </c>
      <c r="BB713" s="4" t="s">
        <v>250</v>
      </c>
      <c r="BC713" s="4" t="s">
        <v>241</v>
      </c>
      <c r="BD713" s="4" t="s">
        <v>252</v>
      </c>
      <c r="BE713" s="4" t="s">
        <v>241</v>
      </c>
      <c r="BG713" s="4" t="s">
        <v>412</v>
      </c>
      <c r="BI713" s="4" t="s">
        <v>253</v>
      </c>
      <c r="BJ713" s="5" t="s">
        <v>246</v>
      </c>
      <c r="BK713" s="4" t="s">
        <v>254</v>
      </c>
      <c r="BL713" s="4" t="s">
        <v>255</v>
      </c>
      <c r="BM713" s="4" t="s">
        <v>241</v>
      </c>
      <c r="BN713" s="6">
        <f>0</f>
        <v>0</v>
      </c>
      <c r="BO713" s="6">
        <f>0</f>
        <v>0</v>
      </c>
      <c r="BP713" s="4" t="s">
        <v>256</v>
      </c>
      <c r="BQ713" s="4" t="s">
        <v>257</v>
      </c>
      <c r="CE713" s="4" t="s">
        <v>241</v>
      </c>
      <c r="CF713" s="4" t="s">
        <v>241</v>
      </c>
      <c r="CJ713" s="4" t="s">
        <v>258</v>
      </c>
      <c r="CK713" s="4" t="s">
        <v>259</v>
      </c>
      <c r="CL713" s="4" t="s">
        <v>241</v>
      </c>
      <c r="CO713" s="5" t="s">
        <v>260</v>
      </c>
      <c r="CP713" s="4" t="s">
        <v>241</v>
      </c>
      <c r="CQ713" s="4" t="s">
        <v>261</v>
      </c>
      <c r="CR713" s="4" t="s">
        <v>241</v>
      </c>
      <c r="CS713" s="4" t="s">
        <v>241</v>
      </c>
      <c r="CT713" s="4">
        <v>0</v>
      </c>
      <c r="CU713" s="4" t="s">
        <v>262</v>
      </c>
      <c r="CV713" s="4" t="s">
        <v>263</v>
      </c>
      <c r="CW713" s="4" t="s">
        <v>263</v>
      </c>
      <c r="CX713" s="4" t="s">
        <v>264</v>
      </c>
      <c r="DA713" s="6">
        <f>1860068</f>
        <v>1860068</v>
      </c>
      <c r="DC713" s="4" t="s">
        <v>287</v>
      </c>
      <c r="DD713" s="4" t="s">
        <v>241</v>
      </c>
      <c r="DF713" s="4" t="s">
        <v>287</v>
      </c>
      <c r="DG713" s="6">
        <f>0</f>
        <v>0</v>
      </c>
      <c r="DI713" s="4" t="s">
        <v>414</v>
      </c>
      <c r="DJ713" s="4" t="s">
        <v>241</v>
      </c>
      <c r="DK713" s="4" t="s">
        <v>241</v>
      </c>
      <c r="DL713" s="4" t="s">
        <v>241</v>
      </c>
      <c r="DP713" s="4" t="s">
        <v>241</v>
      </c>
      <c r="DQ713" s="4" t="s">
        <v>241</v>
      </c>
      <c r="DR713" s="4" t="s">
        <v>241</v>
      </c>
      <c r="DS713" s="4" t="s">
        <v>241</v>
      </c>
      <c r="DV713" s="4" t="s">
        <v>4415</v>
      </c>
      <c r="DW713" s="4" t="s">
        <v>267</v>
      </c>
      <c r="HO713" s="4" t="s">
        <v>267</v>
      </c>
    </row>
    <row r="714" spans="1:223" ht="19.5" customHeight="1" x14ac:dyDescent="0.4">
      <c r="A714" s="4">
        <v>1</v>
      </c>
      <c r="B714" s="4" t="s">
        <v>239</v>
      </c>
      <c r="C714" s="4">
        <v>1576</v>
      </c>
      <c r="D714" s="4">
        <v>1</v>
      </c>
      <c r="E714" s="4">
        <v>1</v>
      </c>
      <c r="F714" s="4" t="s">
        <v>240</v>
      </c>
      <c r="G714" s="4" t="s">
        <v>241</v>
      </c>
      <c r="H714" s="4" t="s">
        <v>241</v>
      </c>
      <c r="I714" s="4" t="s">
        <v>4410</v>
      </c>
      <c r="J714" s="4" t="s">
        <v>3158</v>
      </c>
      <c r="K714" s="4" t="s">
        <v>251</v>
      </c>
      <c r="L714" s="4" t="s">
        <v>4409</v>
      </c>
      <c r="M714" s="5" t="s">
        <v>4411</v>
      </c>
      <c r="N714" s="6">
        <f>981</f>
        <v>981</v>
      </c>
      <c r="O714" s="4" t="s">
        <v>265</v>
      </c>
      <c r="P714" s="6">
        <f>10791</f>
        <v>10791</v>
      </c>
      <c r="Q714" s="6">
        <f>0</f>
        <v>0</v>
      </c>
      <c r="S714" s="6">
        <f>0</f>
        <v>0</v>
      </c>
      <c r="T714" s="6">
        <f>10791</f>
        <v>10791</v>
      </c>
      <c r="U714" s="5" t="s">
        <v>245</v>
      </c>
      <c r="V714" s="4" t="s">
        <v>270</v>
      </c>
      <c r="W714" s="4" t="s">
        <v>242</v>
      </c>
      <c r="X714" s="4" t="s">
        <v>243</v>
      </c>
      <c r="Y714" s="4" t="s">
        <v>241</v>
      </c>
      <c r="AB714" s="4" t="s">
        <v>241</v>
      </c>
      <c r="AD714" s="5" t="s">
        <v>241</v>
      </c>
      <c r="AG714" s="5" t="s">
        <v>246</v>
      </c>
      <c r="AH714" s="4" t="s">
        <v>241</v>
      </c>
      <c r="AI714" s="4" t="s">
        <v>247</v>
      </c>
      <c r="AJ714" s="4" t="s">
        <v>248</v>
      </c>
      <c r="AZ714" s="4" t="s">
        <v>249</v>
      </c>
      <c r="BA714" s="4" t="s">
        <v>241</v>
      </c>
      <c r="BB714" s="4" t="s">
        <v>250</v>
      </c>
      <c r="BC714" s="4" t="s">
        <v>241</v>
      </c>
      <c r="BD714" s="4" t="s">
        <v>252</v>
      </c>
      <c r="BE714" s="4" t="s">
        <v>241</v>
      </c>
      <c r="BG714" s="4" t="s">
        <v>412</v>
      </c>
      <c r="BI714" s="4" t="s">
        <v>253</v>
      </c>
      <c r="BJ714" s="5" t="s">
        <v>246</v>
      </c>
      <c r="BK714" s="4" t="s">
        <v>254</v>
      </c>
      <c r="BL714" s="4" t="s">
        <v>255</v>
      </c>
      <c r="BM714" s="4" t="s">
        <v>241</v>
      </c>
      <c r="BN714" s="6">
        <f>0</f>
        <v>0</v>
      </c>
      <c r="BO714" s="6">
        <f>0</f>
        <v>0</v>
      </c>
      <c r="BP714" s="4" t="s">
        <v>256</v>
      </c>
      <c r="BQ714" s="4" t="s">
        <v>257</v>
      </c>
      <c r="CE714" s="4" t="s">
        <v>241</v>
      </c>
      <c r="CF714" s="4" t="s">
        <v>241</v>
      </c>
      <c r="CJ714" s="4" t="s">
        <v>258</v>
      </c>
      <c r="CK714" s="4" t="s">
        <v>259</v>
      </c>
      <c r="CL714" s="4" t="s">
        <v>241</v>
      </c>
      <c r="CO714" s="5" t="s">
        <v>260</v>
      </c>
      <c r="CP714" s="4" t="s">
        <v>241</v>
      </c>
      <c r="CQ714" s="4" t="s">
        <v>261</v>
      </c>
      <c r="CR714" s="4" t="s">
        <v>241</v>
      </c>
      <c r="CS714" s="4" t="s">
        <v>241</v>
      </c>
      <c r="CT714" s="4">
        <v>0</v>
      </c>
      <c r="CU714" s="4" t="s">
        <v>262</v>
      </c>
      <c r="CV714" s="4" t="s">
        <v>263</v>
      </c>
      <c r="CW714" s="4" t="s">
        <v>263</v>
      </c>
      <c r="CX714" s="4" t="s">
        <v>264</v>
      </c>
      <c r="DA714" s="6">
        <f>10791</f>
        <v>10791</v>
      </c>
      <c r="DC714" s="4" t="s">
        <v>287</v>
      </c>
      <c r="DD714" s="4" t="s">
        <v>241</v>
      </c>
      <c r="DF714" s="4" t="s">
        <v>287</v>
      </c>
      <c r="DG714" s="6">
        <f>0</f>
        <v>0</v>
      </c>
      <c r="DI714" s="4" t="s">
        <v>3167</v>
      </c>
      <c r="DJ714" s="4" t="s">
        <v>241</v>
      </c>
      <c r="DK714" s="4" t="s">
        <v>241</v>
      </c>
      <c r="DL714" s="4" t="s">
        <v>241</v>
      </c>
      <c r="DP714" s="4" t="s">
        <v>241</v>
      </c>
      <c r="DQ714" s="4" t="s">
        <v>241</v>
      </c>
      <c r="DR714" s="4" t="s">
        <v>241</v>
      </c>
      <c r="DS714" s="4" t="s">
        <v>241</v>
      </c>
      <c r="DV714" s="4" t="s">
        <v>4412</v>
      </c>
      <c r="DW714" s="4" t="s">
        <v>267</v>
      </c>
      <c r="HO714" s="4" t="s">
        <v>267</v>
      </c>
    </row>
    <row r="715" spans="1:223" ht="19.5" customHeight="1" x14ac:dyDescent="0.4">
      <c r="A715" s="4">
        <v>1</v>
      </c>
      <c r="B715" s="4" t="s">
        <v>239</v>
      </c>
      <c r="C715" s="4">
        <v>1577</v>
      </c>
      <c r="D715" s="4">
        <v>1</v>
      </c>
      <c r="E715" s="4">
        <v>1</v>
      </c>
      <c r="F715" s="4" t="s">
        <v>240</v>
      </c>
      <c r="G715" s="4" t="s">
        <v>241</v>
      </c>
      <c r="H715" s="4" t="s">
        <v>241</v>
      </c>
      <c r="I715" s="4" t="s">
        <v>5420</v>
      </c>
      <c r="J715" s="4" t="s">
        <v>3158</v>
      </c>
      <c r="K715" s="4" t="s">
        <v>251</v>
      </c>
      <c r="L715" s="4" t="s">
        <v>5419</v>
      </c>
      <c r="M715" s="5" t="s">
        <v>5421</v>
      </c>
      <c r="N715" s="6">
        <f>5132</f>
        <v>5132</v>
      </c>
      <c r="O715" s="4" t="s">
        <v>265</v>
      </c>
      <c r="P715" s="6">
        <f>56452</f>
        <v>56452</v>
      </c>
      <c r="Q715" s="6">
        <f>0</f>
        <v>0</v>
      </c>
      <c r="S715" s="6">
        <f>0</f>
        <v>0</v>
      </c>
      <c r="T715" s="6">
        <f>56452</f>
        <v>56452</v>
      </c>
      <c r="U715" s="5" t="s">
        <v>245</v>
      </c>
      <c r="V715" s="4" t="s">
        <v>270</v>
      </c>
      <c r="W715" s="4" t="s">
        <v>242</v>
      </c>
      <c r="X715" s="4" t="s">
        <v>243</v>
      </c>
      <c r="Y715" s="4" t="s">
        <v>241</v>
      </c>
      <c r="AB715" s="4" t="s">
        <v>241</v>
      </c>
      <c r="AD715" s="5" t="s">
        <v>241</v>
      </c>
      <c r="AG715" s="5" t="s">
        <v>246</v>
      </c>
      <c r="AH715" s="4" t="s">
        <v>241</v>
      </c>
      <c r="AI715" s="4" t="s">
        <v>247</v>
      </c>
      <c r="AJ715" s="4" t="s">
        <v>248</v>
      </c>
      <c r="AZ715" s="4" t="s">
        <v>249</v>
      </c>
      <c r="BA715" s="4" t="s">
        <v>241</v>
      </c>
      <c r="BB715" s="4" t="s">
        <v>250</v>
      </c>
      <c r="BC715" s="4" t="s">
        <v>241</v>
      </c>
      <c r="BD715" s="4" t="s">
        <v>252</v>
      </c>
      <c r="BE715" s="4" t="s">
        <v>241</v>
      </c>
      <c r="BG715" s="4" t="s">
        <v>412</v>
      </c>
      <c r="BI715" s="4" t="s">
        <v>253</v>
      </c>
      <c r="BJ715" s="5" t="s">
        <v>246</v>
      </c>
      <c r="BK715" s="4" t="s">
        <v>254</v>
      </c>
      <c r="BL715" s="4" t="s">
        <v>255</v>
      </c>
      <c r="BM715" s="4" t="s">
        <v>241</v>
      </c>
      <c r="BN715" s="6">
        <f>0</f>
        <v>0</v>
      </c>
      <c r="BO715" s="6">
        <f>0</f>
        <v>0</v>
      </c>
      <c r="BP715" s="4" t="s">
        <v>256</v>
      </c>
      <c r="BQ715" s="4" t="s">
        <v>257</v>
      </c>
      <c r="CE715" s="4" t="s">
        <v>241</v>
      </c>
      <c r="CF715" s="4" t="s">
        <v>241</v>
      </c>
      <c r="CJ715" s="4" t="s">
        <v>258</v>
      </c>
      <c r="CK715" s="4" t="s">
        <v>259</v>
      </c>
      <c r="CL715" s="4" t="s">
        <v>241</v>
      </c>
      <c r="CO715" s="5" t="s">
        <v>260</v>
      </c>
      <c r="CP715" s="4" t="s">
        <v>241</v>
      </c>
      <c r="CQ715" s="4" t="s">
        <v>261</v>
      </c>
      <c r="CR715" s="4" t="s">
        <v>241</v>
      </c>
      <c r="CS715" s="4" t="s">
        <v>241</v>
      </c>
      <c r="CT715" s="4">
        <v>0</v>
      </c>
      <c r="CU715" s="4" t="s">
        <v>262</v>
      </c>
      <c r="CV715" s="4" t="s">
        <v>263</v>
      </c>
      <c r="CW715" s="4" t="s">
        <v>263</v>
      </c>
      <c r="CX715" s="4" t="s">
        <v>264</v>
      </c>
      <c r="DA715" s="6">
        <f>56452</f>
        <v>56452</v>
      </c>
      <c r="DC715" s="4" t="s">
        <v>287</v>
      </c>
      <c r="DD715" s="4" t="s">
        <v>241</v>
      </c>
      <c r="DF715" s="4" t="s">
        <v>3160</v>
      </c>
      <c r="DG715" s="6">
        <f>5132</f>
        <v>5132</v>
      </c>
      <c r="DI715" s="4" t="s">
        <v>3167</v>
      </c>
      <c r="DJ715" s="4" t="s">
        <v>241</v>
      </c>
      <c r="DK715" s="4" t="s">
        <v>241</v>
      </c>
      <c r="DL715" s="4" t="s">
        <v>241</v>
      </c>
      <c r="DP715" s="4" t="s">
        <v>241</v>
      </c>
      <c r="DQ715" s="4" t="s">
        <v>241</v>
      </c>
      <c r="DR715" s="4" t="s">
        <v>241</v>
      </c>
      <c r="DS715" s="4" t="s">
        <v>241</v>
      </c>
      <c r="DV715" s="4" t="s">
        <v>5422</v>
      </c>
      <c r="DW715" s="4" t="s">
        <v>267</v>
      </c>
      <c r="HO715" s="4" t="s">
        <v>267</v>
      </c>
    </row>
    <row r="716" spans="1:223" ht="19.5" customHeight="1" x14ac:dyDescent="0.4">
      <c r="A716" s="4">
        <v>1</v>
      </c>
      <c r="B716" s="4" t="s">
        <v>239</v>
      </c>
      <c r="C716" s="4">
        <v>1578</v>
      </c>
      <c r="D716" s="4">
        <v>1</v>
      </c>
      <c r="E716" s="4">
        <v>1</v>
      </c>
      <c r="F716" s="4" t="s">
        <v>240</v>
      </c>
      <c r="G716" s="4" t="s">
        <v>241</v>
      </c>
      <c r="H716" s="4" t="s">
        <v>241</v>
      </c>
      <c r="I716" s="4" t="s">
        <v>4398</v>
      </c>
      <c r="J716" s="4" t="s">
        <v>3158</v>
      </c>
      <c r="K716" s="4" t="s">
        <v>251</v>
      </c>
      <c r="L716" s="4" t="s">
        <v>4388</v>
      </c>
      <c r="M716" s="5" t="s">
        <v>4399</v>
      </c>
      <c r="N716" s="6">
        <f>13311</f>
        <v>13311</v>
      </c>
      <c r="O716" s="4" t="s">
        <v>265</v>
      </c>
      <c r="P716" s="6">
        <f>146421</f>
        <v>146421</v>
      </c>
      <c r="Q716" s="6">
        <f>0</f>
        <v>0</v>
      </c>
      <c r="S716" s="6">
        <f>0</f>
        <v>0</v>
      </c>
      <c r="T716" s="6">
        <f>146421</f>
        <v>146421</v>
      </c>
      <c r="U716" s="5" t="s">
        <v>245</v>
      </c>
      <c r="V716" s="4" t="s">
        <v>270</v>
      </c>
      <c r="W716" s="4" t="s">
        <v>242</v>
      </c>
      <c r="X716" s="4" t="s">
        <v>243</v>
      </c>
      <c r="Y716" s="4" t="s">
        <v>241</v>
      </c>
      <c r="AB716" s="4" t="s">
        <v>241</v>
      </c>
      <c r="AD716" s="5" t="s">
        <v>241</v>
      </c>
      <c r="AG716" s="5" t="s">
        <v>246</v>
      </c>
      <c r="AH716" s="4" t="s">
        <v>241</v>
      </c>
      <c r="AI716" s="4" t="s">
        <v>247</v>
      </c>
      <c r="AJ716" s="4" t="s">
        <v>248</v>
      </c>
      <c r="AZ716" s="4" t="s">
        <v>249</v>
      </c>
      <c r="BA716" s="4" t="s">
        <v>241</v>
      </c>
      <c r="BB716" s="4" t="s">
        <v>250</v>
      </c>
      <c r="BC716" s="4" t="s">
        <v>241</v>
      </c>
      <c r="BD716" s="4" t="s">
        <v>252</v>
      </c>
      <c r="BE716" s="4" t="s">
        <v>241</v>
      </c>
      <c r="BG716" s="4" t="s">
        <v>412</v>
      </c>
      <c r="BI716" s="4" t="s">
        <v>253</v>
      </c>
      <c r="BJ716" s="5" t="s">
        <v>246</v>
      </c>
      <c r="BK716" s="4" t="s">
        <v>254</v>
      </c>
      <c r="BL716" s="4" t="s">
        <v>255</v>
      </c>
      <c r="BM716" s="4" t="s">
        <v>241</v>
      </c>
      <c r="BN716" s="6">
        <f>0</f>
        <v>0</v>
      </c>
      <c r="BO716" s="6">
        <f>0</f>
        <v>0</v>
      </c>
      <c r="BP716" s="4" t="s">
        <v>256</v>
      </c>
      <c r="BQ716" s="4" t="s">
        <v>257</v>
      </c>
      <c r="CE716" s="4" t="s">
        <v>241</v>
      </c>
      <c r="CF716" s="4" t="s">
        <v>241</v>
      </c>
      <c r="CJ716" s="4" t="s">
        <v>258</v>
      </c>
      <c r="CK716" s="4" t="s">
        <v>259</v>
      </c>
      <c r="CL716" s="4" t="s">
        <v>241</v>
      </c>
      <c r="CO716" s="5" t="s">
        <v>260</v>
      </c>
      <c r="CP716" s="4" t="s">
        <v>241</v>
      </c>
      <c r="CQ716" s="4" t="s">
        <v>261</v>
      </c>
      <c r="CR716" s="4" t="s">
        <v>241</v>
      </c>
      <c r="CS716" s="4" t="s">
        <v>241</v>
      </c>
      <c r="CT716" s="4">
        <v>0</v>
      </c>
      <c r="CU716" s="4" t="s">
        <v>262</v>
      </c>
      <c r="CV716" s="4" t="s">
        <v>263</v>
      </c>
      <c r="CW716" s="4" t="s">
        <v>263</v>
      </c>
      <c r="CX716" s="4" t="s">
        <v>264</v>
      </c>
      <c r="DA716" s="6">
        <f>146421</f>
        <v>146421</v>
      </c>
      <c r="DC716" s="4" t="s">
        <v>287</v>
      </c>
      <c r="DD716" s="4" t="s">
        <v>241</v>
      </c>
      <c r="DF716" s="4" t="s">
        <v>3160</v>
      </c>
      <c r="DG716" s="6">
        <f>13311</f>
        <v>13311</v>
      </c>
      <c r="DI716" s="4" t="s">
        <v>3167</v>
      </c>
      <c r="DJ716" s="4" t="s">
        <v>241</v>
      </c>
      <c r="DK716" s="4" t="s">
        <v>241</v>
      </c>
      <c r="DL716" s="4" t="s">
        <v>241</v>
      </c>
      <c r="DP716" s="4" t="s">
        <v>241</v>
      </c>
      <c r="DQ716" s="4" t="s">
        <v>241</v>
      </c>
      <c r="DR716" s="4" t="s">
        <v>241</v>
      </c>
      <c r="DS716" s="4" t="s">
        <v>241</v>
      </c>
      <c r="DV716" s="4" t="s">
        <v>4400</v>
      </c>
      <c r="DW716" s="4" t="s">
        <v>267</v>
      </c>
      <c r="HO716" s="4" t="s">
        <v>267</v>
      </c>
    </row>
    <row r="717" spans="1:223" ht="19.5" customHeight="1" x14ac:dyDescent="0.4">
      <c r="A717" s="4">
        <v>1</v>
      </c>
      <c r="B717" s="4" t="s">
        <v>239</v>
      </c>
      <c r="C717" s="4">
        <v>1579</v>
      </c>
      <c r="D717" s="4">
        <v>1</v>
      </c>
      <c r="E717" s="4">
        <v>1</v>
      </c>
      <c r="F717" s="4" t="s">
        <v>240</v>
      </c>
      <c r="G717" s="4" t="s">
        <v>241</v>
      </c>
      <c r="H717" s="4" t="s">
        <v>241</v>
      </c>
      <c r="I717" s="4" t="s">
        <v>4398</v>
      </c>
      <c r="J717" s="4" t="s">
        <v>3158</v>
      </c>
      <c r="K717" s="4" t="s">
        <v>251</v>
      </c>
      <c r="L717" s="4" t="s">
        <v>4388</v>
      </c>
      <c r="M717" s="5" t="s">
        <v>4402</v>
      </c>
      <c r="N717" s="6">
        <f>10417</f>
        <v>10417</v>
      </c>
      <c r="O717" s="4" t="s">
        <v>265</v>
      </c>
      <c r="P717" s="6">
        <f>114587</f>
        <v>114587</v>
      </c>
      <c r="Q717" s="6">
        <f>0</f>
        <v>0</v>
      </c>
      <c r="S717" s="6">
        <f>0</f>
        <v>0</v>
      </c>
      <c r="T717" s="6">
        <f>114587</f>
        <v>114587</v>
      </c>
      <c r="U717" s="5" t="s">
        <v>245</v>
      </c>
      <c r="V717" s="4" t="s">
        <v>270</v>
      </c>
      <c r="W717" s="4" t="s">
        <v>242</v>
      </c>
      <c r="X717" s="4" t="s">
        <v>243</v>
      </c>
      <c r="Y717" s="4" t="s">
        <v>241</v>
      </c>
      <c r="AB717" s="4" t="s">
        <v>241</v>
      </c>
      <c r="AD717" s="5" t="s">
        <v>241</v>
      </c>
      <c r="AG717" s="5" t="s">
        <v>246</v>
      </c>
      <c r="AH717" s="4" t="s">
        <v>4401</v>
      </c>
      <c r="AI717" s="4" t="s">
        <v>247</v>
      </c>
      <c r="AJ717" s="4" t="s">
        <v>248</v>
      </c>
      <c r="AZ717" s="4" t="s">
        <v>249</v>
      </c>
      <c r="BA717" s="4" t="s">
        <v>241</v>
      </c>
      <c r="BB717" s="4" t="s">
        <v>250</v>
      </c>
      <c r="BC717" s="4" t="s">
        <v>241</v>
      </c>
      <c r="BD717" s="4" t="s">
        <v>252</v>
      </c>
      <c r="BE717" s="4" t="s">
        <v>241</v>
      </c>
      <c r="BI717" s="4" t="s">
        <v>253</v>
      </c>
      <c r="BJ717" s="5" t="s">
        <v>246</v>
      </c>
      <c r="BK717" s="4" t="s">
        <v>254</v>
      </c>
      <c r="BL717" s="4" t="s">
        <v>255</v>
      </c>
      <c r="BM717" s="4" t="s">
        <v>241</v>
      </c>
      <c r="BN717" s="6">
        <f>0</f>
        <v>0</v>
      </c>
      <c r="BO717" s="6">
        <f>0</f>
        <v>0</v>
      </c>
      <c r="BP717" s="4" t="s">
        <v>256</v>
      </c>
      <c r="BQ717" s="4" t="s">
        <v>257</v>
      </c>
      <c r="CE717" s="4" t="s">
        <v>241</v>
      </c>
      <c r="CF717" s="4" t="s">
        <v>241</v>
      </c>
      <c r="CJ717" s="4" t="s">
        <v>258</v>
      </c>
      <c r="CK717" s="4" t="s">
        <v>259</v>
      </c>
      <c r="CL717" s="4" t="s">
        <v>241</v>
      </c>
      <c r="CO717" s="5" t="s">
        <v>260</v>
      </c>
      <c r="CP717" s="4" t="s">
        <v>241</v>
      </c>
      <c r="CQ717" s="4" t="s">
        <v>261</v>
      </c>
      <c r="CR717" s="4" t="s">
        <v>241</v>
      </c>
      <c r="CS717" s="4" t="s">
        <v>241</v>
      </c>
      <c r="CT717" s="4">
        <v>0</v>
      </c>
      <c r="CU717" s="4" t="s">
        <v>262</v>
      </c>
      <c r="CV717" s="4" t="s">
        <v>263</v>
      </c>
      <c r="CW717" s="4" t="s">
        <v>263</v>
      </c>
      <c r="CX717" s="4" t="s">
        <v>264</v>
      </c>
      <c r="DA717" s="6">
        <f>114587</f>
        <v>114587</v>
      </c>
      <c r="DC717" s="4" t="s">
        <v>287</v>
      </c>
      <c r="DD717" s="4" t="s">
        <v>241</v>
      </c>
      <c r="DF717" s="4" t="s">
        <v>3160</v>
      </c>
      <c r="DG717" s="6">
        <f>10417</f>
        <v>10417</v>
      </c>
      <c r="DI717" s="4" t="s">
        <v>3167</v>
      </c>
      <c r="DJ717" s="4" t="s">
        <v>241</v>
      </c>
      <c r="DK717" s="4" t="s">
        <v>241</v>
      </c>
      <c r="DL717" s="4" t="s">
        <v>241</v>
      </c>
      <c r="DP717" s="4" t="s">
        <v>241</v>
      </c>
      <c r="DQ717" s="4" t="s">
        <v>241</v>
      </c>
      <c r="DR717" s="4" t="s">
        <v>241</v>
      </c>
      <c r="DS717" s="4" t="s">
        <v>241</v>
      </c>
      <c r="DV717" s="4" t="s">
        <v>4400</v>
      </c>
      <c r="DW717" s="4" t="s">
        <v>416</v>
      </c>
      <c r="HO717" s="4" t="s">
        <v>267</v>
      </c>
    </row>
    <row r="718" spans="1:223" ht="19.5" customHeight="1" x14ac:dyDescent="0.4">
      <c r="A718" s="4">
        <v>1</v>
      </c>
      <c r="B718" s="4" t="s">
        <v>239</v>
      </c>
      <c r="C718" s="4">
        <v>1580</v>
      </c>
      <c r="D718" s="4">
        <v>1</v>
      </c>
      <c r="E718" s="4">
        <v>1</v>
      </c>
      <c r="F718" s="4" t="s">
        <v>240</v>
      </c>
      <c r="G718" s="4" t="s">
        <v>241</v>
      </c>
      <c r="H718" s="4" t="s">
        <v>241</v>
      </c>
      <c r="I718" s="4" t="s">
        <v>4398</v>
      </c>
      <c r="J718" s="4" t="s">
        <v>3158</v>
      </c>
      <c r="K718" s="4" t="s">
        <v>251</v>
      </c>
      <c r="L718" s="4" t="s">
        <v>4388</v>
      </c>
      <c r="M718" s="5" t="s">
        <v>4404</v>
      </c>
      <c r="N718" s="6">
        <f>8203</f>
        <v>8203</v>
      </c>
      <c r="O718" s="4" t="s">
        <v>265</v>
      </c>
      <c r="P718" s="6">
        <f>90233</f>
        <v>90233</v>
      </c>
      <c r="Q718" s="6">
        <f>0</f>
        <v>0</v>
      </c>
      <c r="S718" s="6">
        <f>0</f>
        <v>0</v>
      </c>
      <c r="T718" s="6">
        <f>90233</f>
        <v>90233</v>
      </c>
      <c r="U718" s="5" t="s">
        <v>245</v>
      </c>
      <c r="V718" s="4" t="s">
        <v>270</v>
      </c>
      <c r="W718" s="4" t="s">
        <v>242</v>
      </c>
      <c r="X718" s="4" t="s">
        <v>243</v>
      </c>
      <c r="Y718" s="4" t="s">
        <v>241</v>
      </c>
      <c r="AB718" s="4" t="s">
        <v>241</v>
      </c>
      <c r="AD718" s="5" t="s">
        <v>241</v>
      </c>
      <c r="AG718" s="5" t="s">
        <v>246</v>
      </c>
      <c r="AH718" s="4" t="s">
        <v>4403</v>
      </c>
      <c r="AI718" s="4" t="s">
        <v>247</v>
      </c>
      <c r="AJ718" s="4" t="s">
        <v>248</v>
      </c>
      <c r="AZ718" s="4" t="s">
        <v>249</v>
      </c>
      <c r="BA718" s="4" t="s">
        <v>241</v>
      </c>
      <c r="BB718" s="4" t="s">
        <v>250</v>
      </c>
      <c r="BC718" s="4" t="s">
        <v>241</v>
      </c>
      <c r="BD718" s="4" t="s">
        <v>252</v>
      </c>
      <c r="BE718" s="4" t="s">
        <v>241</v>
      </c>
      <c r="BI718" s="4" t="s">
        <v>253</v>
      </c>
      <c r="BJ718" s="5" t="s">
        <v>246</v>
      </c>
      <c r="BK718" s="4" t="s">
        <v>254</v>
      </c>
      <c r="BL718" s="4" t="s">
        <v>255</v>
      </c>
      <c r="BM718" s="4" t="s">
        <v>241</v>
      </c>
      <c r="BN718" s="6">
        <f>0</f>
        <v>0</v>
      </c>
      <c r="BO718" s="6">
        <f>0</f>
        <v>0</v>
      </c>
      <c r="BP718" s="4" t="s">
        <v>256</v>
      </c>
      <c r="BQ718" s="4" t="s">
        <v>257</v>
      </c>
      <c r="CE718" s="4" t="s">
        <v>241</v>
      </c>
      <c r="CF718" s="4" t="s">
        <v>241</v>
      </c>
      <c r="CJ718" s="4" t="s">
        <v>258</v>
      </c>
      <c r="CK718" s="4" t="s">
        <v>259</v>
      </c>
      <c r="CL718" s="4" t="s">
        <v>241</v>
      </c>
      <c r="CO718" s="5" t="s">
        <v>260</v>
      </c>
      <c r="CP718" s="4" t="s">
        <v>241</v>
      </c>
      <c r="CQ718" s="4" t="s">
        <v>261</v>
      </c>
      <c r="CR718" s="4" t="s">
        <v>241</v>
      </c>
      <c r="CS718" s="4" t="s">
        <v>241</v>
      </c>
      <c r="CT718" s="4">
        <v>0</v>
      </c>
      <c r="CU718" s="4" t="s">
        <v>262</v>
      </c>
      <c r="CV718" s="4" t="s">
        <v>263</v>
      </c>
      <c r="CW718" s="4" t="s">
        <v>263</v>
      </c>
      <c r="CX718" s="4" t="s">
        <v>264</v>
      </c>
      <c r="DA718" s="6">
        <f>90233</f>
        <v>90233</v>
      </c>
      <c r="DC718" s="4" t="s">
        <v>287</v>
      </c>
      <c r="DD718" s="4" t="s">
        <v>241</v>
      </c>
      <c r="DF718" s="4" t="s">
        <v>3160</v>
      </c>
      <c r="DG718" s="6">
        <f>8203</f>
        <v>8203</v>
      </c>
      <c r="DI718" s="4" t="s">
        <v>3167</v>
      </c>
      <c r="DJ718" s="4" t="s">
        <v>241</v>
      </c>
      <c r="DK718" s="4" t="s">
        <v>241</v>
      </c>
      <c r="DL718" s="4" t="s">
        <v>241</v>
      </c>
      <c r="DP718" s="4" t="s">
        <v>241</v>
      </c>
      <c r="DQ718" s="4" t="s">
        <v>241</v>
      </c>
      <c r="DR718" s="4" t="s">
        <v>241</v>
      </c>
      <c r="DS718" s="4" t="s">
        <v>241</v>
      </c>
      <c r="DV718" s="4" t="s">
        <v>4400</v>
      </c>
      <c r="DW718" s="4" t="s">
        <v>388</v>
      </c>
      <c r="HO718" s="4" t="s">
        <v>267</v>
      </c>
    </row>
    <row r="719" spans="1:223" ht="19.5" customHeight="1" x14ac:dyDescent="0.4">
      <c r="A719" s="4">
        <v>1</v>
      </c>
      <c r="B719" s="4" t="s">
        <v>239</v>
      </c>
      <c r="C719" s="4">
        <v>1581</v>
      </c>
      <c r="D719" s="4">
        <v>1</v>
      </c>
      <c r="E719" s="4">
        <v>1</v>
      </c>
      <c r="F719" s="4" t="s">
        <v>240</v>
      </c>
      <c r="G719" s="4" t="s">
        <v>241</v>
      </c>
      <c r="H719" s="4" t="s">
        <v>241</v>
      </c>
      <c r="I719" s="4" t="s">
        <v>4518</v>
      </c>
      <c r="J719" s="4" t="s">
        <v>3158</v>
      </c>
      <c r="K719" s="4" t="s">
        <v>251</v>
      </c>
      <c r="L719" s="4" t="s">
        <v>3180</v>
      </c>
      <c r="M719" s="5" t="s">
        <v>4724</v>
      </c>
      <c r="N719" s="6">
        <f>1160</f>
        <v>1160</v>
      </c>
      <c r="O719" s="4" t="s">
        <v>265</v>
      </c>
      <c r="P719" s="6">
        <f>12760</f>
        <v>12760</v>
      </c>
      <c r="Q719" s="6">
        <f>0</f>
        <v>0</v>
      </c>
      <c r="S719" s="6">
        <f>0</f>
        <v>0</v>
      </c>
      <c r="T719" s="6">
        <f>12760</f>
        <v>12760</v>
      </c>
      <c r="U719" s="5" t="s">
        <v>245</v>
      </c>
      <c r="V719" s="4" t="s">
        <v>270</v>
      </c>
      <c r="W719" s="4" t="s">
        <v>242</v>
      </c>
      <c r="X719" s="4" t="s">
        <v>243</v>
      </c>
      <c r="Y719" s="4" t="s">
        <v>241</v>
      </c>
      <c r="AB719" s="4" t="s">
        <v>241</v>
      </c>
      <c r="AD719" s="5" t="s">
        <v>241</v>
      </c>
      <c r="AG719" s="5" t="s">
        <v>246</v>
      </c>
      <c r="AH719" s="4" t="s">
        <v>241</v>
      </c>
      <c r="AI719" s="4" t="s">
        <v>247</v>
      </c>
      <c r="AJ719" s="4" t="s">
        <v>248</v>
      </c>
      <c r="AZ719" s="4" t="s">
        <v>249</v>
      </c>
      <c r="BA719" s="4" t="s">
        <v>241</v>
      </c>
      <c r="BB719" s="4" t="s">
        <v>250</v>
      </c>
      <c r="BC719" s="4" t="s">
        <v>241</v>
      </c>
      <c r="BD719" s="4" t="s">
        <v>252</v>
      </c>
      <c r="BE719" s="4" t="s">
        <v>241</v>
      </c>
      <c r="BI719" s="4" t="s">
        <v>253</v>
      </c>
      <c r="BJ719" s="5" t="s">
        <v>246</v>
      </c>
      <c r="BK719" s="4" t="s">
        <v>254</v>
      </c>
      <c r="BL719" s="4" t="s">
        <v>255</v>
      </c>
      <c r="BM719" s="4" t="s">
        <v>241</v>
      </c>
      <c r="BN719" s="6">
        <f>0</f>
        <v>0</v>
      </c>
      <c r="BO719" s="6">
        <f>0</f>
        <v>0</v>
      </c>
      <c r="BP719" s="4" t="s">
        <v>256</v>
      </c>
      <c r="BQ719" s="4" t="s">
        <v>257</v>
      </c>
      <c r="CE719" s="4" t="s">
        <v>241</v>
      </c>
      <c r="CF719" s="4" t="s">
        <v>241</v>
      </c>
      <c r="CJ719" s="4" t="s">
        <v>258</v>
      </c>
      <c r="CK719" s="4" t="s">
        <v>259</v>
      </c>
      <c r="CL719" s="4" t="s">
        <v>241</v>
      </c>
      <c r="CO719" s="5" t="s">
        <v>260</v>
      </c>
      <c r="CP719" s="4" t="s">
        <v>241</v>
      </c>
      <c r="CQ719" s="4" t="s">
        <v>261</v>
      </c>
      <c r="CR719" s="4" t="s">
        <v>241</v>
      </c>
      <c r="CS719" s="4" t="s">
        <v>241</v>
      </c>
      <c r="CT719" s="4">
        <v>0</v>
      </c>
      <c r="CU719" s="4" t="s">
        <v>262</v>
      </c>
      <c r="CV719" s="4" t="s">
        <v>263</v>
      </c>
      <c r="CW719" s="4" t="s">
        <v>263</v>
      </c>
      <c r="CX719" s="4" t="s">
        <v>264</v>
      </c>
      <c r="DA719" s="6">
        <f>12760</f>
        <v>12760</v>
      </c>
      <c r="DC719" s="4" t="s">
        <v>3167</v>
      </c>
      <c r="DD719" s="4" t="s">
        <v>241</v>
      </c>
      <c r="DF719" s="4" t="s">
        <v>3167</v>
      </c>
      <c r="DG719" s="6">
        <f>0</f>
        <v>0</v>
      </c>
      <c r="DI719" s="4" t="s">
        <v>3167</v>
      </c>
      <c r="DJ719" s="4" t="s">
        <v>241</v>
      </c>
      <c r="DK719" s="4" t="s">
        <v>241</v>
      </c>
      <c r="DL719" s="4" t="s">
        <v>241</v>
      </c>
      <c r="DP719" s="4" t="s">
        <v>241</v>
      </c>
      <c r="DQ719" s="4" t="s">
        <v>241</v>
      </c>
      <c r="DR719" s="4" t="s">
        <v>241</v>
      </c>
      <c r="DS719" s="4" t="s">
        <v>241</v>
      </c>
      <c r="DV719" s="4" t="s">
        <v>4725</v>
      </c>
      <c r="DW719" s="4" t="s">
        <v>267</v>
      </c>
      <c r="HO719" s="4" t="s">
        <v>267</v>
      </c>
    </row>
    <row r="720" spans="1:223" ht="19.5" customHeight="1" x14ac:dyDescent="0.4">
      <c r="A720" s="4">
        <v>1</v>
      </c>
      <c r="B720" s="4" t="s">
        <v>239</v>
      </c>
      <c r="C720" s="4">
        <v>1582</v>
      </c>
      <c r="D720" s="4">
        <v>1</v>
      </c>
      <c r="E720" s="4">
        <v>1</v>
      </c>
      <c r="F720" s="4" t="s">
        <v>240</v>
      </c>
      <c r="G720" s="4" t="s">
        <v>241</v>
      </c>
      <c r="H720" s="4" t="s">
        <v>241</v>
      </c>
      <c r="I720" s="4" t="s">
        <v>4389</v>
      </c>
      <c r="J720" s="4" t="s">
        <v>3158</v>
      </c>
      <c r="K720" s="4" t="s">
        <v>251</v>
      </c>
      <c r="L720" s="4" t="s">
        <v>4388</v>
      </c>
      <c r="M720" s="5" t="s">
        <v>4391</v>
      </c>
      <c r="N720" s="6">
        <f>25302</f>
        <v>25302</v>
      </c>
      <c r="O720" s="4" t="s">
        <v>265</v>
      </c>
      <c r="P720" s="6">
        <f>278322</f>
        <v>278322</v>
      </c>
      <c r="Q720" s="6">
        <f>0</f>
        <v>0</v>
      </c>
      <c r="S720" s="6">
        <f>0</f>
        <v>0</v>
      </c>
      <c r="T720" s="6">
        <f>278322</f>
        <v>278322</v>
      </c>
      <c r="U720" s="5" t="s">
        <v>245</v>
      </c>
      <c r="V720" s="4" t="s">
        <v>270</v>
      </c>
      <c r="W720" s="4" t="s">
        <v>242</v>
      </c>
      <c r="X720" s="4" t="s">
        <v>243</v>
      </c>
      <c r="Y720" s="4" t="s">
        <v>241</v>
      </c>
      <c r="AB720" s="4" t="s">
        <v>241</v>
      </c>
      <c r="AD720" s="5" t="s">
        <v>241</v>
      </c>
      <c r="AG720" s="5" t="s">
        <v>246</v>
      </c>
      <c r="AH720" s="4" t="s">
        <v>4390</v>
      </c>
      <c r="AI720" s="4" t="s">
        <v>247</v>
      </c>
      <c r="AJ720" s="4" t="s">
        <v>248</v>
      </c>
      <c r="AZ720" s="4" t="s">
        <v>249</v>
      </c>
      <c r="BA720" s="4" t="s">
        <v>241</v>
      </c>
      <c r="BB720" s="4" t="s">
        <v>250</v>
      </c>
      <c r="BC720" s="4" t="s">
        <v>241</v>
      </c>
      <c r="BD720" s="4" t="s">
        <v>252</v>
      </c>
      <c r="BE720" s="4" t="s">
        <v>241</v>
      </c>
      <c r="BG720" s="4" t="s">
        <v>412</v>
      </c>
      <c r="BI720" s="4" t="s">
        <v>253</v>
      </c>
      <c r="BJ720" s="5" t="s">
        <v>246</v>
      </c>
      <c r="BK720" s="4" t="s">
        <v>254</v>
      </c>
      <c r="BL720" s="4" t="s">
        <v>255</v>
      </c>
      <c r="BM720" s="4" t="s">
        <v>241</v>
      </c>
      <c r="BN720" s="6">
        <f>0</f>
        <v>0</v>
      </c>
      <c r="BO720" s="6">
        <f>0</f>
        <v>0</v>
      </c>
      <c r="BP720" s="4" t="s">
        <v>256</v>
      </c>
      <c r="BQ720" s="4" t="s">
        <v>257</v>
      </c>
      <c r="CE720" s="4" t="s">
        <v>241</v>
      </c>
      <c r="CF720" s="4" t="s">
        <v>241</v>
      </c>
      <c r="CJ720" s="4" t="s">
        <v>258</v>
      </c>
      <c r="CK720" s="4" t="s">
        <v>259</v>
      </c>
      <c r="CL720" s="4" t="s">
        <v>241</v>
      </c>
      <c r="CO720" s="5" t="s">
        <v>260</v>
      </c>
      <c r="CP720" s="4" t="s">
        <v>241</v>
      </c>
      <c r="CQ720" s="4" t="s">
        <v>261</v>
      </c>
      <c r="CR720" s="4" t="s">
        <v>241</v>
      </c>
      <c r="CS720" s="4" t="s">
        <v>241</v>
      </c>
      <c r="CT720" s="4">
        <v>0</v>
      </c>
      <c r="CU720" s="4" t="s">
        <v>262</v>
      </c>
      <c r="CV720" s="4" t="s">
        <v>263</v>
      </c>
      <c r="CW720" s="4" t="s">
        <v>263</v>
      </c>
      <c r="CX720" s="4" t="s">
        <v>264</v>
      </c>
      <c r="DA720" s="6">
        <f>278322</f>
        <v>278322</v>
      </c>
      <c r="DC720" s="4" t="s">
        <v>3160</v>
      </c>
      <c r="DD720" s="4" t="s">
        <v>241</v>
      </c>
      <c r="DF720" s="4" t="s">
        <v>3160</v>
      </c>
      <c r="DG720" s="6">
        <f>25302</f>
        <v>25302</v>
      </c>
      <c r="DH720" s="5" t="s">
        <v>1766</v>
      </c>
      <c r="DI720" s="4" t="s">
        <v>3167</v>
      </c>
      <c r="DJ720" s="4" t="s">
        <v>241</v>
      </c>
      <c r="DK720" s="4" t="s">
        <v>241</v>
      </c>
      <c r="DL720" s="4" t="s">
        <v>241</v>
      </c>
      <c r="DP720" s="4" t="s">
        <v>241</v>
      </c>
      <c r="DQ720" s="4" t="s">
        <v>241</v>
      </c>
      <c r="DR720" s="4" t="s">
        <v>241</v>
      </c>
      <c r="DS720" s="4" t="s">
        <v>241</v>
      </c>
      <c r="DV720" s="4" t="s">
        <v>4392</v>
      </c>
      <c r="DW720" s="4" t="s">
        <v>267</v>
      </c>
      <c r="HO720" s="4" t="s">
        <v>267</v>
      </c>
    </row>
    <row r="721" spans="1:223" ht="19.5" customHeight="1" x14ac:dyDescent="0.4">
      <c r="A721" s="4">
        <v>1</v>
      </c>
      <c r="B721" s="4" t="s">
        <v>239</v>
      </c>
      <c r="C721" s="4">
        <v>1583</v>
      </c>
      <c r="D721" s="4">
        <v>1</v>
      </c>
      <c r="E721" s="4">
        <v>1</v>
      </c>
      <c r="F721" s="4" t="s">
        <v>240</v>
      </c>
      <c r="G721" s="4" t="s">
        <v>241</v>
      </c>
      <c r="H721" s="4" t="s">
        <v>241</v>
      </c>
      <c r="I721" s="4" t="s">
        <v>4389</v>
      </c>
      <c r="J721" s="4" t="s">
        <v>3158</v>
      </c>
      <c r="K721" s="4" t="s">
        <v>251</v>
      </c>
      <c r="L721" s="4" t="s">
        <v>4388</v>
      </c>
      <c r="M721" s="5" t="s">
        <v>5418</v>
      </c>
      <c r="N721" s="6">
        <f>17099</f>
        <v>17099</v>
      </c>
      <c r="O721" s="4" t="s">
        <v>265</v>
      </c>
      <c r="P721" s="6">
        <f>188089</f>
        <v>188089</v>
      </c>
      <c r="Q721" s="6">
        <f>0</f>
        <v>0</v>
      </c>
      <c r="S721" s="6">
        <f>0</f>
        <v>0</v>
      </c>
      <c r="T721" s="6">
        <f>188089</f>
        <v>188089</v>
      </c>
      <c r="U721" s="5" t="s">
        <v>245</v>
      </c>
      <c r="V721" s="4" t="s">
        <v>270</v>
      </c>
      <c r="W721" s="4" t="s">
        <v>242</v>
      </c>
      <c r="X721" s="4" t="s">
        <v>243</v>
      </c>
      <c r="Y721" s="4" t="s">
        <v>241</v>
      </c>
      <c r="AB721" s="4" t="s">
        <v>241</v>
      </c>
      <c r="AD721" s="5" t="s">
        <v>241</v>
      </c>
      <c r="AG721" s="5" t="s">
        <v>246</v>
      </c>
      <c r="AH721" s="4" t="s">
        <v>5417</v>
      </c>
      <c r="AI721" s="4" t="s">
        <v>247</v>
      </c>
      <c r="AJ721" s="4" t="s">
        <v>248</v>
      </c>
      <c r="AZ721" s="4" t="s">
        <v>249</v>
      </c>
      <c r="BA721" s="4" t="s">
        <v>241</v>
      </c>
      <c r="BB721" s="4" t="s">
        <v>250</v>
      </c>
      <c r="BC721" s="4" t="s">
        <v>241</v>
      </c>
      <c r="BD721" s="4" t="s">
        <v>252</v>
      </c>
      <c r="BE721" s="4" t="s">
        <v>241</v>
      </c>
      <c r="BI721" s="4" t="s">
        <v>253</v>
      </c>
      <c r="BJ721" s="5" t="s">
        <v>246</v>
      </c>
      <c r="BK721" s="4" t="s">
        <v>254</v>
      </c>
      <c r="BL721" s="4" t="s">
        <v>255</v>
      </c>
      <c r="BM721" s="4" t="s">
        <v>241</v>
      </c>
      <c r="BN721" s="6">
        <f>0</f>
        <v>0</v>
      </c>
      <c r="BO721" s="6">
        <f>0</f>
        <v>0</v>
      </c>
      <c r="BP721" s="4" t="s">
        <v>256</v>
      </c>
      <c r="BQ721" s="4" t="s">
        <v>257</v>
      </c>
      <c r="CE721" s="4" t="s">
        <v>241</v>
      </c>
      <c r="CF721" s="4" t="s">
        <v>241</v>
      </c>
      <c r="CJ721" s="4" t="s">
        <v>258</v>
      </c>
      <c r="CK721" s="4" t="s">
        <v>259</v>
      </c>
      <c r="CL721" s="4" t="s">
        <v>241</v>
      </c>
      <c r="CO721" s="5" t="s">
        <v>260</v>
      </c>
      <c r="CP721" s="4" t="s">
        <v>241</v>
      </c>
      <c r="CQ721" s="4" t="s">
        <v>261</v>
      </c>
      <c r="CR721" s="4" t="s">
        <v>241</v>
      </c>
      <c r="CS721" s="4" t="s">
        <v>241</v>
      </c>
      <c r="CT721" s="4">
        <v>0</v>
      </c>
      <c r="CU721" s="4" t="s">
        <v>262</v>
      </c>
      <c r="CV721" s="4" t="s">
        <v>263</v>
      </c>
      <c r="CW721" s="4" t="s">
        <v>263</v>
      </c>
      <c r="CX721" s="4" t="s">
        <v>264</v>
      </c>
      <c r="DA721" s="6">
        <f>188089</f>
        <v>188089</v>
      </c>
      <c r="DC721" s="4" t="s">
        <v>3160</v>
      </c>
      <c r="DD721" s="4" t="s">
        <v>241</v>
      </c>
      <c r="DF721" s="4" t="s">
        <v>3160</v>
      </c>
      <c r="DG721" s="6">
        <f>17099</f>
        <v>17099</v>
      </c>
      <c r="DH721" s="5" t="s">
        <v>1766</v>
      </c>
      <c r="DI721" s="4" t="s">
        <v>3167</v>
      </c>
      <c r="DJ721" s="4" t="s">
        <v>241</v>
      </c>
      <c r="DK721" s="4" t="s">
        <v>241</v>
      </c>
      <c r="DL721" s="4" t="s">
        <v>241</v>
      </c>
      <c r="DP721" s="4" t="s">
        <v>241</v>
      </c>
      <c r="DQ721" s="4" t="s">
        <v>241</v>
      </c>
      <c r="DR721" s="4" t="s">
        <v>241</v>
      </c>
      <c r="DS721" s="4" t="s">
        <v>241</v>
      </c>
      <c r="DV721" s="4" t="s">
        <v>4392</v>
      </c>
      <c r="DW721" s="4" t="s">
        <v>416</v>
      </c>
      <c r="HO721" s="4" t="s">
        <v>267</v>
      </c>
    </row>
    <row r="722" spans="1:223" ht="19.5" customHeight="1" x14ac:dyDescent="0.4">
      <c r="A722" s="4">
        <v>1</v>
      </c>
      <c r="B722" s="4" t="s">
        <v>239</v>
      </c>
      <c r="C722" s="4">
        <v>1584</v>
      </c>
      <c r="D722" s="4">
        <v>1</v>
      </c>
      <c r="E722" s="4">
        <v>1</v>
      </c>
      <c r="F722" s="4" t="s">
        <v>240</v>
      </c>
      <c r="G722" s="4" t="s">
        <v>241</v>
      </c>
      <c r="H722" s="4" t="s">
        <v>241</v>
      </c>
      <c r="I722" s="4" t="s">
        <v>4389</v>
      </c>
      <c r="J722" s="4" t="s">
        <v>3158</v>
      </c>
      <c r="K722" s="4" t="s">
        <v>251</v>
      </c>
      <c r="L722" s="4" t="s">
        <v>4388</v>
      </c>
      <c r="M722" s="5" t="s">
        <v>4394</v>
      </c>
      <c r="N722" s="6">
        <f>6249</f>
        <v>6249</v>
      </c>
      <c r="O722" s="4" t="s">
        <v>265</v>
      </c>
      <c r="P722" s="6">
        <f>68739</f>
        <v>68739</v>
      </c>
      <c r="Q722" s="6">
        <f>0</f>
        <v>0</v>
      </c>
      <c r="S722" s="6">
        <f>0</f>
        <v>0</v>
      </c>
      <c r="T722" s="6">
        <f>68739</f>
        <v>68739</v>
      </c>
      <c r="U722" s="5" t="s">
        <v>245</v>
      </c>
      <c r="V722" s="4" t="s">
        <v>270</v>
      </c>
      <c r="W722" s="4" t="s">
        <v>242</v>
      </c>
      <c r="X722" s="4" t="s">
        <v>243</v>
      </c>
      <c r="Y722" s="4" t="s">
        <v>241</v>
      </c>
      <c r="AB722" s="4" t="s">
        <v>241</v>
      </c>
      <c r="AD722" s="5" t="s">
        <v>241</v>
      </c>
      <c r="AG722" s="5" t="s">
        <v>246</v>
      </c>
      <c r="AH722" s="4" t="s">
        <v>4393</v>
      </c>
      <c r="AI722" s="4" t="s">
        <v>247</v>
      </c>
      <c r="AJ722" s="4" t="s">
        <v>248</v>
      </c>
      <c r="AZ722" s="4" t="s">
        <v>249</v>
      </c>
      <c r="BA722" s="4" t="s">
        <v>241</v>
      </c>
      <c r="BB722" s="4" t="s">
        <v>250</v>
      </c>
      <c r="BC722" s="4" t="s">
        <v>241</v>
      </c>
      <c r="BD722" s="4" t="s">
        <v>252</v>
      </c>
      <c r="BE722" s="4" t="s">
        <v>241</v>
      </c>
      <c r="BI722" s="4" t="s">
        <v>253</v>
      </c>
      <c r="BJ722" s="5" t="s">
        <v>246</v>
      </c>
      <c r="BK722" s="4" t="s">
        <v>254</v>
      </c>
      <c r="BL722" s="4" t="s">
        <v>255</v>
      </c>
      <c r="BM722" s="4" t="s">
        <v>241</v>
      </c>
      <c r="BN722" s="6">
        <f>0</f>
        <v>0</v>
      </c>
      <c r="BO722" s="6">
        <f>0</f>
        <v>0</v>
      </c>
      <c r="BP722" s="4" t="s">
        <v>256</v>
      </c>
      <c r="BQ722" s="4" t="s">
        <v>257</v>
      </c>
      <c r="CE722" s="4" t="s">
        <v>241</v>
      </c>
      <c r="CF722" s="4" t="s">
        <v>241</v>
      </c>
      <c r="CJ722" s="4" t="s">
        <v>258</v>
      </c>
      <c r="CK722" s="4" t="s">
        <v>259</v>
      </c>
      <c r="CL722" s="4" t="s">
        <v>241</v>
      </c>
      <c r="CO722" s="5" t="s">
        <v>260</v>
      </c>
      <c r="CP722" s="4" t="s">
        <v>241</v>
      </c>
      <c r="CQ722" s="4" t="s">
        <v>261</v>
      </c>
      <c r="CR722" s="4" t="s">
        <v>241</v>
      </c>
      <c r="CS722" s="4" t="s">
        <v>241</v>
      </c>
      <c r="CT722" s="4">
        <v>0</v>
      </c>
      <c r="CU722" s="4" t="s">
        <v>262</v>
      </c>
      <c r="CV722" s="4" t="s">
        <v>263</v>
      </c>
      <c r="CW722" s="4" t="s">
        <v>263</v>
      </c>
      <c r="CX722" s="4" t="s">
        <v>264</v>
      </c>
      <c r="DA722" s="6">
        <f>68739</f>
        <v>68739</v>
      </c>
      <c r="DC722" s="4" t="s">
        <v>3160</v>
      </c>
      <c r="DD722" s="4" t="s">
        <v>241</v>
      </c>
      <c r="DF722" s="4" t="s">
        <v>3160</v>
      </c>
      <c r="DG722" s="6">
        <f>6249</f>
        <v>6249</v>
      </c>
      <c r="DH722" s="5" t="s">
        <v>4366</v>
      </c>
      <c r="DI722" s="4" t="s">
        <v>3167</v>
      </c>
      <c r="DJ722" s="4" t="s">
        <v>241</v>
      </c>
      <c r="DK722" s="4" t="s">
        <v>241</v>
      </c>
      <c r="DL722" s="4" t="s">
        <v>241</v>
      </c>
      <c r="DP722" s="4" t="s">
        <v>241</v>
      </c>
      <c r="DQ722" s="4" t="s">
        <v>241</v>
      </c>
      <c r="DR722" s="4" t="s">
        <v>241</v>
      </c>
      <c r="DS722" s="4" t="s">
        <v>241</v>
      </c>
      <c r="DV722" s="4" t="s">
        <v>4392</v>
      </c>
      <c r="DW722" s="4" t="s">
        <v>388</v>
      </c>
      <c r="HO722" s="4" t="s">
        <v>267</v>
      </c>
    </row>
    <row r="723" spans="1:223" ht="19.5" customHeight="1" x14ac:dyDescent="0.4">
      <c r="A723" s="4">
        <v>1</v>
      </c>
      <c r="B723" s="4" t="s">
        <v>239</v>
      </c>
      <c r="C723" s="4">
        <v>1585</v>
      </c>
      <c r="D723" s="4">
        <v>1</v>
      </c>
      <c r="E723" s="4">
        <v>1</v>
      </c>
      <c r="F723" s="4" t="s">
        <v>240</v>
      </c>
      <c r="G723" s="4" t="s">
        <v>241</v>
      </c>
      <c r="H723" s="4" t="s">
        <v>241</v>
      </c>
      <c r="I723" s="4" t="s">
        <v>4389</v>
      </c>
      <c r="J723" s="4" t="s">
        <v>3158</v>
      </c>
      <c r="K723" s="4" t="s">
        <v>251</v>
      </c>
      <c r="L723" s="4" t="s">
        <v>4388</v>
      </c>
      <c r="M723" s="5" t="s">
        <v>4396</v>
      </c>
      <c r="N723" s="6">
        <f>1801</f>
        <v>1801</v>
      </c>
      <c r="O723" s="4" t="s">
        <v>265</v>
      </c>
      <c r="P723" s="6">
        <f>19811</f>
        <v>19811</v>
      </c>
      <c r="Q723" s="6">
        <f>0</f>
        <v>0</v>
      </c>
      <c r="S723" s="6">
        <f>0</f>
        <v>0</v>
      </c>
      <c r="T723" s="6">
        <f>19811</f>
        <v>19811</v>
      </c>
      <c r="U723" s="5" t="s">
        <v>245</v>
      </c>
      <c r="V723" s="4" t="s">
        <v>270</v>
      </c>
      <c r="W723" s="4" t="s">
        <v>242</v>
      </c>
      <c r="X723" s="4" t="s">
        <v>243</v>
      </c>
      <c r="Y723" s="4" t="s">
        <v>241</v>
      </c>
      <c r="AB723" s="4" t="s">
        <v>241</v>
      </c>
      <c r="AD723" s="5" t="s">
        <v>241</v>
      </c>
      <c r="AG723" s="5" t="s">
        <v>246</v>
      </c>
      <c r="AH723" s="4" t="s">
        <v>4395</v>
      </c>
      <c r="AI723" s="4" t="s">
        <v>247</v>
      </c>
      <c r="AJ723" s="4" t="s">
        <v>248</v>
      </c>
      <c r="AZ723" s="4" t="s">
        <v>249</v>
      </c>
      <c r="BA723" s="4" t="s">
        <v>241</v>
      </c>
      <c r="BB723" s="4" t="s">
        <v>250</v>
      </c>
      <c r="BC723" s="4" t="s">
        <v>241</v>
      </c>
      <c r="BD723" s="4" t="s">
        <v>252</v>
      </c>
      <c r="BE723" s="4" t="s">
        <v>241</v>
      </c>
      <c r="BI723" s="4" t="s">
        <v>253</v>
      </c>
      <c r="BJ723" s="5" t="s">
        <v>246</v>
      </c>
      <c r="BK723" s="4" t="s">
        <v>254</v>
      </c>
      <c r="BL723" s="4" t="s">
        <v>255</v>
      </c>
      <c r="BM723" s="4" t="s">
        <v>241</v>
      </c>
      <c r="BN723" s="6">
        <f>0</f>
        <v>0</v>
      </c>
      <c r="BO723" s="6">
        <f>0</f>
        <v>0</v>
      </c>
      <c r="BP723" s="4" t="s">
        <v>256</v>
      </c>
      <c r="BQ723" s="4" t="s">
        <v>257</v>
      </c>
      <c r="CE723" s="4" t="s">
        <v>241</v>
      </c>
      <c r="CF723" s="4" t="s">
        <v>241</v>
      </c>
      <c r="CJ723" s="4" t="s">
        <v>258</v>
      </c>
      <c r="CK723" s="4" t="s">
        <v>259</v>
      </c>
      <c r="CL723" s="4" t="s">
        <v>241</v>
      </c>
      <c r="CO723" s="5" t="s">
        <v>260</v>
      </c>
      <c r="CP723" s="4" t="s">
        <v>241</v>
      </c>
      <c r="CQ723" s="4" t="s">
        <v>261</v>
      </c>
      <c r="CR723" s="4" t="s">
        <v>241</v>
      </c>
      <c r="CS723" s="4" t="s">
        <v>241</v>
      </c>
      <c r="CT723" s="4">
        <v>0</v>
      </c>
      <c r="CU723" s="4" t="s">
        <v>262</v>
      </c>
      <c r="CV723" s="4" t="s">
        <v>263</v>
      </c>
      <c r="CW723" s="4" t="s">
        <v>263</v>
      </c>
      <c r="CX723" s="4" t="s">
        <v>264</v>
      </c>
      <c r="DA723" s="6">
        <f>19811</f>
        <v>19811</v>
      </c>
      <c r="DC723" s="4" t="s">
        <v>3160</v>
      </c>
      <c r="DD723" s="4" t="s">
        <v>241</v>
      </c>
      <c r="DF723" s="4" t="s">
        <v>3160</v>
      </c>
      <c r="DG723" s="6">
        <f>1801</f>
        <v>1801</v>
      </c>
      <c r="DH723" s="5" t="s">
        <v>4397</v>
      </c>
      <c r="DI723" s="4" t="s">
        <v>3167</v>
      </c>
      <c r="DJ723" s="4" t="s">
        <v>241</v>
      </c>
      <c r="DK723" s="4" t="s">
        <v>241</v>
      </c>
      <c r="DL723" s="4" t="s">
        <v>241</v>
      </c>
      <c r="DP723" s="4" t="s">
        <v>241</v>
      </c>
      <c r="DQ723" s="4" t="s">
        <v>241</v>
      </c>
      <c r="DR723" s="4" t="s">
        <v>241</v>
      </c>
      <c r="DS723" s="4" t="s">
        <v>241</v>
      </c>
      <c r="DV723" s="4" t="s">
        <v>4392</v>
      </c>
      <c r="DW723" s="4" t="s">
        <v>327</v>
      </c>
      <c r="HO723" s="4" t="s">
        <v>267</v>
      </c>
    </row>
    <row r="724" spans="1:223" ht="19.5" customHeight="1" x14ac:dyDescent="0.4">
      <c r="A724" s="4">
        <v>1</v>
      </c>
      <c r="B724" s="4" t="s">
        <v>239</v>
      </c>
      <c r="C724" s="4">
        <v>1586</v>
      </c>
      <c r="D724" s="4">
        <v>1</v>
      </c>
      <c r="E724" s="4">
        <v>1</v>
      </c>
      <c r="F724" s="4" t="s">
        <v>240</v>
      </c>
      <c r="G724" s="4" t="s">
        <v>241</v>
      </c>
      <c r="H724" s="4" t="s">
        <v>241</v>
      </c>
      <c r="I724" s="4" t="s">
        <v>4398</v>
      </c>
      <c r="J724" s="4" t="s">
        <v>299</v>
      </c>
      <c r="K724" s="4" t="s">
        <v>251</v>
      </c>
      <c r="L724" s="4" t="s">
        <v>4388</v>
      </c>
      <c r="M724" s="5" t="s">
        <v>4406</v>
      </c>
      <c r="N724" s="6">
        <f>7878</f>
        <v>7878</v>
      </c>
      <c r="O724" s="4" t="s">
        <v>265</v>
      </c>
      <c r="P724" s="6">
        <f>17449770</f>
        <v>17449770</v>
      </c>
      <c r="Q724" s="6">
        <f>0</f>
        <v>0</v>
      </c>
      <c r="S724" s="6">
        <f>0</f>
        <v>0</v>
      </c>
      <c r="T724" s="6">
        <f>17449770</f>
        <v>17449770</v>
      </c>
      <c r="U724" s="5" t="s">
        <v>245</v>
      </c>
      <c r="V724" s="4" t="s">
        <v>270</v>
      </c>
      <c r="W724" s="4" t="s">
        <v>242</v>
      </c>
      <c r="X724" s="4" t="s">
        <v>243</v>
      </c>
      <c r="Y724" s="4" t="s">
        <v>241</v>
      </c>
      <c r="AB724" s="4" t="s">
        <v>241</v>
      </c>
      <c r="AD724" s="5" t="s">
        <v>241</v>
      </c>
      <c r="AG724" s="5" t="s">
        <v>246</v>
      </c>
      <c r="AH724" s="4" t="s">
        <v>4405</v>
      </c>
      <c r="AI724" s="4" t="s">
        <v>247</v>
      </c>
      <c r="AJ724" s="4" t="s">
        <v>248</v>
      </c>
      <c r="AZ724" s="4" t="s">
        <v>249</v>
      </c>
      <c r="BA724" s="4" t="s">
        <v>241</v>
      </c>
      <c r="BB724" s="4" t="s">
        <v>250</v>
      </c>
      <c r="BC724" s="4" t="s">
        <v>241</v>
      </c>
      <c r="BD724" s="4" t="s">
        <v>252</v>
      </c>
      <c r="BE724" s="4" t="s">
        <v>241</v>
      </c>
      <c r="BI724" s="4" t="s">
        <v>253</v>
      </c>
      <c r="BJ724" s="5" t="s">
        <v>246</v>
      </c>
      <c r="BK724" s="4" t="s">
        <v>254</v>
      </c>
      <c r="BL724" s="4" t="s">
        <v>255</v>
      </c>
      <c r="BM724" s="4" t="s">
        <v>241</v>
      </c>
      <c r="BN724" s="6">
        <f>0</f>
        <v>0</v>
      </c>
      <c r="BO724" s="6">
        <f>0</f>
        <v>0</v>
      </c>
      <c r="BP724" s="4" t="s">
        <v>256</v>
      </c>
      <c r="BQ724" s="4" t="s">
        <v>257</v>
      </c>
      <c r="CE724" s="4" t="s">
        <v>241</v>
      </c>
      <c r="CF724" s="4" t="s">
        <v>241</v>
      </c>
      <c r="CJ724" s="4" t="s">
        <v>258</v>
      </c>
      <c r="CK724" s="4" t="s">
        <v>259</v>
      </c>
      <c r="CL724" s="4" t="s">
        <v>241</v>
      </c>
      <c r="CO724" s="5" t="s">
        <v>260</v>
      </c>
      <c r="CP724" s="4" t="s">
        <v>241</v>
      </c>
      <c r="CQ724" s="4" t="s">
        <v>261</v>
      </c>
      <c r="CR724" s="4" t="s">
        <v>241</v>
      </c>
      <c r="CS724" s="4" t="s">
        <v>241</v>
      </c>
      <c r="CT724" s="4">
        <v>0</v>
      </c>
      <c r="CU724" s="4" t="s">
        <v>262</v>
      </c>
      <c r="CV724" s="4" t="s">
        <v>263</v>
      </c>
      <c r="CW724" s="4" t="s">
        <v>263</v>
      </c>
      <c r="CX724" s="4" t="s">
        <v>264</v>
      </c>
      <c r="DA724" s="6">
        <f>17449770</f>
        <v>17449770</v>
      </c>
      <c r="DC724" s="4" t="s">
        <v>414</v>
      </c>
      <c r="DD724" s="4" t="s">
        <v>241</v>
      </c>
      <c r="DF724" s="4" t="s">
        <v>3160</v>
      </c>
      <c r="DG724" s="6">
        <f>7878</f>
        <v>7878</v>
      </c>
      <c r="DI724" s="4" t="s">
        <v>414</v>
      </c>
      <c r="DJ724" s="4" t="s">
        <v>241</v>
      </c>
      <c r="DK724" s="4" t="s">
        <v>241</v>
      </c>
      <c r="DL724" s="4" t="s">
        <v>241</v>
      </c>
      <c r="DP724" s="4" t="s">
        <v>241</v>
      </c>
      <c r="DQ724" s="4" t="s">
        <v>241</v>
      </c>
      <c r="DR724" s="4" t="s">
        <v>241</v>
      </c>
      <c r="DS724" s="4" t="s">
        <v>241</v>
      </c>
      <c r="DV724" s="4" t="s">
        <v>4407</v>
      </c>
      <c r="DW724" s="4" t="s">
        <v>267</v>
      </c>
      <c r="HO724" s="4" t="s">
        <v>267</v>
      </c>
    </row>
    <row r="725" spans="1:223" ht="19.5" customHeight="1" x14ac:dyDescent="0.4">
      <c r="A725" s="4">
        <v>1</v>
      </c>
      <c r="B725" s="4" t="s">
        <v>239</v>
      </c>
      <c r="C725" s="4">
        <v>1587</v>
      </c>
      <c r="D725" s="4">
        <v>1</v>
      </c>
      <c r="E725" s="4">
        <v>1</v>
      </c>
      <c r="F725" s="4" t="s">
        <v>240</v>
      </c>
      <c r="G725" s="4" t="s">
        <v>241</v>
      </c>
      <c r="H725" s="4" t="s">
        <v>241</v>
      </c>
      <c r="I725" s="4" t="s">
        <v>4384</v>
      </c>
      <c r="J725" s="4" t="s">
        <v>418</v>
      </c>
      <c r="K725" s="4" t="s">
        <v>251</v>
      </c>
      <c r="L725" s="4" t="s">
        <v>4383</v>
      </c>
      <c r="M725" s="5" t="s">
        <v>4385</v>
      </c>
      <c r="N725" s="6">
        <f>5396.26</f>
        <v>5396.26</v>
      </c>
      <c r="O725" s="4" t="s">
        <v>265</v>
      </c>
      <c r="P725" s="6">
        <f>15445324</f>
        <v>15445324</v>
      </c>
      <c r="Q725" s="6">
        <f>0</f>
        <v>0</v>
      </c>
      <c r="S725" s="6">
        <f>0</f>
        <v>0</v>
      </c>
      <c r="T725" s="6">
        <f>15445324</f>
        <v>15445324</v>
      </c>
      <c r="U725" s="5" t="s">
        <v>4222</v>
      </c>
      <c r="V725" s="4" t="s">
        <v>270</v>
      </c>
      <c r="W725" s="4" t="s">
        <v>242</v>
      </c>
      <c r="X725" s="4" t="s">
        <v>243</v>
      </c>
      <c r="Y725" s="4" t="s">
        <v>241</v>
      </c>
      <c r="AB725" s="4" t="s">
        <v>241</v>
      </c>
      <c r="AD725" s="5" t="s">
        <v>241</v>
      </c>
      <c r="AG725" s="5" t="s">
        <v>246</v>
      </c>
      <c r="AH725" s="4" t="s">
        <v>241</v>
      </c>
      <c r="AI725" s="4" t="s">
        <v>247</v>
      </c>
      <c r="AJ725" s="4" t="s">
        <v>248</v>
      </c>
      <c r="AZ725" s="4" t="s">
        <v>249</v>
      </c>
      <c r="BA725" s="4" t="s">
        <v>241</v>
      </c>
      <c r="BB725" s="4" t="s">
        <v>250</v>
      </c>
      <c r="BC725" s="4" t="s">
        <v>241</v>
      </c>
      <c r="BD725" s="4" t="s">
        <v>252</v>
      </c>
      <c r="BE725" s="4" t="s">
        <v>241</v>
      </c>
      <c r="BG725" s="4" t="s">
        <v>412</v>
      </c>
      <c r="BI725" s="4" t="s">
        <v>253</v>
      </c>
      <c r="BJ725" s="5" t="s">
        <v>246</v>
      </c>
      <c r="BK725" s="4" t="s">
        <v>254</v>
      </c>
      <c r="BL725" s="4" t="s">
        <v>255</v>
      </c>
      <c r="BM725" s="4" t="s">
        <v>241</v>
      </c>
      <c r="BN725" s="6">
        <f>0</f>
        <v>0</v>
      </c>
      <c r="BO725" s="6">
        <f>0</f>
        <v>0</v>
      </c>
      <c r="BP725" s="4" t="s">
        <v>256</v>
      </c>
      <c r="BQ725" s="4" t="s">
        <v>257</v>
      </c>
      <c r="CE725" s="4" t="s">
        <v>241</v>
      </c>
      <c r="CF725" s="4" t="s">
        <v>241</v>
      </c>
      <c r="CJ725" s="4" t="s">
        <v>286</v>
      </c>
      <c r="CK725" s="4" t="s">
        <v>259</v>
      </c>
      <c r="CL725" s="4" t="s">
        <v>241</v>
      </c>
      <c r="CO725" s="5" t="s">
        <v>260</v>
      </c>
      <c r="CP725" s="4" t="s">
        <v>241</v>
      </c>
      <c r="CQ725" s="4" t="s">
        <v>261</v>
      </c>
      <c r="CR725" s="4" t="s">
        <v>241</v>
      </c>
      <c r="CS725" s="4" t="s">
        <v>241</v>
      </c>
      <c r="CT725" s="4">
        <v>0</v>
      </c>
      <c r="CU725" s="4" t="s">
        <v>262</v>
      </c>
      <c r="CV725" s="4" t="s">
        <v>263</v>
      </c>
      <c r="CW725" s="4" t="s">
        <v>263</v>
      </c>
      <c r="CX725" s="4" t="s">
        <v>264</v>
      </c>
      <c r="DA725" s="6">
        <f>15445324</f>
        <v>15445324</v>
      </c>
      <c r="DC725" s="4" t="s">
        <v>414</v>
      </c>
      <c r="DD725" s="4" t="s">
        <v>241</v>
      </c>
      <c r="DF725" s="4" t="s">
        <v>414</v>
      </c>
      <c r="DG725" s="6">
        <f>5396</f>
        <v>5396</v>
      </c>
      <c r="DH725" s="5" t="s">
        <v>1766</v>
      </c>
      <c r="DI725" s="4" t="s">
        <v>414</v>
      </c>
      <c r="DJ725" s="4" t="s">
        <v>241</v>
      </c>
      <c r="DK725" s="4" t="s">
        <v>241</v>
      </c>
      <c r="DL725" s="4" t="s">
        <v>241</v>
      </c>
      <c r="DP725" s="4" t="s">
        <v>241</v>
      </c>
      <c r="DQ725" s="4" t="s">
        <v>241</v>
      </c>
      <c r="DR725" s="4" t="s">
        <v>241</v>
      </c>
      <c r="DS725" s="4" t="s">
        <v>241</v>
      </c>
      <c r="DV725" s="4" t="s">
        <v>4386</v>
      </c>
      <c r="DW725" s="4" t="s">
        <v>267</v>
      </c>
      <c r="HO725" s="4" t="s">
        <v>267</v>
      </c>
    </row>
    <row r="726" spans="1:223" ht="19.5" customHeight="1" x14ac:dyDescent="0.4">
      <c r="A726" s="4">
        <v>1</v>
      </c>
      <c r="B726" s="4" t="s">
        <v>239</v>
      </c>
      <c r="C726" s="4">
        <v>1588</v>
      </c>
      <c r="D726" s="4">
        <v>1</v>
      </c>
      <c r="E726" s="4">
        <v>1</v>
      </c>
      <c r="F726" s="4" t="s">
        <v>240</v>
      </c>
      <c r="G726" s="4" t="s">
        <v>241</v>
      </c>
      <c r="H726" s="4" t="s">
        <v>241</v>
      </c>
      <c r="I726" s="4" t="s">
        <v>4380</v>
      </c>
      <c r="J726" s="4" t="s">
        <v>418</v>
      </c>
      <c r="K726" s="4" t="s">
        <v>251</v>
      </c>
      <c r="L726" s="4" t="s">
        <v>4379</v>
      </c>
      <c r="M726" s="5" t="s">
        <v>4381</v>
      </c>
      <c r="N726" s="6">
        <f>1298.33</f>
        <v>1298.33</v>
      </c>
      <c r="O726" s="4" t="s">
        <v>265</v>
      </c>
      <c r="P726" s="6">
        <f>7974342</f>
        <v>7974342</v>
      </c>
      <c r="Q726" s="6">
        <f>0</f>
        <v>0</v>
      </c>
      <c r="S726" s="6">
        <f>0</f>
        <v>0</v>
      </c>
      <c r="T726" s="6">
        <f>7974342</f>
        <v>7974342</v>
      </c>
      <c r="U726" s="5" t="s">
        <v>4374</v>
      </c>
      <c r="V726" s="4" t="s">
        <v>270</v>
      </c>
      <c r="W726" s="4" t="s">
        <v>242</v>
      </c>
      <c r="X726" s="4" t="s">
        <v>273</v>
      </c>
      <c r="Y726" s="4" t="s">
        <v>241</v>
      </c>
      <c r="AB726" s="4" t="s">
        <v>241</v>
      </c>
      <c r="AD726" s="5" t="s">
        <v>241</v>
      </c>
      <c r="AG726" s="5" t="s">
        <v>246</v>
      </c>
      <c r="AH726" s="4" t="s">
        <v>241</v>
      </c>
      <c r="AI726" s="4" t="s">
        <v>247</v>
      </c>
      <c r="AJ726" s="4" t="s">
        <v>248</v>
      </c>
      <c r="AZ726" s="4" t="s">
        <v>249</v>
      </c>
      <c r="BA726" s="4" t="s">
        <v>241</v>
      </c>
      <c r="BB726" s="4" t="s">
        <v>250</v>
      </c>
      <c r="BC726" s="4" t="s">
        <v>241</v>
      </c>
      <c r="BD726" s="4" t="s">
        <v>252</v>
      </c>
      <c r="BE726" s="4" t="s">
        <v>241</v>
      </c>
      <c r="BG726" s="4" t="s">
        <v>412</v>
      </c>
      <c r="BI726" s="4" t="s">
        <v>253</v>
      </c>
      <c r="BJ726" s="5" t="s">
        <v>246</v>
      </c>
      <c r="BK726" s="4" t="s">
        <v>254</v>
      </c>
      <c r="BL726" s="4" t="s">
        <v>255</v>
      </c>
      <c r="BM726" s="4" t="s">
        <v>241</v>
      </c>
      <c r="BN726" s="6">
        <f>0</f>
        <v>0</v>
      </c>
      <c r="BO726" s="6">
        <f>0</f>
        <v>0</v>
      </c>
      <c r="BP726" s="4" t="s">
        <v>256</v>
      </c>
      <c r="BQ726" s="4" t="s">
        <v>257</v>
      </c>
      <c r="CE726" s="4" t="s">
        <v>241</v>
      </c>
      <c r="CF726" s="4" t="s">
        <v>241</v>
      </c>
      <c r="CJ726" s="4" t="s">
        <v>286</v>
      </c>
      <c r="CK726" s="4" t="s">
        <v>259</v>
      </c>
      <c r="CL726" s="4" t="s">
        <v>241</v>
      </c>
      <c r="CO726" s="5" t="s">
        <v>260</v>
      </c>
      <c r="CP726" s="4" t="s">
        <v>241</v>
      </c>
      <c r="CQ726" s="4" t="s">
        <v>261</v>
      </c>
      <c r="CR726" s="4" t="s">
        <v>241</v>
      </c>
      <c r="CS726" s="4" t="s">
        <v>241</v>
      </c>
      <c r="CT726" s="4">
        <v>0</v>
      </c>
      <c r="CU726" s="4" t="s">
        <v>262</v>
      </c>
      <c r="CV726" s="4" t="s">
        <v>263</v>
      </c>
      <c r="CW726" s="4" t="s">
        <v>263</v>
      </c>
      <c r="CX726" s="4" t="s">
        <v>264</v>
      </c>
      <c r="DA726" s="6">
        <f>7974342</f>
        <v>7974342</v>
      </c>
      <c r="DC726" s="4" t="s">
        <v>266</v>
      </c>
      <c r="DD726" s="4" t="s">
        <v>241</v>
      </c>
      <c r="DF726" s="4" t="s">
        <v>266</v>
      </c>
      <c r="DG726" s="6">
        <f>1298.33</f>
        <v>1298.33</v>
      </c>
      <c r="DH726" s="5" t="s">
        <v>1766</v>
      </c>
      <c r="DI726" s="4" t="s">
        <v>266</v>
      </c>
      <c r="DJ726" s="4" t="s">
        <v>241</v>
      </c>
      <c r="DK726" s="4" t="s">
        <v>241</v>
      </c>
      <c r="DL726" s="4" t="s">
        <v>241</v>
      </c>
      <c r="DP726" s="4" t="s">
        <v>241</v>
      </c>
      <c r="DQ726" s="4" t="s">
        <v>241</v>
      </c>
      <c r="DR726" s="4" t="s">
        <v>241</v>
      </c>
      <c r="DS726" s="4" t="s">
        <v>241</v>
      </c>
      <c r="DV726" s="4" t="s">
        <v>4382</v>
      </c>
      <c r="DW726" s="4" t="s">
        <v>267</v>
      </c>
      <c r="HO726" s="4" t="s">
        <v>267</v>
      </c>
    </row>
    <row r="727" spans="1:223" ht="19.5" customHeight="1" x14ac:dyDescent="0.4">
      <c r="A727" s="4">
        <v>1</v>
      </c>
      <c r="B727" s="4" t="s">
        <v>239</v>
      </c>
      <c r="C727" s="4">
        <v>1589</v>
      </c>
      <c r="D727" s="4">
        <v>1</v>
      </c>
      <c r="E727" s="4">
        <v>1</v>
      </c>
      <c r="F727" s="4" t="s">
        <v>240</v>
      </c>
      <c r="G727" s="4" t="s">
        <v>241</v>
      </c>
      <c r="H727" s="4" t="s">
        <v>241</v>
      </c>
      <c r="I727" s="4" t="s">
        <v>4376</v>
      </c>
      <c r="J727" s="4" t="s">
        <v>418</v>
      </c>
      <c r="K727" s="4" t="s">
        <v>251</v>
      </c>
      <c r="L727" s="4" t="s">
        <v>4375</v>
      </c>
      <c r="M727" s="5" t="s">
        <v>3164</v>
      </c>
      <c r="N727" s="6">
        <f>690</f>
        <v>690</v>
      </c>
      <c r="O727" s="4" t="s">
        <v>265</v>
      </c>
      <c r="P727" s="6">
        <f>1528350</f>
        <v>1528350</v>
      </c>
      <c r="Q727" s="6">
        <f>0</f>
        <v>0</v>
      </c>
      <c r="S727" s="6">
        <f>0</f>
        <v>0</v>
      </c>
      <c r="T727" s="6">
        <f>1528350</f>
        <v>1528350</v>
      </c>
      <c r="U727" s="5" t="s">
        <v>4377</v>
      </c>
      <c r="V727" s="4" t="s">
        <v>270</v>
      </c>
      <c r="W727" s="4" t="s">
        <v>242</v>
      </c>
      <c r="X727" s="4" t="s">
        <v>273</v>
      </c>
      <c r="Y727" s="4" t="s">
        <v>241</v>
      </c>
      <c r="AB727" s="4" t="s">
        <v>241</v>
      </c>
      <c r="AD727" s="5" t="s">
        <v>241</v>
      </c>
      <c r="AG727" s="5" t="s">
        <v>246</v>
      </c>
      <c r="AH727" s="4" t="s">
        <v>241</v>
      </c>
      <c r="AI727" s="4" t="s">
        <v>247</v>
      </c>
      <c r="AJ727" s="4" t="s">
        <v>248</v>
      </c>
      <c r="AZ727" s="4" t="s">
        <v>249</v>
      </c>
      <c r="BA727" s="4" t="s">
        <v>241</v>
      </c>
      <c r="BB727" s="4" t="s">
        <v>250</v>
      </c>
      <c r="BC727" s="4" t="s">
        <v>241</v>
      </c>
      <c r="BD727" s="4" t="s">
        <v>252</v>
      </c>
      <c r="BE727" s="4" t="s">
        <v>241</v>
      </c>
      <c r="BG727" s="4" t="s">
        <v>412</v>
      </c>
      <c r="BI727" s="4" t="s">
        <v>253</v>
      </c>
      <c r="BJ727" s="5" t="s">
        <v>246</v>
      </c>
      <c r="BK727" s="4" t="s">
        <v>254</v>
      </c>
      <c r="BL727" s="4" t="s">
        <v>255</v>
      </c>
      <c r="BM727" s="4" t="s">
        <v>241</v>
      </c>
      <c r="BN727" s="6">
        <f>0</f>
        <v>0</v>
      </c>
      <c r="BO727" s="6">
        <f>0</f>
        <v>0</v>
      </c>
      <c r="BP727" s="4" t="s">
        <v>256</v>
      </c>
      <c r="BQ727" s="4" t="s">
        <v>257</v>
      </c>
      <c r="CE727" s="4" t="s">
        <v>241</v>
      </c>
      <c r="CF727" s="4" t="s">
        <v>241</v>
      </c>
      <c r="CJ727" s="4" t="s">
        <v>258</v>
      </c>
      <c r="CK727" s="4" t="s">
        <v>259</v>
      </c>
      <c r="CL727" s="4" t="s">
        <v>241</v>
      </c>
      <c r="CO727" s="5" t="s">
        <v>260</v>
      </c>
      <c r="CP727" s="4" t="s">
        <v>241</v>
      </c>
      <c r="CQ727" s="4" t="s">
        <v>261</v>
      </c>
      <c r="CR727" s="4" t="s">
        <v>241</v>
      </c>
      <c r="CS727" s="4" t="s">
        <v>241</v>
      </c>
      <c r="CT727" s="4">
        <v>0</v>
      </c>
      <c r="CU727" s="4" t="s">
        <v>262</v>
      </c>
      <c r="CV727" s="4" t="s">
        <v>263</v>
      </c>
      <c r="CW727" s="4" t="s">
        <v>263</v>
      </c>
      <c r="CX727" s="4" t="s">
        <v>264</v>
      </c>
      <c r="DA727" s="6">
        <f>1528350</f>
        <v>1528350</v>
      </c>
      <c r="DC727" s="4" t="s">
        <v>414</v>
      </c>
      <c r="DD727" s="4" t="s">
        <v>241</v>
      </c>
      <c r="DF727" s="4" t="s">
        <v>414</v>
      </c>
      <c r="DG727" s="6">
        <f>7110</f>
        <v>7110</v>
      </c>
      <c r="DH727" s="5" t="s">
        <v>1766</v>
      </c>
      <c r="DI727" s="4" t="s">
        <v>414</v>
      </c>
      <c r="DJ727" s="4" t="s">
        <v>241</v>
      </c>
      <c r="DK727" s="4" t="s">
        <v>241</v>
      </c>
      <c r="DL727" s="4" t="s">
        <v>241</v>
      </c>
      <c r="DP727" s="4" t="s">
        <v>241</v>
      </c>
      <c r="DQ727" s="4" t="s">
        <v>241</v>
      </c>
      <c r="DR727" s="4" t="s">
        <v>241</v>
      </c>
      <c r="DS727" s="4" t="s">
        <v>241</v>
      </c>
      <c r="DV727" s="4" t="s">
        <v>4378</v>
      </c>
      <c r="DW727" s="4" t="s">
        <v>267</v>
      </c>
      <c r="HO727" s="4" t="s">
        <v>267</v>
      </c>
    </row>
    <row r="728" spans="1:223" ht="19.5" customHeight="1" x14ac:dyDescent="0.4">
      <c r="A728" s="4">
        <v>1</v>
      </c>
      <c r="B728" s="4" t="s">
        <v>239</v>
      </c>
      <c r="C728" s="4">
        <v>1590</v>
      </c>
      <c r="D728" s="4">
        <v>1</v>
      </c>
      <c r="E728" s="4">
        <v>1</v>
      </c>
      <c r="F728" s="4" t="s">
        <v>240</v>
      </c>
      <c r="G728" s="4" t="s">
        <v>241</v>
      </c>
      <c r="H728" s="4" t="s">
        <v>241</v>
      </c>
      <c r="I728" s="4" t="s">
        <v>4364</v>
      </c>
      <c r="J728" s="4" t="s">
        <v>418</v>
      </c>
      <c r="K728" s="4" t="s">
        <v>251</v>
      </c>
      <c r="L728" s="4" t="s">
        <v>4363</v>
      </c>
      <c r="M728" s="5" t="s">
        <v>4365</v>
      </c>
      <c r="N728" s="6">
        <f>3660</f>
        <v>3660</v>
      </c>
      <c r="O728" s="4" t="s">
        <v>265</v>
      </c>
      <c r="P728" s="6">
        <f>8106900</f>
        <v>8106900</v>
      </c>
      <c r="Q728" s="6">
        <f>0</f>
        <v>0</v>
      </c>
      <c r="S728" s="6">
        <f>0</f>
        <v>0</v>
      </c>
      <c r="T728" s="6">
        <f>8106900</f>
        <v>8106900</v>
      </c>
      <c r="U728" s="5" t="s">
        <v>4355</v>
      </c>
      <c r="V728" s="4" t="s">
        <v>270</v>
      </c>
      <c r="W728" s="4" t="s">
        <v>242</v>
      </c>
      <c r="X728" s="4" t="s">
        <v>273</v>
      </c>
      <c r="Y728" s="4" t="s">
        <v>241</v>
      </c>
      <c r="AB728" s="4" t="s">
        <v>241</v>
      </c>
      <c r="AD728" s="5" t="s">
        <v>241</v>
      </c>
      <c r="AG728" s="5" t="s">
        <v>246</v>
      </c>
      <c r="AH728" s="4" t="s">
        <v>241</v>
      </c>
      <c r="AI728" s="4" t="s">
        <v>247</v>
      </c>
      <c r="AJ728" s="4" t="s">
        <v>248</v>
      </c>
      <c r="AZ728" s="4" t="s">
        <v>249</v>
      </c>
      <c r="BA728" s="4" t="s">
        <v>241</v>
      </c>
      <c r="BB728" s="4" t="s">
        <v>250</v>
      </c>
      <c r="BC728" s="4" t="s">
        <v>241</v>
      </c>
      <c r="BD728" s="4" t="s">
        <v>252</v>
      </c>
      <c r="BE728" s="4" t="s">
        <v>241</v>
      </c>
      <c r="BG728" s="4" t="s">
        <v>412</v>
      </c>
      <c r="BI728" s="4" t="s">
        <v>253</v>
      </c>
      <c r="BJ728" s="5" t="s">
        <v>246</v>
      </c>
      <c r="BK728" s="4" t="s">
        <v>254</v>
      </c>
      <c r="BL728" s="4" t="s">
        <v>255</v>
      </c>
      <c r="BM728" s="4" t="s">
        <v>241</v>
      </c>
      <c r="BN728" s="6">
        <f>0</f>
        <v>0</v>
      </c>
      <c r="BO728" s="6">
        <f>0</f>
        <v>0</v>
      </c>
      <c r="BP728" s="4" t="s">
        <v>256</v>
      </c>
      <c r="BQ728" s="4" t="s">
        <v>257</v>
      </c>
      <c r="CE728" s="4" t="s">
        <v>241</v>
      </c>
      <c r="CF728" s="4" t="s">
        <v>241</v>
      </c>
      <c r="CJ728" s="4" t="s">
        <v>258</v>
      </c>
      <c r="CK728" s="4" t="s">
        <v>259</v>
      </c>
      <c r="CL728" s="4" t="s">
        <v>241</v>
      </c>
      <c r="CO728" s="5" t="s">
        <v>260</v>
      </c>
      <c r="CP728" s="4" t="s">
        <v>241</v>
      </c>
      <c r="CQ728" s="4" t="s">
        <v>261</v>
      </c>
      <c r="CR728" s="4" t="s">
        <v>241</v>
      </c>
      <c r="CS728" s="4" t="s">
        <v>241</v>
      </c>
      <c r="CT728" s="4">
        <v>0</v>
      </c>
      <c r="CU728" s="4" t="s">
        <v>262</v>
      </c>
      <c r="CV728" s="4" t="s">
        <v>263</v>
      </c>
      <c r="CW728" s="4" t="s">
        <v>263</v>
      </c>
      <c r="CX728" s="4" t="s">
        <v>264</v>
      </c>
      <c r="DA728" s="6">
        <f>8106900</f>
        <v>8106900</v>
      </c>
      <c r="DC728" s="4" t="s">
        <v>422</v>
      </c>
      <c r="DD728" s="4" t="s">
        <v>241</v>
      </c>
      <c r="DF728" s="4" t="s">
        <v>422</v>
      </c>
      <c r="DG728" s="6">
        <f>3660</f>
        <v>3660</v>
      </c>
      <c r="DH728" s="5" t="s">
        <v>4366</v>
      </c>
      <c r="DI728" s="4" t="s">
        <v>414</v>
      </c>
      <c r="DJ728" s="4" t="s">
        <v>241</v>
      </c>
      <c r="DK728" s="4" t="s">
        <v>241</v>
      </c>
      <c r="DL728" s="4" t="s">
        <v>241</v>
      </c>
      <c r="DP728" s="4" t="s">
        <v>241</v>
      </c>
      <c r="DQ728" s="4" t="s">
        <v>241</v>
      </c>
      <c r="DR728" s="4" t="s">
        <v>241</v>
      </c>
      <c r="DS728" s="4" t="s">
        <v>241</v>
      </c>
      <c r="DV728" s="4" t="s">
        <v>4367</v>
      </c>
      <c r="DW728" s="4" t="s">
        <v>267</v>
      </c>
      <c r="HO728" s="4" t="s">
        <v>267</v>
      </c>
    </row>
    <row r="729" spans="1:223" ht="19.5" customHeight="1" x14ac:dyDescent="0.4">
      <c r="A729" s="4">
        <v>1</v>
      </c>
      <c r="B729" s="4" t="s">
        <v>239</v>
      </c>
      <c r="C729" s="4">
        <v>1591</v>
      </c>
      <c r="D729" s="4">
        <v>1</v>
      </c>
      <c r="E729" s="4">
        <v>1</v>
      </c>
      <c r="F729" s="4" t="s">
        <v>240</v>
      </c>
      <c r="G729" s="4" t="s">
        <v>241</v>
      </c>
      <c r="H729" s="4" t="s">
        <v>241</v>
      </c>
      <c r="I729" s="4" t="s">
        <v>4364</v>
      </c>
      <c r="J729" s="4" t="s">
        <v>418</v>
      </c>
      <c r="K729" s="4" t="s">
        <v>251</v>
      </c>
      <c r="L729" s="4" t="s">
        <v>4363</v>
      </c>
      <c r="M729" s="5" t="s">
        <v>4369</v>
      </c>
      <c r="N729" s="6">
        <f>36</f>
        <v>36</v>
      </c>
      <c r="O729" s="4" t="s">
        <v>265</v>
      </c>
      <c r="P729" s="6">
        <f>79740</f>
        <v>79740</v>
      </c>
      <c r="Q729" s="6">
        <f>0</f>
        <v>0</v>
      </c>
      <c r="S729" s="6">
        <f>0</f>
        <v>0</v>
      </c>
      <c r="T729" s="6">
        <f>79740</f>
        <v>79740</v>
      </c>
      <c r="U729" s="5" t="s">
        <v>4368</v>
      </c>
      <c r="V729" s="4" t="s">
        <v>270</v>
      </c>
      <c r="W729" s="4" t="s">
        <v>242</v>
      </c>
      <c r="X729" s="4" t="s">
        <v>273</v>
      </c>
      <c r="Y729" s="4" t="s">
        <v>241</v>
      </c>
      <c r="AB729" s="4" t="s">
        <v>241</v>
      </c>
      <c r="AD729" s="5" t="s">
        <v>241</v>
      </c>
      <c r="AG729" s="5" t="s">
        <v>246</v>
      </c>
      <c r="AH729" s="4" t="s">
        <v>241</v>
      </c>
      <c r="AI729" s="4" t="s">
        <v>247</v>
      </c>
      <c r="AJ729" s="4" t="s">
        <v>248</v>
      </c>
      <c r="AZ729" s="4" t="s">
        <v>249</v>
      </c>
      <c r="BA729" s="4" t="s">
        <v>241</v>
      </c>
      <c r="BB729" s="4" t="s">
        <v>250</v>
      </c>
      <c r="BC729" s="4" t="s">
        <v>241</v>
      </c>
      <c r="BD729" s="4" t="s">
        <v>252</v>
      </c>
      <c r="BE729" s="4" t="s">
        <v>241</v>
      </c>
      <c r="BI729" s="4" t="s">
        <v>253</v>
      </c>
      <c r="BJ729" s="5" t="s">
        <v>246</v>
      </c>
      <c r="BK729" s="4" t="s">
        <v>254</v>
      </c>
      <c r="BL729" s="4" t="s">
        <v>255</v>
      </c>
      <c r="BM729" s="4" t="s">
        <v>241</v>
      </c>
      <c r="BN729" s="6">
        <f>0</f>
        <v>0</v>
      </c>
      <c r="BO729" s="6">
        <f>0</f>
        <v>0</v>
      </c>
      <c r="BP729" s="4" t="s">
        <v>256</v>
      </c>
      <c r="BQ729" s="4" t="s">
        <v>257</v>
      </c>
      <c r="CE729" s="4" t="s">
        <v>241</v>
      </c>
      <c r="CF729" s="4" t="s">
        <v>241</v>
      </c>
      <c r="CJ729" s="4" t="s">
        <v>258</v>
      </c>
      <c r="CK729" s="4" t="s">
        <v>259</v>
      </c>
      <c r="CL729" s="4" t="s">
        <v>241</v>
      </c>
      <c r="CO729" s="5" t="s">
        <v>260</v>
      </c>
      <c r="CP729" s="4" t="s">
        <v>241</v>
      </c>
      <c r="CQ729" s="4" t="s">
        <v>261</v>
      </c>
      <c r="CR729" s="4" t="s">
        <v>241</v>
      </c>
      <c r="CS729" s="4" t="s">
        <v>241</v>
      </c>
      <c r="CT729" s="4">
        <v>0</v>
      </c>
      <c r="CU729" s="4" t="s">
        <v>262</v>
      </c>
      <c r="CV729" s="4" t="s">
        <v>263</v>
      </c>
      <c r="CW729" s="4" t="s">
        <v>263</v>
      </c>
      <c r="CX729" s="4" t="s">
        <v>264</v>
      </c>
      <c r="DA729" s="6">
        <f>79740</f>
        <v>79740</v>
      </c>
      <c r="DC729" s="4" t="s">
        <v>414</v>
      </c>
      <c r="DD729" s="4" t="s">
        <v>241</v>
      </c>
      <c r="DF729" s="4" t="s">
        <v>414</v>
      </c>
      <c r="DG729" s="6">
        <f>36</f>
        <v>36</v>
      </c>
      <c r="DH729" s="5" t="s">
        <v>1766</v>
      </c>
      <c r="DI729" s="4" t="s">
        <v>414</v>
      </c>
      <c r="DJ729" s="4" t="s">
        <v>241</v>
      </c>
      <c r="DK729" s="4" t="s">
        <v>241</v>
      </c>
      <c r="DL729" s="4" t="s">
        <v>241</v>
      </c>
      <c r="DP729" s="4" t="s">
        <v>241</v>
      </c>
      <c r="DQ729" s="4" t="s">
        <v>241</v>
      </c>
      <c r="DR729" s="4" t="s">
        <v>241</v>
      </c>
      <c r="DS729" s="4" t="s">
        <v>241</v>
      </c>
      <c r="DV729" s="4" t="s">
        <v>4367</v>
      </c>
      <c r="DW729" s="4" t="s">
        <v>416</v>
      </c>
      <c r="HO729" s="4" t="s">
        <v>267</v>
      </c>
    </row>
    <row r="730" spans="1:223" ht="19.5" customHeight="1" x14ac:dyDescent="0.4">
      <c r="A730" s="4">
        <v>1</v>
      </c>
      <c r="B730" s="4" t="s">
        <v>239</v>
      </c>
      <c r="C730" s="4">
        <v>1592</v>
      </c>
      <c r="D730" s="4">
        <v>1</v>
      </c>
      <c r="E730" s="4">
        <v>1</v>
      </c>
      <c r="F730" s="4" t="s">
        <v>240</v>
      </c>
      <c r="G730" s="4" t="s">
        <v>241</v>
      </c>
      <c r="H730" s="4" t="s">
        <v>241</v>
      </c>
      <c r="I730" s="4" t="s">
        <v>4364</v>
      </c>
      <c r="J730" s="4" t="s">
        <v>418</v>
      </c>
      <c r="K730" s="4" t="s">
        <v>251</v>
      </c>
      <c r="L730" s="4" t="s">
        <v>4363</v>
      </c>
      <c r="M730" s="5" t="s">
        <v>4371</v>
      </c>
      <c r="N730" s="6">
        <f>21</f>
        <v>21</v>
      </c>
      <c r="O730" s="4" t="s">
        <v>265</v>
      </c>
      <c r="P730" s="6">
        <f>10290</f>
        <v>10290</v>
      </c>
      <c r="Q730" s="6">
        <f>0</f>
        <v>0</v>
      </c>
      <c r="S730" s="6">
        <f>0</f>
        <v>0</v>
      </c>
      <c r="T730" s="6">
        <f>10290</f>
        <v>10290</v>
      </c>
      <c r="U730" s="5" t="s">
        <v>4370</v>
      </c>
      <c r="V730" s="4" t="s">
        <v>270</v>
      </c>
      <c r="W730" s="4" t="s">
        <v>271</v>
      </c>
      <c r="X730" s="4" t="s">
        <v>273</v>
      </c>
      <c r="Y730" s="4" t="s">
        <v>241</v>
      </c>
      <c r="AB730" s="4" t="s">
        <v>241</v>
      </c>
      <c r="AD730" s="5" t="s">
        <v>241</v>
      </c>
      <c r="AG730" s="5" t="s">
        <v>246</v>
      </c>
      <c r="AH730" s="4" t="s">
        <v>241</v>
      </c>
      <c r="AI730" s="4" t="s">
        <v>247</v>
      </c>
      <c r="AJ730" s="4" t="s">
        <v>248</v>
      </c>
      <c r="AZ730" s="4" t="s">
        <v>249</v>
      </c>
      <c r="BA730" s="4" t="s">
        <v>241</v>
      </c>
      <c r="BB730" s="4" t="s">
        <v>250</v>
      </c>
      <c r="BC730" s="4" t="s">
        <v>241</v>
      </c>
      <c r="BD730" s="4" t="s">
        <v>252</v>
      </c>
      <c r="BE730" s="4" t="s">
        <v>241</v>
      </c>
      <c r="BI730" s="4" t="s">
        <v>253</v>
      </c>
      <c r="BJ730" s="5" t="s">
        <v>246</v>
      </c>
      <c r="BK730" s="4" t="s">
        <v>254</v>
      </c>
      <c r="BL730" s="4" t="s">
        <v>255</v>
      </c>
      <c r="BM730" s="4" t="s">
        <v>241</v>
      </c>
      <c r="BN730" s="6">
        <f>0</f>
        <v>0</v>
      </c>
      <c r="BO730" s="6">
        <f>0</f>
        <v>0</v>
      </c>
      <c r="BP730" s="4" t="s">
        <v>256</v>
      </c>
      <c r="BQ730" s="4" t="s">
        <v>257</v>
      </c>
      <c r="CE730" s="4" t="s">
        <v>241</v>
      </c>
      <c r="CF730" s="4" t="s">
        <v>241</v>
      </c>
      <c r="CJ730" s="4" t="s">
        <v>258</v>
      </c>
      <c r="CK730" s="4" t="s">
        <v>259</v>
      </c>
      <c r="CL730" s="4" t="s">
        <v>241</v>
      </c>
      <c r="CO730" s="5" t="s">
        <v>260</v>
      </c>
      <c r="CP730" s="4" t="s">
        <v>241</v>
      </c>
      <c r="CQ730" s="4" t="s">
        <v>261</v>
      </c>
      <c r="CR730" s="4" t="s">
        <v>241</v>
      </c>
      <c r="CS730" s="4" t="s">
        <v>241</v>
      </c>
      <c r="CT730" s="4">
        <v>0</v>
      </c>
      <c r="CU730" s="4" t="s">
        <v>262</v>
      </c>
      <c r="CV730" s="4" t="s">
        <v>263</v>
      </c>
      <c r="CW730" s="4" t="s">
        <v>263</v>
      </c>
      <c r="CX730" s="4" t="s">
        <v>264</v>
      </c>
      <c r="DA730" s="6">
        <f>10290</f>
        <v>10290</v>
      </c>
      <c r="DC730" s="4" t="s">
        <v>325</v>
      </c>
      <c r="DD730" s="4" t="s">
        <v>241</v>
      </c>
      <c r="DF730" s="4" t="s">
        <v>325</v>
      </c>
      <c r="DG730" s="6">
        <f>21</f>
        <v>21</v>
      </c>
      <c r="DH730" s="5" t="s">
        <v>4222</v>
      </c>
      <c r="DI730" s="4" t="s">
        <v>287</v>
      </c>
      <c r="DJ730" s="4" t="s">
        <v>241</v>
      </c>
      <c r="DK730" s="4" t="s">
        <v>241</v>
      </c>
      <c r="DL730" s="4" t="s">
        <v>241</v>
      </c>
      <c r="DP730" s="4" t="s">
        <v>241</v>
      </c>
      <c r="DQ730" s="4" t="s">
        <v>241</v>
      </c>
      <c r="DR730" s="4" t="s">
        <v>241</v>
      </c>
      <c r="DS730" s="4" t="s">
        <v>241</v>
      </c>
      <c r="DV730" s="4" t="s">
        <v>4367</v>
      </c>
      <c r="DW730" s="4" t="s">
        <v>388</v>
      </c>
      <c r="HO730" s="4" t="s">
        <v>267</v>
      </c>
    </row>
    <row r="731" spans="1:223" ht="19.5" customHeight="1" x14ac:dyDescent="0.4">
      <c r="A731" s="4">
        <v>1</v>
      </c>
      <c r="B731" s="4" t="s">
        <v>239</v>
      </c>
      <c r="C731" s="4">
        <v>1593</v>
      </c>
      <c r="D731" s="4">
        <v>1</v>
      </c>
      <c r="E731" s="4">
        <v>1</v>
      </c>
      <c r="F731" s="4" t="s">
        <v>240</v>
      </c>
      <c r="G731" s="4" t="s">
        <v>241</v>
      </c>
      <c r="H731" s="4" t="s">
        <v>241</v>
      </c>
      <c r="I731" s="4" t="s">
        <v>4364</v>
      </c>
      <c r="J731" s="4" t="s">
        <v>418</v>
      </c>
      <c r="K731" s="4" t="s">
        <v>251</v>
      </c>
      <c r="L731" s="4" t="s">
        <v>4363</v>
      </c>
      <c r="M731" s="5" t="s">
        <v>4373</v>
      </c>
      <c r="N731" s="6">
        <f>375.61</f>
        <v>375.61</v>
      </c>
      <c r="O731" s="4" t="s">
        <v>265</v>
      </c>
      <c r="P731" s="6">
        <f>831976</f>
        <v>831976</v>
      </c>
      <c r="Q731" s="6">
        <f>0</f>
        <v>0</v>
      </c>
      <c r="S731" s="6">
        <f>0</f>
        <v>0</v>
      </c>
      <c r="T731" s="6">
        <f>831976</f>
        <v>831976</v>
      </c>
      <c r="U731" s="5" t="s">
        <v>4372</v>
      </c>
      <c r="V731" s="4" t="s">
        <v>270</v>
      </c>
      <c r="W731" s="4" t="s">
        <v>242</v>
      </c>
      <c r="X731" s="4" t="s">
        <v>273</v>
      </c>
      <c r="Y731" s="4" t="s">
        <v>241</v>
      </c>
      <c r="AB731" s="4" t="s">
        <v>241</v>
      </c>
      <c r="AD731" s="5" t="s">
        <v>241</v>
      </c>
      <c r="AG731" s="5" t="s">
        <v>246</v>
      </c>
      <c r="AH731" s="4" t="s">
        <v>241</v>
      </c>
      <c r="AI731" s="4" t="s">
        <v>247</v>
      </c>
      <c r="AJ731" s="4" t="s">
        <v>248</v>
      </c>
      <c r="AZ731" s="4" t="s">
        <v>249</v>
      </c>
      <c r="BA731" s="4" t="s">
        <v>241</v>
      </c>
      <c r="BB731" s="4" t="s">
        <v>250</v>
      </c>
      <c r="BC731" s="4" t="s">
        <v>241</v>
      </c>
      <c r="BD731" s="4" t="s">
        <v>252</v>
      </c>
      <c r="BE731" s="4" t="s">
        <v>241</v>
      </c>
      <c r="BI731" s="4" t="s">
        <v>253</v>
      </c>
      <c r="BJ731" s="5" t="s">
        <v>246</v>
      </c>
      <c r="BK731" s="4" t="s">
        <v>254</v>
      </c>
      <c r="BL731" s="4" t="s">
        <v>255</v>
      </c>
      <c r="BM731" s="4" t="s">
        <v>241</v>
      </c>
      <c r="BN731" s="6">
        <f>0</f>
        <v>0</v>
      </c>
      <c r="BO731" s="6">
        <f>0</f>
        <v>0</v>
      </c>
      <c r="BP731" s="4" t="s">
        <v>256</v>
      </c>
      <c r="BQ731" s="4" t="s">
        <v>257</v>
      </c>
      <c r="CE731" s="4" t="s">
        <v>241</v>
      </c>
      <c r="CF731" s="4" t="s">
        <v>241</v>
      </c>
      <c r="CJ731" s="4" t="s">
        <v>258</v>
      </c>
      <c r="CK731" s="4" t="s">
        <v>259</v>
      </c>
      <c r="CL731" s="4" t="s">
        <v>241</v>
      </c>
      <c r="CO731" s="5" t="s">
        <v>260</v>
      </c>
      <c r="CP731" s="4" t="s">
        <v>241</v>
      </c>
      <c r="CQ731" s="4" t="s">
        <v>261</v>
      </c>
      <c r="CR731" s="4" t="s">
        <v>241</v>
      </c>
      <c r="CS731" s="4" t="s">
        <v>241</v>
      </c>
      <c r="CT731" s="4">
        <v>0</v>
      </c>
      <c r="CU731" s="4" t="s">
        <v>262</v>
      </c>
      <c r="CV731" s="4" t="s">
        <v>263</v>
      </c>
      <c r="CW731" s="4" t="s">
        <v>263</v>
      </c>
      <c r="CX731" s="4" t="s">
        <v>264</v>
      </c>
      <c r="DA731" s="6">
        <f>831976</f>
        <v>831976</v>
      </c>
      <c r="DC731" s="4" t="s">
        <v>414</v>
      </c>
      <c r="DD731" s="4" t="s">
        <v>241</v>
      </c>
      <c r="DF731" s="4" t="s">
        <v>414</v>
      </c>
      <c r="DG731" s="6">
        <f>772</f>
        <v>772</v>
      </c>
      <c r="DH731" s="5" t="s">
        <v>4374</v>
      </c>
      <c r="DI731" s="4" t="s">
        <v>414</v>
      </c>
      <c r="DJ731" s="4" t="s">
        <v>241</v>
      </c>
      <c r="DK731" s="4" t="s">
        <v>241</v>
      </c>
      <c r="DL731" s="4" t="s">
        <v>241</v>
      </c>
      <c r="DP731" s="4" t="s">
        <v>241</v>
      </c>
      <c r="DQ731" s="4" t="s">
        <v>241</v>
      </c>
      <c r="DR731" s="4" t="s">
        <v>241</v>
      </c>
      <c r="DS731" s="4" t="s">
        <v>241</v>
      </c>
      <c r="DV731" s="4" t="s">
        <v>4367</v>
      </c>
      <c r="DW731" s="4" t="s">
        <v>327</v>
      </c>
      <c r="HO731" s="4" t="s">
        <v>267</v>
      </c>
    </row>
    <row r="732" spans="1:223" ht="19.5" customHeight="1" x14ac:dyDescent="0.4">
      <c r="A732" s="4">
        <v>1</v>
      </c>
      <c r="B732" s="4" t="s">
        <v>239</v>
      </c>
      <c r="C732" s="4">
        <v>1594</v>
      </c>
      <c r="D732" s="4">
        <v>1</v>
      </c>
      <c r="E732" s="4">
        <v>1</v>
      </c>
      <c r="F732" s="4" t="s">
        <v>240</v>
      </c>
      <c r="G732" s="4" t="s">
        <v>241</v>
      </c>
      <c r="H732" s="4" t="s">
        <v>241</v>
      </c>
      <c r="I732" s="4" t="s">
        <v>4358</v>
      </c>
      <c r="J732" s="4" t="s">
        <v>418</v>
      </c>
      <c r="K732" s="4" t="s">
        <v>251</v>
      </c>
      <c r="L732" s="4" t="s">
        <v>4357</v>
      </c>
      <c r="M732" s="5" t="s">
        <v>4360</v>
      </c>
      <c r="N732" s="6">
        <f>1431</f>
        <v>1431</v>
      </c>
      <c r="O732" s="4" t="s">
        <v>265</v>
      </c>
      <c r="P732" s="6">
        <f>3169665</f>
        <v>3169665</v>
      </c>
      <c r="Q732" s="6">
        <f>0</f>
        <v>0</v>
      </c>
      <c r="S732" s="6">
        <f>0</f>
        <v>0</v>
      </c>
      <c r="T732" s="6">
        <f>3169665</f>
        <v>3169665</v>
      </c>
      <c r="U732" s="5" t="s">
        <v>4359</v>
      </c>
      <c r="V732" s="4" t="s">
        <v>270</v>
      </c>
      <c r="W732" s="4" t="s">
        <v>242</v>
      </c>
      <c r="X732" s="4" t="s">
        <v>273</v>
      </c>
      <c r="Y732" s="4" t="s">
        <v>241</v>
      </c>
      <c r="AB732" s="4" t="s">
        <v>241</v>
      </c>
      <c r="AD732" s="5" t="s">
        <v>241</v>
      </c>
      <c r="AG732" s="5" t="s">
        <v>246</v>
      </c>
      <c r="AH732" s="4" t="s">
        <v>241</v>
      </c>
      <c r="AI732" s="4" t="s">
        <v>247</v>
      </c>
      <c r="AJ732" s="4" t="s">
        <v>248</v>
      </c>
      <c r="AZ732" s="4" t="s">
        <v>249</v>
      </c>
      <c r="BA732" s="4" t="s">
        <v>241</v>
      </c>
      <c r="BB732" s="4" t="s">
        <v>250</v>
      </c>
      <c r="BC732" s="4" t="s">
        <v>241</v>
      </c>
      <c r="BD732" s="4" t="s">
        <v>252</v>
      </c>
      <c r="BE732" s="4" t="s">
        <v>241</v>
      </c>
      <c r="BG732" s="4" t="s">
        <v>412</v>
      </c>
      <c r="BI732" s="4" t="s">
        <v>253</v>
      </c>
      <c r="BJ732" s="5" t="s">
        <v>246</v>
      </c>
      <c r="BK732" s="4" t="s">
        <v>254</v>
      </c>
      <c r="BL732" s="4" t="s">
        <v>255</v>
      </c>
      <c r="BM732" s="4" t="s">
        <v>241</v>
      </c>
      <c r="BN732" s="6">
        <f>0</f>
        <v>0</v>
      </c>
      <c r="BO732" s="6">
        <f>0</f>
        <v>0</v>
      </c>
      <c r="BP732" s="4" t="s">
        <v>256</v>
      </c>
      <c r="BQ732" s="4" t="s">
        <v>257</v>
      </c>
      <c r="CE732" s="4" t="s">
        <v>241</v>
      </c>
      <c r="CF732" s="4" t="s">
        <v>241</v>
      </c>
      <c r="CJ732" s="4" t="s">
        <v>258</v>
      </c>
      <c r="CK732" s="4" t="s">
        <v>259</v>
      </c>
      <c r="CL732" s="4" t="s">
        <v>241</v>
      </c>
      <c r="CO732" s="5" t="s">
        <v>260</v>
      </c>
      <c r="CP732" s="4" t="s">
        <v>241</v>
      </c>
      <c r="CQ732" s="4" t="s">
        <v>261</v>
      </c>
      <c r="CR732" s="4" t="s">
        <v>241</v>
      </c>
      <c r="CS732" s="4" t="s">
        <v>241</v>
      </c>
      <c r="CT732" s="4">
        <v>0</v>
      </c>
      <c r="CU732" s="4" t="s">
        <v>262</v>
      </c>
      <c r="CV732" s="4" t="s">
        <v>263</v>
      </c>
      <c r="CW732" s="4" t="s">
        <v>263</v>
      </c>
      <c r="CX732" s="4" t="s">
        <v>264</v>
      </c>
      <c r="DA732" s="6">
        <f>3169665</f>
        <v>3169665</v>
      </c>
      <c r="DC732" s="4" t="s">
        <v>422</v>
      </c>
      <c r="DD732" s="4" t="s">
        <v>241</v>
      </c>
      <c r="DF732" s="4" t="s">
        <v>422</v>
      </c>
      <c r="DG732" s="6">
        <f>1431</f>
        <v>1431</v>
      </c>
      <c r="DH732" s="5" t="s">
        <v>4361</v>
      </c>
      <c r="DI732" s="4" t="s">
        <v>414</v>
      </c>
      <c r="DJ732" s="4" t="s">
        <v>241</v>
      </c>
      <c r="DK732" s="4" t="s">
        <v>241</v>
      </c>
      <c r="DL732" s="4" t="s">
        <v>241</v>
      </c>
      <c r="DP732" s="4" t="s">
        <v>241</v>
      </c>
      <c r="DQ732" s="4" t="s">
        <v>241</v>
      </c>
      <c r="DR732" s="4" t="s">
        <v>241</v>
      </c>
      <c r="DS732" s="4" t="s">
        <v>241</v>
      </c>
      <c r="DV732" s="4" t="s">
        <v>4362</v>
      </c>
      <c r="DW732" s="4" t="s">
        <v>267</v>
      </c>
      <c r="HO732" s="4" t="s">
        <v>267</v>
      </c>
    </row>
    <row r="733" spans="1:223" ht="19.5" customHeight="1" x14ac:dyDescent="0.4">
      <c r="A733" s="4">
        <v>1</v>
      </c>
      <c r="B733" s="4" t="s">
        <v>239</v>
      </c>
      <c r="C733" s="4">
        <v>1595</v>
      </c>
      <c r="D733" s="4">
        <v>1</v>
      </c>
      <c r="E733" s="4">
        <v>1</v>
      </c>
      <c r="F733" s="4" t="s">
        <v>240</v>
      </c>
      <c r="G733" s="4" t="s">
        <v>241</v>
      </c>
      <c r="H733" s="4" t="s">
        <v>241</v>
      </c>
      <c r="I733" s="4" t="s">
        <v>4352</v>
      </c>
      <c r="J733" s="4" t="s">
        <v>418</v>
      </c>
      <c r="K733" s="4" t="s">
        <v>251</v>
      </c>
      <c r="L733" s="4" t="s">
        <v>4351</v>
      </c>
      <c r="M733" s="5" t="s">
        <v>4354</v>
      </c>
      <c r="N733" s="6">
        <f>947.13</f>
        <v>947.13</v>
      </c>
      <c r="O733" s="4" t="s">
        <v>265</v>
      </c>
      <c r="P733" s="6">
        <f>2097893</f>
        <v>2097893</v>
      </c>
      <c r="Q733" s="6">
        <f>0</f>
        <v>0</v>
      </c>
      <c r="S733" s="6">
        <f>0</f>
        <v>0</v>
      </c>
      <c r="T733" s="6">
        <f>2097893</f>
        <v>2097893</v>
      </c>
      <c r="U733" s="5" t="s">
        <v>245</v>
      </c>
      <c r="V733" s="4" t="s">
        <v>270</v>
      </c>
      <c r="W733" s="4" t="s">
        <v>242</v>
      </c>
      <c r="X733" s="4" t="s">
        <v>273</v>
      </c>
      <c r="Y733" s="4" t="s">
        <v>241</v>
      </c>
      <c r="AB733" s="4" t="s">
        <v>241</v>
      </c>
      <c r="AD733" s="5" t="s">
        <v>241</v>
      </c>
      <c r="AG733" s="5" t="s">
        <v>246</v>
      </c>
      <c r="AH733" s="4" t="s">
        <v>4353</v>
      </c>
      <c r="AI733" s="4" t="s">
        <v>247</v>
      </c>
      <c r="AJ733" s="4" t="s">
        <v>248</v>
      </c>
      <c r="AZ733" s="4" t="s">
        <v>249</v>
      </c>
      <c r="BA733" s="4" t="s">
        <v>241</v>
      </c>
      <c r="BB733" s="4" t="s">
        <v>250</v>
      </c>
      <c r="BC733" s="4" t="s">
        <v>241</v>
      </c>
      <c r="BD733" s="4" t="s">
        <v>252</v>
      </c>
      <c r="BE733" s="4" t="s">
        <v>241</v>
      </c>
      <c r="BG733" s="4" t="s">
        <v>412</v>
      </c>
      <c r="BI733" s="4" t="s">
        <v>253</v>
      </c>
      <c r="BJ733" s="5" t="s">
        <v>246</v>
      </c>
      <c r="BK733" s="4" t="s">
        <v>254</v>
      </c>
      <c r="BL733" s="4" t="s">
        <v>4221</v>
      </c>
      <c r="BM733" s="4" t="s">
        <v>241</v>
      </c>
      <c r="BN733" s="6">
        <f>0</f>
        <v>0</v>
      </c>
      <c r="BO733" s="6">
        <f>0</f>
        <v>0</v>
      </c>
      <c r="BP733" s="4" t="s">
        <v>256</v>
      </c>
      <c r="BQ733" s="4" t="s">
        <v>257</v>
      </c>
      <c r="CE733" s="4" t="s">
        <v>241</v>
      </c>
      <c r="CF733" s="4" t="s">
        <v>241</v>
      </c>
      <c r="CJ733" s="4" t="s">
        <v>258</v>
      </c>
      <c r="CK733" s="4" t="s">
        <v>259</v>
      </c>
      <c r="CL733" s="4" t="s">
        <v>241</v>
      </c>
      <c r="CO733" s="5" t="s">
        <v>260</v>
      </c>
      <c r="CP733" s="4" t="s">
        <v>241</v>
      </c>
      <c r="CQ733" s="4" t="s">
        <v>261</v>
      </c>
      <c r="CR733" s="4" t="s">
        <v>241</v>
      </c>
      <c r="CS733" s="4" t="s">
        <v>241</v>
      </c>
      <c r="CT733" s="4">
        <v>0</v>
      </c>
      <c r="CU733" s="4" t="s">
        <v>262</v>
      </c>
      <c r="CV733" s="4" t="s">
        <v>263</v>
      </c>
      <c r="CW733" s="4" t="s">
        <v>263</v>
      </c>
      <c r="CX733" s="4" t="s">
        <v>264</v>
      </c>
      <c r="DA733" s="6">
        <f>2097893</f>
        <v>2097893</v>
      </c>
      <c r="DC733" s="4" t="s">
        <v>422</v>
      </c>
      <c r="DD733" s="4" t="s">
        <v>241</v>
      </c>
      <c r="DF733" s="4" t="s">
        <v>422</v>
      </c>
      <c r="DG733" s="6">
        <f>947.13</f>
        <v>947.13</v>
      </c>
      <c r="DH733" s="5" t="s">
        <v>4355</v>
      </c>
      <c r="DI733" s="4" t="s">
        <v>414</v>
      </c>
      <c r="DJ733" s="4" t="s">
        <v>241</v>
      </c>
      <c r="DK733" s="4" t="s">
        <v>241</v>
      </c>
      <c r="DL733" s="4" t="s">
        <v>241</v>
      </c>
      <c r="DP733" s="4" t="s">
        <v>241</v>
      </c>
      <c r="DQ733" s="4" t="s">
        <v>241</v>
      </c>
      <c r="DR733" s="4" t="s">
        <v>241</v>
      </c>
      <c r="DS733" s="4" t="s">
        <v>241</v>
      </c>
      <c r="DV733" s="4" t="s">
        <v>4356</v>
      </c>
      <c r="DW733" s="4" t="s">
        <v>267</v>
      </c>
      <c r="HO733" s="4" t="s">
        <v>416</v>
      </c>
    </row>
    <row r="734" spans="1:223" ht="19.5" customHeight="1" x14ac:dyDescent="0.4">
      <c r="A734" s="4">
        <v>1</v>
      </c>
      <c r="B734" s="4" t="s">
        <v>239</v>
      </c>
      <c r="C734" s="4">
        <v>1845</v>
      </c>
      <c r="D734" s="4">
        <v>1</v>
      </c>
      <c r="E734" s="4">
        <v>1</v>
      </c>
      <c r="F734" s="4" t="s">
        <v>240</v>
      </c>
      <c r="G734" s="4" t="s">
        <v>241</v>
      </c>
      <c r="H734" s="4" t="s">
        <v>241</v>
      </c>
      <c r="I734" s="4" t="s">
        <v>3442</v>
      </c>
      <c r="J734" s="4" t="s">
        <v>596</v>
      </c>
      <c r="K734" s="4" t="s">
        <v>251</v>
      </c>
      <c r="L734" s="4" t="s">
        <v>3441</v>
      </c>
      <c r="M734" s="5" t="s">
        <v>3712</v>
      </c>
      <c r="N734" s="6">
        <f>51381</f>
        <v>51381</v>
      </c>
      <c r="O734" s="4" t="s">
        <v>265</v>
      </c>
      <c r="P734" s="6">
        <f>113808915</f>
        <v>113808915</v>
      </c>
      <c r="Q734" s="6">
        <f>0</f>
        <v>0</v>
      </c>
      <c r="S734" s="6">
        <f>0</f>
        <v>0</v>
      </c>
      <c r="T734" s="6">
        <f>113808915</f>
        <v>113808915</v>
      </c>
      <c r="U734" s="5" t="s">
        <v>245</v>
      </c>
      <c r="V734" s="4" t="s">
        <v>270</v>
      </c>
      <c r="W734" s="4" t="s">
        <v>242</v>
      </c>
      <c r="X734" s="4" t="s">
        <v>273</v>
      </c>
      <c r="Y734" s="4" t="s">
        <v>241</v>
      </c>
      <c r="AB734" s="4" t="s">
        <v>241</v>
      </c>
      <c r="AD734" s="5" t="s">
        <v>241</v>
      </c>
      <c r="AG734" s="5" t="s">
        <v>246</v>
      </c>
      <c r="AH734" s="4" t="s">
        <v>241</v>
      </c>
      <c r="AI734" s="4" t="s">
        <v>247</v>
      </c>
      <c r="AJ734" s="4" t="s">
        <v>248</v>
      </c>
      <c r="AZ734" s="4" t="s">
        <v>249</v>
      </c>
      <c r="BA734" s="4" t="s">
        <v>241</v>
      </c>
      <c r="BB734" s="4" t="s">
        <v>250</v>
      </c>
      <c r="BC734" s="4" t="s">
        <v>241</v>
      </c>
      <c r="BD734" s="4" t="s">
        <v>252</v>
      </c>
      <c r="BE734" s="4" t="s">
        <v>241</v>
      </c>
      <c r="BI734" s="4" t="s">
        <v>253</v>
      </c>
      <c r="BJ734" s="5" t="s">
        <v>246</v>
      </c>
      <c r="BK734" s="4" t="s">
        <v>254</v>
      </c>
      <c r="BL734" s="4" t="s">
        <v>323</v>
      </c>
      <c r="BM734" s="4" t="s">
        <v>241</v>
      </c>
      <c r="BN734" s="6">
        <f>0</f>
        <v>0</v>
      </c>
      <c r="BO734" s="6">
        <f>0</f>
        <v>0</v>
      </c>
      <c r="BP734" s="4" t="s">
        <v>256</v>
      </c>
      <c r="BQ734" s="4" t="s">
        <v>257</v>
      </c>
      <c r="CE734" s="4" t="s">
        <v>241</v>
      </c>
      <c r="CF734" s="4" t="s">
        <v>241</v>
      </c>
      <c r="CJ734" s="4" t="s">
        <v>258</v>
      </c>
      <c r="CK734" s="4" t="s">
        <v>259</v>
      </c>
      <c r="CL734" s="4" t="s">
        <v>241</v>
      </c>
      <c r="CO734" s="5" t="s">
        <v>260</v>
      </c>
      <c r="CP734" s="4" t="s">
        <v>241</v>
      </c>
      <c r="CQ734" s="4" t="s">
        <v>261</v>
      </c>
      <c r="CR734" s="4" t="s">
        <v>241</v>
      </c>
      <c r="CS734" s="4" t="s">
        <v>241</v>
      </c>
      <c r="CT734" s="4">
        <v>0</v>
      </c>
      <c r="CU734" s="4" t="s">
        <v>262</v>
      </c>
      <c r="CV734" s="4" t="s">
        <v>263</v>
      </c>
      <c r="CW734" s="4" t="s">
        <v>263</v>
      </c>
      <c r="CX734" s="4" t="s">
        <v>264</v>
      </c>
      <c r="DA734" s="6">
        <f>113808915</f>
        <v>113808915</v>
      </c>
      <c r="DC734" s="4" t="s">
        <v>422</v>
      </c>
      <c r="DD734" s="4" t="s">
        <v>241</v>
      </c>
      <c r="DF734" s="4" t="s">
        <v>287</v>
      </c>
      <c r="DG734" s="6">
        <f>0</f>
        <v>0</v>
      </c>
      <c r="DI734" s="4" t="s">
        <v>414</v>
      </c>
      <c r="DJ734" s="4" t="s">
        <v>241</v>
      </c>
      <c r="DK734" s="4" t="s">
        <v>241</v>
      </c>
      <c r="DL734" s="4" t="s">
        <v>241</v>
      </c>
      <c r="DP734" s="4" t="s">
        <v>241</v>
      </c>
      <c r="DQ734" s="4" t="s">
        <v>241</v>
      </c>
      <c r="DR734" s="4" t="s">
        <v>241</v>
      </c>
      <c r="DS734" s="4" t="s">
        <v>241</v>
      </c>
      <c r="DV734" s="4" t="s">
        <v>3444</v>
      </c>
      <c r="DW734" s="4" t="s">
        <v>267</v>
      </c>
      <c r="HO734" s="4" t="s">
        <v>388</v>
      </c>
    </row>
    <row r="735" spans="1:223" ht="19.5" customHeight="1" x14ac:dyDescent="0.4">
      <c r="A735" s="4">
        <v>1</v>
      </c>
      <c r="B735" s="4" t="s">
        <v>239</v>
      </c>
      <c r="C735" s="4">
        <v>1846</v>
      </c>
      <c r="D735" s="4">
        <v>1</v>
      </c>
      <c r="E735" s="4">
        <v>1</v>
      </c>
      <c r="F735" s="4" t="s">
        <v>240</v>
      </c>
      <c r="G735" s="4" t="s">
        <v>241</v>
      </c>
      <c r="H735" s="4" t="s">
        <v>241</v>
      </c>
      <c r="I735" s="4" t="s">
        <v>3442</v>
      </c>
      <c r="J735" s="4" t="s">
        <v>596</v>
      </c>
      <c r="K735" s="4" t="s">
        <v>251</v>
      </c>
      <c r="L735" s="4" t="s">
        <v>3441</v>
      </c>
      <c r="M735" s="5" t="s">
        <v>3750</v>
      </c>
      <c r="N735" s="6">
        <f>1345</f>
        <v>1345</v>
      </c>
      <c r="O735" s="4" t="s">
        <v>265</v>
      </c>
      <c r="P735" s="6">
        <f>2979175</f>
        <v>2979175</v>
      </c>
      <c r="Q735" s="6">
        <f>0</f>
        <v>0</v>
      </c>
      <c r="S735" s="6">
        <f>0</f>
        <v>0</v>
      </c>
      <c r="T735" s="6">
        <f>2979175</f>
        <v>2979175</v>
      </c>
      <c r="U735" s="5" t="s">
        <v>245</v>
      </c>
      <c r="V735" s="4" t="s">
        <v>270</v>
      </c>
      <c r="W735" s="4" t="s">
        <v>242</v>
      </c>
      <c r="X735" s="4" t="s">
        <v>273</v>
      </c>
      <c r="Y735" s="4" t="s">
        <v>241</v>
      </c>
      <c r="AB735" s="4" t="s">
        <v>241</v>
      </c>
      <c r="AD735" s="5" t="s">
        <v>241</v>
      </c>
      <c r="AG735" s="5" t="s">
        <v>246</v>
      </c>
      <c r="AH735" s="4" t="s">
        <v>241</v>
      </c>
      <c r="AI735" s="4" t="s">
        <v>247</v>
      </c>
      <c r="AJ735" s="4" t="s">
        <v>248</v>
      </c>
      <c r="AZ735" s="4" t="s">
        <v>249</v>
      </c>
      <c r="BA735" s="4" t="s">
        <v>241</v>
      </c>
      <c r="BB735" s="4" t="s">
        <v>250</v>
      </c>
      <c r="BC735" s="4" t="s">
        <v>241</v>
      </c>
      <c r="BD735" s="4" t="s">
        <v>252</v>
      </c>
      <c r="BE735" s="4" t="s">
        <v>241</v>
      </c>
      <c r="BI735" s="4" t="s">
        <v>253</v>
      </c>
      <c r="BJ735" s="5" t="s">
        <v>246</v>
      </c>
      <c r="BK735" s="4" t="s">
        <v>254</v>
      </c>
      <c r="BL735" s="4" t="s">
        <v>323</v>
      </c>
      <c r="BM735" s="4" t="s">
        <v>241</v>
      </c>
      <c r="BN735" s="6">
        <f>0</f>
        <v>0</v>
      </c>
      <c r="BO735" s="6">
        <f>0</f>
        <v>0</v>
      </c>
      <c r="BP735" s="4" t="s">
        <v>256</v>
      </c>
      <c r="BQ735" s="4" t="s">
        <v>257</v>
      </c>
      <c r="CE735" s="4" t="s">
        <v>241</v>
      </c>
      <c r="CF735" s="4" t="s">
        <v>241</v>
      </c>
      <c r="CJ735" s="4" t="s">
        <v>258</v>
      </c>
      <c r="CK735" s="4" t="s">
        <v>259</v>
      </c>
      <c r="CL735" s="4" t="s">
        <v>241</v>
      </c>
      <c r="CO735" s="5" t="s">
        <v>260</v>
      </c>
      <c r="CP735" s="4" t="s">
        <v>241</v>
      </c>
      <c r="CQ735" s="4" t="s">
        <v>261</v>
      </c>
      <c r="CR735" s="4" t="s">
        <v>241</v>
      </c>
      <c r="CS735" s="4" t="s">
        <v>241</v>
      </c>
      <c r="CT735" s="4">
        <v>0</v>
      </c>
      <c r="CU735" s="4" t="s">
        <v>262</v>
      </c>
      <c r="CV735" s="4" t="s">
        <v>263</v>
      </c>
      <c r="CW735" s="4" t="s">
        <v>263</v>
      </c>
      <c r="CX735" s="4" t="s">
        <v>264</v>
      </c>
      <c r="DA735" s="6">
        <f>2979175</f>
        <v>2979175</v>
      </c>
      <c r="DC735" s="4" t="s">
        <v>422</v>
      </c>
      <c r="DD735" s="4" t="s">
        <v>241</v>
      </c>
      <c r="DF735" s="4" t="s">
        <v>287</v>
      </c>
      <c r="DG735" s="6">
        <f>0</f>
        <v>0</v>
      </c>
      <c r="DI735" s="4" t="s">
        <v>414</v>
      </c>
      <c r="DJ735" s="4" t="s">
        <v>241</v>
      </c>
      <c r="DK735" s="4" t="s">
        <v>241</v>
      </c>
      <c r="DL735" s="4" t="s">
        <v>241</v>
      </c>
      <c r="DP735" s="4" t="s">
        <v>241</v>
      </c>
      <c r="DQ735" s="4" t="s">
        <v>241</v>
      </c>
      <c r="DR735" s="4" t="s">
        <v>241</v>
      </c>
      <c r="DS735" s="4" t="s">
        <v>241</v>
      </c>
      <c r="DV735" s="4" t="s">
        <v>3444</v>
      </c>
      <c r="DW735" s="4" t="s">
        <v>416</v>
      </c>
      <c r="HO735" s="4" t="s">
        <v>388</v>
      </c>
    </row>
    <row r="736" spans="1:223" ht="19.5" customHeight="1" x14ac:dyDescent="0.4">
      <c r="A736" s="4">
        <v>1</v>
      </c>
      <c r="B736" s="4" t="s">
        <v>239</v>
      </c>
      <c r="C736" s="4">
        <v>1847</v>
      </c>
      <c r="D736" s="4">
        <v>1</v>
      </c>
      <c r="E736" s="4">
        <v>1</v>
      </c>
      <c r="F736" s="4" t="s">
        <v>240</v>
      </c>
      <c r="G736" s="4" t="s">
        <v>241</v>
      </c>
      <c r="H736" s="4" t="s">
        <v>241</v>
      </c>
      <c r="I736" s="4" t="s">
        <v>3442</v>
      </c>
      <c r="J736" s="4" t="s">
        <v>596</v>
      </c>
      <c r="K736" s="4" t="s">
        <v>251</v>
      </c>
      <c r="L736" s="4" t="s">
        <v>3441</v>
      </c>
      <c r="M736" s="5" t="s">
        <v>3614</v>
      </c>
      <c r="N736" s="6">
        <f>83</f>
        <v>83</v>
      </c>
      <c r="O736" s="4" t="s">
        <v>265</v>
      </c>
      <c r="P736" s="6">
        <f>183845</f>
        <v>183845</v>
      </c>
      <c r="Q736" s="6">
        <f>0</f>
        <v>0</v>
      </c>
      <c r="S736" s="6">
        <f>0</f>
        <v>0</v>
      </c>
      <c r="T736" s="6">
        <f>183845</f>
        <v>183845</v>
      </c>
      <c r="U736" s="5" t="s">
        <v>245</v>
      </c>
      <c r="V736" s="4" t="s">
        <v>270</v>
      </c>
      <c r="W736" s="4" t="s">
        <v>242</v>
      </c>
      <c r="X736" s="4" t="s">
        <v>273</v>
      </c>
      <c r="Y736" s="4" t="s">
        <v>241</v>
      </c>
      <c r="AB736" s="4" t="s">
        <v>241</v>
      </c>
      <c r="AD736" s="5" t="s">
        <v>241</v>
      </c>
      <c r="AG736" s="5" t="s">
        <v>246</v>
      </c>
      <c r="AH736" s="4" t="s">
        <v>241</v>
      </c>
      <c r="AI736" s="4" t="s">
        <v>247</v>
      </c>
      <c r="AJ736" s="4" t="s">
        <v>248</v>
      </c>
      <c r="AZ736" s="4" t="s">
        <v>249</v>
      </c>
      <c r="BA736" s="4" t="s">
        <v>241</v>
      </c>
      <c r="BB736" s="4" t="s">
        <v>250</v>
      </c>
      <c r="BC736" s="4" t="s">
        <v>241</v>
      </c>
      <c r="BD736" s="4" t="s">
        <v>252</v>
      </c>
      <c r="BE736" s="4" t="s">
        <v>241</v>
      </c>
      <c r="BI736" s="4" t="s">
        <v>253</v>
      </c>
      <c r="BJ736" s="5" t="s">
        <v>246</v>
      </c>
      <c r="BK736" s="4" t="s">
        <v>254</v>
      </c>
      <c r="BL736" s="4" t="s">
        <v>323</v>
      </c>
      <c r="BM736" s="4" t="s">
        <v>241</v>
      </c>
      <c r="BN736" s="6">
        <f>0</f>
        <v>0</v>
      </c>
      <c r="BO736" s="6">
        <f>0</f>
        <v>0</v>
      </c>
      <c r="BP736" s="4" t="s">
        <v>256</v>
      </c>
      <c r="BQ736" s="4" t="s">
        <v>257</v>
      </c>
      <c r="CE736" s="4" t="s">
        <v>241</v>
      </c>
      <c r="CF736" s="4" t="s">
        <v>241</v>
      </c>
      <c r="CJ736" s="4" t="s">
        <v>258</v>
      </c>
      <c r="CK736" s="4" t="s">
        <v>259</v>
      </c>
      <c r="CL736" s="4" t="s">
        <v>241</v>
      </c>
      <c r="CO736" s="5" t="s">
        <v>260</v>
      </c>
      <c r="CP736" s="4" t="s">
        <v>241</v>
      </c>
      <c r="CQ736" s="4" t="s">
        <v>261</v>
      </c>
      <c r="CR736" s="4" t="s">
        <v>241</v>
      </c>
      <c r="CS736" s="4" t="s">
        <v>241</v>
      </c>
      <c r="CT736" s="4">
        <v>0</v>
      </c>
      <c r="CU736" s="4" t="s">
        <v>262</v>
      </c>
      <c r="CV736" s="4" t="s">
        <v>263</v>
      </c>
      <c r="CW736" s="4" t="s">
        <v>263</v>
      </c>
      <c r="CX736" s="4" t="s">
        <v>264</v>
      </c>
      <c r="DA736" s="6">
        <f>183845</f>
        <v>183845</v>
      </c>
      <c r="DC736" s="4" t="s">
        <v>422</v>
      </c>
      <c r="DD736" s="4" t="s">
        <v>241</v>
      </c>
      <c r="DF736" s="4" t="s">
        <v>287</v>
      </c>
      <c r="DG736" s="6">
        <f>0</f>
        <v>0</v>
      </c>
      <c r="DI736" s="4" t="s">
        <v>414</v>
      </c>
      <c r="DJ736" s="4" t="s">
        <v>241</v>
      </c>
      <c r="DK736" s="4" t="s">
        <v>241</v>
      </c>
      <c r="DL736" s="4" t="s">
        <v>241</v>
      </c>
      <c r="DP736" s="4" t="s">
        <v>241</v>
      </c>
      <c r="DQ736" s="4" t="s">
        <v>241</v>
      </c>
      <c r="DR736" s="4" t="s">
        <v>241</v>
      </c>
      <c r="DS736" s="4" t="s">
        <v>241</v>
      </c>
      <c r="DV736" s="4" t="s">
        <v>3444</v>
      </c>
      <c r="DW736" s="4" t="s">
        <v>388</v>
      </c>
      <c r="HO736" s="4" t="s">
        <v>388</v>
      </c>
    </row>
    <row r="737" spans="1:223" ht="19.5" customHeight="1" x14ac:dyDescent="0.4">
      <c r="A737" s="4">
        <v>1</v>
      </c>
      <c r="B737" s="4" t="s">
        <v>239</v>
      </c>
      <c r="C737" s="4">
        <v>1848</v>
      </c>
      <c r="D737" s="4">
        <v>1</v>
      </c>
      <c r="E737" s="4">
        <v>1</v>
      </c>
      <c r="F737" s="4" t="s">
        <v>240</v>
      </c>
      <c r="G737" s="4" t="s">
        <v>241</v>
      </c>
      <c r="H737" s="4" t="s">
        <v>241</v>
      </c>
      <c r="I737" s="4" t="s">
        <v>3442</v>
      </c>
      <c r="J737" s="4" t="s">
        <v>596</v>
      </c>
      <c r="K737" s="4" t="s">
        <v>251</v>
      </c>
      <c r="L737" s="4" t="s">
        <v>3441</v>
      </c>
      <c r="M737" s="5" t="s">
        <v>3443</v>
      </c>
      <c r="N737" s="6">
        <f>168</f>
        <v>168</v>
      </c>
      <c r="O737" s="4" t="s">
        <v>265</v>
      </c>
      <c r="P737" s="6">
        <f>372120</f>
        <v>372120</v>
      </c>
      <c r="Q737" s="6">
        <f>0</f>
        <v>0</v>
      </c>
      <c r="S737" s="6">
        <f>0</f>
        <v>0</v>
      </c>
      <c r="T737" s="6">
        <f>372120</f>
        <v>372120</v>
      </c>
      <c r="U737" s="5" t="s">
        <v>245</v>
      </c>
      <c r="V737" s="4" t="s">
        <v>270</v>
      </c>
      <c r="W737" s="4" t="s">
        <v>242</v>
      </c>
      <c r="X737" s="4" t="s">
        <v>273</v>
      </c>
      <c r="Y737" s="4" t="s">
        <v>241</v>
      </c>
      <c r="AB737" s="4" t="s">
        <v>241</v>
      </c>
      <c r="AD737" s="5" t="s">
        <v>241</v>
      </c>
      <c r="AG737" s="5" t="s">
        <v>246</v>
      </c>
      <c r="AH737" s="4" t="s">
        <v>241</v>
      </c>
      <c r="AI737" s="4" t="s">
        <v>247</v>
      </c>
      <c r="AJ737" s="4" t="s">
        <v>248</v>
      </c>
      <c r="AZ737" s="4" t="s">
        <v>249</v>
      </c>
      <c r="BA737" s="4" t="s">
        <v>241</v>
      </c>
      <c r="BB737" s="4" t="s">
        <v>250</v>
      </c>
      <c r="BC737" s="4" t="s">
        <v>241</v>
      </c>
      <c r="BD737" s="4" t="s">
        <v>252</v>
      </c>
      <c r="BE737" s="4" t="s">
        <v>241</v>
      </c>
      <c r="BI737" s="4" t="s">
        <v>253</v>
      </c>
      <c r="BJ737" s="5" t="s">
        <v>246</v>
      </c>
      <c r="BK737" s="4" t="s">
        <v>254</v>
      </c>
      <c r="BL737" s="4" t="s">
        <v>323</v>
      </c>
      <c r="BM737" s="4" t="s">
        <v>241</v>
      </c>
      <c r="BN737" s="6">
        <f>0</f>
        <v>0</v>
      </c>
      <c r="BO737" s="6">
        <f>0</f>
        <v>0</v>
      </c>
      <c r="BP737" s="4" t="s">
        <v>256</v>
      </c>
      <c r="BQ737" s="4" t="s">
        <v>257</v>
      </c>
      <c r="CE737" s="4" t="s">
        <v>241</v>
      </c>
      <c r="CF737" s="4" t="s">
        <v>241</v>
      </c>
      <c r="CJ737" s="4" t="s">
        <v>258</v>
      </c>
      <c r="CK737" s="4" t="s">
        <v>259</v>
      </c>
      <c r="CL737" s="4" t="s">
        <v>241</v>
      </c>
      <c r="CO737" s="5" t="s">
        <v>260</v>
      </c>
      <c r="CP737" s="4" t="s">
        <v>241</v>
      </c>
      <c r="CQ737" s="4" t="s">
        <v>261</v>
      </c>
      <c r="CR737" s="4" t="s">
        <v>241</v>
      </c>
      <c r="CS737" s="4" t="s">
        <v>241</v>
      </c>
      <c r="CT737" s="4">
        <v>0</v>
      </c>
      <c r="CU737" s="4" t="s">
        <v>262</v>
      </c>
      <c r="CV737" s="4" t="s">
        <v>263</v>
      </c>
      <c r="CW737" s="4" t="s">
        <v>263</v>
      </c>
      <c r="CX737" s="4" t="s">
        <v>264</v>
      </c>
      <c r="DA737" s="6">
        <f>372120</f>
        <v>372120</v>
      </c>
      <c r="DC737" s="4" t="s">
        <v>422</v>
      </c>
      <c r="DD737" s="4" t="s">
        <v>241</v>
      </c>
      <c r="DF737" s="4" t="s">
        <v>287</v>
      </c>
      <c r="DG737" s="6">
        <f>0</f>
        <v>0</v>
      </c>
      <c r="DI737" s="4" t="s">
        <v>414</v>
      </c>
      <c r="DJ737" s="4" t="s">
        <v>241</v>
      </c>
      <c r="DK737" s="4" t="s">
        <v>241</v>
      </c>
      <c r="DL737" s="4" t="s">
        <v>241</v>
      </c>
      <c r="DP737" s="4" t="s">
        <v>241</v>
      </c>
      <c r="DQ737" s="4" t="s">
        <v>241</v>
      </c>
      <c r="DR737" s="4" t="s">
        <v>241</v>
      </c>
      <c r="DS737" s="4" t="s">
        <v>241</v>
      </c>
      <c r="DV737" s="4" t="s">
        <v>3444</v>
      </c>
      <c r="DW737" s="4" t="s">
        <v>327</v>
      </c>
      <c r="HO737" s="4" t="s">
        <v>388</v>
      </c>
    </row>
    <row r="738" spans="1:223" ht="19.5" customHeight="1" x14ac:dyDescent="0.4">
      <c r="A738" s="4">
        <v>1</v>
      </c>
      <c r="B738" s="4" t="s">
        <v>239</v>
      </c>
      <c r="C738" s="4">
        <v>1849</v>
      </c>
      <c r="D738" s="4">
        <v>1</v>
      </c>
      <c r="E738" s="4">
        <v>1</v>
      </c>
      <c r="F738" s="4" t="s">
        <v>240</v>
      </c>
      <c r="G738" s="4" t="s">
        <v>241</v>
      </c>
      <c r="H738" s="4" t="s">
        <v>241</v>
      </c>
      <c r="I738" s="4" t="s">
        <v>3442</v>
      </c>
      <c r="J738" s="4" t="s">
        <v>596</v>
      </c>
      <c r="K738" s="4" t="s">
        <v>251</v>
      </c>
      <c r="L738" s="4" t="s">
        <v>3441</v>
      </c>
      <c r="M738" s="5" t="s">
        <v>3790</v>
      </c>
      <c r="N738" s="6">
        <f>123</f>
        <v>123</v>
      </c>
      <c r="O738" s="4" t="s">
        <v>265</v>
      </c>
      <c r="P738" s="6">
        <f>272445</f>
        <v>272445</v>
      </c>
      <c r="Q738" s="6">
        <f>0</f>
        <v>0</v>
      </c>
      <c r="S738" s="6">
        <f>0</f>
        <v>0</v>
      </c>
      <c r="T738" s="6">
        <f>272445</f>
        <v>272445</v>
      </c>
      <c r="U738" s="5" t="s">
        <v>245</v>
      </c>
      <c r="V738" s="4" t="s">
        <v>270</v>
      </c>
      <c r="W738" s="4" t="s">
        <v>242</v>
      </c>
      <c r="X738" s="4" t="s">
        <v>273</v>
      </c>
      <c r="Y738" s="4" t="s">
        <v>241</v>
      </c>
      <c r="AB738" s="4" t="s">
        <v>241</v>
      </c>
      <c r="AD738" s="5" t="s">
        <v>241</v>
      </c>
      <c r="AG738" s="5" t="s">
        <v>246</v>
      </c>
      <c r="AH738" s="4" t="s">
        <v>241</v>
      </c>
      <c r="AI738" s="4" t="s">
        <v>247</v>
      </c>
      <c r="AJ738" s="4" t="s">
        <v>248</v>
      </c>
      <c r="AZ738" s="4" t="s">
        <v>249</v>
      </c>
      <c r="BA738" s="4" t="s">
        <v>241</v>
      </c>
      <c r="BB738" s="4" t="s">
        <v>250</v>
      </c>
      <c r="BC738" s="4" t="s">
        <v>241</v>
      </c>
      <c r="BD738" s="4" t="s">
        <v>252</v>
      </c>
      <c r="BE738" s="4" t="s">
        <v>241</v>
      </c>
      <c r="BI738" s="4" t="s">
        <v>253</v>
      </c>
      <c r="BJ738" s="5" t="s">
        <v>246</v>
      </c>
      <c r="BK738" s="4" t="s">
        <v>254</v>
      </c>
      <c r="BL738" s="4" t="s">
        <v>323</v>
      </c>
      <c r="BM738" s="4" t="s">
        <v>241</v>
      </c>
      <c r="BN738" s="6">
        <f>0</f>
        <v>0</v>
      </c>
      <c r="BO738" s="6">
        <f>0</f>
        <v>0</v>
      </c>
      <c r="BP738" s="4" t="s">
        <v>256</v>
      </c>
      <c r="BQ738" s="4" t="s">
        <v>257</v>
      </c>
      <c r="CE738" s="4" t="s">
        <v>241</v>
      </c>
      <c r="CF738" s="4" t="s">
        <v>241</v>
      </c>
      <c r="CJ738" s="4" t="s">
        <v>258</v>
      </c>
      <c r="CK738" s="4" t="s">
        <v>259</v>
      </c>
      <c r="CL738" s="4" t="s">
        <v>241</v>
      </c>
      <c r="CO738" s="5" t="s">
        <v>260</v>
      </c>
      <c r="CP738" s="4" t="s">
        <v>241</v>
      </c>
      <c r="CQ738" s="4" t="s">
        <v>261</v>
      </c>
      <c r="CR738" s="4" t="s">
        <v>241</v>
      </c>
      <c r="CS738" s="4" t="s">
        <v>241</v>
      </c>
      <c r="CT738" s="4">
        <v>0</v>
      </c>
      <c r="CU738" s="4" t="s">
        <v>262</v>
      </c>
      <c r="CV738" s="4" t="s">
        <v>263</v>
      </c>
      <c r="CW738" s="4" t="s">
        <v>263</v>
      </c>
      <c r="CX738" s="4" t="s">
        <v>264</v>
      </c>
      <c r="DA738" s="6">
        <f>272445</f>
        <v>272445</v>
      </c>
      <c r="DC738" s="4" t="s">
        <v>422</v>
      </c>
      <c r="DD738" s="4" t="s">
        <v>241</v>
      </c>
      <c r="DF738" s="4" t="s">
        <v>287</v>
      </c>
      <c r="DG738" s="6">
        <f>0</f>
        <v>0</v>
      </c>
      <c r="DI738" s="4" t="s">
        <v>414</v>
      </c>
      <c r="DJ738" s="4" t="s">
        <v>241</v>
      </c>
      <c r="DK738" s="4" t="s">
        <v>241</v>
      </c>
      <c r="DL738" s="4" t="s">
        <v>241</v>
      </c>
      <c r="DP738" s="4" t="s">
        <v>241</v>
      </c>
      <c r="DQ738" s="4" t="s">
        <v>241</v>
      </c>
      <c r="DR738" s="4" t="s">
        <v>241</v>
      </c>
      <c r="DS738" s="4" t="s">
        <v>241</v>
      </c>
      <c r="DV738" s="4" t="s">
        <v>3444</v>
      </c>
      <c r="DW738" s="4" t="s">
        <v>748</v>
      </c>
      <c r="HO738" s="4" t="s">
        <v>388</v>
      </c>
    </row>
    <row r="739" spans="1:223" ht="19.5" customHeight="1" x14ac:dyDescent="0.4">
      <c r="A739" s="4">
        <v>1</v>
      </c>
      <c r="B739" s="4" t="s">
        <v>239</v>
      </c>
      <c r="C739" s="4">
        <v>1850</v>
      </c>
      <c r="D739" s="4">
        <v>1</v>
      </c>
      <c r="E739" s="4">
        <v>1</v>
      </c>
      <c r="F739" s="4" t="s">
        <v>240</v>
      </c>
      <c r="G739" s="4" t="s">
        <v>241</v>
      </c>
      <c r="H739" s="4" t="s">
        <v>241</v>
      </c>
      <c r="I739" s="4" t="s">
        <v>3442</v>
      </c>
      <c r="J739" s="4" t="s">
        <v>596</v>
      </c>
      <c r="K739" s="4" t="s">
        <v>251</v>
      </c>
      <c r="L739" s="4" t="s">
        <v>3441</v>
      </c>
      <c r="M739" s="5" t="s">
        <v>3693</v>
      </c>
      <c r="N739" s="6">
        <f>4011</f>
        <v>4011</v>
      </c>
      <c r="O739" s="4" t="s">
        <v>265</v>
      </c>
      <c r="P739" s="6">
        <f>44121</f>
        <v>44121</v>
      </c>
      <c r="Q739" s="6">
        <f>0</f>
        <v>0</v>
      </c>
      <c r="S739" s="6">
        <f>0</f>
        <v>0</v>
      </c>
      <c r="T739" s="6">
        <f>44121</f>
        <v>44121</v>
      </c>
      <c r="U739" s="5" t="s">
        <v>245</v>
      </c>
      <c r="V739" s="4" t="s">
        <v>270</v>
      </c>
      <c r="W739" s="4" t="s">
        <v>242</v>
      </c>
      <c r="X739" s="4" t="s">
        <v>273</v>
      </c>
      <c r="Y739" s="4" t="s">
        <v>241</v>
      </c>
      <c r="AB739" s="4" t="s">
        <v>241</v>
      </c>
      <c r="AD739" s="5" t="s">
        <v>241</v>
      </c>
      <c r="AG739" s="5" t="s">
        <v>246</v>
      </c>
      <c r="AH739" s="4" t="s">
        <v>241</v>
      </c>
      <c r="AI739" s="4" t="s">
        <v>247</v>
      </c>
      <c r="AJ739" s="4" t="s">
        <v>248</v>
      </c>
      <c r="AZ739" s="4" t="s">
        <v>249</v>
      </c>
      <c r="BA739" s="4" t="s">
        <v>241</v>
      </c>
      <c r="BB739" s="4" t="s">
        <v>250</v>
      </c>
      <c r="BC739" s="4" t="s">
        <v>241</v>
      </c>
      <c r="BD739" s="4" t="s">
        <v>252</v>
      </c>
      <c r="BE739" s="4" t="s">
        <v>241</v>
      </c>
      <c r="BG739" s="4" t="s">
        <v>412</v>
      </c>
      <c r="BI739" s="4" t="s">
        <v>253</v>
      </c>
      <c r="BJ739" s="5" t="s">
        <v>246</v>
      </c>
      <c r="BK739" s="4" t="s">
        <v>254</v>
      </c>
      <c r="BL739" s="4" t="s">
        <v>323</v>
      </c>
      <c r="BM739" s="4" t="s">
        <v>241</v>
      </c>
      <c r="BN739" s="6">
        <f>0</f>
        <v>0</v>
      </c>
      <c r="BO739" s="6">
        <f>0</f>
        <v>0</v>
      </c>
      <c r="BP739" s="4" t="s">
        <v>256</v>
      </c>
      <c r="BQ739" s="4" t="s">
        <v>257</v>
      </c>
      <c r="CE739" s="4" t="s">
        <v>241</v>
      </c>
      <c r="CF739" s="4" t="s">
        <v>241</v>
      </c>
      <c r="CJ739" s="4" t="s">
        <v>258</v>
      </c>
      <c r="CK739" s="4" t="s">
        <v>259</v>
      </c>
      <c r="CL739" s="4" t="s">
        <v>241</v>
      </c>
      <c r="CO739" s="5" t="s">
        <v>260</v>
      </c>
      <c r="CP739" s="4" t="s">
        <v>241</v>
      </c>
      <c r="CQ739" s="4" t="s">
        <v>261</v>
      </c>
      <c r="CR739" s="4" t="s">
        <v>241</v>
      </c>
      <c r="CS739" s="4" t="s">
        <v>241</v>
      </c>
      <c r="CT739" s="4">
        <v>0</v>
      </c>
      <c r="CU739" s="4" t="s">
        <v>262</v>
      </c>
      <c r="CV739" s="4" t="s">
        <v>263</v>
      </c>
      <c r="CW739" s="4" t="s">
        <v>263</v>
      </c>
      <c r="CX739" s="4" t="s">
        <v>264</v>
      </c>
      <c r="DA739" s="6">
        <f>44121</f>
        <v>44121</v>
      </c>
      <c r="DC739" s="4" t="s">
        <v>287</v>
      </c>
      <c r="DD739" s="4" t="s">
        <v>241</v>
      </c>
      <c r="DF739" s="4" t="s">
        <v>287</v>
      </c>
      <c r="DG739" s="6">
        <f>0</f>
        <v>0</v>
      </c>
      <c r="DI739" s="4" t="s">
        <v>3167</v>
      </c>
      <c r="DJ739" s="4" t="s">
        <v>241</v>
      </c>
      <c r="DK739" s="4" t="s">
        <v>241</v>
      </c>
      <c r="DL739" s="4" t="s">
        <v>241</v>
      </c>
      <c r="DP739" s="4" t="s">
        <v>241</v>
      </c>
      <c r="DQ739" s="4" t="s">
        <v>241</v>
      </c>
      <c r="DR739" s="4" t="s">
        <v>241</v>
      </c>
      <c r="DS739" s="4" t="s">
        <v>241</v>
      </c>
      <c r="DV739" s="4" t="s">
        <v>3444</v>
      </c>
      <c r="DW739" s="4" t="s">
        <v>719</v>
      </c>
      <c r="HO739" s="4" t="s">
        <v>388</v>
      </c>
    </row>
    <row r="740" spans="1:223" ht="19.5" customHeight="1" x14ac:dyDescent="0.4">
      <c r="A740" s="4">
        <v>1</v>
      </c>
      <c r="B740" s="4" t="s">
        <v>239</v>
      </c>
      <c r="C740" s="4">
        <v>1851</v>
      </c>
      <c r="D740" s="4">
        <v>1</v>
      </c>
      <c r="E740" s="4">
        <v>1</v>
      </c>
      <c r="F740" s="4" t="s">
        <v>240</v>
      </c>
      <c r="G740" s="4" t="s">
        <v>241</v>
      </c>
      <c r="H740" s="4" t="s">
        <v>241</v>
      </c>
      <c r="I740" s="4" t="s">
        <v>3442</v>
      </c>
      <c r="J740" s="4" t="s">
        <v>596</v>
      </c>
      <c r="K740" s="4" t="s">
        <v>251</v>
      </c>
      <c r="L740" s="4" t="s">
        <v>3441</v>
      </c>
      <c r="M740" s="5" t="s">
        <v>3521</v>
      </c>
      <c r="N740" s="6">
        <f>437</f>
        <v>437</v>
      </c>
      <c r="O740" s="4" t="s">
        <v>265</v>
      </c>
      <c r="P740" s="6">
        <f>967955</f>
        <v>967955</v>
      </c>
      <c r="Q740" s="6">
        <f>0</f>
        <v>0</v>
      </c>
      <c r="S740" s="6">
        <f>0</f>
        <v>0</v>
      </c>
      <c r="T740" s="6">
        <f>967955</f>
        <v>967955</v>
      </c>
      <c r="U740" s="5" t="s">
        <v>245</v>
      </c>
      <c r="V740" s="4" t="s">
        <v>270</v>
      </c>
      <c r="W740" s="4" t="s">
        <v>242</v>
      </c>
      <c r="X740" s="4" t="s">
        <v>273</v>
      </c>
      <c r="Y740" s="4" t="s">
        <v>241</v>
      </c>
      <c r="AB740" s="4" t="s">
        <v>241</v>
      </c>
      <c r="AD740" s="5" t="s">
        <v>241</v>
      </c>
      <c r="AG740" s="5" t="s">
        <v>246</v>
      </c>
      <c r="AH740" s="4" t="s">
        <v>241</v>
      </c>
      <c r="AI740" s="4" t="s">
        <v>247</v>
      </c>
      <c r="AJ740" s="4" t="s">
        <v>248</v>
      </c>
      <c r="AZ740" s="4" t="s">
        <v>249</v>
      </c>
      <c r="BA740" s="4" t="s">
        <v>241</v>
      </c>
      <c r="BB740" s="4" t="s">
        <v>250</v>
      </c>
      <c r="BC740" s="4" t="s">
        <v>241</v>
      </c>
      <c r="BD740" s="4" t="s">
        <v>252</v>
      </c>
      <c r="BE740" s="4" t="s">
        <v>241</v>
      </c>
      <c r="BI740" s="4" t="s">
        <v>253</v>
      </c>
      <c r="BJ740" s="5" t="s">
        <v>246</v>
      </c>
      <c r="BK740" s="4" t="s">
        <v>254</v>
      </c>
      <c r="BL740" s="4" t="s">
        <v>323</v>
      </c>
      <c r="BM740" s="4" t="s">
        <v>241</v>
      </c>
      <c r="BN740" s="6">
        <f>0</f>
        <v>0</v>
      </c>
      <c r="BO740" s="6">
        <f>0</f>
        <v>0</v>
      </c>
      <c r="BP740" s="4" t="s">
        <v>256</v>
      </c>
      <c r="BQ740" s="4" t="s">
        <v>257</v>
      </c>
      <c r="CE740" s="4" t="s">
        <v>241</v>
      </c>
      <c r="CF740" s="4" t="s">
        <v>241</v>
      </c>
      <c r="CJ740" s="4" t="s">
        <v>258</v>
      </c>
      <c r="CK740" s="4" t="s">
        <v>259</v>
      </c>
      <c r="CL740" s="4" t="s">
        <v>241</v>
      </c>
      <c r="CO740" s="5" t="s">
        <v>260</v>
      </c>
      <c r="CP740" s="4" t="s">
        <v>241</v>
      </c>
      <c r="CQ740" s="4" t="s">
        <v>261</v>
      </c>
      <c r="CR740" s="4" t="s">
        <v>241</v>
      </c>
      <c r="CS740" s="4" t="s">
        <v>241</v>
      </c>
      <c r="CT740" s="4">
        <v>0</v>
      </c>
      <c r="CU740" s="4" t="s">
        <v>262</v>
      </c>
      <c r="CV740" s="4" t="s">
        <v>263</v>
      </c>
      <c r="CW740" s="4" t="s">
        <v>263</v>
      </c>
      <c r="CX740" s="4" t="s">
        <v>264</v>
      </c>
      <c r="DA740" s="6">
        <f>967955</f>
        <v>967955</v>
      </c>
      <c r="DC740" s="4" t="s">
        <v>422</v>
      </c>
      <c r="DD740" s="4" t="s">
        <v>241</v>
      </c>
      <c r="DF740" s="4" t="s">
        <v>287</v>
      </c>
      <c r="DG740" s="6">
        <f>0</f>
        <v>0</v>
      </c>
      <c r="DI740" s="4" t="s">
        <v>414</v>
      </c>
      <c r="DJ740" s="4" t="s">
        <v>241</v>
      </c>
      <c r="DK740" s="4" t="s">
        <v>241</v>
      </c>
      <c r="DL740" s="4" t="s">
        <v>241</v>
      </c>
      <c r="DP740" s="4" t="s">
        <v>241</v>
      </c>
      <c r="DQ740" s="4" t="s">
        <v>241</v>
      </c>
      <c r="DR740" s="4" t="s">
        <v>241</v>
      </c>
      <c r="DS740" s="4" t="s">
        <v>241</v>
      </c>
      <c r="DV740" s="4" t="s">
        <v>3444</v>
      </c>
      <c r="DW740" s="4" t="s">
        <v>690</v>
      </c>
      <c r="HO740" s="4" t="s">
        <v>388</v>
      </c>
    </row>
    <row r="741" spans="1:223" ht="19.5" customHeight="1" x14ac:dyDescent="0.4">
      <c r="A741" s="4">
        <v>1</v>
      </c>
      <c r="B741" s="4" t="s">
        <v>239</v>
      </c>
      <c r="C741" s="4">
        <v>1852</v>
      </c>
      <c r="D741" s="4">
        <v>1</v>
      </c>
      <c r="E741" s="4">
        <v>1</v>
      </c>
      <c r="F741" s="4" t="s">
        <v>240</v>
      </c>
      <c r="G741" s="4" t="s">
        <v>241</v>
      </c>
      <c r="H741" s="4" t="s">
        <v>241</v>
      </c>
      <c r="I741" s="4" t="s">
        <v>3442</v>
      </c>
      <c r="J741" s="4" t="s">
        <v>596</v>
      </c>
      <c r="K741" s="4" t="s">
        <v>251</v>
      </c>
      <c r="L741" s="4" t="s">
        <v>3441</v>
      </c>
      <c r="M741" s="5" t="s">
        <v>3659</v>
      </c>
      <c r="N741" s="6">
        <f>1686</f>
        <v>1686</v>
      </c>
      <c r="O741" s="4" t="s">
        <v>265</v>
      </c>
      <c r="P741" s="6">
        <f>18546</f>
        <v>18546</v>
      </c>
      <c r="Q741" s="6">
        <f>0</f>
        <v>0</v>
      </c>
      <c r="S741" s="6">
        <f>0</f>
        <v>0</v>
      </c>
      <c r="T741" s="6">
        <f>18546</f>
        <v>18546</v>
      </c>
      <c r="U741" s="5" t="s">
        <v>245</v>
      </c>
      <c r="V741" s="4" t="s">
        <v>270</v>
      </c>
      <c r="W741" s="4" t="s">
        <v>242</v>
      </c>
      <c r="X741" s="4" t="s">
        <v>273</v>
      </c>
      <c r="Y741" s="4" t="s">
        <v>241</v>
      </c>
      <c r="AB741" s="4" t="s">
        <v>241</v>
      </c>
      <c r="AD741" s="5" t="s">
        <v>241</v>
      </c>
      <c r="AG741" s="5" t="s">
        <v>246</v>
      </c>
      <c r="AH741" s="4" t="s">
        <v>241</v>
      </c>
      <c r="AI741" s="4" t="s">
        <v>247</v>
      </c>
      <c r="AJ741" s="4" t="s">
        <v>248</v>
      </c>
      <c r="AZ741" s="4" t="s">
        <v>249</v>
      </c>
      <c r="BA741" s="4" t="s">
        <v>241</v>
      </c>
      <c r="BB741" s="4" t="s">
        <v>250</v>
      </c>
      <c r="BC741" s="4" t="s">
        <v>241</v>
      </c>
      <c r="BD741" s="4" t="s">
        <v>252</v>
      </c>
      <c r="BE741" s="4" t="s">
        <v>241</v>
      </c>
      <c r="BI741" s="4" t="s">
        <v>253</v>
      </c>
      <c r="BJ741" s="5" t="s">
        <v>246</v>
      </c>
      <c r="BK741" s="4" t="s">
        <v>254</v>
      </c>
      <c r="BL741" s="4" t="s">
        <v>323</v>
      </c>
      <c r="BM741" s="4" t="s">
        <v>241</v>
      </c>
      <c r="BN741" s="6">
        <f>0</f>
        <v>0</v>
      </c>
      <c r="BO741" s="6">
        <f>0</f>
        <v>0</v>
      </c>
      <c r="BP741" s="4" t="s">
        <v>256</v>
      </c>
      <c r="BQ741" s="4" t="s">
        <v>257</v>
      </c>
      <c r="CE741" s="4" t="s">
        <v>241</v>
      </c>
      <c r="CF741" s="4" t="s">
        <v>241</v>
      </c>
      <c r="CJ741" s="4" t="s">
        <v>258</v>
      </c>
      <c r="CK741" s="4" t="s">
        <v>259</v>
      </c>
      <c r="CL741" s="4" t="s">
        <v>241</v>
      </c>
      <c r="CO741" s="5" t="s">
        <v>260</v>
      </c>
      <c r="CP741" s="4" t="s">
        <v>241</v>
      </c>
      <c r="CQ741" s="4" t="s">
        <v>261</v>
      </c>
      <c r="CR741" s="4" t="s">
        <v>241</v>
      </c>
      <c r="CS741" s="4" t="s">
        <v>241</v>
      </c>
      <c r="CT741" s="4">
        <v>0</v>
      </c>
      <c r="CU741" s="4" t="s">
        <v>262</v>
      </c>
      <c r="CV741" s="4" t="s">
        <v>263</v>
      </c>
      <c r="CW741" s="4" t="s">
        <v>263</v>
      </c>
      <c r="CX741" s="4" t="s">
        <v>264</v>
      </c>
      <c r="DA741" s="6">
        <f>18546</f>
        <v>18546</v>
      </c>
      <c r="DC741" s="4" t="s">
        <v>287</v>
      </c>
      <c r="DD741" s="4" t="s">
        <v>241</v>
      </c>
      <c r="DF741" s="4" t="s">
        <v>287</v>
      </c>
      <c r="DG741" s="6">
        <f>0</f>
        <v>0</v>
      </c>
      <c r="DI741" s="4" t="s">
        <v>3167</v>
      </c>
      <c r="DJ741" s="4" t="s">
        <v>241</v>
      </c>
      <c r="DK741" s="4" t="s">
        <v>241</v>
      </c>
      <c r="DL741" s="4" t="s">
        <v>241</v>
      </c>
      <c r="DP741" s="4" t="s">
        <v>241</v>
      </c>
      <c r="DQ741" s="4" t="s">
        <v>241</v>
      </c>
      <c r="DR741" s="4" t="s">
        <v>241</v>
      </c>
      <c r="DS741" s="4" t="s">
        <v>241</v>
      </c>
      <c r="DV741" s="4" t="s">
        <v>3444</v>
      </c>
      <c r="DW741" s="4" t="s">
        <v>628</v>
      </c>
      <c r="HO741" s="4" t="s">
        <v>388</v>
      </c>
    </row>
    <row r="742" spans="1:223" ht="19.5" customHeight="1" x14ac:dyDescent="0.4">
      <c r="A742" s="4">
        <v>1</v>
      </c>
      <c r="B742" s="4" t="s">
        <v>239</v>
      </c>
      <c r="C742" s="4">
        <v>2208</v>
      </c>
      <c r="D742" s="4">
        <v>1</v>
      </c>
      <c r="E742" s="4">
        <v>1</v>
      </c>
      <c r="F742" s="4" t="s">
        <v>240</v>
      </c>
      <c r="G742" s="4" t="s">
        <v>241</v>
      </c>
      <c r="H742" s="4" t="s">
        <v>241</v>
      </c>
      <c r="I742" s="4" t="s">
        <v>4216</v>
      </c>
      <c r="J742" s="4" t="s">
        <v>3175</v>
      </c>
      <c r="K742" s="4" t="s">
        <v>251</v>
      </c>
      <c r="L742" s="4" t="s">
        <v>4215</v>
      </c>
      <c r="M742" s="5" t="s">
        <v>4218</v>
      </c>
      <c r="N742" s="6">
        <f>3050</f>
        <v>3050</v>
      </c>
      <c r="O742" s="4" t="s">
        <v>265</v>
      </c>
      <c r="P742" s="6">
        <f>22336400</f>
        <v>22336400</v>
      </c>
      <c r="Q742" s="6">
        <f>0</f>
        <v>0</v>
      </c>
      <c r="S742" s="6">
        <f>0</f>
        <v>0</v>
      </c>
      <c r="T742" s="6">
        <f>22336400</f>
        <v>22336400</v>
      </c>
      <c r="U742" s="5" t="s">
        <v>245</v>
      </c>
      <c r="V742" s="4" t="s">
        <v>270</v>
      </c>
      <c r="W742" s="4" t="s">
        <v>242</v>
      </c>
      <c r="X742" s="4" t="s">
        <v>273</v>
      </c>
      <c r="Y742" s="4" t="s">
        <v>241</v>
      </c>
      <c r="AB742" s="4" t="s">
        <v>241</v>
      </c>
      <c r="AD742" s="5" t="s">
        <v>241</v>
      </c>
      <c r="AG742" s="5" t="s">
        <v>3166</v>
      </c>
      <c r="AH742" s="4" t="s">
        <v>241</v>
      </c>
      <c r="AI742" s="4" t="s">
        <v>247</v>
      </c>
      <c r="AJ742" s="4" t="s">
        <v>248</v>
      </c>
      <c r="AZ742" s="4" t="s">
        <v>249</v>
      </c>
      <c r="BA742" s="4" t="s">
        <v>241</v>
      </c>
      <c r="BB742" s="4" t="s">
        <v>250</v>
      </c>
      <c r="BC742" s="4" t="s">
        <v>241</v>
      </c>
      <c r="BD742" s="4" t="s">
        <v>252</v>
      </c>
      <c r="BE742" s="4" t="s">
        <v>241</v>
      </c>
      <c r="BI742" s="4" t="s">
        <v>295</v>
      </c>
      <c r="BJ742" s="5" t="s">
        <v>3166</v>
      </c>
      <c r="BK742" s="4" t="s">
        <v>254</v>
      </c>
      <c r="BL742" s="4" t="s">
        <v>3172</v>
      </c>
      <c r="BM742" s="4" t="s">
        <v>241</v>
      </c>
      <c r="BN742" s="6">
        <f>0</f>
        <v>0</v>
      </c>
      <c r="BO742" s="6">
        <f>0</f>
        <v>0</v>
      </c>
      <c r="BP742" s="4" t="s">
        <v>256</v>
      </c>
      <c r="BQ742" s="4" t="s">
        <v>257</v>
      </c>
      <c r="CE742" s="4" t="s">
        <v>241</v>
      </c>
      <c r="CF742" s="4" t="s">
        <v>241</v>
      </c>
      <c r="CJ742" s="4" t="s">
        <v>258</v>
      </c>
      <c r="CK742" s="4" t="s">
        <v>259</v>
      </c>
      <c r="CL742" s="4" t="s">
        <v>241</v>
      </c>
      <c r="CO742" s="5" t="s">
        <v>260</v>
      </c>
      <c r="CP742" s="4" t="s">
        <v>241</v>
      </c>
      <c r="CQ742" s="4" t="s">
        <v>261</v>
      </c>
      <c r="CR742" s="4" t="s">
        <v>241</v>
      </c>
      <c r="CS742" s="4" t="s">
        <v>241</v>
      </c>
      <c r="CT742" s="4">
        <v>0</v>
      </c>
      <c r="CU742" s="4" t="s">
        <v>262</v>
      </c>
      <c r="CV742" s="4" t="s">
        <v>263</v>
      </c>
      <c r="CW742" s="4" t="s">
        <v>263</v>
      </c>
      <c r="CX742" s="4" t="s">
        <v>264</v>
      </c>
      <c r="DA742" s="6">
        <f>22336400</f>
        <v>22336400</v>
      </c>
      <c r="DC742" s="4" t="s">
        <v>266</v>
      </c>
      <c r="DD742" s="4" t="s">
        <v>241</v>
      </c>
      <c r="DF742" s="4" t="s">
        <v>422</v>
      </c>
      <c r="DG742" s="6">
        <f>2939</f>
        <v>2939</v>
      </c>
      <c r="DI742" s="4" t="s">
        <v>266</v>
      </c>
      <c r="DJ742" s="4" t="s">
        <v>241</v>
      </c>
      <c r="DK742" s="4" t="s">
        <v>241</v>
      </c>
      <c r="DL742" s="4" t="s">
        <v>241</v>
      </c>
      <c r="DP742" s="4" t="s">
        <v>241</v>
      </c>
      <c r="DQ742" s="4" t="s">
        <v>241</v>
      </c>
      <c r="DR742" s="4" t="s">
        <v>241</v>
      </c>
      <c r="DS742" s="4" t="s">
        <v>241</v>
      </c>
      <c r="DV742" s="4" t="s">
        <v>4217</v>
      </c>
      <c r="DW742" s="4" t="s">
        <v>748</v>
      </c>
      <c r="HO742" s="4" t="s">
        <v>327</v>
      </c>
    </row>
    <row r="743" spans="1:223" ht="19.5" customHeight="1" x14ac:dyDescent="0.4">
      <c r="A743" s="4">
        <v>1</v>
      </c>
      <c r="B743" s="4" t="s">
        <v>239</v>
      </c>
      <c r="C743" s="4">
        <v>2417</v>
      </c>
      <c r="D743" s="4">
        <v>1</v>
      </c>
      <c r="E743" s="4">
        <v>1</v>
      </c>
      <c r="F743" s="4" t="s">
        <v>268</v>
      </c>
      <c r="G743" s="4" t="s">
        <v>241</v>
      </c>
      <c r="H743" s="4" t="s">
        <v>241</v>
      </c>
      <c r="I743" s="4" t="s">
        <v>272</v>
      </c>
      <c r="J743" s="4" t="s">
        <v>274</v>
      </c>
      <c r="K743" s="4" t="s">
        <v>251</v>
      </c>
      <c r="L743" s="4" t="s">
        <v>269</v>
      </c>
      <c r="M743" s="5" t="s">
        <v>1486</v>
      </c>
      <c r="N743" s="6">
        <f>35</f>
        <v>35</v>
      </c>
      <c r="O743" s="4" t="s">
        <v>265</v>
      </c>
      <c r="P743" s="6">
        <f>1</f>
        <v>1</v>
      </c>
      <c r="Q743" s="6">
        <f>0</f>
        <v>0</v>
      </c>
      <c r="S743" s="6">
        <f>0</f>
        <v>0</v>
      </c>
      <c r="T743" s="6">
        <f>1</f>
        <v>1</v>
      </c>
      <c r="U743" s="5" t="s">
        <v>245</v>
      </c>
      <c r="V743" s="4" t="s">
        <v>270</v>
      </c>
      <c r="W743" s="4" t="s">
        <v>271</v>
      </c>
      <c r="X743" s="4" t="s">
        <v>273</v>
      </c>
      <c r="Y743" s="4" t="s">
        <v>241</v>
      </c>
      <c r="AB743" s="4" t="s">
        <v>241</v>
      </c>
      <c r="AD743" s="5" t="s">
        <v>241</v>
      </c>
      <c r="AG743" s="5" t="s">
        <v>246</v>
      </c>
      <c r="AH743" s="4" t="s">
        <v>241</v>
      </c>
      <c r="AI743" s="4" t="s">
        <v>247</v>
      </c>
      <c r="AJ743" s="4" t="s">
        <v>248</v>
      </c>
      <c r="AZ743" s="4" t="s">
        <v>249</v>
      </c>
      <c r="BA743" s="4" t="s">
        <v>241</v>
      </c>
      <c r="BB743" s="4" t="s">
        <v>250</v>
      </c>
      <c r="BC743" s="4" t="s">
        <v>241</v>
      </c>
      <c r="BD743" s="4" t="s">
        <v>252</v>
      </c>
      <c r="BE743" s="4" t="s">
        <v>241</v>
      </c>
      <c r="BI743" s="4" t="s">
        <v>253</v>
      </c>
      <c r="BJ743" s="5" t="s">
        <v>246</v>
      </c>
      <c r="BK743" s="4" t="s">
        <v>254</v>
      </c>
      <c r="BL743" s="4" t="s">
        <v>255</v>
      </c>
      <c r="BM743" s="4" t="s">
        <v>241</v>
      </c>
      <c r="BN743" s="6">
        <f>0</f>
        <v>0</v>
      </c>
      <c r="BO743" s="6">
        <f>0</f>
        <v>0</v>
      </c>
      <c r="BP743" s="4" t="s">
        <v>256</v>
      </c>
      <c r="BQ743" s="4" t="s">
        <v>257</v>
      </c>
      <c r="CE743" s="4" t="s">
        <v>241</v>
      </c>
      <c r="CF743" s="4" t="s">
        <v>241</v>
      </c>
      <c r="CJ743" s="4" t="s">
        <v>276</v>
      </c>
      <c r="CK743" s="4" t="s">
        <v>259</v>
      </c>
      <c r="CL743" s="4" t="s">
        <v>241</v>
      </c>
      <c r="CO743" s="5" t="s">
        <v>260</v>
      </c>
      <c r="CP743" s="4" t="s">
        <v>241</v>
      </c>
      <c r="CQ743" s="4" t="s">
        <v>261</v>
      </c>
      <c r="CR743" s="4" t="s">
        <v>241</v>
      </c>
      <c r="CS743" s="4" t="s">
        <v>241</v>
      </c>
      <c r="CT743" s="4">
        <v>0</v>
      </c>
      <c r="CU743" s="4" t="s">
        <v>262</v>
      </c>
      <c r="CV743" s="4" t="s">
        <v>263</v>
      </c>
      <c r="CW743" s="4" t="s">
        <v>263</v>
      </c>
      <c r="CX743" s="4" t="s">
        <v>264</v>
      </c>
      <c r="DA743" s="6">
        <f>1</f>
        <v>1</v>
      </c>
      <c r="DC743" s="4" t="s">
        <v>277</v>
      </c>
      <c r="DD743" s="4" t="s">
        <v>241</v>
      </c>
      <c r="DF743" s="4" t="s">
        <v>277</v>
      </c>
      <c r="DG743" s="6">
        <f>35</f>
        <v>35</v>
      </c>
      <c r="DI743" s="4" t="s">
        <v>241</v>
      </c>
      <c r="DJ743" s="4" t="s">
        <v>241</v>
      </c>
      <c r="DK743" s="4" t="s">
        <v>241</v>
      </c>
      <c r="DL743" s="4" t="s">
        <v>241</v>
      </c>
      <c r="DP743" s="4" t="s">
        <v>241</v>
      </c>
      <c r="DQ743" s="4" t="s">
        <v>241</v>
      </c>
      <c r="DR743" s="4" t="s">
        <v>241</v>
      </c>
      <c r="DS743" s="4" t="s">
        <v>241</v>
      </c>
      <c r="DV743" s="4" t="s">
        <v>278</v>
      </c>
      <c r="DW743" s="4" t="s">
        <v>267</v>
      </c>
      <c r="HO743" s="4" t="s">
        <v>267</v>
      </c>
    </row>
    <row r="744" spans="1:223" ht="19.5" customHeight="1" x14ac:dyDescent="0.4">
      <c r="A744" s="4">
        <v>1</v>
      </c>
      <c r="B744" s="4" t="s">
        <v>239</v>
      </c>
      <c r="C744" s="4">
        <v>2418</v>
      </c>
      <c r="D744" s="4">
        <v>1</v>
      </c>
      <c r="E744" s="4">
        <v>1</v>
      </c>
      <c r="F744" s="4" t="s">
        <v>268</v>
      </c>
      <c r="G744" s="4" t="s">
        <v>241</v>
      </c>
      <c r="H744" s="4" t="s">
        <v>241</v>
      </c>
      <c r="I744" s="4" t="s">
        <v>272</v>
      </c>
      <c r="J744" s="4" t="s">
        <v>274</v>
      </c>
      <c r="K744" s="4" t="s">
        <v>251</v>
      </c>
      <c r="L744" s="4" t="s">
        <v>269</v>
      </c>
      <c r="M744" s="5" t="s">
        <v>1801</v>
      </c>
      <c r="N744" s="6">
        <f>70</f>
        <v>70</v>
      </c>
      <c r="O744" s="4" t="s">
        <v>265</v>
      </c>
      <c r="P744" s="6">
        <f>1</f>
        <v>1</v>
      </c>
      <c r="Q744" s="6">
        <f>0</f>
        <v>0</v>
      </c>
      <c r="S744" s="6">
        <f>0</f>
        <v>0</v>
      </c>
      <c r="T744" s="6">
        <f>1</f>
        <v>1</v>
      </c>
      <c r="U744" s="5" t="s">
        <v>245</v>
      </c>
      <c r="V744" s="4" t="s">
        <v>270</v>
      </c>
      <c r="W744" s="4" t="s">
        <v>271</v>
      </c>
      <c r="X744" s="4" t="s">
        <v>273</v>
      </c>
      <c r="Y744" s="4" t="s">
        <v>241</v>
      </c>
      <c r="AB744" s="4" t="s">
        <v>241</v>
      </c>
      <c r="AD744" s="5" t="s">
        <v>241</v>
      </c>
      <c r="AG744" s="5" t="s">
        <v>246</v>
      </c>
      <c r="AH744" s="4" t="s">
        <v>241</v>
      </c>
      <c r="AI744" s="4" t="s">
        <v>247</v>
      </c>
      <c r="AJ744" s="4" t="s">
        <v>248</v>
      </c>
      <c r="AZ744" s="4" t="s">
        <v>249</v>
      </c>
      <c r="BA744" s="4" t="s">
        <v>241</v>
      </c>
      <c r="BB744" s="4" t="s">
        <v>250</v>
      </c>
      <c r="BC744" s="4" t="s">
        <v>241</v>
      </c>
      <c r="BD744" s="4" t="s">
        <v>252</v>
      </c>
      <c r="BE744" s="4" t="s">
        <v>241</v>
      </c>
      <c r="BI744" s="4" t="s">
        <v>253</v>
      </c>
      <c r="BJ744" s="5" t="s">
        <v>246</v>
      </c>
      <c r="BK744" s="4" t="s">
        <v>254</v>
      </c>
      <c r="BL744" s="4" t="s">
        <v>255</v>
      </c>
      <c r="BM744" s="4" t="s">
        <v>241</v>
      </c>
      <c r="BN744" s="6">
        <f>0</f>
        <v>0</v>
      </c>
      <c r="BO744" s="6">
        <f>0</f>
        <v>0</v>
      </c>
      <c r="BP744" s="4" t="s">
        <v>256</v>
      </c>
      <c r="BQ744" s="4" t="s">
        <v>257</v>
      </c>
      <c r="CE744" s="4" t="s">
        <v>241</v>
      </c>
      <c r="CF744" s="4" t="s">
        <v>241</v>
      </c>
      <c r="CJ744" s="4" t="s">
        <v>276</v>
      </c>
      <c r="CK744" s="4" t="s">
        <v>259</v>
      </c>
      <c r="CL744" s="4" t="s">
        <v>241</v>
      </c>
      <c r="CO744" s="5" t="s">
        <v>260</v>
      </c>
      <c r="CP744" s="4" t="s">
        <v>241</v>
      </c>
      <c r="CQ744" s="4" t="s">
        <v>261</v>
      </c>
      <c r="CR744" s="4" t="s">
        <v>241</v>
      </c>
      <c r="CS744" s="4" t="s">
        <v>241</v>
      </c>
      <c r="CT744" s="4">
        <v>0</v>
      </c>
      <c r="CU744" s="4" t="s">
        <v>262</v>
      </c>
      <c r="CV744" s="4" t="s">
        <v>263</v>
      </c>
      <c r="CW744" s="4" t="s">
        <v>263</v>
      </c>
      <c r="CX744" s="4" t="s">
        <v>264</v>
      </c>
      <c r="DA744" s="6">
        <f>1</f>
        <v>1</v>
      </c>
      <c r="DC744" s="4" t="s">
        <v>277</v>
      </c>
      <c r="DD744" s="4" t="s">
        <v>241</v>
      </c>
      <c r="DF744" s="4" t="s">
        <v>277</v>
      </c>
      <c r="DG744" s="6">
        <f>70</f>
        <v>70</v>
      </c>
      <c r="DI744" s="4" t="s">
        <v>241</v>
      </c>
      <c r="DJ744" s="4" t="s">
        <v>241</v>
      </c>
      <c r="DK744" s="4" t="s">
        <v>241</v>
      </c>
      <c r="DL744" s="4" t="s">
        <v>241</v>
      </c>
      <c r="DP744" s="4" t="s">
        <v>241</v>
      </c>
      <c r="DQ744" s="4" t="s">
        <v>241</v>
      </c>
      <c r="DR744" s="4" t="s">
        <v>241</v>
      </c>
      <c r="DS744" s="4" t="s">
        <v>241</v>
      </c>
      <c r="DV744" s="4" t="s">
        <v>278</v>
      </c>
      <c r="DW744" s="4" t="s">
        <v>416</v>
      </c>
      <c r="HO744" s="4" t="s">
        <v>267</v>
      </c>
    </row>
    <row r="745" spans="1:223" ht="19.5" customHeight="1" x14ac:dyDescent="0.4">
      <c r="A745" s="4">
        <v>1</v>
      </c>
      <c r="B745" s="4" t="s">
        <v>239</v>
      </c>
      <c r="C745" s="4">
        <v>2419</v>
      </c>
      <c r="D745" s="4">
        <v>1</v>
      </c>
      <c r="E745" s="4">
        <v>1</v>
      </c>
      <c r="F745" s="4" t="s">
        <v>268</v>
      </c>
      <c r="G745" s="4" t="s">
        <v>241</v>
      </c>
      <c r="H745" s="4" t="s">
        <v>241</v>
      </c>
      <c r="I745" s="4" t="s">
        <v>272</v>
      </c>
      <c r="J745" s="4" t="s">
        <v>274</v>
      </c>
      <c r="K745" s="4" t="s">
        <v>251</v>
      </c>
      <c r="L745" s="4" t="s">
        <v>269</v>
      </c>
      <c r="M745" s="5" t="s">
        <v>1800</v>
      </c>
      <c r="N745" s="6">
        <f>5223</f>
        <v>5223</v>
      </c>
      <c r="O745" s="4" t="s">
        <v>265</v>
      </c>
      <c r="P745" s="6">
        <f>1</f>
        <v>1</v>
      </c>
      <c r="Q745" s="6">
        <f>0</f>
        <v>0</v>
      </c>
      <c r="S745" s="6">
        <f>0</f>
        <v>0</v>
      </c>
      <c r="T745" s="6">
        <f>1</f>
        <v>1</v>
      </c>
      <c r="U745" s="5" t="s">
        <v>245</v>
      </c>
      <c r="V745" s="4" t="s">
        <v>270</v>
      </c>
      <c r="W745" s="4" t="s">
        <v>271</v>
      </c>
      <c r="X745" s="4" t="s">
        <v>273</v>
      </c>
      <c r="Y745" s="4" t="s">
        <v>241</v>
      </c>
      <c r="AB745" s="4" t="s">
        <v>241</v>
      </c>
      <c r="AD745" s="5" t="s">
        <v>241</v>
      </c>
      <c r="AG745" s="5" t="s">
        <v>246</v>
      </c>
      <c r="AH745" s="4" t="s">
        <v>241</v>
      </c>
      <c r="AI745" s="4" t="s">
        <v>247</v>
      </c>
      <c r="AJ745" s="4" t="s">
        <v>248</v>
      </c>
      <c r="AZ745" s="4" t="s">
        <v>249</v>
      </c>
      <c r="BA745" s="4" t="s">
        <v>241</v>
      </c>
      <c r="BB745" s="4" t="s">
        <v>250</v>
      </c>
      <c r="BC745" s="4" t="s">
        <v>241</v>
      </c>
      <c r="BD745" s="4" t="s">
        <v>252</v>
      </c>
      <c r="BE745" s="4" t="s">
        <v>241</v>
      </c>
      <c r="BI745" s="4" t="s">
        <v>253</v>
      </c>
      <c r="BJ745" s="5" t="s">
        <v>246</v>
      </c>
      <c r="BK745" s="4" t="s">
        <v>254</v>
      </c>
      <c r="BL745" s="4" t="s">
        <v>255</v>
      </c>
      <c r="BM745" s="4" t="s">
        <v>241</v>
      </c>
      <c r="BN745" s="6">
        <f>0</f>
        <v>0</v>
      </c>
      <c r="BO745" s="6">
        <f>0</f>
        <v>0</v>
      </c>
      <c r="BP745" s="4" t="s">
        <v>256</v>
      </c>
      <c r="BQ745" s="4" t="s">
        <v>257</v>
      </c>
      <c r="CE745" s="4" t="s">
        <v>241</v>
      </c>
      <c r="CF745" s="4" t="s">
        <v>241</v>
      </c>
      <c r="CJ745" s="4" t="s">
        <v>276</v>
      </c>
      <c r="CK745" s="4" t="s">
        <v>259</v>
      </c>
      <c r="CL745" s="4" t="s">
        <v>241</v>
      </c>
      <c r="CO745" s="5" t="s">
        <v>260</v>
      </c>
      <c r="CP745" s="4" t="s">
        <v>241</v>
      </c>
      <c r="CQ745" s="4" t="s">
        <v>261</v>
      </c>
      <c r="CR745" s="4" t="s">
        <v>241</v>
      </c>
      <c r="CS745" s="4" t="s">
        <v>241</v>
      </c>
      <c r="CT745" s="4">
        <v>0</v>
      </c>
      <c r="CU745" s="4" t="s">
        <v>262</v>
      </c>
      <c r="CV745" s="4" t="s">
        <v>263</v>
      </c>
      <c r="CW745" s="4" t="s">
        <v>263</v>
      </c>
      <c r="CX745" s="4" t="s">
        <v>264</v>
      </c>
      <c r="DA745" s="6">
        <f>1</f>
        <v>1</v>
      </c>
      <c r="DC745" s="4" t="s">
        <v>277</v>
      </c>
      <c r="DD745" s="4" t="s">
        <v>241</v>
      </c>
      <c r="DF745" s="4" t="s">
        <v>277</v>
      </c>
      <c r="DG745" s="6">
        <f>5223</f>
        <v>5223</v>
      </c>
      <c r="DI745" s="4" t="s">
        <v>241</v>
      </c>
      <c r="DJ745" s="4" t="s">
        <v>241</v>
      </c>
      <c r="DK745" s="4" t="s">
        <v>241</v>
      </c>
      <c r="DL745" s="4" t="s">
        <v>241</v>
      </c>
      <c r="DP745" s="4" t="s">
        <v>241</v>
      </c>
      <c r="DQ745" s="4" t="s">
        <v>241</v>
      </c>
      <c r="DR745" s="4" t="s">
        <v>241</v>
      </c>
      <c r="DS745" s="4" t="s">
        <v>241</v>
      </c>
      <c r="DV745" s="4" t="s">
        <v>278</v>
      </c>
      <c r="DW745" s="4" t="s">
        <v>388</v>
      </c>
      <c r="HO745" s="4" t="s">
        <v>267</v>
      </c>
    </row>
    <row r="746" spans="1:223" ht="19.5" customHeight="1" x14ac:dyDescent="0.4">
      <c r="A746" s="4">
        <v>1</v>
      </c>
      <c r="B746" s="4" t="s">
        <v>239</v>
      </c>
      <c r="C746" s="4">
        <v>2420</v>
      </c>
      <c r="D746" s="4">
        <v>1</v>
      </c>
      <c r="E746" s="4">
        <v>1</v>
      </c>
      <c r="F746" s="4" t="s">
        <v>268</v>
      </c>
      <c r="G746" s="4" t="s">
        <v>241</v>
      </c>
      <c r="H746" s="4" t="s">
        <v>241</v>
      </c>
      <c r="I746" s="4" t="s">
        <v>272</v>
      </c>
      <c r="J746" s="4" t="s">
        <v>274</v>
      </c>
      <c r="K746" s="4" t="s">
        <v>251</v>
      </c>
      <c r="L746" s="4" t="s">
        <v>269</v>
      </c>
      <c r="M746" s="5" t="s">
        <v>1799</v>
      </c>
      <c r="N746" s="6">
        <f>984</f>
        <v>984</v>
      </c>
      <c r="O746" s="4" t="s">
        <v>265</v>
      </c>
      <c r="P746" s="6">
        <f>1</f>
        <v>1</v>
      </c>
      <c r="Q746" s="6">
        <f>0</f>
        <v>0</v>
      </c>
      <c r="S746" s="6">
        <f>0</f>
        <v>0</v>
      </c>
      <c r="T746" s="6">
        <f>1</f>
        <v>1</v>
      </c>
      <c r="U746" s="5" t="s">
        <v>245</v>
      </c>
      <c r="V746" s="4" t="s">
        <v>270</v>
      </c>
      <c r="W746" s="4" t="s">
        <v>271</v>
      </c>
      <c r="X746" s="4" t="s">
        <v>273</v>
      </c>
      <c r="Y746" s="4" t="s">
        <v>241</v>
      </c>
      <c r="AB746" s="4" t="s">
        <v>241</v>
      </c>
      <c r="AD746" s="5" t="s">
        <v>241</v>
      </c>
      <c r="AG746" s="5" t="s">
        <v>246</v>
      </c>
      <c r="AH746" s="4" t="s">
        <v>241</v>
      </c>
      <c r="AI746" s="4" t="s">
        <v>247</v>
      </c>
      <c r="AJ746" s="4" t="s">
        <v>248</v>
      </c>
      <c r="AZ746" s="4" t="s">
        <v>249</v>
      </c>
      <c r="BA746" s="4" t="s">
        <v>241</v>
      </c>
      <c r="BB746" s="4" t="s">
        <v>250</v>
      </c>
      <c r="BC746" s="4" t="s">
        <v>241</v>
      </c>
      <c r="BD746" s="4" t="s">
        <v>252</v>
      </c>
      <c r="BE746" s="4" t="s">
        <v>241</v>
      </c>
      <c r="BI746" s="4" t="s">
        <v>253</v>
      </c>
      <c r="BJ746" s="5" t="s">
        <v>246</v>
      </c>
      <c r="BK746" s="4" t="s">
        <v>254</v>
      </c>
      <c r="BL746" s="4" t="s">
        <v>255</v>
      </c>
      <c r="BM746" s="4" t="s">
        <v>241</v>
      </c>
      <c r="BN746" s="6">
        <f>0</f>
        <v>0</v>
      </c>
      <c r="BO746" s="6">
        <f>0</f>
        <v>0</v>
      </c>
      <c r="BP746" s="4" t="s">
        <v>256</v>
      </c>
      <c r="BQ746" s="4" t="s">
        <v>257</v>
      </c>
      <c r="CE746" s="4" t="s">
        <v>241</v>
      </c>
      <c r="CF746" s="4" t="s">
        <v>241</v>
      </c>
      <c r="CJ746" s="4" t="s">
        <v>276</v>
      </c>
      <c r="CK746" s="4" t="s">
        <v>259</v>
      </c>
      <c r="CL746" s="4" t="s">
        <v>241</v>
      </c>
      <c r="CO746" s="5" t="s">
        <v>260</v>
      </c>
      <c r="CP746" s="4" t="s">
        <v>241</v>
      </c>
      <c r="CQ746" s="4" t="s">
        <v>261</v>
      </c>
      <c r="CR746" s="4" t="s">
        <v>241</v>
      </c>
      <c r="CS746" s="4" t="s">
        <v>241</v>
      </c>
      <c r="CT746" s="4">
        <v>0</v>
      </c>
      <c r="CU746" s="4" t="s">
        <v>262</v>
      </c>
      <c r="CV746" s="4" t="s">
        <v>263</v>
      </c>
      <c r="CW746" s="4" t="s">
        <v>263</v>
      </c>
      <c r="CX746" s="4" t="s">
        <v>264</v>
      </c>
      <c r="DA746" s="6">
        <f>1</f>
        <v>1</v>
      </c>
      <c r="DC746" s="4" t="s">
        <v>277</v>
      </c>
      <c r="DD746" s="4" t="s">
        <v>241</v>
      </c>
      <c r="DF746" s="4" t="s">
        <v>277</v>
      </c>
      <c r="DG746" s="6">
        <f>984</f>
        <v>984</v>
      </c>
      <c r="DI746" s="4" t="s">
        <v>241</v>
      </c>
      <c r="DJ746" s="4" t="s">
        <v>241</v>
      </c>
      <c r="DK746" s="4" t="s">
        <v>241</v>
      </c>
      <c r="DL746" s="4" t="s">
        <v>241</v>
      </c>
      <c r="DP746" s="4" t="s">
        <v>241</v>
      </c>
      <c r="DQ746" s="4" t="s">
        <v>241</v>
      </c>
      <c r="DR746" s="4" t="s">
        <v>241</v>
      </c>
      <c r="DS746" s="4" t="s">
        <v>241</v>
      </c>
      <c r="DV746" s="4" t="s">
        <v>278</v>
      </c>
      <c r="DW746" s="4" t="s">
        <v>327</v>
      </c>
      <c r="HO746" s="4" t="s">
        <v>267</v>
      </c>
    </row>
    <row r="747" spans="1:223" ht="19.5" customHeight="1" x14ac:dyDescent="0.4">
      <c r="A747" s="4">
        <v>1</v>
      </c>
      <c r="B747" s="4" t="s">
        <v>239</v>
      </c>
      <c r="C747" s="4">
        <v>2421</v>
      </c>
      <c r="D747" s="4">
        <v>1</v>
      </c>
      <c r="E747" s="4">
        <v>1</v>
      </c>
      <c r="F747" s="4" t="s">
        <v>268</v>
      </c>
      <c r="G747" s="4" t="s">
        <v>241</v>
      </c>
      <c r="H747" s="4" t="s">
        <v>241</v>
      </c>
      <c r="I747" s="4" t="s">
        <v>272</v>
      </c>
      <c r="J747" s="4" t="s">
        <v>274</v>
      </c>
      <c r="K747" s="4" t="s">
        <v>251</v>
      </c>
      <c r="L747" s="4" t="s">
        <v>269</v>
      </c>
      <c r="M747" s="5" t="s">
        <v>1798</v>
      </c>
      <c r="N747" s="6">
        <f>1409</f>
        <v>1409</v>
      </c>
      <c r="O747" s="4" t="s">
        <v>265</v>
      </c>
      <c r="P747" s="6">
        <f>1</f>
        <v>1</v>
      </c>
      <c r="Q747" s="6">
        <f>0</f>
        <v>0</v>
      </c>
      <c r="S747" s="6">
        <f>0</f>
        <v>0</v>
      </c>
      <c r="T747" s="6">
        <f>1</f>
        <v>1</v>
      </c>
      <c r="U747" s="5" t="s">
        <v>245</v>
      </c>
      <c r="V747" s="4" t="s">
        <v>270</v>
      </c>
      <c r="W747" s="4" t="s">
        <v>271</v>
      </c>
      <c r="X747" s="4" t="s">
        <v>273</v>
      </c>
      <c r="Y747" s="4" t="s">
        <v>241</v>
      </c>
      <c r="AB747" s="4" t="s">
        <v>241</v>
      </c>
      <c r="AD747" s="5" t="s">
        <v>241</v>
      </c>
      <c r="AG747" s="5" t="s">
        <v>246</v>
      </c>
      <c r="AH747" s="4" t="s">
        <v>241</v>
      </c>
      <c r="AI747" s="4" t="s">
        <v>247</v>
      </c>
      <c r="AJ747" s="4" t="s">
        <v>248</v>
      </c>
      <c r="AZ747" s="4" t="s">
        <v>249</v>
      </c>
      <c r="BA747" s="4" t="s">
        <v>241</v>
      </c>
      <c r="BB747" s="4" t="s">
        <v>250</v>
      </c>
      <c r="BC747" s="4" t="s">
        <v>241</v>
      </c>
      <c r="BD747" s="4" t="s">
        <v>252</v>
      </c>
      <c r="BE747" s="4" t="s">
        <v>241</v>
      </c>
      <c r="BI747" s="4" t="s">
        <v>253</v>
      </c>
      <c r="BJ747" s="5" t="s">
        <v>246</v>
      </c>
      <c r="BK747" s="4" t="s">
        <v>254</v>
      </c>
      <c r="BL747" s="4" t="s">
        <v>255</v>
      </c>
      <c r="BM747" s="4" t="s">
        <v>241</v>
      </c>
      <c r="BN747" s="6">
        <f>0</f>
        <v>0</v>
      </c>
      <c r="BO747" s="6">
        <f>0</f>
        <v>0</v>
      </c>
      <c r="BP747" s="4" t="s">
        <v>256</v>
      </c>
      <c r="BQ747" s="4" t="s">
        <v>257</v>
      </c>
      <c r="CE747" s="4" t="s">
        <v>241</v>
      </c>
      <c r="CF747" s="4" t="s">
        <v>241</v>
      </c>
      <c r="CJ747" s="4" t="s">
        <v>276</v>
      </c>
      <c r="CK747" s="4" t="s">
        <v>259</v>
      </c>
      <c r="CL747" s="4" t="s">
        <v>241</v>
      </c>
      <c r="CO747" s="5" t="s">
        <v>260</v>
      </c>
      <c r="CP747" s="4" t="s">
        <v>241</v>
      </c>
      <c r="CQ747" s="4" t="s">
        <v>261</v>
      </c>
      <c r="CR747" s="4" t="s">
        <v>241</v>
      </c>
      <c r="CS747" s="4" t="s">
        <v>241</v>
      </c>
      <c r="CT747" s="4">
        <v>0</v>
      </c>
      <c r="CU747" s="4" t="s">
        <v>262</v>
      </c>
      <c r="CV747" s="4" t="s">
        <v>263</v>
      </c>
      <c r="CW747" s="4" t="s">
        <v>263</v>
      </c>
      <c r="CX747" s="4" t="s">
        <v>264</v>
      </c>
      <c r="DA747" s="6">
        <f>1</f>
        <v>1</v>
      </c>
      <c r="DC747" s="4" t="s">
        <v>277</v>
      </c>
      <c r="DD747" s="4" t="s">
        <v>241</v>
      </c>
      <c r="DF747" s="4" t="s">
        <v>277</v>
      </c>
      <c r="DG747" s="6">
        <f>1409</f>
        <v>1409</v>
      </c>
      <c r="DI747" s="4" t="s">
        <v>241</v>
      </c>
      <c r="DJ747" s="4" t="s">
        <v>241</v>
      </c>
      <c r="DK747" s="4" t="s">
        <v>241</v>
      </c>
      <c r="DL747" s="4" t="s">
        <v>241</v>
      </c>
      <c r="DP747" s="4" t="s">
        <v>241</v>
      </c>
      <c r="DQ747" s="4" t="s">
        <v>241</v>
      </c>
      <c r="DR747" s="4" t="s">
        <v>241</v>
      </c>
      <c r="DS747" s="4" t="s">
        <v>241</v>
      </c>
      <c r="DV747" s="4" t="s">
        <v>278</v>
      </c>
      <c r="DW747" s="4" t="s">
        <v>748</v>
      </c>
      <c r="HO747" s="4" t="s">
        <v>267</v>
      </c>
    </row>
    <row r="748" spans="1:223" ht="19.5" customHeight="1" x14ac:dyDescent="0.4">
      <c r="A748" s="4">
        <v>1</v>
      </c>
      <c r="B748" s="4" t="s">
        <v>239</v>
      </c>
      <c r="C748" s="4">
        <v>2422</v>
      </c>
      <c r="D748" s="4">
        <v>1</v>
      </c>
      <c r="E748" s="4">
        <v>1</v>
      </c>
      <c r="F748" s="4" t="s">
        <v>268</v>
      </c>
      <c r="G748" s="4" t="s">
        <v>241</v>
      </c>
      <c r="H748" s="4" t="s">
        <v>241</v>
      </c>
      <c r="I748" s="4" t="s">
        <v>272</v>
      </c>
      <c r="J748" s="4" t="s">
        <v>274</v>
      </c>
      <c r="K748" s="4" t="s">
        <v>251</v>
      </c>
      <c r="L748" s="4" t="s">
        <v>269</v>
      </c>
      <c r="M748" s="5" t="s">
        <v>1797</v>
      </c>
      <c r="N748" s="6">
        <f>184</f>
        <v>184</v>
      </c>
      <c r="O748" s="4" t="s">
        <v>265</v>
      </c>
      <c r="P748" s="6">
        <f>1</f>
        <v>1</v>
      </c>
      <c r="Q748" s="6">
        <f>0</f>
        <v>0</v>
      </c>
      <c r="S748" s="6">
        <f>0</f>
        <v>0</v>
      </c>
      <c r="T748" s="6">
        <f>1</f>
        <v>1</v>
      </c>
      <c r="U748" s="5" t="s">
        <v>245</v>
      </c>
      <c r="V748" s="4" t="s">
        <v>270</v>
      </c>
      <c r="W748" s="4" t="s">
        <v>271</v>
      </c>
      <c r="X748" s="4" t="s">
        <v>273</v>
      </c>
      <c r="Y748" s="4" t="s">
        <v>241</v>
      </c>
      <c r="AB748" s="4" t="s">
        <v>241</v>
      </c>
      <c r="AD748" s="5" t="s">
        <v>241</v>
      </c>
      <c r="AG748" s="5" t="s">
        <v>246</v>
      </c>
      <c r="AH748" s="4" t="s">
        <v>241</v>
      </c>
      <c r="AI748" s="4" t="s">
        <v>247</v>
      </c>
      <c r="AJ748" s="4" t="s">
        <v>248</v>
      </c>
      <c r="AZ748" s="4" t="s">
        <v>249</v>
      </c>
      <c r="BA748" s="4" t="s">
        <v>241</v>
      </c>
      <c r="BB748" s="4" t="s">
        <v>250</v>
      </c>
      <c r="BC748" s="4" t="s">
        <v>241</v>
      </c>
      <c r="BD748" s="4" t="s">
        <v>252</v>
      </c>
      <c r="BE748" s="4" t="s">
        <v>241</v>
      </c>
      <c r="BI748" s="4" t="s">
        <v>253</v>
      </c>
      <c r="BJ748" s="5" t="s">
        <v>246</v>
      </c>
      <c r="BK748" s="4" t="s">
        <v>254</v>
      </c>
      <c r="BL748" s="4" t="s">
        <v>255</v>
      </c>
      <c r="BM748" s="4" t="s">
        <v>241</v>
      </c>
      <c r="BN748" s="6">
        <f>0</f>
        <v>0</v>
      </c>
      <c r="BO748" s="6">
        <f>0</f>
        <v>0</v>
      </c>
      <c r="BP748" s="4" t="s">
        <v>256</v>
      </c>
      <c r="BQ748" s="4" t="s">
        <v>257</v>
      </c>
      <c r="CE748" s="4" t="s">
        <v>241</v>
      </c>
      <c r="CF748" s="4" t="s">
        <v>241</v>
      </c>
      <c r="CJ748" s="4" t="s">
        <v>276</v>
      </c>
      <c r="CK748" s="4" t="s">
        <v>259</v>
      </c>
      <c r="CL748" s="4" t="s">
        <v>241</v>
      </c>
      <c r="CO748" s="5" t="s">
        <v>260</v>
      </c>
      <c r="CP748" s="4" t="s">
        <v>241</v>
      </c>
      <c r="CQ748" s="4" t="s">
        <v>261</v>
      </c>
      <c r="CR748" s="4" t="s">
        <v>241</v>
      </c>
      <c r="CS748" s="4" t="s">
        <v>241</v>
      </c>
      <c r="CT748" s="4">
        <v>0</v>
      </c>
      <c r="CU748" s="4" t="s">
        <v>262</v>
      </c>
      <c r="CV748" s="4" t="s">
        <v>263</v>
      </c>
      <c r="CW748" s="4" t="s">
        <v>263</v>
      </c>
      <c r="CX748" s="4" t="s">
        <v>264</v>
      </c>
      <c r="DA748" s="6">
        <f>1</f>
        <v>1</v>
      </c>
      <c r="DC748" s="4" t="s">
        <v>277</v>
      </c>
      <c r="DD748" s="4" t="s">
        <v>241</v>
      </c>
      <c r="DF748" s="4" t="s">
        <v>277</v>
      </c>
      <c r="DG748" s="6">
        <f>184</f>
        <v>184</v>
      </c>
      <c r="DI748" s="4" t="s">
        <v>241</v>
      </c>
      <c r="DJ748" s="4" t="s">
        <v>241</v>
      </c>
      <c r="DK748" s="4" t="s">
        <v>241</v>
      </c>
      <c r="DL748" s="4" t="s">
        <v>241</v>
      </c>
      <c r="DP748" s="4" t="s">
        <v>241</v>
      </c>
      <c r="DQ748" s="4" t="s">
        <v>241</v>
      </c>
      <c r="DR748" s="4" t="s">
        <v>241</v>
      </c>
      <c r="DS748" s="4" t="s">
        <v>241</v>
      </c>
      <c r="DV748" s="4" t="s">
        <v>278</v>
      </c>
      <c r="DW748" s="4" t="s">
        <v>719</v>
      </c>
      <c r="HO748" s="4" t="s">
        <v>267</v>
      </c>
    </row>
    <row r="749" spans="1:223" ht="19.5" customHeight="1" x14ac:dyDescent="0.4">
      <c r="A749" s="4">
        <v>1</v>
      </c>
      <c r="B749" s="4" t="s">
        <v>239</v>
      </c>
      <c r="C749" s="4">
        <v>2423</v>
      </c>
      <c r="D749" s="4">
        <v>1</v>
      </c>
      <c r="E749" s="4">
        <v>1</v>
      </c>
      <c r="F749" s="4" t="s">
        <v>268</v>
      </c>
      <c r="G749" s="4" t="s">
        <v>241</v>
      </c>
      <c r="H749" s="4" t="s">
        <v>241</v>
      </c>
      <c r="I749" s="4" t="s">
        <v>272</v>
      </c>
      <c r="J749" s="4" t="s">
        <v>274</v>
      </c>
      <c r="K749" s="4" t="s">
        <v>251</v>
      </c>
      <c r="L749" s="4" t="s">
        <v>269</v>
      </c>
      <c r="M749" s="5" t="s">
        <v>1796</v>
      </c>
      <c r="N749" s="6">
        <f>6453</f>
        <v>6453</v>
      </c>
      <c r="O749" s="4" t="s">
        <v>265</v>
      </c>
      <c r="P749" s="6">
        <f>1</f>
        <v>1</v>
      </c>
      <c r="Q749" s="6">
        <f>0</f>
        <v>0</v>
      </c>
      <c r="S749" s="6">
        <f>0</f>
        <v>0</v>
      </c>
      <c r="T749" s="6">
        <f>1</f>
        <v>1</v>
      </c>
      <c r="U749" s="5" t="s">
        <v>245</v>
      </c>
      <c r="V749" s="4" t="s">
        <v>270</v>
      </c>
      <c r="W749" s="4" t="s">
        <v>271</v>
      </c>
      <c r="X749" s="4" t="s">
        <v>273</v>
      </c>
      <c r="Y749" s="4" t="s">
        <v>241</v>
      </c>
      <c r="AB749" s="4" t="s">
        <v>241</v>
      </c>
      <c r="AD749" s="5" t="s">
        <v>241</v>
      </c>
      <c r="AG749" s="5" t="s">
        <v>246</v>
      </c>
      <c r="AH749" s="4" t="s">
        <v>241</v>
      </c>
      <c r="AI749" s="4" t="s">
        <v>247</v>
      </c>
      <c r="AJ749" s="4" t="s">
        <v>248</v>
      </c>
      <c r="AZ749" s="4" t="s">
        <v>249</v>
      </c>
      <c r="BA749" s="4" t="s">
        <v>241</v>
      </c>
      <c r="BB749" s="4" t="s">
        <v>250</v>
      </c>
      <c r="BC749" s="4" t="s">
        <v>241</v>
      </c>
      <c r="BD749" s="4" t="s">
        <v>252</v>
      </c>
      <c r="BE749" s="4" t="s">
        <v>241</v>
      </c>
      <c r="BI749" s="4" t="s">
        <v>253</v>
      </c>
      <c r="BJ749" s="5" t="s">
        <v>246</v>
      </c>
      <c r="BK749" s="4" t="s">
        <v>254</v>
      </c>
      <c r="BL749" s="4" t="s">
        <v>255</v>
      </c>
      <c r="BM749" s="4" t="s">
        <v>241</v>
      </c>
      <c r="BN749" s="6">
        <f>0</f>
        <v>0</v>
      </c>
      <c r="BO749" s="6">
        <f>0</f>
        <v>0</v>
      </c>
      <c r="BP749" s="4" t="s">
        <v>256</v>
      </c>
      <c r="BQ749" s="4" t="s">
        <v>257</v>
      </c>
      <c r="CE749" s="4" t="s">
        <v>241</v>
      </c>
      <c r="CF749" s="4" t="s">
        <v>241</v>
      </c>
      <c r="CJ749" s="4" t="s">
        <v>276</v>
      </c>
      <c r="CK749" s="4" t="s">
        <v>259</v>
      </c>
      <c r="CL749" s="4" t="s">
        <v>241</v>
      </c>
      <c r="CO749" s="5" t="s">
        <v>260</v>
      </c>
      <c r="CP749" s="4" t="s">
        <v>241</v>
      </c>
      <c r="CQ749" s="4" t="s">
        <v>261</v>
      </c>
      <c r="CR749" s="4" t="s">
        <v>241</v>
      </c>
      <c r="CS749" s="4" t="s">
        <v>241</v>
      </c>
      <c r="CT749" s="4">
        <v>0</v>
      </c>
      <c r="CU749" s="4" t="s">
        <v>262</v>
      </c>
      <c r="CV749" s="4" t="s">
        <v>263</v>
      </c>
      <c r="CW749" s="4" t="s">
        <v>263</v>
      </c>
      <c r="CX749" s="4" t="s">
        <v>264</v>
      </c>
      <c r="DA749" s="6">
        <f>1</f>
        <v>1</v>
      </c>
      <c r="DC749" s="4" t="s">
        <v>277</v>
      </c>
      <c r="DD749" s="4" t="s">
        <v>241</v>
      </c>
      <c r="DF749" s="4" t="s">
        <v>277</v>
      </c>
      <c r="DG749" s="6">
        <f>6453</f>
        <v>6453</v>
      </c>
      <c r="DI749" s="4" t="s">
        <v>241</v>
      </c>
      <c r="DJ749" s="4" t="s">
        <v>241</v>
      </c>
      <c r="DK749" s="4" t="s">
        <v>241</v>
      </c>
      <c r="DL749" s="4" t="s">
        <v>241</v>
      </c>
      <c r="DP749" s="4" t="s">
        <v>241</v>
      </c>
      <c r="DQ749" s="4" t="s">
        <v>241</v>
      </c>
      <c r="DR749" s="4" t="s">
        <v>241</v>
      </c>
      <c r="DS749" s="4" t="s">
        <v>241</v>
      </c>
      <c r="DV749" s="4" t="s">
        <v>278</v>
      </c>
      <c r="DW749" s="4" t="s">
        <v>690</v>
      </c>
      <c r="HO749" s="4" t="s">
        <v>267</v>
      </c>
    </row>
    <row r="750" spans="1:223" ht="19.5" customHeight="1" x14ac:dyDescent="0.4">
      <c r="A750" s="4">
        <v>1</v>
      </c>
      <c r="B750" s="4" t="s">
        <v>239</v>
      </c>
      <c r="C750" s="4">
        <v>2424</v>
      </c>
      <c r="D750" s="4">
        <v>1</v>
      </c>
      <c r="E750" s="4">
        <v>1</v>
      </c>
      <c r="F750" s="4" t="s">
        <v>268</v>
      </c>
      <c r="G750" s="4" t="s">
        <v>241</v>
      </c>
      <c r="H750" s="4" t="s">
        <v>241</v>
      </c>
      <c r="I750" s="4" t="s">
        <v>272</v>
      </c>
      <c r="J750" s="4" t="s">
        <v>274</v>
      </c>
      <c r="K750" s="4" t="s">
        <v>251</v>
      </c>
      <c r="L750" s="4" t="s">
        <v>269</v>
      </c>
      <c r="M750" s="5" t="s">
        <v>1935</v>
      </c>
      <c r="N750" s="6">
        <f>557</f>
        <v>557</v>
      </c>
      <c r="O750" s="4" t="s">
        <v>265</v>
      </c>
      <c r="P750" s="6">
        <f>1</f>
        <v>1</v>
      </c>
      <c r="Q750" s="6">
        <f>0</f>
        <v>0</v>
      </c>
      <c r="S750" s="6">
        <f>0</f>
        <v>0</v>
      </c>
      <c r="T750" s="6">
        <f>1</f>
        <v>1</v>
      </c>
      <c r="U750" s="5" t="s">
        <v>245</v>
      </c>
      <c r="V750" s="4" t="s">
        <v>270</v>
      </c>
      <c r="W750" s="4" t="s">
        <v>271</v>
      </c>
      <c r="X750" s="4" t="s">
        <v>273</v>
      </c>
      <c r="Y750" s="4" t="s">
        <v>241</v>
      </c>
      <c r="AB750" s="4" t="s">
        <v>241</v>
      </c>
      <c r="AD750" s="5" t="s">
        <v>241</v>
      </c>
      <c r="AG750" s="5" t="s">
        <v>246</v>
      </c>
      <c r="AH750" s="4" t="s">
        <v>241</v>
      </c>
      <c r="AI750" s="4" t="s">
        <v>247</v>
      </c>
      <c r="AJ750" s="4" t="s">
        <v>248</v>
      </c>
      <c r="AZ750" s="4" t="s">
        <v>249</v>
      </c>
      <c r="BA750" s="4" t="s">
        <v>241</v>
      </c>
      <c r="BB750" s="4" t="s">
        <v>250</v>
      </c>
      <c r="BC750" s="4" t="s">
        <v>241</v>
      </c>
      <c r="BD750" s="4" t="s">
        <v>252</v>
      </c>
      <c r="BE750" s="4" t="s">
        <v>241</v>
      </c>
      <c r="BI750" s="4" t="s">
        <v>253</v>
      </c>
      <c r="BJ750" s="5" t="s">
        <v>246</v>
      </c>
      <c r="BK750" s="4" t="s">
        <v>254</v>
      </c>
      <c r="BL750" s="4" t="s">
        <v>255</v>
      </c>
      <c r="BM750" s="4" t="s">
        <v>241</v>
      </c>
      <c r="BN750" s="6">
        <f>0</f>
        <v>0</v>
      </c>
      <c r="BO750" s="6">
        <f>0</f>
        <v>0</v>
      </c>
      <c r="BP750" s="4" t="s">
        <v>256</v>
      </c>
      <c r="BQ750" s="4" t="s">
        <v>257</v>
      </c>
      <c r="CE750" s="4" t="s">
        <v>241</v>
      </c>
      <c r="CF750" s="4" t="s">
        <v>241</v>
      </c>
      <c r="CJ750" s="4" t="s">
        <v>276</v>
      </c>
      <c r="CK750" s="4" t="s">
        <v>259</v>
      </c>
      <c r="CL750" s="4" t="s">
        <v>241</v>
      </c>
      <c r="CO750" s="5" t="s">
        <v>260</v>
      </c>
      <c r="CP750" s="4" t="s">
        <v>241</v>
      </c>
      <c r="CQ750" s="4" t="s">
        <v>261</v>
      </c>
      <c r="CR750" s="4" t="s">
        <v>241</v>
      </c>
      <c r="CS750" s="4" t="s">
        <v>241</v>
      </c>
      <c r="CT750" s="4">
        <v>0</v>
      </c>
      <c r="CU750" s="4" t="s">
        <v>262</v>
      </c>
      <c r="CV750" s="4" t="s">
        <v>263</v>
      </c>
      <c r="CW750" s="4" t="s">
        <v>263</v>
      </c>
      <c r="CX750" s="4" t="s">
        <v>264</v>
      </c>
      <c r="DA750" s="6">
        <f>1</f>
        <v>1</v>
      </c>
      <c r="DC750" s="4" t="s">
        <v>277</v>
      </c>
      <c r="DD750" s="4" t="s">
        <v>241</v>
      </c>
      <c r="DF750" s="4" t="s">
        <v>277</v>
      </c>
      <c r="DG750" s="6">
        <f>557</f>
        <v>557</v>
      </c>
      <c r="DI750" s="4" t="s">
        <v>241</v>
      </c>
      <c r="DJ750" s="4" t="s">
        <v>241</v>
      </c>
      <c r="DK750" s="4" t="s">
        <v>241</v>
      </c>
      <c r="DL750" s="4" t="s">
        <v>241</v>
      </c>
      <c r="DP750" s="4" t="s">
        <v>241</v>
      </c>
      <c r="DQ750" s="4" t="s">
        <v>241</v>
      </c>
      <c r="DR750" s="4" t="s">
        <v>241</v>
      </c>
      <c r="DS750" s="4" t="s">
        <v>241</v>
      </c>
      <c r="DV750" s="4" t="s">
        <v>278</v>
      </c>
      <c r="DW750" s="4" t="s">
        <v>628</v>
      </c>
      <c r="HO750" s="4" t="s">
        <v>267</v>
      </c>
    </row>
    <row r="751" spans="1:223" ht="19.5" customHeight="1" x14ac:dyDescent="0.4">
      <c r="A751" s="4">
        <v>1</v>
      </c>
      <c r="B751" s="4" t="s">
        <v>239</v>
      </c>
      <c r="C751" s="4">
        <v>2425</v>
      </c>
      <c r="D751" s="4">
        <v>1</v>
      </c>
      <c r="E751" s="4">
        <v>1</v>
      </c>
      <c r="F751" s="4" t="s">
        <v>268</v>
      </c>
      <c r="G751" s="4" t="s">
        <v>241</v>
      </c>
      <c r="H751" s="4" t="s">
        <v>241</v>
      </c>
      <c r="I751" s="4" t="s">
        <v>272</v>
      </c>
      <c r="J751" s="4" t="s">
        <v>274</v>
      </c>
      <c r="K751" s="4" t="s">
        <v>251</v>
      </c>
      <c r="L751" s="4" t="s">
        <v>269</v>
      </c>
      <c r="M751" s="5" t="s">
        <v>1795</v>
      </c>
      <c r="N751" s="6">
        <f>735</f>
        <v>735</v>
      </c>
      <c r="O751" s="4" t="s">
        <v>265</v>
      </c>
      <c r="P751" s="6">
        <f>1</f>
        <v>1</v>
      </c>
      <c r="Q751" s="6">
        <f>0</f>
        <v>0</v>
      </c>
      <c r="S751" s="6">
        <f>0</f>
        <v>0</v>
      </c>
      <c r="T751" s="6">
        <f>1</f>
        <v>1</v>
      </c>
      <c r="U751" s="5" t="s">
        <v>245</v>
      </c>
      <c r="V751" s="4" t="s">
        <v>270</v>
      </c>
      <c r="W751" s="4" t="s">
        <v>271</v>
      </c>
      <c r="X751" s="4" t="s">
        <v>273</v>
      </c>
      <c r="Y751" s="4" t="s">
        <v>241</v>
      </c>
      <c r="AB751" s="4" t="s">
        <v>241</v>
      </c>
      <c r="AD751" s="5" t="s">
        <v>241</v>
      </c>
      <c r="AG751" s="5" t="s">
        <v>246</v>
      </c>
      <c r="AH751" s="4" t="s">
        <v>241</v>
      </c>
      <c r="AI751" s="4" t="s">
        <v>247</v>
      </c>
      <c r="AJ751" s="4" t="s">
        <v>248</v>
      </c>
      <c r="AZ751" s="4" t="s">
        <v>249</v>
      </c>
      <c r="BA751" s="4" t="s">
        <v>241</v>
      </c>
      <c r="BB751" s="4" t="s">
        <v>250</v>
      </c>
      <c r="BC751" s="4" t="s">
        <v>241</v>
      </c>
      <c r="BD751" s="4" t="s">
        <v>252</v>
      </c>
      <c r="BE751" s="4" t="s">
        <v>241</v>
      </c>
      <c r="BI751" s="4" t="s">
        <v>253</v>
      </c>
      <c r="BJ751" s="5" t="s">
        <v>246</v>
      </c>
      <c r="BK751" s="4" t="s">
        <v>254</v>
      </c>
      <c r="BL751" s="4" t="s">
        <v>255</v>
      </c>
      <c r="BM751" s="4" t="s">
        <v>241</v>
      </c>
      <c r="BN751" s="6">
        <f>0</f>
        <v>0</v>
      </c>
      <c r="BO751" s="6">
        <f>0</f>
        <v>0</v>
      </c>
      <c r="BP751" s="4" t="s">
        <v>256</v>
      </c>
      <c r="BQ751" s="4" t="s">
        <v>257</v>
      </c>
      <c r="CE751" s="4" t="s">
        <v>241</v>
      </c>
      <c r="CF751" s="4" t="s">
        <v>241</v>
      </c>
      <c r="CJ751" s="4" t="s">
        <v>276</v>
      </c>
      <c r="CK751" s="4" t="s">
        <v>259</v>
      </c>
      <c r="CL751" s="4" t="s">
        <v>241</v>
      </c>
      <c r="CO751" s="5" t="s">
        <v>260</v>
      </c>
      <c r="CP751" s="4" t="s">
        <v>241</v>
      </c>
      <c r="CQ751" s="4" t="s">
        <v>261</v>
      </c>
      <c r="CR751" s="4" t="s">
        <v>241</v>
      </c>
      <c r="CS751" s="4" t="s">
        <v>241</v>
      </c>
      <c r="CT751" s="4">
        <v>0</v>
      </c>
      <c r="CU751" s="4" t="s">
        <v>262</v>
      </c>
      <c r="CV751" s="4" t="s">
        <v>263</v>
      </c>
      <c r="CW751" s="4" t="s">
        <v>263</v>
      </c>
      <c r="CX751" s="4" t="s">
        <v>264</v>
      </c>
      <c r="DA751" s="6">
        <f>1</f>
        <v>1</v>
      </c>
      <c r="DC751" s="4" t="s">
        <v>277</v>
      </c>
      <c r="DD751" s="4" t="s">
        <v>241</v>
      </c>
      <c r="DF751" s="4" t="s">
        <v>277</v>
      </c>
      <c r="DG751" s="6">
        <f>735</f>
        <v>735</v>
      </c>
      <c r="DI751" s="4" t="s">
        <v>241</v>
      </c>
      <c r="DJ751" s="4" t="s">
        <v>241</v>
      </c>
      <c r="DK751" s="4" t="s">
        <v>241</v>
      </c>
      <c r="DL751" s="4" t="s">
        <v>241</v>
      </c>
      <c r="DP751" s="4" t="s">
        <v>241</v>
      </c>
      <c r="DQ751" s="4" t="s">
        <v>241</v>
      </c>
      <c r="DR751" s="4" t="s">
        <v>241</v>
      </c>
      <c r="DS751" s="4" t="s">
        <v>241</v>
      </c>
      <c r="DV751" s="4" t="s">
        <v>278</v>
      </c>
      <c r="DW751" s="4" t="s">
        <v>597</v>
      </c>
      <c r="HO751" s="4" t="s">
        <v>267</v>
      </c>
    </row>
    <row r="752" spans="1:223" ht="19.5" customHeight="1" x14ac:dyDescent="0.4">
      <c r="A752" s="4">
        <v>1</v>
      </c>
      <c r="B752" s="4" t="s">
        <v>239</v>
      </c>
      <c r="C752" s="4">
        <v>2426</v>
      </c>
      <c r="D752" s="4">
        <v>1</v>
      </c>
      <c r="E752" s="4">
        <v>1</v>
      </c>
      <c r="F752" s="4" t="s">
        <v>268</v>
      </c>
      <c r="G752" s="4" t="s">
        <v>241</v>
      </c>
      <c r="H752" s="4" t="s">
        <v>241</v>
      </c>
      <c r="I752" s="4" t="s">
        <v>272</v>
      </c>
      <c r="J752" s="4" t="s">
        <v>274</v>
      </c>
      <c r="K752" s="4" t="s">
        <v>251</v>
      </c>
      <c r="L752" s="4" t="s">
        <v>269</v>
      </c>
      <c r="M752" s="5" t="s">
        <v>1790</v>
      </c>
      <c r="N752" s="6">
        <f>1183</f>
        <v>1183</v>
      </c>
      <c r="O752" s="4" t="s">
        <v>265</v>
      </c>
      <c r="P752" s="6">
        <f>1</f>
        <v>1</v>
      </c>
      <c r="Q752" s="6">
        <f>0</f>
        <v>0</v>
      </c>
      <c r="S752" s="6">
        <f>0</f>
        <v>0</v>
      </c>
      <c r="T752" s="6">
        <f>1</f>
        <v>1</v>
      </c>
      <c r="U752" s="5" t="s">
        <v>245</v>
      </c>
      <c r="V752" s="4" t="s">
        <v>270</v>
      </c>
      <c r="W752" s="4" t="s">
        <v>271</v>
      </c>
      <c r="X752" s="4" t="s">
        <v>273</v>
      </c>
      <c r="Y752" s="4" t="s">
        <v>241</v>
      </c>
      <c r="AB752" s="4" t="s">
        <v>241</v>
      </c>
      <c r="AD752" s="5" t="s">
        <v>241</v>
      </c>
      <c r="AG752" s="5" t="s">
        <v>246</v>
      </c>
      <c r="AH752" s="4" t="s">
        <v>241</v>
      </c>
      <c r="AI752" s="4" t="s">
        <v>247</v>
      </c>
      <c r="AJ752" s="4" t="s">
        <v>248</v>
      </c>
      <c r="AZ752" s="4" t="s">
        <v>249</v>
      </c>
      <c r="BA752" s="4" t="s">
        <v>241</v>
      </c>
      <c r="BB752" s="4" t="s">
        <v>250</v>
      </c>
      <c r="BC752" s="4" t="s">
        <v>241</v>
      </c>
      <c r="BD752" s="4" t="s">
        <v>252</v>
      </c>
      <c r="BE752" s="4" t="s">
        <v>241</v>
      </c>
      <c r="BI752" s="4" t="s">
        <v>253</v>
      </c>
      <c r="BJ752" s="5" t="s">
        <v>246</v>
      </c>
      <c r="BK752" s="4" t="s">
        <v>254</v>
      </c>
      <c r="BL752" s="4" t="s">
        <v>255</v>
      </c>
      <c r="BM752" s="4" t="s">
        <v>241</v>
      </c>
      <c r="BN752" s="6">
        <f>0</f>
        <v>0</v>
      </c>
      <c r="BO752" s="6">
        <f>0</f>
        <v>0</v>
      </c>
      <c r="BP752" s="4" t="s">
        <v>256</v>
      </c>
      <c r="BQ752" s="4" t="s">
        <v>257</v>
      </c>
      <c r="CE752" s="4" t="s">
        <v>241</v>
      </c>
      <c r="CF752" s="4" t="s">
        <v>241</v>
      </c>
      <c r="CJ752" s="4" t="s">
        <v>276</v>
      </c>
      <c r="CK752" s="4" t="s">
        <v>259</v>
      </c>
      <c r="CL752" s="4" t="s">
        <v>241</v>
      </c>
      <c r="CO752" s="5" t="s">
        <v>260</v>
      </c>
      <c r="CP752" s="4" t="s">
        <v>241</v>
      </c>
      <c r="CQ752" s="4" t="s">
        <v>261</v>
      </c>
      <c r="CR752" s="4" t="s">
        <v>241</v>
      </c>
      <c r="CS752" s="4" t="s">
        <v>241</v>
      </c>
      <c r="CT752" s="4">
        <v>0</v>
      </c>
      <c r="CU752" s="4" t="s">
        <v>262</v>
      </c>
      <c r="CV752" s="4" t="s">
        <v>263</v>
      </c>
      <c r="CW752" s="4" t="s">
        <v>263</v>
      </c>
      <c r="CX752" s="4" t="s">
        <v>264</v>
      </c>
      <c r="DA752" s="6">
        <f>1</f>
        <v>1</v>
      </c>
      <c r="DC752" s="4" t="s">
        <v>277</v>
      </c>
      <c r="DD752" s="4" t="s">
        <v>241</v>
      </c>
      <c r="DF752" s="4" t="s">
        <v>277</v>
      </c>
      <c r="DG752" s="6">
        <f>1183</f>
        <v>1183</v>
      </c>
      <c r="DH752" s="5" t="s">
        <v>1791</v>
      </c>
      <c r="DI752" s="4" t="s">
        <v>241</v>
      </c>
      <c r="DJ752" s="4" t="s">
        <v>241</v>
      </c>
      <c r="DK752" s="4" t="s">
        <v>241</v>
      </c>
      <c r="DL752" s="4" t="s">
        <v>241</v>
      </c>
      <c r="DP752" s="4" t="s">
        <v>241</v>
      </c>
      <c r="DQ752" s="4" t="s">
        <v>241</v>
      </c>
      <c r="DR752" s="4" t="s">
        <v>241</v>
      </c>
      <c r="DS752" s="4" t="s">
        <v>241</v>
      </c>
      <c r="DV752" s="4" t="s">
        <v>278</v>
      </c>
      <c r="DW752" s="4" t="s">
        <v>1792</v>
      </c>
      <c r="HO752" s="4" t="s">
        <v>267</v>
      </c>
    </row>
    <row r="753" spans="1:223" ht="19.5" customHeight="1" x14ac:dyDescent="0.4">
      <c r="A753" s="4">
        <v>1</v>
      </c>
      <c r="B753" s="4" t="s">
        <v>239</v>
      </c>
      <c r="C753" s="4">
        <v>2427</v>
      </c>
      <c r="D753" s="4">
        <v>1</v>
      </c>
      <c r="E753" s="4">
        <v>1</v>
      </c>
      <c r="F753" s="4" t="s">
        <v>268</v>
      </c>
      <c r="G753" s="4" t="s">
        <v>241</v>
      </c>
      <c r="H753" s="4" t="s">
        <v>241</v>
      </c>
      <c r="I753" s="4" t="s">
        <v>272</v>
      </c>
      <c r="J753" s="4" t="s">
        <v>274</v>
      </c>
      <c r="K753" s="4" t="s">
        <v>251</v>
      </c>
      <c r="L753" s="4" t="s">
        <v>269</v>
      </c>
      <c r="M753" s="5" t="s">
        <v>1788</v>
      </c>
      <c r="N753" s="6">
        <f>10107</f>
        <v>10107</v>
      </c>
      <c r="O753" s="4" t="s">
        <v>265</v>
      </c>
      <c r="P753" s="6">
        <f>1</f>
        <v>1</v>
      </c>
      <c r="Q753" s="6">
        <f>0</f>
        <v>0</v>
      </c>
      <c r="S753" s="6">
        <f>0</f>
        <v>0</v>
      </c>
      <c r="T753" s="6">
        <f>1</f>
        <v>1</v>
      </c>
      <c r="U753" s="5" t="s">
        <v>245</v>
      </c>
      <c r="V753" s="4" t="s">
        <v>270</v>
      </c>
      <c r="W753" s="4" t="s">
        <v>271</v>
      </c>
      <c r="X753" s="4" t="s">
        <v>273</v>
      </c>
      <c r="Y753" s="4" t="s">
        <v>241</v>
      </c>
      <c r="AB753" s="4" t="s">
        <v>241</v>
      </c>
      <c r="AD753" s="5" t="s">
        <v>241</v>
      </c>
      <c r="AG753" s="5" t="s">
        <v>246</v>
      </c>
      <c r="AH753" s="4" t="s">
        <v>241</v>
      </c>
      <c r="AI753" s="4" t="s">
        <v>247</v>
      </c>
      <c r="AJ753" s="4" t="s">
        <v>248</v>
      </c>
      <c r="AZ753" s="4" t="s">
        <v>249</v>
      </c>
      <c r="BA753" s="4" t="s">
        <v>241</v>
      </c>
      <c r="BB753" s="4" t="s">
        <v>250</v>
      </c>
      <c r="BC753" s="4" t="s">
        <v>241</v>
      </c>
      <c r="BD753" s="4" t="s">
        <v>252</v>
      </c>
      <c r="BE753" s="4" t="s">
        <v>241</v>
      </c>
      <c r="BI753" s="4" t="s">
        <v>253</v>
      </c>
      <c r="BJ753" s="5" t="s">
        <v>246</v>
      </c>
      <c r="BK753" s="4" t="s">
        <v>254</v>
      </c>
      <c r="BL753" s="4" t="s">
        <v>255</v>
      </c>
      <c r="BM753" s="4" t="s">
        <v>241</v>
      </c>
      <c r="BN753" s="6">
        <f>0</f>
        <v>0</v>
      </c>
      <c r="BO753" s="6">
        <f>0</f>
        <v>0</v>
      </c>
      <c r="BP753" s="4" t="s">
        <v>256</v>
      </c>
      <c r="BQ753" s="4" t="s">
        <v>257</v>
      </c>
      <c r="CE753" s="4" t="s">
        <v>241</v>
      </c>
      <c r="CF753" s="4" t="s">
        <v>241</v>
      </c>
      <c r="CJ753" s="4" t="s">
        <v>276</v>
      </c>
      <c r="CK753" s="4" t="s">
        <v>259</v>
      </c>
      <c r="CL753" s="4" t="s">
        <v>241</v>
      </c>
      <c r="CO753" s="5" t="s">
        <v>260</v>
      </c>
      <c r="CP753" s="4" t="s">
        <v>241</v>
      </c>
      <c r="CQ753" s="4" t="s">
        <v>261</v>
      </c>
      <c r="CR753" s="4" t="s">
        <v>241</v>
      </c>
      <c r="CS753" s="4" t="s">
        <v>241</v>
      </c>
      <c r="CT753" s="4">
        <v>0</v>
      </c>
      <c r="CU753" s="4" t="s">
        <v>262</v>
      </c>
      <c r="CV753" s="4" t="s">
        <v>263</v>
      </c>
      <c r="CW753" s="4" t="s">
        <v>263</v>
      </c>
      <c r="CX753" s="4" t="s">
        <v>264</v>
      </c>
      <c r="DA753" s="6">
        <f>1</f>
        <v>1</v>
      </c>
      <c r="DC753" s="4" t="s">
        <v>277</v>
      </c>
      <c r="DD753" s="4" t="s">
        <v>241</v>
      </c>
      <c r="DF753" s="4" t="s">
        <v>277</v>
      </c>
      <c r="DG753" s="6">
        <f>10107</f>
        <v>10107</v>
      </c>
      <c r="DI753" s="4" t="s">
        <v>241</v>
      </c>
      <c r="DJ753" s="4" t="s">
        <v>241</v>
      </c>
      <c r="DK753" s="4" t="s">
        <v>241</v>
      </c>
      <c r="DL753" s="4" t="s">
        <v>241</v>
      </c>
      <c r="DP753" s="4" t="s">
        <v>241</v>
      </c>
      <c r="DQ753" s="4" t="s">
        <v>241</v>
      </c>
      <c r="DR753" s="4" t="s">
        <v>241</v>
      </c>
      <c r="DS753" s="4" t="s">
        <v>241</v>
      </c>
      <c r="DV753" s="4" t="s">
        <v>278</v>
      </c>
      <c r="DW753" s="4" t="s">
        <v>1789</v>
      </c>
      <c r="HO753" s="4" t="s">
        <v>267</v>
      </c>
    </row>
    <row r="754" spans="1:223" ht="19.5" customHeight="1" x14ac:dyDescent="0.4">
      <c r="A754" s="4">
        <v>1</v>
      </c>
      <c r="B754" s="4" t="s">
        <v>239</v>
      </c>
      <c r="C754" s="4">
        <v>2428</v>
      </c>
      <c r="D754" s="4">
        <v>1</v>
      </c>
      <c r="E754" s="4">
        <v>1</v>
      </c>
      <c r="F754" s="4" t="s">
        <v>268</v>
      </c>
      <c r="G754" s="4" t="s">
        <v>241</v>
      </c>
      <c r="H754" s="4" t="s">
        <v>241</v>
      </c>
      <c r="I754" s="4" t="s">
        <v>272</v>
      </c>
      <c r="J754" s="4" t="s">
        <v>274</v>
      </c>
      <c r="K754" s="4" t="s">
        <v>251</v>
      </c>
      <c r="L754" s="4" t="s">
        <v>269</v>
      </c>
      <c r="M754" s="5" t="s">
        <v>1786</v>
      </c>
      <c r="N754" s="6">
        <f>4734</f>
        <v>4734</v>
      </c>
      <c r="O754" s="4" t="s">
        <v>265</v>
      </c>
      <c r="P754" s="6">
        <f>1</f>
        <v>1</v>
      </c>
      <c r="Q754" s="6">
        <f>0</f>
        <v>0</v>
      </c>
      <c r="S754" s="6">
        <f>0</f>
        <v>0</v>
      </c>
      <c r="T754" s="6">
        <f>1</f>
        <v>1</v>
      </c>
      <c r="U754" s="5" t="s">
        <v>245</v>
      </c>
      <c r="V754" s="4" t="s">
        <v>270</v>
      </c>
      <c r="W754" s="4" t="s">
        <v>271</v>
      </c>
      <c r="X754" s="4" t="s">
        <v>273</v>
      </c>
      <c r="Y754" s="4" t="s">
        <v>241</v>
      </c>
      <c r="AB754" s="4" t="s">
        <v>241</v>
      </c>
      <c r="AD754" s="5" t="s">
        <v>241</v>
      </c>
      <c r="AG754" s="5" t="s">
        <v>246</v>
      </c>
      <c r="AH754" s="4" t="s">
        <v>241</v>
      </c>
      <c r="AI754" s="4" t="s">
        <v>247</v>
      </c>
      <c r="AJ754" s="4" t="s">
        <v>248</v>
      </c>
      <c r="AZ754" s="4" t="s">
        <v>249</v>
      </c>
      <c r="BA754" s="4" t="s">
        <v>241</v>
      </c>
      <c r="BB754" s="4" t="s">
        <v>250</v>
      </c>
      <c r="BC754" s="4" t="s">
        <v>241</v>
      </c>
      <c r="BD754" s="4" t="s">
        <v>252</v>
      </c>
      <c r="BE754" s="4" t="s">
        <v>241</v>
      </c>
      <c r="BI754" s="4" t="s">
        <v>253</v>
      </c>
      <c r="BJ754" s="5" t="s">
        <v>246</v>
      </c>
      <c r="BK754" s="4" t="s">
        <v>254</v>
      </c>
      <c r="BL754" s="4" t="s">
        <v>255</v>
      </c>
      <c r="BM754" s="4" t="s">
        <v>241</v>
      </c>
      <c r="BN754" s="6">
        <f>0</f>
        <v>0</v>
      </c>
      <c r="BO754" s="6">
        <f>0</f>
        <v>0</v>
      </c>
      <c r="BP754" s="4" t="s">
        <v>256</v>
      </c>
      <c r="BQ754" s="4" t="s">
        <v>257</v>
      </c>
      <c r="CE754" s="4" t="s">
        <v>241</v>
      </c>
      <c r="CF754" s="4" t="s">
        <v>241</v>
      </c>
      <c r="CJ754" s="4" t="s">
        <v>276</v>
      </c>
      <c r="CK754" s="4" t="s">
        <v>259</v>
      </c>
      <c r="CL754" s="4" t="s">
        <v>241</v>
      </c>
      <c r="CO754" s="5" t="s">
        <v>260</v>
      </c>
      <c r="CP754" s="4" t="s">
        <v>241</v>
      </c>
      <c r="CQ754" s="4" t="s">
        <v>261</v>
      </c>
      <c r="CR754" s="4" t="s">
        <v>241</v>
      </c>
      <c r="CS754" s="4" t="s">
        <v>241</v>
      </c>
      <c r="CT754" s="4">
        <v>0</v>
      </c>
      <c r="CU754" s="4" t="s">
        <v>262</v>
      </c>
      <c r="CV754" s="4" t="s">
        <v>263</v>
      </c>
      <c r="CW754" s="4" t="s">
        <v>263</v>
      </c>
      <c r="CX754" s="4" t="s">
        <v>264</v>
      </c>
      <c r="DA754" s="6">
        <f>1</f>
        <v>1</v>
      </c>
      <c r="DC754" s="4" t="s">
        <v>277</v>
      </c>
      <c r="DD754" s="4" t="s">
        <v>241</v>
      </c>
      <c r="DF754" s="4" t="s">
        <v>277</v>
      </c>
      <c r="DG754" s="6">
        <f>4734</f>
        <v>4734</v>
      </c>
      <c r="DI754" s="4" t="s">
        <v>241</v>
      </c>
      <c r="DJ754" s="4" t="s">
        <v>241</v>
      </c>
      <c r="DK754" s="4" t="s">
        <v>241</v>
      </c>
      <c r="DL754" s="4" t="s">
        <v>241</v>
      </c>
      <c r="DP754" s="4" t="s">
        <v>241</v>
      </c>
      <c r="DQ754" s="4" t="s">
        <v>241</v>
      </c>
      <c r="DR754" s="4" t="s">
        <v>241</v>
      </c>
      <c r="DS754" s="4" t="s">
        <v>241</v>
      </c>
      <c r="DV754" s="4" t="s">
        <v>278</v>
      </c>
      <c r="DW754" s="4" t="s">
        <v>1787</v>
      </c>
      <c r="HO754" s="4" t="s">
        <v>267</v>
      </c>
    </row>
    <row r="755" spans="1:223" ht="19.5" customHeight="1" x14ac:dyDescent="0.4">
      <c r="A755" s="4">
        <v>1</v>
      </c>
      <c r="B755" s="4" t="s">
        <v>239</v>
      </c>
      <c r="C755" s="4">
        <v>2429</v>
      </c>
      <c r="D755" s="4">
        <v>1</v>
      </c>
      <c r="E755" s="4">
        <v>1</v>
      </c>
      <c r="F755" s="4" t="s">
        <v>268</v>
      </c>
      <c r="G755" s="4" t="s">
        <v>241</v>
      </c>
      <c r="H755" s="4" t="s">
        <v>241</v>
      </c>
      <c r="I755" s="4" t="s">
        <v>272</v>
      </c>
      <c r="J755" s="4" t="s">
        <v>274</v>
      </c>
      <c r="K755" s="4" t="s">
        <v>251</v>
      </c>
      <c r="L755" s="4" t="s">
        <v>269</v>
      </c>
      <c r="M755" s="5" t="s">
        <v>1784</v>
      </c>
      <c r="N755" s="6">
        <f>1067</f>
        <v>1067</v>
      </c>
      <c r="O755" s="4" t="s">
        <v>265</v>
      </c>
      <c r="P755" s="6">
        <f>1</f>
        <v>1</v>
      </c>
      <c r="Q755" s="6">
        <f>0</f>
        <v>0</v>
      </c>
      <c r="S755" s="6">
        <f>0</f>
        <v>0</v>
      </c>
      <c r="T755" s="6">
        <f>1</f>
        <v>1</v>
      </c>
      <c r="U755" s="5" t="s">
        <v>245</v>
      </c>
      <c r="V755" s="4" t="s">
        <v>270</v>
      </c>
      <c r="W755" s="4" t="s">
        <v>271</v>
      </c>
      <c r="X755" s="4" t="s">
        <v>273</v>
      </c>
      <c r="Y755" s="4" t="s">
        <v>241</v>
      </c>
      <c r="AB755" s="4" t="s">
        <v>241</v>
      </c>
      <c r="AD755" s="5" t="s">
        <v>241</v>
      </c>
      <c r="AG755" s="5" t="s">
        <v>246</v>
      </c>
      <c r="AH755" s="4" t="s">
        <v>241</v>
      </c>
      <c r="AI755" s="4" t="s">
        <v>247</v>
      </c>
      <c r="AJ755" s="4" t="s">
        <v>248</v>
      </c>
      <c r="AZ755" s="4" t="s">
        <v>249</v>
      </c>
      <c r="BA755" s="4" t="s">
        <v>241</v>
      </c>
      <c r="BB755" s="4" t="s">
        <v>250</v>
      </c>
      <c r="BC755" s="4" t="s">
        <v>241</v>
      </c>
      <c r="BD755" s="4" t="s">
        <v>252</v>
      </c>
      <c r="BE755" s="4" t="s">
        <v>241</v>
      </c>
      <c r="BI755" s="4" t="s">
        <v>253</v>
      </c>
      <c r="BJ755" s="5" t="s">
        <v>246</v>
      </c>
      <c r="BK755" s="4" t="s">
        <v>254</v>
      </c>
      <c r="BL755" s="4" t="s">
        <v>255</v>
      </c>
      <c r="BM755" s="4" t="s">
        <v>241</v>
      </c>
      <c r="BN755" s="6">
        <f>0</f>
        <v>0</v>
      </c>
      <c r="BO755" s="6">
        <f>0</f>
        <v>0</v>
      </c>
      <c r="BP755" s="4" t="s">
        <v>256</v>
      </c>
      <c r="BQ755" s="4" t="s">
        <v>257</v>
      </c>
      <c r="CE755" s="4" t="s">
        <v>241</v>
      </c>
      <c r="CF755" s="4" t="s">
        <v>241</v>
      </c>
      <c r="CJ755" s="4" t="s">
        <v>276</v>
      </c>
      <c r="CK755" s="4" t="s">
        <v>259</v>
      </c>
      <c r="CL755" s="4" t="s">
        <v>241</v>
      </c>
      <c r="CO755" s="5" t="s">
        <v>260</v>
      </c>
      <c r="CP755" s="4" t="s">
        <v>241</v>
      </c>
      <c r="CQ755" s="4" t="s">
        <v>261</v>
      </c>
      <c r="CR755" s="4" t="s">
        <v>241</v>
      </c>
      <c r="CS755" s="4" t="s">
        <v>241</v>
      </c>
      <c r="CT755" s="4">
        <v>0</v>
      </c>
      <c r="CU755" s="4" t="s">
        <v>262</v>
      </c>
      <c r="CV755" s="4" t="s">
        <v>263</v>
      </c>
      <c r="CW755" s="4" t="s">
        <v>263</v>
      </c>
      <c r="CX755" s="4" t="s">
        <v>264</v>
      </c>
      <c r="DA755" s="6">
        <f>1</f>
        <v>1</v>
      </c>
      <c r="DC755" s="4" t="s">
        <v>277</v>
      </c>
      <c r="DD755" s="4" t="s">
        <v>241</v>
      </c>
      <c r="DF755" s="4" t="s">
        <v>277</v>
      </c>
      <c r="DG755" s="6">
        <f>1067</f>
        <v>1067</v>
      </c>
      <c r="DI755" s="4" t="s">
        <v>241</v>
      </c>
      <c r="DJ755" s="4" t="s">
        <v>241</v>
      </c>
      <c r="DK755" s="4" t="s">
        <v>241</v>
      </c>
      <c r="DL755" s="4" t="s">
        <v>241</v>
      </c>
      <c r="DP755" s="4" t="s">
        <v>241</v>
      </c>
      <c r="DQ755" s="4" t="s">
        <v>241</v>
      </c>
      <c r="DR755" s="4" t="s">
        <v>241</v>
      </c>
      <c r="DS755" s="4" t="s">
        <v>241</v>
      </c>
      <c r="DV755" s="4" t="s">
        <v>278</v>
      </c>
      <c r="DW755" s="4" t="s">
        <v>1785</v>
      </c>
      <c r="HO755" s="4" t="s">
        <v>267</v>
      </c>
    </row>
    <row r="756" spans="1:223" ht="19.5" customHeight="1" x14ac:dyDescent="0.4">
      <c r="A756" s="4">
        <v>1</v>
      </c>
      <c r="B756" s="4" t="s">
        <v>239</v>
      </c>
      <c r="C756" s="4">
        <v>2430</v>
      </c>
      <c r="D756" s="4">
        <v>1</v>
      </c>
      <c r="E756" s="4">
        <v>1</v>
      </c>
      <c r="F756" s="4" t="s">
        <v>268</v>
      </c>
      <c r="G756" s="4" t="s">
        <v>241</v>
      </c>
      <c r="H756" s="4" t="s">
        <v>241</v>
      </c>
      <c r="I756" s="4" t="s">
        <v>272</v>
      </c>
      <c r="J756" s="4" t="s">
        <v>274</v>
      </c>
      <c r="K756" s="4" t="s">
        <v>251</v>
      </c>
      <c r="L756" s="4" t="s">
        <v>269</v>
      </c>
      <c r="M756" s="5" t="s">
        <v>1780</v>
      </c>
      <c r="N756" s="6">
        <f>206</f>
        <v>206</v>
      </c>
      <c r="O756" s="4" t="s">
        <v>265</v>
      </c>
      <c r="P756" s="6">
        <f>1</f>
        <v>1</v>
      </c>
      <c r="Q756" s="6">
        <f>0</f>
        <v>0</v>
      </c>
      <c r="S756" s="6">
        <f>0</f>
        <v>0</v>
      </c>
      <c r="T756" s="6">
        <f>1</f>
        <v>1</v>
      </c>
      <c r="U756" s="5" t="s">
        <v>245</v>
      </c>
      <c r="V756" s="4" t="s">
        <v>270</v>
      </c>
      <c r="W756" s="4" t="s">
        <v>271</v>
      </c>
      <c r="X756" s="4" t="s">
        <v>273</v>
      </c>
      <c r="Y756" s="4" t="s">
        <v>241</v>
      </c>
      <c r="AB756" s="4" t="s">
        <v>241</v>
      </c>
      <c r="AD756" s="5" t="s">
        <v>241</v>
      </c>
      <c r="AG756" s="5" t="s">
        <v>246</v>
      </c>
      <c r="AH756" s="4" t="s">
        <v>241</v>
      </c>
      <c r="AI756" s="4" t="s">
        <v>247</v>
      </c>
      <c r="AJ756" s="4" t="s">
        <v>248</v>
      </c>
      <c r="AZ756" s="4" t="s">
        <v>249</v>
      </c>
      <c r="BA756" s="4" t="s">
        <v>241</v>
      </c>
      <c r="BB756" s="4" t="s">
        <v>250</v>
      </c>
      <c r="BC756" s="4" t="s">
        <v>241</v>
      </c>
      <c r="BD756" s="4" t="s">
        <v>252</v>
      </c>
      <c r="BE756" s="4" t="s">
        <v>241</v>
      </c>
      <c r="BI756" s="4" t="s">
        <v>253</v>
      </c>
      <c r="BJ756" s="5" t="s">
        <v>246</v>
      </c>
      <c r="BK756" s="4" t="s">
        <v>254</v>
      </c>
      <c r="BL756" s="4" t="s">
        <v>255</v>
      </c>
      <c r="BM756" s="4" t="s">
        <v>241</v>
      </c>
      <c r="BN756" s="6">
        <f>0</f>
        <v>0</v>
      </c>
      <c r="BO756" s="6">
        <f>0</f>
        <v>0</v>
      </c>
      <c r="BP756" s="4" t="s">
        <v>256</v>
      </c>
      <c r="BQ756" s="4" t="s">
        <v>257</v>
      </c>
      <c r="CE756" s="4" t="s">
        <v>241</v>
      </c>
      <c r="CF756" s="4" t="s">
        <v>241</v>
      </c>
      <c r="CJ756" s="4" t="s">
        <v>276</v>
      </c>
      <c r="CK756" s="4" t="s">
        <v>259</v>
      </c>
      <c r="CL756" s="4" t="s">
        <v>241</v>
      </c>
      <c r="CO756" s="5" t="s">
        <v>260</v>
      </c>
      <c r="CP756" s="4" t="s">
        <v>241</v>
      </c>
      <c r="CQ756" s="4" t="s">
        <v>261</v>
      </c>
      <c r="CR756" s="4" t="s">
        <v>241</v>
      </c>
      <c r="CS756" s="4" t="s">
        <v>241</v>
      </c>
      <c r="CT756" s="4">
        <v>0</v>
      </c>
      <c r="CU756" s="4" t="s">
        <v>262</v>
      </c>
      <c r="CV756" s="4" t="s">
        <v>263</v>
      </c>
      <c r="CW756" s="4" t="s">
        <v>263</v>
      </c>
      <c r="CX756" s="4" t="s">
        <v>264</v>
      </c>
      <c r="DA756" s="6">
        <f>1</f>
        <v>1</v>
      </c>
      <c r="DC756" s="4" t="s">
        <v>277</v>
      </c>
      <c r="DD756" s="4" t="s">
        <v>241</v>
      </c>
      <c r="DF756" s="4" t="s">
        <v>277</v>
      </c>
      <c r="DG756" s="6">
        <f>206</f>
        <v>206</v>
      </c>
      <c r="DI756" s="4" t="s">
        <v>241</v>
      </c>
      <c r="DJ756" s="4" t="s">
        <v>241</v>
      </c>
      <c r="DK756" s="4" t="s">
        <v>241</v>
      </c>
      <c r="DL756" s="4" t="s">
        <v>241</v>
      </c>
      <c r="DP756" s="4" t="s">
        <v>241</v>
      </c>
      <c r="DQ756" s="4" t="s">
        <v>241</v>
      </c>
      <c r="DR756" s="4" t="s">
        <v>241</v>
      </c>
      <c r="DS756" s="4" t="s">
        <v>241</v>
      </c>
      <c r="DV756" s="4" t="s">
        <v>278</v>
      </c>
      <c r="DW756" s="4" t="s">
        <v>1781</v>
      </c>
      <c r="HO756" s="4" t="s">
        <v>267</v>
      </c>
    </row>
    <row r="757" spans="1:223" ht="19.5" customHeight="1" x14ac:dyDescent="0.4">
      <c r="A757" s="4">
        <v>1</v>
      </c>
      <c r="B757" s="4" t="s">
        <v>239</v>
      </c>
      <c r="C757" s="4">
        <v>2431</v>
      </c>
      <c r="D757" s="4">
        <v>1</v>
      </c>
      <c r="E757" s="4">
        <v>1</v>
      </c>
      <c r="F757" s="4" t="s">
        <v>268</v>
      </c>
      <c r="G757" s="4" t="s">
        <v>241</v>
      </c>
      <c r="H757" s="4" t="s">
        <v>241</v>
      </c>
      <c r="I757" s="4" t="s">
        <v>272</v>
      </c>
      <c r="J757" s="4" t="s">
        <v>274</v>
      </c>
      <c r="K757" s="4" t="s">
        <v>251</v>
      </c>
      <c r="L757" s="4" t="s">
        <v>269</v>
      </c>
      <c r="M757" s="5" t="s">
        <v>2563</v>
      </c>
      <c r="N757" s="6">
        <f>4.17</f>
        <v>4.17</v>
      </c>
      <c r="O757" s="4" t="s">
        <v>265</v>
      </c>
      <c r="P757" s="6">
        <f>1</f>
        <v>1</v>
      </c>
      <c r="Q757" s="6">
        <f>0</f>
        <v>0</v>
      </c>
      <c r="S757" s="6">
        <f>0</f>
        <v>0</v>
      </c>
      <c r="T757" s="6">
        <f>1</f>
        <v>1</v>
      </c>
      <c r="U757" s="5" t="s">
        <v>245</v>
      </c>
      <c r="V757" s="4" t="s">
        <v>270</v>
      </c>
      <c r="W757" s="4" t="s">
        <v>271</v>
      </c>
      <c r="X757" s="4" t="s">
        <v>273</v>
      </c>
      <c r="Y757" s="4" t="s">
        <v>241</v>
      </c>
      <c r="AB757" s="4" t="s">
        <v>241</v>
      </c>
      <c r="AD757" s="5" t="s">
        <v>241</v>
      </c>
      <c r="AG757" s="5" t="s">
        <v>246</v>
      </c>
      <c r="AH757" s="4" t="s">
        <v>241</v>
      </c>
      <c r="AI757" s="4" t="s">
        <v>247</v>
      </c>
      <c r="AJ757" s="4" t="s">
        <v>248</v>
      </c>
      <c r="AZ757" s="4" t="s">
        <v>249</v>
      </c>
      <c r="BA757" s="4" t="s">
        <v>241</v>
      </c>
      <c r="BB757" s="4" t="s">
        <v>250</v>
      </c>
      <c r="BC757" s="4" t="s">
        <v>241</v>
      </c>
      <c r="BD757" s="4" t="s">
        <v>252</v>
      </c>
      <c r="BE757" s="4" t="s">
        <v>241</v>
      </c>
      <c r="BI757" s="4" t="s">
        <v>253</v>
      </c>
      <c r="BJ757" s="5" t="s">
        <v>246</v>
      </c>
      <c r="BK757" s="4" t="s">
        <v>254</v>
      </c>
      <c r="BL757" s="4" t="s">
        <v>255</v>
      </c>
      <c r="BM757" s="4" t="s">
        <v>241</v>
      </c>
      <c r="BN757" s="6">
        <f>0</f>
        <v>0</v>
      </c>
      <c r="BO757" s="6">
        <f>0</f>
        <v>0</v>
      </c>
      <c r="BP757" s="4" t="s">
        <v>256</v>
      </c>
      <c r="BQ757" s="4" t="s">
        <v>257</v>
      </c>
      <c r="CE757" s="4" t="s">
        <v>241</v>
      </c>
      <c r="CF757" s="4" t="s">
        <v>241</v>
      </c>
      <c r="CJ757" s="4" t="s">
        <v>276</v>
      </c>
      <c r="CK757" s="4" t="s">
        <v>259</v>
      </c>
      <c r="CL757" s="4" t="s">
        <v>241</v>
      </c>
      <c r="CO757" s="5" t="s">
        <v>260</v>
      </c>
      <c r="CP757" s="4" t="s">
        <v>241</v>
      </c>
      <c r="CQ757" s="4" t="s">
        <v>261</v>
      </c>
      <c r="CR757" s="4" t="s">
        <v>241</v>
      </c>
      <c r="CS757" s="4" t="s">
        <v>241</v>
      </c>
      <c r="CT757" s="4">
        <v>0</v>
      </c>
      <c r="CU757" s="4" t="s">
        <v>262</v>
      </c>
      <c r="CV757" s="4" t="s">
        <v>263</v>
      </c>
      <c r="CW757" s="4" t="s">
        <v>263</v>
      </c>
      <c r="CX757" s="4" t="s">
        <v>264</v>
      </c>
      <c r="DA757" s="6">
        <f>1</f>
        <v>1</v>
      </c>
      <c r="DC757" s="4" t="s">
        <v>277</v>
      </c>
      <c r="DD757" s="4" t="s">
        <v>241</v>
      </c>
      <c r="DF757" s="4" t="s">
        <v>277</v>
      </c>
      <c r="DG757" s="6">
        <f>4.17</f>
        <v>4.17</v>
      </c>
      <c r="DI757" s="4" t="s">
        <v>241</v>
      </c>
      <c r="DJ757" s="4" t="s">
        <v>241</v>
      </c>
      <c r="DK757" s="4" t="s">
        <v>241</v>
      </c>
      <c r="DL757" s="4" t="s">
        <v>241</v>
      </c>
      <c r="DP757" s="4" t="s">
        <v>241</v>
      </c>
      <c r="DQ757" s="4" t="s">
        <v>241</v>
      </c>
      <c r="DR757" s="4" t="s">
        <v>241</v>
      </c>
      <c r="DS757" s="4" t="s">
        <v>241</v>
      </c>
      <c r="DV757" s="4" t="s">
        <v>278</v>
      </c>
      <c r="DW757" s="4" t="s">
        <v>2564</v>
      </c>
      <c r="HO757" s="4" t="s">
        <v>267</v>
      </c>
    </row>
    <row r="758" spans="1:223" ht="19.5" customHeight="1" x14ac:dyDescent="0.4">
      <c r="A758" s="4">
        <v>1</v>
      </c>
      <c r="B758" s="4" t="s">
        <v>239</v>
      </c>
      <c r="C758" s="4">
        <v>2432</v>
      </c>
      <c r="D758" s="4">
        <v>1</v>
      </c>
      <c r="E758" s="4">
        <v>1</v>
      </c>
      <c r="F758" s="4" t="s">
        <v>268</v>
      </c>
      <c r="G758" s="4" t="s">
        <v>241</v>
      </c>
      <c r="H758" s="4" t="s">
        <v>241</v>
      </c>
      <c r="I758" s="4" t="s">
        <v>272</v>
      </c>
      <c r="J758" s="4" t="s">
        <v>274</v>
      </c>
      <c r="K758" s="4" t="s">
        <v>251</v>
      </c>
      <c r="L758" s="4" t="s">
        <v>269</v>
      </c>
      <c r="M758" s="5" t="s">
        <v>1778</v>
      </c>
      <c r="N758" s="6">
        <f>1979</f>
        <v>1979</v>
      </c>
      <c r="O758" s="4" t="s">
        <v>265</v>
      </c>
      <c r="P758" s="6">
        <f>1</f>
        <v>1</v>
      </c>
      <c r="Q758" s="6">
        <f>0</f>
        <v>0</v>
      </c>
      <c r="S758" s="6">
        <f>0</f>
        <v>0</v>
      </c>
      <c r="T758" s="6">
        <f>1</f>
        <v>1</v>
      </c>
      <c r="U758" s="5" t="s">
        <v>245</v>
      </c>
      <c r="V758" s="4" t="s">
        <v>270</v>
      </c>
      <c r="W758" s="4" t="s">
        <v>271</v>
      </c>
      <c r="X758" s="4" t="s">
        <v>273</v>
      </c>
      <c r="Y758" s="4" t="s">
        <v>241</v>
      </c>
      <c r="AB758" s="4" t="s">
        <v>241</v>
      </c>
      <c r="AD758" s="5" t="s">
        <v>241</v>
      </c>
      <c r="AG758" s="5" t="s">
        <v>246</v>
      </c>
      <c r="AH758" s="4" t="s">
        <v>241</v>
      </c>
      <c r="AI758" s="4" t="s">
        <v>247</v>
      </c>
      <c r="AJ758" s="4" t="s">
        <v>248</v>
      </c>
      <c r="AZ758" s="4" t="s">
        <v>249</v>
      </c>
      <c r="BA758" s="4" t="s">
        <v>241</v>
      </c>
      <c r="BB758" s="4" t="s">
        <v>250</v>
      </c>
      <c r="BC758" s="4" t="s">
        <v>241</v>
      </c>
      <c r="BD758" s="4" t="s">
        <v>252</v>
      </c>
      <c r="BE758" s="4" t="s">
        <v>241</v>
      </c>
      <c r="BI758" s="4" t="s">
        <v>253</v>
      </c>
      <c r="BJ758" s="5" t="s">
        <v>246</v>
      </c>
      <c r="BK758" s="4" t="s">
        <v>254</v>
      </c>
      <c r="BL758" s="4" t="s">
        <v>255</v>
      </c>
      <c r="BM758" s="4" t="s">
        <v>241</v>
      </c>
      <c r="BN758" s="6">
        <f>0</f>
        <v>0</v>
      </c>
      <c r="BO758" s="6">
        <f>0</f>
        <v>0</v>
      </c>
      <c r="BP758" s="4" t="s">
        <v>256</v>
      </c>
      <c r="BQ758" s="4" t="s">
        <v>257</v>
      </c>
      <c r="CE758" s="4" t="s">
        <v>241</v>
      </c>
      <c r="CF758" s="4" t="s">
        <v>241</v>
      </c>
      <c r="CJ758" s="4" t="s">
        <v>276</v>
      </c>
      <c r="CK758" s="4" t="s">
        <v>259</v>
      </c>
      <c r="CL758" s="4" t="s">
        <v>241</v>
      </c>
      <c r="CO758" s="5" t="s">
        <v>260</v>
      </c>
      <c r="CP758" s="4" t="s">
        <v>241</v>
      </c>
      <c r="CQ758" s="4" t="s">
        <v>261</v>
      </c>
      <c r="CR758" s="4" t="s">
        <v>241</v>
      </c>
      <c r="CS758" s="4" t="s">
        <v>241</v>
      </c>
      <c r="CT758" s="4">
        <v>0</v>
      </c>
      <c r="CU758" s="4" t="s">
        <v>262</v>
      </c>
      <c r="CV758" s="4" t="s">
        <v>263</v>
      </c>
      <c r="CW758" s="4" t="s">
        <v>263</v>
      </c>
      <c r="CX758" s="4" t="s">
        <v>264</v>
      </c>
      <c r="DA758" s="6">
        <f>1</f>
        <v>1</v>
      </c>
      <c r="DC758" s="4" t="s">
        <v>277</v>
      </c>
      <c r="DD758" s="4" t="s">
        <v>241</v>
      </c>
      <c r="DF758" s="4" t="s">
        <v>277</v>
      </c>
      <c r="DG758" s="6">
        <f>1979</f>
        <v>1979</v>
      </c>
      <c r="DI758" s="4" t="s">
        <v>241</v>
      </c>
      <c r="DJ758" s="4" t="s">
        <v>241</v>
      </c>
      <c r="DK758" s="4" t="s">
        <v>241</v>
      </c>
      <c r="DL758" s="4" t="s">
        <v>241</v>
      </c>
      <c r="DP758" s="4" t="s">
        <v>241</v>
      </c>
      <c r="DQ758" s="4" t="s">
        <v>241</v>
      </c>
      <c r="DR758" s="4" t="s">
        <v>241</v>
      </c>
      <c r="DS758" s="4" t="s">
        <v>241</v>
      </c>
      <c r="DV758" s="4" t="s">
        <v>278</v>
      </c>
      <c r="DW758" s="4" t="s">
        <v>1779</v>
      </c>
      <c r="HO758" s="4" t="s">
        <v>267</v>
      </c>
    </row>
    <row r="759" spans="1:223" ht="19.5" customHeight="1" x14ac:dyDescent="0.4">
      <c r="A759" s="4">
        <v>1</v>
      </c>
      <c r="B759" s="4" t="s">
        <v>239</v>
      </c>
      <c r="C759" s="4">
        <v>2433</v>
      </c>
      <c r="D759" s="4">
        <v>1</v>
      </c>
      <c r="E759" s="4">
        <v>1</v>
      </c>
      <c r="F759" s="4" t="s">
        <v>268</v>
      </c>
      <c r="G759" s="4" t="s">
        <v>241</v>
      </c>
      <c r="H759" s="4" t="s">
        <v>241</v>
      </c>
      <c r="I759" s="4" t="s">
        <v>272</v>
      </c>
      <c r="J759" s="4" t="s">
        <v>274</v>
      </c>
      <c r="K759" s="4" t="s">
        <v>251</v>
      </c>
      <c r="L759" s="4" t="s">
        <v>269</v>
      </c>
      <c r="M759" s="5" t="s">
        <v>1802</v>
      </c>
      <c r="N759" s="6">
        <f>566</f>
        <v>566</v>
      </c>
      <c r="O759" s="4" t="s">
        <v>265</v>
      </c>
      <c r="P759" s="6">
        <f>1</f>
        <v>1</v>
      </c>
      <c r="Q759" s="6">
        <f>0</f>
        <v>0</v>
      </c>
      <c r="S759" s="6">
        <f>0</f>
        <v>0</v>
      </c>
      <c r="T759" s="6">
        <f>1</f>
        <v>1</v>
      </c>
      <c r="U759" s="5" t="s">
        <v>245</v>
      </c>
      <c r="V759" s="4" t="s">
        <v>270</v>
      </c>
      <c r="W759" s="4" t="s">
        <v>271</v>
      </c>
      <c r="X759" s="4" t="s">
        <v>273</v>
      </c>
      <c r="Y759" s="4" t="s">
        <v>241</v>
      </c>
      <c r="AB759" s="4" t="s">
        <v>241</v>
      </c>
      <c r="AD759" s="5" t="s">
        <v>241</v>
      </c>
      <c r="AG759" s="5" t="s">
        <v>246</v>
      </c>
      <c r="AH759" s="4" t="s">
        <v>241</v>
      </c>
      <c r="AI759" s="4" t="s">
        <v>247</v>
      </c>
      <c r="AJ759" s="4" t="s">
        <v>248</v>
      </c>
      <c r="AZ759" s="4" t="s">
        <v>249</v>
      </c>
      <c r="BA759" s="4" t="s">
        <v>241</v>
      </c>
      <c r="BB759" s="4" t="s">
        <v>250</v>
      </c>
      <c r="BC759" s="4" t="s">
        <v>241</v>
      </c>
      <c r="BD759" s="4" t="s">
        <v>252</v>
      </c>
      <c r="BE759" s="4" t="s">
        <v>241</v>
      </c>
      <c r="BI759" s="4" t="s">
        <v>253</v>
      </c>
      <c r="BJ759" s="5" t="s">
        <v>246</v>
      </c>
      <c r="BK759" s="4" t="s">
        <v>254</v>
      </c>
      <c r="BL759" s="4" t="s">
        <v>255</v>
      </c>
      <c r="BM759" s="4" t="s">
        <v>241</v>
      </c>
      <c r="BN759" s="6">
        <f>0</f>
        <v>0</v>
      </c>
      <c r="BO759" s="6">
        <f>0</f>
        <v>0</v>
      </c>
      <c r="BP759" s="4" t="s">
        <v>256</v>
      </c>
      <c r="BQ759" s="4" t="s">
        <v>257</v>
      </c>
      <c r="CE759" s="4" t="s">
        <v>241</v>
      </c>
      <c r="CF759" s="4" t="s">
        <v>241</v>
      </c>
      <c r="CJ759" s="4" t="s">
        <v>276</v>
      </c>
      <c r="CK759" s="4" t="s">
        <v>259</v>
      </c>
      <c r="CL759" s="4" t="s">
        <v>241</v>
      </c>
      <c r="CO759" s="5" t="s">
        <v>260</v>
      </c>
      <c r="CP759" s="4" t="s">
        <v>241</v>
      </c>
      <c r="CQ759" s="4" t="s">
        <v>261</v>
      </c>
      <c r="CR759" s="4" t="s">
        <v>241</v>
      </c>
      <c r="CS759" s="4" t="s">
        <v>241</v>
      </c>
      <c r="CT759" s="4">
        <v>0</v>
      </c>
      <c r="CU759" s="4" t="s">
        <v>262</v>
      </c>
      <c r="CV759" s="4" t="s">
        <v>263</v>
      </c>
      <c r="CW759" s="4" t="s">
        <v>263</v>
      </c>
      <c r="CX759" s="4" t="s">
        <v>264</v>
      </c>
      <c r="DA759" s="6">
        <f>1</f>
        <v>1</v>
      </c>
      <c r="DC759" s="4" t="s">
        <v>277</v>
      </c>
      <c r="DD759" s="4" t="s">
        <v>241</v>
      </c>
      <c r="DF759" s="4" t="s">
        <v>277</v>
      </c>
      <c r="DG759" s="6">
        <f>566</f>
        <v>566</v>
      </c>
      <c r="DI759" s="4" t="s">
        <v>241</v>
      </c>
      <c r="DJ759" s="4" t="s">
        <v>241</v>
      </c>
      <c r="DK759" s="4" t="s">
        <v>241</v>
      </c>
      <c r="DL759" s="4" t="s">
        <v>241</v>
      </c>
      <c r="DP759" s="4" t="s">
        <v>241</v>
      </c>
      <c r="DQ759" s="4" t="s">
        <v>241</v>
      </c>
      <c r="DR759" s="4" t="s">
        <v>241</v>
      </c>
      <c r="DS759" s="4" t="s">
        <v>241</v>
      </c>
      <c r="DV759" s="4" t="s">
        <v>278</v>
      </c>
      <c r="DW759" s="4" t="s">
        <v>1803</v>
      </c>
      <c r="HO759" s="4" t="s">
        <v>267</v>
      </c>
    </row>
    <row r="760" spans="1:223" ht="19.5" customHeight="1" x14ac:dyDescent="0.4">
      <c r="A760" s="4">
        <v>1</v>
      </c>
      <c r="B760" s="4" t="s">
        <v>239</v>
      </c>
      <c r="C760" s="4">
        <v>2434</v>
      </c>
      <c r="D760" s="4">
        <v>1</v>
      </c>
      <c r="E760" s="4">
        <v>1</v>
      </c>
      <c r="F760" s="4" t="s">
        <v>268</v>
      </c>
      <c r="G760" s="4" t="s">
        <v>241</v>
      </c>
      <c r="H760" s="4" t="s">
        <v>241</v>
      </c>
      <c r="I760" s="4" t="s">
        <v>272</v>
      </c>
      <c r="J760" s="4" t="s">
        <v>274</v>
      </c>
      <c r="K760" s="4" t="s">
        <v>251</v>
      </c>
      <c r="L760" s="4" t="s">
        <v>269</v>
      </c>
      <c r="M760" s="5" t="s">
        <v>1776</v>
      </c>
      <c r="N760" s="6">
        <f>4077</f>
        <v>4077</v>
      </c>
      <c r="O760" s="4" t="s">
        <v>265</v>
      </c>
      <c r="P760" s="6">
        <f>1</f>
        <v>1</v>
      </c>
      <c r="Q760" s="6">
        <f>0</f>
        <v>0</v>
      </c>
      <c r="S760" s="6">
        <f>0</f>
        <v>0</v>
      </c>
      <c r="T760" s="6">
        <f>1</f>
        <v>1</v>
      </c>
      <c r="U760" s="5" t="s">
        <v>245</v>
      </c>
      <c r="V760" s="4" t="s">
        <v>270</v>
      </c>
      <c r="W760" s="4" t="s">
        <v>271</v>
      </c>
      <c r="X760" s="4" t="s">
        <v>273</v>
      </c>
      <c r="Y760" s="4" t="s">
        <v>241</v>
      </c>
      <c r="AB760" s="4" t="s">
        <v>241</v>
      </c>
      <c r="AD760" s="5" t="s">
        <v>241</v>
      </c>
      <c r="AG760" s="5" t="s">
        <v>246</v>
      </c>
      <c r="AH760" s="4" t="s">
        <v>241</v>
      </c>
      <c r="AI760" s="4" t="s">
        <v>247</v>
      </c>
      <c r="AJ760" s="4" t="s">
        <v>248</v>
      </c>
      <c r="AZ760" s="4" t="s">
        <v>249</v>
      </c>
      <c r="BA760" s="4" t="s">
        <v>241</v>
      </c>
      <c r="BB760" s="4" t="s">
        <v>250</v>
      </c>
      <c r="BC760" s="4" t="s">
        <v>241</v>
      </c>
      <c r="BD760" s="4" t="s">
        <v>252</v>
      </c>
      <c r="BE760" s="4" t="s">
        <v>241</v>
      </c>
      <c r="BI760" s="4" t="s">
        <v>253</v>
      </c>
      <c r="BJ760" s="5" t="s">
        <v>246</v>
      </c>
      <c r="BK760" s="4" t="s">
        <v>254</v>
      </c>
      <c r="BL760" s="4" t="s">
        <v>255</v>
      </c>
      <c r="BM760" s="4" t="s">
        <v>241</v>
      </c>
      <c r="BN760" s="6">
        <f>0</f>
        <v>0</v>
      </c>
      <c r="BO760" s="6">
        <f>0</f>
        <v>0</v>
      </c>
      <c r="BP760" s="4" t="s">
        <v>256</v>
      </c>
      <c r="BQ760" s="4" t="s">
        <v>257</v>
      </c>
      <c r="CE760" s="4" t="s">
        <v>241</v>
      </c>
      <c r="CF760" s="4" t="s">
        <v>241</v>
      </c>
      <c r="CJ760" s="4" t="s">
        <v>276</v>
      </c>
      <c r="CK760" s="4" t="s">
        <v>259</v>
      </c>
      <c r="CL760" s="4" t="s">
        <v>241</v>
      </c>
      <c r="CO760" s="5" t="s">
        <v>260</v>
      </c>
      <c r="CP760" s="4" t="s">
        <v>241</v>
      </c>
      <c r="CQ760" s="4" t="s">
        <v>261</v>
      </c>
      <c r="CR760" s="4" t="s">
        <v>241</v>
      </c>
      <c r="CS760" s="4" t="s">
        <v>241</v>
      </c>
      <c r="CT760" s="4">
        <v>0</v>
      </c>
      <c r="CU760" s="4" t="s">
        <v>262</v>
      </c>
      <c r="CV760" s="4" t="s">
        <v>263</v>
      </c>
      <c r="CW760" s="4" t="s">
        <v>263</v>
      </c>
      <c r="CX760" s="4" t="s">
        <v>264</v>
      </c>
      <c r="DA760" s="6">
        <f>1</f>
        <v>1</v>
      </c>
      <c r="DC760" s="4" t="s">
        <v>277</v>
      </c>
      <c r="DD760" s="4" t="s">
        <v>241</v>
      </c>
      <c r="DF760" s="4" t="s">
        <v>277</v>
      </c>
      <c r="DG760" s="6">
        <f>4077</f>
        <v>4077</v>
      </c>
      <c r="DI760" s="4" t="s">
        <v>241</v>
      </c>
      <c r="DJ760" s="4" t="s">
        <v>241</v>
      </c>
      <c r="DK760" s="4" t="s">
        <v>241</v>
      </c>
      <c r="DL760" s="4" t="s">
        <v>241</v>
      </c>
      <c r="DP760" s="4" t="s">
        <v>241</v>
      </c>
      <c r="DQ760" s="4" t="s">
        <v>241</v>
      </c>
      <c r="DR760" s="4" t="s">
        <v>241</v>
      </c>
      <c r="DS760" s="4" t="s">
        <v>241</v>
      </c>
      <c r="DV760" s="4" t="s">
        <v>278</v>
      </c>
      <c r="DW760" s="4" t="s">
        <v>1777</v>
      </c>
      <c r="HO760" s="4" t="s">
        <v>267</v>
      </c>
    </row>
    <row r="761" spans="1:223" ht="19.5" customHeight="1" x14ac:dyDescent="0.4">
      <c r="A761" s="4">
        <v>1</v>
      </c>
      <c r="B761" s="4" t="s">
        <v>239</v>
      </c>
      <c r="C761" s="4">
        <v>2435</v>
      </c>
      <c r="D761" s="4">
        <v>1</v>
      </c>
      <c r="E761" s="4">
        <v>1</v>
      </c>
      <c r="F761" s="4" t="s">
        <v>268</v>
      </c>
      <c r="G761" s="4" t="s">
        <v>241</v>
      </c>
      <c r="H761" s="4" t="s">
        <v>241</v>
      </c>
      <c r="I761" s="4" t="s">
        <v>272</v>
      </c>
      <c r="J761" s="4" t="s">
        <v>274</v>
      </c>
      <c r="K761" s="4" t="s">
        <v>251</v>
      </c>
      <c r="L761" s="4" t="s">
        <v>269</v>
      </c>
      <c r="M761" s="5" t="s">
        <v>1774</v>
      </c>
      <c r="N761" s="6">
        <f>5549</f>
        <v>5549</v>
      </c>
      <c r="O761" s="4" t="s">
        <v>265</v>
      </c>
      <c r="P761" s="6">
        <f>1</f>
        <v>1</v>
      </c>
      <c r="Q761" s="6">
        <f>0</f>
        <v>0</v>
      </c>
      <c r="S761" s="6">
        <f>0</f>
        <v>0</v>
      </c>
      <c r="T761" s="6">
        <f>1</f>
        <v>1</v>
      </c>
      <c r="U761" s="5" t="s">
        <v>245</v>
      </c>
      <c r="V761" s="4" t="s">
        <v>270</v>
      </c>
      <c r="W761" s="4" t="s">
        <v>271</v>
      </c>
      <c r="X761" s="4" t="s">
        <v>273</v>
      </c>
      <c r="Y761" s="4" t="s">
        <v>241</v>
      </c>
      <c r="AB761" s="4" t="s">
        <v>241</v>
      </c>
      <c r="AD761" s="5" t="s">
        <v>241</v>
      </c>
      <c r="AG761" s="5" t="s">
        <v>246</v>
      </c>
      <c r="AH761" s="4" t="s">
        <v>241</v>
      </c>
      <c r="AI761" s="4" t="s">
        <v>247</v>
      </c>
      <c r="AJ761" s="4" t="s">
        <v>248</v>
      </c>
      <c r="AZ761" s="4" t="s">
        <v>249</v>
      </c>
      <c r="BA761" s="4" t="s">
        <v>241</v>
      </c>
      <c r="BB761" s="4" t="s">
        <v>250</v>
      </c>
      <c r="BC761" s="4" t="s">
        <v>241</v>
      </c>
      <c r="BD761" s="4" t="s">
        <v>252</v>
      </c>
      <c r="BE761" s="4" t="s">
        <v>241</v>
      </c>
      <c r="BI761" s="4" t="s">
        <v>253</v>
      </c>
      <c r="BJ761" s="5" t="s">
        <v>246</v>
      </c>
      <c r="BK761" s="4" t="s">
        <v>254</v>
      </c>
      <c r="BL761" s="4" t="s">
        <v>255</v>
      </c>
      <c r="BM761" s="4" t="s">
        <v>241</v>
      </c>
      <c r="BN761" s="6">
        <f>0</f>
        <v>0</v>
      </c>
      <c r="BO761" s="6">
        <f>0</f>
        <v>0</v>
      </c>
      <c r="BP761" s="4" t="s">
        <v>256</v>
      </c>
      <c r="BQ761" s="4" t="s">
        <v>257</v>
      </c>
      <c r="CE761" s="4" t="s">
        <v>241</v>
      </c>
      <c r="CF761" s="4" t="s">
        <v>241</v>
      </c>
      <c r="CJ761" s="4" t="s">
        <v>276</v>
      </c>
      <c r="CK761" s="4" t="s">
        <v>259</v>
      </c>
      <c r="CL761" s="4" t="s">
        <v>241</v>
      </c>
      <c r="CO761" s="5" t="s">
        <v>260</v>
      </c>
      <c r="CP761" s="4" t="s">
        <v>241</v>
      </c>
      <c r="CQ761" s="4" t="s">
        <v>261</v>
      </c>
      <c r="CR761" s="4" t="s">
        <v>241</v>
      </c>
      <c r="CS761" s="4" t="s">
        <v>241</v>
      </c>
      <c r="CT761" s="4">
        <v>0</v>
      </c>
      <c r="CU761" s="4" t="s">
        <v>262</v>
      </c>
      <c r="CV761" s="4" t="s">
        <v>263</v>
      </c>
      <c r="CW761" s="4" t="s">
        <v>263</v>
      </c>
      <c r="CX761" s="4" t="s">
        <v>264</v>
      </c>
      <c r="DA761" s="6">
        <f>1</f>
        <v>1</v>
      </c>
      <c r="DC761" s="4" t="s">
        <v>277</v>
      </c>
      <c r="DD761" s="4" t="s">
        <v>241</v>
      </c>
      <c r="DF761" s="4" t="s">
        <v>277</v>
      </c>
      <c r="DG761" s="6">
        <f>5549</f>
        <v>5549</v>
      </c>
      <c r="DI761" s="4" t="s">
        <v>241</v>
      </c>
      <c r="DJ761" s="4" t="s">
        <v>241</v>
      </c>
      <c r="DK761" s="4" t="s">
        <v>241</v>
      </c>
      <c r="DL761" s="4" t="s">
        <v>241</v>
      </c>
      <c r="DP761" s="4" t="s">
        <v>241</v>
      </c>
      <c r="DQ761" s="4" t="s">
        <v>241</v>
      </c>
      <c r="DR761" s="4" t="s">
        <v>241</v>
      </c>
      <c r="DS761" s="4" t="s">
        <v>241</v>
      </c>
      <c r="DV761" s="4" t="s">
        <v>278</v>
      </c>
      <c r="DW761" s="4" t="s">
        <v>1775</v>
      </c>
      <c r="HO761" s="4" t="s">
        <v>267</v>
      </c>
    </row>
    <row r="762" spans="1:223" ht="19.5" customHeight="1" x14ac:dyDescent="0.4">
      <c r="A762" s="4">
        <v>1</v>
      </c>
      <c r="B762" s="4" t="s">
        <v>239</v>
      </c>
      <c r="C762" s="4">
        <v>2436</v>
      </c>
      <c r="D762" s="4">
        <v>1</v>
      </c>
      <c r="E762" s="4">
        <v>1</v>
      </c>
      <c r="F762" s="4" t="s">
        <v>268</v>
      </c>
      <c r="G762" s="4" t="s">
        <v>241</v>
      </c>
      <c r="H762" s="4" t="s">
        <v>241</v>
      </c>
      <c r="I762" s="4" t="s">
        <v>272</v>
      </c>
      <c r="J762" s="4" t="s">
        <v>274</v>
      </c>
      <c r="K762" s="4" t="s">
        <v>251</v>
      </c>
      <c r="L762" s="4" t="s">
        <v>269</v>
      </c>
      <c r="M762" s="5" t="s">
        <v>1772</v>
      </c>
      <c r="N762" s="6">
        <f>4305</f>
        <v>4305</v>
      </c>
      <c r="O762" s="4" t="s">
        <v>265</v>
      </c>
      <c r="P762" s="6">
        <f>1</f>
        <v>1</v>
      </c>
      <c r="Q762" s="6">
        <f>0</f>
        <v>0</v>
      </c>
      <c r="S762" s="6">
        <f>0</f>
        <v>0</v>
      </c>
      <c r="T762" s="6">
        <f>1</f>
        <v>1</v>
      </c>
      <c r="U762" s="5" t="s">
        <v>245</v>
      </c>
      <c r="V762" s="4" t="s">
        <v>270</v>
      </c>
      <c r="W762" s="4" t="s">
        <v>271</v>
      </c>
      <c r="X762" s="4" t="s">
        <v>273</v>
      </c>
      <c r="Y762" s="4" t="s">
        <v>241</v>
      </c>
      <c r="AB762" s="4" t="s">
        <v>241</v>
      </c>
      <c r="AD762" s="5" t="s">
        <v>241</v>
      </c>
      <c r="AG762" s="5" t="s">
        <v>246</v>
      </c>
      <c r="AH762" s="4" t="s">
        <v>241</v>
      </c>
      <c r="AI762" s="4" t="s">
        <v>247</v>
      </c>
      <c r="AJ762" s="4" t="s">
        <v>248</v>
      </c>
      <c r="AZ762" s="4" t="s">
        <v>249</v>
      </c>
      <c r="BA762" s="4" t="s">
        <v>241</v>
      </c>
      <c r="BB762" s="4" t="s">
        <v>250</v>
      </c>
      <c r="BC762" s="4" t="s">
        <v>241</v>
      </c>
      <c r="BD762" s="4" t="s">
        <v>252</v>
      </c>
      <c r="BE762" s="4" t="s">
        <v>241</v>
      </c>
      <c r="BI762" s="4" t="s">
        <v>253</v>
      </c>
      <c r="BJ762" s="5" t="s">
        <v>246</v>
      </c>
      <c r="BK762" s="4" t="s">
        <v>254</v>
      </c>
      <c r="BL762" s="4" t="s">
        <v>255</v>
      </c>
      <c r="BM762" s="4" t="s">
        <v>241</v>
      </c>
      <c r="BN762" s="6">
        <f>0</f>
        <v>0</v>
      </c>
      <c r="BO762" s="6">
        <f>0</f>
        <v>0</v>
      </c>
      <c r="BP762" s="4" t="s">
        <v>256</v>
      </c>
      <c r="BQ762" s="4" t="s">
        <v>257</v>
      </c>
      <c r="CE762" s="4" t="s">
        <v>241</v>
      </c>
      <c r="CF762" s="4" t="s">
        <v>241</v>
      </c>
      <c r="CJ762" s="4" t="s">
        <v>276</v>
      </c>
      <c r="CK762" s="4" t="s">
        <v>259</v>
      </c>
      <c r="CL762" s="4" t="s">
        <v>241</v>
      </c>
      <c r="CO762" s="5" t="s">
        <v>260</v>
      </c>
      <c r="CP762" s="4" t="s">
        <v>241</v>
      </c>
      <c r="CQ762" s="4" t="s">
        <v>261</v>
      </c>
      <c r="CR762" s="4" t="s">
        <v>241</v>
      </c>
      <c r="CS762" s="4" t="s">
        <v>241</v>
      </c>
      <c r="CT762" s="4">
        <v>0</v>
      </c>
      <c r="CU762" s="4" t="s">
        <v>262</v>
      </c>
      <c r="CV762" s="4" t="s">
        <v>263</v>
      </c>
      <c r="CW762" s="4" t="s">
        <v>263</v>
      </c>
      <c r="CX762" s="4" t="s">
        <v>264</v>
      </c>
      <c r="DA762" s="6">
        <f>1</f>
        <v>1</v>
      </c>
      <c r="DC762" s="4" t="s">
        <v>277</v>
      </c>
      <c r="DD762" s="4" t="s">
        <v>241</v>
      </c>
      <c r="DF762" s="4" t="s">
        <v>277</v>
      </c>
      <c r="DG762" s="6">
        <f>4305</f>
        <v>4305</v>
      </c>
      <c r="DH762" s="5" t="s">
        <v>419</v>
      </c>
      <c r="DI762" s="4" t="s">
        <v>241</v>
      </c>
      <c r="DJ762" s="4" t="s">
        <v>241</v>
      </c>
      <c r="DK762" s="4" t="s">
        <v>241</v>
      </c>
      <c r="DL762" s="4" t="s">
        <v>241</v>
      </c>
      <c r="DP762" s="4" t="s">
        <v>241</v>
      </c>
      <c r="DQ762" s="4" t="s">
        <v>241</v>
      </c>
      <c r="DR762" s="4" t="s">
        <v>241</v>
      </c>
      <c r="DS762" s="4" t="s">
        <v>241</v>
      </c>
      <c r="DV762" s="4" t="s">
        <v>278</v>
      </c>
      <c r="DW762" s="4" t="s">
        <v>1773</v>
      </c>
      <c r="HO762" s="4" t="s">
        <v>267</v>
      </c>
    </row>
    <row r="763" spans="1:223" ht="19.5" customHeight="1" x14ac:dyDescent="0.4">
      <c r="A763" s="4">
        <v>1</v>
      </c>
      <c r="B763" s="4" t="s">
        <v>239</v>
      </c>
      <c r="C763" s="4">
        <v>2437</v>
      </c>
      <c r="D763" s="4">
        <v>1</v>
      </c>
      <c r="E763" s="4">
        <v>1</v>
      </c>
      <c r="F763" s="4" t="s">
        <v>268</v>
      </c>
      <c r="G763" s="4" t="s">
        <v>241</v>
      </c>
      <c r="H763" s="4" t="s">
        <v>241</v>
      </c>
      <c r="I763" s="4" t="s">
        <v>272</v>
      </c>
      <c r="J763" s="4" t="s">
        <v>274</v>
      </c>
      <c r="K763" s="4" t="s">
        <v>251</v>
      </c>
      <c r="L763" s="4" t="s">
        <v>269</v>
      </c>
      <c r="M763" s="5" t="s">
        <v>2075</v>
      </c>
      <c r="N763" s="6">
        <f>185</f>
        <v>185</v>
      </c>
      <c r="O763" s="4" t="s">
        <v>265</v>
      </c>
      <c r="P763" s="6">
        <f>1</f>
        <v>1</v>
      </c>
      <c r="Q763" s="6">
        <f>0</f>
        <v>0</v>
      </c>
      <c r="S763" s="6">
        <f>0</f>
        <v>0</v>
      </c>
      <c r="T763" s="6">
        <f>1</f>
        <v>1</v>
      </c>
      <c r="U763" s="5" t="s">
        <v>245</v>
      </c>
      <c r="V763" s="4" t="s">
        <v>270</v>
      </c>
      <c r="W763" s="4" t="s">
        <v>271</v>
      </c>
      <c r="X763" s="4" t="s">
        <v>273</v>
      </c>
      <c r="Y763" s="4" t="s">
        <v>241</v>
      </c>
      <c r="AB763" s="4" t="s">
        <v>241</v>
      </c>
      <c r="AD763" s="5" t="s">
        <v>241</v>
      </c>
      <c r="AG763" s="5" t="s">
        <v>246</v>
      </c>
      <c r="AH763" s="4" t="s">
        <v>241</v>
      </c>
      <c r="AI763" s="4" t="s">
        <v>247</v>
      </c>
      <c r="AJ763" s="4" t="s">
        <v>248</v>
      </c>
      <c r="AZ763" s="4" t="s">
        <v>249</v>
      </c>
      <c r="BA763" s="4" t="s">
        <v>241</v>
      </c>
      <c r="BB763" s="4" t="s">
        <v>250</v>
      </c>
      <c r="BC763" s="4" t="s">
        <v>241</v>
      </c>
      <c r="BD763" s="4" t="s">
        <v>252</v>
      </c>
      <c r="BE763" s="4" t="s">
        <v>241</v>
      </c>
      <c r="BI763" s="4" t="s">
        <v>253</v>
      </c>
      <c r="BJ763" s="5" t="s">
        <v>246</v>
      </c>
      <c r="BK763" s="4" t="s">
        <v>254</v>
      </c>
      <c r="BL763" s="4" t="s">
        <v>255</v>
      </c>
      <c r="BM763" s="4" t="s">
        <v>241</v>
      </c>
      <c r="BN763" s="6">
        <f>0</f>
        <v>0</v>
      </c>
      <c r="BO763" s="6">
        <f>0</f>
        <v>0</v>
      </c>
      <c r="BP763" s="4" t="s">
        <v>256</v>
      </c>
      <c r="BQ763" s="4" t="s">
        <v>257</v>
      </c>
      <c r="CE763" s="4" t="s">
        <v>241</v>
      </c>
      <c r="CF763" s="4" t="s">
        <v>241</v>
      </c>
      <c r="CJ763" s="4" t="s">
        <v>276</v>
      </c>
      <c r="CK763" s="4" t="s">
        <v>259</v>
      </c>
      <c r="CL763" s="4" t="s">
        <v>241</v>
      </c>
      <c r="CO763" s="5" t="s">
        <v>260</v>
      </c>
      <c r="CP763" s="4" t="s">
        <v>241</v>
      </c>
      <c r="CQ763" s="4" t="s">
        <v>261</v>
      </c>
      <c r="CR763" s="4" t="s">
        <v>241</v>
      </c>
      <c r="CS763" s="4" t="s">
        <v>241</v>
      </c>
      <c r="CT763" s="4">
        <v>0</v>
      </c>
      <c r="CU763" s="4" t="s">
        <v>262</v>
      </c>
      <c r="CV763" s="4" t="s">
        <v>263</v>
      </c>
      <c r="CW763" s="4" t="s">
        <v>263</v>
      </c>
      <c r="CX763" s="4" t="s">
        <v>264</v>
      </c>
      <c r="DA763" s="6">
        <f>1</f>
        <v>1</v>
      </c>
      <c r="DC763" s="4" t="s">
        <v>277</v>
      </c>
      <c r="DD763" s="4" t="s">
        <v>241</v>
      </c>
      <c r="DF763" s="4" t="s">
        <v>277</v>
      </c>
      <c r="DG763" s="6">
        <f>185</f>
        <v>185</v>
      </c>
      <c r="DH763" s="5" t="s">
        <v>419</v>
      </c>
      <c r="DI763" s="4" t="s">
        <v>241</v>
      </c>
      <c r="DJ763" s="4" t="s">
        <v>241</v>
      </c>
      <c r="DK763" s="4" t="s">
        <v>241</v>
      </c>
      <c r="DL763" s="4" t="s">
        <v>241</v>
      </c>
      <c r="DP763" s="4" t="s">
        <v>241</v>
      </c>
      <c r="DQ763" s="4" t="s">
        <v>241</v>
      </c>
      <c r="DR763" s="4" t="s">
        <v>241</v>
      </c>
      <c r="DS763" s="4" t="s">
        <v>241</v>
      </c>
      <c r="DV763" s="4" t="s">
        <v>278</v>
      </c>
      <c r="DW763" s="4" t="s">
        <v>2076</v>
      </c>
      <c r="HO763" s="4" t="s">
        <v>267</v>
      </c>
    </row>
    <row r="764" spans="1:223" ht="19.5" customHeight="1" x14ac:dyDescent="0.4">
      <c r="A764" s="4">
        <v>1</v>
      </c>
      <c r="B764" s="4" t="s">
        <v>239</v>
      </c>
      <c r="C764" s="4">
        <v>2438</v>
      </c>
      <c r="D764" s="4">
        <v>1</v>
      </c>
      <c r="E764" s="4">
        <v>1</v>
      </c>
      <c r="F764" s="4" t="s">
        <v>268</v>
      </c>
      <c r="G764" s="4" t="s">
        <v>241</v>
      </c>
      <c r="H764" s="4" t="s">
        <v>241</v>
      </c>
      <c r="I764" s="4" t="s">
        <v>272</v>
      </c>
      <c r="J764" s="4" t="s">
        <v>274</v>
      </c>
      <c r="K764" s="4" t="s">
        <v>251</v>
      </c>
      <c r="L764" s="4" t="s">
        <v>269</v>
      </c>
      <c r="M764" s="5" t="s">
        <v>1770</v>
      </c>
      <c r="N764" s="6">
        <f>176</f>
        <v>176</v>
      </c>
      <c r="O764" s="4" t="s">
        <v>265</v>
      </c>
      <c r="P764" s="6">
        <f>1</f>
        <v>1</v>
      </c>
      <c r="Q764" s="6">
        <f>0</f>
        <v>0</v>
      </c>
      <c r="S764" s="6">
        <f>0</f>
        <v>0</v>
      </c>
      <c r="T764" s="6">
        <f>1</f>
        <v>1</v>
      </c>
      <c r="U764" s="5" t="s">
        <v>245</v>
      </c>
      <c r="V764" s="4" t="s">
        <v>270</v>
      </c>
      <c r="W764" s="4" t="s">
        <v>271</v>
      </c>
      <c r="X764" s="4" t="s">
        <v>273</v>
      </c>
      <c r="Y764" s="4" t="s">
        <v>241</v>
      </c>
      <c r="AB764" s="4" t="s">
        <v>241</v>
      </c>
      <c r="AD764" s="5" t="s">
        <v>241</v>
      </c>
      <c r="AG764" s="5" t="s">
        <v>246</v>
      </c>
      <c r="AH764" s="4" t="s">
        <v>241</v>
      </c>
      <c r="AI764" s="4" t="s">
        <v>247</v>
      </c>
      <c r="AJ764" s="4" t="s">
        <v>248</v>
      </c>
      <c r="AZ764" s="4" t="s">
        <v>249</v>
      </c>
      <c r="BA764" s="4" t="s">
        <v>241</v>
      </c>
      <c r="BB764" s="4" t="s">
        <v>250</v>
      </c>
      <c r="BC764" s="4" t="s">
        <v>241</v>
      </c>
      <c r="BD764" s="4" t="s">
        <v>252</v>
      </c>
      <c r="BE764" s="4" t="s">
        <v>241</v>
      </c>
      <c r="BI764" s="4" t="s">
        <v>253</v>
      </c>
      <c r="BJ764" s="5" t="s">
        <v>246</v>
      </c>
      <c r="BK764" s="4" t="s">
        <v>254</v>
      </c>
      <c r="BL764" s="4" t="s">
        <v>255</v>
      </c>
      <c r="BM764" s="4" t="s">
        <v>241</v>
      </c>
      <c r="BN764" s="6">
        <f>0</f>
        <v>0</v>
      </c>
      <c r="BO764" s="6">
        <f>0</f>
        <v>0</v>
      </c>
      <c r="BP764" s="4" t="s">
        <v>256</v>
      </c>
      <c r="BQ764" s="4" t="s">
        <v>257</v>
      </c>
      <c r="CE764" s="4" t="s">
        <v>241</v>
      </c>
      <c r="CF764" s="4" t="s">
        <v>241</v>
      </c>
      <c r="CJ764" s="4" t="s">
        <v>276</v>
      </c>
      <c r="CK764" s="4" t="s">
        <v>259</v>
      </c>
      <c r="CL764" s="4" t="s">
        <v>241</v>
      </c>
      <c r="CO764" s="5" t="s">
        <v>260</v>
      </c>
      <c r="CP764" s="4" t="s">
        <v>241</v>
      </c>
      <c r="CQ764" s="4" t="s">
        <v>261</v>
      </c>
      <c r="CR764" s="4" t="s">
        <v>241</v>
      </c>
      <c r="CS764" s="4" t="s">
        <v>241</v>
      </c>
      <c r="CT764" s="4">
        <v>0</v>
      </c>
      <c r="CU764" s="4" t="s">
        <v>262</v>
      </c>
      <c r="CV764" s="4" t="s">
        <v>263</v>
      </c>
      <c r="CW764" s="4" t="s">
        <v>263</v>
      </c>
      <c r="CX764" s="4" t="s">
        <v>264</v>
      </c>
      <c r="DA764" s="6">
        <f>1</f>
        <v>1</v>
      </c>
      <c r="DC764" s="4" t="s">
        <v>277</v>
      </c>
      <c r="DD764" s="4" t="s">
        <v>241</v>
      </c>
      <c r="DF764" s="4" t="s">
        <v>277</v>
      </c>
      <c r="DG764" s="6">
        <f>176</f>
        <v>176</v>
      </c>
      <c r="DH764" s="5" t="s">
        <v>419</v>
      </c>
      <c r="DI764" s="4" t="s">
        <v>241</v>
      </c>
      <c r="DJ764" s="4" t="s">
        <v>241</v>
      </c>
      <c r="DK764" s="4" t="s">
        <v>241</v>
      </c>
      <c r="DL764" s="4" t="s">
        <v>241</v>
      </c>
      <c r="DP764" s="4" t="s">
        <v>241</v>
      </c>
      <c r="DQ764" s="4" t="s">
        <v>241</v>
      </c>
      <c r="DR764" s="4" t="s">
        <v>241</v>
      </c>
      <c r="DS764" s="4" t="s">
        <v>241</v>
      </c>
      <c r="DV764" s="4" t="s">
        <v>278</v>
      </c>
      <c r="DW764" s="4" t="s">
        <v>1771</v>
      </c>
      <c r="HO764" s="4" t="s">
        <v>267</v>
      </c>
    </row>
    <row r="765" spans="1:223" ht="19.5" customHeight="1" x14ac:dyDescent="0.4">
      <c r="A765" s="4">
        <v>1</v>
      </c>
      <c r="B765" s="4" t="s">
        <v>239</v>
      </c>
      <c r="C765" s="4">
        <v>2439</v>
      </c>
      <c r="D765" s="4">
        <v>1</v>
      </c>
      <c r="E765" s="4">
        <v>1</v>
      </c>
      <c r="F765" s="4" t="s">
        <v>268</v>
      </c>
      <c r="G765" s="4" t="s">
        <v>241</v>
      </c>
      <c r="H765" s="4" t="s">
        <v>241</v>
      </c>
      <c r="I765" s="4" t="s">
        <v>272</v>
      </c>
      <c r="J765" s="4" t="s">
        <v>274</v>
      </c>
      <c r="K765" s="4" t="s">
        <v>251</v>
      </c>
      <c r="L765" s="4" t="s">
        <v>269</v>
      </c>
      <c r="M765" s="5" t="s">
        <v>1768</v>
      </c>
      <c r="N765" s="6">
        <f>217</f>
        <v>217</v>
      </c>
      <c r="O765" s="4" t="s">
        <v>265</v>
      </c>
      <c r="P765" s="6">
        <f>1</f>
        <v>1</v>
      </c>
      <c r="Q765" s="6">
        <f>0</f>
        <v>0</v>
      </c>
      <c r="S765" s="6">
        <f>0</f>
        <v>0</v>
      </c>
      <c r="T765" s="6">
        <f>1</f>
        <v>1</v>
      </c>
      <c r="U765" s="5" t="s">
        <v>245</v>
      </c>
      <c r="V765" s="4" t="s">
        <v>270</v>
      </c>
      <c r="W765" s="4" t="s">
        <v>271</v>
      </c>
      <c r="X765" s="4" t="s">
        <v>273</v>
      </c>
      <c r="Y765" s="4" t="s">
        <v>241</v>
      </c>
      <c r="AB765" s="4" t="s">
        <v>241</v>
      </c>
      <c r="AD765" s="5" t="s">
        <v>241</v>
      </c>
      <c r="AG765" s="5" t="s">
        <v>246</v>
      </c>
      <c r="AH765" s="4" t="s">
        <v>241</v>
      </c>
      <c r="AI765" s="4" t="s">
        <v>247</v>
      </c>
      <c r="AJ765" s="4" t="s">
        <v>248</v>
      </c>
      <c r="AZ765" s="4" t="s">
        <v>249</v>
      </c>
      <c r="BA765" s="4" t="s">
        <v>241</v>
      </c>
      <c r="BB765" s="4" t="s">
        <v>250</v>
      </c>
      <c r="BC765" s="4" t="s">
        <v>241</v>
      </c>
      <c r="BD765" s="4" t="s">
        <v>252</v>
      </c>
      <c r="BE765" s="4" t="s">
        <v>241</v>
      </c>
      <c r="BI765" s="4" t="s">
        <v>253</v>
      </c>
      <c r="BJ765" s="5" t="s">
        <v>246</v>
      </c>
      <c r="BK765" s="4" t="s">
        <v>254</v>
      </c>
      <c r="BL765" s="4" t="s">
        <v>255</v>
      </c>
      <c r="BM765" s="4" t="s">
        <v>241</v>
      </c>
      <c r="BN765" s="6">
        <f>0</f>
        <v>0</v>
      </c>
      <c r="BO765" s="6">
        <f>0</f>
        <v>0</v>
      </c>
      <c r="BP765" s="4" t="s">
        <v>256</v>
      </c>
      <c r="BQ765" s="4" t="s">
        <v>257</v>
      </c>
      <c r="CE765" s="4" t="s">
        <v>241</v>
      </c>
      <c r="CF765" s="4" t="s">
        <v>241</v>
      </c>
      <c r="CJ765" s="4" t="s">
        <v>276</v>
      </c>
      <c r="CK765" s="4" t="s">
        <v>259</v>
      </c>
      <c r="CL765" s="4" t="s">
        <v>241</v>
      </c>
      <c r="CO765" s="5" t="s">
        <v>260</v>
      </c>
      <c r="CP765" s="4" t="s">
        <v>241</v>
      </c>
      <c r="CQ765" s="4" t="s">
        <v>261</v>
      </c>
      <c r="CR765" s="4" t="s">
        <v>241</v>
      </c>
      <c r="CS765" s="4" t="s">
        <v>241</v>
      </c>
      <c r="CT765" s="4">
        <v>0</v>
      </c>
      <c r="CU765" s="4" t="s">
        <v>262</v>
      </c>
      <c r="CV765" s="4" t="s">
        <v>263</v>
      </c>
      <c r="CW765" s="4" t="s">
        <v>263</v>
      </c>
      <c r="CX765" s="4" t="s">
        <v>264</v>
      </c>
      <c r="DA765" s="6">
        <f>1</f>
        <v>1</v>
      </c>
      <c r="DC765" s="4" t="s">
        <v>277</v>
      </c>
      <c r="DD765" s="4" t="s">
        <v>241</v>
      </c>
      <c r="DF765" s="4" t="s">
        <v>277</v>
      </c>
      <c r="DG765" s="6">
        <f>217</f>
        <v>217</v>
      </c>
      <c r="DH765" s="5" t="s">
        <v>419</v>
      </c>
      <c r="DI765" s="4" t="s">
        <v>241</v>
      </c>
      <c r="DJ765" s="4" t="s">
        <v>241</v>
      </c>
      <c r="DK765" s="4" t="s">
        <v>241</v>
      </c>
      <c r="DL765" s="4" t="s">
        <v>241</v>
      </c>
      <c r="DP765" s="4" t="s">
        <v>241</v>
      </c>
      <c r="DQ765" s="4" t="s">
        <v>241</v>
      </c>
      <c r="DR765" s="4" t="s">
        <v>241</v>
      </c>
      <c r="DS765" s="4" t="s">
        <v>241</v>
      </c>
      <c r="DV765" s="4" t="s">
        <v>278</v>
      </c>
      <c r="DW765" s="4" t="s">
        <v>1769</v>
      </c>
      <c r="HO765" s="4" t="s">
        <v>267</v>
      </c>
    </row>
    <row r="766" spans="1:223" ht="19.5" customHeight="1" x14ac:dyDescent="0.4">
      <c r="A766" s="4">
        <v>1</v>
      </c>
      <c r="B766" s="4" t="s">
        <v>239</v>
      </c>
      <c r="C766" s="4">
        <v>2440</v>
      </c>
      <c r="D766" s="4">
        <v>1</v>
      </c>
      <c r="E766" s="4">
        <v>1</v>
      </c>
      <c r="F766" s="4" t="s">
        <v>268</v>
      </c>
      <c r="G766" s="4" t="s">
        <v>241</v>
      </c>
      <c r="H766" s="4" t="s">
        <v>241</v>
      </c>
      <c r="I766" s="4" t="s">
        <v>272</v>
      </c>
      <c r="J766" s="4" t="s">
        <v>274</v>
      </c>
      <c r="K766" s="4" t="s">
        <v>251</v>
      </c>
      <c r="L766" s="4" t="s">
        <v>269</v>
      </c>
      <c r="M766" s="5" t="s">
        <v>1912</v>
      </c>
      <c r="N766" s="6">
        <f>262</f>
        <v>262</v>
      </c>
      <c r="O766" s="4" t="s">
        <v>265</v>
      </c>
      <c r="P766" s="6">
        <f>1</f>
        <v>1</v>
      </c>
      <c r="Q766" s="6">
        <f>0</f>
        <v>0</v>
      </c>
      <c r="S766" s="6">
        <f>0</f>
        <v>0</v>
      </c>
      <c r="T766" s="6">
        <f>1</f>
        <v>1</v>
      </c>
      <c r="U766" s="5" t="s">
        <v>245</v>
      </c>
      <c r="V766" s="4" t="s">
        <v>270</v>
      </c>
      <c r="W766" s="4" t="s">
        <v>271</v>
      </c>
      <c r="X766" s="4" t="s">
        <v>273</v>
      </c>
      <c r="Y766" s="4" t="s">
        <v>241</v>
      </c>
      <c r="AB766" s="4" t="s">
        <v>241</v>
      </c>
      <c r="AD766" s="5" t="s">
        <v>241</v>
      </c>
      <c r="AG766" s="5" t="s">
        <v>246</v>
      </c>
      <c r="AH766" s="4" t="s">
        <v>241</v>
      </c>
      <c r="AI766" s="4" t="s">
        <v>247</v>
      </c>
      <c r="AJ766" s="4" t="s">
        <v>248</v>
      </c>
      <c r="AZ766" s="4" t="s">
        <v>249</v>
      </c>
      <c r="BA766" s="4" t="s">
        <v>241</v>
      </c>
      <c r="BB766" s="4" t="s">
        <v>250</v>
      </c>
      <c r="BC766" s="4" t="s">
        <v>241</v>
      </c>
      <c r="BD766" s="4" t="s">
        <v>252</v>
      </c>
      <c r="BE766" s="4" t="s">
        <v>241</v>
      </c>
      <c r="BI766" s="4" t="s">
        <v>253</v>
      </c>
      <c r="BJ766" s="5" t="s">
        <v>246</v>
      </c>
      <c r="BK766" s="4" t="s">
        <v>254</v>
      </c>
      <c r="BL766" s="4" t="s">
        <v>255</v>
      </c>
      <c r="BM766" s="4" t="s">
        <v>241</v>
      </c>
      <c r="BN766" s="6">
        <f>0</f>
        <v>0</v>
      </c>
      <c r="BO766" s="6">
        <f>0</f>
        <v>0</v>
      </c>
      <c r="BP766" s="4" t="s">
        <v>256</v>
      </c>
      <c r="BQ766" s="4" t="s">
        <v>257</v>
      </c>
      <c r="CE766" s="4" t="s">
        <v>241</v>
      </c>
      <c r="CF766" s="4" t="s">
        <v>241</v>
      </c>
      <c r="CJ766" s="4" t="s">
        <v>276</v>
      </c>
      <c r="CK766" s="4" t="s">
        <v>259</v>
      </c>
      <c r="CL766" s="4" t="s">
        <v>241</v>
      </c>
      <c r="CO766" s="5" t="s">
        <v>260</v>
      </c>
      <c r="CP766" s="4" t="s">
        <v>241</v>
      </c>
      <c r="CQ766" s="4" t="s">
        <v>261</v>
      </c>
      <c r="CR766" s="4" t="s">
        <v>241</v>
      </c>
      <c r="CS766" s="4" t="s">
        <v>241</v>
      </c>
      <c r="CT766" s="4">
        <v>0</v>
      </c>
      <c r="CU766" s="4" t="s">
        <v>262</v>
      </c>
      <c r="CV766" s="4" t="s">
        <v>263</v>
      </c>
      <c r="CW766" s="4" t="s">
        <v>263</v>
      </c>
      <c r="CX766" s="4" t="s">
        <v>264</v>
      </c>
      <c r="DA766" s="6">
        <f>1</f>
        <v>1</v>
      </c>
      <c r="DC766" s="4" t="s">
        <v>277</v>
      </c>
      <c r="DD766" s="4" t="s">
        <v>241</v>
      </c>
      <c r="DF766" s="4" t="s">
        <v>277</v>
      </c>
      <c r="DG766" s="6">
        <f>262</f>
        <v>262</v>
      </c>
      <c r="DH766" s="5" t="s">
        <v>1913</v>
      </c>
      <c r="DI766" s="4" t="s">
        <v>241</v>
      </c>
      <c r="DJ766" s="4" t="s">
        <v>241</v>
      </c>
      <c r="DK766" s="4" t="s">
        <v>241</v>
      </c>
      <c r="DL766" s="4" t="s">
        <v>241</v>
      </c>
      <c r="DP766" s="4" t="s">
        <v>241</v>
      </c>
      <c r="DQ766" s="4" t="s">
        <v>241</v>
      </c>
      <c r="DR766" s="4" t="s">
        <v>241</v>
      </c>
      <c r="DS766" s="4" t="s">
        <v>241</v>
      </c>
      <c r="DV766" s="4" t="s">
        <v>278</v>
      </c>
      <c r="DW766" s="4" t="s">
        <v>1914</v>
      </c>
      <c r="HO766" s="4" t="s">
        <v>267</v>
      </c>
    </row>
    <row r="767" spans="1:223" ht="19.5" customHeight="1" x14ac:dyDescent="0.4">
      <c r="A767" s="4">
        <v>1</v>
      </c>
      <c r="B767" s="4" t="s">
        <v>239</v>
      </c>
      <c r="C767" s="4">
        <v>2441</v>
      </c>
      <c r="D767" s="4">
        <v>1</v>
      </c>
      <c r="E767" s="4">
        <v>1</v>
      </c>
      <c r="F767" s="4" t="s">
        <v>268</v>
      </c>
      <c r="G767" s="4" t="s">
        <v>241</v>
      </c>
      <c r="H767" s="4" t="s">
        <v>241</v>
      </c>
      <c r="I767" s="4" t="s">
        <v>272</v>
      </c>
      <c r="J767" s="4" t="s">
        <v>274</v>
      </c>
      <c r="K767" s="4" t="s">
        <v>251</v>
      </c>
      <c r="L767" s="4" t="s">
        <v>269</v>
      </c>
      <c r="M767" s="5" t="s">
        <v>1765</v>
      </c>
      <c r="N767" s="6">
        <f>298</f>
        <v>298</v>
      </c>
      <c r="O767" s="4" t="s">
        <v>265</v>
      </c>
      <c r="P767" s="6">
        <f>1</f>
        <v>1</v>
      </c>
      <c r="Q767" s="6">
        <f>0</f>
        <v>0</v>
      </c>
      <c r="S767" s="6">
        <f>0</f>
        <v>0</v>
      </c>
      <c r="T767" s="6">
        <f>1</f>
        <v>1</v>
      </c>
      <c r="U767" s="5" t="s">
        <v>245</v>
      </c>
      <c r="V767" s="4" t="s">
        <v>270</v>
      </c>
      <c r="W767" s="4" t="s">
        <v>271</v>
      </c>
      <c r="X767" s="4" t="s">
        <v>273</v>
      </c>
      <c r="Y767" s="4" t="s">
        <v>241</v>
      </c>
      <c r="AB767" s="4" t="s">
        <v>241</v>
      </c>
      <c r="AD767" s="5" t="s">
        <v>241</v>
      </c>
      <c r="AG767" s="5" t="s">
        <v>246</v>
      </c>
      <c r="AH767" s="4" t="s">
        <v>241</v>
      </c>
      <c r="AI767" s="4" t="s">
        <v>247</v>
      </c>
      <c r="AJ767" s="4" t="s">
        <v>248</v>
      </c>
      <c r="AZ767" s="4" t="s">
        <v>249</v>
      </c>
      <c r="BA767" s="4" t="s">
        <v>241</v>
      </c>
      <c r="BB767" s="4" t="s">
        <v>250</v>
      </c>
      <c r="BC767" s="4" t="s">
        <v>241</v>
      </c>
      <c r="BD767" s="4" t="s">
        <v>252</v>
      </c>
      <c r="BE767" s="4" t="s">
        <v>241</v>
      </c>
      <c r="BI767" s="4" t="s">
        <v>253</v>
      </c>
      <c r="BJ767" s="5" t="s">
        <v>246</v>
      </c>
      <c r="BK767" s="4" t="s">
        <v>254</v>
      </c>
      <c r="BL767" s="4" t="s">
        <v>255</v>
      </c>
      <c r="BM767" s="4" t="s">
        <v>241</v>
      </c>
      <c r="BN767" s="6">
        <f>0</f>
        <v>0</v>
      </c>
      <c r="BO767" s="6">
        <f>0</f>
        <v>0</v>
      </c>
      <c r="BP767" s="4" t="s">
        <v>256</v>
      </c>
      <c r="BQ767" s="4" t="s">
        <v>257</v>
      </c>
      <c r="CE767" s="4" t="s">
        <v>241</v>
      </c>
      <c r="CF767" s="4" t="s">
        <v>241</v>
      </c>
      <c r="CJ767" s="4" t="s">
        <v>276</v>
      </c>
      <c r="CK767" s="4" t="s">
        <v>259</v>
      </c>
      <c r="CL767" s="4" t="s">
        <v>241</v>
      </c>
      <c r="CO767" s="5" t="s">
        <v>260</v>
      </c>
      <c r="CP767" s="4" t="s">
        <v>241</v>
      </c>
      <c r="CQ767" s="4" t="s">
        <v>261</v>
      </c>
      <c r="CR767" s="4" t="s">
        <v>241</v>
      </c>
      <c r="CS767" s="4" t="s">
        <v>241</v>
      </c>
      <c r="CT767" s="4">
        <v>0</v>
      </c>
      <c r="CU767" s="4" t="s">
        <v>262</v>
      </c>
      <c r="CV767" s="4" t="s">
        <v>263</v>
      </c>
      <c r="CW767" s="4" t="s">
        <v>263</v>
      </c>
      <c r="CX767" s="4" t="s">
        <v>264</v>
      </c>
      <c r="DA767" s="6">
        <f>1</f>
        <v>1</v>
      </c>
      <c r="DC767" s="4" t="s">
        <v>277</v>
      </c>
      <c r="DD767" s="4" t="s">
        <v>241</v>
      </c>
      <c r="DF767" s="4" t="s">
        <v>277</v>
      </c>
      <c r="DG767" s="6">
        <f>298</f>
        <v>298</v>
      </c>
      <c r="DH767" s="5" t="s">
        <v>1766</v>
      </c>
      <c r="DI767" s="4" t="s">
        <v>241</v>
      </c>
      <c r="DJ767" s="4" t="s">
        <v>241</v>
      </c>
      <c r="DK767" s="4" t="s">
        <v>241</v>
      </c>
      <c r="DL767" s="4" t="s">
        <v>241</v>
      </c>
      <c r="DP767" s="4" t="s">
        <v>241</v>
      </c>
      <c r="DQ767" s="4" t="s">
        <v>241</v>
      </c>
      <c r="DR767" s="4" t="s">
        <v>241</v>
      </c>
      <c r="DS767" s="4" t="s">
        <v>241</v>
      </c>
      <c r="DV767" s="4" t="s">
        <v>278</v>
      </c>
      <c r="DW767" s="4" t="s">
        <v>1767</v>
      </c>
      <c r="HO767" s="4" t="s">
        <v>267</v>
      </c>
    </row>
    <row r="768" spans="1:223" ht="19.5" customHeight="1" x14ac:dyDescent="0.4">
      <c r="A768" s="4">
        <v>1</v>
      </c>
      <c r="B768" s="4" t="s">
        <v>239</v>
      </c>
      <c r="C768" s="4">
        <v>2442</v>
      </c>
      <c r="D768" s="4">
        <v>1</v>
      </c>
      <c r="E768" s="4">
        <v>1</v>
      </c>
      <c r="F768" s="4" t="s">
        <v>268</v>
      </c>
      <c r="G768" s="4" t="s">
        <v>241</v>
      </c>
      <c r="H768" s="4" t="s">
        <v>241</v>
      </c>
      <c r="I768" s="4" t="s">
        <v>272</v>
      </c>
      <c r="J768" s="4" t="s">
        <v>274</v>
      </c>
      <c r="K768" s="4" t="s">
        <v>251</v>
      </c>
      <c r="L768" s="4" t="s">
        <v>269</v>
      </c>
      <c r="M768" s="5" t="s">
        <v>1763</v>
      </c>
      <c r="N768" s="6">
        <f>172</f>
        <v>172</v>
      </c>
      <c r="O768" s="4" t="s">
        <v>265</v>
      </c>
      <c r="P768" s="6">
        <f>1</f>
        <v>1</v>
      </c>
      <c r="Q768" s="6">
        <f>0</f>
        <v>0</v>
      </c>
      <c r="S768" s="6">
        <f>0</f>
        <v>0</v>
      </c>
      <c r="T768" s="6">
        <f>1</f>
        <v>1</v>
      </c>
      <c r="U768" s="5" t="s">
        <v>245</v>
      </c>
      <c r="V768" s="4" t="s">
        <v>270</v>
      </c>
      <c r="W768" s="4" t="s">
        <v>271</v>
      </c>
      <c r="X768" s="4" t="s">
        <v>273</v>
      </c>
      <c r="Y768" s="4" t="s">
        <v>241</v>
      </c>
      <c r="AB768" s="4" t="s">
        <v>241</v>
      </c>
      <c r="AD768" s="5" t="s">
        <v>241</v>
      </c>
      <c r="AG768" s="5" t="s">
        <v>246</v>
      </c>
      <c r="AH768" s="4" t="s">
        <v>241</v>
      </c>
      <c r="AI768" s="4" t="s">
        <v>247</v>
      </c>
      <c r="AJ768" s="4" t="s">
        <v>248</v>
      </c>
      <c r="AZ768" s="4" t="s">
        <v>249</v>
      </c>
      <c r="BA768" s="4" t="s">
        <v>241</v>
      </c>
      <c r="BB768" s="4" t="s">
        <v>250</v>
      </c>
      <c r="BC768" s="4" t="s">
        <v>241</v>
      </c>
      <c r="BD768" s="4" t="s">
        <v>252</v>
      </c>
      <c r="BE768" s="4" t="s">
        <v>241</v>
      </c>
      <c r="BI768" s="4" t="s">
        <v>253</v>
      </c>
      <c r="BJ768" s="5" t="s">
        <v>246</v>
      </c>
      <c r="BK768" s="4" t="s">
        <v>254</v>
      </c>
      <c r="BL768" s="4" t="s">
        <v>255</v>
      </c>
      <c r="BM768" s="4" t="s">
        <v>241</v>
      </c>
      <c r="BN768" s="6">
        <f>0</f>
        <v>0</v>
      </c>
      <c r="BO768" s="6">
        <f>0</f>
        <v>0</v>
      </c>
      <c r="BP768" s="4" t="s">
        <v>256</v>
      </c>
      <c r="BQ768" s="4" t="s">
        <v>257</v>
      </c>
      <c r="CE768" s="4" t="s">
        <v>241</v>
      </c>
      <c r="CF768" s="4" t="s">
        <v>241</v>
      </c>
      <c r="CJ768" s="4" t="s">
        <v>276</v>
      </c>
      <c r="CK768" s="4" t="s">
        <v>259</v>
      </c>
      <c r="CL768" s="4" t="s">
        <v>241</v>
      </c>
      <c r="CO768" s="5" t="s">
        <v>260</v>
      </c>
      <c r="CP768" s="4" t="s">
        <v>241</v>
      </c>
      <c r="CQ768" s="4" t="s">
        <v>261</v>
      </c>
      <c r="CR768" s="4" t="s">
        <v>241</v>
      </c>
      <c r="CS768" s="4" t="s">
        <v>241</v>
      </c>
      <c r="CT768" s="4">
        <v>0</v>
      </c>
      <c r="CU768" s="4" t="s">
        <v>262</v>
      </c>
      <c r="CV768" s="4" t="s">
        <v>263</v>
      </c>
      <c r="CW768" s="4" t="s">
        <v>263</v>
      </c>
      <c r="CX768" s="4" t="s">
        <v>264</v>
      </c>
      <c r="DA768" s="6">
        <f>1</f>
        <v>1</v>
      </c>
      <c r="DC768" s="4" t="s">
        <v>277</v>
      </c>
      <c r="DD768" s="4" t="s">
        <v>241</v>
      </c>
      <c r="DF768" s="4" t="s">
        <v>277</v>
      </c>
      <c r="DG768" s="6">
        <f>172</f>
        <v>172</v>
      </c>
      <c r="DH768" s="5" t="s">
        <v>419</v>
      </c>
      <c r="DI768" s="4" t="s">
        <v>241</v>
      </c>
      <c r="DJ768" s="4" t="s">
        <v>241</v>
      </c>
      <c r="DK768" s="4" t="s">
        <v>241</v>
      </c>
      <c r="DL768" s="4" t="s">
        <v>241</v>
      </c>
      <c r="DP768" s="4" t="s">
        <v>241</v>
      </c>
      <c r="DQ768" s="4" t="s">
        <v>241</v>
      </c>
      <c r="DR768" s="4" t="s">
        <v>241</v>
      </c>
      <c r="DS768" s="4" t="s">
        <v>241</v>
      </c>
      <c r="DV768" s="4" t="s">
        <v>278</v>
      </c>
      <c r="DW768" s="4" t="s">
        <v>1764</v>
      </c>
      <c r="HO768" s="4" t="s">
        <v>267</v>
      </c>
    </row>
    <row r="769" spans="1:223" ht="19.5" customHeight="1" x14ac:dyDescent="0.4">
      <c r="A769" s="4">
        <v>1</v>
      </c>
      <c r="B769" s="4" t="s">
        <v>239</v>
      </c>
      <c r="C769" s="4">
        <v>2443</v>
      </c>
      <c r="D769" s="4">
        <v>1</v>
      </c>
      <c r="E769" s="4">
        <v>1</v>
      </c>
      <c r="F769" s="4" t="s">
        <v>268</v>
      </c>
      <c r="G769" s="4" t="s">
        <v>241</v>
      </c>
      <c r="H769" s="4" t="s">
        <v>241</v>
      </c>
      <c r="I769" s="4" t="s">
        <v>272</v>
      </c>
      <c r="J769" s="4" t="s">
        <v>274</v>
      </c>
      <c r="K769" s="4" t="s">
        <v>251</v>
      </c>
      <c r="L769" s="4" t="s">
        <v>269</v>
      </c>
      <c r="M769" s="5" t="s">
        <v>1761</v>
      </c>
      <c r="N769" s="6">
        <f>43</f>
        <v>43</v>
      </c>
      <c r="O769" s="4" t="s">
        <v>265</v>
      </c>
      <c r="P769" s="6">
        <f>1</f>
        <v>1</v>
      </c>
      <c r="Q769" s="6">
        <f>0</f>
        <v>0</v>
      </c>
      <c r="S769" s="6">
        <f>0</f>
        <v>0</v>
      </c>
      <c r="T769" s="6">
        <f>1</f>
        <v>1</v>
      </c>
      <c r="U769" s="5" t="s">
        <v>245</v>
      </c>
      <c r="V769" s="4" t="s">
        <v>270</v>
      </c>
      <c r="W769" s="4" t="s">
        <v>271</v>
      </c>
      <c r="X769" s="4" t="s">
        <v>273</v>
      </c>
      <c r="Y769" s="4" t="s">
        <v>241</v>
      </c>
      <c r="AB769" s="4" t="s">
        <v>241</v>
      </c>
      <c r="AD769" s="5" t="s">
        <v>241</v>
      </c>
      <c r="AG769" s="5" t="s">
        <v>1760</v>
      </c>
      <c r="AH769" s="4" t="s">
        <v>241</v>
      </c>
      <c r="AI769" s="4" t="s">
        <v>247</v>
      </c>
      <c r="AJ769" s="4" t="s">
        <v>248</v>
      </c>
      <c r="AZ769" s="4" t="s">
        <v>249</v>
      </c>
      <c r="BA769" s="4" t="s">
        <v>241</v>
      </c>
      <c r="BB769" s="4" t="s">
        <v>250</v>
      </c>
      <c r="BC769" s="4" t="s">
        <v>241</v>
      </c>
      <c r="BD769" s="4" t="s">
        <v>252</v>
      </c>
      <c r="BE769" s="4" t="s">
        <v>241</v>
      </c>
      <c r="BI769" s="4" t="s">
        <v>417</v>
      </c>
      <c r="BJ769" s="5" t="s">
        <v>1760</v>
      </c>
      <c r="BK769" s="4" t="s">
        <v>254</v>
      </c>
      <c r="BL769" s="4" t="s">
        <v>255</v>
      </c>
      <c r="BM769" s="4" t="s">
        <v>241</v>
      </c>
      <c r="BN769" s="6">
        <f>0</f>
        <v>0</v>
      </c>
      <c r="BO769" s="6">
        <f>0</f>
        <v>0</v>
      </c>
      <c r="BP769" s="4" t="s">
        <v>256</v>
      </c>
      <c r="BQ769" s="4" t="s">
        <v>257</v>
      </c>
      <c r="CE769" s="4" t="s">
        <v>241</v>
      </c>
      <c r="CF769" s="4" t="s">
        <v>241</v>
      </c>
      <c r="CJ769" s="4" t="s">
        <v>276</v>
      </c>
      <c r="CK769" s="4" t="s">
        <v>259</v>
      </c>
      <c r="CL769" s="4" t="s">
        <v>241</v>
      </c>
      <c r="CO769" s="5" t="s">
        <v>260</v>
      </c>
      <c r="CP769" s="4" t="s">
        <v>241</v>
      </c>
      <c r="CQ769" s="4" t="s">
        <v>261</v>
      </c>
      <c r="CR769" s="4" t="s">
        <v>241</v>
      </c>
      <c r="CS769" s="4" t="s">
        <v>241</v>
      </c>
      <c r="CT769" s="4">
        <v>0</v>
      </c>
      <c r="CU769" s="4" t="s">
        <v>262</v>
      </c>
      <c r="CV769" s="4" t="s">
        <v>263</v>
      </c>
      <c r="CW769" s="4" t="s">
        <v>263</v>
      </c>
      <c r="CX769" s="4" t="s">
        <v>264</v>
      </c>
      <c r="DA769" s="6">
        <f>1</f>
        <v>1</v>
      </c>
      <c r="DC769" s="4" t="s">
        <v>277</v>
      </c>
      <c r="DD769" s="4" t="s">
        <v>241</v>
      </c>
      <c r="DF769" s="4" t="s">
        <v>277</v>
      </c>
      <c r="DG769" s="6">
        <f>43</f>
        <v>43</v>
      </c>
      <c r="DH769" s="5" t="s">
        <v>245</v>
      </c>
      <c r="DI769" s="4" t="s">
        <v>241</v>
      </c>
      <c r="DJ769" s="4" t="s">
        <v>241</v>
      </c>
      <c r="DK769" s="4" t="s">
        <v>241</v>
      </c>
      <c r="DL769" s="4" t="s">
        <v>241</v>
      </c>
      <c r="DP769" s="4" t="s">
        <v>241</v>
      </c>
      <c r="DQ769" s="4" t="s">
        <v>241</v>
      </c>
      <c r="DR769" s="4" t="s">
        <v>241</v>
      </c>
      <c r="DS769" s="4" t="s">
        <v>241</v>
      </c>
      <c r="DV769" s="4" t="s">
        <v>278</v>
      </c>
      <c r="DW769" s="4" t="s">
        <v>1762</v>
      </c>
      <c r="HO769" s="4" t="s">
        <v>267</v>
      </c>
    </row>
    <row r="770" spans="1:223" ht="19.5" customHeight="1" x14ac:dyDescent="0.4">
      <c r="A770" s="4">
        <v>1</v>
      </c>
      <c r="B770" s="4" t="s">
        <v>239</v>
      </c>
      <c r="C770" s="4">
        <v>2444</v>
      </c>
      <c r="D770" s="4">
        <v>1</v>
      </c>
      <c r="E770" s="4">
        <v>1</v>
      </c>
      <c r="F770" s="4" t="s">
        <v>268</v>
      </c>
      <c r="G770" s="4" t="s">
        <v>241</v>
      </c>
      <c r="H770" s="4" t="s">
        <v>241</v>
      </c>
      <c r="I770" s="4" t="s">
        <v>272</v>
      </c>
      <c r="J770" s="4" t="s">
        <v>274</v>
      </c>
      <c r="K770" s="4" t="s">
        <v>251</v>
      </c>
      <c r="L770" s="4" t="s">
        <v>269</v>
      </c>
      <c r="M770" s="5" t="s">
        <v>1758</v>
      </c>
      <c r="N770" s="6">
        <f>639</f>
        <v>639</v>
      </c>
      <c r="O770" s="4" t="s">
        <v>265</v>
      </c>
      <c r="P770" s="6">
        <f>1</f>
        <v>1</v>
      </c>
      <c r="Q770" s="6">
        <f>0</f>
        <v>0</v>
      </c>
      <c r="S770" s="6">
        <f>0</f>
        <v>0</v>
      </c>
      <c r="T770" s="6">
        <f>1</f>
        <v>1</v>
      </c>
      <c r="U770" s="5" t="s">
        <v>245</v>
      </c>
      <c r="V770" s="4" t="s">
        <v>270</v>
      </c>
      <c r="W770" s="4" t="s">
        <v>271</v>
      </c>
      <c r="X770" s="4" t="s">
        <v>273</v>
      </c>
      <c r="Y770" s="4" t="s">
        <v>241</v>
      </c>
      <c r="AB770" s="4" t="s">
        <v>241</v>
      </c>
      <c r="AD770" s="5" t="s">
        <v>241</v>
      </c>
      <c r="AG770" s="5" t="s">
        <v>1064</v>
      </c>
      <c r="AH770" s="4" t="s">
        <v>241</v>
      </c>
      <c r="AI770" s="4" t="s">
        <v>247</v>
      </c>
      <c r="AJ770" s="4" t="s">
        <v>248</v>
      </c>
      <c r="AZ770" s="4" t="s">
        <v>249</v>
      </c>
      <c r="BA770" s="4" t="s">
        <v>241</v>
      </c>
      <c r="BB770" s="4" t="s">
        <v>250</v>
      </c>
      <c r="BC770" s="4" t="s">
        <v>241</v>
      </c>
      <c r="BD770" s="4" t="s">
        <v>252</v>
      </c>
      <c r="BE770" s="4" t="s">
        <v>241</v>
      </c>
      <c r="BI770" s="4" t="s">
        <v>295</v>
      </c>
      <c r="BJ770" s="5" t="s">
        <v>1064</v>
      </c>
      <c r="BK770" s="4" t="s">
        <v>254</v>
      </c>
      <c r="BL770" s="4" t="s">
        <v>255</v>
      </c>
      <c r="BM770" s="4" t="s">
        <v>241</v>
      </c>
      <c r="BN770" s="6">
        <f>0</f>
        <v>0</v>
      </c>
      <c r="BO770" s="6">
        <f>0</f>
        <v>0</v>
      </c>
      <c r="BP770" s="4" t="s">
        <v>256</v>
      </c>
      <c r="BQ770" s="4" t="s">
        <v>257</v>
      </c>
      <c r="CE770" s="4" t="s">
        <v>241</v>
      </c>
      <c r="CF770" s="4" t="s">
        <v>241</v>
      </c>
      <c r="CJ770" s="4" t="s">
        <v>276</v>
      </c>
      <c r="CK770" s="4" t="s">
        <v>259</v>
      </c>
      <c r="CL770" s="4" t="s">
        <v>241</v>
      </c>
      <c r="CO770" s="5" t="s">
        <v>260</v>
      </c>
      <c r="CP770" s="4" t="s">
        <v>241</v>
      </c>
      <c r="CQ770" s="4" t="s">
        <v>261</v>
      </c>
      <c r="CR770" s="4" t="s">
        <v>241</v>
      </c>
      <c r="CS770" s="4" t="s">
        <v>241</v>
      </c>
      <c r="CT770" s="4">
        <v>0</v>
      </c>
      <c r="CU770" s="4" t="s">
        <v>262</v>
      </c>
      <c r="CV770" s="4" t="s">
        <v>263</v>
      </c>
      <c r="CW770" s="4" t="s">
        <v>263</v>
      </c>
      <c r="CX770" s="4" t="s">
        <v>264</v>
      </c>
      <c r="DA770" s="6">
        <f>1</f>
        <v>1</v>
      </c>
      <c r="DC770" s="4" t="s">
        <v>277</v>
      </c>
      <c r="DD770" s="4" t="s">
        <v>241</v>
      </c>
      <c r="DF770" s="4" t="s">
        <v>277</v>
      </c>
      <c r="DG770" s="6">
        <f>639</f>
        <v>639</v>
      </c>
      <c r="DI770" s="4" t="s">
        <v>241</v>
      </c>
      <c r="DJ770" s="4" t="s">
        <v>241</v>
      </c>
      <c r="DK770" s="4" t="s">
        <v>241</v>
      </c>
      <c r="DL770" s="4" t="s">
        <v>241</v>
      </c>
      <c r="DP770" s="4" t="s">
        <v>241</v>
      </c>
      <c r="DQ770" s="4" t="s">
        <v>241</v>
      </c>
      <c r="DR770" s="4" t="s">
        <v>241</v>
      </c>
      <c r="DS770" s="4" t="s">
        <v>241</v>
      </c>
      <c r="DV770" s="4" t="s">
        <v>278</v>
      </c>
      <c r="DW770" s="4" t="s">
        <v>1759</v>
      </c>
      <c r="HO770" s="4" t="s">
        <v>267</v>
      </c>
    </row>
    <row r="771" spans="1:223" ht="19.5" customHeight="1" x14ac:dyDescent="0.4">
      <c r="A771" s="4">
        <v>1</v>
      </c>
      <c r="B771" s="4" t="s">
        <v>239</v>
      </c>
      <c r="C771" s="4">
        <v>2445</v>
      </c>
      <c r="D771" s="4">
        <v>1</v>
      </c>
      <c r="E771" s="4">
        <v>1</v>
      </c>
      <c r="F771" s="4" t="s">
        <v>268</v>
      </c>
      <c r="G771" s="4" t="s">
        <v>241</v>
      </c>
      <c r="H771" s="4" t="s">
        <v>241</v>
      </c>
      <c r="I771" s="4" t="s">
        <v>272</v>
      </c>
      <c r="J771" s="4" t="s">
        <v>274</v>
      </c>
      <c r="K771" s="4" t="s">
        <v>251</v>
      </c>
      <c r="L771" s="4" t="s">
        <v>269</v>
      </c>
      <c r="M771" s="5" t="s">
        <v>1753</v>
      </c>
      <c r="N771" s="6">
        <f>1.68</f>
        <v>1.68</v>
      </c>
      <c r="O771" s="4" t="s">
        <v>265</v>
      </c>
      <c r="P771" s="6">
        <f>1</f>
        <v>1</v>
      </c>
      <c r="Q771" s="6">
        <f>0</f>
        <v>0</v>
      </c>
      <c r="S771" s="6">
        <f>0</f>
        <v>0</v>
      </c>
      <c r="T771" s="6">
        <f>1</f>
        <v>1</v>
      </c>
      <c r="U771" s="5" t="s">
        <v>245</v>
      </c>
      <c r="V771" s="4" t="s">
        <v>270</v>
      </c>
      <c r="W771" s="4" t="s">
        <v>271</v>
      </c>
      <c r="X771" s="4" t="s">
        <v>273</v>
      </c>
      <c r="Y771" s="4" t="s">
        <v>241</v>
      </c>
      <c r="AB771" s="4" t="s">
        <v>241</v>
      </c>
      <c r="AD771" s="5" t="s">
        <v>241</v>
      </c>
      <c r="AG771" s="5" t="s">
        <v>1064</v>
      </c>
      <c r="AH771" s="4" t="s">
        <v>241</v>
      </c>
      <c r="AI771" s="4" t="s">
        <v>247</v>
      </c>
      <c r="AJ771" s="4" t="s">
        <v>248</v>
      </c>
      <c r="AZ771" s="4" t="s">
        <v>249</v>
      </c>
      <c r="BA771" s="4" t="s">
        <v>241</v>
      </c>
      <c r="BB771" s="4" t="s">
        <v>250</v>
      </c>
      <c r="BC771" s="4" t="s">
        <v>241</v>
      </c>
      <c r="BD771" s="4" t="s">
        <v>252</v>
      </c>
      <c r="BE771" s="4" t="s">
        <v>241</v>
      </c>
      <c r="BI771" s="4" t="s">
        <v>284</v>
      </c>
      <c r="BJ771" s="5" t="s">
        <v>1754</v>
      </c>
      <c r="BK771" s="4" t="s">
        <v>254</v>
      </c>
      <c r="BL771" s="4" t="s">
        <v>255</v>
      </c>
      <c r="BM771" s="4" t="s">
        <v>241</v>
      </c>
      <c r="BN771" s="6">
        <f>0</f>
        <v>0</v>
      </c>
      <c r="BO771" s="6">
        <f>0</f>
        <v>0</v>
      </c>
      <c r="BP771" s="4" t="s">
        <v>256</v>
      </c>
      <c r="BQ771" s="4" t="s">
        <v>257</v>
      </c>
      <c r="CE771" s="4" t="s">
        <v>241</v>
      </c>
      <c r="CF771" s="4" t="s">
        <v>241</v>
      </c>
      <c r="CJ771" s="4" t="s">
        <v>276</v>
      </c>
      <c r="CK771" s="4" t="s">
        <v>259</v>
      </c>
      <c r="CL771" s="4" t="s">
        <v>241</v>
      </c>
      <c r="CO771" s="5" t="s">
        <v>260</v>
      </c>
      <c r="CP771" s="4" t="s">
        <v>241</v>
      </c>
      <c r="CQ771" s="4" t="s">
        <v>261</v>
      </c>
      <c r="CR771" s="4" t="s">
        <v>241</v>
      </c>
      <c r="CS771" s="4" t="s">
        <v>241</v>
      </c>
      <c r="CT771" s="4">
        <v>0</v>
      </c>
      <c r="CU771" s="4" t="s">
        <v>262</v>
      </c>
      <c r="CV771" s="4" t="s">
        <v>263</v>
      </c>
      <c r="CW771" s="4" t="s">
        <v>263</v>
      </c>
      <c r="CX771" s="4" t="s">
        <v>264</v>
      </c>
      <c r="DA771" s="6">
        <f>1</f>
        <v>1</v>
      </c>
      <c r="DC771" s="4" t="s">
        <v>277</v>
      </c>
      <c r="DD771" s="4" t="s">
        <v>241</v>
      </c>
      <c r="DF771" s="4" t="s">
        <v>277</v>
      </c>
      <c r="DG771" s="6">
        <f>1.68</f>
        <v>1.68</v>
      </c>
      <c r="DI771" s="4" t="s">
        <v>241</v>
      </c>
      <c r="DJ771" s="4" t="s">
        <v>241</v>
      </c>
      <c r="DK771" s="4" t="s">
        <v>241</v>
      </c>
      <c r="DL771" s="4" t="s">
        <v>241</v>
      </c>
      <c r="DP771" s="4" t="s">
        <v>241</v>
      </c>
      <c r="DQ771" s="4" t="s">
        <v>241</v>
      </c>
      <c r="DR771" s="4" t="s">
        <v>241</v>
      </c>
      <c r="DS771" s="4" t="s">
        <v>241</v>
      </c>
      <c r="DV771" s="4" t="s">
        <v>278</v>
      </c>
      <c r="DW771" s="4" t="s">
        <v>1755</v>
      </c>
      <c r="HO771" s="4" t="s">
        <v>267</v>
      </c>
    </row>
    <row r="772" spans="1:223" ht="19.5" customHeight="1" x14ac:dyDescent="0.4">
      <c r="A772" s="4">
        <v>1</v>
      </c>
      <c r="B772" s="4" t="s">
        <v>239</v>
      </c>
      <c r="C772" s="4">
        <v>2446</v>
      </c>
      <c r="D772" s="4">
        <v>1</v>
      </c>
      <c r="E772" s="4">
        <v>1</v>
      </c>
      <c r="F772" s="4" t="s">
        <v>268</v>
      </c>
      <c r="G772" s="4" t="s">
        <v>241</v>
      </c>
      <c r="H772" s="4" t="s">
        <v>241</v>
      </c>
      <c r="I772" s="4" t="s">
        <v>272</v>
      </c>
      <c r="J772" s="4" t="s">
        <v>274</v>
      </c>
      <c r="K772" s="4" t="s">
        <v>251</v>
      </c>
      <c r="L772" s="4" t="s">
        <v>269</v>
      </c>
      <c r="M772" s="5" t="s">
        <v>1751</v>
      </c>
      <c r="N772" s="6">
        <f>4.55</f>
        <v>4.55</v>
      </c>
      <c r="O772" s="4" t="s">
        <v>265</v>
      </c>
      <c r="P772" s="6">
        <f>1</f>
        <v>1</v>
      </c>
      <c r="Q772" s="6">
        <f>0</f>
        <v>0</v>
      </c>
      <c r="S772" s="6">
        <f>0</f>
        <v>0</v>
      </c>
      <c r="T772" s="6">
        <f>1</f>
        <v>1</v>
      </c>
      <c r="U772" s="5" t="s">
        <v>245</v>
      </c>
      <c r="V772" s="4" t="s">
        <v>270</v>
      </c>
      <c r="W772" s="4" t="s">
        <v>271</v>
      </c>
      <c r="X772" s="4" t="s">
        <v>273</v>
      </c>
      <c r="Y772" s="4" t="s">
        <v>241</v>
      </c>
      <c r="AB772" s="4" t="s">
        <v>241</v>
      </c>
      <c r="AD772" s="5" t="s">
        <v>241</v>
      </c>
      <c r="AG772" s="5" t="s">
        <v>400</v>
      </c>
      <c r="AH772" s="4" t="s">
        <v>241</v>
      </c>
      <c r="AI772" s="4" t="s">
        <v>247</v>
      </c>
      <c r="AJ772" s="4" t="s">
        <v>248</v>
      </c>
      <c r="AZ772" s="4" t="s">
        <v>249</v>
      </c>
      <c r="BA772" s="4" t="s">
        <v>241</v>
      </c>
      <c r="BB772" s="4" t="s">
        <v>250</v>
      </c>
      <c r="BC772" s="4" t="s">
        <v>241</v>
      </c>
      <c r="BD772" s="4" t="s">
        <v>252</v>
      </c>
      <c r="BE772" s="4" t="s">
        <v>241</v>
      </c>
      <c r="BI772" s="4" t="s">
        <v>284</v>
      </c>
      <c r="BJ772" s="5" t="s">
        <v>400</v>
      </c>
      <c r="BK772" s="4" t="s">
        <v>254</v>
      </c>
      <c r="BL772" s="4" t="s">
        <v>255</v>
      </c>
      <c r="BM772" s="4" t="s">
        <v>241</v>
      </c>
      <c r="BN772" s="6">
        <f>0</f>
        <v>0</v>
      </c>
      <c r="BO772" s="6">
        <f>0</f>
        <v>0</v>
      </c>
      <c r="BP772" s="4" t="s">
        <v>256</v>
      </c>
      <c r="BQ772" s="4" t="s">
        <v>257</v>
      </c>
      <c r="CE772" s="4" t="s">
        <v>241</v>
      </c>
      <c r="CF772" s="4" t="s">
        <v>241</v>
      </c>
      <c r="CJ772" s="4" t="s">
        <v>276</v>
      </c>
      <c r="CK772" s="4" t="s">
        <v>259</v>
      </c>
      <c r="CL772" s="4" t="s">
        <v>241</v>
      </c>
      <c r="CO772" s="5" t="s">
        <v>260</v>
      </c>
      <c r="CP772" s="4" t="s">
        <v>241</v>
      </c>
      <c r="CQ772" s="4" t="s">
        <v>261</v>
      </c>
      <c r="CR772" s="4" t="s">
        <v>241</v>
      </c>
      <c r="CS772" s="4" t="s">
        <v>241</v>
      </c>
      <c r="CT772" s="4">
        <v>0</v>
      </c>
      <c r="CU772" s="4" t="s">
        <v>262</v>
      </c>
      <c r="CV772" s="4" t="s">
        <v>263</v>
      </c>
      <c r="CW772" s="4" t="s">
        <v>263</v>
      </c>
      <c r="CX772" s="4" t="s">
        <v>264</v>
      </c>
      <c r="DA772" s="6">
        <f>1</f>
        <v>1</v>
      </c>
      <c r="DC772" s="4" t="s">
        <v>277</v>
      </c>
      <c r="DD772" s="4" t="s">
        <v>241</v>
      </c>
      <c r="DF772" s="4" t="s">
        <v>277</v>
      </c>
      <c r="DG772" s="6">
        <f>4.55</f>
        <v>4.55</v>
      </c>
      <c r="DI772" s="4" t="s">
        <v>241</v>
      </c>
      <c r="DJ772" s="4" t="s">
        <v>241</v>
      </c>
      <c r="DK772" s="4" t="s">
        <v>241</v>
      </c>
      <c r="DL772" s="4" t="s">
        <v>241</v>
      </c>
      <c r="DP772" s="4" t="s">
        <v>241</v>
      </c>
      <c r="DQ772" s="4" t="s">
        <v>241</v>
      </c>
      <c r="DR772" s="4" t="s">
        <v>241</v>
      </c>
      <c r="DS772" s="4" t="s">
        <v>241</v>
      </c>
      <c r="DV772" s="4" t="s">
        <v>278</v>
      </c>
      <c r="DW772" s="4" t="s">
        <v>1752</v>
      </c>
      <c r="HO772" s="4" t="s">
        <v>267</v>
      </c>
    </row>
    <row r="773" spans="1:223" ht="19.5" customHeight="1" x14ac:dyDescent="0.4">
      <c r="A773" s="4">
        <v>1</v>
      </c>
      <c r="B773" s="4" t="s">
        <v>239</v>
      </c>
      <c r="C773" s="4">
        <v>2447</v>
      </c>
      <c r="D773" s="4">
        <v>1</v>
      </c>
      <c r="E773" s="4">
        <v>1</v>
      </c>
      <c r="F773" s="4" t="s">
        <v>268</v>
      </c>
      <c r="G773" s="4" t="s">
        <v>241</v>
      </c>
      <c r="H773" s="4" t="s">
        <v>241</v>
      </c>
      <c r="I773" s="4" t="s">
        <v>272</v>
      </c>
      <c r="J773" s="4" t="s">
        <v>274</v>
      </c>
      <c r="K773" s="4" t="s">
        <v>251</v>
      </c>
      <c r="L773" s="4" t="s">
        <v>269</v>
      </c>
      <c r="M773" s="5" t="s">
        <v>1747</v>
      </c>
      <c r="N773" s="6">
        <f>6.6</f>
        <v>6.6</v>
      </c>
      <c r="O773" s="4" t="s">
        <v>265</v>
      </c>
      <c r="P773" s="6">
        <f>1</f>
        <v>1</v>
      </c>
      <c r="Q773" s="6">
        <f>0</f>
        <v>0</v>
      </c>
      <c r="S773" s="6">
        <f>0</f>
        <v>0</v>
      </c>
      <c r="T773" s="6">
        <f>1</f>
        <v>1</v>
      </c>
      <c r="U773" s="5" t="s">
        <v>245</v>
      </c>
      <c r="V773" s="4" t="s">
        <v>270</v>
      </c>
      <c r="W773" s="4" t="s">
        <v>271</v>
      </c>
      <c r="X773" s="4" t="s">
        <v>273</v>
      </c>
      <c r="Y773" s="4" t="s">
        <v>241</v>
      </c>
      <c r="AB773" s="4" t="s">
        <v>241</v>
      </c>
      <c r="AD773" s="5" t="s">
        <v>241</v>
      </c>
      <c r="AG773" s="5" t="s">
        <v>1064</v>
      </c>
      <c r="AH773" s="4" t="s">
        <v>241</v>
      </c>
      <c r="AI773" s="4" t="s">
        <v>247</v>
      </c>
      <c r="AJ773" s="4" t="s">
        <v>248</v>
      </c>
      <c r="AZ773" s="4" t="s">
        <v>249</v>
      </c>
      <c r="BA773" s="4" t="s">
        <v>241</v>
      </c>
      <c r="BB773" s="4" t="s">
        <v>250</v>
      </c>
      <c r="BC773" s="4" t="s">
        <v>241</v>
      </c>
      <c r="BD773" s="4" t="s">
        <v>252</v>
      </c>
      <c r="BE773" s="4" t="s">
        <v>241</v>
      </c>
      <c r="BI773" s="4" t="s">
        <v>295</v>
      </c>
      <c r="BJ773" s="5" t="s">
        <v>1064</v>
      </c>
      <c r="BK773" s="4" t="s">
        <v>254</v>
      </c>
      <c r="BL773" s="4" t="s">
        <v>255</v>
      </c>
      <c r="BM773" s="4" t="s">
        <v>241</v>
      </c>
      <c r="BN773" s="6">
        <f>0</f>
        <v>0</v>
      </c>
      <c r="BO773" s="6">
        <f>0</f>
        <v>0</v>
      </c>
      <c r="BP773" s="4" t="s">
        <v>256</v>
      </c>
      <c r="BQ773" s="4" t="s">
        <v>257</v>
      </c>
      <c r="CE773" s="4" t="s">
        <v>241</v>
      </c>
      <c r="CF773" s="4" t="s">
        <v>241</v>
      </c>
      <c r="CJ773" s="4" t="s">
        <v>276</v>
      </c>
      <c r="CK773" s="4" t="s">
        <v>259</v>
      </c>
      <c r="CL773" s="4" t="s">
        <v>241</v>
      </c>
      <c r="CO773" s="5" t="s">
        <v>260</v>
      </c>
      <c r="CP773" s="4" t="s">
        <v>241</v>
      </c>
      <c r="CQ773" s="4" t="s">
        <v>261</v>
      </c>
      <c r="CR773" s="4" t="s">
        <v>241</v>
      </c>
      <c r="CS773" s="4" t="s">
        <v>241</v>
      </c>
      <c r="CT773" s="4">
        <v>0</v>
      </c>
      <c r="CU773" s="4" t="s">
        <v>262</v>
      </c>
      <c r="CV773" s="4" t="s">
        <v>263</v>
      </c>
      <c r="CW773" s="4" t="s">
        <v>263</v>
      </c>
      <c r="CX773" s="4" t="s">
        <v>264</v>
      </c>
      <c r="DA773" s="6">
        <f>1</f>
        <v>1</v>
      </c>
      <c r="DC773" s="4" t="s">
        <v>277</v>
      </c>
      <c r="DD773" s="4" t="s">
        <v>241</v>
      </c>
      <c r="DF773" s="4" t="s">
        <v>277</v>
      </c>
      <c r="DG773" s="6">
        <f>6.6</f>
        <v>6.6</v>
      </c>
      <c r="DI773" s="4" t="s">
        <v>241</v>
      </c>
      <c r="DJ773" s="4" t="s">
        <v>241</v>
      </c>
      <c r="DK773" s="4" t="s">
        <v>241</v>
      </c>
      <c r="DL773" s="4" t="s">
        <v>241</v>
      </c>
      <c r="DP773" s="4" t="s">
        <v>241</v>
      </c>
      <c r="DQ773" s="4" t="s">
        <v>241</v>
      </c>
      <c r="DR773" s="4" t="s">
        <v>241</v>
      </c>
      <c r="DS773" s="4" t="s">
        <v>241</v>
      </c>
      <c r="DV773" s="4" t="s">
        <v>278</v>
      </c>
      <c r="DW773" s="4" t="s">
        <v>1748</v>
      </c>
      <c r="HO773" s="4" t="s">
        <v>267</v>
      </c>
    </row>
    <row r="774" spans="1:223" ht="19.5" customHeight="1" x14ac:dyDescent="0.4">
      <c r="A774" s="4">
        <v>1</v>
      </c>
      <c r="B774" s="4" t="s">
        <v>239</v>
      </c>
      <c r="C774" s="4">
        <v>2448</v>
      </c>
      <c r="D774" s="4">
        <v>1</v>
      </c>
      <c r="E774" s="4">
        <v>1</v>
      </c>
      <c r="F774" s="4" t="s">
        <v>268</v>
      </c>
      <c r="G774" s="4" t="s">
        <v>241</v>
      </c>
      <c r="H774" s="4" t="s">
        <v>241</v>
      </c>
      <c r="I774" s="4" t="s">
        <v>272</v>
      </c>
      <c r="J774" s="4" t="s">
        <v>274</v>
      </c>
      <c r="K774" s="4" t="s">
        <v>251</v>
      </c>
      <c r="L774" s="4" t="s">
        <v>269</v>
      </c>
      <c r="M774" s="5" t="s">
        <v>1745</v>
      </c>
      <c r="N774" s="6">
        <f>20265</f>
        <v>20265</v>
      </c>
      <c r="O774" s="4" t="s">
        <v>265</v>
      </c>
      <c r="P774" s="6">
        <f>1</f>
        <v>1</v>
      </c>
      <c r="Q774" s="6">
        <f>0</f>
        <v>0</v>
      </c>
      <c r="S774" s="6">
        <f>0</f>
        <v>0</v>
      </c>
      <c r="T774" s="6">
        <f>1</f>
        <v>1</v>
      </c>
      <c r="U774" s="5" t="s">
        <v>245</v>
      </c>
      <c r="V774" s="4" t="s">
        <v>270</v>
      </c>
      <c r="W774" s="4" t="s">
        <v>271</v>
      </c>
      <c r="X774" s="4" t="s">
        <v>273</v>
      </c>
      <c r="Y774" s="4" t="s">
        <v>241</v>
      </c>
      <c r="AB774" s="4" t="s">
        <v>241</v>
      </c>
      <c r="AD774" s="5" t="s">
        <v>241</v>
      </c>
      <c r="AG774" s="5" t="s">
        <v>1064</v>
      </c>
      <c r="AH774" s="4" t="s">
        <v>241</v>
      </c>
      <c r="AI774" s="4" t="s">
        <v>247</v>
      </c>
      <c r="AJ774" s="4" t="s">
        <v>248</v>
      </c>
      <c r="AZ774" s="4" t="s">
        <v>249</v>
      </c>
      <c r="BA774" s="4" t="s">
        <v>241</v>
      </c>
      <c r="BB774" s="4" t="s">
        <v>250</v>
      </c>
      <c r="BC774" s="4" t="s">
        <v>241</v>
      </c>
      <c r="BD774" s="4" t="s">
        <v>252</v>
      </c>
      <c r="BE774" s="4" t="s">
        <v>241</v>
      </c>
      <c r="BI774" s="4" t="s">
        <v>284</v>
      </c>
      <c r="BJ774" s="5" t="s">
        <v>400</v>
      </c>
      <c r="BK774" s="4" t="s">
        <v>254</v>
      </c>
      <c r="BL774" s="4" t="s">
        <v>255</v>
      </c>
      <c r="BM774" s="4" t="s">
        <v>241</v>
      </c>
      <c r="BN774" s="6">
        <f>0</f>
        <v>0</v>
      </c>
      <c r="BO774" s="6">
        <f>0</f>
        <v>0</v>
      </c>
      <c r="BP774" s="4" t="s">
        <v>256</v>
      </c>
      <c r="BQ774" s="4" t="s">
        <v>257</v>
      </c>
      <c r="CE774" s="4" t="s">
        <v>241</v>
      </c>
      <c r="CF774" s="4" t="s">
        <v>241</v>
      </c>
      <c r="CJ774" s="4" t="s">
        <v>276</v>
      </c>
      <c r="CK774" s="4" t="s">
        <v>259</v>
      </c>
      <c r="CL774" s="4" t="s">
        <v>241</v>
      </c>
      <c r="CO774" s="5" t="s">
        <v>260</v>
      </c>
      <c r="CP774" s="4" t="s">
        <v>241</v>
      </c>
      <c r="CQ774" s="4" t="s">
        <v>261</v>
      </c>
      <c r="CR774" s="4" t="s">
        <v>241</v>
      </c>
      <c r="CS774" s="4" t="s">
        <v>241</v>
      </c>
      <c r="CT774" s="4">
        <v>0</v>
      </c>
      <c r="CU774" s="4" t="s">
        <v>262</v>
      </c>
      <c r="CV774" s="4" t="s">
        <v>263</v>
      </c>
      <c r="CW774" s="4" t="s">
        <v>263</v>
      </c>
      <c r="CX774" s="4" t="s">
        <v>264</v>
      </c>
      <c r="DA774" s="6">
        <f>1</f>
        <v>1</v>
      </c>
      <c r="DC774" s="4" t="s">
        <v>277</v>
      </c>
      <c r="DD774" s="4" t="s">
        <v>241</v>
      </c>
      <c r="DF774" s="4" t="s">
        <v>277</v>
      </c>
      <c r="DG774" s="6">
        <f>20265</f>
        <v>20265</v>
      </c>
      <c r="DI774" s="4" t="s">
        <v>241</v>
      </c>
      <c r="DJ774" s="4" t="s">
        <v>241</v>
      </c>
      <c r="DK774" s="4" t="s">
        <v>241</v>
      </c>
      <c r="DL774" s="4" t="s">
        <v>241</v>
      </c>
      <c r="DP774" s="4" t="s">
        <v>241</v>
      </c>
      <c r="DQ774" s="4" t="s">
        <v>241</v>
      </c>
      <c r="DR774" s="4" t="s">
        <v>241</v>
      </c>
      <c r="DS774" s="4" t="s">
        <v>241</v>
      </c>
      <c r="DV774" s="4" t="s">
        <v>278</v>
      </c>
      <c r="DW774" s="4" t="s">
        <v>1746</v>
      </c>
      <c r="HO774" s="4" t="s">
        <v>267</v>
      </c>
    </row>
    <row r="775" spans="1:223" ht="19.5" customHeight="1" x14ac:dyDescent="0.4">
      <c r="A775" s="4">
        <v>1</v>
      </c>
      <c r="B775" s="4" t="s">
        <v>239</v>
      </c>
      <c r="C775" s="4">
        <v>2449</v>
      </c>
      <c r="D775" s="4">
        <v>1</v>
      </c>
      <c r="E775" s="4">
        <v>1</v>
      </c>
      <c r="F775" s="4" t="s">
        <v>268</v>
      </c>
      <c r="G775" s="4" t="s">
        <v>241</v>
      </c>
      <c r="H775" s="4" t="s">
        <v>241</v>
      </c>
      <c r="I775" s="4" t="s">
        <v>272</v>
      </c>
      <c r="J775" s="4" t="s">
        <v>274</v>
      </c>
      <c r="K775" s="4" t="s">
        <v>251</v>
      </c>
      <c r="L775" s="4" t="s">
        <v>269</v>
      </c>
      <c r="M775" s="5" t="s">
        <v>1743</v>
      </c>
      <c r="N775" s="6">
        <f>13129</f>
        <v>13129</v>
      </c>
      <c r="O775" s="4" t="s">
        <v>265</v>
      </c>
      <c r="P775" s="6">
        <f>1</f>
        <v>1</v>
      </c>
      <c r="Q775" s="6">
        <f>0</f>
        <v>0</v>
      </c>
      <c r="S775" s="6">
        <f>0</f>
        <v>0</v>
      </c>
      <c r="T775" s="6">
        <f>1</f>
        <v>1</v>
      </c>
      <c r="U775" s="5" t="s">
        <v>245</v>
      </c>
      <c r="V775" s="4" t="s">
        <v>270</v>
      </c>
      <c r="W775" s="4" t="s">
        <v>271</v>
      </c>
      <c r="X775" s="4" t="s">
        <v>273</v>
      </c>
      <c r="Y775" s="4" t="s">
        <v>241</v>
      </c>
      <c r="AB775" s="4" t="s">
        <v>241</v>
      </c>
      <c r="AD775" s="5" t="s">
        <v>241</v>
      </c>
      <c r="AG775" s="5" t="s">
        <v>1064</v>
      </c>
      <c r="AH775" s="4" t="s">
        <v>241</v>
      </c>
      <c r="AI775" s="4" t="s">
        <v>247</v>
      </c>
      <c r="AJ775" s="4" t="s">
        <v>248</v>
      </c>
      <c r="AZ775" s="4" t="s">
        <v>249</v>
      </c>
      <c r="BA775" s="4" t="s">
        <v>241</v>
      </c>
      <c r="BB775" s="4" t="s">
        <v>250</v>
      </c>
      <c r="BC775" s="4" t="s">
        <v>241</v>
      </c>
      <c r="BD775" s="4" t="s">
        <v>252</v>
      </c>
      <c r="BE775" s="4" t="s">
        <v>241</v>
      </c>
      <c r="BI775" s="4" t="s">
        <v>295</v>
      </c>
      <c r="BJ775" s="5" t="s">
        <v>1064</v>
      </c>
      <c r="BK775" s="4" t="s">
        <v>254</v>
      </c>
      <c r="BL775" s="4" t="s">
        <v>255</v>
      </c>
      <c r="BM775" s="4" t="s">
        <v>241</v>
      </c>
      <c r="BN775" s="6">
        <f>0</f>
        <v>0</v>
      </c>
      <c r="BO775" s="6">
        <f>0</f>
        <v>0</v>
      </c>
      <c r="BP775" s="4" t="s">
        <v>256</v>
      </c>
      <c r="BQ775" s="4" t="s">
        <v>257</v>
      </c>
      <c r="CE775" s="4" t="s">
        <v>241</v>
      </c>
      <c r="CF775" s="4" t="s">
        <v>241</v>
      </c>
      <c r="CJ775" s="4" t="s">
        <v>276</v>
      </c>
      <c r="CK775" s="4" t="s">
        <v>259</v>
      </c>
      <c r="CL775" s="4" t="s">
        <v>241</v>
      </c>
      <c r="CO775" s="5" t="s">
        <v>260</v>
      </c>
      <c r="CP775" s="4" t="s">
        <v>241</v>
      </c>
      <c r="CQ775" s="4" t="s">
        <v>261</v>
      </c>
      <c r="CR775" s="4" t="s">
        <v>241</v>
      </c>
      <c r="CS775" s="4" t="s">
        <v>241</v>
      </c>
      <c r="CT775" s="4">
        <v>0</v>
      </c>
      <c r="CU775" s="4" t="s">
        <v>262</v>
      </c>
      <c r="CV775" s="4" t="s">
        <v>263</v>
      </c>
      <c r="CW775" s="4" t="s">
        <v>263</v>
      </c>
      <c r="CX775" s="4" t="s">
        <v>264</v>
      </c>
      <c r="DA775" s="6">
        <f>1</f>
        <v>1</v>
      </c>
      <c r="DC775" s="4" t="s">
        <v>277</v>
      </c>
      <c r="DD775" s="4" t="s">
        <v>241</v>
      </c>
      <c r="DF775" s="4" t="s">
        <v>277</v>
      </c>
      <c r="DG775" s="6">
        <f>13129</f>
        <v>13129</v>
      </c>
      <c r="DI775" s="4" t="s">
        <v>241</v>
      </c>
      <c r="DJ775" s="4" t="s">
        <v>241</v>
      </c>
      <c r="DK775" s="4" t="s">
        <v>241</v>
      </c>
      <c r="DL775" s="4" t="s">
        <v>241</v>
      </c>
      <c r="DP775" s="4" t="s">
        <v>241</v>
      </c>
      <c r="DQ775" s="4" t="s">
        <v>241</v>
      </c>
      <c r="DR775" s="4" t="s">
        <v>241</v>
      </c>
      <c r="DS775" s="4" t="s">
        <v>241</v>
      </c>
      <c r="DV775" s="4" t="s">
        <v>278</v>
      </c>
      <c r="DW775" s="4" t="s">
        <v>1744</v>
      </c>
      <c r="HO775" s="4" t="s">
        <v>267</v>
      </c>
    </row>
    <row r="776" spans="1:223" ht="19.5" customHeight="1" x14ac:dyDescent="0.4">
      <c r="A776" s="4">
        <v>1</v>
      </c>
      <c r="B776" s="4" t="s">
        <v>239</v>
      </c>
      <c r="C776" s="4">
        <v>2450</v>
      </c>
      <c r="D776" s="4">
        <v>1</v>
      </c>
      <c r="E776" s="4">
        <v>1</v>
      </c>
      <c r="F776" s="4" t="s">
        <v>268</v>
      </c>
      <c r="G776" s="4" t="s">
        <v>241</v>
      </c>
      <c r="H776" s="4" t="s">
        <v>241</v>
      </c>
      <c r="I776" s="4" t="s">
        <v>272</v>
      </c>
      <c r="J776" s="4" t="s">
        <v>274</v>
      </c>
      <c r="K776" s="4" t="s">
        <v>251</v>
      </c>
      <c r="L776" s="4" t="s">
        <v>269</v>
      </c>
      <c r="M776" s="5" t="s">
        <v>1741</v>
      </c>
      <c r="N776" s="6">
        <f>11184</f>
        <v>11184</v>
      </c>
      <c r="O776" s="4" t="s">
        <v>265</v>
      </c>
      <c r="P776" s="6">
        <f>1</f>
        <v>1</v>
      </c>
      <c r="Q776" s="6">
        <f>0</f>
        <v>0</v>
      </c>
      <c r="S776" s="6">
        <f>0</f>
        <v>0</v>
      </c>
      <c r="T776" s="6">
        <f>1</f>
        <v>1</v>
      </c>
      <c r="U776" s="5" t="s">
        <v>245</v>
      </c>
      <c r="V776" s="4" t="s">
        <v>270</v>
      </c>
      <c r="W776" s="4" t="s">
        <v>271</v>
      </c>
      <c r="X776" s="4" t="s">
        <v>273</v>
      </c>
      <c r="Y776" s="4" t="s">
        <v>241</v>
      </c>
      <c r="AB776" s="4" t="s">
        <v>241</v>
      </c>
      <c r="AD776" s="5" t="s">
        <v>241</v>
      </c>
      <c r="AG776" s="5" t="s">
        <v>1064</v>
      </c>
      <c r="AH776" s="4" t="s">
        <v>241</v>
      </c>
      <c r="AI776" s="4" t="s">
        <v>247</v>
      </c>
      <c r="AJ776" s="4" t="s">
        <v>248</v>
      </c>
      <c r="AZ776" s="4" t="s">
        <v>249</v>
      </c>
      <c r="BA776" s="4" t="s">
        <v>241</v>
      </c>
      <c r="BB776" s="4" t="s">
        <v>250</v>
      </c>
      <c r="BC776" s="4" t="s">
        <v>241</v>
      </c>
      <c r="BD776" s="4" t="s">
        <v>252</v>
      </c>
      <c r="BE776" s="4" t="s">
        <v>241</v>
      </c>
      <c r="BI776" s="4" t="s">
        <v>284</v>
      </c>
      <c r="BJ776" s="5" t="s">
        <v>400</v>
      </c>
      <c r="BK776" s="4" t="s">
        <v>254</v>
      </c>
      <c r="BL776" s="4" t="s">
        <v>255</v>
      </c>
      <c r="BM776" s="4" t="s">
        <v>241</v>
      </c>
      <c r="BN776" s="6">
        <f>0</f>
        <v>0</v>
      </c>
      <c r="BO776" s="6">
        <f>0</f>
        <v>0</v>
      </c>
      <c r="BP776" s="4" t="s">
        <v>256</v>
      </c>
      <c r="BQ776" s="4" t="s">
        <v>257</v>
      </c>
      <c r="CE776" s="4" t="s">
        <v>241</v>
      </c>
      <c r="CF776" s="4" t="s">
        <v>241</v>
      </c>
      <c r="CJ776" s="4" t="s">
        <v>276</v>
      </c>
      <c r="CK776" s="4" t="s">
        <v>259</v>
      </c>
      <c r="CL776" s="4" t="s">
        <v>241</v>
      </c>
      <c r="CO776" s="5" t="s">
        <v>260</v>
      </c>
      <c r="CP776" s="4" t="s">
        <v>241</v>
      </c>
      <c r="CQ776" s="4" t="s">
        <v>261</v>
      </c>
      <c r="CR776" s="4" t="s">
        <v>241</v>
      </c>
      <c r="CS776" s="4" t="s">
        <v>241</v>
      </c>
      <c r="CT776" s="4">
        <v>0</v>
      </c>
      <c r="CU776" s="4" t="s">
        <v>262</v>
      </c>
      <c r="CV776" s="4" t="s">
        <v>263</v>
      </c>
      <c r="CW776" s="4" t="s">
        <v>263</v>
      </c>
      <c r="CX776" s="4" t="s">
        <v>264</v>
      </c>
      <c r="DA776" s="6">
        <f>1</f>
        <v>1</v>
      </c>
      <c r="DC776" s="4" t="s">
        <v>277</v>
      </c>
      <c r="DD776" s="4" t="s">
        <v>241</v>
      </c>
      <c r="DF776" s="4" t="s">
        <v>277</v>
      </c>
      <c r="DG776" s="6">
        <f>11184</f>
        <v>11184</v>
      </c>
      <c r="DI776" s="4" t="s">
        <v>241</v>
      </c>
      <c r="DJ776" s="4" t="s">
        <v>241</v>
      </c>
      <c r="DK776" s="4" t="s">
        <v>241</v>
      </c>
      <c r="DL776" s="4" t="s">
        <v>241</v>
      </c>
      <c r="DP776" s="4" t="s">
        <v>241</v>
      </c>
      <c r="DQ776" s="4" t="s">
        <v>241</v>
      </c>
      <c r="DR776" s="4" t="s">
        <v>241</v>
      </c>
      <c r="DS776" s="4" t="s">
        <v>241</v>
      </c>
      <c r="DV776" s="4" t="s">
        <v>278</v>
      </c>
      <c r="DW776" s="4" t="s">
        <v>1742</v>
      </c>
      <c r="HO776" s="4" t="s">
        <v>267</v>
      </c>
    </row>
    <row r="777" spans="1:223" ht="19.5" customHeight="1" x14ac:dyDescent="0.4">
      <c r="A777" s="4">
        <v>1</v>
      </c>
      <c r="B777" s="4" t="s">
        <v>239</v>
      </c>
      <c r="C777" s="4">
        <v>2451</v>
      </c>
      <c r="D777" s="4">
        <v>1</v>
      </c>
      <c r="E777" s="4">
        <v>1</v>
      </c>
      <c r="F777" s="4" t="s">
        <v>268</v>
      </c>
      <c r="G777" s="4" t="s">
        <v>241</v>
      </c>
      <c r="H777" s="4" t="s">
        <v>241</v>
      </c>
      <c r="I777" s="4" t="s">
        <v>272</v>
      </c>
      <c r="J777" s="4" t="s">
        <v>274</v>
      </c>
      <c r="K777" s="4" t="s">
        <v>251</v>
      </c>
      <c r="L777" s="4" t="s">
        <v>269</v>
      </c>
      <c r="M777" s="5" t="s">
        <v>1739</v>
      </c>
      <c r="N777" s="6">
        <f>322</f>
        <v>322</v>
      </c>
      <c r="O777" s="4" t="s">
        <v>265</v>
      </c>
      <c r="P777" s="6">
        <f>1</f>
        <v>1</v>
      </c>
      <c r="Q777" s="6">
        <f>0</f>
        <v>0</v>
      </c>
      <c r="S777" s="6">
        <f>0</f>
        <v>0</v>
      </c>
      <c r="T777" s="6">
        <f>1</f>
        <v>1</v>
      </c>
      <c r="U777" s="5" t="s">
        <v>245</v>
      </c>
      <c r="V777" s="4" t="s">
        <v>270</v>
      </c>
      <c r="W777" s="4" t="s">
        <v>271</v>
      </c>
      <c r="X777" s="4" t="s">
        <v>273</v>
      </c>
      <c r="Y777" s="4" t="s">
        <v>241</v>
      </c>
      <c r="AB777" s="4" t="s">
        <v>241</v>
      </c>
      <c r="AD777" s="5" t="s">
        <v>241</v>
      </c>
      <c r="AG777" s="5" t="s">
        <v>1064</v>
      </c>
      <c r="AH777" s="4" t="s">
        <v>241</v>
      </c>
      <c r="AI777" s="4" t="s">
        <v>247</v>
      </c>
      <c r="AJ777" s="4" t="s">
        <v>248</v>
      </c>
      <c r="AZ777" s="4" t="s">
        <v>249</v>
      </c>
      <c r="BA777" s="4" t="s">
        <v>241</v>
      </c>
      <c r="BB777" s="4" t="s">
        <v>250</v>
      </c>
      <c r="BC777" s="4" t="s">
        <v>241</v>
      </c>
      <c r="BD777" s="4" t="s">
        <v>252</v>
      </c>
      <c r="BE777" s="4" t="s">
        <v>241</v>
      </c>
      <c r="BI777" s="4" t="s">
        <v>295</v>
      </c>
      <c r="BJ777" s="5" t="s">
        <v>1064</v>
      </c>
      <c r="BK777" s="4" t="s">
        <v>254</v>
      </c>
      <c r="BL777" s="4" t="s">
        <v>255</v>
      </c>
      <c r="BM777" s="4" t="s">
        <v>241</v>
      </c>
      <c r="BN777" s="6">
        <f>0</f>
        <v>0</v>
      </c>
      <c r="BO777" s="6">
        <f>0</f>
        <v>0</v>
      </c>
      <c r="BP777" s="4" t="s">
        <v>256</v>
      </c>
      <c r="BQ777" s="4" t="s">
        <v>257</v>
      </c>
      <c r="CE777" s="4" t="s">
        <v>241</v>
      </c>
      <c r="CF777" s="4" t="s">
        <v>241</v>
      </c>
      <c r="CJ777" s="4" t="s">
        <v>276</v>
      </c>
      <c r="CK777" s="4" t="s">
        <v>259</v>
      </c>
      <c r="CL777" s="4" t="s">
        <v>241</v>
      </c>
      <c r="CO777" s="5" t="s">
        <v>260</v>
      </c>
      <c r="CP777" s="4" t="s">
        <v>241</v>
      </c>
      <c r="CQ777" s="4" t="s">
        <v>261</v>
      </c>
      <c r="CR777" s="4" t="s">
        <v>241</v>
      </c>
      <c r="CS777" s="4" t="s">
        <v>241</v>
      </c>
      <c r="CT777" s="4">
        <v>0</v>
      </c>
      <c r="CU777" s="4" t="s">
        <v>262</v>
      </c>
      <c r="CV777" s="4" t="s">
        <v>263</v>
      </c>
      <c r="CW777" s="4" t="s">
        <v>263</v>
      </c>
      <c r="CX777" s="4" t="s">
        <v>264</v>
      </c>
      <c r="DA777" s="6">
        <f>1</f>
        <v>1</v>
      </c>
      <c r="DC777" s="4" t="s">
        <v>277</v>
      </c>
      <c r="DD777" s="4" t="s">
        <v>241</v>
      </c>
      <c r="DF777" s="4" t="s">
        <v>277</v>
      </c>
      <c r="DG777" s="6">
        <f>322</f>
        <v>322</v>
      </c>
      <c r="DI777" s="4" t="s">
        <v>241</v>
      </c>
      <c r="DJ777" s="4" t="s">
        <v>241</v>
      </c>
      <c r="DK777" s="4" t="s">
        <v>241</v>
      </c>
      <c r="DL777" s="4" t="s">
        <v>241</v>
      </c>
      <c r="DP777" s="4" t="s">
        <v>241</v>
      </c>
      <c r="DQ777" s="4" t="s">
        <v>241</v>
      </c>
      <c r="DR777" s="4" t="s">
        <v>241</v>
      </c>
      <c r="DS777" s="4" t="s">
        <v>241</v>
      </c>
      <c r="DV777" s="4" t="s">
        <v>278</v>
      </c>
      <c r="DW777" s="4" t="s">
        <v>1740</v>
      </c>
      <c r="HO777" s="4" t="s">
        <v>267</v>
      </c>
    </row>
    <row r="778" spans="1:223" ht="19.5" customHeight="1" x14ac:dyDescent="0.4">
      <c r="A778" s="4">
        <v>1</v>
      </c>
      <c r="B778" s="4" t="s">
        <v>239</v>
      </c>
      <c r="C778" s="4">
        <v>2452</v>
      </c>
      <c r="D778" s="4">
        <v>1</v>
      </c>
      <c r="E778" s="4">
        <v>1</v>
      </c>
      <c r="F778" s="4" t="s">
        <v>268</v>
      </c>
      <c r="G778" s="4" t="s">
        <v>241</v>
      </c>
      <c r="H778" s="4" t="s">
        <v>241</v>
      </c>
      <c r="I778" s="4" t="s">
        <v>272</v>
      </c>
      <c r="J778" s="4" t="s">
        <v>274</v>
      </c>
      <c r="K778" s="4" t="s">
        <v>251</v>
      </c>
      <c r="L778" s="4" t="s">
        <v>269</v>
      </c>
      <c r="M778" s="5" t="s">
        <v>1737</v>
      </c>
      <c r="N778" s="6">
        <f>769</f>
        <v>769</v>
      </c>
      <c r="O778" s="4" t="s">
        <v>265</v>
      </c>
      <c r="P778" s="6">
        <f>1</f>
        <v>1</v>
      </c>
      <c r="Q778" s="6">
        <f>0</f>
        <v>0</v>
      </c>
      <c r="S778" s="6">
        <f>0</f>
        <v>0</v>
      </c>
      <c r="T778" s="6">
        <f>1</f>
        <v>1</v>
      </c>
      <c r="U778" s="5" t="s">
        <v>245</v>
      </c>
      <c r="V778" s="4" t="s">
        <v>270</v>
      </c>
      <c r="W778" s="4" t="s">
        <v>271</v>
      </c>
      <c r="X778" s="4" t="s">
        <v>273</v>
      </c>
      <c r="Y778" s="4" t="s">
        <v>241</v>
      </c>
      <c r="AB778" s="4" t="s">
        <v>241</v>
      </c>
      <c r="AD778" s="5" t="s">
        <v>241</v>
      </c>
      <c r="AG778" s="5" t="s">
        <v>1064</v>
      </c>
      <c r="AH778" s="4" t="s">
        <v>241</v>
      </c>
      <c r="AI778" s="4" t="s">
        <v>247</v>
      </c>
      <c r="AJ778" s="4" t="s">
        <v>248</v>
      </c>
      <c r="AZ778" s="4" t="s">
        <v>249</v>
      </c>
      <c r="BA778" s="4" t="s">
        <v>241</v>
      </c>
      <c r="BB778" s="4" t="s">
        <v>250</v>
      </c>
      <c r="BC778" s="4" t="s">
        <v>241</v>
      </c>
      <c r="BD778" s="4" t="s">
        <v>252</v>
      </c>
      <c r="BE778" s="4" t="s">
        <v>241</v>
      </c>
      <c r="BI778" s="4" t="s">
        <v>284</v>
      </c>
      <c r="BJ778" s="5" t="s">
        <v>400</v>
      </c>
      <c r="BK778" s="4" t="s">
        <v>254</v>
      </c>
      <c r="BL778" s="4" t="s">
        <v>255</v>
      </c>
      <c r="BM778" s="4" t="s">
        <v>241</v>
      </c>
      <c r="BN778" s="6">
        <f>0</f>
        <v>0</v>
      </c>
      <c r="BO778" s="6">
        <f>0</f>
        <v>0</v>
      </c>
      <c r="BP778" s="4" t="s">
        <v>256</v>
      </c>
      <c r="BQ778" s="4" t="s">
        <v>257</v>
      </c>
      <c r="CE778" s="4" t="s">
        <v>241</v>
      </c>
      <c r="CF778" s="4" t="s">
        <v>241</v>
      </c>
      <c r="CJ778" s="4" t="s">
        <v>276</v>
      </c>
      <c r="CK778" s="4" t="s">
        <v>259</v>
      </c>
      <c r="CL778" s="4" t="s">
        <v>241</v>
      </c>
      <c r="CO778" s="5" t="s">
        <v>260</v>
      </c>
      <c r="CP778" s="4" t="s">
        <v>241</v>
      </c>
      <c r="CQ778" s="4" t="s">
        <v>261</v>
      </c>
      <c r="CR778" s="4" t="s">
        <v>241</v>
      </c>
      <c r="CS778" s="4" t="s">
        <v>241</v>
      </c>
      <c r="CT778" s="4">
        <v>0</v>
      </c>
      <c r="CU778" s="4" t="s">
        <v>262</v>
      </c>
      <c r="CV778" s="4" t="s">
        <v>263</v>
      </c>
      <c r="CW778" s="4" t="s">
        <v>263</v>
      </c>
      <c r="CX778" s="4" t="s">
        <v>264</v>
      </c>
      <c r="DA778" s="6">
        <f>1</f>
        <v>1</v>
      </c>
      <c r="DC778" s="4" t="s">
        <v>277</v>
      </c>
      <c r="DD778" s="4" t="s">
        <v>241</v>
      </c>
      <c r="DF778" s="4" t="s">
        <v>277</v>
      </c>
      <c r="DG778" s="6">
        <f>769</f>
        <v>769</v>
      </c>
      <c r="DI778" s="4" t="s">
        <v>241</v>
      </c>
      <c r="DJ778" s="4" t="s">
        <v>241</v>
      </c>
      <c r="DK778" s="4" t="s">
        <v>241</v>
      </c>
      <c r="DL778" s="4" t="s">
        <v>241</v>
      </c>
      <c r="DP778" s="4" t="s">
        <v>241</v>
      </c>
      <c r="DQ778" s="4" t="s">
        <v>241</v>
      </c>
      <c r="DR778" s="4" t="s">
        <v>241</v>
      </c>
      <c r="DS778" s="4" t="s">
        <v>241</v>
      </c>
      <c r="DV778" s="4" t="s">
        <v>278</v>
      </c>
      <c r="DW778" s="4" t="s">
        <v>1738</v>
      </c>
      <c r="HO778" s="4" t="s">
        <v>267</v>
      </c>
    </row>
    <row r="779" spans="1:223" ht="19.5" customHeight="1" x14ac:dyDescent="0.4">
      <c r="A779" s="4">
        <v>1</v>
      </c>
      <c r="B779" s="4" t="s">
        <v>239</v>
      </c>
      <c r="C779" s="4">
        <v>2453</v>
      </c>
      <c r="D779" s="4">
        <v>1</v>
      </c>
      <c r="E779" s="4">
        <v>1</v>
      </c>
      <c r="F779" s="4" t="s">
        <v>268</v>
      </c>
      <c r="G779" s="4" t="s">
        <v>241</v>
      </c>
      <c r="H779" s="4" t="s">
        <v>241</v>
      </c>
      <c r="I779" s="4" t="s">
        <v>272</v>
      </c>
      <c r="J779" s="4" t="s">
        <v>274</v>
      </c>
      <c r="K779" s="4" t="s">
        <v>251</v>
      </c>
      <c r="L779" s="4" t="s">
        <v>269</v>
      </c>
      <c r="M779" s="5" t="s">
        <v>1735</v>
      </c>
      <c r="N779" s="6">
        <f>1833</f>
        <v>1833</v>
      </c>
      <c r="O779" s="4" t="s">
        <v>265</v>
      </c>
      <c r="P779" s="6">
        <f>1</f>
        <v>1</v>
      </c>
      <c r="Q779" s="6">
        <f>0</f>
        <v>0</v>
      </c>
      <c r="S779" s="6">
        <f>0</f>
        <v>0</v>
      </c>
      <c r="T779" s="6">
        <f>1</f>
        <v>1</v>
      </c>
      <c r="U779" s="5" t="s">
        <v>245</v>
      </c>
      <c r="V779" s="4" t="s">
        <v>270</v>
      </c>
      <c r="W779" s="4" t="s">
        <v>271</v>
      </c>
      <c r="X779" s="4" t="s">
        <v>273</v>
      </c>
      <c r="Y779" s="4" t="s">
        <v>241</v>
      </c>
      <c r="AB779" s="4" t="s">
        <v>241</v>
      </c>
      <c r="AD779" s="5" t="s">
        <v>241</v>
      </c>
      <c r="AG779" s="5" t="s">
        <v>246</v>
      </c>
      <c r="AH779" s="4" t="s">
        <v>241</v>
      </c>
      <c r="AI779" s="4" t="s">
        <v>247</v>
      </c>
      <c r="AJ779" s="4" t="s">
        <v>248</v>
      </c>
      <c r="AZ779" s="4" t="s">
        <v>249</v>
      </c>
      <c r="BA779" s="4" t="s">
        <v>241</v>
      </c>
      <c r="BB779" s="4" t="s">
        <v>250</v>
      </c>
      <c r="BC779" s="4" t="s">
        <v>241</v>
      </c>
      <c r="BD779" s="4" t="s">
        <v>252</v>
      </c>
      <c r="BE779" s="4" t="s">
        <v>241</v>
      </c>
      <c r="BI779" s="4" t="s">
        <v>253</v>
      </c>
      <c r="BJ779" s="5" t="s">
        <v>246</v>
      </c>
      <c r="BK779" s="4" t="s">
        <v>254</v>
      </c>
      <c r="BL779" s="4" t="s">
        <v>255</v>
      </c>
      <c r="BM779" s="4" t="s">
        <v>241</v>
      </c>
      <c r="BN779" s="6">
        <f>0</f>
        <v>0</v>
      </c>
      <c r="BO779" s="6">
        <f>0</f>
        <v>0</v>
      </c>
      <c r="BP779" s="4" t="s">
        <v>256</v>
      </c>
      <c r="BQ779" s="4" t="s">
        <v>257</v>
      </c>
      <c r="CE779" s="4" t="s">
        <v>241</v>
      </c>
      <c r="CF779" s="4" t="s">
        <v>241</v>
      </c>
      <c r="CJ779" s="4" t="s">
        <v>276</v>
      </c>
      <c r="CK779" s="4" t="s">
        <v>259</v>
      </c>
      <c r="CL779" s="4" t="s">
        <v>241</v>
      </c>
      <c r="CO779" s="5" t="s">
        <v>260</v>
      </c>
      <c r="CP779" s="4" t="s">
        <v>241</v>
      </c>
      <c r="CQ779" s="4" t="s">
        <v>261</v>
      </c>
      <c r="CR779" s="4" t="s">
        <v>241</v>
      </c>
      <c r="CS779" s="4" t="s">
        <v>241</v>
      </c>
      <c r="CT779" s="4">
        <v>0</v>
      </c>
      <c r="CU779" s="4" t="s">
        <v>262</v>
      </c>
      <c r="CV779" s="4" t="s">
        <v>263</v>
      </c>
      <c r="CW779" s="4" t="s">
        <v>263</v>
      </c>
      <c r="CX779" s="4" t="s">
        <v>264</v>
      </c>
      <c r="DA779" s="6">
        <f>1</f>
        <v>1</v>
      </c>
      <c r="DC779" s="4" t="s">
        <v>277</v>
      </c>
      <c r="DD779" s="4" t="s">
        <v>241</v>
      </c>
      <c r="DF779" s="4" t="s">
        <v>277</v>
      </c>
      <c r="DG779" s="6">
        <f>1833</f>
        <v>1833</v>
      </c>
      <c r="DI779" s="4" t="s">
        <v>241</v>
      </c>
      <c r="DJ779" s="4" t="s">
        <v>241</v>
      </c>
      <c r="DK779" s="4" t="s">
        <v>241</v>
      </c>
      <c r="DL779" s="4" t="s">
        <v>241</v>
      </c>
      <c r="DP779" s="4" t="s">
        <v>241</v>
      </c>
      <c r="DQ779" s="4" t="s">
        <v>241</v>
      </c>
      <c r="DR779" s="4" t="s">
        <v>241</v>
      </c>
      <c r="DS779" s="4" t="s">
        <v>241</v>
      </c>
      <c r="DV779" s="4" t="s">
        <v>278</v>
      </c>
      <c r="DW779" s="4" t="s">
        <v>1736</v>
      </c>
      <c r="HO779" s="4" t="s">
        <v>267</v>
      </c>
    </row>
    <row r="780" spans="1:223" ht="19.5" customHeight="1" x14ac:dyDescent="0.4">
      <c r="A780" s="4">
        <v>1</v>
      </c>
      <c r="B780" s="4" t="s">
        <v>239</v>
      </c>
      <c r="C780" s="4">
        <v>2454</v>
      </c>
      <c r="D780" s="4">
        <v>1</v>
      </c>
      <c r="E780" s="4">
        <v>1</v>
      </c>
      <c r="F780" s="4" t="s">
        <v>268</v>
      </c>
      <c r="G780" s="4" t="s">
        <v>241</v>
      </c>
      <c r="H780" s="4" t="s">
        <v>241</v>
      </c>
      <c r="I780" s="4" t="s">
        <v>272</v>
      </c>
      <c r="J780" s="4" t="s">
        <v>274</v>
      </c>
      <c r="K780" s="4" t="s">
        <v>251</v>
      </c>
      <c r="L780" s="4" t="s">
        <v>269</v>
      </c>
      <c r="M780" s="5" t="s">
        <v>1734</v>
      </c>
      <c r="N780" s="6">
        <f>180</f>
        <v>180</v>
      </c>
      <c r="O780" s="4" t="s">
        <v>265</v>
      </c>
      <c r="P780" s="6">
        <f>1</f>
        <v>1</v>
      </c>
      <c r="Q780" s="6">
        <f>0</f>
        <v>0</v>
      </c>
      <c r="S780" s="6">
        <f>0</f>
        <v>0</v>
      </c>
      <c r="T780" s="6">
        <f>1</f>
        <v>1</v>
      </c>
      <c r="U780" s="5" t="s">
        <v>245</v>
      </c>
      <c r="V780" s="4" t="s">
        <v>270</v>
      </c>
      <c r="W780" s="4" t="s">
        <v>271</v>
      </c>
      <c r="X780" s="4" t="s">
        <v>273</v>
      </c>
      <c r="Y780" s="4" t="s">
        <v>241</v>
      </c>
      <c r="AB780" s="4" t="s">
        <v>241</v>
      </c>
      <c r="AD780" s="5" t="s">
        <v>241</v>
      </c>
      <c r="AG780" s="5" t="s">
        <v>246</v>
      </c>
      <c r="AH780" s="4" t="s">
        <v>241</v>
      </c>
      <c r="AI780" s="4" t="s">
        <v>247</v>
      </c>
      <c r="AJ780" s="4" t="s">
        <v>248</v>
      </c>
      <c r="AZ780" s="4" t="s">
        <v>249</v>
      </c>
      <c r="BA780" s="4" t="s">
        <v>241</v>
      </c>
      <c r="BB780" s="4" t="s">
        <v>250</v>
      </c>
      <c r="BC780" s="4" t="s">
        <v>241</v>
      </c>
      <c r="BD780" s="4" t="s">
        <v>252</v>
      </c>
      <c r="BE780" s="4" t="s">
        <v>241</v>
      </c>
      <c r="BI780" s="4" t="s">
        <v>253</v>
      </c>
      <c r="BJ780" s="5" t="s">
        <v>246</v>
      </c>
      <c r="BK780" s="4" t="s">
        <v>254</v>
      </c>
      <c r="BL780" s="4" t="s">
        <v>255</v>
      </c>
      <c r="BM780" s="4" t="s">
        <v>241</v>
      </c>
      <c r="BN780" s="6">
        <f>0</f>
        <v>0</v>
      </c>
      <c r="BO780" s="6">
        <f>0</f>
        <v>0</v>
      </c>
      <c r="BP780" s="4" t="s">
        <v>256</v>
      </c>
      <c r="BQ780" s="4" t="s">
        <v>257</v>
      </c>
      <c r="CE780" s="4" t="s">
        <v>241</v>
      </c>
      <c r="CF780" s="4" t="s">
        <v>241</v>
      </c>
      <c r="CJ780" s="4" t="s">
        <v>276</v>
      </c>
      <c r="CK780" s="4" t="s">
        <v>259</v>
      </c>
      <c r="CL780" s="4" t="s">
        <v>241</v>
      </c>
      <c r="CO780" s="5" t="s">
        <v>260</v>
      </c>
      <c r="CP780" s="4" t="s">
        <v>241</v>
      </c>
      <c r="CQ780" s="4" t="s">
        <v>261</v>
      </c>
      <c r="CR780" s="4" t="s">
        <v>241</v>
      </c>
      <c r="CS780" s="4" t="s">
        <v>241</v>
      </c>
      <c r="CT780" s="4">
        <v>0</v>
      </c>
      <c r="CU780" s="4" t="s">
        <v>262</v>
      </c>
      <c r="CV780" s="4" t="s">
        <v>263</v>
      </c>
      <c r="CW780" s="4" t="s">
        <v>263</v>
      </c>
      <c r="CX780" s="4" t="s">
        <v>264</v>
      </c>
      <c r="DA780" s="6">
        <f>1</f>
        <v>1</v>
      </c>
      <c r="DC780" s="4" t="s">
        <v>277</v>
      </c>
      <c r="DD780" s="4" t="s">
        <v>241</v>
      </c>
      <c r="DF780" s="4" t="s">
        <v>277</v>
      </c>
      <c r="DG780" s="6">
        <f>180</f>
        <v>180</v>
      </c>
      <c r="DI780" s="4" t="s">
        <v>241</v>
      </c>
      <c r="DJ780" s="4" t="s">
        <v>241</v>
      </c>
      <c r="DK780" s="4" t="s">
        <v>241</v>
      </c>
      <c r="DL780" s="4" t="s">
        <v>241</v>
      </c>
      <c r="DP780" s="4" t="s">
        <v>241</v>
      </c>
      <c r="DQ780" s="4" t="s">
        <v>241</v>
      </c>
      <c r="DR780" s="4" t="s">
        <v>241</v>
      </c>
      <c r="DS780" s="4" t="s">
        <v>241</v>
      </c>
      <c r="DV780" s="4" t="s">
        <v>278</v>
      </c>
      <c r="DW780" s="4" t="s">
        <v>605</v>
      </c>
      <c r="HO780" s="4" t="s">
        <v>267</v>
      </c>
    </row>
    <row r="781" spans="1:223" ht="19.5" customHeight="1" x14ac:dyDescent="0.4">
      <c r="A781" s="4">
        <v>1</v>
      </c>
      <c r="B781" s="4" t="s">
        <v>239</v>
      </c>
      <c r="C781" s="4">
        <v>2455</v>
      </c>
      <c r="D781" s="4">
        <v>1</v>
      </c>
      <c r="E781" s="4">
        <v>1</v>
      </c>
      <c r="F781" s="4" t="s">
        <v>268</v>
      </c>
      <c r="G781" s="4" t="s">
        <v>241</v>
      </c>
      <c r="H781" s="4" t="s">
        <v>241</v>
      </c>
      <c r="I781" s="4" t="s">
        <v>272</v>
      </c>
      <c r="J781" s="4" t="s">
        <v>274</v>
      </c>
      <c r="K781" s="4" t="s">
        <v>251</v>
      </c>
      <c r="L781" s="4" t="s">
        <v>269</v>
      </c>
      <c r="M781" s="5" t="s">
        <v>1733</v>
      </c>
      <c r="N781" s="6">
        <f>5354</f>
        <v>5354</v>
      </c>
      <c r="O781" s="4" t="s">
        <v>265</v>
      </c>
      <c r="P781" s="6">
        <f>1</f>
        <v>1</v>
      </c>
      <c r="Q781" s="6">
        <f>0</f>
        <v>0</v>
      </c>
      <c r="S781" s="6">
        <f>0</f>
        <v>0</v>
      </c>
      <c r="T781" s="6">
        <f>1</f>
        <v>1</v>
      </c>
      <c r="U781" s="5" t="s">
        <v>245</v>
      </c>
      <c r="V781" s="4" t="s">
        <v>270</v>
      </c>
      <c r="W781" s="4" t="s">
        <v>271</v>
      </c>
      <c r="X781" s="4" t="s">
        <v>273</v>
      </c>
      <c r="Y781" s="4" t="s">
        <v>241</v>
      </c>
      <c r="AB781" s="4" t="s">
        <v>241</v>
      </c>
      <c r="AD781" s="5" t="s">
        <v>241</v>
      </c>
      <c r="AG781" s="5" t="s">
        <v>246</v>
      </c>
      <c r="AH781" s="4" t="s">
        <v>241</v>
      </c>
      <c r="AI781" s="4" t="s">
        <v>247</v>
      </c>
      <c r="AJ781" s="4" t="s">
        <v>248</v>
      </c>
      <c r="AZ781" s="4" t="s">
        <v>249</v>
      </c>
      <c r="BA781" s="4" t="s">
        <v>241</v>
      </c>
      <c r="BB781" s="4" t="s">
        <v>250</v>
      </c>
      <c r="BC781" s="4" t="s">
        <v>241</v>
      </c>
      <c r="BD781" s="4" t="s">
        <v>252</v>
      </c>
      <c r="BE781" s="4" t="s">
        <v>241</v>
      </c>
      <c r="BI781" s="4" t="s">
        <v>253</v>
      </c>
      <c r="BJ781" s="5" t="s">
        <v>246</v>
      </c>
      <c r="BK781" s="4" t="s">
        <v>254</v>
      </c>
      <c r="BL781" s="4" t="s">
        <v>255</v>
      </c>
      <c r="BM781" s="4" t="s">
        <v>241</v>
      </c>
      <c r="BN781" s="6">
        <f>0</f>
        <v>0</v>
      </c>
      <c r="BO781" s="6">
        <f>0</f>
        <v>0</v>
      </c>
      <c r="BP781" s="4" t="s">
        <v>256</v>
      </c>
      <c r="BQ781" s="4" t="s">
        <v>257</v>
      </c>
      <c r="CE781" s="4" t="s">
        <v>241</v>
      </c>
      <c r="CF781" s="4" t="s">
        <v>241</v>
      </c>
      <c r="CJ781" s="4" t="s">
        <v>276</v>
      </c>
      <c r="CK781" s="4" t="s">
        <v>259</v>
      </c>
      <c r="CL781" s="4" t="s">
        <v>241</v>
      </c>
      <c r="CO781" s="5" t="s">
        <v>260</v>
      </c>
      <c r="CP781" s="4" t="s">
        <v>241</v>
      </c>
      <c r="CQ781" s="4" t="s">
        <v>261</v>
      </c>
      <c r="CR781" s="4" t="s">
        <v>241</v>
      </c>
      <c r="CS781" s="4" t="s">
        <v>241</v>
      </c>
      <c r="CT781" s="4">
        <v>0</v>
      </c>
      <c r="CU781" s="4" t="s">
        <v>262</v>
      </c>
      <c r="CV781" s="4" t="s">
        <v>263</v>
      </c>
      <c r="CW781" s="4" t="s">
        <v>263</v>
      </c>
      <c r="CX781" s="4" t="s">
        <v>264</v>
      </c>
      <c r="DA781" s="6">
        <f>1</f>
        <v>1</v>
      </c>
      <c r="DC781" s="4" t="s">
        <v>277</v>
      </c>
      <c r="DD781" s="4" t="s">
        <v>241</v>
      </c>
      <c r="DF781" s="4" t="s">
        <v>277</v>
      </c>
      <c r="DG781" s="6">
        <f>5354</f>
        <v>5354</v>
      </c>
      <c r="DI781" s="4" t="s">
        <v>241</v>
      </c>
      <c r="DJ781" s="4" t="s">
        <v>241</v>
      </c>
      <c r="DK781" s="4" t="s">
        <v>241</v>
      </c>
      <c r="DL781" s="4" t="s">
        <v>241</v>
      </c>
      <c r="DP781" s="4" t="s">
        <v>241</v>
      </c>
      <c r="DQ781" s="4" t="s">
        <v>241</v>
      </c>
      <c r="DR781" s="4" t="s">
        <v>241</v>
      </c>
      <c r="DS781" s="4" t="s">
        <v>241</v>
      </c>
      <c r="DV781" s="4" t="s">
        <v>278</v>
      </c>
      <c r="DW781" s="4" t="s">
        <v>349</v>
      </c>
      <c r="HO781" s="4" t="s">
        <v>267</v>
      </c>
    </row>
    <row r="782" spans="1:223" ht="19.5" customHeight="1" x14ac:dyDescent="0.4">
      <c r="A782" s="4">
        <v>1</v>
      </c>
      <c r="B782" s="4" t="s">
        <v>239</v>
      </c>
      <c r="C782" s="4">
        <v>2456</v>
      </c>
      <c r="D782" s="4">
        <v>1</v>
      </c>
      <c r="E782" s="4">
        <v>1</v>
      </c>
      <c r="F782" s="4" t="s">
        <v>268</v>
      </c>
      <c r="G782" s="4" t="s">
        <v>241</v>
      </c>
      <c r="H782" s="4" t="s">
        <v>241</v>
      </c>
      <c r="I782" s="4" t="s">
        <v>272</v>
      </c>
      <c r="J782" s="4" t="s">
        <v>274</v>
      </c>
      <c r="K782" s="4" t="s">
        <v>251</v>
      </c>
      <c r="L782" s="4" t="s">
        <v>269</v>
      </c>
      <c r="M782" s="5" t="s">
        <v>2031</v>
      </c>
      <c r="N782" s="6">
        <f>1844</f>
        <v>1844</v>
      </c>
      <c r="O782" s="4" t="s">
        <v>265</v>
      </c>
      <c r="P782" s="6">
        <f>1</f>
        <v>1</v>
      </c>
      <c r="Q782" s="6">
        <f>0</f>
        <v>0</v>
      </c>
      <c r="S782" s="6">
        <f>0</f>
        <v>0</v>
      </c>
      <c r="T782" s="6">
        <f>1</f>
        <v>1</v>
      </c>
      <c r="U782" s="5" t="s">
        <v>245</v>
      </c>
      <c r="V782" s="4" t="s">
        <v>270</v>
      </c>
      <c r="W782" s="4" t="s">
        <v>271</v>
      </c>
      <c r="X782" s="4" t="s">
        <v>273</v>
      </c>
      <c r="Y782" s="4" t="s">
        <v>241</v>
      </c>
      <c r="AB782" s="4" t="s">
        <v>241</v>
      </c>
      <c r="AD782" s="5" t="s">
        <v>241</v>
      </c>
      <c r="AG782" s="5" t="s">
        <v>246</v>
      </c>
      <c r="AH782" s="4" t="s">
        <v>241</v>
      </c>
      <c r="AI782" s="4" t="s">
        <v>247</v>
      </c>
      <c r="AJ782" s="4" t="s">
        <v>248</v>
      </c>
      <c r="AZ782" s="4" t="s">
        <v>249</v>
      </c>
      <c r="BA782" s="4" t="s">
        <v>241</v>
      </c>
      <c r="BB782" s="4" t="s">
        <v>250</v>
      </c>
      <c r="BC782" s="4" t="s">
        <v>241</v>
      </c>
      <c r="BD782" s="4" t="s">
        <v>252</v>
      </c>
      <c r="BE782" s="4" t="s">
        <v>241</v>
      </c>
      <c r="BI782" s="4" t="s">
        <v>253</v>
      </c>
      <c r="BJ782" s="5" t="s">
        <v>246</v>
      </c>
      <c r="BK782" s="4" t="s">
        <v>254</v>
      </c>
      <c r="BL782" s="4" t="s">
        <v>255</v>
      </c>
      <c r="BM782" s="4" t="s">
        <v>241</v>
      </c>
      <c r="BN782" s="6">
        <f>0</f>
        <v>0</v>
      </c>
      <c r="BO782" s="6">
        <f>0</f>
        <v>0</v>
      </c>
      <c r="BP782" s="4" t="s">
        <v>256</v>
      </c>
      <c r="BQ782" s="4" t="s">
        <v>257</v>
      </c>
      <c r="CE782" s="4" t="s">
        <v>241</v>
      </c>
      <c r="CF782" s="4" t="s">
        <v>241</v>
      </c>
      <c r="CJ782" s="4" t="s">
        <v>276</v>
      </c>
      <c r="CK782" s="4" t="s">
        <v>259</v>
      </c>
      <c r="CL782" s="4" t="s">
        <v>241</v>
      </c>
      <c r="CO782" s="5" t="s">
        <v>260</v>
      </c>
      <c r="CP782" s="4" t="s">
        <v>241</v>
      </c>
      <c r="CQ782" s="4" t="s">
        <v>261</v>
      </c>
      <c r="CR782" s="4" t="s">
        <v>241</v>
      </c>
      <c r="CS782" s="4" t="s">
        <v>241</v>
      </c>
      <c r="CT782" s="4">
        <v>0</v>
      </c>
      <c r="CU782" s="4" t="s">
        <v>262</v>
      </c>
      <c r="CV782" s="4" t="s">
        <v>263</v>
      </c>
      <c r="CW782" s="4" t="s">
        <v>263</v>
      </c>
      <c r="CX782" s="4" t="s">
        <v>264</v>
      </c>
      <c r="DA782" s="6">
        <f>1</f>
        <v>1</v>
      </c>
      <c r="DC782" s="4" t="s">
        <v>277</v>
      </c>
      <c r="DD782" s="4" t="s">
        <v>241</v>
      </c>
      <c r="DF782" s="4" t="s">
        <v>277</v>
      </c>
      <c r="DG782" s="6">
        <f>1844</f>
        <v>1844</v>
      </c>
      <c r="DI782" s="4" t="s">
        <v>241</v>
      </c>
      <c r="DJ782" s="4" t="s">
        <v>241</v>
      </c>
      <c r="DK782" s="4" t="s">
        <v>241</v>
      </c>
      <c r="DL782" s="4" t="s">
        <v>241</v>
      </c>
      <c r="DP782" s="4" t="s">
        <v>241</v>
      </c>
      <c r="DQ782" s="4" t="s">
        <v>241</v>
      </c>
      <c r="DR782" s="4" t="s">
        <v>241</v>
      </c>
      <c r="DS782" s="4" t="s">
        <v>241</v>
      </c>
      <c r="DV782" s="4" t="s">
        <v>278</v>
      </c>
      <c r="DW782" s="4" t="s">
        <v>420</v>
      </c>
      <c r="HO782" s="4" t="s">
        <v>267</v>
      </c>
    </row>
    <row r="783" spans="1:223" ht="19.5" customHeight="1" x14ac:dyDescent="0.4">
      <c r="A783" s="4">
        <v>1</v>
      </c>
      <c r="B783" s="4" t="s">
        <v>239</v>
      </c>
      <c r="C783" s="4">
        <v>2457</v>
      </c>
      <c r="D783" s="4">
        <v>1</v>
      </c>
      <c r="E783" s="4">
        <v>1</v>
      </c>
      <c r="F783" s="4" t="s">
        <v>268</v>
      </c>
      <c r="G783" s="4" t="s">
        <v>241</v>
      </c>
      <c r="H783" s="4" t="s">
        <v>241</v>
      </c>
      <c r="I783" s="4" t="s">
        <v>272</v>
      </c>
      <c r="J783" s="4" t="s">
        <v>274</v>
      </c>
      <c r="K783" s="4" t="s">
        <v>251</v>
      </c>
      <c r="L783" s="4" t="s">
        <v>269</v>
      </c>
      <c r="M783" s="5" t="s">
        <v>1731</v>
      </c>
      <c r="N783" s="6">
        <f>870</f>
        <v>870</v>
      </c>
      <c r="O783" s="4" t="s">
        <v>265</v>
      </c>
      <c r="P783" s="6">
        <f>1</f>
        <v>1</v>
      </c>
      <c r="Q783" s="6">
        <f>0</f>
        <v>0</v>
      </c>
      <c r="S783" s="6">
        <f>0</f>
        <v>0</v>
      </c>
      <c r="T783" s="6">
        <f>1</f>
        <v>1</v>
      </c>
      <c r="U783" s="5" t="s">
        <v>245</v>
      </c>
      <c r="V783" s="4" t="s">
        <v>270</v>
      </c>
      <c r="W783" s="4" t="s">
        <v>271</v>
      </c>
      <c r="X783" s="4" t="s">
        <v>273</v>
      </c>
      <c r="Y783" s="4" t="s">
        <v>241</v>
      </c>
      <c r="AB783" s="4" t="s">
        <v>241</v>
      </c>
      <c r="AD783" s="5" t="s">
        <v>241</v>
      </c>
      <c r="AG783" s="5" t="s">
        <v>246</v>
      </c>
      <c r="AH783" s="4" t="s">
        <v>241</v>
      </c>
      <c r="AI783" s="4" t="s">
        <v>247</v>
      </c>
      <c r="AJ783" s="4" t="s">
        <v>248</v>
      </c>
      <c r="AZ783" s="4" t="s">
        <v>249</v>
      </c>
      <c r="BA783" s="4" t="s">
        <v>241</v>
      </c>
      <c r="BB783" s="4" t="s">
        <v>250</v>
      </c>
      <c r="BC783" s="4" t="s">
        <v>241</v>
      </c>
      <c r="BD783" s="4" t="s">
        <v>252</v>
      </c>
      <c r="BE783" s="4" t="s">
        <v>241</v>
      </c>
      <c r="BI783" s="4" t="s">
        <v>253</v>
      </c>
      <c r="BJ783" s="5" t="s">
        <v>246</v>
      </c>
      <c r="BK783" s="4" t="s">
        <v>254</v>
      </c>
      <c r="BL783" s="4" t="s">
        <v>255</v>
      </c>
      <c r="BM783" s="4" t="s">
        <v>241</v>
      </c>
      <c r="BN783" s="6">
        <f>0</f>
        <v>0</v>
      </c>
      <c r="BO783" s="6">
        <f>0</f>
        <v>0</v>
      </c>
      <c r="BP783" s="4" t="s">
        <v>256</v>
      </c>
      <c r="BQ783" s="4" t="s">
        <v>257</v>
      </c>
      <c r="CE783" s="4" t="s">
        <v>241</v>
      </c>
      <c r="CF783" s="4" t="s">
        <v>241</v>
      </c>
      <c r="CJ783" s="4" t="s">
        <v>276</v>
      </c>
      <c r="CK783" s="4" t="s">
        <v>259</v>
      </c>
      <c r="CL783" s="4" t="s">
        <v>241</v>
      </c>
      <c r="CO783" s="5" t="s">
        <v>260</v>
      </c>
      <c r="CP783" s="4" t="s">
        <v>241</v>
      </c>
      <c r="CQ783" s="4" t="s">
        <v>261</v>
      </c>
      <c r="CR783" s="4" t="s">
        <v>241</v>
      </c>
      <c r="CS783" s="4" t="s">
        <v>241</v>
      </c>
      <c r="CT783" s="4">
        <v>0</v>
      </c>
      <c r="CU783" s="4" t="s">
        <v>262</v>
      </c>
      <c r="CV783" s="4" t="s">
        <v>263</v>
      </c>
      <c r="CW783" s="4" t="s">
        <v>263</v>
      </c>
      <c r="CX783" s="4" t="s">
        <v>264</v>
      </c>
      <c r="DA783" s="6">
        <f>1</f>
        <v>1</v>
      </c>
      <c r="DC783" s="4" t="s">
        <v>277</v>
      </c>
      <c r="DD783" s="4" t="s">
        <v>241</v>
      </c>
      <c r="DF783" s="4" t="s">
        <v>277</v>
      </c>
      <c r="DG783" s="6">
        <f>870</f>
        <v>870</v>
      </c>
      <c r="DI783" s="4" t="s">
        <v>241</v>
      </c>
      <c r="DJ783" s="4" t="s">
        <v>241</v>
      </c>
      <c r="DK783" s="4" t="s">
        <v>241</v>
      </c>
      <c r="DL783" s="4" t="s">
        <v>241</v>
      </c>
      <c r="DP783" s="4" t="s">
        <v>241</v>
      </c>
      <c r="DQ783" s="4" t="s">
        <v>241</v>
      </c>
      <c r="DR783" s="4" t="s">
        <v>241</v>
      </c>
      <c r="DS783" s="4" t="s">
        <v>241</v>
      </c>
      <c r="DV783" s="4" t="s">
        <v>278</v>
      </c>
      <c r="DW783" s="4" t="s">
        <v>1732</v>
      </c>
      <c r="HO783" s="4" t="s">
        <v>267</v>
      </c>
    </row>
    <row r="784" spans="1:223" ht="19.5" customHeight="1" x14ac:dyDescent="0.4">
      <c r="A784" s="4">
        <v>1</v>
      </c>
      <c r="B784" s="4" t="s">
        <v>239</v>
      </c>
      <c r="C784" s="4">
        <v>2458</v>
      </c>
      <c r="D784" s="4">
        <v>1</v>
      </c>
      <c r="E784" s="4">
        <v>1</v>
      </c>
      <c r="F784" s="4" t="s">
        <v>268</v>
      </c>
      <c r="G784" s="4" t="s">
        <v>241</v>
      </c>
      <c r="H784" s="4" t="s">
        <v>241</v>
      </c>
      <c r="I784" s="4" t="s">
        <v>272</v>
      </c>
      <c r="J784" s="4" t="s">
        <v>274</v>
      </c>
      <c r="K784" s="4" t="s">
        <v>251</v>
      </c>
      <c r="L784" s="4" t="s">
        <v>269</v>
      </c>
      <c r="M784" s="5" t="s">
        <v>1729</v>
      </c>
      <c r="N784" s="6">
        <f>2925</f>
        <v>2925</v>
      </c>
      <c r="O784" s="4" t="s">
        <v>265</v>
      </c>
      <c r="P784" s="6">
        <f>1</f>
        <v>1</v>
      </c>
      <c r="Q784" s="6">
        <f>0</f>
        <v>0</v>
      </c>
      <c r="S784" s="6">
        <f>0</f>
        <v>0</v>
      </c>
      <c r="T784" s="6">
        <f>1</f>
        <v>1</v>
      </c>
      <c r="U784" s="5" t="s">
        <v>245</v>
      </c>
      <c r="V784" s="4" t="s">
        <v>270</v>
      </c>
      <c r="W784" s="4" t="s">
        <v>271</v>
      </c>
      <c r="X784" s="4" t="s">
        <v>273</v>
      </c>
      <c r="Y784" s="4" t="s">
        <v>241</v>
      </c>
      <c r="AB784" s="4" t="s">
        <v>241</v>
      </c>
      <c r="AD784" s="5" t="s">
        <v>241</v>
      </c>
      <c r="AG784" s="5" t="s">
        <v>246</v>
      </c>
      <c r="AH784" s="4" t="s">
        <v>241</v>
      </c>
      <c r="AI784" s="4" t="s">
        <v>247</v>
      </c>
      <c r="AJ784" s="4" t="s">
        <v>248</v>
      </c>
      <c r="AZ784" s="4" t="s">
        <v>249</v>
      </c>
      <c r="BA784" s="4" t="s">
        <v>241</v>
      </c>
      <c r="BB784" s="4" t="s">
        <v>250</v>
      </c>
      <c r="BC784" s="4" t="s">
        <v>241</v>
      </c>
      <c r="BD784" s="4" t="s">
        <v>252</v>
      </c>
      <c r="BE784" s="4" t="s">
        <v>241</v>
      </c>
      <c r="BI784" s="4" t="s">
        <v>253</v>
      </c>
      <c r="BJ784" s="5" t="s">
        <v>246</v>
      </c>
      <c r="BK784" s="4" t="s">
        <v>254</v>
      </c>
      <c r="BL784" s="4" t="s">
        <v>255</v>
      </c>
      <c r="BM784" s="4" t="s">
        <v>241</v>
      </c>
      <c r="BN784" s="6">
        <f>0</f>
        <v>0</v>
      </c>
      <c r="BO784" s="6">
        <f>0</f>
        <v>0</v>
      </c>
      <c r="BP784" s="4" t="s">
        <v>256</v>
      </c>
      <c r="BQ784" s="4" t="s">
        <v>257</v>
      </c>
      <c r="CE784" s="4" t="s">
        <v>241</v>
      </c>
      <c r="CF784" s="4" t="s">
        <v>241</v>
      </c>
      <c r="CJ784" s="4" t="s">
        <v>276</v>
      </c>
      <c r="CK784" s="4" t="s">
        <v>259</v>
      </c>
      <c r="CL784" s="4" t="s">
        <v>241</v>
      </c>
      <c r="CO784" s="5" t="s">
        <v>260</v>
      </c>
      <c r="CP784" s="4" t="s">
        <v>241</v>
      </c>
      <c r="CQ784" s="4" t="s">
        <v>261</v>
      </c>
      <c r="CR784" s="4" t="s">
        <v>241</v>
      </c>
      <c r="CS784" s="4" t="s">
        <v>241</v>
      </c>
      <c r="CT784" s="4">
        <v>0</v>
      </c>
      <c r="CU784" s="4" t="s">
        <v>262</v>
      </c>
      <c r="CV784" s="4" t="s">
        <v>263</v>
      </c>
      <c r="CW784" s="4" t="s">
        <v>263</v>
      </c>
      <c r="CX784" s="4" t="s">
        <v>264</v>
      </c>
      <c r="DA784" s="6">
        <f>1</f>
        <v>1</v>
      </c>
      <c r="DC784" s="4" t="s">
        <v>277</v>
      </c>
      <c r="DD784" s="4" t="s">
        <v>241</v>
      </c>
      <c r="DF784" s="4" t="s">
        <v>277</v>
      </c>
      <c r="DG784" s="6">
        <f>2925</f>
        <v>2925</v>
      </c>
      <c r="DI784" s="4" t="s">
        <v>241</v>
      </c>
      <c r="DJ784" s="4" t="s">
        <v>241</v>
      </c>
      <c r="DK784" s="4" t="s">
        <v>241</v>
      </c>
      <c r="DL784" s="4" t="s">
        <v>241</v>
      </c>
      <c r="DP784" s="4" t="s">
        <v>241</v>
      </c>
      <c r="DQ784" s="4" t="s">
        <v>241</v>
      </c>
      <c r="DR784" s="4" t="s">
        <v>241</v>
      </c>
      <c r="DS784" s="4" t="s">
        <v>241</v>
      </c>
      <c r="DV784" s="4" t="s">
        <v>278</v>
      </c>
      <c r="DW784" s="4" t="s">
        <v>1730</v>
      </c>
      <c r="HO784" s="4" t="s">
        <v>267</v>
      </c>
    </row>
    <row r="785" spans="1:223" ht="19.5" customHeight="1" x14ac:dyDescent="0.4">
      <c r="A785" s="4">
        <v>1</v>
      </c>
      <c r="B785" s="4" t="s">
        <v>239</v>
      </c>
      <c r="C785" s="4">
        <v>2459</v>
      </c>
      <c r="D785" s="4">
        <v>1</v>
      </c>
      <c r="E785" s="4">
        <v>1</v>
      </c>
      <c r="F785" s="4" t="s">
        <v>268</v>
      </c>
      <c r="G785" s="4" t="s">
        <v>241</v>
      </c>
      <c r="H785" s="4" t="s">
        <v>241</v>
      </c>
      <c r="I785" s="4" t="s">
        <v>272</v>
      </c>
      <c r="J785" s="4" t="s">
        <v>274</v>
      </c>
      <c r="K785" s="4" t="s">
        <v>251</v>
      </c>
      <c r="L785" s="4" t="s">
        <v>269</v>
      </c>
      <c r="M785" s="5" t="s">
        <v>1727</v>
      </c>
      <c r="N785" s="6">
        <f>487</f>
        <v>487</v>
      </c>
      <c r="O785" s="4" t="s">
        <v>265</v>
      </c>
      <c r="P785" s="6">
        <f>1</f>
        <v>1</v>
      </c>
      <c r="Q785" s="6">
        <f>0</f>
        <v>0</v>
      </c>
      <c r="S785" s="6">
        <f>0</f>
        <v>0</v>
      </c>
      <c r="T785" s="6">
        <f>1</f>
        <v>1</v>
      </c>
      <c r="U785" s="5" t="s">
        <v>245</v>
      </c>
      <c r="V785" s="4" t="s">
        <v>270</v>
      </c>
      <c r="W785" s="4" t="s">
        <v>271</v>
      </c>
      <c r="X785" s="4" t="s">
        <v>273</v>
      </c>
      <c r="Y785" s="4" t="s">
        <v>241</v>
      </c>
      <c r="AB785" s="4" t="s">
        <v>241</v>
      </c>
      <c r="AD785" s="5" t="s">
        <v>241</v>
      </c>
      <c r="AG785" s="5" t="s">
        <v>246</v>
      </c>
      <c r="AH785" s="4" t="s">
        <v>241</v>
      </c>
      <c r="AI785" s="4" t="s">
        <v>247</v>
      </c>
      <c r="AJ785" s="4" t="s">
        <v>248</v>
      </c>
      <c r="AZ785" s="4" t="s">
        <v>249</v>
      </c>
      <c r="BA785" s="4" t="s">
        <v>241</v>
      </c>
      <c r="BB785" s="4" t="s">
        <v>250</v>
      </c>
      <c r="BC785" s="4" t="s">
        <v>241</v>
      </c>
      <c r="BD785" s="4" t="s">
        <v>252</v>
      </c>
      <c r="BE785" s="4" t="s">
        <v>241</v>
      </c>
      <c r="BI785" s="4" t="s">
        <v>253</v>
      </c>
      <c r="BJ785" s="5" t="s">
        <v>246</v>
      </c>
      <c r="BK785" s="4" t="s">
        <v>254</v>
      </c>
      <c r="BL785" s="4" t="s">
        <v>255</v>
      </c>
      <c r="BM785" s="4" t="s">
        <v>241</v>
      </c>
      <c r="BN785" s="6">
        <f>0</f>
        <v>0</v>
      </c>
      <c r="BO785" s="6">
        <f>0</f>
        <v>0</v>
      </c>
      <c r="BP785" s="4" t="s">
        <v>256</v>
      </c>
      <c r="BQ785" s="4" t="s">
        <v>257</v>
      </c>
      <c r="CE785" s="4" t="s">
        <v>241</v>
      </c>
      <c r="CF785" s="4" t="s">
        <v>241</v>
      </c>
      <c r="CJ785" s="4" t="s">
        <v>276</v>
      </c>
      <c r="CK785" s="4" t="s">
        <v>259</v>
      </c>
      <c r="CL785" s="4" t="s">
        <v>241</v>
      </c>
      <c r="CO785" s="5" t="s">
        <v>260</v>
      </c>
      <c r="CP785" s="4" t="s">
        <v>241</v>
      </c>
      <c r="CQ785" s="4" t="s">
        <v>261</v>
      </c>
      <c r="CR785" s="4" t="s">
        <v>241</v>
      </c>
      <c r="CS785" s="4" t="s">
        <v>241</v>
      </c>
      <c r="CT785" s="4">
        <v>0</v>
      </c>
      <c r="CU785" s="4" t="s">
        <v>262</v>
      </c>
      <c r="CV785" s="4" t="s">
        <v>263</v>
      </c>
      <c r="CW785" s="4" t="s">
        <v>263</v>
      </c>
      <c r="CX785" s="4" t="s">
        <v>264</v>
      </c>
      <c r="DA785" s="6">
        <f>1</f>
        <v>1</v>
      </c>
      <c r="DC785" s="4" t="s">
        <v>277</v>
      </c>
      <c r="DD785" s="4" t="s">
        <v>241</v>
      </c>
      <c r="DF785" s="4" t="s">
        <v>277</v>
      </c>
      <c r="DG785" s="6">
        <f>487</f>
        <v>487</v>
      </c>
      <c r="DI785" s="4" t="s">
        <v>241</v>
      </c>
      <c r="DJ785" s="4" t="s">
        <v>241</v>
      </c>
      <c r="DK785" s="4" t="s">
        <v>241</v>
      </c>
      <c r="DL785" s="4" t="s">
        <v>241</v>
      </c>
      <c r="DP785" s="4" t="s">
        <v>241</v>
      </c>
      <c r="DQ785" s="4" t="s">
        <v>241</v>
      </c>
      <c r="DR785" s="4" t="s">
        <v>241</v>
      </c>
      <c r="DS785" s="4" t="s">
        <v>241</v>
      </c>
      <c r="DV785" s="4" t="s">
        <v>278</v>
      </c>
      <c r="DW785" s="4" t="s">
        <v>1728</v>
      </c>
      <c r="HO785" s="4" t="s">
        <v>267</v>
      </c>
    </row>
    <row r="786" spans="1:223" ht="19.5" customHeight="1" x14ac:dyDescent="0.4">
      <c r="A786" s="4">
        <v>1</v>
      </c>
      <c r="B786" s="4" t="s">
        <v>239</v>
      </c>
      <c r="C786" s="4">
        <v>2460</v>
      </c>
      <c r="D786" s="4">
        <v>1</v>
      </c>
      <c r="E786" s="4">
        <v>1</v>
      </c>
      <c r="F786" s="4" t="s">
        <v>268</v>
      </c>
      <c r="G786" s="4" t="s">
        <v>241</v>
      </c>
      <c r="H786" s="4" t="s">
        <v>241</v>
      </c>
      <c r="I786" s="4" t="s">
        <v>272</v>
      </c>
      <c r="J786" s="4" t="s">
        <v>274</v>
      </c>
      <c r="K786" s="4" t="s">
        <v>251</v>
      </c>
      <c r="L786" s="4" t="s">
        <v>269</v>
      </c>
      <c r="M786" s="5" t="s">
        <v>1725</v>
      </c>
      <c r="N786" s="6">
        <f>2138</f>
        <v>2138</v>
      </c>
      <c r="O786" s="4" t="s">
        <v>265</v>
      </c>
      <c r="P786" s="6">
        <f>1</f>
        <v>1</v>
      </c>
      <c r="Q786" s="6">
        <f>0</f>
        <v>0</v>
      </c>
      <c r="S786" s="6">
        <f>0</f>
        <v>0</v>
      </c>
      <c r="T786" s="6">
        <f>1</f>
        <v>1</v>
      </c>
      <c r="U786" s="5" t="s">
        <v>245</v>
      </c>
      <c r="V786" s="4" t="s">
        <v>270</v>
      </c>
      <c r="W786" s="4" t="s">
        <v>271</v>
      </c>
      <c r="X786" s="4" t="s">
        <v>273</v>
      </c>
      <c r="Y786" s="4" t="s">
        <v>241</v>
      </c>
      <c r="AB786" s="4" t="s">
        <v>241</v>
      </c>
      <c r="AD786" s="5" t="s">
        <v>241</v>
      </c>
      <c r="AG786" s="5" t="s">
        <v>246</v>
      </c>
      <c r="AH786" s="4" t="s">
        <v>241</v>
      </c>
      <c r="AI786" s="4" t="s">
        <v>247</v>
      </c>
      <c r="AJ786" s="4" t="s">
        <v>248</v>
      </c>
      <c r="AZ786" s="4" t="s">
        <v>249</v>
      </c>
      <c r="BA786" s="4" t="s">
        <v>241</v>
      </c>
      <c r="BB786" s="4" t="s">
        <v>250</v>
      </c>
      <c r="BC786" s="4" t="s">
        <v>241</v>
      </c>
      <c r="BD786" s="4" t="s">
        <v>252</v>
      </c>
      <c r="BE786" s="4" t="s">
        <v>241</v>
      </c>
      <c r="BI786" s="4" t="s">
        <v>253</v>
      </c>
      <c r="BJ786" s="5" t="s">
        <v>246</v>
      </c>
      <c r="BK786" s="4" t="s">
        <v>254</v>
      </c>
      <c r="BL786" s="4" t="s">
        <v>255</v>
      </c>
      <c r="BM786" s="4" t="s">
        <v>241</v>
      </c>
      <c r="BN786" s="6">
        <f>0</f>
        <v>0</v>
      </c>
      <c r="BO786" s="6">
        <f>0</f>
        <v>0</v>
      </c>
      <c r="BP786" s="4" t="s">
        <v>256</v>
      </c>
      <c r="BQ786" s="4" t="s">
        <v>257</v>
      </c>
      <c r="CE786" s="4" t="s">
        <v>241</v>
      </c>
      <c r="CF786" s="4" t="s">
        <v>241</v>
      </c>
      <c r="CJ786" s="4" t="s">
        <v>276</v>
      </c>
      <c r="CK786" s="4" t="s">
        <v>259</v>
      </c>
      <c r="CL786" s="4" t="s">
        <v>241</v>
      </c>
      <c r="CO786" s="5" t="s">
        <v>260</v>
      </c>
      <c r="CP786" s="4" t="s">
        <v>241</v>
      </c>
      <c r="CQ786" s="4" t="s">
        <v>261</v>
      </c>
      <c r="CR786" s="4" t="s">
        <v>241</v>
      </c>
      <c r="CS786" s="4" t="s">
        <v>241</v>
      </c>
      <c r="CT786" s="4">
        <v>0</v>
      </c>
      <c r="CU786" s="4" t="s">
        <v>262</v>
      </c>
      <c r="CV786" s="4" t="s">
        <v>263</v>
      </c>
      <c r="CW786" s="4" t="s">
        <v>263</v>
      </c>
      <c r="CX786" s="4" t="s">
        <v>264</v>
      </c>
      <c r="DA786" s="6">
        <f>1</f>
        <v>1</v>
      </c>
      <c r="DC786" s="4" t="s">
        <v>277</v>
      </c>
      <c r="DD786" s="4" t="s">
        <v>241</v>
      </c>
      <c r="DF786" s="4" t="s">
        <v>277</v>
      </c>
      <c r="DG786" s="6">
        <f>2138</f>
        <v>2138</v>
      </c>
      <c r="DI786" s="4" t="s">
        <v>241</v>
      </c>
      <c r="DJ786" s="4" t="s">
        <v>241</v>
      </c>
      <c r="DK786" s="4" t="s">
        <v>241</v>
      </c>
      <c r="DL786" s="4" t="s">
        <v>241</v>
      </c>
      <c r="DP786" s="4" t="s">
        <v>241</v>
      </c>
      <c r="DQ786" s="4" t="s">
        <v>241</v>
      </c>
      <c r="DR786" s="4" t="s">
        <v>241</v>
      </c>
      <c r="DS786" s="4" t="s">
        <v>241</v>
      </c>
      <c r="DV786" s="4" t="s">
        <v>278</v>
      </c>
      <c r="DW786" s="4" t="s">
        <v>1726</v>
      </c>
      <c r="HO786" s="4" t="s">
        <v>267</v>
      </c>
    </row>
    <row r="787" spans="1:223" ht="19.5" customHeight="1" x14ac:dyDescent="0.4">
      <c r="A787" s="4">
        <v>1</v>
      </c>
      <c r="B787" s="4" t="s">
        <v>239</v>
      </c>
      <c r="C787" s="4">
        <v>2461</v>
      </c>
      <c r="D787" s="4">
        <v>1</v>
      </c>
      <c r="E787" s="4">
        <v>1</v>
      </c>
      <c r="F787" s="4" t="s">
        <v>268</v>
      </c>
      <c r="G787" s="4" t="s">
        <v>241</v>
      </c>
      <c r="H787" s="4" t="s">
        <v>241</v>
      </c>
      <c r="I787" s="4" t="s">
        <v>272</v>
      </c>
      <c r="J787" s="4" t="s">
        <v>274</v>
      </c>
      <c r="K787" s="4" t="s">
        <v>251</v>
      </c>
      <c r="L787" s="4" t="s">
        <v>269</v>
      </c>
      <c r="M787" s="5" t="s">
        <v>1724</v>
      </c>
      <c r="N787" s="6">
        <f>657</f>
        <v>657</v>
      </c>
      <c r="O787" s="4" t="s">
        <v>265</v>
      </c>
      <c r="P787" s="6">
        <f>1</f>
        <v>1</v>
      </c>
      <c r="Q787" s="6">
        <f>0</f>
        <v>0</v>
      </c>
      <c r="S787" s="6">
        <f>0</f>
        <v>0</v>
      </c>
      <c r="T787" s="6">
        <f>1</f>
        <v>1</v>
      </c>
      <c r="U787" s="5" t="s">
        <v>245</v>
      </c>
      <c r="V787" s="4" t="s">
        <v>270</v>
      </c>
      <c r="W787" s="4" t="s">
        <v>271</v>
      </c>
      <c r="X787" s="4" t="s">
        <v>273</v>
      </c>
      <c r="Y787" s="4" t="s">
        <v>241</v>
      </c>
      <c r="AB787" s="4" t="s">
        <v>241</v>
      </c>
      <c r="AD787" s="5" t="s">
        <v>241</v>
      </c>
      <c r="AG787" s="5" t="s">
        <v>246</v>
      </c>
      <c r="AH787" s="4" t="s">
        <v>241</v>
      </c>
      <c r="AI787" s="4" t="s">
        <v>247</v>
      </c>
      <c r="AJ787" s="4" t="s">
        <v>248</v>
      </c>
      <c r="AZ787" s="4" t="s">
        <v>249</v>
      </c>
      <c r="BA787" s="4" t="s">
        <v>241</v>
      </c>
      <c r="BB787" s="4" t="s">
        <v>250</v>
      </c>
      <c r="BC787" s="4" t="s">
        <v>241</v>
      </c>
      <c r="BD787" s="4" t="s">
        <v>252</v>
      </c>
      <c r="BE787" s="4" t="s">
        <v>241</v>
      </c>
      <c r="BI787" s="4" t="s">
        <v>253</v>
      </c>
      <c r="BJ787" s="5" t="s">
        <v>246</v>
      </c>
      <c r="BK787" s="4" t="s">
        <v>254</v>
      </c>
      <c r="BL787" s="4" t="s">
        <v>255</v>
      </c>
      <c r="BM787" s="4" t="s">
        <v>241</v>
      </c>
      <c r="BN787" s="6">
        <f>0</f>
        <v>0</v>
      </c>
      <c r="BO787" s="6">
        <f>0</f>
        <v>0</v>
      </c>
      <c r="BP787" s="4" t="s">
        <v>256</v>
      </c>
      <c r="BQ787" s="4" t="s">
        <v>257</v>
      </c>
      <c r="CE787" s="4" t="s">
        <v>241</v>
      </c>
      <c r="CF787" s="4" t="s">
        <v>241</v>
      </c>
      <c r="CJ787" s="4" t="s">
        <v>276</v>
      </c>
      <c r="CK787" s="4" t="s">
        <v>259</v>
      </c>
      <c r="CL787" s="4" t="s">
        <v>241</v>
      </c>
      <c r="CO787" s="5" t="s">
        <v>260</v>
      </c>
      <c r="CP787" s="4" t="s">
        <v>241</v>
      </c>
      <c r="CQ787" s="4" t="s">
        <v>261</v>
      </c>
      <c r="CR787" s="4" t="s">
        <v>241</v>
      </c>
      <c r="CS787" s="4" t="s">
        <v>241</v>
      </c>
      <c r="CT787" s="4">
        <v>0</v>
      </c>
      <c r="CU787" s="4" t="s">
        <v>262</v>
      </c>
      <c r="CV787" s="4" t="s">
        <v>263</v>
      </c>
      <c r="CW787" s="4" t="s">
        <v>263</v>
      </c>
      <c r="CX787" s="4" t="s">
        <v>264</v>
      </c>
      <c r="DA787" s="6">
        <f>1</f>
        <v>1</v>
      </c>
      <c r="DC787" s="4" t="s">
        <v>277</v>
      </c>
      <c r="DD787" s="4" t="s">
        <v>241</v>
      </c>
      <c r="DF787" s="4" t="s">
        <v>277</v>
      </c>
      <c r="DG787" s="6">
        <f>657</f>
        <v>657</v>
      </c>
      <c r="DI787" s="4" t="s">
        <v>241</v>
      </c>
      <c r="DJ787" s="4" t="s">
        <v>241</v>
      </c>
      <c r="DK787" s="4" t="s">
        <v>241</v>
      </c>
      <c r="DL787" s="4" t="s">
        <v>241</v>
      </c>
      <c r="DP787" s="4" t="s">
        <v>241</v>
      </c>
      <c r="DQ787" s="4" t="s">
        <v>241</v>
      </c>
      <c r="DR787" s="4" t="s">
        <v>241</v>
      </c>
      <c r="DS787" s="4" t="s">
        <v>241</v>
      </c>
      <c r="DV787" s="4" t="s">
        <v>278</v>
      </c>
      <c r="DW787" s="4" t="s">
        <v>741</v>
      </c>
      <c r="HO787" s="4" t="s">
        <v>267</v>
      </c>
    </row>
    <row r="788" spans="1:223" ht="19.5" customHeight="1" x14ac:dyDescent="0.4">
      <c r="A788" s="4">
        <v>1</v>
      </c>
      <c r="B788" s="4" t="s">
        <v>239</v>
      </c>
      <c r="C788" s="4">
        <v>2462</v>
      </c>
      <c r="D788" s="4">
        <v>1</v>
      </c>
      <c r="E788" s="4">
        <v>1</v>
      </c>
      <c r="F788" s="4" t="s">
        <v>268</v>
      </c>
      <c r="G788" s="4" t="s">
        <v>241</v>
      </c>
      <c r="H788" s="4" t="s">
        <v>241</v>
      </c>
      <c r="I788" s="4" t="s">
        <v>272</v>
      </c>
      <c r="J788" s="4" t="s">
        <v>274</v>
      </c>
      <c r="K788" s="4" t="s">
        <v>251</v>
      </c>
      <c r="L788" s="4" t="s">
        <v>269</v>
      </c>
      <c r="M788" s="5" t="s">
        <v>1722</v>
      </c>
      <c r="N788" s="6">
        <f>2398</f>
        <v>2398</v>
      </c>
      <c r="O788" s="4" t="s">
        <v>265</v>
      </c>
      <c r="P788" s="6">
        <f>1</f>
        <v>1</v>
      </c>
      <c r="Q788" s="6">
        <f>0</f>
        <v>0</v>
      </c>
      <c r="S788" s="6">
        <f>0</f>
        <v>0</v>
      </c>
      <c r="T788" s="6">
        <f>1</f>
        <v>1</v>
      </c>
      <c r="U788" s="5" t="s">
        <v>245</v>
      </c>
      <c r="V788" s="4" t="s">
        <v>270</v>
      </c>
      <c r="W788" s="4" t="s">
        <v>271</v>
      </c>
      <c r="X788" s="4" t="s">
        <v>273</v>
      </c>
      <c r="Y788" s="4" t="s">
        <v>241</v>
      </c>
      <c r="AB788" s="4" t="s">
        <v>241</v>
      </c>
      <c r="AD788" s="5" t="s">
        <v>241</v>
      </c>
      <c r="AG788" s="5" t="s">
        <v>246</v>
      </c>
      <c r="AH788" s="4" t="s">
        <v>241</v>
      </c>
      <c r="AI788" s="4" t="s">
        <v>247</v>
      </c>
      <c r="AJ788" s="4" t="s">
        <v>248</v>
      </c>
      <c r="AZ788" s="4" t="s">
        <v>249</v>
      </c>
      <c r="BA788" s="4" t="s">
        <v>241</v>
      </c>
      <c r="BB788" s="4" t="s">
        <v>250</v>
      </c>
      <c r="BC788" s="4" t="s">
        <v>241</v>
      </c>
      <c r="BD788" s="4" t="s">
        <v>252</v>
      </c>
      <c r="BE788" s="4" t="s">
        <v>241</v>
      </c>
      <c r="BI788" s="4" t="s">
        <v>253</v>
      </c>
      <c r="BJ788" s="5" t="s">
        <v>246</v>
      </c>
      <c r="BK788" s="4" t="s">
        <v>254</v>
      </c>
      <c r="BL788" s="4" t="s">
        <v>255</v>
      </c>
      <c r="BM788" s="4" t="s">
        <v>241</v>
      </c>
      <c r="BN788" s="6">
        <f>0</f>
        <v>0</v>
      </c>
      <c r="BO788" s="6">
        <f>0</f>
        <v>0</v>
      </c>
      <c r="BP788" s="4" t="s">
        <v>256</v>
      </c>
      <c r="BQ788" s="4" t="s">
        <v>257</v>
      </c>
      <c r="CE788" s="4" t="s">
        <v>241</v>
      </c>
      <c r="CF788" s="4" t="s">
        <v>241</v>
      </c>
      <c r="CJ788" s="4" t="s">
        <v>276</v>
      </c>
      <c r="CK788" s="4" t="s">
        <v>259</v>
      </c>
      <c r="CL788" s="4" t="s">
        <v>241</v>
      </c>
      <c r="CO788" s="5" t="s">
        <v>260</v>
      </c>
      <c r="CP788" s="4" t="s">
        <v>241</v>
      </c>
      <c r="CQ788" s="4" t="s">
        <v>261</v>
      </c>
      <c r="CR788" s="4" t="s">
        <v>241</v>
      </c>
      <c r="CS788" s="4" t="s">
        <v>241</v>
      </c>
      <c r="CT788" s="4">
        <v>0</v>
      </c>
      <c r="CU788" s="4" t="s">
        <v>262</v>
      </c>
      <c r="CV788" s="4" t="s">
        <v>263</v>
      </c>
      <c r="CW788" s="4" t="s">
        <v>263</v>
      </c>
      <c r="CX788" s="4" t="s">
        <v>264</v>
      </c>
      <c r="DA788" s="6">
        <f>1</f>
        <v>1</v>
      </c>
      <c r="DC788" s="4" t="s">
        <v>277</v>
      </c>
      <c r="DD788" s="4" t="s">
        <v>241</v>
      </c>
      <c r="DF788" s="4" t="s">
        <v>277</v>
      </c>
      <c r="DG788" s="6">
        <f>2398</f>
        <v>2398</v>
      </c>
      <c r="DI788" s="4" t="s">
        <v>241</v>
      </c>
      <c r="DJ788" s="4" t="s">
        <v>241</v>
      </c>
      <c r="DK788" s="4" t="s">
        <v>241</v>
      </c>
      <c r="DL788" s="4" t="s">
        <v>241</v>
      </c>
      <c r="DP788" s="4" t="s">
        <v>241</v>
      </c>
      <c r="DQ788" s="4" t="s">
        <v>241</v>
      </c>
      <c r="DR788" s="4" t="s">
        <v>241</v>
      </c>
      <c r="DS788" s="4" t="s">
        <v>241</v>
      </c>
      <c r="DV788" s="4" t="s">
        <v>278</v>
      </c>
      <c r="DW788" s="4" t="s">
        <v>1723</v>
      </c>
      <c r="HO788" s="4" t="s">
        <v>267</v>
      </c>
    </row>
    <row r="789" spans="1:223" ht="19.5" customHeight="1" x14ac:dyDescent="0.4">
      <c r="A789" s="4">
        <v>1</v>
      </c>
      <c r="B789" s="4" t="s">
        <v>239</v>
      </c>
      <c r="C789" s="4">
        <v>2463</v>
      </c>
      <c r="D789" s="4">
        <v>1</v>
      </c>
      <c r="E789" s="4">
        <v>1</v>
      </c>
      <c r="F789" s="4" t="s">
        <v>268</v>
      </c>
      <c r="G789" s="4" t="s">
        <v>241</v>
      </c>
      <c r="H789" s="4" t="s">
        <v>241</v>
      </c>
      <c r="I789" s="4" t="s">
        <v>272</v>
      </c>
      <c r="J789" s="4" t="s">
        <v>274</v>
      </c>
      <c r="K789" s="4" t="s">
        <v>251</v>
      </c>
      <c r="L789" s="4" t="s">
        <v>269</v>
      </c>
      <c r="M789" s="5" t="s">
        <v>1720</v>
      </c>
      <c r="N789" s="6">
        <f>1188</f>
        <v>1188</v>
      </c>
      <c r="O789" s="4" t="s">
        <v>265</v>
      </c>
      <c r="P789" s="6">
        <f>1</f>
        <v>1</v>
      </c>
      <c r="Q789" s="6">
        <f>0</f>
        <v>0</v>
      </c>
      <c r="S789" s="6">
        <f>0</f>
        <v>0</v>
      </c>
      <c r="T789" s="6">
        <f>1</f>
        <v>1</v>
      </c>
      <c r="U789" s="5" t="s">
        <v>245</v>
      </c>
      <c r="V789" s="4" t="s">
        <v>270</v>
      </c>
      <c r="W789" s="4" t="s">
        <v>271</v>
      </c>
      <c r="X789" s="4" t="s">
        <v>273</v>
      </c>
      <c r="Y789" s="4" t="s">
        <v>241</v>
      </c>
      <c r="AB789" s="4" t="s">
        <v>241</v>
      </c>
      <c r="AD789" s="5" t="s">
        <v>241</v>
      </c>
      <c r="AG789" s="5" t="s">
        <v>246</v>
      </c>
      <c r="AH789" s="4" t="s">
        <v>241</v>
      </c>
      <c r="AI789" s="4" t="s">
        <v>247</v>
      </c>
      <c r="AJ789" s="4" t="s">
        <v>248</v>
      </c>
      <c r="AZ789" s="4" t="s">
        <v>249</v>
      </c>
      <c r="BA789" s="4" t="s">
        <v>241</v>
      </c>
      <c r="BB789" s="4" t="s">
        <v>250</v>
      </c>
      <c r="BC789" s="4" t="s">
        <v>241</v>
      </c>
      <c r="BD789" s="4" t="s">
        <v>252</v>
      </c>
      <c r="BE789" s="4" t="s">
        <v>241</v>
      </c>
      <c r="BI789" s="4" t="s">
        <v>253</v>
      </c>
      <c r="BJ789" s="5" t="s">
        <v>246</v>
      </c>
      <c r="BK789" s="4" t="s">
        <v>254</v>
      </c>
      <c r="BL789" s="4" t="s">
        <v>255</v>
      </c>
      <c r="BM789" s="4" t="s">
        <v>241</v>
      </c>
      <c r="BN789" s="6">
        <f>0</f>
        <v>0</v>
      </c>
      <c r="BO789" s="6">
        <f>0</f>
        <v>0</v>
      </c>
      <c r="BP789" s="4" t="s">
        <v>256</v>
      </c>
      <c r="BQ789" s="4" t="s">
        <v>257</v>
      </c>
      <c r="CE789" s="4" t="s">
        <v>241</v>
      </c>
      <c r="CF789" s="4" t="s">
        <v>241</v>
      </c>
      <c r="CJ789" s="4" t="s">
        <v>276</v>
      </c>
      <c r="CK789" s="4" t="s">
        <v>259</v>
      </c>
      <c r="CL789" s="4" t="s">
        <v>241</v>
      </c>
      <c r="CO789" s="5" t="s">
        <v>260</v>
      </c>
      <c r="CP789" s="4" t="s">
        <v>241</v>
      </c>
      <c r="CQ789" s="4" t="s">
        <v>261</v>
      </c>
      <c r="CR789" s="4" t="s">
        <v>241</v>
      </c>
      <c r="CS789" s="4" t="s">
        <v>241</v>
      </c>
      <c r="CT789" s="4">
        <v>0</v>
      </c>
      <c r="CU789" s="4" t="s">
        <v>262</v>
      </c>
      <c r="CV789" s="4" t="s">
        <v>263</v>
      </c>
      <c r="CW789" s="4" t="s">
        <v>263</v>
      </c>
      <c r="CX789" s="4" t="s">
        <v>264</v>
      </c>
      <c r="DA789" s="6">
        <f>1</f>
        <v>1</v>
      </c>
      <c r="DC789" s="4" t="s">
        <v>277</v>
      </c>
      <c r="DD789" s="4" t="s">
        <v>241</v>
      </c>
      <c r="DF789" s="4" t="s">
        <v>277</v>
      </c>
      <c r="DG789" s="6">
        <f>1188</f>
        <v>1188</v>
      </c>
      <c r="DI789" s="4" t="s">
        <v>241</v>
      </c>
      <c r="DJ789" s="4" t="s">
        <v>241</v>
      </c>
      <c r="DK789" s="4" t="s">
        <v>241</v>
      </c>
      <c r="DL789" s="4" t="s">
        <v>241</v>
      </c>
      <c r="DP789" s="4" t="s">
        <v>241</v>
      </c>
      <c r="DQ789" s="4" t="s">
        <v>241</v>
      </c>
      <c r="DR789" s="4" t="s">
        <v>241</v>
      </c>
      <c r="DS789" s="4" t="s">
        <v>241</v>
      </c>
      <c r="DV789" s="4" t="s">
        <v>278</v>
      </c>
      <c r="DW789" s="4" t="s">
        <v>1721</v>
      </c>
      <c r="HO789" s="4" t="s">
        <v>267</v>
      </c>
    </row>
    <row r="790" spans="1:223" ht="19.5" customHeight="1" x14ac:dyDescent="0.4">
      <c r="A790" s="4">
        <v>1</v>
      </c>
      <c r="B790" s="4" t="s">
        <v>239</v>
      </c>
      <c r="C790" s="4">
        <v>2464</v>
      </c>
      <c r="D790" s="4">
        <v>1</v>
      </c>
      <c r="E790" s="4">
        <v>1</v>
      </c>
      <c r="F790" s="4" t="s">
        <v>268</v>
      </c>
      <c r="G790" s="4" t="s">
        <v>241</v>
      </c>
      <c r="H790" s="4" t="s">
        <v>241</v>
      </c>
      <c r="I790" s="4" t="s">
        <v>272</v>
      </c>
      <c r="J790" s="4" t="s">
        <v>274</v>
      </c>
      <c r="K790" s="4" t="s">
        <v>251</v>
      </c>
      <c r="L790" s="4" t="s">
        <v>269</v>
      </c>
      <c r="M790" s="5" t="s">
        <v>1718</v>
      </c>
      <c r="N790" s="6">
        <f>2400</f>
        <v>2400</v>
      </c>
      <c r="O790" s="4" t="s">
        <v>265</v>
      </c>
      <c r="P790" s="6">
        <f>1</f>
        <v>1</v>
      </c>
      <c r="Q790" s="6">
        <f>0</f>
        <v>0</v>
      </c>
      <c r="S790" s="6">
        <f>0</f>
        <v>0</v>
      </c>
      <c r="T790" s="6">
        <f>1</f>
        <v>1</v>
      </c>
      <c r="U790" s="5" t="s">
        <v>245</v>
      </c>
      <c r="V790" s="4" t="s">
        <v>270</v>
      </c>
      <c r="W790" s="4" t="s">
        <v>271</v>
      </c>
      <c r="X790" s="4" t="s">
        <v>273</v>
      </c>
      <c r="Y790" s="4" t="s">
        <v>241</v>
      </c>
      <c r="AB790" s="4" t="s">
        <v>241</v>
      </c>
      <c r="AD790" s="5" t="s">
        <v>241</v>
      </c>
      <c r="AG790" s="5" t="s">
        <v>246</v>
      </c>
      <c r="AH790" s="4" t="s">
        <v>241</v>
      </c>
      <c r="AI790" s="4" t="s">
        <v>247</v>
      </c>
      <c r="AJ790" s="4" t="s">
        <v>248</v>
      </c>
      <c r="AZ790" s="4" t="s">
        <v>249</v>
      </c>
      <c r="BA790" s="4" t="s">
        <v>241</v>
      </c>
      <c r="BB790" s="4" t="s">
        <v>250</v>
      </c>
      <c r="BC790" s="4" t="s">
        <v>241</v>
      </c>
      <c r="BD790" s="4" t="s">
        <v>252</v>
      </c>
      <c r="BE790" s="4" t="s">
        <v>241</v>
      </c>
      <c r="BI790" s="4" t="s">
        <v>253</v>
      </c>
      <c r="BJ790" s="5" t="s">
        <v>246</v>
      </c>
      <c r="BK790" s="4" t="s">
        <v>254</v>
      </c>
      <c r="BL790" s="4" t="s">
        <v>255</v>
      </c>
      <c r="BM790" s="4" t="s">
        <v>241</v>
      </c>
      <c r="BN790" s="6">
        <f>0</f>
        <v>0</v>
      </c>
      <c r="BO790" s="6">
        <f>0</f>
        <v>0</v>
      </c>
      <c r="BP790" s="4" t="s">
        <v>256</v>
      </c>
      <c r="BQ790" s="4" t="s">
        <v>257</v>
      </c>
      <c r="CE790" s="4" t="s">
        <v>241</v>
      </c>
      <c r="CF790" s="4" t="s">
        <v>241</v>
      </c>
      <c r="CJ790" s="4" t="s">
        <v>276</v>
      </c>
      <c r="CK790" s="4" t="s">
        <v>259</v>
      </c>
      <c r="CL790" s="4" t="s">
        <v>241</v>
      </c>
      <c r="CO790" s="5" t="s">
        <v>260</v>
      </c>
      <c r="CP790" s="4" t="s">
        <v>241</v>
      </c>
      <c r="CQ790" s="4" t="s">
        <v>261</v>
      </c>
      <c r="CR790" s="4" t="s">
        <v>241</v>
      </c>
      <c r="CS790" s="4" t="s">
        <v>241</v>
      </c>
      <c r="CT790" s="4">
        <v>0</v>
      </c>
      <c r="CU790" s="4" t="s">
        <v>262</v>
      </c>
      <c r="CV790" s="4" t="s">
        <v>263</v>
      </c>
      <c r="CW790" s="4" t="s">
        <v>263</v>
      </c>
      <c r="CX790" s="4" t="s">
        <v>264</v>
      </c>
      <c r="DA790" s="6">
        <f>1</f>
        <v>1</v>
      </c>
      <c r="DC790" s="4" t="s">
        <v>277</v>
      </c>
      <c r="DD790" s="4" t="s">
        <v>241</v>
      </c>
      <c r="DF790" s="4" t="s">
        <v>277</v>
      </c>
      <c r="DG790" s="6">
        <f>2400</f>
        <v>2400</v>
      </c>
      <c r="DI790" s="4" t="s">
        <v>241</v>
      </c>
      <c r="DJ790" s="4" t="s">
        <v>241</v>
      </c>
      <c r="DK790" s="4" t="s">
        <v>241</v>
      </c>
      <c r="DL790" s="4" t="s">
        <v>241</v>
      </c>
      <c r="DP790" s="4" t="s">
        <v>241</v>
      </c>
      <c r="DQ790" s="4" t="s">
        <v>241</v>
      </c>
      <c r="DR790" s="4" t="s">
        <v>241</v>
      </c>
      <c r="DS790" s="4" t="s">
        <v>241</v>
      </c>
      <c r="DV790" s="4" t="s">
        <v>278</v>
      </c>
      <c r="DW790" s="4" t="s">
        <v>1719</v>
      </c>
      <c r="HO790" s="4" t="s">
        <v>267</v>
      </c>
    </row>
    <row r="791" spans="1:223" ht="19.5" customHeight="1" x14ac:dyDescent="0.4">
      <c r="A791" s="4">
        <v>1</v>
      </c>
      <c r="B791" s="4" t="s">
        <v>239</v>
      </c>
      <c r="C791" s="4">
        <v>2465</v>
      </c>
      <c r="D791" s="4">
        <v>1</v>
      </c>
      <c r="E791" s="4">
        <v>1</v>
      </c>
      <c r="F791" s="4" t="s">
        <v>268</v>
      </c>
      <c r="G791" s="4" t="s">
        <v>241</v>
      </c>
      <c r="H791" s="4" t="s">
        <v>241</v>
      </c>
      <c r="I791" s="4" t="s">
        <v>272</v>
      </c>
      <c r="J791" s="4" t="s">
        <v>274</v>
      </c>
      <c r="K791" s="4" t="s">
        <v>251</v>
      </c>
      <c r="L791" s="4" t="s">
        <v>269</v>
      </c>
      <c r="M791" s="5" t="s">
        <v>1714</v>
      </c>
      <c r="N791" s="6">
        <f>2693</f>
        <v>2693</v>
      </c>
      <c r="O791" s="4" t="s">
        <v>265</v>
      </c>
      <c r="P791" s="6">
        <f>1</f>
        <v>1</v>
      </c>
      <c r="Q791" s="6">
        <f>0</f>
        <v>0</v>
      </c>
      <c r="S791" s="6">
        <f>0</f>
        <v>0</v>
      </c>
      <c r="T791" s="6">
        <f>1</f>
        <v>1</v>
      </c>
      <c r="U791" s="5" t="s">
        <v>245</v>
      </c>
      <c r="V791" s="4" t="s">
        <v>270</v>
      </c>
      <c r="W791" s="4" t="s">
        <v>271</v>
      </c>
      <c r="X791" s="4" t="s">
        <v>273</v>
      </c>
      <c r="Y791" s="4" t="s">
        <v>241</v>
      </c>
      <c r="AB791" s="4" t="s">
        <v>241</v>
      </c>
      <c r="AD791" s="5" t="s">
        <v>241</v>
      </c>
      <c r="AG791" s="5" t="s">
        <v>246</v>
      </c>
      <c r="AH791" s="4" t="s">
        <v>241</v>
      </c>
      <c r="AI791" s="4" t="s">
        <v>247</v>
      </c>
      <c r="AJ791" s="4" t="s">
        <v>248</v>
      </c>
      <c r="AZ791" s="4" t="s">
        <v>249</v>
      </c>
      <c r="BA791" s="4" t="s">
        <v>241</v>
      </c>
      <c r="BB791" s="4" t="s">
        <v>250</v>
      </c>
      <c r="BC791" s="4" t="s">
        <v>241</v>
      </c>
      <c r="BD791" s="4" t="s">
        <v>252</v>
      </c>
      <c r="BE791" s="4" t="s">
        <v>241</v>
      </c>
      <c r="BI791" s="4" t="s">
        <v>253</v>
      </c>
      <c r="BJ791" s="5" t="s">
        <v>246</v>
      </c>
      <c r="BK791" s="4" t="s">
        <v>254</v>
      </c>
      <c r="BL791" s="4" t="s">
        <v>255</v>
      </c>
      <c r="BM791" s="4" t="s">
        <v>241</v>
      </c>
      <c r="BN791" s="6">
        <f>0</f>
        <v>0</v>
      </c>
      <c r="BO791" s="6">
        <f>0</f>
        <v>0</v>
      </c>
      <c r="BP791" s="4" t="s">
        <v>256</v>
      </c>
      <c r="BQ791" s="4" t="s">
        <v>257</v>
      </c>
      <c r="CE791" s="4" t="s">
        <v>241</v>
      </c>
      <c r="CF791" s="4" t="s">
        <v>241</v>
      </c>
      <c r="CJ791" s="4" t="s">
        <v>276</v>
      </c>
      <c r="CK791" s="4" t="s">
        <v>259</v>
      </c>
      <c r="CL791" s="4" t="s">
        <v>241</v>
      </c>
      <c r="CO791" s="5" t="s">
        <v>260</v>
      </c>
      <c r="CP791" s="4" t="s">
        <v>241</v>
      </c>
      <c r="CQ791" s="4" t="s">
        <v>261</v>
      </c>
      <c r="CR791" s="4" t="s">
        <v>241</v>
      </c>
      <c r="CS791" s="4" t="s">
        <v>241</v>
      </c>
      <c r="CT791" s="4">
        <v>0</v>
      </c>
      <c r="CU791" s="4" t="s">
        <v>262</v>
      </c>
      <c r="CV791" s="4" t="s">
        <v>263</v>
      </c>
      <c r="CW791" s="4" t="s">
        <v>263</v>
      </c>
      <c r="CX791" s="4" t="s">
        <v>264</v>
      </c>
      <c r="DA791" s="6">
        <f>1</f>
        <v>1</v>
      </c>
      <c r="DC791" s="4" t="s">
        <v>277</v>
      </c>
      <c r="DD791" s="4" t="s">
        <v>241</v>
      </c>
      <c r="DF791" s="4" t="s">
        <v>277</v>
      </c>
      <c r="DG791" s="6">
        <f>2693</f>
        <v>2693</v>
      </c>
      <c r="DI791" s="4" t="s">
        <v>241</v>
      </c>
      <c r="DJ791" s="4" t="s">
        <v>241</v>
      </c>
      <c r="DK791" s="4" t="s">
        <v>241</v>
      </c>
      <c r="DL791" s="4" t="s">
        <v>241</v>
      </c>
      <c r="DP791" s="4" t="s">
        <v>241</v>
      </c>
      <c r="DQ791" s="4" t="s">
        <v>241</v>
      </c>
      <c r="DR791" s="4" t="s">
        <v>241</v>
      </c>
      <c r="DS791" s="4" t="s">
        <v>241</v>
      </c>
      <c r="DV791" s="4" t="s">
        <v>278</v>
      </c>
      <c r="DW791" s="4" t="s">
        <v>1715</v>
      </c>
      <c r="HO791" s="4" t="s">
        <v>267</v>
      </c>
    </row>
    <row r="792" spans="1:223" ht="19.5" customHeight="1" x14ac:dyDescent="0.4">
      <c r="A792" s="4">
        <v>1</v>
      </c>
      <c r="B792" s="4" t="s">
        <v>239</v>
      </c>
      <c r="C792" s="4">
        <v>2466</v>
      </c>
      <c r="D792" s="4">
        <v>1</v>
      </c>
      <c r="E792" s="4">
        <v>1</v>
      </c>
      <c r="F792" s="4" t="s">
        <v>268</v>
      </c>
      <c r="G792" s="4" t="s">
        <v>241</v>
      </c>
      <c r="H792" s="4" t="s">
        <v>241</v>
      </c>
      <c r="I792" s="4" t="s">
        <v>272</v>
      </c>
      <c r="J792" s="4" t="s">
        <v>274</v>
      </c>
      <c r="K792" s="4" t="s">
        <v>251</v>
      </c>
      <c r="L792" s="4" t="s">
        <v>269</v>
      </c>
      <c r="M792" s="5" t="s">
        <v>1712</v>
      </c>
      <c r="N792" s="6">
        <f>16929</f>
        <v>16929</v>
      </c>
      <c r="O792" s="4" t="s">
        <v>265</v>
      </c>
      <c r="P792" s="6">
        <f>1</f>
        <v>1</v>
      </c>
      <c r="Q792" s="6">
        <f>0</f>
        <v>0</v>
      </c>
      <c r="S792" s="6">
        <f>0</f>
        <v>0</v>
      </c>
      <c r="T792" s="6">
        <f>1</f>
        <v>1</v>
      </c>
      <c r="U792" s="5" t="s">
        <v>245</v>
      </c>
      <c r="V792" s="4" t="s">
        <v>270</v>
      </c>
      <c r="W792" s="4" t="s">
        <v>271</v>
      </c>
      <c r="X792" s="4" t="s">
        <v>273</v>
      </c>
      <c r="Y792" s="4" t="s">
        <v>241</v>
      </c>
      <c r="AB792" s="4" t="s">
        <v>241</v>
      </c>
      <c r="AD792" s="5" t="s">
        <v>241</v>
      </c>
      <c r="AG792" s="5" t="s">
        <v>246</v>
      </c>
      <c r="AH792" s="4" t="s">
        <v>241</v>
      </c>
      <c r="AI792" s="4" t="s">
        <v>247</v>
      </c>
      <c r="AJ792" s="4" t="s">
        <v>248</v>
      </c>
      <c r="AZ792" s="4" t="s">
        <v>249</v>
      </c>
      <c r="BA792" s="4" t="s">
        <v>241</v>
      </c>
      <c r="BB792" s="4" t="s">
        <v>250</v>
      </c>
      <c r="BC792" s="4" t="s">
        <v>241</v>
      </c>
      <c r="BD792" s="4" t="s">
        <v>252</v>
      </c>
      <c r="BE792" s="4" t="s">
        <v>241</v>
      </c>
      <c r="BI792" s="4" t="s">
        <v>253</v>
      </c>
      <c r="BJ792" s="5" t="s">
        <v>246</v>
      </c>
      <c r="BK792" s="4" t="s">
        <v>254</v>
      </c>
      <c r="BL792" s="4" t="s">
        <v>255</v>
      </c>
      <c r="BM792" s="4" t="s">
        <v>241</v>
      </c>
      <c r="BN792" s="6">
        <f>0</f>
        <v>0</v>
      </c>
      <c r="BO792" s="6">
        <f>0</f>
        <v>0</v>
      </c>
      <c r="BP792" s="4" t="s">
        <v>256</v>
      </c>
      <c r="BQ792" s="4" t="s">
        <v>257</v>
      </c>
      <c r="CE792" s="4" t="s">
        <v>241</v>
      </c>
      <c r="CF792" s="4" t="s">
        <v>241</v>
      </c>
      <c r="CJ792" s="4" t="s">
        <v>276</v>
      </c>
      <c r="CK792" s="4" t="s">
        <v>259</v>
      </c>
      <c r="CL792" s="4" t="s">
        <v>241</v>
      </c>
      <c r="CO792" s="5" t="s">
        <v>260</v>
      </c>
      <c r="CP792" s="4" t="s">
        <v>241</v>
      </c>
      <c r="CQ792" s="4" t="s">
        <v>261</v>
      </c>
      <c r="CR792" s="4" t="s">
        <v>241</v>
      </c>
      <c r="CS792" s="4" t="s">
        <v>241</v>
      </c>
      <c r="CT792" s="4">
        <v>0</v>
      </c>
      <c r="CU792" s="4" t="s">
        <v>262</v>
      </c>
      <c r="CV792" s="4" t="s">
        <v>263</v>
      </c>
      <c r="CW792" s="4" t="s">
        <v>263</v>
      </c>
      <c r="CX792" s="4" t="s">
        <v>264</v>
      </c>
      <c r="DA792" s="6">
        <f>1</f>
        <v>1</v>
      </c>
      <c r="DC792" s="4" t="s">
        <v>277</v>
      </c>
      <c r="DD792" s="4" t="s">
        <v>241</v>
      </c>
      <c r="DF792" s="4" t="s">
        <v>277</v>
      </c>
      <c r="DG792" s="6">
        <f>16929</f>
        <v>16929</v>
      </c>
      <c r="DI792" s="4" t="s">
        <v>241</v>
      </c>
      <c r="DJ792" s="4" t="s">
        <v>241</v>
      </c>
      <c r="DK792" s="4" t="s">
        <v>241</v>
      </c>
      <c r="DL792" s="4" t="s">
        <v>241</v>
      </c>
      <c r="DP792" s="4" t="s">
        <v>241</v>
      </c>
      <c r="DQ792" s="4" t="s">
        <v>241</v>
      </c>
      <c r="DR792" s="4" t="s">
        <v>241</v>
      </c>
      <c r="DS792" s="4" t="s">
        <v>241</v>
      </c>
      <c r="DV792" s="4" t="s">
        <v>278</v>
      </c>
      <c r="DW792" s="4" t="s">
        <v>1713</v>
      </c>
      <c r="HO792" s="4" t="s">
        <v>267</v>
      </c>
    </row>
    <row r="793" spans="1:223" ht="19.5" customHeight="1" x14ac:dyDescent="0.4">
      <c r="A793" s="4">
        <v>1</v>
      </c>
      <c r="B793" s="4" t="s">
        <v>239</v>
      </c>
      <c r="C793" s="4">
        <v>2467</v>
      </c>
      <c r="D793" s="4">
        <v>1</v>
      </c>
      <c r="E793" s="4">
        <v>1</v>
      </c>
      <c r="F793" s="4" t="s">
        <v>268</v>
      </c>
      <c r="G793" s="4" t="s">
        <v>241</v>
      </c>
      <c r="H793" s="4" t="s">
        <v>241</v>
      </c>
      <c r="I793" s="4" t="s">
        <v>272</v>
      </c>
      <c r="J793" s="4" t="s">
        <v>274</v>
      </c>
      <c r="K793" s="4" t="s">
        <v>251</v>
      </c>
      <c r="L793" s="4" t="s">
        <v>269</v>
      </c>
      <c r="M793" s="5" t="s">
        <v>1710</v>
      </c>
      <c r="N793" s="6">
        <f>1225</f>
        <v>1225</v>
      </c>
      <c r="O793" s="4" t="s">
        <v>265</v>
      </c>
      <c r="P793" s="6">
        <f>1</f>
        <v>1</v>
      </c>
      <c r="Q793" s="6">
        <f>0</f>
        <v>0</v>
      </c>
      <c r="S793" s="6">
        <f>0</f>
        <v>0</v>
      </c>
      <c r="T793" s="6">
        <f>1</f>
        <v>1</v>
      </c>
      <c r="U793" s="5" t="s">
        <v>245</v>
      </c>
      <c r="V793" s="4" t="s">
        <v>270</v>
      </c>
      <c r="W793" s="4" t="s">
        <v>271</v>
      </c>
      <c r="X793" s="4" t="s">
        <v>273</v>
      </c>
      <c r="Y793" s="4" t="s">
        <v>241</v>
      </c>
      <c r="AB793" s="4" t="s">
        <v>241</v>
      </c>
      <c r="AD793" s="5" t="s">
        <v>241</v>
      </c>
      <c r="AG793" s="5" t="s">
        <v>246</v>
      </c>
      <c r="AH793" s="4" t="s">
        <v>241</v>
      </c>
      <c r="AI793" s="4" t="s">
        <v>247</v>
      </c>
      <c r="AJ793" s="4" t="s">
        <v>248</v>
      </c>
      <c r="AZ793" s="4" t="s">
        <v>249</v>
      </c>
      <c r="BA793" s="4" t="s">
        <v>241</v>
      </c>
      <c r="BB793" s="4" t="s">
        <v>250</v>
      </c>
      <c r="BC793" s="4" t="s">
        <v>241</v>
      </c>
      <c r="BD793" s="4" t="s">
        <v>252</v>
      </c>
      <c r="BE793" s="4" t="s">
        <v>241</v>
      </c>
      <c r="BI793" s="4" t="s">
        <v>253</v>
      </c>
      <c r="BJ793" s="5" t="s">
        <v>246</v>
      </c>
      <c r="BK793" s="4" t="s">
        <v>254</v>
      </c>
      <c r="BL793" s="4" t="s">
        <v>255</v>
      </c>
      <c r="BM793" s="4" t="s">
        <v>241</v>
      </c>
      <c r="BN793" s="6">
        <f>0</f>
        <v>0</v>
      </c>
      <c r="BO793" s="6">
        <f>0</f>
        <v>0</v>
      </c>
      <c r="BP793" s="4" t="s">
        <v>256</v>
      </c>
      <c r="BQ793" s="4" t="s">
        <v>257</v>
      </c>
      <c r="CE793" s="4" t="s">
        <v>241</v>
      </c>
      <c r="CF793" s="4" t="s">
        <v>241</v>
      </c>
      <c r="CJ793" s="4" t="s">
        <v>276</v>
      </c>
      <c r="CK793" s="4" t="s">
        <v>259</v>
      </c>
      <c r="CL793" s="4" t="s">
        <v>241</v>
      </c>
      <c r="CO793" s="5" t="s">
        <v>260</v>
      </c>
      <c r="CP793" s="4" t="s">
        <v>241</v>
      </c>
      <c r="CQ793" s="4" t="s">
        <v>261</v>
      </c>
      <c r="CR793" s="4" t="s">
        <v>241</v>
      </c>
      <c r="CS793" s="4" t="s">
        <v>241</v>
      </c>
      <c r="CT793" s="4">
        <v>0</v>
      </c>
      <c r="CU793" s="4" t="s">
        <v>262</v>
      </c>
      <c r="CV793" s="4" t="s">
        <v>263</v>
      </c>
      <c r="CW793" s="4" t="s">
        <v>263</v>
      </c>
      <c r="CX793" s="4" t="s">
        <v>264</v>
      </c>
      <c r="DA793" s="6">
        <f>1</f>
        <v>1</v>
      </c>
      <c r="DC793" s="4" t="s">
        <v>277</v>
      </c>
      <c r="DD793" s="4" t="s">
        <v>241</v>
      </c>
      <c r="DF793" s="4" t="s">
        <v>277</v>
      </c>
      <c r="DG793" s="6">
        <f>1225</f>
        <v>1225</v>
      </c>
      <c r="DI793" s="4" t="s">
        <v>241</v>
      </c>
      <c r="DJ793" s="4" t="s">
        <v>241</v>
      </c>
      <c r="DK793" s="4" t="s">
        <v>241</v>
      </c>
      <c r="DL793" s="4" t="s">
        <v>241</v>
      </c>
      <c r="DP793" s="4" t="s">
        <v>241</v>
      </c>
      <c r="DQ793" s="4" t="s">
        <v>241</v>
      </c>
      <c r="DR793" s="4" t="s">
        <v>241</v>
      </c>
      <c r="DS793" s="4" t="s">
        <v>241</v>
      </c>
      <c r="DV793" s="4" t="s">
        <v>278</v>
      </c>
      <c r="DW793" s="4" t="s">
        <v>1711</v>
      </c>
      <c r="HO793" s="4" t="s">
        <v>267</v>
      </c>
    </row>
    <row r="794" spans="1:223" ht="19.5" customHeight="1" x14ac:dyDescent="0.4">
      <c r="A794" s="4">
        <v>1</v>
      </c>
      <c r="B794" s="4" t="s">
        <v>239</v>
      </c>
      <c r="C794" s="4">
        <v>2468</v>
      </c>
      <c r="D794" s="4">
        <v>1</v>
      </c>
      <c r="E794" s="4">
        <v>1</v>
      </c>
      <c r="F794" s="4" t="s">
        <v>268</v>
      </c>
      <c r="G794" s="4" t="s">
        <v>241</v>
      </c>
      <c r="H794" s="4" t="s">
        <v>241</v>
      </c>
      <c r="I794" s="4" t="s">
        <v>272</v>
      </c>
      <c r="J794" s="4" t="s">
        <v>274</v>
      </c>
      <c r="K794" s="4" t="s">
        <v>251</v>
      </c>
      <c r="L794" s="4" t="s">
        <v>269</v>
      </c>
      <c r="M794" s="5" t="s">
        <v>1708</v>
      </c>
      <c r="N794" s="6">
        <f>6054</f>
        <v>6054</v>
      </c>
      <c r="O794" s="4" t="s">
        <v>265</v>
      </c>
      <c r="P794" s="6">
        <f>1</f>
        <v>1</v>
      </c>
      <c r="Q794" s="6">
        <f>0</f>
        <v>0</v>
      </c>
      <c r="S794" s="6">
        <f>0</f>
        <v>0</v>
      </c>
      <c r="T794" s="6">
        <f>1</f>
        <v>1</v>
      </c>
      <c r="U794" s="5" t="s">
        <v>245</v>
      </c>
      <c r="V794" s="4" t="s">
        <v>270</v>
      </c>
      <c r="W794" s="4" t="s">
        <v>271</v>
      </c>
      <c r="X794" s="4" t="s">
        <v>273</v>
      </c>
      <c r="Y794" s="4" t="s">
        <v>241</v>
      </c>
      <c r="AB794" s="4" t="s">
        <v>241</v>
      </c>
      <c r="AD794" s="5" t="s">
        <v>241</v>
      </c>
      <c r="AG794" s="5" t="s">
        <v>246</v>
      </c>
      <c r="AH794" s="4" t="s">
        <v>241</v>
      </c>
      <c r="AI794" s="4" t="s">
        <v>247</v>
      </c>
      <c r="AJ794" s="4" t="s">
        <v>248</v>
      </c>
      <c r="AZ794" s="4" t="s">
        <v>249</v>
      </c>
      <c r="BA794" s="4" t="s">
        <v>241</v>
      </c>
      <c r="BB794" s="4" t="s">
        <v>250</v>
      </c>
      <c r="BC794" s="4" t="s">
        <v>241</v>
      </c>
      <c r="BD794" s="4" t="s">
        <v>252</v>
      </c>
      <c r="BE794" s="4" t="s">
        <v>241</v>
      </c>
      <c r="BI794" s="4" t="s">
        <v>253</v>
      </c>
      <c r="BJ794" s="5" t="s">
        <v>246</v>
      </c>
      <c r="BK794" s="4" t="s">
        <v>254</v>
      </c>
      <c r="BL794" s="4" t="s">
        <v>255</v>
      </c>
      <c r="BM794" s="4" t="s">
        <v>241</v>
      </c>
      <c r="BN794" s="6">
        <f>0</f>
        <v>0</v>
      </c>
      <c r="BO794" s="6">
        <f>0</f>
        <v>0</v>
      </c>
      <c r="BP794" s="4" t="s">
        <v>256</v>
      </c>
      <c r="BQ794" s="4" t="s">
        <v>257</v>
      </c>
      <c r="CE794" s="4" t="s">
        <v>241</v>
      </c>
      <c r="CF794" s="4" t="s">
        <v>241</v>
      </c>
      <c r="CJ794" s="4" t="s">
        <v>276</v>
      </c>
      <c r="CK794" s="4" t="s">
        <v>259</v>
      </c>
      <c r="CL794" s="4" t="s">
        <v>241</v>
      </c>
      <c r="CO794" s="5" t="s">
        <v>260</v>
      </c>
      <c r="CP794" s="4" t="s">
        <v>241</v>
      </c>
      <c r="CQ794" s="4" t="s">
        <v>261</v>
      </c>
      <c r="CR794" s="4" t="s">
        <v>241</v>
      </c>
      <c r="CS794" s="4" t="s">
        <v>241</v>
      </c>
      <c r="CT794" s="4">
        <v>0</v>
      </c>
      <c r="CU794" s="4" t="s">
        <v>262</v>
      </c>
      <c r="CV794" s="4" t="s">
        <v>263</v>
      </c>
      <c r="CW794" s="4" t="s">
        <v>263</v>
      </c>
      <c r="CX794" s="4" t="s">
        <v>264</v>
      </c>
      <c r="DA794" s="6">
        <f>1</f>
        <v>1</v>
      </c>
      <c r="DC794" s="4" t="s">
        <v>277</v>
      </c>
      <c r="DD794" s="4" t="s">
        <v>241</v>
      </c>
      <c r="DF794" s="4" t="s">
        <v>277</v>
      </c>
      <c r="DG794" s="6">
        <f>6054</f>
        <v>6054</v>
      </c>
      <c r="DI794" s="4" t="s">
        <v>241</v>
      </c>
      <c r="DJ794" s="4" t="s">
        <v>241</v>
      </c>
      <c r="DK794" s="4" t="s">
        <v>241</v>
      </c>
      <c r="DL794" s="4" t="s">
        <v>241</v>
      </c>
      <c r="DP794" s="4" t="s">
        <v>241</v>
      </c>
      <c r="DQ794" s="4" t="s">
        <v>241</v>
      </c>
      <c r="DR794" s="4" t="s">
        <v>241</v>
      </c>
      <c r="DS794" s="4" t="s">
        <v>241</v>
      </c>
      <c r="DV794" s="4" t="s">
        <v>278</v>
      </c>
      <c r="DW794" s="4" t="s">
        <v>1709</v>
      </c>
      <c r="HO794" s="4" t="s">
        <v>267</v>
      </c>
    </row>
    <row r="795" spans="1:223" ht="19.5" customHeight="1" x14ac:dyDescent="0.4">
      <c r="A795" s="4">
        <v>1</v>
      </c>
      <c r="B795" s="4" t="s">
        <v>239</v>
      </c>
      <c r="C795" s="4">
        <v>2469</v>
      </c>
      <c r="D795" s="4">
        <v>1</v>
      </c>
      <c r="E795" s="4">
        <v>1</v>
      </c>
      <c r="F795" s="4" t="s">
        <v>268</v>
      </c>
      <c r="G795" s="4" t="s">
        <v>241</v>
      </c>
      <c r="H795" s="4" t="s">
        <v>241</v>
      </c>
      <c r="I795" s="4" t="s">
        <v>272</v>
      </c>
      <c r="J795" s="4" t="s">
        <v>274</v>
      </c>
      <c r="K795" s="4" t="s">
        <v>251</v>
      </c>
      <c r="L795" s="4" t="s">
        <v>269</v>
      </c>
      <c r="M795" s="5" t="s">
        <v>1707</v>
      </c>
      <c r="N795" s="6">
        <f>592</f>
        <v>592</v>
      </c>
      <c r="O795" s="4" t="s">
        <v>265</v>
      </c>
      <c r="P795" s="6">
        <f>1</f>
        <v>1</v>
      </c>
      <c r="Q795" s="6">
        <f>0</f>
        <v>0</v>
      </c>
      <c r="S795" s="6">
        <f>0</f>
        <v>0</v>
      </c>
      <c r="T795" s="6">
        <f>1</f>
        <v>1</v>
      </c>
      <c r="U795" s="5" t="s">
        <v>245</v>
      </c>
      <c r="V795" s="4" t="s">
        <v>270</v>
      </c>
      <c r="W795" s="4" t="s">
        <v>271</v>
      </c>
      <c r="X795" s="4" t="s">
        <v>273</v>
      </c>
      <c r="Y795" s="4" t="s">
        <v>241</v>
      </c>
      <c r="AB795" s="4" t="s">
        <v>241</v>
      </c>
      <c r="AD795" s="5" t="s">
        <v>241</v>
      </c>
      <c r="AG795" s="5" t="s">
        <v>246</v>
      </c>
      <c r="AH795" s="4" t="s">
        <v>241</v>
      </c>
      <c r="AI795" s="4" t="s">
        <v>247</v>
      </c>
      <c r="AJ795" s="4" t="s">
        <v>248</v>
      </c>
      <c r="AZ795" s="4" t="s">
        <v>249</v>
      </c>
      <c r="BA795" s="4" t="s">
        <v>241</v>
      </c>
      <c r="BB795" s="4" t="s">
        <v>250</v>
      </c>
      <c r="BC795" s="4" t="s">
        <v>241</v>
      </c>
      <c r="BD795" s="4" t="s">
        <v>252</v>
      </c>
      <c r="BE795" s="4" t="s">
        <v>241</v>
      </c>
      <c r="BI795" s="4" t="s">
        <v>253</v>
      </c>
      <c r="BJ795" s="5" t="s">
        <v>246</v>
      </c>
      <c r="BK795" s="4" t="s">
        <v>254</v>
      </c>
      <c r="BL795" s="4" t="s">
        <v>255</v>
      </c>
      <c r="BM795" s="4" t="s">
        <v>241</v>
      </c>
      <c r="BN795" s="6">
        <f>0</f>
        <v>0</v>
      </c>
      <c r="BO795" s="6">
        <f>0</f>
        <v>0</v>
      </c>
      <c r="BP795" s="4" t="s">
        <v>256</v>
      </c>
      <c r="BQ795" s="4" t="s">
        <v>257</v>
      </c>
      <c r="CE795" s="4" t="s">
        <v>241</v>
      </c>
      <c r="CF795" s="4" t="s">
        <v>241</v>
      </c>
      <c r="CJ795" s="4" t="s">
        <v>276</v>
      </c>
      <c r="CK795" s="4" t="s">
        <v>259</v>
      </c>
      <c r="CL795" s="4" t="s">
        <v>241</v>
      </c>
      <c r="CO795" s="5" t="s">
        <v>260</v>
      </c>
      <c r="CP795" s="4" t="s">
        <v>241</v>
      </c>
      <c r="CQ795" s="4" t="s">
        <v>261</v>
      </c>
      <c r="CR795" s="4" t="s">
        <v>241</v>
      </c>
      <c r="CS795" s="4" t="s">
        <v>241</v>
      </c>
      <c r="CT795" s="4">
        <v>0</v>
      </c>
      <c r="CU795" s="4" t="s">
        <v>262</v>
      </c>
      <c r="CV795" s="4" t="s">
        <v>263</v>
      </c>
      <c r="CW795" s="4" t="s">
        <v>263</v>
      </c>
      <c r="CX795" s="4" t="s">
        <v>264</v>
      </c>
      <c r="DA795" s="6">
        <f>1</f>
        <v>1</v>
      </c>
      <c r="DC795" s="4" t="s">
        <v>277</v>
      </c>
      <c r="DD795" s="4" t="s">
        <v>241</v>
      </c>
      <c r="DF795" s="4" t="s">
        <v>277</v>
      </c>
      <c r="DG795" s="6">
        <f>592</f>
        <v>592</v>
      </c>
      <c r="DI795" s="4" t="s">
        <v>241</v>
      </c>
      <c r="DJ795" s="4" t="s">
        <v>241</v>
      </c>
      <c r="DK795" s="4" t="s">
        <v>241</v>
      </c>
      <c r="DL795" s="4" t="s">
        <v>241</v>
      </c>
      <c r="DP795" s="4" t="s">
        <v>241</v>
      </c>
      <c r="DQ795" s="4" t="s">
        <v>241</v>
      </c>
      <c r="DR795" s="4" t="s">
        <v>241</v>
      </c>
      <c r="DS795" s="4" t="s">
        <v>241</v>
      </c>
      <c r="DV795" s="4" t="s">
        <v>278</v>
      </c>
      <c r="DW795" s="4" t="s">
        <v>737</v>
      </c>
      <c r="HO795" s="4" t="s">
        <v>267</v>
      </c>
    </row>
    <row r="796" spans="1:223" ht="19.5" customHeight="1" x14ac:dyDescent="0.4">
      <c r="A796" s="4">
        <v>1</v>
      </c>
      <c r="B796" s="4" t="s">
        <v>239</v>
      </c>
      <c r="C796" s="4">
        <v>2470</v>
      </c>
      <c r="D796" s="4">
        <v>1</v>
      </c>
      <c r="E796" s="4">
        <v>1</v>
      </c>
      <c r="F796" s="4" t="s">
        <v>268</v>
      </c>
      <c r="G796" s="4" t="s">
        <v>241</v>
      </c>
      <c r="H796" s="4" t="s">
        <v>241</v>
      </c>
      <c r="I796" s="4" t="s">
        <v>272</v>
      </c>
      <c r="J796" s="4" t="s">
        <v>274</v>
      </c>
      <c r="K796" s="4" t="s">
        <v>251</v>
      </c>
      <c r="L796" s="4" t="s">
        <v>269</v>
      </c>
      <c r="M796" s="5" t="s">
        <v>1831</v>
      </c>
      <c r="N796" s="6">
        <f>321</f>
        <v>321</v>
      </c>
      <c r="O796" s="4" t="s">
        <v>265</v>
      </c>
      <c r="P796" s="6">
        <f>1</f>
        <v>1</v>
      </c>
      <c r="Q796" s="6">
        <f>0</f>
        <v>0</v>
      </c>
      <c r="S796" s="6">
        <f>0</f>
        <v>0</v>
      </c>
      <c r="T796" s="6">
        <f>1</f>
        <v>1</v>
      </c>
      <c r="U796" s="5" t="s">
        <v>245</v>
      </c>
      <c r="V796" s="4" t="s">
        <v>270</v>
      </c>
      <c r="W796" s="4" t="s">
        <v>271</v>
      </c>
      <c r="X796" s="4" t="s">
        <v>273</v>
      </c>
      <c r="Y796" s="4" t="s">
        <v>241</v>
      </c>
      <c r="AB796" s="4" t="s">
        <v>241</v>
      </c>
      <c r="AD796" s="5" t="s">
        <v>241</v>
      </c>
      <c r="AG796" s="5" t="s">
        <v>246</v>
      </c>
      <c r="AH796" s="4" t="s">
        <v>241</v>
      </c>
      <c r="AI796" s="4" t="s">
        <v>247</v>
      </c>
      <c r="AJ796" s="4" t="s">
        <v>248</v>
      </c>
      <c r="AZ796" s="4" t="s">
        <v>249</v>
      </c>
      <c r="BA796" s="4" t="s">
        <v>241</v>
      </c>
      <c r="BB796" s="4" t="s">
        <v>250</v>
      </c>
      <c r="BC796" s="4" t="s">
        <v>241</v>
      </c>
      <c r="BD796" s="4" t="s">
        <v>252</v>
      </c>
      <c r="BE796" s="4" t="s">
        <v>241</v>
      </c>
      <c r="BI796" s="4" t="s">
        <v>253</v>
      </c>
      <c r="BJ796" s="5" t="s">
        <v>246</v>
      </c>
      <c r="BK796" s="4" t="s">
        <v>254</v>
      </c>
      <c r="BL796" s="4" t="s">
        <v>255</v>
      </c>
      <c r="BM796" s="4" t="s">
        <v>241</v>
      </c>
      <c r="BN796" s="6">
        <f>0</f>
        <v>0</v>
      </c>
      <c r="BO796" s="6">
        <f>0</f>
        <v>0</v>
      </c>
      <c r="BP796" s="4" t="s">
        <v>256</v>
      </c>
      <c r="BQ796" s="4" t="s">
        <v>257</v>
      </c>
      <c r="CE796" s="4" t="s">
        <v>241</v>
      </c>
      <c r="CF796" s="4" t="s">
        <v>241</v>
      </c>
      <c r="CJ796" s="4" t="s">
        <v>276</v>
      </c>
      <c r="CK796" s="4" t="s">
        <v>259</v>
      </c>
      <c r="CL796" s="4" t="s">
        <v>241</v>
      </c>
      <c r="CO796" s="5" t="s">
        <v>260</v>
      </c>
      <c r="CP796" s="4" t="s">
        <v>241</v>
      </c>
      <c r="CQ796" s="4" t="s">
        <v>261</v>
      </c>
      <c r="CR796" s="4" t="s">
        <v>241</v>
      </c>
      <c r="CS796" s="4" t="s">
        <v>241</v>
      </c>
      <c r="CT796" s="4">
        <v>0</v>
      </c>
      <c r="CU796" s="4" t="s">
        <v>262</v>
      </c>
      <c r="CV796" s="4" t="s">
        <v>263</v>
      </c>
      <c r="CW796" s="4" t="s">
        <v>263</v>
      </c>
      <c r="CX796" s="4" t="s">
        <v>264</v>
      </c>
      <c r="DA796" s="6">
        <f>1</f>
        <v>1</v>
      </c>
      <c r="DC796" s="4" t="s">
        <v>277</v>
      </c>
      <c r="DD796" s="4" t="s">
        <v>241</v>
      </c>
      <c r="DF796" s="4" t="s">
        <v>277</v>
      </c>
      <c r="DG796" s="6">
        <f>321</f>
        <v>321</v>
      </c>
      <c r="DI796" s="4" t="s">
        <v>241</v>
      </c>
      <c r="DJ796" s="4" t="s">
        <v>241</v>
      </c>
      <c r="DK796" s="4" t="s">
        <v>241</v>
      </c>
      <c r="DL796" s="4" t="s">
        <v>241</v>
      </c>
      <c r="DP796" s="4" t="s">
        <v>241</v>
      </c>
      <c r="DQ796" s="4" t="s">
        <v>241</v>
      </c>
      <c r="DR796" s="4" t="s">
        <v>241</v>
      </c>
      <c r="DS796" s="4" t="s">
        <v>241</v>
      </c>
      <c r="DV796" s="4" t="s">
        <v>278</v>
      </c>
      <c r="DW796" s="4" t="s">
        <v>1832</v>
      </c>
      <c r="HO796" s="4" t="s">
        <v>267</v>
      </c>
    </row>
    <row r="797" spans="1:223" ht="19.5" customHeight="1" x14ac:dyDescent="0.4">
      <c r="A797" s="4">
        <v>1</v>
      </c>
      <c r="B797" s="4" t="s">
        <v>239</v>
      </c>
      <c r="C797" s="4">
        <v>2471</v>
      </c>
      <c r="D797" s="4">
        <v>1</v>
      </c>
      <c r="E797" s="4">
        <v>1</v>
      </c>
      <c r="F797" s="4" t="s">
        <v>268</v>
      </c>
      <c r="G797" s="4" t="s">
        <v>241</v>
      </c>
      <c r="H797" s="4" t="s">
        <v>241</v>
      </c>
      <c r="I797" s="4" t="s">
        <v>272</v>
      </c>
      <c r="J797" s="4" t="s">
        <v>274</v>
      </c>
      <c r="K797" s="4" t="s">
        <v>251</v>
      </c>
      <c r="L797" s="4" t="s">
        <v>269</v>
      </c>
      <c r="M797" s="5" t="s">
        <v>1884</v>
      </c>
      <c r="N797" s="6">
        <f>350</f>
        <v>350</v>
      </c>
      <c r="O797" s="4" t="s">
        <v>265</v>
      </c>
      <c r="P797" s="6">
        <f>1</f>
        <v>1</v>
      </c>
      <c r="Q797" s="6">
        <f>0</f>
        <v>0</v>
      </c>
      <c r="S797" s="6">
        <f>0</f>
        <v>0</v>
      </c>
      <c r="T797" s="6">
        <f>1</f>
        <v>1</v>
      </c>
      <c r="U797" s="5" t="s">
        <v>245</v>
      </c>
      <c r="V797" s="4" t="s">
        <v>270</v>
      </c>
      <c r="W797" s="4" t="s">
        <v>271</v>
      </c>
      <c r="X797" s="4" t="s">
        <v>273</v>
      </c>
      <c r="Y797" s="4" t="s">
        <v>241</v>
      </c>
      <c r="AB797" s="4" t="s">
        <v>241</v>
      </c>
      <c r="AD797" s="5" t="s">
        <v>241</v>
      </c>
      <c r="AG797" s="5" t="s">
        <v>246</v>
      </c>
      <c r="AH797" s="4" t="s">
        <v>241</v>
      </c>
      <c r="AI797" s="4" t="s">
        <v>247</v>
      </c>
      <c r="AJ797" s="4" t="s">
        <v>248</v>
      </c>
      <c r="AZ797" s="4" t="s">
        <v>249</v>
      </c>
      <c r="BA797" s="4" t="s">
        <v>241</v>
      </c>
      <c r="BB797" s="4" t="s">
        <v>250</v>
      </c>
      <c r="BC797" s="4" t="s">
        <v>241</v>
      </c>
      <c r="BD797" s="4" t="s">
        <v>252</v>
      </c>
      <c r="BE797" s="4" t="s">
        <v>241</v>
      </c>
      <c r="BI797" s="4" t="s">
        <v>253</v>
      </c>
      <c r="BJ797" s="5" t="s">
        <v>246</v>
      </c>
      <c r="BK797" s="4" t="s">
        <v>254</v>
      </c>
      <c r="BL797" s="4" t="s">
        <v>255</v>
      </c>
      <c r="BM797" s="4" t="s">
        <v>241</v>
      </c>
      <c r="BN797" s="6">
        <f>0</f>
        <v>0</v>
      </c>
      <c r="BO797" s="6">
        <f>0</f>
        <v>0</v>
      </c>
      <c r="BP797" s="4" t="s">
        <v>256</v>
      </c>
      <c r="BQ797" s="4" t="s">
        <v>257</v>
      </c>
      <c r="CE797" s="4" t="s">
        <v>241</v>
      </c>
      <c r="CF797" s="4" t="s">
        <v>241</v>
      </c>
      <c r="CJ797" s="4" t="s">
        <v>276</v>
      </c>
      <c r="CK797" s="4" t="s">
        <v>259</v>
      </c>
      <c r="CL797" s="4" t="s">
        <v>241</v>
      </c>
      <c r="CO797" s="5" t="s">
        <v>260</v>
      </c>
      <c r="CP797" s="4" t="s">
        <v>241</v>
      </c>
      <c r="CQ797" s="4" t="s">
        <v>261</v>
      </c>
      <c r="CR797" s="4" t="s">
        <v>241</v>
      </c>
      <c r="CS797" s="4" t="s">
        <v>241</v>
      </c>
      <c r="CT797" s="4">
        <v>0</v>
      </c>
      <c r="CU797" s="4" t="s">
        <v>262</v>
      </c>
      <c r="CV797" s="4" t="s">
        <v>263</v>
      </c>
      <c r="CW797" s="4" t="s">
        <v>263</v>
      </c>
      <c r="CX797" s="4" t="s">
        <v>264</v>
      </c>
      <c r="DA797" s="6">
        <f>1</f>
        <v>1</v>
      </c>
      <c r="DC797" s="4" t="s">
        <v>277</v>
      </c>
      <c r="DD797" s="4" t="s">
        <v>241</v>
      </c>
      <c r="DF797" s="4" t="s">
        <v>277</v>
      </c>
      <c r="DG797" s="6">
        <f>350</f>
        <v>350</v>
      </c>
      <c r="DI797" s="4" t="s">
        <v>241</v>
      </c>
      <c r="DJ797" s="4" t="s">
        <v>241</v>
      </c>
      <c r="DK797" s="4" t="s">
        <v>241</v>
      </c>
      <c r="DL797" s="4" t="s">
        <v>241</v>
      </c>
      <c r="DP797" s="4" t="s">
        <v>241</v>
      </c>
      <c r="DQ797" s="4" t="s">
        <v>241</v>
      </c>
      <c r="DR797" s="4" t="s">
        <v>241</v>
      </c>
      <c r="DS797" s="4" t="s">
        <v>241</v>
      </c>
      <c r="DV797" s="4" t="s">
        <v>278</v>
      </c>
      <c r="DW797" s="4" t="s">
        <v>1885</v>
      </c>
      <c r="HO797" s="4" t="s">
        <v>267</v>
      </c>
    </row>
    <row r="798" spans="1:223" ht="19.5" customHeight="1" x14ac:dyDescent="0.4">
      <c r="A798" s="4">
        <v>1</v>
      </c>
      <c r="B798" s="4" t="s">
        <v>239</v>
      </c>
      <c r="C798" s="4">
        <v>2472</v>
      </c>
      <c r="D798" s="4">
        <v>1</v>
      </c>
      <c r="E798" s="4">
        <v>1</v>
      </c>
      <c r="F798" s="4" t="s">
        <v>268</v>
      </c>
      <c r="G798" s="4" t="s">
        <v>241</v>
      </c>
      <c r="H798" s="4" t="s">
        <v>241</v>
      </c>
      <c r="I798" s="4" t="s">
        <v>272</v>
      </c>
      <c r="J798" s="4" t="s">
        <v>274</v>
      </c>
      <c r="K798" s="4" t="s">
        <v>251</v>
      </c>
      <c r="L798" s="4" t="s">
        <v>269</v>
      </c>
      <c r="M798" s="5" t="s">
        <v>1896</v>
      </c>
      <c r="N798" s="6">
        <f>1245</f>
        <v>1245</v>
      </c>
      <c r="O798" s="4" t="s">
        <v>265</v>
      </c>
      <c r="P798" s="6">
        <f>1</f>
        <v>1</v>
      </c>
      <c r="Q798" s="6">
        <f>0</f>
        <v>0</v>
      </c>
      <c r="S798" s="6">
        <f>0</f>
        <v>0</v>
      </c>
      <c r="T798" s="6">
        <f>1</f>
        <v>1</v>
      </c>
      <c r="U798" s="5" t="s">
        <v>245</v>
      </c>
      <c r="V798" s="4" t="s">
        <v>270</v>
      </c>
      <c r="W798" s="4" t="s">
        <v>271</v>
      </c>
      <c r="X798" s="4" t="s">
        <v>273</v>
      </c>
      <c r="Y798" s="4" t="s">
        <v>241</v>
      </c>
      <c r="AB798" s="4" t="s">
        <v>241</v>
      </c>
      <c r="AD798" s="5" t="s">
        <v>241</v>
      </c>
      <c r="AG798" s="5" t="s">
        <v>246</v>
      </c>
      <c r="AH798" s="4" t="s">
        <v>241</v>
      </c>
      <c r="AI798" s="4" t="s">
        <v>247</v>
      </c>
      <c r="AJ798" s="4" t="s">
        <v>248</v>
      </c>
      <c r="AZ798" s="4" t="s">
        <v>249</v>
      </c>
      <c r="BA798" s="4" t="s">
        <v>241</v>
      </c>
      <c r="BB798" s="4" t="s">
        <v>250</v>
      </c>
      <c r="BC798" s="4" t="s">
        <v>241</v>
      </c>
      <c r="BD798" s="4" t="s">
        <v>252</v>
      </c>
      <c r="BE798" s="4" t="s">
        <v>241</v>
      </c>
      <c r="BI798" s="4" t="s">
        <v>253</v>
      </c>
      <c r="BJ798" s="5" t="s">
        <v>246</v>
      </c>
      <c r="BK798" s="4" t="s">
        <v>254</v>
      </c>
      <c r="BL798" s="4" t="s">
        <v>255</v>
      </c>
      <c r="BM798" s="4" t="s">
        <v>241</v>
      </c>
      <c r="BN798" s="6">
        <f>0</f>
        <v>0</v>
      </c>
      <c r="BO798" s="6">
        <f>0</f>
        <v>0</v>
      </c>
      <c r="BP798" s="4" t="s">
        <v>256</v>
      </c>
      <c r="BQ798" s="4" t="s">
        <v>257</v>
      </c>
      <c r="CE798" s="4" t="s">
        <v>241</v>
      </c>
      <c r="CF798" s="4" t="s">
        <v>241</v>
      </c>
      <c r="CJ798" s="4" t="s">
        <v>276</v>
      </c>
      <c r="CK798" s="4" t="s">
        <v>259</v>
      </c>
      <c r="CL798" s="4" t="s">
        <v>241</v>
      </c>
      <c r="CO798" s="5" t="s">
        <v>260</v>
      </c>
      <c r="CP798" s="4" t="s">
        <v>241</v>
      </c>
      <c r="CQ798" s="4" t="s">
        <v>261</v>
      </c>
      <c r="CR798" s="4" t="s">
        <v>241</v>
      </c>
      <c r="CS798" s="4" t="s">
        <v>241</v>
      </c>
      <c r="CT798" s="4">
        <v>0</v>
      </c>
      <c r="CU798" s="4" t="s">
        <v>262</v>
      </c>
      <c r="CV798" s="4" t="s">
        <v>263</v>
      </c>
      <c r="CW798" s="4" t="s">
        <v>263</v>
      </c>
      <c r="CX798" s="4" t="s">
        <v>264</v>
      </c>
      <c r="DA798" s="6">
        <f>1</f>
        <v>1</v>
      </c>
      <c r="DC798" s="4" t="s">
        <v>277</v>
      </c>
      <c r="DD798" s="4" t="s">
        <v>241</v>
      </c>
      <c r="DF798" s="4" t="s">
        <v>277</v>
      </c>
      <c r="DG798" s="6">
        <f>1245</f>
        <v>1245</v>
      </c>
      <c r="DI798" s="4" t="s">
        <v>241</v>
      </c>
      <c r="DJ798" s="4" t="s">
        <v>241</v>
      </c>
      <c r="DK798" s="4" t="s">
        <v>241</v>
      </c>
      <c r="DL798" s="4" t="s">
        <v>241</v>
      </c>
      <c r="DP798" s="4" t="s">
        <v>241</v>
      </c>
      <c r="DQ798" s="4" t="s">
        <v>241</v>
      </c>
      <c r="DR798" s="4" t="s">
        <v>241</v>
      </c>
      <c r="DS798" s="4" t="s">
        <v>241</v>
      </c>
      <c r="DV798" s="4" t="s">
        <v>278</v>
      </c>
      <c r="DW798" s="4" t="s">
        <v>1897</v>
      </c>
      <c r="HO798" s="4" t="s">
        <v>267</v>
      </c>
    </row>
    <row r="799" spans="1:223" ht="19.5" customHeight="1" x14ac:dyDescent="0.4">
      <c r="A799" s="4">
        <v>1</v>
      </c>
      <c r="B799" s="4" t="s">
        <v>239</v>
      </c>
      <c r="C799" s="4">
        <v>2473</v>
      </c>
      <c r="D799" s="4">
        <v>1</v>
      </c>
      <c r="E799" s="4">
        <v>1</v>
      </c>
      <c r="F799" s="4" t="s">
        <v>268</v>
      </c>
      <c r="G799" s="4" t="s">
        <v>241</v>
      </c>
      <c r="H799" s="4" t="s">
        <v>241</v>
      </c>
      <c r="I799" s="4" t="s">
        <v>272</v>
      </c>
      <c r="J799" s="4" t="s">
        <v>274</v>
      </c>
      <c r="K799" s="4" t="s">
        <v>251</v>
      </c>
      <c r="L799" s="4" t="s">
        <v>269</v>
      </c>
      <c r="M799" s="5" t="s">
        <v>1908</v>
      </c>
      <c r="N799" s="6">
        <f>886</f>
        <v>886</v>
      </c>
      <c r="O799" s="4" t="s">
        <v>265</v>
      </c>
      <c r="P799" s="6">
        <f>1</f>
        <v>1</v>
      </c>
      <c r="Q799" s="6">
        <f>0</f>
        <v>0</v>
      </c>
      <c r="S799" s="6">
        <f>0</f>
        <v>0</v>
      </c>
      <c r="T799" s="6">
        <f>1</f>
        <v>1</v>
      </c>
      <c r="U799" s="5" t="s">
        <v>245</v>
      </c>
      <c r="V799" s="4" t="s">
        <v>270</v>
      </c>
      <c r="W799" s="4" t="s">
        <v>271</v>
      </c>
      <c r="X799" s="4" t="s">
        <v>273</v>
      </c>
      <c r="Y799" s="4" t="s">
        <v>241</v>
      </c>
      <c r="AB799" s="4" t="s">
        <v>241</v>
      </c>
      <c r="AD799" s="5" t="s">
        <v>241</v>
      </c>
      <c r="AG799" s="5" t="s">
        <v>246</v>
      </c>
      <c r="AH799" s="4" t="s">
        <v>241</v>
      </c>
      <c r="AI799" s="4" t="s">
        <v>247</v>
      </c>
      <c r="AJ799" s="4" t="s">
        <v>248</v>
      </c>
      <c r="AZ799" s="4" t="s">
        <v>249</v>
      </c>
      <c r="BA799" s="4" t="s">
        <v>241</v>
      </c>
      <c r="BB799" s="4" t="s">
        <v>250</v>
      </c>
      <c r="BC799" s="4" t="s">
        <v>241</v>
      </c>
      <c r="BD799" s="4" t="s">
        <v>252</v>
      </c>
      <c r="BE799" s="4" t="s">
        <v>241</v>
      </c>
      <c r="BI799" s="4" t="s">
        <v>253</v>
      </c>
      <c r="BJ799" s="5" t="s">
        <v>246</v>
      </c>
      <c r="BK799" s="4" t="s">
        <v>254</v>
      </c>
      <c r="BL799" s="4" t="s">
        <v>255</v>
      </c>
      <c r="BM799" s="4" t="s">
        <v>241</v>
      </c>
      <c r="BN799" s="6">
        <f>0</f>
        <v>0</v>
      </c>
      <c r="BO799" s="6">
        <f>0</f>
        <v>0</v>
      </c>
      <c r="BP799" s="4" t="s">
        <v>256</v>
      </c>
      <c r="BQ799" s="4" t="s">
        <v>257</v>
      </c>
      <c r="CE799" s="4" t="s">
        <v>241</v>
      </c>
      <c r="CF799" s="4" t="s">
        <v>241</v>
      </c>
      <c r="CJ799" s="4" t="s">
        <v>276</v>
      </c>
      <c r="CK799" s="4" t="s">
        <v>259</v>
      </c>
      <c r="CL799" s="4" t="s">
        <v>241</v>
      </c>
      <c r="CO799" s="5" t="s">
        <v>260</v>
      </c>
      <c r="CP799" s="4" t="s">
        <v>241</v>
      </c>
      <c r="CQ799" s="4" t="s">
        <v>261</v>
      </c>
      <c r="CR799" s="4" t="s">
        <v>241</v>
      </c>
      <c r="CS799" s="4" t="s">
        <v>241</v>
      </c>
      <c r="CT799" s="4">
        <v>0</v>
      </c>
      <c r="CU799" s="4" t="s">
        <v>262</v>
      </c>
      <c r="CV799" s="4" t="s">
        <v>263</v>
      </c>
      <c r="CW799" s="4" t="s">
        <v>263</v>
      </c>
      <c r="CX799" s="4" t="s">
        <v>264</v>
      </c>
      <c r="DA799" s="6">
        <f>1</f>
        <v>1</v>
      </c>
      <c r="DC799" s="4" t="s">
        <v>277</v>
      </c>
      <c r="DD799" s="4" t="s">
        <v>241</v>
      </c>
      <c r="DF799" s="4" t="s">
        <v>277</v>
      </c>
      <c r="DG799" s="6">
        <f>886</f>
        <v>886</v>
      </c>
      <c r="DI799" s="4" t="s">
        <v>241</v>
      </c>
      <c r="DJ799" s="4" t="s">
        <v>241</v>
      </c>
      <c r="DK799" s="4" t="s">
        <v>241</v>
      </c>
      <c r="DL799" s="4" t="s">
        <v>241</v>
      </c>
      <c r="DP799" s="4" t="s">
        <v>241</v>
      </c>
      <c r="DQ799" s="4" t="s">
        <v>241</v>
      </c>
      <c r="DR799" s="4" t="s">
        <v>241</v>
      </c>
      <c r="DS799" s="4" t="s">
        <v>241</v>
      </c>
      <c r="DV799" s="4" t="s">
        <v>278</v>
      </c>
      <c r="DW799" s="4" t="s">
        <v>1909</v>
      </c>
      <c r="HO799" s="4" t="s">
        <v>267</v>
      </c>
    </row>
    <row r="800" spans="1:223" ht="19.5" customHeight="1" x14ac:dyDescent="0.4">
      <c r="A800" s="4">
        <v>1</v>
      </c>
      <c r="B800" s="4" t="s">
        <v>239</v>
      </c>
      <c r="C800" s="4">
        <v>2474</v>
      </c>
      <c r="D800" s="4">
        <v>1</v>
      </c>
      <c r="E800" s="4">
        <v>1</v>
      </c>
      <c r="F800" s="4" t="s">
        <v>268</v>
      </c>
      <c r="G800" s="4" t="s">
        <v>241</v>
      </c>
      <c r="H800" s="4" t="s">
        <v>241</v>
      </c>
      <c r="I800" s="4" t="s">
        <v>272</v>
      </c>
      <c r="J800" s="4" t="s">
        <v>274</v>
      </c>
      <c r="K800" s="4" t="s">
        <v>251</v>
      </c>
      <c r="L800" s="4" t="s">
        <v>269</v>
      </c>
      <c r="M800" s="5" t="s">
        <v>2547</v>
      </c>
      <c r="N800" s="6">
        <f>410</f>
        <v>410</v>
      </c>
      <c r="O800" s="4" t="s">
        <v>265</v>
      </c>
      <c r="P800" s="6">
        <f>1</f>
        <v>1</v>
      </c>
      <c r="Q800" s="6">
        <f>0</f>
        <v>0</v>
      </c>
      <c r="S800" s="6">
        <f>0</f>
        <v>0</v>
      </c>
      <c r="T800" s="6">
        <f>1</f>
        <v>1</v>
      </c>
      <c r="U800" s="5" t="s">
        <v>245</v>
      </c>
      <c r="V800" s="4" t="s">
        <v>270</v>
      </c>
      <c r="W800" s="4" t="s">
        <v>271</v>
      </c>
      <c r="X800" s="4" t="s">
        <v>273</v>
      </c>
      <c r="Y800" s="4" t="s">
        <v>241</v>
      </c>
      <c r="AB800" s="4" t="s">
        <v>241</v>
      </c>
      <c r="AD800" s="5" t="s">
        <v>241</v>
      </c>
      <c r="AG800" s="5" t="s">
        <v>246</v>
      </c>
      <c r="AH800" s="4" t="s">
        <v>241</v>
      </c>
      <c r="AI800" s="4" t="s">
        <v>247</v>
      </c>
      <c r="AJ800" s="4" t="s">
        <v>248</v>
      </c>
      <c r="AZ800" s="4" t="s">
        <v>249</v>
      </c>
      <c r="BA800" s="4" t="s">
        <v>241</v>
      </c>
      <c r="BB800" s="4" t="s">
        <v>250</v>
      </c>
      <c r="BC800" s="4" t="s">
        <v>241</v>
      </c>
      <c r="BD800" s="4" t="s">
        <v>252</v>
      </c>
      <c r="BE800" s="4" t="s">
        <v>241</v>
      </c>
      <c r="BI800" s="4" t="s">
        <v>253</v>
      </c>
      <c r="BJ800" s="5" t="s">
        <v>246</v>
      </c>
      <c r="BK800" s="4" t="s">
        <v>254</v>
      </c>
      <c r="BL800" s="4" t="s">
        <v>255</v>
      </c>
      <c r="BM800" s="4" t="s">
        <v>241</v>
      </c>
      <c r="BN800" s="6">
        <f>0</f>
        <v>0</v>
      </c>
      <c r="BO800" s="6">
        <f>0</f>
        <v>0</v>
      </c>
      <c r="BP800" s="4" t="s">
        <v>256</v>
      </c>
      <c r="BQ800" s="4" t="s">
        <v>257</v>
      </c>
      <c r="CE800" s="4" t="s">
        <v>241</v>
      </c>
      <c r="CF800" s="4" t="s">
        <v>241</v>
      </c>
      <c r="CJ800" s="4" t="s">
        <v>276</v>
      </c>
      <c r="CK800" s="4" t="s">
        <v>259</v>
      </c>
      <c r="CL800" s="4" t="s">
        <v>241</v>
      </c>
      <c r="CO800" s="5" t="s">
        <v>260</v>
      </c>
      <c r="CP800" s="4" t="s">
        <v>241</v>
      </c>
      <c r="CQ800" s="4" t="s">
        <v>261</v>
      </c>
      <c r="CR800" s="4" t="s">
        <v>241</v>
      </c>
      <c r="CS800" s="4" t="s">
        <v>241</v>
      </c>
      <c r="CT800" s="4">
        <v>0</v>
      </c>
      <c r="CU800" s="4" t="s">
        <v>262</v>
      </c>
      <c r="CV800" s="4" t="s">
        <v>263</v>
      </c>
      <c r="CW800" s="4" t="s">
        <v>263</v>
      </c>
      <c r="CX800" s="4" t="s">
        <v>264</v>
      </c>
      <c r="DA800" s="6">
        <f>1</f>
        <v>1</v>
      </c>
      <c r="DC800" s="4" t="s">
        <v>277</v>
      </c>
      <c r="DD800" s="4" t="s">
        <v>241</v>
      </c>
      <c r="DF800" s="4" t="s">
        <v>277</v>
      </c>
      <c r="DG800" s="6">
        <f>410</f>
        <v>410</v>
      </c>
      <c r="DI800" s="4" t="s">
        <v>241</v>
      </c>
      <c r="DJ800" s="4" t="s">
        <v>241</v>
      </c>
      <c r="DK800" s="4" t="s">
        <v>241</v>
      </c>
      <c r="DL800" s="4" t="s">
        <v>241</v>
      </c>
      <c r="DP800" s="4" t="s">
        <v>241</v>
      </c>
      <c r="DQ800" s="4" t="s">
        <v>241</v>
      </c>
      <c r="DR800" s="4" t="s">
        <v>241</v>
      </c>
      <c r="DS800" s="4" t="s">
        <v>241</v>
      </c>
      <c r="DV800" s="4" t="s">
        <v>278</v>
      </c>
      <c r="DW800" s="4" t="s">
        <v>2548</v>
      </c>
      <c r="HO800" s="4" t="s">
        <v>267</v>
      </c>
    </row>
    <row r="801" spans="1:223" ht="19.5" customHeight="1" x14ac:dyDescent="0.4">
      <c r="A801" s="4">
        <v>1</v>
      </c>
      <c r="B801" s="4" t="s">
        <v>239</v>
      </c>
      <c r="C801" s="4">
        <v>2475</v>
      </c>
      <c r="D801" s="4">
        <v>1</v>
      </c>
      <c r="E801" s="4">
        <v>1</v>
      </c>
      <c r="F801" s="4" t="s">
        <v>268</v>
      </c>
      <c r="G801" s="4" t="s">
        <v>241</v>
      </c>
      <c r="H801" s="4" t="s">
        <v>241</v>
      </c>
      <c r="I801" s="4" t="s">
        <v>272</v>
      </c>
      <c r="J801" s="4" t="s">
        <v>274</v>
      </c>
      <c r="K801" s="4" t="s">
        <v>251</v>
      </c>
      <c r="L801" s="4" t="s">
        <v>269</v>
      </c>
      <c r="M801" s="5" t="s">
        <v>2551</v>
      </c>
      <c r="N801" s="6">
        <f>2744</f>
        <v>2744</v>
      </c>
      <c r="O801" s="4" t="s">
        <v>265</v>
      </c>
      <c r="P801" s="6">
        <f>1</f>
        <v>1</v>
      </c>
      <c r="Q801" s="6">
        <f>0</f>
        <v>0</v>
      </c>
      <c r="S801" s="6">
        <f>0</f>
        <v>0</v>
      </c>
      <c r="T801" s="6">
        <f>1</f>
        <v>1</v>
      </c>
      <c r="U801" s="5" t="s">
        <v>245</v>
      </c>
      <c r="V801" s="4" t="s">
        <v>270</v>
      </c>
      <c r="W801" s="4" t="s">
        <v>271</v>
      </c>
      <c r="X801" s="4" t="s">
        <v>273</v>
      </c>
      <c r="Y801" s="4" t="s">
        <v>241</v>
      </c>
      <c r="AB801" s="4" t="s">
        <v>241</v>
      </c>
      <c r="AD801" s="5" t="s">
        <v>241</v>
      </c>
      <c r="AG801" s="5" t="s">
        <v>246</v>
      </c>
      <c r="AH801" s="4" t="s">
        <v>241</v>
      </c>
      <c r="AI801" s="4" t="s">
        <v>247</v>
      </c>
      <c r="AJ801" s="4" t="s">
        <v>248</v>
      </c>
      <c r="AZ801" s="4" t="s">
        <v>249</v>
      </c>
      <c r="BA801" s="4" t="s">
        <v>241</v>
      </c>
      <c r="BB801" s="4" t="s">
        <v>250</v>
      </c>
      <c r="BC801" s="4" t="s">
        <v>241</v>
      </c>
      <c r="BD801" s="4" t="s">
        <v>252</v>
      </c>
      <c r="BE801" s="4" t="s">
        <v>241</v>
      </c>
      <c r="BI801" s="4" t="s">
        <v>253</v>
      </c>
      <c r="BJ801" s="5" t="s">
        <v>246</v>
      </c>
      <c r="BK801" s="4" t="s">
        <v>254</v>
      </c>
      <c r="BL801" s="4" t="s">
        <v>255</v>
      </c>
      <c r="BM801" s="4" t="s">
        <v>241</v>
      </c>
      <c r="BN801" s="6">
        <f>0</f>
        <v>0</v>
      </c>
      <c r="BO801" s="6">
        <f>0</f>
        <v>0</v>
      </c>
      <c r="BP801" s="4" t="s">
        <v>256</v>
      </c>
      <c r="BQ801" s="4" t="s">
        <v>257</v>
      </c>
      <c r="CE801" s="4" t="s">
        <v>241</v>
      </c>
      <c r="CF801" s="4" t="s">
        <v>241</v>
      </c>
      <c r="CJ801" s="4" t="s">
        <v>276</v>
      </c>
      <c r="CK801" s="4" t="s">
        <v>259</v>
      </c>
      <c r="CL801" s="4" t="s">
        <v>241</v>
      </c>
      <c r="CO801" s="5" t="s">
        <v>260</v>
      </c>
      <c r="CP801" s="4" t="s">
        <v>241</v>
      </c>
      <c r="CQ801" s="4" t="s">
        <v>261</v>
      </c>
      <c r="CR801" s="4" t="s">
        <v>241</v>
      </c>
      <c r="CS801" s="4" t="s">
        <v>241</v>
      </c>
      <c r="CT801" s="4">
        <v>0</v>
      </c>
      <c r="CU801" s="4" t="s">
        <v>262</v>
      </c>
      <c r="CV801" s="4" t="s">
        <v>263</v>
      </c>
      <c r="CW801" s="4" t="s">
        <v>263</v>
      </c>
      <c r="CX801" s="4" t="s">
        <v>264</v>
      </c>
      <c r="DA801" s="6">
        <f>1</f>
        <v>1</v>
      </c>
      <c r="DC801" s="4" t="s">
        <v>277</v>
      </c>
      <c r="DD801" s="4" t="s">
        <v>241</v>
      </c>
      <c r="DF801" s="4" t="s">
        <v>277</v>
      </c>
      <c r="DG801" s="6">
        <f>2744</f>
        <v>2744</v>
      </c>
      <c r="DI801" s="4" t="s">
        <v>241</v>
      </c>
      <c r="DJ801" s="4" t="s">
        <v>241</v>
      </c>
      <c r="DK801" s="4" t="s">
        <v>241</v>
      </c>
      <c r="DL801" s="4" t="s">
        <v>241</v>
      </c>
      <c r="DP801" s="4" t="s">
        <v>241</v>
      </c>
      <c r="DQ801" s="4" t="s">
        <v>241</v>
      </c>
      <c r="DR801" s="4" t="s">
        <v>241</v>
      </c>
      <c r="DS801" s="4" t="s">
        <v>241</v>
      </c>
      <c r="DV801" s="4" t="s">
        <v>278</v>
      </c>
      <c r="DW801" s="4" t="s">
        <v>2552</v>
      </c>
      <c r="HO801" s="4" t="s">
        <v>267</v>
      </c>
    </row>
    <row r="802" spans="1:223" ht="19.5" customHeight="1" x14ac:dyDescent="0.4">
      <c r="A802" s="4">
        <v>1</v>
      </c>
      <c r="B802" s="4" t="s">
        <v>239</v>
      </c>
      <c r="C802" s="4">
        <v>2476</v>
      </c>
      <c r="D802" s="4">
        <v>1</v>
      </c>
      <c r="E802" s="4">
        <v>1</v>
      </c>
      <c r="F802" s="4" t="s">
        <v>268</v>
      </c>
      <c r="G802" s="4" t="s">
        <v>241</v>
      </c>
      <c r="H802" s="4" t="s">
        <v>241</v>
      </c>
      <c r="I802" s="4" t="s">
        <v>272</v>
      </c>
      <c r="J802" s="4" t="s">
        <v>274</v>
      </c>
      <c r="K802" s="4" t="s">
        <v>251</v>
      </c>
      <c r="L802" s="4" t="s">
        <v>269</v>
      </c>
      <c r="M802" s="5" t="s">
        <v>2553</v>
      </c>
      <c r="N802" s="6">
        <f>14725</f>
        <v>14725</v>
      </c>
      <c r="O802" s="4" t="s">
        <v>265</v>
      </c>
      <c r="P802" s="6">
        <f>1</f>
        <v>1</v>
      </c>
      <c r="Q802" s="6">
        <f>0</f>
        <v>0</v>
      </c>
      <c r="S802" s="6">
        <f>0</f>
        <v>0</v>
      </c>
      <c r="T802" s="6">
        <f>1</f>
        <v>1</v>
      </c>
      <c r="U802" s="5" t="s">
        <v>245</v>
      </c>
      <c r="V802" s="4" t="s">
        <v>270</v>
      </c>
      <c r="W802" s="4" t="s">
        <v>271</v>
      </c>
      <c r="X802" s="4" t="s">
        <v>273</v>
      </c>
      <c r="Y802" s="4" t="s">
        <v>241</v>
      </c>
      <c r="AB802" s="4" t="s">
        <v>241</v>
      </c>
      <c r="AD802" s="5" t="s">
        <v>241</v>
      </c>
      <c r="AG802" s="5" t="s">
        <v>246</v>
      </c>
      <c r="AH802" s="4" t="s">
        <v>241</v>
      </c>
      <c r="AI802" s="4" t="s">
        <v>247</v>
      </c>
      <c r="AJ802" s="4" t="s">
        <v>248</v>
      </c>
      <c r="AZ802" s="4" t="s">
        <v>249</v>
      </c>
      <c r="BA802" s="4" t="s">
        <v>241</v>
      </c>
      <c r="BB802" s="4" t="s">
        <v>250</v>
      </c>
      <c r="BC802" s="4" t="s">
        <v>241</v>
      </c>
      <c r="BD802" s="4" t="s">
        <v>252</v>
      </c>
      <c r="BE802" s="4" t="s">
        <v>241</v>
      </c>
      <c r="BI802" s="4" t="s">
        <v>253</v>
      </c>
      <c r="BJ802" s="5" t="s">
        <v>246</v>
      </c>
      <c r="BK802" s="4" t="s">
        <v>254</v>
      </c>
      <c r="BL802" s="4" t="s">
        <v>255</v>
      </c>
      <c r="BM802" s="4" t="s">
        <v>241</v>
      </c>
      <c r="BN802" s="6">
        <f>0</f>
        <v>0</v>
      </c>
      <c r="BO802" s="6">
        <f>0</f>
        <v>0</v>
      </c>
      <c r="BP802" s="4" t="s">
        <v>256</v>
      </c>
      <c r="BQ802" s="4" t="s">
        <v>257</v>
      </c>
      <c r="CE802" s="4" t="s">
        <v>241</v>
      </c>
      <c r="CF802" s="4" t="s">
        <v>241</v>
      </c>
      <c r="CJ802" s="4" t="s">
        <v>276</v>
      </c>
      <c r="CK802" s="4" t="s">
        <v>259</v>
      </c>
      <c r="CL802" s="4" t="s">
        <v>241</v>
      </c>
      <c r="CO802" s="5" t="s">
        <v>260</v>
      </c>
      <c r="CP802" s="4" t="s">
        <v>241</v>
      </c>
      <c r="CQ802" s="4" t="s">
        <v>261</v>
      </c>
      <c r="CR802" s="4" t="s">
        <v>241</v>
      </c>
      <c r="CS802" s="4" t="s">
        <v>241</v>
      </c>
      <c r="CT802" s="4">
        <v>0</v>
      </c>
      <c r="CU802" s="4" t="s">
        <v>262</v>
      </c>
      <c r="CV802" s="4" t="s">
        <v>263</v>
      </c>
      <c r="CW802" s="4" t="s">
        <v>263</v>
      </c>
      <c r="CX802" s="4" t="s">
        <v>264</v>
      </c>
      <c r="DA802" s="6">
        <f>1</f>
        <v>1</v>
      </c>
      <c r="DC802" s="4" t="s">
        <v>277</v>
      </c>
      <c r="DD802" s="4" t="s">
        <v>241</v>
      </c>
      <c r="DF802" s="4" t="s">
        <v>277</v>
      </c>
      <c r="DG802" s="6">
        <f>14725</f>
        <v>14725</v>
      </c>
      <c r="DI802" s="4" t="s">
        <v>241</v>
      </c>
      <c r="DJ802" s="4" t="s">
        <v>241</v>
      </c>
      <c r="DK802" s="4" t="s">
        <v>241</v>
      </c>
      <c r="DL802" s="4" t="s">
        <v>241</v>
      </c>
      <c r="DP802" s="4" t="s">
        <v>241</v>
      </c>
      <c r="DQ802" s="4" t="s">
        <v>241</v>
      </c>
      <c r="DR802" s="4" t="s">
        <v>241</v>
      </c>
      <c r="DS802" s="4" t="s">
        <v>241</v>
      </c>
      <c r="DV802" s="4" t="s">
        <v>278</v>
      </c>
      <c r="DW802" s="4" t="s">
        <v>2554</v>
      </c>
      <c r="HO802" s="4" t="s">
        <v>267</v>
      </c>
    </row>
    <row r="803" spans="1:223" ht="19.5" customHeight="1" x14ac:dyDescent="0.4">
      <c r="A803" s="4">
        <v>1</v>
      </c>
      <c r="B803" s="4" t="s">
        <v>239</v>
      </c>
      <c r="C803" s="4">
        <v>2477</v>
      </c>
      <c r="D803" s="4">
        <v>1</v>
      </c>
      <c r="E803" s="4">
        <v>1</v>
      </c>
      <c r="F803" s="4" t="s">
        <v>268</v>
      </c>
      <c r="G803" s="4" t="s">
        <v>241</v>
      </c>
      <c r="H803" s="4" t="s">
        <v>241</v>
      </c>
      <c r="I803" s="4" t="s">
        <v>272</v>
      </c>
      <c r="J803" s="4" t="s">
        <v>274</v>
      </c>
      <c r="K803" s="4" t="s">
        <v>251</v>
      </c>
      <c r="L803" s="4" t="s">
        <v>269</v>
      </c>
      <c r="M803" s="5" t="s">
        <v>2692</v>
      </c>
      <c r="N803" s="6">
        <f>2056</f>
        <v>2056</v>
      </c>
      <c r="O803" s="4" t="s">
        <v>265</v>
      </c>
      <c r="P803" s="6">
        <f>1</f>
        <v>1</v>
      </c>
      <c r="Q803" s="6">
        <f>0</f>
        <v>0</v>
      </c>
      <c r="S803" s="6">
        <f>0</f>
        <v>0</v>
      </c>
      <c r="T803" s="6">
        <f>1</f>
        <v>1</v>
      </c>
      <c r="U803" s="5" t="s">
        <v>245</v>
      </c>
      <c r="V803" s="4" t="s">
        <v>270</v>
      </c>
      <c r="W803" s="4" t="s">
        <v>271</v>
      </c>
      <c r="X803" s="4" t="s">
        <v>273</v>
      </c>
      <c r="Y803" s="4" t="s">
        <v>241</v>
      </c>
      <c r="AB803" s="4" t="s">
        <v>241</v>
      </c>
      <c r="AD803" s="5" t="s">
        <v>241</v>
      </c>
      <c r="AG803" s="5" t="s">
        <v>246</v>
      </c>
      <c r="AH803" s="4" t="s">
        <v>241</v>
      </c>
      <c r="AI803" s="4" t="s">
        <v>247</v>
      </c>
      <c r="AJ803" s="4" t="s">
        <v>248</v>
      </c>
      <c r="AZ803" s="4" t="s">
        <v>249</v>
      </c>
      <c r="BA803" s="4" t="s">
        <v>241</v>
      </c>
      <c r="BB803" s="4" t="s">
        <v>250</v>
      </c>
      <c r="BC803" s="4" t="s">
        <v>241</v>
      </c>
      <c r="BD803" s="4" t="s">
        <v>252</v>
      </c>
      <c r="BE803" s="4" t="s">
        <v>241</v>
      </c>
      <c r="BI803" s="4" t="s">
        <v>253</v>
      </c>
      <c r="BJ803" s="5" t="s">
        <v>246</v>
      </c>
      <c r="BK803" s="4" t="s">
        <v>254</v>
      </c>
      <c r="BL803" s="4" t="s">
        <v>255</v>
      </c>
      <c r="BM803" s="4" t="s">
        <v>241</v>
      </c>
      <c r="BN803" s="6">
        <f>0</f>
        <v>0</v>
      </c>
      <c r="BO803" s="6">
        <f>0</f>
        <v>0</v>
      </c>
      <c r="BP803" s="4" t="s">
        <v>256</v>
      </c>
      <c r="BQ803" s="4" t="s">
        <v>257</v>
      </c>
      <c r="CE803" s="4" t="s">
        <v>241</v>
      </c>
      <c r="CF803" s="4" t="s">
        <v>241</v>
      </c>
      <c r="CJ803" s="4" t="s">
        <v>276</v>
      </c>
      <c r="CK803" s="4" t="s">
        <v>259</v>
      </c>
      <c r="CL803" s="4" t="s">
        <v>241</v>
      </c>
      <c r="CO803" s="5" t="s">
        <v>260</v>
      </c>
      <c r="CP803" s="4" t="s">
        <v>241</v>
      </c>
      <c r="CQ803" s="4" t="s">
        <v>261</v>
      </c>
      <c r="CR803" s="4" t="s">
        <v>241</v>
      </c>
      <c r="CS803" s="4" t="s">
        <v>241</v>
      </c>
      <c r="CT803" s="4">
        <v>0</v>
      </c>
      <c r="CU803" s="4" t="s">
        <v>262</v>
      </c>
      <c r="CV803" s="4" t="s">
        <v>263</v>
      </c>
      <c r="CW803" s="4" t="s">
        <v>263</v>
      </c>
      <c r="CX803" s="4" t="s">
        <v>264</v>
      </c>
      <c r="DA803" s="6">
        <f>1</f>
        <v>1</v>
      </c>
      <c r="DC803" s="4" t="s">
        <v>277</v>
      </c>
      <c r="DD803" s="4" t="s">
        <v>241</v>
      </c>
      <c r="DF803" s="4" t="s">
        <v>277</v>
      </c>
      <c r="DG803" s="6">
        <f>2056</f>
        <v>2056</v>
      </c>
      <c r="DI803" s="4" t="s">
        <v>241</v>
      </c>
      <c r="DJ803" s="4" t="s">
        <v>241</v>
      </c>
      <c r="DK803" s="4" t="s">
        <v>241</v>
      </c>
      <c r="DL803" s="4" t="s">
        <v>241</v>
      </c>
      <c r="DP803" s="4" t="s">
        <v>241</v>
      </c>
      <c r="DQ803" s="4" t="s">
        <v>241</v>
      </c>
      <c r="DR803" s="4" t="s">
        <v>241</v>
      </c>
      <c r="DS803" s="4" t="s">
        <v>241</v>
      </c>
      <c r="DV803" s="4" t="s">
        <v>278</v>
      </c>
      <c r="DW803" s="4" t="s">
        <v>735</v>
      </c>
      <c r="HO803" s="4" t="s">
        <v>267</v>
      </c>
    </row>
    <row r="804" spans="1:223" ht="19.5" customHeight="1" x14ac:dyDescent="0.4">
      <c r="A804" s="4">
        <v>1</v>
      </c>
      <c r="B804" s="4" t="s">
        <v>239</v>
      </c>
      <c r="C804" s="4">
        <v>2478</v>
      </c>
      <c r="D804" s="4">
        <v>1</v>
      </c>
      <c r="E804" s="4">
        <v>1</v>
      </c>
      <c r="F804" s="4" t="s">
        <v>268</v>
      </c>
      <c r="G804" s="4" t="s">
        <v>241</v>
      </c>
      <c r="H804" s="4" t="s">
        <v>241</v>
      </c>
      <c r="I804" s="4" t="s">
        <v>272</v>
      </c>
      <c r="J804" s="4" t="s">
        <v>274</v>
      </c>
      <c r="K804" s="4" t="s">
        <v>251</v>
      </c>
      <c r="L804" s="4" t="s">
        <v>269</v>
      </c>
      <c r="M804" s="5" t="s">
        <v>2502</v>
      </c>
      <c r="N804" s="6">
        <f>1048</f>
        <v>1048</v>
      </c>
      <c r="O804" s="4" t="s">
        <v>265</v>
      </c>
      <c r="P804" s="6">
        <f>1</f>
        <v>1</v>
      </c>
      <c r="Q804" s="6">
        <f>0</f>
        <v>0</v>
      </c>
      <c r="S804" s="6">
        <f>0</f>
        <v>0</v>
      </c>
      <c r="T804" s="6">
        <f>1</f>
        <v>1</v>
      </c>
      <c r="U804" s="5" t="s">
        <v>245</v>
      </c>
      <c r="V804" s="4" t="s">
        <v>270</v>
      </c>
      <c r="W804" s="4" t="s">
        <v>271</v>
      </c>
      <c r="X804" s="4" t="s">
        <v>273</v>
      </c>
      <c r="Y804" s="4" t="s">
        <v>241</v>
      </c>
      <c r="AB804" s="4" t="s">
        <v>241</v>
      </c>
      <c r="AD804" s="5" t="s">
        <v>241</v>
      </c>
      <c r="AG804" s="5" t="s">
        <v>246</v>
      </c>
      <c r="AH804" s="4" t="s">
        <v>241</v>
      </c>
      <c r="AI804" s="4" t="s">
        <v>247</v>
      </c>
      <c r="AJ804" s="4" t="s">
        <v>248</v>
      </c>
      <c r="AZ804" s="4" t="s">
        <v>249</v>
      </c>
      <c r="BA804" s="4" t="s">
        <v>241</v>
      </c>
      <c r="BB804" s="4" t="s">
        <v>250</v>
      </c>
      <c r="BC804" s="4" t="s">
        <v>241</v>
      </c>
      <c r="BD804" s="4" t="s">
        <v>252</v>
      </c>
      <c r="BE804" s="4" t="s">
        <v>241</v>
      </c>
      <c r="BI804" s="4" t="s">
        <v>253</v>
      </c>
      <c r="BJ804" s="5" t="s">
        <v>246</v>
      </c>
      <c r="BK804" s="4" t="s">
        <v>254</v>
      </c>
      <c r="BL804" s="4" t="s">
        <v>255</v>
      </c>
      <c r="BM804" s="4" t="s">
        <v>241</v>
      </c>
      <c r="BN804" s="6">
        <f>0</f>
        <v>0</v>
      </c>
      <c r="BO804" s="6">
        <f>0</f>
        <v>0</v>
      </c>
      <c r="BP804" s="4" t="s">
        <v>256</v>
      </c>
      <c r="BQ804" s="4" t="s">
        <v>257</v>
      </c>
      <c r="CE804" s="4" t="s">
        <v>241</v>
      </c>
      <c r="CF804" s="4" t="s">
        <v>241</v>
      </c>
      <c r="CJ804" s="4" t="s">
        <v>276</v>
      </c>
      <c r="CK804" s="4" t="s">
        <v>259</v>
      </c>
      <c r="CL804" s="4" t="s">
        <v>241</v>
      </c>
      <c r="CO804" s="5" t="s">
        <v>260</v>
      </c>
      <c r="CP804" s="4" t="s">
        <v>241</v>
      </c>
      <c r="CQ804" s="4" t="s">
        <v>261</v>
      </c>
      <c r="CR804" s="4" t="s">
        <v>241</v>
      </c>
      <c r="CS804" s="4" t="s">
        <v>241</v>
      </c>
      <c r="CT804" s="4">
        <v>0</v>
      </c>
      <c r="CU804" s="4" t="s">
        <v>262</v>
      </c>
      <c r="CV804" s="4" t="s">
        <v>263</v>
      </c>
      <c r="CW804" s="4" t="s">
        <v>263</v>
      </c>
      <c r="CX804" s="4" t="s">
        <v>264</v>
      </c>
      <c r="DA804" s="6">
        <f>1</f>
        <v>1</v>
      </c>
      <c r="DC804" s="4" t="s">
        <v>277</v>
      </c>
      <c r="DD804" s="4" t="s">
        <v>241</v>
      </c>
      <c r="DF804" s="4" t="s">
        <v>277</v>
      </c>
      <c r="DG804" s="6">
        <f>1048</f>
        <v>1048</v>
      </c>
      <c r="DI804" s="4" t="s">
        <v>241</v>
      </c>
      <c r="DJ804" s="4" t="s">
        <v>241</v>
      </c>
      <c r="DK804" s="4" t="s">
        <v>241</v>
      </c>
      <c r="DL804" s="4" t="s">
        <v>241</v>
      </c>
      <c r="DP804" s="4" t="s">
        <v>241</v>
      </c>
      <c r="DQ804" s="4" t="s">
        <v>241</v>
      </c>
      <c r="DR804" s="4" t="s">
        <v>241</v>
      </c>
      <c r="DS804" s="4" t="s">
        <v>241</v>
      </c>
      <c r="DV804" s="4" t="s">
        <v>278</v>
      </c>
      <c r="DW804" s="4" t="s">
        <v>2503</v>
      </c>
      <c r="HO804" s="4" t="s">
        <v>267</v>
      </c>
    </row>
    <row r="805" spans="1:223" ht="19.5" customHeight="1" x14ac:dyDescent="0.4">
      <c r="A805" s="4">
        <v>1</v>
      </c>
      <c r="B805" s="4" t="s">
        <v>239</v>
      </c>
      <c r="C805" s="4">
        <v>2479</v>
      </c>
      <c r="D805" s="4">
        <v>1</v>
      </c>
      <c r="E805" s="4">
        <v>1</v>
      </c>
      <c r="F805" s="4" t="s">
        <v>268</v>
      </c>
      <c r="G805" s="4" t="s">
        <v>241</v>
      </c>
      <c r="H805" s="4" t="s">
        <v>241</v>
      </c>
      <c r="I805" s="4" t="s">
        <v>272</v>
      </c>
      <c r="J805" s="4" t="s">
        <v>274</v>
      </c>
      <c r="K805" s="4" t="s">
        <v>251</v>
      </c>
      <c r="L805" s="4" t="s">
        <v>269</v>
      </c>
      <c r="M805" s="5" t="s">
        <v>2499</v>
      </c>
      <c r="N805" s="6">
        <f>16035</f>
        <v>16035</v>
      </c>
      <c r="O805" s="4" t="s">
        <v>265</v>
      </c>
      <c r="P805" s="6">
        <f>1</f>
        <v>1</v>
      </c>
      <c r="Q805" s="6">
        <f>0</f>
        <v>0</v>
      </c>
      <c r="S805" s="6">
        <f>0</f>
        <v>0</v>
      </c>
      <c r="T805" s="6">
        <f>1</f>
        <v>1</v>
      </c>
      <c r="U805" s="5" t="s">
        <v>245</v>
      </c>
      <c r="V805" s="4" t="s">
        <v>270</v>
      </c>
      <c r="W805" s="4" t="s">
        <v>271</v>
      </c>
      <c r="X805" s="4" t="s">
        <v>273</v>
      </c>
      <c r="Y805" s="4" t="s">
        <v>241</v>
      </c>
      <c r="AB805" s="4" t="s">
        <v>241</v>
      </c>
      <c r="AD805" s="5" t="s">
        <v>241</v>
      </c>
      <c r="AG805" s="5" t="s">
        <v>246</v>
      </c>
      <c r="AH805" s="4" t="s">
        <v>241</v>
      </c>
      <c r="AI805" s="4" t="s">
        <v>247</v>
      </c>
      <c r="AJ805" s="4" t="s">
        <v>248</v>
      </c>
      <c r="AZ805" s="4" t="s">
        <v>249</v>
      </c>
      <c r="BA805" s="4" t="s">
        <v>241</v>
      </c>
      <c r="BB805" s="4" t="s">
        <v>250</v>
      </c>
      <c r="BC805" s="4" t="s">
        <v>241</v>
      </c>
      <c r="BD805" s="4" t="s">
        <v>252</v>
      </c>
      <c r="BE805" s="4" t="s">
        <v>241</v>
      </c>
      <c r="BI805" s="4" t="s">
        <v>253</v>
      </c>
      <c r="BJ805" s="5" t="s">
        <v>246</v>
      </c>
      <c r="BK805" s="4" t="s">
        <v>254</v>
      </c>
      <c r="BL805" s="4" t="s">
        <v>255</v>
      </c>
      <c r="BM805" s="4" t="s">
        <v>241</v>
      </c>
      <c r="BN805" s="6">
        <f>0</f>
        <v>0</v>
      </c>
      <c r="BO805" s="6">
        <f>0</f>
        <v>0</v>
      </c>
      <c r="BP805" s="4" t="s">
        <v>256</v>
      </c>
      <c r="BQ805" s="4" t="s">
        <v>257</v>
      </c>
      <c r="CE805" s="4" t="s">
        <v>241</v>
      </c>
      <c r="CF805" s="4" t="s">
        <v>241</v>
      </c>
      <c r="CJ805" s="4" t="s">
        <v>276</v>
      </c>
      <c r="CK805" s="4" t="s">
        <v>259</v>
      </c>
      <c r="CL805" s="4" t="s">
        <v>241</v>
      </c>
      <c r="CO805" s="5" t="s">
        <v>260</v>
      </c>
      <c r="CP805" s="4" t="s">
        <v>241</v>
      </c>
      <c r="CQ805" s="4" t="s">
        <v>261</v>
      </c>
      <c r="CR805" s="4" t="s">
        <v>241</v>
      </c>
      <c r="CS805" s="4" t="s">
        <v>241</v>
      </c>
      <c r="CT805" s="4">
        <v>0</v>
      </c>
      <c r="CU805" s="4" t="s">
        <v>262</v>
      </c>
      <c r="CV805" s="4" t="s">
        <v>263</v>
      </c>
      <c r="CW805" s="4" t="s">
        <v>263</v>
      </c>
      <c r="CX805" s="4" t="s">
        <v>264</v>
      </c>
      <c r="DA805" s="6">
        <f>1</f>
        <v>1</v>
      </c>
      <c r="DC805" s="4" t="s">
        <v>277</v>
      </c>
      <c r="DD805" s="4" t="s">
        <v>241</v>
      </c>
      <c r="DF805" s="4" t="s">
        <v>277</v>
      </c>
      <c r="DG805" s="6">
        <f>16035</f>
        <v>16035</v>
      </c>
      <c r="DI805" s="4" t="s">
        <v>241</v>
      </c>
      <c r="DJ805" s="4" t="s">
        <v>241</v>
      </c>
      <c r="DK805" s="4" t="s">
        <v>241</v>
      </c>
      <c r="DL805" s="4" t="s">
        <v>241</v>
      </c>
      <c r="DP805" s="4" t="s">
        <v>241</v>
      </c>
      <c r="DQ805" s="4" t="s">
        <v>241</v>
      </c>
      <c r="DR805" s="4" t="s">
        <v>241</v>
      </c>
      <c r="DS805" s="4" t="s">
        <v>241</v>
      </c>
      <c r="DV805" s="4" t="s">
        <v>278</v>
      </c>
      <c r="DW805" s="4" t="s">
        <v>2500</v>
      </c>
      <c r="HO805" s="4" t="s">
        <v>267</v>
      </c>
    </row>
    <row r="806" spans="1:223" ht="19.5" customHeight="1" x14ac:dyDescent="0.4">
      <c r="A806" s="4">
        <v>1</v>
      </c>
      <c r="B806" s="4" t="s">
        <v>239</v>
      </c>
      <c r="C806" s="4">
        <v>2480</v>
      </c>
      <c r="D806" s="4">
        <v>1</v>
      </c>
      <c r="E806" s="4">
        <v>1</v>
      </c>
      <c r="F806" s="4" t="s">
        <v>268</v>
      </c>
      <c r="G806" s="4" t="s">
        <v>241</v>
      </c>
      <c r="H806" s="4" t="s">
        <v>241</v>
      </c>
      <c r="I806" s="4" t="s">
        <v>272</v>
      </c>
      <c r="J806" s="4" t="s">
        <v>274</v>
      </c>
      <c r="K806" s="4" t="s">
        <v>251</v>
      </c>
      <c r="L806" s="4" t="s">
        <v>269</v>
      </c>
      <c r="M806" s="5" t="s">
        <v>2664</v>
      </c>
      <c r="N806" s="6">
        <f>2081</f>
        <v>2081</v>
      </c>
      <c r="O806" s="4" t="s">
        <v>265</v>
      </c>
      <c r="P806" s="6">
        <f>1</f>
        <v>1</v>
      </c>
      <c r="Q806" s="6">
        <f>0</f>
        <v>0</v>
      </c>
      <c r="S806" s="6">
        <f>0</f>
        <v>0</v>
      </c>
      <c r="T806" s="6">
        <f>1</f>
        <v>1</v>
      </c>
      <c r="U806" s="5" t="s">
        <v>245</v>
      </c>
      <c r="V806" s="4" t="s">
        <v>270</v>
      </c>
      <c r="W806" s="4" t="s">
        <v>271</v>
      </c>
      <c r="X806" s="4" t="s">
        <v>273</v>
      </c>
      <c r="Y806" s="4" t="s">
        <v>241</v>
      </c>
      <c r="AB806" s="4" t="s">
        <v>241</v>
      </c>
      <c r="AD806" s="5" t="s">
        <v>241</v>
      </c>
      <c r="AG806" s="5" t="s">
        <v>246</v>
      </c>
      <c r="AH806" s="4" t="s">
        <v>241</v>
      </c>
      <c r="AI806" s="4" t="s">
        <v>247</v>
      </c>
      <c r="AJ806" s="4" t="s">
        <v>248</v>
      </c>
      <c r="AZ806" s="4" t="s">
        <v>249</v>
      </c>
      <c r="BA806" s="4" t="s">
        <v>241</v>
      </c>
      <c r="BB806" s="4" t="s">
        <v>250</v>
      </c>
      <c r="BC806" s="4" t="s">
        <v>241</v>
      </c>
      <c r="BD806" s="4" t="s">
        <v>252</v>
      </c>
      <c r="BE806" s="4" t="s">
        <v>241</v>
      </c>
      <c r="BI806" s="4" t="s">
        <v>253</v>
      </c>
      <c r="BJ806" s="5" t="s">
        <v>246</v>
      </c>
      <c r="BK806" s="4" t="s">
        <v>254</v>
      </c>
      <c r="BL806" s="4" t="s">
        <v>255</v>
      </c>
      <c r="BM806" s="4" t="s">
        <v>241</v>
      </c>
      <c r="BN806" s="6">
        <f>0</f>
        <v>0</v>
      </c>
      <c r="BO806" s="6">
        <f>0</f>
        <v>0</v>
      </c>
      <c r="BP806" s="4" t="s">
        <v>256</v>
      </c>
      <c r="BQ806" s="4" t="s">
        <v>257</v>
      </c>
      <c r="CE806" s="4" t="s">
        <v>241</v>
      </c>
      <c r="CF806" s="4" t="s">
        <v>241</v>
      </c>
      <c r="CJ806" s="4" t="s">
        <v>276</v>
      </c>
      <c r="CK806" s="4" t="s">
        <v>259</v>
      </c>
      <c r="CL806" s="4" t="s">
        <v>241</v>
      </c>
      <c r="CO806" s="5" t="s">
        <v>260</v>
      </c>
      <c r="CP806" s="4" t="s">
        <v>241</v>
      </c>
      <c r="CQ806" s="4" t="s">
        <v>261</v>
      </c>
      <c r="CR806" s="4" t="s">
        <v>241</v>
      </c>
      <c r="CS806" s="4" t="s">
        <v>241</v>
      </c>
      <c r="CT806" s="4">
        <v>0</v>
      </c>
      <c r="CU806" s="4" t="s">
        <v>262</v>
      </c>
      <c r="CV806" s="4" t="s">
        <v>263</v>
      </c>
      <c r="CW806" s="4" t="s">
        <v>263</v>
      </c>
      <c r="CX806" s="4" t="s">
        <v>264</v>
      </c>
      <c r="DA806" s="6">
        <f>1</f>
        <v>1</v>
      </c>
      <c r="DC806" s="4" t="s">
        <v>277</v>
      </c>
      <c r="DD806" s="4" t="s">
        <v>241</v>
      </c>
      <c r="DF806" s="4" t="s">
        <v>277</v>
      </c>
      <c r="DG806" s="6">
        <f>2081</f>
        <v>2081</v>
      </c>
      <c r="DI806" s="4" t="s">
        <v>241</v>
      </c>
      <c r="DJ806" s="4" t="s">
        <v>241</v>
      </c>
      <c r="DK806" s="4" t="s">
        <v>241</v>
      </c>
      <c r="DL806" s="4" t="s">
        <v>241</v>
      </c>
      <c r="DP806" s="4" t="s">
        <v>241</v>
      </c>
      <c r="DQ806" s="4" t="s">
        <v>241</v>
      </c>
      <c r="DR806" s="4" t="s">
        <v>241</v>
      </c>
      <c r="DS806" s="4" t="s">
        <v>241</v>
      </c>
      <c r="DV806" s="4" t="s">
        <v>278</v>
      </c>
      <c r="DW806" s="4" t="s">
        <v>2665</v>
      </c>
      <c r="HO806" s="4" t="s">
        <v>267</v>
      </c>
    </row>
    <row r="807" spans="1:223" ht="19.5" customHeight="1" x14ac:dyDescent="0.4">
      <c r="A807" s="4">
        <v>1</v>
      </c>
      <c r="B807" s="4" t="s">
        <v>239</v>
      </c>
      <c r="C807" s="4">
        <v>2481</v>
      </c>
      <c r="D807" s="4">
        <v>1</v>
      </c>
      <c r="E807" s="4">
        <v>1</v>
      </c>
      <c r="F807" s="4" t="s">
        <v>268</v>
      </c>
      <c r="G807" s="4" t="s">
        <v>241</v>
      </c>
      <c r="H807" s="4" t="s">
        <v>241</v>
      </c>
      <c r="I807" s="4" t="s">
        <v>272</v>
      </c>
      <c r="J807" s="4" t="s">
        <v>274</v>
      </c>
      <c r="K807" s="4" t="s">
        <v>251</v>
      </c>
      <c r="L807" s="4" t="s">
        <v>269</v>
      </c>
      <c r="M807" s="5" t="s">
        <v>2496</v>
      </c>
      <c r="N807" s="6">
        <f>661</f>
        <v>661</v>
      </c>
      <c r="O807" s="4" t="s">
        <v>265</v>
      </c>
      <c r="P807" s="6">
        <f>1</f>
        <v>1</v>
      </c>
      <c r="Q807" s="6">
        <f>0</f>
        <v>0</v>
      </c>
      <c r="S807" s="6">
        <f>0</f>
        <v>0</v>
      </c>
      <c r="T807" s="6">
        <f>1</f>
        <v>1</v>
      </c>
      <c r="U807" s="5" t="s">
        <v>245</v>
      </c>
      <c r="V807" s="4" t="s">
        <v>270</v>
      </c>
      <c r="W807" s="4" t="s">
        <v>271</v>
      </c>
      <c r="X807" s="4" t="s">
        <v>273</v>
      </c>
      <c r="Y807" s="4" t="s">
        <v>241</v>
      </c>
      <c r="AB807" s="4" t="s">
        <v>241</v>
      </c>
      <c r="AD807" s="5" t="s">
        <v>241</v>
      </c>
      <c r="AG807" s="5" t="s">
        <v>246</v>
      </c>
      <c r="AH807" s="4" t="s">
        <v>241</v>
      </c>
      <c r="AI807" s="4" t="s">
        <v>247</v>
      </c>
      <c r="AJ807" s="4" t="s">
        <v>248</v>
      </c>
      <c r="AZ807" s="4" t="s">
        <v>249</v>
      </c>
      <c r="BA807" s="4" t="s">
        <v>241</v>
      </c>
      <c r="BB807" s="4" t="s">
        <v>250</v>
      </c>
      <c r="BC807" s="4" t="s">
        <v>241</v>
      </c>
      <c r="BD807" s="4" t="s">
        <v>252</v>
      </c>
      <c r="BE807" s="4" t="s">
        <v>241</v>
      </c>
      <c r="BI807" s="4" t="s">
        <v>253</v>
      </c>
      <c r="BJ807" s="5" t="s">
        <v>246</v>
      </c>
      <c r="BK807" s="4" t="s">
        <v>254</v>
      </c>
      <c r="BL807" s="4" t="s">
        <v>255</v>
      </c>
      <c r="BM807" s="4" t="s">
        <v>241</v>
      </c>
      <c r="BN807" s="6">
        <f>0</f>
        <v>0</v>
      </c>
      <c r="BO807" s="6">
        <f>0</f>
        <v>0</v>
      </c>
      <c r="BP807" s="4" t="s">
        <v>256</v>
      </c>
      <c r="BQ807" s="4" t="s">
        <v>257</v>
      </c>
      <c r="CE807" s="4" t="s">
        <v>241</v>
      </c>
      <c r="CF807" s="4" t="s">
        <v>241</v>
      </c>
      <c r="CJ807" s="4" t="s">
        <v>276</v>
      </c>
      <c r="CK807" s="4" t="s">
        <v>259</v>
      </c>
      <c r="CL807" s="4" t="s">
        <v>241</v>
      </c>
      <c r="CO807" s="5" t="s">
        <v>260</v>
      </c>
      <c r="CP807" s="4" t="s">
        <v>241</v>
      </c>
      <c r="CQ807" s="4" t="s">
        <v>261</v>
      </c>
      <c r="CR807" s="4" t="s">
        <v>241</v>
      </c>
      <c r="CS807" s="4" t="s">
        <v>241</v>
      </c>
      <c r="CT807" s="4">
        <v>0</v>
      </c>
      <c r="CU807" s="4" t="s">
        <v>262</v>
      </c>
      <c r="CV807" s="4" t="s">
        <v>263</v>
      </c>
      <c r="CW807" s="4" t="s">
        <v>263</v>
      </c>
      <c r="CX807" s="4" t="s">
        <v>264</v>
      </c>
      <c r="DA807" s="6">
        <f>1</f>
        <v>1</v>
      </c>
      <c r="DC807" s="4" t="s">
        <v>277</v>
      </c>
      <c r="DD807" s="4" t="s">
        <v>241</v>
      </c>
      <c r="DF807" s="4" t="s">
        <v>277</v>
      </c>
      <c r="DG807" s="6">
        <f>661</f>
        <v>661</v>
      </c>
      <c r="DI807" s="4" t="s">
        <v>241</v>
      </c>
      <c r="DJ807" s="4" t="s">
        <v>241</v>
      </c>
      <c r="DK807" s="4" t="s">
        <v>241</v>
      </c>
      <c r="DL807" s="4" t="s">
        <v>241</v>
      </c>
      <c r="DP807" s="4" t="s">
        <v>241</v>
      </c>
      <c r="DQ807" s="4" t="s">
        <v>241</v>
      </c>
      <c r="DR807" s="4" t="s">
        <v>241</v>
      </c>
      <c r="DS807" s="4" t="s">
        <v>241</v>
      </c>
      <c r="DV807" s="4" t="s">
        <v>278</v>
      </c>
      <c r="DW807" s="4" t="s">
        <v>2497</v>
      </c>
      <c r="HO807" s="4" t="s">
        <v>267</v>
      </c>
    </row>
    <row r="808" spans="1:223" ht="19.5" customHeight="1" x14ac:dyDescent="0.4">
      <c r="A808" s="4">
        <v>1</v>
      </c>
      <c r="B808" s="4" t="s">
        <v>239</v>
      </c>
      <c r="C808" s="4">
        <v>2482</v>
      </c>
      <c r="D808" s="4">
        <v>1</v>
      </c>
      <c r="E808" s="4">
        <v>1</v>
      </c>
      <c r="F808" s="4" t="s">
        <v>268</v>
      </c>
      <c r="G808" s="4" t="s">
        <v>241</v>
      </c>
      <c r="H808" s="4" t="s">
        <v>241</v>
      </c>
      <c r="I808" s="4" t="s">
        <v>272</v>
      </c>
      <c r="J808" s="4" t="s">
        <v>274</v>
      </c>
      <c r="K808" s="4" t="s">
        <v>251</v>
      </c>
      <c r="L808" s="4" t="s">
        <v>269</v>
      </c>
      <c r="M808" s="5" t="s">
        <v>2668</v>
      </c>
      <c r="N808" s="6">
        <f>1033</f>
        <v>1033</v>
      </c>
      <c r="O808" s="4" t="s">
        <v>265</v>
      </c>
      <c r="P808" s="6">
        <f>1</f>
        <v>1</v>
      </c>
      <c r="Q808" s="6">
        <f>0</f>
        <v>0</v>
      </c>
      <c r="S808" s="6">
        <f>0</f>
        <v>0</v>
      </c>
      <c r="T808" s="6">
        <f>1</f>
        <v>1</v>
      </c>
      <c r="U808" s="5" t="s">
        <v>245</v>
      </c>
      <c r="V808" s="4" t="s">
        <v>270</v>
      </c>
      <c r="W808" s="4" t="s">
        <v>271</v>
      </c>
      <c r="X808" s="4" t="s">
        <v>273</v>
      </c>
      <c r="Y808" s="4" t="s">
        <v>241</v>
      </c>
      <c r="AB808" s="4" t="s">
        <v>241</v>
      </c>
      <c r="AD808" s="5" t="s">
        <v>241</v>
      </c>
      <c r="AG808" s="5" t="s">
        <v>246</v>
      </c>
      <c r="AH808" s="4" t="s">
        <v>241</v>
      </c>
      <c r="AI808" s="4" t="s">
        <v>247</v>
      </c>
      <c r="AJ808" s="4" t="s">
        <v>248</v>
      </c>
      <c r="AZ808" s="4" t="s">
        <v>249</v>
      </c>
      <c r="BA808" s="4" t="s">
        <v>241</v>
      </c>
      <c r="BB808" s="4" t="s">
        <v>250</v>
      </c>
      <c r="BC808" s="4" t="s">
        <v>241</v>
      </c>
      <c r="BD808" s="4" t="s">
        <v>252</v>
      </c>
      <c r="BE808" s="4" t="s">
        <v>241</v>
      </c>
      <c r="BI808" s="4" t="s">
        <v>253</v>
      </c>
      <c r="BJ808" s="5" t="s">
        <v>246</v>
      </c>
      <c r="BK808" s="4" t="s">
        <v>254</v>
      </c>
      <c r="BL808" s="4" t="s">
        <v>255</v>
      </c>
      <c r="BM808" s="4" t="s">
        <v>241</v>
      </c>
      <c r="BN808" s="6">
        <f>0</f>
        <v>0</v>
      </c>
      <c r="BO808" s="6">
        <f>0</f>
        <v>0</v>
      </c>
      <c r="BP808" s="4" t="s">
        <v>256</v>
      </c>
      <c r="BQ808" s="4" t="s">
        <v>257</v>
      </c>
      <c r="CE808" s="4" t="s">
        <v>241</v>
      </c>
      <c r="CF808" s="4" t="s">
        <v>241</v>
      </c>
      <c r="CJ808" s="4" t="s">
        <v>276</v>
      </c>
      <c r="CK808" s="4" t="s">
        <v>259</v>
      </c>
      <c r="CL808" s="4" t="s">
        <v>241</v>
      </c>
      <c r="CO808" s="5" t="s">
        <v>260</v>
      </c>
      <c r="CP808" s="4" t="s">
        <v>241</v>
      </c>
      <c r="CQ808" s="4" t="s">
        <v>261</v>
      </c>
      <c r="CR808" s="4" t="s">
        <v>241</v>
      </c>
      <c r="CS808" s="4" t="s">
        <v>241</v>
      </c>
      <c r="CT808" s="4">
        <v>0</v>
      </c>
      <c r="CU808" s="4" t="s">
        <v>262</v>
      </c>
      <c r="CV808" s="4" t="s">
        <v>263</v>
      </c>
      <c r="CW808" s="4" t="s">
        <v>263</v>
      </c>
      <c r="CX808" s="4" t="s">
        <v>264</v>
      </c>
      <c r="DA808" s="6">
        <f>1</f>
        <v>1</v>
      </c>
      <c r="DC808" s="4" t="s">
        <v>277</v>
      </c>
      <c r="DD808" s="4" t="s">
        <v>241</v>
      </c>
      <c r="DF808" s="4" t="s">
        <v>277</v>
      </c>
      <c r="DG808" s="6">
        <f>1033</f>
        <v>1033</v>
      </c>
      <c r="DI808" s="4" t="s">
        <v>241</v>
      </c>
      <c r="DJ808" s="4" t="s">
        <v>241</v>
      </c>
      <c r="DK808" s="4" t="s">
        <v>241</v>
      </c>
      <c r="DL808" s="4" t="s">
        <v>241</v>
      </c>
      <c r="DP808" s="4" t="s">
        <v>241</v>
      </c>
      <c r="DQ808" s="4" t="s">
        <v>241</v>
      </c>
      <c r="DR808" s="4" t="s">
        <v>241</v>
      </c>
      <c r="DS808" s="4" t="s">
        <v>241</v>
      </c>
      <c r="DV808" s="4" t="s">
        <v>278</v>
      </c>
      <c r="DW808" s="4" t="s">
        <v>2669</v>
      </c>
      <c r="HO808" s="4" t="s">
        <v>267</v>
      </c>
    </row>
    <row r="809" spans="1:223" ht="19.5" customHeight="1" x14ac:dyDescent="0.4">
      <c r="A809" s="4">
        <v>1</v>
      </c>
      <c r="B809" s="4" t="s">
        <v>239</v>
      </c>
      <c r="C809" s="4">
        <v>2483</v>
      </c>
      <c r="D809" s="4">
        <v>1</v>
      </c>
      <c r="E809" s="4">
        <v>1</v>
      </c>
      <c r="F809" s="4" t="s">
        <v>268</v>
      </c>
      <c r="G809" s="4" t="s">
        <v>241</v>
      </c>
      <c r="H809" s="4" t="s">
        <v>241</v>
      </c>
      <c r="I809" s="4" t="s">
        <v>272</v>
      </c>
      <c r="J809" s="4" t="s">
        <v>274</v>
      </c>
      <c r="K809" s="4" t="s">
        <v>251</v>
      </c>
      <c r="L809" s="4" t="s">
        <v>269</v>
      </c>
      <c r="M809" s="5" t="s">
        <v>2672</v>
      </c>
      <c r="N809" s="6">
        <f>260</f>
        <v>260</v>
      </c>
      <c r="O809" s="4" t="s">
        <v>265</v>
      </c>
      <c r="P809" s="6">
        <f>1</f>
        <v>1</v>
      </c>
      <c r="Q809" s="6">
        <f>0</f>
        <v>0</v>
      </c>
      <c r="S809" s="6">
        <f>0</f>
        <v>0</v>
      </c>
      <c r="T809" s="6">
        <f>1</f>
        <v>1</v>
      </c>
      <c r="U809" s="5" t="s">
        <v>245</v>
      </c>
      <c r="V809" s="4" t="s">
        <v>270</v>
      </c>
      <c r="W809" s="4" t="s">
        <v>271</v>
      </c>
      <c r="X809" s="4" t="s">
        <v>273</v>
      </c>
      <c r="Y809" s="4" t="s">
        <v>241</v>
      </c>
      <c r="AB809" s="4" t="s">
        <v>241</v>
      </c>
      <c r="AD809" s="5" t="s">
        <v>241</v>
      </c>
      <c r="AG809" s="5" t="s">
        <v>246</v>
      </c>
      <c r="AH809" s="4" t="s">
        <v>241</v>
      </c>
      <c r="AI809" s="4" t="s">
        <v>247</v>
      </c>
      <c r="AJ809" s="4" t="s">
        <v>248</v>
      </c>
      <c r="AZ809" s="4" t="s">
        <v>249</v>
      </c>
      <c r="BA809" s="4" t="s">
        <v>241</v>
      </c>
      <c r="BB809" s="4" t="s">
        <v>250</v>
      </c>
      <c r="BC809" s="4" t="s">
        <v>241</v>
      </c>
      <c r="BD809" s="4" t="s">
        <v>252</v>
      </c>
      <c r="BE809" s="4" t="s">
        <v>241</v>
      </c>
      <c r="BI809" s="4" t="s">
        <v>253</v>
      </c>
      <c r="BJ809" s="5" t="s">
        <v>246</v>
      </c>
      <c r="BK809" s="4" t="s">
        <v>254</v>
      </c>
      <c r="BL809" s="4" t="s">
        <v>255</v>
      </c>
      <c r="BM809" s="4" t="s">
        <v>241</v>
      </c>
      <c r="BN809" s="6">
        <f>0</f>
        <v>0</v>
      </c>
      <c r="BO809" s="6">
        <f>0</f>
        <v>0</v>
      </c>
      <c r="BP809" s="4" t="s">
        <v>256</v>
      </c>
      <c r="BQ809" s="4" t="s">
        <v>257</v>
      </c>
      <c r="CE809" s="4" t="s">
        <v>241</v>
      </c>
      <c r="CF809" s="4" t="s">
        <v>241</v>
      </c>
      <c r="CJ809" s="4" t="s">
        <v>276</v>
      </c>
      <c r="CK809" s="4" t="s">
        <v>259</v>
      </c>
      <c r="CL809" s="4" t="s">
        <v>241</v>
      </c>
      <c r="CO809" s="5" t="s">
        <v>260</v>
      </c>
      <c r="CP809" s="4" t="s">
        <v>241</v>
      </c>
      <c r="CQ809" s="4" t="s">
        <v>261</v>
      </c>
      <c r="CR809" s="4" t="s">
        <v>241</v>
      </c>
      <c r="CS809" s="4" t="s">
        <v>241</v>
      </c>
      <c r="CT809" s="4">
        <v>0</v>
      </c>
      <c r="CU809" s="4" t="s">
        <v>262</v>
      </c>
      <c r="CV809" s="4" t="s">
        <v>263</v>
      </c>
      <c r="CW809" s="4" t="s">
        <v>263</v>
      </c>
      <c r="CX809" s="4" t="s">
        <v>264</v>
      </c>
      <c r="DA809" s="6">
        <f>1</f>
        <v>1</v>
      </c>
      <c r="DC809" s="4" t="s">
        <v>277</v>
      </c>
      <c r="DD809" s="4" t="s">
        <v>241</v>
      </c>
      <c r="DF809" s="4" t="s">
        <v>277</v>
      </c>
      <c r="DG809" s="6">
        <f>260</f>
        <v>260</v>
      </c>
      <c r="DI809" s="4" t="s">
        <v>241</v>
      </c>
      <c r="DJ809" s="4" t="s">
        <v>241</v>
      </c>
      <c r="DK809" s="4" t="s">
        <v>241</v>
      </c>
      <c r="DL809" s="4" t="s">
        <v>241</v>
      </c>
      <c r="DP809" s="4" t="s">
        <v>241</v>
      </c>
      <c r="DQ809" s="4" t="s">
        <v>241</v>
      </c>
      <c r="DR809" s="4" t="s">
        <v>241</v>
      </c>
      <c r="DS809" s="4" t="s">
        <v>241</v>
      </c>
      <c r="DV809" s="4" t="s">
        <v>278</v>
      </c>
      <c r="DW809" s="4" t="s">
        <v>2673</v>
      </c>
      <c r="HO809" s="4" t="s">
        <v>267</v>
      </c>
    </row>
    <row r="810" spans="1:223" ht="19.5" customHeight="1" x14ac:dyDescent="0.4">
      <c r="A810" s="4">
        <v>1</v>
      </c>
      <c r="B810" s="4" t="s">
        <v>239</v>
      </c>
      <c r="C810" s="4">
        <v>2484</v>
      </c>
      <c r="D810" s="4">
        <v>1</v>
      </c>
      <c r="E810" s="4">
        <v>1</v>
      </c>
      <c r="F810" s="4" t="s">
        <v>268</v>
      </c>
      <c r="G810" s="4" t="s">
        <v>241</v>
      </c>
      <c r="H810" s="4" t="s">
        <v>241</v>
      </c>
      <c r="I810" s="4" t="s">
        <v>272</v>
      </c>
      <c r="J810" s="4" t="s">
        <v>274</v>
      </c>
      <c r="K810" s="4" t="s">
        <v>251</v>
      </c>
      <c r="L810" s="4" t="s">
        <v>269</v>
      </c>
      <c r="M810" s="5" t="s">
        <v>2402</v>
      </c>
      <c r="N810" s="6">
        <f>3189</f>
        <v>3189</v>
      </c>
      <c r="O810" s="4" t="s">
        <v>265</v>
      </c>
      <c r="P810" s="6">
        <f>1</f>
        <v>1</v>
      </c>
      <c r="Q810" s="6">
        <f>0</f>
        <v>0</v>
      </c>
      <c r="S810" s="6">
        <f>0</f>
        <v>0</v>
      </c>
      <c r="T810" s="6">
        <f>1</f>
        <v>1</v>
      </c>
      <c r="U810" s="5" t="s">
        <v>245</v>
      </c>
      <c r="V810" s="4" t="s">
        <v>270</v>
      </c>
      <c r="W810" s="4" t="s">
        <v>271</v>
      </c>
      <c r="X810" s="4" t="s">
        <v>273</v>
      </c>
      <c r="Y810" s="4" t="s">
        <v>241</v>
      </c>
      <c r="AB810" s="4" t="s">
        <v>241</v>
      </c>
      <c r="AD810" s="5" t="s">
        <v>241</v>
      </c>
      <c r="AG810" s="5" t="s">
        <v>246</v>
      </c>
      <c r="AH810" s="4" t="s">
        <v>241</v>
      </c>
      <c r="AI810" s="4" t="s">
        <v>247</v>
      </c>
      <c r="AJ810" s="4" t="s">
        <v>248</v>
      </c>
      <c r="AZ810" s="4" t="s">
        <v>249</v>
      </c>
      <c r="BA810" s="4" t="s">
        <v>241</v>
      </c>
      <c r="BB810" s="4" t="s">
        <v>250</v>
      </c>
      <c r="BC810" s="4" t="s">
        <v>241</v>
      </c>
      <c r="BD810" s="4" t="s">
        <v>252</v>
      </c>
      <c r="BE810" s="4" t="s">
        <v>241</v>
      </c>
      <c r="BI810" s="4" t="s">
        <v>253</v>
      </c>
      <c r="BJ810" s="5" t="s">
        <v>246</v>
      </c>
      <c r="BK810" s="4" t="s">
        <v>254</v>
      </c>
      <c r="BL810" s="4" t="s">
        <v>255</v>
      </c>
      <c r="BM810" s="4" t="s">
        <v>241</v>
      </c>
      <c r="BN810" s="6">
        <f>0</f>
        <v>0</v>
      </c>
      <c r="BO810" s="6">
        <f>0</f>
        <v>0</v>
      </c>
      <c r="BP810" s="4" t="s">
        <v>256</v>
      </c>
      <c r="BQ810" s="4" t="s">
        <v>257</v>
      </c>
      <c r="CE810" s="4" t="s">
        <v>241</v>
      </c>
      <c r="CF810" s="4" t="s">
        <v>241</v>
      </c>
      <c r="CJ810" s="4" t="s">
        <v>276</v>
      </c>
      <c r="CK810" s="4" t="s">
        <v>259</v>
      </c>
      <c r="CL810" s="4" t="s">
        <v>241</v>
      </c>
      <c r="CO810" s="5" t="s">
        <v>260</v>
      </c>
      <c r="CP810" s="4" t="s">
        <v>241</v>
      </c>
      <c r="CQ810" s="4" t="s">
        <v>261</v>
      </c>
      <c r="CR810" s="4" t="s">
        <v>241</v>
      </c>
      <c r="CS810" s="4" t="s">
        <v>241</v>
      </c>
      <c r="CT810" s="4">
        <v>0</v>
      </c>
      <c r="CU810" s="4" t="s">
        <v>262</v>
      </c>
      <c r="CV810" s="4" t="s">
        <v>263</v>
      </c>
      <c r="CW810" s="4" t="s">
        <v>263</v>
      </c>
      <c r="CX810" s="4" t="s">
        <v>264</v>
      </c>
      <c r="DA810" s="6">
        <f>1</f>
        <v>1</v>
      </c>
      <c r="DC810" s="4" t="s">
        <v>277</v>
      </c>
      <c r="DD810" s="4" t="s">
        <v>241</v>
      </c>
      <c r="DF810" s="4" t="s">
        <v>277</v>
      </c>
      <c r="DG810" s="6">
        <f>3189</f>
        <v>3189</v>
      </c>
      <c r="DI810" s="4" t="s">
        <v>241</v>
      </c>
      <c r="DJ810" s="4" t="s">
        <v>241</v>
      </c>
      <c r="DK810" s="4" t="s">
        <v>241</v>
      </c>
      <c r="DL810" s="4" t="s">
        <v>241</v>
      </c>
      <c r="DP810" s="4" t="s">
        <v>241</v>
      </c>
      <c r="DQ810" s="4" t="s">
        <v>241</v>
      </c>
      <c r="DR810" s="4" t="s">
        <v>241</v>
      </c>
      <c r="DS810" s="4" t="s">
        <v>241</v>
      </c>
      <c r="DV810" s="4" t="s">
        <v>278</v>
      </c>
      <c r="DW810" s="4" t="s">
        <v>2403</v>
      </c>
      <c r="HO810" s="4" t="s">
        <v>267</v>
      </c>
    </row>
    <row r="811" spans="1:223" ht="19.5" customHeight="1" x14ac:dyDescent="0.4">
      <c r="A811" s="4">
        <v>1</v>
      </c>
      <c r="B811" s="4" t="s">
        <v>239</v>
      </c>
      <c r="C811" s="4">
        <v>2485</v>
      </c>
      <c r="D811" s="4">
        <v>1</v>
      </c>
      <c r="E811" s="4">
        <v>1</v>
      </c>
      <c r="F811" s="4" t="s">
        <v>268</v>
      </c>
      <c r="G811" s="4" t="s">
        <v>241</v>
      </c>
      <c r="H811" s="4" t="s">
        <v>241</v>
      </c>
      <c r="I811" s="4" t="s">
        <v>272</v>
      </c>
      <c r="J811" s="4" t="s">
        <v>274</v>
      </c>
      <c r="K811" s="4" t="s">
        <v>251</v>
      </c>
      <c r="L811" s="4" t="s">
        <v>269</v>
      </c>
      <c r="M811" s="5" t="s">
        <v>2468</v>
      </c>
      <c r="N811" s="6">
        <f>697</f>
        <v>697</v>
      </c>
      <c r="O811" s="4" t="s">
        <v>265</v>
      </c>
      <c r="P811" s="6">
        <f>1</f>
        <v>1</v>
      </c>
      <c r="Q811" s="6">
        <f>0</f>
        <v>0</v>
      </c>
      <c r="S811" s="6">
        <f>0</f>
        <v>0</v>
      </c>
      <c r="T811" s="6">
        <f>1</f>
        <v>1</v>
      </c>
      <c r="U811" s="5" t="s">
        <v>245</v>
      </c>
      <c r="V811" s="4" t="s">
        <v>270</v>
      </c>
      <c r="W811" s="4" t="s">
        <v>271</v>
      </c>
      <c r="X811" s="4" t="s">
        <v>273</v>
      </c>
      <c r="Y811" s="4" t="s">
        <v>241</v>
      </c>
      <c r="AB811" s="4" t="s">
        <v>241</v>
      </c>
      <c r="AD811" s="5" t="s">
        <v>241</v>
      </c>
      <c r="AG811" s="5" t="s">
        <v>246</v>
      </c>
      <c r="AH811" s="4" t="s">
        <v>241</v>
      </c>
      <c r="AI811" s="4" t="s">
        <v>247</v>
      </c>
      <c r="AJ811" s="4" t="s">
        <v>248</v>
      </c>
      <c r="AZ811" s="4" t="s">
        <v>249</v>
      </c>
      <c r="BA811" s="4" t="s">
        <v>241</v>
      </c>
      <c r="BB811" s="4" t="s">
        <v>250</v>
      </c>
      <c r="BC811" s="4" t="s">
        <v>241</v>
      </c>
      <c r="BD811" s="4" t="s">
        <v>252</v>
      </c>
      <c r="BE811" s="4" t="s">
        <v>241</v>
      </c>
      <c r="BI811" s="4" t="s">
        <v>253</v>
      </c>
      <c r="BJ811" s="5" t="s">
        <v>246</v>
      </c>
      <c r="BK811" s="4" t="s">
        <v>254</v>
      </c>
      <c r="BL811" s="4" t="s">
        <v>255</v>
      </c>
      <c r="BM811" s="4" t="s">
        <v>241</v>
      </c>
      <c r="BN811" s="6">
        <f>0</f>
        <v>0</v>
      </c>
      <c r="BO811" s="6">
        <f>0</f>
        <v>0</v>
      </c>
      <c r="BP811" s="4" t="s">
        <v>256</v>
      </c>
      <c r="BQ811" s="4" t="s">
        <v>257</v>
      </c>
      <c r="CE811" s="4" t="s">
        <v>241</v>
      </c>
      <c r="CF811" s="4" t="s">
        <v>241</v>
      </c>
      <c r="CJ811" s="4" t="s">
        <v>276</v>
      </c>
      <c r="CK811" s="4" t="s">
        <v>259</v>
      </c>
      <c r="CL811" s="4" t="s">
        <v>241</v>
      </c>
      <c r="CO811" s="5" t="s">
        <v>260</v>
      </c>
      <c r="CP811" s="4" t="s">
        <v>241</v>
      </c>
      <c r="CQ811" s="4" t="s">
        <v>261</v>
      </c>
      <c r="CR811" s="4" t="s">
        <v>241</v>
      </c>
      <c r="CS811" s="4" t="s">
        <v>241</v>
      </c>
      <c r="CT811" s="4">
        <v>0</v>
      </c>
      <c r="CU811" s="4" t="s">
        <v>262</v>
      </c>
      <c r="CV811" s="4" t="s">
        <v>263</v>
      </c>
      <c r="CW811" s="4" t="s">
        <v>263</v>
      </c>
      <c r="CX811" s="4" t="s">
        <v>264</v>
      </c>
      <c r="DA811" s="6">
        <f>1</f>
        <v>1</v>
      </c>
      <c r="DC811" s="4" t="s">
        <v>277</v>
      </c>
      <c r="DD811" s="4" t="s">
        <v>241</v>
      </c>
      <c r="DF811" s="4" t="s">
        <v>277</v>
      </c>
      <c r="DG811" s="6">
        <f>697</f>
        <v>697</v>
      </c>
      <c r="DI811" s="4" t="s">
        <v>241</v>
      </c>
      <c r="DJ811" s="4" t="s">
        <v>241</v>
      </c>
      <c r="DK811" s="4" t="s">
        <v>241</v>
      </c>
      <c r="DL811" s="4" t="s">
        <v>241</v>
      </c>
      <c r="DP811" s="4" t="s">
        <v>241</v>
      </c>
      <c r="DQ811" s="4" t="s">
        <v>241</v>
      </c>
      <c r="DR811" s="4" t="s">
        <v>241</v>
      </c>
      <c r="DS811" s="4" t="s">
        <v>241</v>
      </c>
      <c r="DV811" s="4" t="s">
        <v>278</v>
      </c>
      <c r="DW811" s="4" t="s">
        <v>2469</v>
      </c>
      <c r="HO811" s="4" t="s">
        <v>267</v>
      </c>
    </row>
    <row r="812" spans="1:223" ht="19.5" customHeight="1" x14ac:dyDescent="0.4">
      <c r="A812" s="4">
        <v>1</v>
      </c>
      <c r="B812" s="4" t="s">
        <v>239</v>
      </c>
      <c r="C812" s="4">
        <v>2486</v>
      </c>
      <c r="D812" s="4">
        <v>1</v>
      </c>
      <c r="E812" s="4">
        <v>1</v>
      </c>
      <c r="F812" s="4" t="s">
        <v>268</v>
      </c>
      <c r="G812" s="4" t="s">
        <v>241</v>
      </c>
      <c r="H812" s="4" t="s">
        <v>241</v>
      </c>
      <c r="I812" s="4" t="s">
        <v>272</v>
      </c>
      <c r="J812" s="4" t="s">
        <v>274</v>
      </c>
      <c r="K812" s="4" t="s">
        <v>251</v>
      </c>
      <c r="L812" s="4" t="s">
        <v>269</v>
      </c>
      <c r="M812" s="5" t="s">
        <v>2475</v>
      </c>
      <c r="N812" s="6">
        <f>502</f>
        <v>502</v>
      </c>
      <c r="O812" s="4" t="s">
        <v>265</v>
      </c>
      <c r="P812" s="6">
        <f>1</f>
        <v>1</v>
      </c>
      <c r="Q812" s="6">
        <f>0</f>
        <v>0</v>
      </c>
      <c r="S812" s="6">
        <f>0</f>
        <v>0</v>
      </c>
      <c r="T812" s="6">
        <f>1</f>
        <v>1</v>
      </c>
      <c r="U812" s="5" t="s">
        <v>245</v>
      </c>
      <c r="V812" s="4" t="s">
        <v>270</v>
      </c>
      <c r="W812" s="4" t="s">
        <v>271</v>
      </c>
      <c r="X812" s="4" t="s">
        <v>273</v>
      </c>
      <c r="Y812" s="4" t="s">
        <v>241</v>
      </c>
      <c r="AB812" s="4" t="s">
        <v>241</v>
      </c>
      <c r="AD812" s="5" t="s">
        <v>241</v>
      </c>
      <c r="AG812" s="5" t="s">
        <v>246</v>
      </c>
      <c r="AH812" s="4" t="s">
        <v>241</v>
      </c>
      <c r="AI812" s="4" t="s">
        <v>247</v>
      </c>
      <c r="AJ812" s="4" t="s">
        <v>248</v>
      </c>
      <c r="AZ812" s="4" t="s">
        <v>249</v>
      </c>
      <c r="BA812" s="4" t="s">
        <v>241</v>
      </c>
      <c r="BB812" s="4" t="s">
        <v>250</v>
      </c>
      <c r="BC812" s="4" t="s">
        <v>241</v>
      </c>
      <c r="BD812" s="4" t="s">
        <v>252</v>
      </c>
      <c r="BE812" s="4" t="s">
        <v>241</v>
      </c>
      <c r="BI812" s="4" t="s">
        <v>253</v>
      </c>
      <c r="BJ812" s="5" t="s">
        <v>246</v>
      </c>
      <c r="BK812" s="4" t="s">
        <v>254</v>
      </c>
      <c r="BL812" s="4" t="s">
        <v>255</v>
      </c>
      <c r="BM812" s="4" t="s">
        <v>241</v>
      </c>
      <c r="BN812" s="6">
        <f>0</f>
        <v>0</v>
      </c>
      <c r="BO812" s="6">
        <f>0</f>
        <v>0</v>
      </c>
      <c r="BP812" s="4" t="s">
        <v>256</v>
      </c>
      <c r="BQ812" s="4" t="s">
        <v>257</v>
      </c>
      <c r="CE812" s="4" t="s">
        <v>241</v>
      </c>
      <c r="CF812" s="4" t="s">
        <v>241</v>
      </c>
      <c r="CJ812" s="4" t="s">
        <v>276</v>
      </c>
      <c r="CK812" s="4" t="s">
        <v>259</v>
      </c>
      <c r="CL812" s="4" t="s">
        <v>241</v>
      </c>
      <c r="CO812" s="5" t="s">
        <v>260</v>
      </c>
      <c r="CP812" s="4" t="s">
        <v>241</v>
      </c>
      <c r="CQ812" s="4" t="s">
        <v>261</v>
      </c>
      <c r="CR812" s="4" t="s">
        <v>241</v>
      </c>
      <c r="CS812" s="4" t="s">
        <v>241</v>
      </c>
      <c r="CT812" s="4">
        <v>0</v>
      </c>
      <c r="CU812" s="4" t="s">
        <v>262</v>
      </c>
      <c r="CV812" s="4" t="s">
        <v>263</v>
      </c>
      <c r="CW812" s="4" t="s">
        <v>263</v>
      </c>
      <c r="CX812" s="4" t="s">
        <v>264</v>
      </c>
      <c r="DA812" s="6">
        <f>1</f>
        <v>1</v>
      </c>
      <c r="DC812" s="4" t="s">
        <v>277</v>
      </c>
      <c r="DD812" s="4" t="s">
        <v>241</v>
      </c>
      <c r="DF812" s="4" t="s">
        <v>277</v>
      </c>
      <c r="DG812" s="6">
        <f>502</f>
        <v>502</v>
      </c>
      <c r="DI812" s="4" t="s">
        <v>241</v>
      </c>
      <c r="DJ812" s="4" t="s">
        <v>241</v>
      </c>
      <c r="DK812" s="4" t="s">
        <v>241</v>
      </c>
      <c r="DL812" s="4" t="s">
        <v>241</v>
      </c>
      <c r="DP812" s="4" t="s">
        <v>241</v>
      </c>
      <c r="DQ812" s="4" t="s">
        <v>241</v>
      </c>
      <c r="DR812" s="4" t="s">
        <v>241</v>
      </c>
      <c r="DS812" s="4" t="s">
        <v>241</v>
      </c>
      <c r="DV812" s="4" t="s">
        <v>278</v>
      </c>
      <c r="DW812" s="4" t="s">
        <v>613</v>
      </c>
      <c r="HO812" s="4" t="s">
        <v>267</v>
      </c>
    </row>
    <row r="813" spans="1:223" ht="19.5" customHeight="1" x14ac:dyDescent="0.4">
      <c r="A813" s="4">
        <v>1</v>
      </c>
      <c r="B813" s="4" t="s">
        <v>239</v>
      </c>
      <c r="C813" s="4">
        <v>2487</v>
      </c>
      <c r="D813" s="4">
        <v>1</v>
      </c>
      <c r="E813" s="4">
        <v>1</v>
      </c>
      <c r="F813" s="4" t="s">
        <v>268</v>
      </c>
      <c r="G813" s="4" t="s">
        <v>241</v>
      </c>
      <c r="H813" s="4" t="s">
        <v>241</v>
      </c>
      <c r="I813" s="4" t="s">
        <v>272</v>
      </c>
      <c r="J813" s="4" t="s">
        <v>274</v>
      </c>
      <c r="K813" s="4" t="s">
        <v>251</v>
      </c>
      <c r="L813" s="4" t="s">
        <v>269</v>
      </c>
      <c r="M813" s="5" t="s">
        <v>2477</v>
      </c>
      <c r="N813" s="6">
        <f>465</f>
        <v>465</v>
      </c>
      <c r="O813" s="4" t="s">
        <v>265</v>
      </c>
      <c r="P813" s="6">
        <f>1</f>
        <v>1</v>
      </c>
      <c r="Q813" s="6">
        <f>0</f>
        <v>0</v>
      </c>
      <c r="S813" s="6">
        <f>0</f>
        <v>0</v>
      </c>
      <c r="T813" s="6">
        <f>1</f>
        <v>1</v>
      </c>
      <c r="U813" s="5" t="s">
        <v>245</v>
      </c>
      <c r="V813" s="4" t="s">
        <v>270</v>
      </c>
      <c r="W813" s="4" t="s">
        <v>271</v>
      </c>
      <c r="X813" s="4" t="s">
        <v>273</v>
      </c>
      <c r="Y813" s="4" t="s">
        <v>241</v>
      </c>
      <c r="AB813" s="4" t="s">
        <v>241</v>
      </c>
      <c r="AD813" s="5" t="s">
        <v>241</v>
      </c>
      <c r="AG813" s="5" t="s">
        <v>246</v>
      </c>
      <c r="AH813" s="4" t="s">
        <v>241</v>
      </c>
      <c r="AI813" s="4" t="s">
        <v>247</v>
      </c>
      <c r="AJ813" s="4" t="s">
        <v>248</v>
      </c>
      <c r="AZ813" s="4" t="s">
        <v>249</v>
      </c>
      <c r="BA813" s="4" t="s">
        <v>241</v>
      </c>
      <c r="BB813" s="4" t="s">
        <v>250</v>
      </c>
      <c r="BC813" s="4" t="s">
        <v>241</v>
      </c>
      <c r="BD813" s="4" t="s">
        <v>252</v>
      </c>
      <c r="BE813" s="4" t="s">
        <v>241</v>
      </c>
      <c r="BI813" s="4" t="s">
        <v>253</v>
      </c>
      <c r="BJ813" s="5" t="s">
        <v>246</v>
      </c>
      <c r="BK813" s="4" t="s">
        <v>254</v>
      </c>
      <c r="BL813" s="4" t="s">
        <v>255</v>
      </c>
      <c r="BM813" s="4" t="s">
        <v>241</v>
      </c>
      <c r="BN813" s="6">
        <f>0</f>
        <v>0</v>
      </c>
      <c r="BO813" s="6">
        <f>0</f>
        <v>0</v>
      </c>
      <c r="BP813" s="4" t="s">
        <v>256</v>
      </c>
      <c r="BQ813" s="4" t="s">
        <v>257</v>
      </c>
      <c r="CE813" s="4" t="s">
        <v>241</v>
      </c>
      <c r="CF813" s="4" t="s">
        <v>241</v>
      </c>
      <c r="CJ813" s="4" t="s">
        <v>276</v>
      </c>
      <c r="CK813" s="4" t="s">
        <v>259</v>
      </c>
      <c r="CL813" s="4" t="s">
        <v>241</v>
      </c>
      <c r="CO813" s="5" t="s">
        <v>260</v>
      </c>
      <c r="CP813" s="4" t="s">
        <v>241</v>
      </c>
      <c r="CQ813" s="4" t="s">
        <v>261</v>
      </c>
      <c r="CR813" s="4" t="s">
        <v>241</v>
      </c>
      <c r="CS813" s="4" t="s">
        <v>241</v>
      </c>
      <c r="CT813" s="4">
        <v>0</v>
      </c>
      <c r="CU813" s="4" t="s">
        <v>262</v>
      </c>
      <c r="CV813" s="4" t="s">
        <v>263</v>
      </c>
      <c r="CW813" s="4" t="s">
        <v>263</v>
      </c>
      <c r="CX813" s="4" t="s">
        <v>264</v>
      </c>
      <c r="DA813" s="6">
        <f>1</f>
        <v>1</v>
      </c>
      <c r="DC813" s="4" t="s">
        <v>277</v>
      </c>
      <c r="DD813" s="4" t="s">
        <v>241</v>
      </c>
      <c r="DF813" s="4" t="s">
        <v>277</v>
      </c>
      <c r="DG813" s="6">
        <f>465</f>
        <v>465</v>
      </c>
      <c r="DI813" s="4" t="s">
        <v>241</v>
      </c>
      <c r="DJ813" s="4" t="s">
        <v>241</v>
      </c>
      <c r="DK813" s="4" t="s">
        <v>241</v>
      </c>
      <c r="DL813" s="4" t="s">
        <v>241</v>
      </c>
      <c r="DP813" s="4" t="s">
        <v>241</v>
      </c>
      <c r="DQ813" s="4" t="s">
        <v>241</v>
      </c>
      <c r="DR813" s="4" t="s">
        <v>241</v>
      </c>
      <c r="DS813" s="4" t="s">
        <v>241</v>
      </c>
      <c r="DV813" s="4" t="s">
        <v>278</v>
      </c>
      <c r="DW813" s="4" t="s">
        <v>2478</v>
      </c>
      <c r="HO813" s="4" t="s">
        <v>267</v>
      </c>
    </row>
    <row r="814" spans="1:223" ht="19.5" customHeight="1" x14ac:dyDescent="0.4">
      <c r="A814" s="4">
        <v>1</v>
      </c>
      <c r="B814" s="4" t="s">
        <v>239</v>
      </c>
      <c r="C814" s="4">
        <v>2488</v>
      </c>
      <c r="D814" s="4">
        <v>1</v>
      </c>
      <c r="E814" s="4">
        <v>1</v>
      </c>
      <c r="F814" s="4" t="s">
        <v>268</v>
      </c>
      <c r="G814" s="4" t="s">
        <v>241</v>
      </c>
      <c r="H814" s="4" t="s">
        <v>241</v>
      </c>
      <c r="I814" s="4" t="s">
        <v>272</v>
      </c>
      <c r="J814" s="4" t="s">
        <v>274</v>
      </c>
      <c r="K814" s="4" t="s">
        <v>251</v>
      </c>
      <c r="L814" s="4" t="s">
        <v>269</v>
      </c>
      <c r="M814" s="5" t="s">
        <v>2716</v>
      </c>
      <c r="N814" s="6">
        <f>1707</f>
        <v>1707</v>
      </c>
      <c r="O814" s="4" t="s">
        <v>265</v>
      </c>
      <c r="P814" s="6">
        <f>1</f>
        <v>1</v>
      </c>
      <c r="Q814" s="6">
        <f>0</f>
        <v>0</v>
      </c>
      <c r="S814" s="6">
        <f>0</f>
        <v>0</v>
      </c>
      <c r="T814" s="6">
        <f>1</f>
        <v>1</v>
      </c>
      <c r="U814" s="5" t="s">
        <v>245</v>
      </c>
      <c r="V814" s="4" t="s">
        <v>270</v>
      </c>
      <c r="W814" s="4" t="s">
        <v>271</v>
      </c>
      <c r="X814" s="4" t="s">
        <v>273</v>
      </c>
      <c r="Y814" s="4" t="s">
        <v>241</v>
      </c>
      <c r="AB814" s="4" t="s">
        <v>241</v>
      </c>
      <c r="AD814" s="5" t="s">
        <v>241</v>
      </c>
      <c r="AG814" s="5" t="s">
        <v>246</v>
      </c>
      <c r="AH814" s="4" t="s">
        <v>241</v>
      </c>
      <c r="AI814" s="4" t="s">
        <v>247</v>
      </c>
      <c r="AJ814" s="4" t="s">
        <v>248</v>
      </c>
      <c r="AZ814" s="4" t="s">
        <v>249</v>
      </c>
      <c r="BA814" s="4" t="s">
        <v>241</v>
      </c>
      <c r="BB814" s="4" t="s">
        <v>250</v>
      </c>
      <c r="BC814" s="4" t="s">
        <v>241</v>
      </c>
      <c r="BD814" s="4" t="s">
        <v>252</v>
      </c>
      <c r="BE814" s="4" t="s">
        <v>241</v>
      </c>
      <c r="BI814" s="4" t="s">
        <v>253</v>
      </c>
      <c r="BJ814" s="5" t="s">
        <v>246</v>
      </c>
      <c r="BK814" s="4" t="s">
        <v>254</v>
      </c>
      <c r="BL814" s="4" t="s">
        <v>255</v>
      </c>
      <c r="BM814" s="4" t="s">
        <v>241</v>
      </c>
      <c r="BN814" s="6">
        <f>0</f>
        <v>0</v>
      </c>
      <c r="BO814" s="6">
        <f>0</f>
        <v>0</v>
      </c>
      <c r="BP814" s="4" t="s">
        <v>256</v>
      </c>
      <c r="BQ814" s="4" t="s">
        <v>257</v>
      </c>
      <c r="CE814" s="4" t="s">
        <v>241</v>
      </c>
      <c r="CF814" s="4" t="s">
        <v>241</v>
      </c>
      <c r="CJ814" s="4" t="s">
        <v>276</v>
      </c>
      <c r="CK814" s="4" t="s">
        <v>259</v>
      </c>
      <c r="CL814" s="4" t="s">
        <v>241</v>
      </c>
      <c r="CO814" s="5" t="s">
        <v>260</v>
      </c>
      <c r="CP814" s="4" t="s">
        <v>241</v>
      </c>
      <c r="CQ814" s="4" t="s">
        <v>261</v>
      </c>
      <c r="CR814" s="4" t="s">
        <v>241</v>
      </c>
      <c r="CS814" s="4" t="s">
        <v>241</v>
      </c>
      <c r="CT814" s="4">
        <v>0</v>
      </c>
      <c r="CU814" s="4" t="s">
        <v>262</v>
      </c>
      <c r="CV814" s="4" t="s">
        <v>263</v>
      </c>
      <c r="CW814" s="4" t="s">
        <v>263</v>
      </c>
      <c r="CX814" s="4" t="s">
        <v>264</v>
      </c>
      <c r="DA814" s="6">
        <f>1</f>
        <v>1</v>
      </c>
      <c r="DC814" s="4" t="s">
        <v>277</v>
      </c>
      <c r="DD814" s="4" t="s">
        <v>241</v>
      </c>
      <c r="DF814" s="4" t="s">
        <v>277</v>
      </c>
      <c r="DG814" s="6">
        <f>1707</f>
        <v>1707</v>
      </c>
      <c r="DI814" s="4" t="s">
        <v>241</v>
      </c>
      <c r="DJ814" s="4" t="s">
        <v>241</v>
      </c>
      <c r="DK814" s="4" t="s">
        <v>241</v>
      </c>
      <c r="DL814" s="4" t="s">
        <v>241</v>
      </c>
      <c r="DP814" s="4" t="s">
        <v>241</v>
      </c>
      <c r="DQ814" s="4" t="s">
        <v>241</v>
      </c>
      <c r="DR814" s="4" t="s">
        <v>241</v>
      </c>
      <c r="DS814" s="4" t="s">
        <v>241</v>
      </c>
      <c r="DV814" s="4" t="s">
        <v>278</v>
      </c>
      <c r="DW814" s="4" t="s">
        <v>2717</v>
      </c>
      <c r="HO814" s="4" t="s">
        <v>267</v>
      </c>
    </row>
    <row r="815" spans="1:223" ht="19.5" customHeight="1" x14ac:dyDescent="0.4">
      <c r="A815" s="4">
        <v>1</v>
      </c>
      <c r="B815" s="4" t="s">
        <v>239</v>
      </c>
      <c r="C815" s="4">
        <v>2489</v>
      </c>
      <c r="D815" s="4">
        <v>1</v>
      </c>
      <c r="E815" s="4">
        <v>1</v>
      </c>
      <c r="F815" s="4" t="s">
        <v>268</v>
      </c>
      <c r="G815" s="4" t="s">
        <v>241</v>
      </c>
      <c r="H815" s="4" t="s">
        <v>241</v>
      </c>
      <c r="I815" s="4" t="s">
        <v>272</v>
      </c>
      <c r="J815" s="4" t="s">
        <v>274</v>
      </c>
      <c r="K815" s="4" t="s">
        <v>251</v>
      </c>
      <c r="L815" s="4" t="s">
        <v>269</v>
      </c>
      <c r="M815" s="5" t="s">
        <v>2471</v>
      </c>
      <c r="N815" s="6">
        <f>751</f>
        <v>751</v>
      </c>
      <c r="O815" s="4" t="s">
        <v>265</v>
      </c>
      <c r="P815" s="6">
        <f>1</f>
        <v>1</v>
      </c>
      <c r="Q815" s="6">
        <f>0</f>
        <v>0</v>
      </c>
      <c r="S815" s="6">
        <f>0</f>
        <v>0</v>
      </c>
      <c r="T815" s="6">
        <f>1</f>
        <v>1</v>
      </c>
      <c r="U815" s="5" t="s">
        <v>245</v>
      </c>
      <c r="V815" s="4" t="s">
        <v>270</v>
      </c>
      <c r="W815" s="4" t="s">
        <v>271</v>
      </c>
      <c r="X815" s="4" t="s">
        <v>273</v>
      </c>
      <c r="Y815" s="4" t="s">
        <v>241</v>
      </c>
      <c r="AB815" s="4" t="s">
        <v>241</v>
      </c>
      <c r="AD815" s="5" t="s">
        <v>241</v>
      </c>
      <c r="AG815" s="5" t="s">
        <v>246</v>
      </c>
      <c r="AH815" s="4" t="s">
        <v>241</v>
      </c>
      <c r="AI815" s="4" t="s">
        <v>247</v>
      </c>
      <c r="AJ815" s="4" t="s">
        <v>248</v>
      </c>
      <c r="AZ815" s="4" t="s">
        <v>249</v>
      </c>
      <c r="BA815" s="4" t="s">
        <v>241</v>
      </c>
      <c r="BB815" s="4" t="s">
        <v>250</v>
      </c>
      <c r="BC815" s="4" t="s">
        <v>241</v>
      </c>
      <c r="BD815" s="4" t="s">
        <v>252</v>
      </c>
      <c r="BE815" s="4" t="s">
        <v>241</v>
      </c>
      <c r="BI815" s="4" t="s">
        <v>253</v>
      </c>
      <c r="BJ815" s="5" t="s">
        <v>246</v>
      </c>
      <c r="BK815" s="4" t="s">
        <v>254</v>
      </c>
      <c r="BL815" s="4" t="s">
        <v>255</v>
      </c>
      <c r="BM815" s="4" t="s">
        <v>241</v>
      </c>
      <c r="BN815" s="6">
        <f>0</f>
        <v>0</v>
      </c>
      <c r="BO815" s="6">
        <f>0</f>
        <v>0</v>
      </c>
      <c r="BP815" s="4" t="s">
        <v>256</v>
      </c>
      <c r="BQ815" s="4" t="s">
        <v>257</v>
      </c>
      <c r="CE815" s="4" t="s">
        <v>241</v>
      </c>
      <c r="CF815" s="4" t="s">
        <v>241</v>
      </c>
      <c r="CJ815" s="4" t="s">
        <v>276</v>
      </c>
      <c r="CK815" s="4" t="s">
        <v>259</v>
      </c>
      <c r="CL815" s="4" t="s">
        <v>241</v>
      </c>
      <c r="CO815" s="5" t="s">
        <v>260</v>
      </c>
      <c r="CP815" s="4" t="s">
        <v>241</v>
      </c>
      <c r="CQ815" s="4" t="s">
        <v>261</v>
      </c>
      <c r="CR815" s="4" t="s">
        <v>241</v>
      </c>
      <c r="CS815" s="4" t="s">
        <v>241</v>
      </c>
      <c r="CT815" s="4">
        <v>0</v>
      </c>
      <c r="CU815" s="4" t="s">
        <v>262</v>
      </c>
      <c r="CV815" s="4" t="s">
        <v>263</v>
      </c>
      <c r="CW815" s="4" t="s">
        <v>263</v>
      </c>
      <c r="CX815" s="4" t="s">
        <v>264</v>
      </c>
      <c r="DA815" s="6">
        <f>1</f>
        <v>1</v>
      </c>
      <c r="DC815" s="4" t="s">
        <v>277</v>
      </c>
      <c r="DD815" s="4" t="s">
        <v>241</v>
      </c>
      <c r="DF815" s="4" t="s">
        <v>277</v>
      </c>
      <c r="DG815" s="6">
        <f>751</f>
        <v>751</v>
      </c>
      <c r="DI815" s="4" t="s">
        <v>241</v>
      </c>
      <c r="DJ815" s="4" t="s">
        <v>241</v>
      </c>
      <c r="DK815" s="4" t="s">
        <v>241</v>
      </c>
      <c r="DL815" s="4" t="s">
        <v>241</v>
      </c>
      <c r="DP815" s="4" t="s">
        <v>241</v>
      </c>
      <c r="DQ815" s="4" t="s">
        <v>241</v>
      </c>
      <c r="DR815" s="4" t="s">
        <v>241</v>
      </c>
      <c r="DS815" s="4" t="s">
        <v>241</v>
      </c>
      <c r="DV815" s="4" t="s">
        <v>278</v>
      </c>
      <c r="DW815" s="4" t="s">
        <v>2472</v>
      </c>
      <c r="HO815" s="4" t="s">
        <v>267</v>
      </c>
    </row>
    <row r="816" spans="1:223" ht="19.5" customHeight="1" x14ac:dyDescent="0.4">
      <c r="A816" s="4">
        <v>1</v>
      </c>
      <c r="B816" s="4" t="s">
        <v>239</v>
      </c>
      <c r="C816" s="4">
        <v>2490</v>
      </c>
      <c r="D816" s="4">
        <v>1</v>
      </c>
      <c r="E816" s="4">
        <v>1</v>
      </c>
      <c r="F816" s="4" t="s">
        <v>268</v>
      </c>
      <c r="G816" s="4" t="s">
        <v>241</v>
      </c>
      <c r="H816" s="4" t="s">
        <v>241</v>
      </c>
      <c r="I816" s="4" t="s">
        <v>272</v>
      </c>
      <c r="J816" s="4" t="s">
        <v>274</v>
      </c>
      <c r="K816" s="4" t="s">
        <v>251</v>
      </c>
      <c r="L816" s="4" t="s">
        <v>269</v>
      </c>
      <c r="M816" s="5" t="s">
        <v>1716</v>
      </c>
      <c r="N816" s="6">
        <f>931</f>
        <v>931</v>
      </c>
      <c r="O816" s="4" t="s">
        <v>265</v>
      </c>
      <c r="P816" s="6">
        <f>1</f>
        <v>1</v>
      </c>
      <c r="Q816" s="6">
        <f>0</f>
        <v>0</v>
      </c>
      <c r="S816" s="6">
        <f>0</f>
        <v>0</v>
      </c>
      <c r="T816" s="6">
        <f>1</f>
        <v>1</v>
      </c>
      <c r="U816" s="5" t="s">
        <v>245</v>
      </c>
      <c r="V816" s="4" t="s">
        <v>270</v>
      </c>
      <c r="W816" s="4" t="s">
        <v>271</v>
      </c>
      <c r="X816" s="4" t="s">
        <v>273</v>
      </c>
      <c r="Y816" s="4" t="s">
        <v>241</v>
      </c>
      <c r="AB816" s="4" t="s">
        <v>241</v>
      </c>
      <c r="AD816" s="5" t="s">
        <v>241</v>
      </c>
      <c r="AG816" s="5" t="s">
        <v>246</v>
      </c>
      <c r="AH816" s="4" t="s">
        <v>241</v>
      </c>
      <c r="AI816" s="4" t="s">
        <v>247</v>
      </c>
      <c r="AJ816" s="4" t="s">
        <v>248</v>
      </c>
      <c r="AZ816" s="4" t="s">
        <v>249</v>
      </c>
      <c r="BA816" s="4" t="s">
        <v>241</v>
      </c>
      <c r="BB816" s="4" t="s">
        <v>250</v>
      </c>
      <c r="BC816" s="4" t="s">
        <v>241</v>
      </c>
      <c r="BD816" s="4" t="s">
        <v>252</v>
      </c>
      <c r="BE816" s="4" t="s">
        <v>241</v>
      </c>
      <c r="BI816" s="4" t="s">
        <v>253</v>
      </c>
      <c r="BJ816" s="5" t="s">
        <v>246</v>
      </c>
      <c r="BK816" s="4" t="s">
        <v>254</v>
      </c>
      <c r="BL816" s="4" t="s">
        <v>255</v>
      </c>
      <c r="BM816" s="4" t="s">
        <v>241</v>
      </c>
      <c r="BN816" s="6">
        <f>0</f>
        <v>0</v>
      </c>
      <c r="BO816" s="6">
        <f>0</f>
        <v>0</v>
      </c>
      <c r="BP816" s="4" t="s">
        <v>256</v>
      </c>
      <c r="BQ816" s="4" t="s">
        <v>257</v>
      </c>
      <c r="CE816" s="4" t="s">
        <v>241</v>
      </c>
      <c r="CF816" s="4" t="s">
        <v>241</v>
      </c>
      <c r="CJ816" s="4" t="s">
        <v>276</v>
      </c>
      <c r="CK816" s="4" t="s">
        <v>259</v>
      </c>
      <c r="CL816" s="4" t="s">
        <v>241</v>
      </c>
      <c r="CO816" s="5" t="s">
        <v>260</v>
      </c>
      <c r="CP816" s="4" t="s">
        <v>241</v>
      </c>
      <c r="CQ816" s="4" t="s">
        <v>261</v>
      </c>
      <c r="CR816" s="4" t="s">
        <v>241</v>
      </c>
      <c r="CS816" s="4" t="s">
        <v>241</v>
      </c>
      <c r="CT816" s="4">
        <v>0</v>
      </c>
      <c r="CU816" s="4" t="s">
        <v>262</v>
      </c>
      <c r="CV816" s="4" t="s">
        <v>263</v>
      </c>
      <c r="CW816" s="4" t="s">
        <v>263</v>
      </c>
      <c r="CX816" s="4" t="s">
        <v>264</v>
      </c>
      <c r="DA816" s="6">
        <f>1</f>
        <v>1</v>
      </c>
      <c r="DC816" s="4" t="s">
        <v>277</v>
      </c>
      <c r="DD816" s="4" t="s">
        <v>241</v>
      </c>
      <c r="DF816" s="4" t="s">
        <v>277</v>
      </c>
      <c r="DG816" s="6">
        <f>931</f>
        <v>931</v>
      </c>
      <c r="DI816" s="4" t="s">
        <v>241</v>
      </c>
      <c r="DJ816" s="4" t="s">
        <v>241</v>
      </c>
      <c r="DK816" s="4" t="s">
        <v>241</v>
      </c>
      <c r="DL816" s="4" t="s">
        <v>241</v>
      </c>
      <c r="DP816" s="4" t="s">
        <v>241</v>
      </c>
      <c r="DQ816" s="4" t="s">
        <v>241</v>
      </c>
      <c r="DR816" s="4" t="s">
        <v>241</v>
      </c>
      <c r="DS816" s="4" t="s">
        <v>241</v>
      </c>
      <c r="DV816" s="4" t="s">
        <v>278</v>
      </c>
      <c r="DW816" s="4" t="s">
        <v>1717</v>
      </c>
      <c r="HO816" s="4" t="s">
        <v>267</v>
      </c>
    </row>
    <row r="817" spans="1:223" ht="19.5" customHeight="1" x14ac:dyDescent="0.4">
      <c r="A817" s="4">
        <v>1</v>
      </c>
      <c r="B817" s="4" t="s">
        <v>239</v>
      </c>
      <c r="C817" s="4">
        <v>2491</v>
      </c>
      <c r="D817" s="4">
        <v>1</v>
      </c>
      <c r="E817" s="4">
        <v>1</v>
      </c>
      <c r="F817" s="4" t="s">
        <v>268</v>
      </c>
      <c r="G817" s="4" t="s">
        <v>241</v>
      </c>
      <c r="H817" s="4" t="s">
        <v>241</v>
      </c>
      <c r="I817" s="4" t="s">
        <v>272</v>
      </c>
      <c r="J817" s="4" t="s">
        <v>274</v>
      </c>
      <c r="K817" s="4" t="s">
        <v>251</v>
      </c>
      <c r="L817" s="4" t="s">
        <v>269</v>
      </c>
      <c r="M817" s="5" t="s">
        <v>2802</v>
      </c>
      <c r="N817" s="6">
        <f>497</f>
        <v>497</v>
      </c>
      <c r="O817" s="4" t="s">
        <v>265</v>
      </c>
      <c r="P817" s="6">
        <f>1</f>
        <v>1</v>
      </c>
      <c r="Q817" s="6">
        <f>0</f>
        <v>0</v>
      </c>
      <c r="S817" s="6">
        <f>0</f>
        <v>0</v>
      </c>
      <c r="T817" s="6">
        <f>1</f>
        <v>1</v>
      </c>
      <c r="U817" s="5" t="s">
        <v>245</v>
      </c>
      <c r="V817" s="4" t="s">
        <v>270</v>
      </c>
      <c r="W817" s="4" t="s">
        <v>271</v>
      </c>
      <c r="X817" s="4" t="s">
        <v>273</v>
      </c>
      <c r="Y817" s="4" t="s">
        <v>241</v>
      </c>
      <c r="AB817" s="4" t="s">
        <v>241</v>
      </c>
      <c r="AD817" s="5" t="s">
        <v>241</v>
      </c>
      <c r="AG817" s="5" t="s">
        <v>246</v>
      </c>
      <c r="AH817" s="4" t="s">
        <v>241</v>
      </c>
      <c r="AI817" s="4" t="s">
        <v>247</v>
      </c>
      <c r="AJ817" s="4" t="s">
        <v>248</v>
      </c>
      <c r="AZ817" s="4" t="s">
        <v>249</v>
      </c>
      <c r="BA817" s="4" t="s">
        <v>241</v>
      </c>
      <c r="BB817" s="4" t="s">
        <v>250</v>
      </c>
      <c r="BC817" s="4" t="s">
        <v>241</v>
      </c>
      <c r="BD817" s="4" t="s">
        <v>252</v>
      </c>
      <c r="BE817" s="4" t="s">
        <v>241</v>
      </c>
      <c r="BI817" s="4" t="s">
        <v>253</v>
      </c>
      <c r="BJ817" s="5" t="s">
        <v>246</v>
      </c>
      <c r="BK817" s="4" t="s">
        <v>254</v>
      </c>
      <c r="BL817" s="4" t="s">
        <v>255</v>
      </c>
      <c r="BM817" s="4" t="s">
        <v>241</v>
      </c>
      <c r="BN817" s="6">
        <f>0</f>
        <v>0</v>
      </c>
      <c r="BO817" s="6">
        <f>0</f>
        <v>0</v>
      </c>
      <c r="BP817" s="4" t="s">
        <v>256</v>
      </c>
      <c r="BQ817" s="4" t="s">
        <v>257</v>
      </c>
      <c r="CE817" s="4" t="s">
        <v>241</v>
      </c>
      <c r="CF817" s="4" t="s">
        <v>241</v>
      </c>
      <c r="CJ817" s="4" t="s">
        <v>276</v>
      </c>
      <c r="CK817" s="4" t="s">
        <v>259</v>
      </c>
      <c r="CL817" s="4" t="s">
        <v>241</v>
      </c>
      <c r="CO817" s="5" t="s">
        <v>260</v>
      </c>
      <c r="CP817" s="4" t="s">
        <v>241</v>
      </c>
      <c r="CQ817" s="4" t="s">
        <v>261</v>
      </c>
      <c r="CR817" s="4" t="s">
        <v>241</v>
      </c>
      <c r="CS817" s="4" t="s">
        <v>241</v>
      </c>
      <c r="CT817" s="4">
        <v>0</v>
      </c>
      <c r="CU817" s="4" t="s">
        <v>262</v>
      </c>
      <c r="CV817" s="4" t="s">
        <v>263</v>
      </c>
      <c r="CW817" s="4" t="s">
        <v>263</v>
      </c>
      <c r="CX817" s="4" t="s">
        <v>264</v>
      </c>
      <c r="DA817" s="6">
        <f>1</f>
        <v>1</v>
      </c>
      <c r="DC817" s="4" t="s">
        <v>277</v>
      </c>
      <c r="DD817" s="4" t="s">
        <v>241</v>
      </c>
      <c r="DF817" s="4" t="s">
        <v>277</v>
      </c>
      <c r="DG817" s="6">
        <f>497</f>
        <v>497</v>
      </c>
      <c r="DI817" s="4" t="s">
        <v>241</v>
      </c>
      <c r="DJ817" s="4" t="s">
        <v>241</v>
      </c>
      <c r="DK817" s="4" t="s">
        <v>241</v>
      </c>
      <c r="DL817" s="4" t="s">
        <v>241</v>
      </c>
      <c r="DP817" s="4" t="s">
        <v>241</v>
      </c>
      <c r="DQ817" s="4" t="s">
        <v>241</v>
      </c>
      <c r="DR817" s="4" t="s">
        <v>241</v>
      </c>
      <c r="DS817" s="4" t="s">
        <v>241</v>
      </c>
      <c r="DV817" s="4" t="s">
        <v>278</v>
      </c>
      <c r="DW817" s="4" t="s">
        <v>2803</v>
      </c>
      <c r="HO817" s="4" t="s">
        <v>267</v>
      </c>
    </row>
    <row r="818" spans="1:223" ht="19.5" customHeight="1" x14ac:dyDescent="0.4">
      <c r="A818" s="4">
        <v>1</v>
      </c>
      <c r="B818" s="4" t="s">
        <v>239</v>
      </c>
      <c r="C818" s="4">
        <v>2492</v>
      </c>
      <c r="D818" s="4">
        <v>1</v>
      </c>
      <c r="E818" s="4">
        <v>1</v>
      </c>
      <c r="F818" s="4" t="s">
        <v>268</v>
      </c>
      <c r="G818" s="4" t="s">
        <v>241</v>
      </c>
      <c r="H818" s="4" t="s">
        <v>241</v>
      </c>
      <c r="I818" s="4" t="s">
        <v>272</v>
      </c>
      <c r="J818" s="4" t="s">
        <v>274</v>
      </c>
      <c r="K818" s="4" t="s">
        <v>251</v>
      </c>
      <c r="L818" s="4" t="s">
        <v>269</v>
      </c>
      <c r="M818" s="5" t="s">
        <v>2858</v>
      </c>
      <c r="N818" s="6">
        <f>1453</f>
        <v>1453</v>
      </c>
      <c r="O818" s="4" t="s">
        <v>265</v>
      </c>
      <c r="P818" s="6">
        <f>1</f>
        <v>1</v>
      </c>
      <c r="Q818" s="6">
        <f>0</f>
        <v>0</v>
      </c>
      <c r="S818" s="6">
        <f>0</f>
        <v>0</v>
      </c>
      <c r="T818" s="6">
        <f>1</f>
        <v>1</v>
      </c>
      <c r="U818" s="5" t="s">
        <v>245</v>
      </c>
      <c r="V818" s="4" t="s">
        <v>270</v>
      </c>
      <c r="W818" s="4" t="s">
        <v>271</v>
      </c>
      <c r="X818" s="4" t="s">
        <v>273</v>
      </c>
      <c r="Y818" s="4" t="s">
        <v>241</v>
      </c>
      <c r="AB818" s="4" t="s">
        <v>241</v>
      </c>
      <c r="AD818" s="5" t="s">
        <v>241</v>
      </c>
      <c r="AG818" s="5" t="s">
        <v>246</v>
      </c>
      <c r="AH818" s="4" t="s">
        <v>241</v>
      </c>
      <c r="AI818" s="4" t="s">
        <v>247</v>
      </c>
      <c r="AJ818" s="4" t="s">
        <v>248</v>
      </c>
      <c r="AZ818" s="4" t="s">
        <v>249</v>
      </c>
      <c r="BA818" s="4" t="s">
        <v>241</v>
      </c>
      <c r="BB818" s="4" t="s">
        <v>250</v>
      </c>
      <c r="BC818" s="4" t="s">
        <v>241</v>
      </c>
      <c r="BD818" s="4" t="s">
        <v>252</v>
      </c>
      <c r="BE818" s="4" t="s">
        <v>241</v>
      </c>
      <c r="BI818" s="4" t="s">
        <v>253</v>
      </c>
      <c r="BJ818" s="5" t="s">
        <v>246</v>
      </c>
      <c r="BK818" s="4" t="s">
        <v>254</v>
      </c>
      <c r="BL818" s="4" t="s">
        <v>255</v>
      </c>
      <c r="BM818" s="4" t="s">
        <v>241</v>
      </c>
      <c r="BN818" s="6">
        <f>0</f>
        <v>0</v>
      </c>
      <c r="BO818" s="6">
        <f>0</f>
        <v>0</v>
      </c>
      <c r="BP818" s="4" t="s">
        <v>256</v>
      </c>
      <c r="BQ818" s="4" t="s">
        <v>257</v>
      </c>
      <c r="CE818" s="4" t="s">
        <v>241</v>
      </c>
      <c r="CF818" s="4" t="s">
        <v>241</v>
      </c>
      <c r="CJ818" s="4" t="s">
        <v>276</v>
      </c>
      <c r="CK818" s="4" t="s">
        <v>259</v>
      </c>
      <c r="CL818" s="4" t="s">
        <v>241</v>
      </c>
      <c r="CO818" s="5" t="s">
        <v>260</v>
      </c>
      <c r="CP818" s="4" t="s">
        <v>241</v>
      </c>
      <c r="CQ818" s="4" t="s">
        <v>261</v>
      </c>
      <c r="CR818" s="4" t="s">
        <v>241</v>
      </c>
      <c r="CS818" s="4" t="s">
        <v>241</v>
      </c>
      <c r="CT818" s="4">
        <v>0</v>
      </c>
      <c r="CU818" s="4" t="s">
        <v>262</v>
      </c>
      <c r="CV818" s="4" t="s">
        <v>263</v>
      </c>
      <c r="CW818" s="4" t="s">
        <v>263</v>
      </c>
      <c r="CX818" s="4" t="s">
        <v>264</v>
      </c>
      <c r="DA818" s="6">
        <f>1</f>
        <v>1</v>
      </c>
      <c r="DC818" s="4" t="s">
        <v>277</v>
      </c>
      <c r="DD818" s="4" t="s">
        <v>241</v>
      </c>
      <c r="DF818" s="4" t="s">
        <v>277</v>
      </c>
      <c r="DG818" s="6">
        <f>1453</f>
        <v>1453</v>
      </c>
      <c r="DI818" s="4" t="s">
        <v>241</v>
      </c>
      <c r="DJ818" s="4" t="s">
        <v>241</v>
      </c>
      <c r="DK818" s="4" t="s">
        <v>241</v>
      </c>
      <c r="DL818" s="4" t="s">
        <v>241</v>
      </c>
      <c r="DP818" s="4" t="s">
        <v>241</v>
      </c>
      <c r="DQ818" s="4" t="s">
        <v>241</v>
      </c>
      <c r="DR818" s="4" t="s">
        <v>241</v>
      </c>
      <c r="DS818" s="4" t="s">
        <v>241</v>
      </c>
      <c r="DV818" s="4" t="s">
        <v>278</v>
      </c>
      <c r="DW818" s="4" t="s">
        <v>2859</v>
      </c>
      <c r="HO818" s="4" t="s">
        <v>267</v>
      </c>
    </row>
    <row r="819" spans="1:223" ht="19.5" customHeight="1" x14ac:dyDescent="0.4">
      <c r="A819" s="4">
        <v>1</v>
      </c>
      <c r="B819" s="4" t="s">
        <v>239</v>
      </c>
      <c r="C819" s="4">
        <v>2493</v>
      </c>
      <c r="D819" s="4">
        <v>1</v>
      </c>
      <c r="E819" s="4">
        <v>1</v>
      </c>
      <c r="F819" s="4" t="s">
        <v>268</v>
      </c>
      <c r="G819" s="4" t="s">
        <v>241</v>
      </c>
      <c r="H819" s="4" t="s">
        <v>241</v>
      </c>
      <c r="I819" s="4" t="s">
        <v>272</v>
      </c>
      <c r="J819" s="4" t="s">
        <v>274</v>
      </c>
      <c r="K819" s="4" t="s">
        <v>251</v>
      </c>
      <c r="L819" s="4" t="s">
        <v>269</v>
      </c>
      <c r="M819" s="5" t="s">
        <v>1900</v>
      </c>
      <c r="N819" s="6">
        <f>466</f>
        <v>466</v>
      </c>
      <c r="O819" s="4" t="s">
        <v>265</v>
      </c>
      <c r="P819" s="6">
        <f>1</f>
        <v>1</v>
      </c>
      <c r="Q819" s="6">
        <f>0</f>
        <v>0</v>
      </c>
      <c r="S819" s="6">
        <f>0</f>
        <v>0</v>
      </c>
      <c r="T819" s="6">
        <f>1</f>
        <v>1</v>
      </c>
      <c r="U819" s="5" t="s">
        <v>245</v>
      </c>
      <c r="V819" s="4" t="s">
        <v>270</v>
      </c>
      <c r="W819" s="4" t="s">
        <v>271</v>
      </c>
      <c r="X819" s="4" t="s">
        <v>273</v>
      </c>
      <c r="Y819" s="4" t="s">
        <v>241</v>
      </c>
      <c r="AB819" s="4" t="s">
        <v>241</v>
      </c>
      <c r="AD819" s="5" t="s">
        <v>241</v>
      </c>
      <c r="AG819" s="5" t="s">
        <v>246</v>
      </c>
      <c r="AH819" s="4" t="s">
        <v>241</v>
      </c>
      <c r="AI819" s="4" t="s">
        <v>247</v>
      </c>
      <c r="AJ819" s="4" t="s">
        <v>248</v>
      </c>
      <c r="AZ819" s="4" t="s">
        <v>249</v>
      </c>
      <c r="BA819" s="4" t="s">
        <v>241</v>
      </c>
      <c r="BB819" s="4" t="s">
        <v>250</v>
      </c>
      <c r="BC819" s="4" t="s">
        <v>241</v>
      </c>
      <c r="BD819" s="4" t="s">
        <v>252</v>
      </c>
      <c r="BE819" s="4" t="s">
        <v>241</v>
      </c>
      <c r="BI819" s="4" t="s">
        <v>253</v>
      </c>
      <c r="BJ819" s="5" t="s">
        <v>246</v>
      </c>
      <c r="BK819" s="4" t="s">
        <v>254</v>
      </c>
      <c r="BL819" s="4" t="s">
        <v>255</v>
      </c>
      <c r="BM819" s="4" t="s">
        <v>241</v>
      </c>
      <c r="BN819" s="6">
        <f>0</f>
        <v>0</v>
      </c>
      <c r="BO819" s="6">
        <f>0</f>
        <v>0</v>
      </c>
      <c r="BP819" s="4" t="s">
        <v>256</v>
      </c>
      <c r="BQ819" s="4" t="s">
        <v>257</v>
      </c>
      <c r="CE819" s="4" t="s">
        <v>241</v>
      </c>
      <c r="CF819" s="4" t="s">
        <v>241</v>
      </c>
      <c r="CJ819" s="4" t="s">
        <v>276</v>
      </c>
      <c r="CK819" s="4" t="s">
        <v>259</v>
      </c>
      <c r="CL819" s="4" t="s">
        <v>241</v>
      </c>
      <c r="CO819" s="5" t="s">
        <v>260</v>
      </c>
      <c r="CP819" s="4" t="s">
        <v>241</v>
      </c>
      <c r="CQ819" s="4" t="s">
        <v>261</v>
      </c>
      <c r="CR819" s="4" t="s">
        <v>241</v>
      </c>
      <c r="CS819" s="4" t="s">
        <v>241</v>
      </c>
      <c r="CT819" s="4">
        <v>0</v>
      </c>
      <c r="CU819" s="4" t="s">
        <v>262</v>
      </c>
      <c r="CV819" s="4" t="s">
        <v>263</v>
      </c>
      <c r="CW819" s="4" t="s">
        <v>263</v>
      </c>
      <c r="CX819" s="4" t="s">
        <v>264</v>
      </c>
      <c r="DA819" s="6">
        <f>1</f>
        <v>1</v>
      </c>
      <c r="DC819" s="4" t="s">
        <v>277</v>
      </c>
      <c r="DD819" s="4" t="s">
        <v>241</v>
      </c>
      <c r="DF819" s="4" t="s">
        <v>277</v>
      </c>
      <c r="DG819" s="6">
        <f>466</f>
        <v>466</v>
      </c>
      <c r="DI819" s="4" t="s">
        <v>241</v>
      </c>
      <c r="DJ819" s="4" t="s">
        <v>241</v>
      </c>
      <c r="DK819" s="4" t="s">
        <v>241</v>
      </c>
      <c r="DL819" s="4" t="s">
        <v>241</v>
      </c>
      <c r="DP819" s="4" t="s">
        <v>241</v>
      </c>
      <c r="DQ819" s="4" t="s">
        <v>241</v>
      </c>
      <c r="DR819" s="4" t="s">
        <v>241</v>
      </c>
      <c r="DS819" s="4" t="s">
        <v>241</v>
      </c>
      <c r="DV819" s="4" t="s">
        <v>278</v>
      </c>
      <c r="DW819" s="4" t="s">
        <v>1901</v>
      </c>
      <c r="HO819" s="4" t="s">
        <v>267</v>
      </c>
    </row>
    <row r="820" spans="1:223" ht="19.5" customHeight="1" x14ac:dyDescent="0.4">
      <c r="A820" s="4">
        <v>1</v>
      </c>
      <c r="B820" s="4" t="s">
        <v>239</v>
      </c>
      <c r="C820" s="4">
        <v>2494</v>
      </c>
      <c r="D820" s="4">
        <v>1</v>
      </c>
      <c r="E820" s="4">
        <v>1</v>
      </c>
      <c r="F820" s="4" t="s">
        <v>268</v>
      </c>
      <c r="G820" s="4" t="s">
        <v>241</v>
      </c>
      <c r="H820" s="4" t="s">
        <v>241</v>
      </c>
      <c r="I820" s="4" t="s">
        <v>272</v>
      </c>
      <c r="J820" s="4" t="s">
        <v>274</v>
      </c>
      <c r="K820" s="4" t="s">
        <v>251</v>
      </c>
      <c r="L820" s="4" t="s">
        <v>269</v>
      </c>
      <c r="M820" s="5" t="s">
        <v>1959</v>
      </c>
      <c r="N820" s="6">
        <f>3053</f>
        <v>3053</v>
      </c>
      <c r="O820" s="4" t="s">
        <v>265</v>
      </c>
      <c r="P820" s="6">
        <f>1</f>
        <v>1</v>
      </c>
      <c r="Q820" s="6">
        <f>0</f>
        <v>0</v>
      </c>
      <c r="S820" s="6">
        <f>0</f>
        <v>0</v>
      </c>
      <c r="T820" s="6">
        <f>1</f>
        <v>1</v>
      </c>
      <c r="U820" s="5" t="s">
        <v>245</v>
      </c>
      <c r="V820" s="4" t="s">
        <v>270</v>
      </c>
      <c r="W820" s="4" t="s">
        <v>271</v>
      </c>
      <c r="X820" s="4" t="s">
        <v>273</v>
      </c>
      <c r="Y820" s="4" t="s">
        <v>241</v>
      </c>
      <c r="AB820" s="4" t="s">
        <v>241</v>
      </c>
      <c r="AD820" s="5" t="s">
        <v>241</v>
      </c>
      <c r="AG820" s="5" t="s">
        <v>246</v>
      </c>
      <c r="AH820" s="4" t="s">
        <v>241</v>
      </c>
      <c r="AI820" s="4" t="s">
        <v>247</v>
      </c>
      <c r="AJ820" s="4" t="s">
        <v>248</v>
      </c>
      <c r="AZ820" s="4" t="s">
        <v>249</v>
      </c>
      <c r="BA820" s="4" t="s">
        <v>241</v>
      </c>
      <c r="BB820" s="4" t="s">
        <v>250</v>
      </c>
      <c r="BC820" s="4" t="s">
        <v>241</v>
      </c>
      <c r="BD820" s="4" t="s">
        <v>252</v>
      </c>
      <c r="BE820" s="4" t="s">
        <v>241</v>
      </c>
      <c r="BI820" s="4" t="s">
        <v>253</v>
      </c>
      <c r="BJ820" s="5" t="s">
        <v>246</v>
      </c>
      <c r="BK820" s="4" t="s">
        <v>254</v>
      </c>
      <c r="BL820" s="4" t="s">
        <v>255</v>
      </c>
      <c r="BM820" s="4" t="s">
        <v>241</v>
      </c>
      <c r="BN820" s="6">
        <f>0</f>
        <v>0</v>
      </c>
      <c r="BO820" s="6">
        <f>0</f>
        <v>0</v>
      </c>
      <c r="BP820" s="4" t="s">
        <v>256</v>
      </c>
      <c r="BQ820" s="4" t="s">
        <v>257</v>
      </c>
      <c r="CE820" s="4" t="s">
        <v>241</v>
      </c>
      <c r="CF820" s="4" t="s">
        <v>241</v>
      </c>
      <c r="CJ820" s="4" t="s">
        <v>276</v>
      </c>
      <c r="CK820" s="4" t="s">
        <v>259</v>
      </c>
      <c r="CL820" s="4" t="s">
        <v>241</v>
      </c>
      <c r="CO820" s="5" t="s">
        <v>260</v>
      </c>
      <c r="CP820" s="4" t="s">
        <v>241</v>
      </c>
      <c r="CQ820" s="4" t="s">
        <v>261</v>
      </c>
      <c r="CR820" s="4" t="s">
        <v>241</v>
      </c>
      <c r="CS820" s="4" t="s">
        <v>241</v>
      </c>
      <c r="CT820" s="4">
        <v>0</v>
      </c>
      <c r="CU820" s="4" t="s">
        <v>262</v>
      </c>
      <c r="CV820" s="4" t="s">
        <v>263</v>
      </c>
      <c r="CW820" s="4" t="s">
        <v>263</v>
      </c>
      <c r="CX820" s="4" t="s">
        <v>264</v>
      </c>
      <c r="DA820" s="6">
        <f>1</f>
        <v>1</v>
      </c>
      <c r="DC820" s="4" t="s">
        <v>277</v>
      </c>
      <c r="DD820" s="4" t="s">
        <v>241</v>
      </c>
      <c r="DF820" s="4" t="s">
        <v>277</v>
      </c>
      <c r="DG820" s="6">
        <f>3053</f>
        <v>3053</v>
      </c>
      <c r="DI820" s="4" t="s">
        <v>241</v>
      </c>
      <c r="DJ820" s="4" t="s">
        <v>241</v>
      </c>
      <c r="DK820" s="4" t="s">
        <v>241</v>
      </c>
      <c r="DL820" s="4" t="s">
        <v>241</v>
      </c>
      <c r="DP820" s="4" t="s">
        <v>241</v>
      </c>
      <c r="DQ820" s="4" t="s">
        <v>241</v>
      </c>
      <c r="DR820" s="4" t="s">
        <v>241</v>
      </c>
      <c r="DS820" s="4" t="s">
        <v>241</v>
      </c>
      <c r="DV820" s="4" t="s">
        <v>278</v>
      </c>
      <c r="DW820" s="4" t="s">
        <v>615</v>
      </c>
      <c r="HO820" s="4" t="s">
        <v>267</v>
      </c>
    </row>
    <row r="821" spans="1:223" ht="19.5" customHeight="1" x14ac:dyDescent="0.4">
      <c r="A821" s="4">
        <v>1</v>
      </c>
      <c r="B821" s="4" t="s">
        <v>239</v>
      </c>
      <c r="C821" s="4">
        <v>2495</v>
      </c>
      <c r="D821" s="4">
        <v>1</v>
      </c>
      <c r="E821" s="4">
        <v>1</v>
      </c>
      <c r="F821" s="4" t="s">
        <v>268</v>
      </c>
      <c r="G821" s="4" t="s">
        <v>241</v>
      </c>
      <c r="H821" s="4" t="s">
        <v>241</v>
      </c>
      <c r="I821" s="4" t="s">
        <v>272</v>
      </c>
      <c r="J821" s="4" t="s">
        <v>274</v>
      </c>
      <c r="K821" s="4" t="s">
        <v>251</v>
      </c>
      <c r="L821" s="4" t="s">
        <v>269</v>
      </c>
      <c r="M821" s="5" t="s">
        <v>2139</v>
      </c>
      <c r="N821" s="6">
        <f>1645</f>
        <v>1645</v>
      </c>
      <c r="O821" s="4" t="s">
        <v>265</v>
      </c>
      <c r="P821" s="6">
        <f>1</f>
        <v>1</v>
      </c>
      <c r="Q821" s="6">
        <f>0</f>
        <v>0</v>
      </c>
      <c r="S821" s="6">
        <f>0</f>
        <v>0</v>
      </c>
      <c r="T821" s="6">
        <f>1</f>
        <v>1</v>
      </c>
      <c r="U821" s="5" t="s">
        <v>245</v>
      </c>
      <c r="V821" s="4" t="s">
        <v>270</v>
      </c>
      <c r="W821" s="4" t="s">
        <v>271</v>
      </c>
      <c r="X821" s="4" t="s">
        <v>273</v>
      </c>
      <c r="Y821" s="4" t="s">
        <v>241</v>
      </c>
      <c r="AB821" s="4" t="s">
        <v>241</v>
      </c>
      <c r="AD821" s="5" t="s">
        <v>241</v>
      </c>
      <c r="AG821" s="5" t="s">
        <v>246</v>
      </c>
      <c r="AH821" s="4" t="s">
        <v>241</v>
      </c>
      <c r="AI821" s="4" t="s">
        <v>247</v>
      </c>
      <c r="AJ821" s="4" t="s">
        <v>248</v>
      </c>
      <c r="AZ821" s="4" t="s">
        <v>249</v>
      </c>
      <c r="BA821" s="4" t="s">
        <v>241</v>
      </c>
      <c r="BB821" s="4" t="s">
        <v>250</v>
      </c>
      <c r="BC821" s="4" t="s">
        <v>241</v>
      </c>
      <c r="BD821" s="4" t="s">
        <v>252</v>
      </c>
      <c r="BE821" s="4" t="s">
        <v>241</v>
      </c>
      <c r="BI821" s="4" t="s">
        <v>253</v>
      </c>
      <c r="BJ821" s="5" t="s">
        <v>246</v>
      </c>
      <c r="BK821" s="4" t="s">
        <v>254</v>
      </c>
      <c r="BL821" s="4" t="s">
        <v>255</v>
      </c>
      <c r="BM821" s="4" t="s">
        <v>241</v>
      </c>
      <c r="BN821" s="6">
        <f>0</f>
        <v>0</v>
      </c>
      <c r="BO821" s="6">
        <f>0</f>
        <v>0</v>
      </c>
      <c r="BP821" s="4" t="s">
        <v>256</v>
      </c>
      <c r="BQ821" s="4" t="s">
        <v>257</v>
      </c>
      <c r="CE821" s="4" t="s">
        <v>241</v>
      </c>
      <c r="CF821" s="4" t="s">
        <v>241</v>
      </c>
      <c r="CJ821" s="4" t="s">
        <v>276</v>
      </c>
      <c r="CK821" s="4" t="s">
        <v>259</v>
      </c>
      <c r="CL821" s="4" t="s">
        <v>241</v>
      </c>
      <c r="CO821" s="5" t="s">
        <v>260</v>
      </c>
      <c r="CP821" s="4" t="s">
        <v>241</v>
      </c>
      <c r="CQ821" s="4" t="s">
        <v>261</v>
      </c>
      <c r="CR821" s="4" t="s">
        <v>241</v>
      </c>
      <c r="CS821" s="4" t="s">
        <v>241</v>
      </c>
      <c r="CT821" s="4">
        <v>0</v>
      </c>
      <c r="CU821" s="4" t="s">
        <v>262</v>
      </c>
      <c r="CV821" s="4" t="s">
        <v>263</v>
      </c>
      <c r="CW821" s="4" t="s">
        <v>263</v>
      </c>
      <c r="CX821" s="4" t="s">
        <v>264</v>
      </c>
      <c r="DA821" s="6">
        <f>1</f>
        <v>1</v>
      </c>
      <c r="DC821" s="4" t="s">
        <v>277</v>
      </c>
      <c r="DD821" s="4" t="s">
        <v>241</v>
      </c>
      <c r="DF821" s="4" t="s">
        <v>277</v>
      </c>
      <c r="DG821" s="6">
        <f>1645</f>
        <v>1645</v>
      </c>
      <c r="DI821" s="4" t="s">
        <v>241</v>
      </c>
      <c r="DJ821" s="4" t="s">
        <v>241</v>
      </c>
      <c r="DK821" s="4" t="s">
        <v>241</v>
      </c>
      <c r="DL821" s="4" t="s">
        <v>241</v>
      </c>
      <c r="DP821" s="4" t="s">
        <v>241</v>
      </c>
      <c r="DQ821" s="4" t="s">
        <v>241</v>
      </c>
      <c r="DR821" s="4" t="s">
        <v>241</v>
      </c>
      <c r="DS821" s="4" t="s">
        <v>241</v>
      </c>
      <c r="DV821" s="4" t="s">
        <v>278</v>
      </c>
      <c r="DW821" s="4" t="s">
        <v>2140</v>
      </c>
      <c r="HO821" s="4" t="s">
        <v>267</v>
      </c>
    </row>
    <row r="822" spans="1:223" ht="19.5" customHeight="1" x14ac:dyDescent="0.4">
      <c r="A822" s="4">
        <v>1</v>
      </c>
      <c r="B822" s="4" t="s">
        <v>239</v>
      </c>
      <c r="C822" s="4">
        <v>2496</v>
      </c>
      <c r="D822" s="4">
        <v>1</v>
      </c>
      <c r="E822" s="4">
        <v>1</v>
      </c>
      <c r="F822" s="4" t="s">
        <v>268</v>
      </c>
      <c r="G822" s="4" t="s">
        <v>241</v>
      </c>
      <c r="H822" s="4" t="s">
        <v>241</v>
      </c>
      <c r="I822" s="4" t="s">
        <v>272</v>
      </c>
      <c r="J822" s="4" t="s">
        <v>274</v>
      </c>
      <c r="K822" s="4" t="s">
        <v>251</v>
      </c>
      <c r="L822" s="4" t="s">
        <v>269</v>
      </c>
      <c r="M822" s="5" t="s">
        <v>1793</v>
      </c>
      <c r="N822" s="6">
        <f>1389</f>
        <v>1389</v>
      </c>
      <c r="O822" s="4" t="s">
        <v>265</v>
      </c>
      <c r="P822" s="6">
        <f>1</f>
        <v>1</v>
      </c>
      <c r="Q822" s="6">
        <f>0</f>
        <v>0</v>
      </c>
      <c r="S822" s="6">
        <f>0</f>
        <v>0</v>
      </c>
      <c r="T822" s="6">
        <f>1</f>
        <v>1</v>
      </c>
      <c r="U822" s="5" t="s">
        <v>245</v>
      </c>
      <c r="V822" s="4" t="s">
        <v>270</v>
      </c>
      <c r="W822" s="4" t="s">
        <v>271</v>
      </c>
      <c r="X822" s="4" t="s">
        <v>273</v>
      </c>
      <c r="Y822" s="4" t="s">
        <v>241</v>
      </c>
      <c r="AB822" s="4" t="s">
        <v>241</v>
      </c>
      <c r="AD822" s="5" t="s">
        <v>241</v>
      </c>
      <c r="AG822" s="5" t="s">
        <v>246</v>
      </c>
      <c r="AH822" s="4" t="s">
        <v>241</v>
      </c>
      <c r="AI822" s="4" t="s">
        <v>247</v>
      </c>
      <c r="AJ822" s="4" t="s">
        <v>248</v>
      </c>
      <c r="AZ822" s="4" t="s">
        <v>249</v>
      </c>
      <c r="BA822" s="4" t="s">
        <v>241</v>
      </c>
      <c r="BB822" s="4" t="s">
        <v>250</v>
      </c>
      <c r="BC822" s="4" t="s">
        <v>241</v>
      </c>
      <c r="BD822" s="4" t="s">
        <v>252</v>
      </c>
      <c r="BE822" s="4" t="s">
        <v>241</v>
      </c>
      <c r="BI822" s="4" t="s">
        <v>253</v>
      </c>
      <c r="BJ822" s="5" t="s">
        <v>246</v>
      </c>
      <c r="BK822" s="4" t="s">
        <v>254</v>
      </c>
      <c r="BL822" s="4" t="s">
        <v>255</v>
      </c>
      <c r="BM822" s="4" t="s">
        <v>241</v>
      </c>
      <c r="BN822" s="6">
        <f>0</f>
        <v>0</v>
      </c>
      <c r="BO822" s="6">
        <f>0</f>
        <v>0</v>
      </c>
      <c r="BP822" s="4" t="s">
        <v>256</v>
      </c>
      <c r="BQ822" s="4" t="s">
        <v>257</v>
      </c>
      <c r="CE822" s="4" t="s">
        <v>241</v>
      </c>
      <c r="CF822" s="4" t="s">
        <v>241</v>
      </c>
      <c r="CJ822" s="4" t="s">
        <v>276</v>
      </c>
      <c r="CK822" s="4" t="s">
        <v>259</v>
      </c>
      <c r="CL822" s="4" t="s">
        <v>241</v>
      </c>
      <c r="CO822" s="5" t="s">
        <v>260</v>
      </c>
      <c r="CP822" s="4" t="s">
        <v>241</v>
      </c>
      <c r="CQ822" s="4" t="s">
        <v>261</v>
      </c>
      <c r="CR822" s="4" t="s">
        <v>241</v>
      </c>
      <c r="CS822" s="4" t="s">
        <v>241</v>
      </c>
      <c r="CT822" s="4">
        <v>0</v>
      </c>
      <c r="CU822" s="4" t="s">
        <v>262</v>
      </c>
      <c r="CV822" s="4" t="s">
        <v>263</v>
      </c>
      <c r="CW822" s="4" t="s">
        <v>263</v>
      </c>
      <c r="CX822" s="4" t="s">
        <v>264</v>
      </c>
      <c r="DA822" s="6">
        <f>1</f>
        <v>1</v>
      </c>
      <c r="DC822" s="4" t="s">
        <v>277</v>
      </c>
      <c r="DD822" s="4" t="s">
        <v>241</v>
      </c>
      <c r="DF822" s="4" t="s">
        <v>277</v>
      </c>
      <c r="DG822" s="6">
        <f>1389</f>
        <v>1389</v>
      </c>
      <c r="DI822" s="4" t="s">
        <v>241</v>
      </c>
      <c r="DJ822" s="4" t="s">
        <v>241</v>
      </c>
      <c r="DK822" s="4" t="s">
        <v>241</v>
      </c>
      <c r="DL822" s="4" t="s">
        <v>241</v>
      </c>
      <c r="DP822" s="4" t="s">
        <v>241</v>
      </c>
      <c r="DQ822" s="4" t="s">
        <v>241</v>
      </c>
      <c r="DR822" s="4" t="s">
        <v>241</v>
      </c>
      <c r="DS822" s="4" t="s">
        <v>241</v>
      </c>
      <c r="DV822" s="4" t="s">
        <v>278</v>
      </c>
      <c r="DW822" s="4" t="s">
        <v>1794</v>
      </c>
      <c r="HO822" s="4" t="s">
        <v>267</v>
      </c>
    </row>
    <row r="823" spans="1:223" ht="19.5" customHeight="1" x14ac:dyDescent="0.4">
      <c r="A823" s="4">
        <v>1</v>
      </c>
      <c r="B823" s="4" t="s">
        <v>239</v>
      </c>
      <c r="C823" s="4">
        <v>2497</v>
      </c>
      <c r="D823" s="4">
        <v>1</v>
      </c>
      <c r="E823" s="4">
        <v>1</v>
      </c>
      <c r="F823" s="4" t="s">
        <v>268</v>
      </c>
      <c r="G823" s="4" t="s">
        <v>241</v>
      </c>
      <c r="H823" s="4" t="s">
        <v>241</v>
      </c>
      <c r="I823" s="4" t="s">
        <v>272</v>
      </c>
      <c r="J823" s="4" t="s">
        <v>274</v>
      </c>
      <c r="K823" s="4" t="s">
        <v>251</v>
      </c>
      <c r="L823" s="4" t="s">
        <v>269</v>
      </c>
      <c r="M823" s="5" t="s">
        <v>1705</v>
      </c>
      <c r="N823" s="6">
        <f>967</f>
        <v>967</v>
      </c>
      <c r="O823" s="4" t="s">
        <v>265</v>
      </c>
      <c r="P823" s="6">
        <f>1</f>
        <v>1</v>
      </c>
      <c r="Q823" s="6">
        <f>0</f>
        <v>0</v>
      </c>
      <c r="S823" s="6">
        <f>0</f>
        <v>0</v>
      </c>
      <c r="T823" s="6">
        <f>1</f>
        <v>1</v>
      </c>
      <c r="U823" s="5" t="s">
        <v>245</v>
      </c>
      <c r="V823" s="4" t="s">
        <v>270</v>
      </c>
      <c r="W823" s="4" t="s">
        <v>271</v>
      </c>
      <c r="X823" s="4" t="s">
        <v>273</v>
      </c>
      <c r="Y823" s="4" t="s">
        <v>241</v>
      </c>
      <c r="AB823" s="4" t="s">
        <v>241</v>
      </c>
      <c r="AD823" s="5" t="s">
        <v>241</v>
      </c>
      <c r="AG823" s="5" t="s">
        <v>246</v>
      </c>
      <c r="AH823" s="4" t="s">
        <v>241</v>
      </c>
      <c r="AI823" s="4" t="s">
        <v>247</v>
      </c>
      <c r="AJ823" s="4" t="s">
        <v>248</v>
      </c>
      <c r="AZ823" s="4" t="s">
        <v>249</v>
      </c>
      <c r="BA823" s="4" t="s">
        <v>241</v>
      </c>
      <c r="BB823" s="4" t="s">
        <v>250</v>
      </c>
      <c r="BC823" s="4" t="s">
        <v>241</v>
      </c>
      <c r="BD823" s="4" t="s">
        <v>252</v>
      </c>
      <c r="BE823" s="4" t="s">
        <v>241</v>
      </c>
      <c r="BI823" s="4" t="s">
        <v>253</v>
      </c>
      <c r="BJ823" s="5" t="s">
        <v>246</v>
      </c>
      <c r="BK823" s="4" t="s">
        <v>254</v>
      </c>
      <c r="BL823" s="4" t="s">
        <v>255</v>
      </c>
      <c r="BM823" s="4" t="s">
        <v>241</v>
      </c>
      <c r="BN823" s="6">
        <f>0</f>
        <v>0</v>
      </c>
      <c r="BO823" s="6">
        <f>0</f>
        <v>0</v>
      </c>
      <c r="BP823" s="4" t="s">
        <v>256</v>
      </c>
      <c r="BQ823" s="4" t="s">
        <v>257</v>
      </c>
      <c r="CE823" s="4" t="s">
        <v>241</v>
      </c>
      <c r="CF823" s="4" t="s">
        <v>241</v>
      </c>
      <c r="CJ823" s="4" t="s">
        <v>276</v>
      </c>
      <c r="CK823" s="4" t="s">
        <v>259</v>
      </c>
      <c r="CL823" s="4" t="s">
        <v>241</v>
      </c>
      <c r="CO823" s="5" t="s">
        <v>260</v>
      </c>
      <c r="CP823" s="4" t="s">
        <v>241</v>
      </c>
      <c r="CQ823" s="4" t="s">
        <v>261</v>
      </c>
      <c r="CR823" s="4" t="s">
        <v>241</v>
      </c>
      <c r="CS823" s="4" t="s">
        <v>241</v>
      </c>
      <c r="CT823" s="4">
        <v>0</v>
      </c>
      <c r="CU823" s="4" t="s">
        <v>262</v>
      </c>
      <c r="CV823" s="4" t="s">
        <v>263</v>
      </c>
      <c r="CW823" s="4" t="s">
        <v>263</v>
      </c>
      <c r="CX823" s="4" t="s">
        <v>264</v>
      </c>
      <c r="DA823" s="6">
        <f>1</f>
        <v>1</v>
      </c>
      <c r="DC823" s="4" t="s">
        <v>277</v>
      </c>
      <c r="DD823" s="4" t="s">
        <v>241</v>
      </c>
      <c r="DF823" s="4" t="s">
        <v>277</v>
      </c>
      <c r="DG823" s="6">
        <f>967</f>
        <v>967</v>
      </c>
      <c r="DI823" s="4" t="s">
        <v>241</v>
      </c>
      <c r="DJ823" s="4" t="s">
        <v>241</v>
      </c>
      <c r="DK823" s="4" t="s">
        <v>241</v>
      </c>
      <c r="DL823" s="4" t="s">
        <v>241</v>
      </c>
      <c r="DP823" s="4" t="s">
        <v>241</v>
      </c>
      <c r="DQ823" s="4" t="s">
        <v>241</v>
      </c>
      <c r="DR823" s="4" t="s">
        <v>241</v>
      </c>
      <c r="DS823" s="4" t="s">
        <v>241</v>
      </c>
      <c r="DV823" s="4" t="s">
        <v>278</v>
      </c>
      <c r="DW823" s="4" t="s">
        <v>1706</v>
      </c>
      <c r="HO823" s="4" t="s">
        <v>267</v>
      </c>
    </row>
    <row r="824" spans="1:223" ht="19.5" customHeight="1" x14ac:dyDescent="0.4">
      <c r="A824" s="4">
        <v>1</v>
      </c>
      <c r="B824" s="4" t="s">
        <v>239</v>
      </c>
      <c r="C824" s="4">
        <v>2498</v>
      </c>
      <c r="D824" s="4">
        <v>1</v>
      </c>
      <c r="E824" s="4">
        <v>1</v>
      </c>
      <c r="F824" s="4" t="s">
        <v>268</v>
      </c>
      <c r="G824" s="4" t="s">
        <v>241</v>
      </c>
      <c r="H824" s="4" t="s">
        <v>241</v>
      </c>
      <c r="I824" s="4" t="s">
        <v>272</v>
      </c>
      <c r="J824" s="4" t="s">
        <v>274</v>
      </c>
      <c r="K824" s="4" t="s">
        <v>251</v>
      </c>
      <c r="L824" s="4" t="s">
        <v>269</v>
      </c>
      <c r="M824" s="5" t="s">
        <v>1703</v>
      </c>
      <c r="N824" s="6">
        <f>2497</f>
        <v>2497</v>
      </c>
      <c r="O824" s="4" t="s">
        <v>265</v>
      </c>
      <c r="P824" s="6">
        <f>1</f>
        <v>1</v>
      </c>
      <c r="Q824" s="6">
        <f>0</f>
        <v>0</v>
      </c>
      <c r="S824" s="6">
        <f>0</f>
        <v>0</v>
      </c>
      <c r="T824" s="6">
        <f>1</f>
        <v>1</v>
      </c>
      <c r="U824" s="5" t="s">
        <v>245</v>
      </c>
      <c r="V824" s="4" t="s">
        <v>270</v>
      </c>
      <c r="W824" s="4" t="s">
        <v>271</v>
      </c>
      <c r="X824" s="4" t="s">
        <v>273</v>
      </c>
      <c r="Y824" s="4" t="s">
        <v>241</v>
      </c>
      <c r="AB824" s="4" t="s">
        <v>241</v>
      </c>
      <c r="AD824" s="5" t="s">
        <v>241</v>
      </c>
      <c r="AG824" s="5" t="s">
        <v>246</v>
      </c>
      <c r="AH824" s="4" t="s">
        <v>241</v>
      </c>
      <c r="AI824" s="4" t="s">
        <v>247</v>
      </c>
      <c r="AJ824" s="4" t="s">
        <v>248</v>
      </c>
      <c r="AZ824" s="4" t="s">
        <v>249</v>
      </c>
      <c r="BA824" s="4" t="s">
        <v>241</v>
      </c>
      <c r="BB824" s="4" t="s">
        <v>250</v>
      </c>
      <c r="BC824" s="4" t="s">
        <v>241</v>
      </c>
      <c r="BD824" s="4" t="s">
        <v>252</v>
      </c>
      <c r="BE824" s="4" t="s">
        <v>241</v>
      </c>
      <c r="BI824" s="4" t="s">
        <v>253</v>
      </c>
      <c r="BJ824" s="5" t="s">
        <v>246</v>
      </c>
      <c r="BK824" s="4" t="s">
        <v>254</v>
      </c>
      <c r="BL824" s="4" t="s">
        <v>255</v>
      </c>
      <c r="BM824" s="4" t="s">
        <v>241</v>
      </c>
      <c r="BN824" s="6">
        <f>0</f>
        <v>0</v>
      </c>
      <c r="BO824" s="6">
        <f>0</f>
        <v>0</v>
      </c>
      <c r="BP824" s="4" t="s">
        <v>256</v>
      </c>
      <c r="BQ824" s="4" t="s">
        <v>257</v>
      </c>
      <c r="CE824" s="4" t="s">
        <v>241</v>
      </c>
      <c r="CF824" s="4" t="s">
        <v>241</v>
      </c>
      <c r="CJ824" s="4" t="s">
        <v>276</v>
      </c>
      <c r="CK824" s="4" t="s">
        <v>259</v>
      </c>
      <c r="CL824" s="4" t="s">
        <v>241</v>
      </c>
      <c r="CO824" s="5" t="s">
        <v>260</v>
      </c>
      <c r="CP824" s="4" t="s">
        <v>241</v>
      </c>
      <c r="CQ824" s="4" t="s">
        <v>261</v>
      </c>
      <c r="CR824" s="4" t="s">
        <v>241</v>
      </c>
      <c r="CS824" s="4" t="s">
        <v>241</v>
      </c>
      <c r="CT824" s="4">
        <v>0</v>
      </c>
      <c r="CU824" s="4" t="s">
        <v>262</v>
      </c>
      <c r="CV824" s="4" t="s">
        <v>263</v>
      </c>
      <c r="CW824" s="4" t="s">
        <v>263</v>
      </c>
      <c r="CX824" s="4" t="s">
        <v>264</v>
      </c>
      <c r="DA824" s="6">
        <f>1</f>
        <v>1</v>
      </c>
      <c r="DC824" s="4" t="s">
        <v>277</v>
      </c>
      <c r="DD824" s="4" t="s">
        <v>241</v>
      </c>
      <c r="DF824" s="4" t="s">
        <v>277</v>
      </c>
      <c r="DG824" s="6">
        <f>2497</f>
        <v>2497</v>
      </c>
      <c r="DI824" s="4" t="s">
        <v>241</v>
      </c>
      <c r="DJ824" s="4" t="s">
        <v>241</v>
      </c>
      <c r="DK824" s="4" t="s">
        <v>241</v>
      </c>
      <c r="DL824" s="4" t="s">
        <v>241</v>
      </c>
      <c r="DP824" s="4" t="s">
        <v>241</v>
      </c>
      <c r="DQ824" s="4" t="s">
        <v>241</v>
      </c>
      <c r="DR824" s="4" t="s">
        <v>241</v>
      </c>
      <c r="DS824" s="4" t="s">
        <v>241</v>
      </c>
      <c r="DV824" s="4" t="s">
        <v>278</v>
      </c>
      <c r="DW824" s="4" t="s">
        <v>1704</v>
      </c>
      <c r="HO824" s="4" t="s">
        <v>267</v>
      </c>
    </row>
    <row r="825" spans="1:223" ht="19.5" customHeight="1" x14ac:dyDescent="0.4">
      <c r="A825" s="4">
        <v>1</v>
      </c>
      <c r="B825" s="4" t="s">
        <v>239</v>
      </c>
      <c r="C825" s="4">
        <v>2499</v>
      </c>
      <c r="D825" s="4">
        <v>1</v>
      </c>
      <c r="E825" s="4">
        <v>1</v>
      </c>
      <c r="F825" s="4" t="s">
        <v>268</v>
      </c>
      <c r="G825" s="4" t="s">
        <v>241</v>
      </c>
      <c r="H825" s="4" t="s">
        <v>241</v>
      </c>
      <c r="I825" s="4" t="s">
        <v>272</v>
      </c>
      <c r="J825" s="4" t="s">
        <v>274</v>
      </c>
      <c r="K825" s="4" t="s">
        <v>251</v>
      </c>
      <c r="L825" s="4" t="s">
        <v>269</v>
      </c>
      <c r="M825" s="5" t="s">
        <v>1701</v>
      </c>
      <c r="N825" s="6">
        <f>1071</f>
        <v>1071</v>
      </c>
      <c r="O825" s="4" t="s">
        <v>265</v>
      </c>
      <c r="P825" s="6">
        <f>1</f>
        <v>1</v>
      </c>
      <c r="Q825" s="6">
        <f>0</f>
        <v>0</v>
      </c>
      <c r="S825" s="6">
        <f>0</f>
        <v>0</v>
      </c>
      <c r="T825" s="6">
        <f>1</f>
        <v>1</v>
      </c>
      <c r="U825" s="5" t="s">
        <v>245</v>
      </c>
      <c r="V825" s="4" t="s">
        <v>270</v>
      </c>
      <c r="W825" s="4" t="s">
        <v>271</v>
      </c>
      <c r="X825" s="4" t="s">
        <v>273</v>
      </c>
      <c r="Y825" s="4" t="s">
        <v>241</v>
      </c>
      <c r="AB825" s="4" t="s">
        <v>241</v>
      </c>
      <c r="AD825" s="5" t="s">
        <v>241</v>
      </c>
      <c r="AG825" s="5" t="s">
        <v>246</v>
      </c>
      <c r="AH825" s="4" t="s">
        <v>241</v>
      </c>
      <c r="AI825" s="4" t="s">
        <v>247</v>
      </c>
      <c r="AJ825" s="4" t="s">
        <v>248</v>
      </c>
      <c r="AZ825" s="4" t="s">
        <v>249</v>
      </c>
      <c r="BA825" s="4" t="s">
        <v>241</v>
      </c>
      <c r="BB825" s="4" t="s">
        <v>250</v>
      </c>
      <c r="BC825" s="4" t="s">
        <v>241</v>
      </c>
      <c r="BD825" s="4" t="s">
        <v>252</v>
      </c>
      <c r="BE825" s="4" t="s">
        <v>241</v>
      </c>
      <c r="BI825" s="4" t="s">
        <v>253</v>
      </c>
      <c r="BJ825" s="5" t="s">
        <v>246</v>
      </c>
      <c r="BK825" s="4" t="s">
        <v>254</v>
      </c>
      <c r="BL825" s="4" t="s">
        <v>255</v>
      </c>
      <c r="BM825" s="4" t="s">
        <v>241</v>
      </c>
      <c r="BN825" s="6">
        <f>0</f>
        <v>0</v>
      </c>
      <c r="BO825" s="6">
        <f>0</f>
        <v>0</v>
      </c>
      <c r="BP825" s="4" t="s">
        <v>256</v>
      </c>
      <c r="BQ825" s="4" t="s">
        <v>257</v>
      </c>
      <c r="CE825" s="4" t="s">
        <v>241</v>
      </c>
      <c r="CF825" s="4" t="s">
        <v>241</v>
      </c>
      <c r="CJ825" s="4" t="s">
        <v>276</v>
      </c>
      <c r="CK825" s="4" t="s">
        <v>259</v>
      </c>
      <c r="CL825" s="4" t="s">
        <v>241</v>
      </c>
      <c r="CO825" s="5" t="s">
        <v>260</v>
      </c>
      <c r="CP825" s="4" t="s">
        <v>241</v>
      </c>
      <c r="CQ825" s="4" t="s">
        <v>261</v>
      </c>
      <c r="CR825" s="4" t="s">
        <v>241</v>
      </c>
      <c r="CS825" s="4" t="s">
        <v>241</v>
      </c>
      <c r="CT825" s="4">
        <v>0</v>
      </c>
      <c r="CU825" s="4" t="s">
        <v>262</v>
      </c>
      <c r="CV825" s="4" t="s">
        <v>263</v>
      </c>
      <c r="CW825" s="4" t="s">
        <v>263</v>
      </c>
      <c r="CX825" s="4" t="s">
        <v>264</v>
      </c>
      <c r="DA825" s="6">
        <f>1</f>
        <v>1</v>
      </c>
      <c r="DC825" s="4" t="s">
        <v>277</v>
      </c>
      <c r="DD825" s="4" t="s">
        <v>241</v>
      </c>
      <c r="DF825" s="4" t="s">
        <v>277</v>
      </c>
      <c r="DG825" s="6">
        <f>1071</f>
        <v>1071</v>
      </c>
      <c r="DI825" s="4" t="s">
        <v>241</v>
      </c>
      <c r="DJ825" s="4" t="s">
        <v>241</v>
      </c>
      <c r="DK825" s="4" t="s">
        <v>241</v>
      </c>
      <c r="DL825" s="4" t="s">
        <v>241</v>
      </c>
      <c r="DP825" s="4" t="s">
        <v>241</v>
      </c>
      <c r="DQ825" s="4" t="s">
        <v>241</v>
      </c>
      <c r="DR825" s="4" t="s">
        <v>241</v>
      </c>
      <c r="DS825" s="4" t="s">
        <v>241</v>
      </c>
      <c r="DV825" s="4" t="s">
        <v>278</v>
      </c>
      <c r="DW825" s="4" t="s">
        <v>1702</v>
      </c>
      <c r="HO825" s="4" t="s">
        <v>267</v>
      </c>
    </row>
    <row r="826" spans="1:223" ht="19.5" customHeight="1" x14ac:dyDescent="0.4">
      <c r="A826" s="4">
        <v>1</v>
      </c>
      <c r="B826" s="4" t="s">
        <v>239</v>
      </c>
      <c r="C826" s="4">
        <v>2500</v>
      </c>
      <c r="D826" s="4">
        <v>1</v>
      </c>
      <c r="E826" s="4">
        <v>1</v>
      </c>
      <c r="F826" s="4" t="s">
        <v>268</v>
      </c>
      <c r="G826" s="4" t="s">
        <v>241</v>
      </c>
      <c r="H826" s="4" t="s">
        <v>241</v>
      </c>
      <c r="I826" s="4" t="s">
        <v>272</v>
      </c>
      <c r="J826" s="4" t="s">
        <v>274</v>
      </c>
      <c r="K826" s="4" t="s">
        <v>251</v>
      </c>
      <c r="L826" s="4" t="s">
        <v>269</v>
      </c>
      <c r="M826" s="5" t="s">
        <v>1699</v>
      </c>
      <c r="N826" s="6">
        <f>412</f>
        <v>412</v>
      </c>
      <c r="O826" s="4" t="s">
        <v>265</v>
      </c>
      <c r="P826" s="6">
        <f>1</f>
        <v>1</v>
      </c>
      <c r="Q826" s="6">
        <f>0</f>
        <v>0</v>
      </c>
      <c r="S826" s="6">
        <f>0</f>
        <v>0</v>
      </c>
      <c r="T826" s="6">
        <f>1</f>
        <v>1</v>
      </c>
      <c r="U826" s="5" t="s">
        <v>245</v>
      </c>
      <c r="V826" s="4" t="s">
        <v>270</v>
      </c>
      <c r="W826" s="4" t="s">
        <v>271</v>
      </c>
      <c r="X826" s="4" t="s">
        <v>273</v>
      </c>
      <c r="Y826" s="4" t="s">
        <v>241</v>
      </c>
      <c r="AB826" s="4" t="s">
        <v>241</v>
      </c>
      <c r="AD826" s="5" t="s">
        <v>241</v>
      </c>
      <c r="AG826" s="5" t="s">
        <v>246</v>
      </c>
      <c r="AH826" s="4" t="s">
        <v>241</v>
      </c>
      <c r="AI826" s="4" t="s">
        <v>247</v>
      </c>
      <c r="AJ826" s="4" t="s">
        <v>248</v>
      </c>
      <c r="AZ826" s="4" t="s">
        <v>249</v>
      </c>
      <c r="BA826" s="4" t="s">
        <v>241</v>
      </c>
      <c r="BB826" s="4" t="s">
        <v>250</v>
      </c>
      <c r="BC826" s="4" t="s">
        <v>241</v>
      </c>
      <c r="BD826" s="4" t="s">
        <v>252</v>
      </c>
      <c r="BE826" s="4" t="s">
        <v>241</v>
      </c>
      <c r="BI826" s="4" t="s">
        <v>253</v>
      </c>
      <c r="BJ826" s="5" t="s">
        <v>246</v>
      </c>
      <c r="BK826" s="4" t="s">
        <v>254</v>
      </c>
      <c r="BL826" s="4" t="s">
        <v>255</v>
      </c>
      <c r="BM826" s="4" t="s">
        <v>241</v>
      </c>
      <c r="BN826" s="6">
        <f>0</f>
        <v>0</v>
      </c>
      <c r="BO826" s="6">
        <f>0</f>
        <v>0</v>
      </c>
      <c r="BP826" s="4" t="s">
        <v>256</v>
      </c>
      <c r="BQ826" s="4" t="s">
        <v>257</v>
      </c>
      <c r="CE826" s="4" t="s">
        <v>241</v>
      </c>
      <c r="CF826" s="4" t="s">
        <v>241</v>
      </c>
      <c r="CJ826" s="4" t="s">
        <v>276</v>
      </c>
      <c r="CK826" s="4" t="s">
        <v>259</v>
      </c>
      <c r="CL826" s="4" t="s">
        <v>241</v>
      </c>
      <c r="CO826" s="5" t="s">
        <v>260</v>
      </c>
      <c r="CP826" s="4" t="s">
        <v>241</v>
      </c>
      <c r="CQ826" s="4" t="s">
        <v>261</v>
      </c>
      <c r="CR826" s="4" t="s">
        <v>241</v>
      </c>
      <c r="CS826" s="4" t="s">
        <v>241</v>
      </c>
      <c r="CT826" s="4">
        <v>0</v>
      </c>
      <c r="CU826" s="4" t="s">
        <v>262</v>
      </c>
      <c r="CV826" s="4" t="s">
        <v>263</v>
      </c>
      <c r="CW826" s="4" t="s">
        <v>263</v>
      </c>
      <c r="CX826" s="4" t="s">
        <v>264</v>
      </c>
      <c r="DA826" s="6">
        <f>1</f>
        <v>1</v>
      </c>
      <c r="DC826" s="4" t="s">
        <v>277</v>
      </c>
      <c r="DD826" s="4" t="s">
        <v>241</v>
      </c>
      <c r="DF826" s="4" t="s">
        <v>277</v>
      </c>
      <c r="DG826" s="6">
        <f>412</f>
        <v>412</v>
      </c>
      <c r="DI826" s="4" t="s">
        <v>241</v>
      </c>
      <c r="DJ826" s="4" t="s">
        <v>241</v>
      </c>
      <c r="DK826" s="4" t="s">
        <v>241</v>
      </c>
      <c r="DL826" s="4" t="s">
        <v>241</v>
      </c>
      <c r="DP826" s="4" t="s">
        <v>241</v>
      </c>
      <c r="DQ826" s="4" t="s">
        <v>241</v>
      </c>
      <c r="DR826" s="4" t="s">
        <v>241</v>
      </c>
      <c r="DS826" s="4" t="s">
        <v>241</v>
      </c>
      <c r="DV826" s="4" t="s">
        <v>278</v>
      </c>
      <c r="DW826" s="4" t="s">
        <v>1700</v>
      </c>
      <c r="HO826" s="4" t="s">
        <v>267</v>
      </c>
    </row>
    <row r="827" spans="1:223" ht="19.5" customHeight="1" x14ac:dyDescent="0.4">
      <c r="A827" s="4">
        <v>1</v>
      </c>
      <c r="B827" s="4" t="s">
        <v>239</v>
      </c>
      <c r="C827" s="4">
        <v>2501</v>
      </c>
      <c r="D827" s="4">
        <v>1</v>
      </c>
      <c r="E827" s="4">
        <v>1</v>
      </c>
      <c r="F827" s="4" t="s">
        <v>268</v>
      </c>
      <c r="G827" s="4" t="s">
        <v>241</v>
      </c>
      <c r="H827" s="4" t="s">
        <v>241</v>
      </c>
      <c r="I827" s="4" t="s">
        <v>272</v>
      </c>
      <c r="J827" s="4" t="s">
        <v>274</v>
      </c>
      <c r="K827" s="4" t="s">
        <v>251</v>
      </c>
      <c r="L827" s="4" t="s">
        <v>269</v>
      </c>
      <c r="M827" s="5" t="s">
        <v>1697</v>
      </c>
      <c r="N827" s="6">
        <f>1242</f>
        <v>1242</v>
      </c>
      <c r="O827" s="4" t="s">
        <v>265</v>
      </c>
      <c r="P827" s="6">
        <f>1</f>
        <v>1</v>
      </c>
      <c r="Q827" s="6">
        <f>0</f>
        <v>0</v>
      </c>
      <c r="S827" s="6">
        <f>0</f>
        <v>0</v>
      </c>
      <c r="T827" s="6">
        <f>1</f>
        <v>1</v>
      </c>
      <c r="U827" s="5" t="s">
        <v>245</v>
      </c>
      <c r="V827" s="4" t="s">
        <v>270</v>
      </c>
      <c r="W827" s="4" t="s">
        <v>271</v>
      </c>
      <c r="X827" s="4" t="s">
        <v>273</v>
      </c>
      <c r="Y827" s="4" t="s">
        <v>241</v>
      </c>
      <c r="AB827" s="4" t="s">
        <v>241</v>
      </c>
      <c r="AD827" s="5" t="s">
        <v>241</v>
      </c>
      <c r="AG827" s="5" t="s">
        <v>246</v>
      </c>
      <c r="AH827" s="4" t="s">
        <v>241</v>
      </c>
      <c r="AI827" s="4" t="s">
        <v>247</v>
      </c>
      <c r="AJ827" s="4" t="s">
        <v>248</v>
      </c>
      <c r="AZ827" s="4" t="s">
        <v>249</v>
      </c>
      <c r="BA827" s="4" t="s">
        <v>241</v>
      </c>
      <c r="BB827" s="4" t="s">
        <v>250</v>
      </c>
      <c r="BC827" s="4" t="s">
        <v>241</v>
      </c>
      <c r="BD827" s="4" t="s">
        <v>252</v>
      </c>
      <c r="BE827" s="4" t="s">
        <v>241</v>
      </c>
      <c r="BI827" s="4" t="s">
        <v>253</v>
      </c>
      <c r="BJ827" s="5" t="s">
        <v>246</v>
      </c>
      <c r="BK827" s="4" t="s">
        <v>254</v>
      </c>
      <c r="BL827" s="4" t="s">
        <v>255</v>
      </c>
      <c r="BM827" s="4" t="s">
        <v>241</v>
      </c>
      <c r="BN827" s="6">
        <f>0</f>
        <v>0</v>
      </c>
      <c r="BO827" s="6">
        <f>0</f>
        <v>0</v>
      </c>
      <c r="BP827" s="4" t="s">
        <v>256</v>
      </c>
      <c r="BQ827" s="4" t="s">
        <v>257</v>
      </c>
      <c r="CE827" s="4" t="s">
        <v>241</v>
      </c>
      <c r="CF827" s="4" t="s">
        <v>241</v>
      </c>
      <c r="CJ827" s="4" t="s">
        <v>276</v>
      </c>
      <c r="CK827" s="4" t="s">
        <v>259</v>
      </c>
      <c r="CL827" s="4" t="s">
        <v>241</v>
      </c>
      <c r="CO827" s="5" t="s">
        <v>260</v>
      </c>
      <c r="CP827" s="4" t="s">
        <v>241</v>
      </c>
      <c r="CQ827" s="4" t="s">
        <v>261</v>
      </c>
      <c r="CR827" s="4" t="s">
        <v>241</v>
      </c>
      <c r="CS827" s="4" t="s">
        <v>241</v>
      </c>
      <c r="CT827" s="4">
        <v>0</v>
      </c>
      <c r="CU827" s="4" t="s">
        <v>262</v>
      </c>
      <c r="CV827" s="4" t="s">
        <v>263</v>
      </c>
      <c r="CW827" s="4" t="s">
        <v>263</v>
      </c>
      <c r="CX827" s="4" t="s">
        <v>264</v>
      </c>
      <c r="DA827" s="6">
        <f>1</f>
        <v>1</v>
      </c>
      <c r="DC827" s="4" t="s">
        <v>277</v>
      </c>
      <c r="DD827" s="4" t="s">
        <v>241</v>
      </c>
      <c r="DF827" s="4" t="s">
        <v>277</v>
      </c>
      <c r="DG827" s="6">
        <f>1242</f>
        <v>1242</v>
      </c>
      <c r="DI827" s="4" t="s">
        <v>241</v>
      </c>
      <c r="DJ827" s="4" t="s">
        <v>241</v>
      </c>
      <c r="DK827" s="4" t="s">
        <v>241</v>
      </c>
      <c r="DL827" s="4" t="s">
        <v>241</v>
      </c>
      <c r="DP827" s="4" t="s">
        <v>241</v>
      </c>
      <c r="DQ827" s="4" t="s">
        <v>241</v>
      </c>
      <c r="DR827" s="4" t="s">
        <v>241</v>
      </c>
      <c r="DS827" s="4" t="s">
        <v>241</v>
      </c>
      <c r="DV827" s="4" t="s">
        <v>278</v>
      </c>
      <c r="DW827" s="4" t="s">
        <v>1698</v>
      </c>
      <c r="HO827" s="4" t="s">
        <v>267</v>
      </c>
    </row>
    <row r="828" spans="1:223" ht="19.5" customHeight="1" x14ac:dyDescent="0.4">
      <c r="A828" s="4">
        <v>1</v>
      </c>
      <c r="B828" s="4" t="s">
        <v>239</v>
      </c>
      <c r="C828" s="4">
        <v>2502</v>
      </c>
      <c r="D828" s="4">
        <v>1</v>
      </c>
      <c r="E828" s="4">
        <v>1</v>
      </c>
      <c r="F828" s="4" t="s">
        <v>268</v>
      </c>
      <c r="G828" s="4" t="s">
        <v>241</v>
      </c>
      <c r="H828" s="4" t="s">
        <v>241</v>
      </c>
      <c r="I828" s="4" t="s">
        <v>272</v>
      </c>
      <c r="J828" s="4" t="s">
        <v>274</v>
      </c>
      <c r="K828" s="4" t="s">
        <v>251</v>
      </c>
      <c r="L828" s="4" t="s">
        <v>269</v>
      </c>
      <c r="M828" s="5" t="s">
        <v>1696</v>
      </c>
      <c r="N828" s="6">
        <f>135</f>
        <v>135</v>
      </c>
      <c r="O828" s="4" t="s">
        <v>265</v>
      </c>
      <c r="P828" s="6">
        <f>1</f>
        <v>1</v>
      </c>
      <c r="Q828" s="6">
        <f>0</f>
        <v>0</v>
      </c>
      <c r="S828" s="6">
        <f>0</f>
        <v>0</v>
      </c>
      <c r="T828" s="6">
        <f>1</f>
        <v>1</v>
      </c>
      <c r="U828" s="5" t="s">
        <v>245</v>
      </c>
      <c r="V828" s="4" t="s">
        <v>270</v>
      </c>
      <c r="W828" s="4" t="s">
        <v>271</v>
      </c>
      <c r="X828" s="4" t="s">
        <v>273</v>
      </c>
      <c r="Y828" s="4" t="s">
        <v>241</v>
      </c>
      <c r="AB828" s="4" t="s">
        <v>241</v>
      </c>
      <c r="AD828" s="5" t="s">
        <v>241</v>
      </c>
      <c r="AG828" s="5" t="s">
        <v>246</v>
      </c>
      <c r="AH828" s="4" t="s">
        <v>241</v>
      </c>
      <c r="AI828" s="4" t="s">
        <v>247</v>
      </c>
      <c r="AJ828" s="4" t="s">
        <v>248</v>
      </c>
      <c r="AZ828" s="4" t="s">
        <v>249</v>
      </c>
      <c r="BA828" s="4" t="s">
        <v>241</v>
      </c>
      <c r="BB828" s="4" t="s">
        <v>250</v>
      </c>
      <c r="BC828" s="4" t="s">
        <v>241</v>
      </c>
      <c r="BD828" s="4" t="s">
        <v>252</v>
      </c>
      <c r="BE828" s="4" t="s">
        <v>241</v>
      </c>
      <c r="BI828" s="4" t="s">
        <v>253</v>
      </c>
      <c r="BJ828" s="5" t="s">
        <v>246</v>
      </c>
      <c r="BK828" s="4" t="s">
        <v>254</v>
      </c>
      <c r="BL828" s="4" t="s">
        <v>255</v>
      </c>
      <c r="BM828" s="4" t="s">
        <v>241</v>
      </c>
      <c r="BN828" s="6">
        <f>0</f>
        <v>0</v>
      </c>
      <c r="BO828" s="6">
        <f>0</f>
        <v>0</v>
      </c>
      <c r="BP828" s="4" t="s">
        <v>256</v>
      </c>
      <c r="BQ828" s="4" t="s">
        <v>257</v>
      </c>
      <c r="CE828" s="4" t="s">
        <v>241</v>
      </c>
      <c r="CF828" s="4" t="s">
        <v>241</v>
      </c>
      <c r="CJ828" s="4" t="s">
        <v>276</v>
      </c>
      <c r="CK828" s="4" t="s">
        <v>259</v>
      </c>
      <c r="CL828" s="4" t="s">
        <v>241</v>
      </c>
      <c r="CO828" s="5" t="s">
        <v>260</v>
      </c>
      <c r="CP828" s="4" t="s">
        <v>241</v>
      </c>
      <c r="CQ828" s="4" t="s">
        <v>261</v>
      </c>
      <c r="CR828" s="4" t="s">
        <v>241</v>
      </c>
      <c r="CS828" s="4" t="s">
        <v>241</v>
      </c>
      <c r="CT828" s="4">
        <v>0</v>
      </c>
      <c r="CU828" s="4" t="s">
        <v>262</v>
      </c>
      <c r="CV828" s="4" t="s">
        <v>263</v>
      </c>
      <c r="CW828" s="4" t="s">
        <v>263</v>
      </c>
      <c r="CX828" s="4" t="s">
        <v>264</v>
      </c>
      <c r="DA828" s="6">
        <f>1</f>
        <v>1</v>
      </c>
      <c r="DC828" s="4" t="s">
        <v>277</v>
      </c>
      <c r="DD828" s="4" t="s">
        <v>241</v>
      </c>
      <c r="DF828" s="4" t="s">
        <v>277</v>
      </c>
      <c r="DG828" s="6">
        <f>135</f>
        <v>135</v>
      </c>
      <c r="DI828" s="4" t="s">
        <v>241</v>
      </c>
      <c r="DJ828" s="4" t="s">
        <v>241</v>
      </c>
      <c r="DK828" s="4" t="s">
        <v>241</v>
      </c>
      <c r="DL828" s="4" t="s">
        <v>241</v>
      </c>
      <c r="DP828" s="4" t="s">
        <v>241</v>
      </c>
      <c r="DQ828" s="4" t="s">
        <v>241</v>
      </c>
      <c r="DR828" s="4" t="s">
        <v>241</v>
      </c>
      <c r="DS828" s="4" t="s">
        <v>241</v>
      </c>
      <c r="DV828" s="4" t="s">
        <v>278</v>
      </c>
      <c r="DW828" s="4" t="s">
        <v>718</v>
      </c>
      <c r="HO828" s="4" t="s">
        <v>267</v>
      </c>
    </row>
    <row r="829" spans="1:223" ht="19.5" customHeight="1" x14ac:dyDescent="0.4">
      <c r="A829" s="4">
        <v>1</v>
      </c>
      <c r="B829" s="4" t="s">
        <v>239</v>
      </c>
      <c r="C829" s="4">
        <v>2503</v>
      </c>
      <c r="D829" s="4">
        <v>1</v>
      </c>
      <c r="E829" s="4">
        <v>1</v>
      </c>
      <c r="F829" s="4" t="s">
        <v>268</v>
      </c>
      <c r="G829" s="4" t="s">
        <v>241</v>
      </c>
      <c r="H829" s="4" t="s">
        <v>241</v>
      </c>
      <c r="I829" s="4" t="s">
        <v>272</v>
      </c>
      <c r="J829" s="4" t="s">
        <v>274</v>
      </c>
      <c r="K829" s="4" t="s">
        <v>251</v>
      </c>
      <c r="L829" s="4" t="s">
        <v>269</v>
      </c>
      <c r="M829" s="5" t="s">
        <v>1694</v>
      </c>
      <c r="N829" s="6">
        <f>3272</f>
        <v>3272</v>
      </c>
      <c r="O829" s="4" t="s">
        <v>265</v>
      </c>
      <c r="P829" s="6">
        <f>1</f>
        <v>1</v>
      </c>
      <c r="Q829" s="6">
        <f>0</f>
        <v>0</v>
      </c>
      <c r="S829" s="6">
        <f>0</f>
        <v>0</v>
      </c>
      <c r="T829" s="6">
        <f>1</f>
        <v>1</v>
      </c>
      <c r="U829" s="5" t="s">
        <v>245</v>
      </c>
      <c r="V829" s="4" t="s">
        <v>270</v>
      </c>
      <c r="W829" s="4" t="s">
        <v>271</v>
      </c>
      <c r="X829" s="4" t="s">
        <v>273</v>
      </c>
      <c r="Y829" s="4" t="s">
        <v>241</v>
      </c>
      <c r="AB829" s="4" t="s">
        <v>241</v>
      </c>
      <c r="AD829" s="5" t="s">
        <v>241</v>
      </c>
      <c r="AG829" s="5" t="s">
        <v>246</v>
      </c>
      <c r="AH829" s="4" t="s">
        <v>241</v>
      </c>
      <c r="AI829" s="4" t="s">
        <v>247</v>
      </c>
      <c r="AJ829" s="4" t="s">
        <v>248</v>
      </c>
      <c r="AZ829" s="4" t="s">
        <v>249</v>
      </c>
      <c r="BA829" s="4" t="s">
        <v>241</v>
      </c>
      <c r="BB829" s="4" t="s">
        <v>250</v>
      </c>
      <c r="BC829" s="4" t="s">
        <v>241</v>
      </c>
      <c r="BD829" s="4" t="s">
        <v>252</v>
      </c>
      <c r="BE829" s="4" t="s">
        <v>241</v>
      </c>
      <c r="BI829" s="4" t="s">
        <v>253</v>
      </c>
      <c r="BJ829" s="5" t="s">
        <v>246</v>
      </c>
      <c r="BK829" s="4" t="s">
        <v>254</v>
      </c>
      <c r="BL829" s="4" t="s">
        <v>255</v>
      </c>
      <c r="BM829" s="4" t="s">
        <v>241</v>
      </c>
      <c r="BN829" s="6">
        <f>0</f>
        <v>0</v>
      </c>
      <c r="BO829" s="6">
        <f>0</f>
        <v>0</v>
      </c>
      <c r="BP829" s="4" t="s">
        <v>256</v>
      </c>
      <c r="BQ829" s="4" t="s">
        <v>257</v>
      </c>
      <c r="CE829" s="4" t="s">
        <v>241</v>
      </c>
      <c r="CF829" s="4" t="s">
        <v>241</v>
      </c>
      <c r="CJ829" s="4" t="s">
        <v>276</v>
      </c>
      <c r="CK829" s="4" t="s">
        <v>259</v>
      </c>
      <c r="CL829" s="4" t="s">
        <v>241</v>
      </c>
      <c r="CO829" s="5" t="s">
        <v>260</v>
      </c>
      <c r="CP829" s="4" t="s">
        <v>241</v>
      </c>
      <c r="CQ829" s="4" t="s">
        <v>261</v>
      </c>
      <c r="CR829" s="4" t="s">
        <v>241</v>
      </c>
      <c r="CS829" s="4" t="s">
        <v>241</v>
      </c>
      <c r="CT829" s="4">
        <v>0</v>
      </c>
      <c r="CU829" s="4" t="s">
        <v>262</v>
      </c>
      <c r="CV829" s="4" t="s">
        <v>263</v>
      </c>
      <c r="CW829" s="4" t="s">
        <v>263</v>
      </c>
      <c r="CX829" s="4" t="s">
        <v>264</v>
      </c>
      <c r="DA829" s="6">
        <f>1</f>
        <v>1</v>
      </c>
      <c r="DC829" s="4" t="s">
        <v>277</v>
      </c>
      <c r="DD829" s="4" t="s">
        <v>241</v>
      </c>
      <c r="DF829" s="4" t="s">
        <v>277</v>
      </c>
      <c r="DG829" s="6">
        <f>3272</f>
        <v>3272</v>
      </c>
      <c r="DI829" s="4" t="s">
        <v>241</v>
      </c>
      <c r="DJ829" s="4" t="s">
        <v>241</v>
      </c>
      <c r="DK829" s="4" t="s">
        <v>241</v>
      </c>
      <c r="DL829" s="4" t="s">
        <v>241</v>
      </c>
      <c r="DP829" s="4" t="s">
        <v>241</v>
      </c>
      <c r="DQ829" s="4" t="s">
        <v>241</v>
      </c>
      <c r="DR829" s="4" t="s">
        <v>241</v>
      </c>
      <c r="DS829" s="4" t="s">
        <v>241</v>
      </c>
      <c r="DV829" s="4" t="s">
        <v>278</v>
      </c>
      <c r="DW829" s="4" t="s">
        <v>1695</v>
      </c>
      <c r="HO829" s="4" t="s">
        <v>267</v>
      </c>
    </row>
    <row r="830" spans="1:223" ht="19.5" customHeight="1" x14ac:dyDescent="0.4">
      <c r="A830" s="4">
        <v>1</v>
      </c>
      <c r="B830" s="4" t="s">
        <v>239</v>
      </c>
      <c r="C830" s="4">
        <v>2504</v>
      </c>
      <c r="D830" s="4">
        <v>1</v>
      </c>
      <c r="E830" s="4">
        <v>1</v>
      </c>
      <c r="F830" s="4" t="s">
        <v>268</v>
      </c>
      <c r="G830" s="4" t="s">
        <v>241</v>
      </c>
      <c r="H830" s="4" t="s">
        <v>241</v>
      </c>
      <c r="I830" s="4" t="s">
        <v>272</v>
      </c>
      <c r="J830" s="4" t="s">
        <v>274</v>
      </c>
      <c r="K830" s="4" t="s">
        <v>251</v>
      </c>
      <c r="L830" s="4" t="s">
        <v>269</v>
      </c>
      <c r="M830" s="5" t="s">
        <v>1692</v>
      </c>
      <c r="N830" s="6">
        <f>1640</f>
        <v>1640</v>
      </c>
      <c r="O830" s="4" t="s">
        <v>265</v>
      </c>
      <c r="P830" s="6">
        <f>1</f>
        <v>1</v>
      </c>
      <c r="Q830" s="6">
        <f>0</f>
        <v>0</v>
      </c>
      <c r="S830" s="6">
        <f>0</f>
        <v>0</v>
      </c>
      <c r="T830" s="6">
        <f>1</f>
        <v>1</v>
      </c>
      <c r="U830" s="5" t="s">
        <v>245</v>
      </c>
      <c r="V830" s="4" t="s">
        <v>270</v>
      </c>
      <c r="W830" s="4" t="s">
        <v>271</v>
      </c>
      <c r="X830" s="4" t="s">
        <v>273</v>
      </c>
      <c r="Y830" s="4" t="s">
        <v>241</v>
      </c>
      <c r="AB830" s="4" t="s">
        <v>241</v>
      </c>
      <c r="AD830" s="5" t="s">
        <v>241</v>
      </c>
      <c r="AG830" s="5" t="s">
        <v>246</v>
      </c>
      <c r="AH830" s="4" t="s">
        <v>241</v>
      </c>
      <c r="AI830" s="4" t="s">
        <v>247</v>
      </c>
      <c r="AJ830" s="4" t="s">
        <v>248</v>
      </c>
      <c r="AZ830" s="4" t="s">
        <v>249</v>
      </c>
      <c r="BA830" s="4" t="s">
        <v>241</v>
      </c>
      <c r="BB830" s="4" t="s">
        <v>250</v>
      </c>
      <c r="BC830" s="4" t="s">
        <v>241</v>
      </c>
      <c r="BD830" s="4" t="s">
        <v>252</v>
      </c>
      <c r="BE830" s="4" t="s">
        <v>241</v>
      </c>
      <c r="BI830" s="4" t="s">
        <v>253</v>
      </c>
      <c r="BJ830" s="5" t="s">
        <v>246</v>
      </c>
      <c r="BK830" s="4" t="s">
        <v>254</v>
      </c>
      <c r="BL830" s="4" t="s">
        <v>255</v>
      </c>
      <c r="BM830" s="4" t="s">
        <v>241</v>
      </c>
      <c r="BN830" s="6">
        <f>0</f>
        <v>0</v>
      </c>
      <c r="BO830" s="6">
        <f>0</f>
        <v>0</v>
      </c>
      <c r="BP830" s="4" t="s">
        <v>256</v>
      </c>
      <c r="BQ830" s="4" t="s">
        <v>257</v>
      </c>
      <c r="CE830" s="4" t="s">
        <v>241</v>
      </c>
      <c r="CF830" s="4" t="s">
        <v>241</v>
      </c>
      <c r="CJ830" s="4" t="s">
        <v>276</v>
      </c>
      <c r="CK830" s="4" t="s">
        <v>259</v>
      </c>
      <c r="CL830" s="4" t="s">
        <v>241</v>
      </c>
      <c r="CO830" s="5" t="s">
        <v>260</v>
      </c>
      <c r="CP830" s="4" t="s">
        <v>241</v>
      </c>
      <c r="CQ830" s="4" t="s">
        <v>261</v>
      </c>
      <c r="CR830" s="4" t="s">
        <v>241</v>
      </c>
      <c r="CS830" s="4" t="s">
        <v>241</v>
      </c>
      <c r="CT830" s="4">
        <v>0</v>
      </c>
      <c r="CU830" s="4" t="s">
        <v>262</v>
      </c>
      <c r="CV830" s="4" t="s">
        <v>263</v>
      </c>
      <c r="CW830" s="4" t="s">
        <v>263</v>
      </c>
      <c r="CX830" s="4" t="s">
        <v>264</v>
      </c>
      <c r="DA830" s="6">
        <f>1</f>
        <v>1</v>
      </c>
      <c r="DC830" s="4" t="s">
        <v>277</v>
      </c>
      <c r="DD830" s="4" t="s">
        <v>241</v>
      </c>
      <c r="DF830" s="4" t="s">
        <v>277</v>
      </c>
      <c r="DG830" s="6">
        <f>1640</f>
        <v>1640</v>
      </c>
      <c r="DI830" s="4" t="s">
        <v>241</v>
      </c>
      <c r="DJ830" s="4" t="s">
        <v>241</v>
      </c>
      <c r="DK830" s="4" t="s">
        <v>241</v>
      </c>
      <c r="DL830" s="4" t="s">
        <v>241</v>
      </c>
      <c r="DP830" s="4" t="s">
        <v>241</v>
      </c>
      <c r="DQ830" s="4" t="s">
        <v>241</v>
      </c>
      <c r="DR830" s="4" t="s">
        <v>241</v>
      </c>
      <c r="DS830" s="4" t="s">
        <v>241</v>
      </c>
      <c r="DV830" s="4" t="s">
        <v>278</v>
      </c>
      <c r="DW830" s="4" t="s">
        <v>1693</v>
      </c>
      <c r="HO830" s="4" t="s">
        <v>267</v>
      </c>
    </row>
    <row r="831" spans="1:223" ht="19.5" customHeight="1" x14ac:dyDescent="0.4">
      <c r="A831" s="4">
        <v>1</v>
      </c>
      <c r="B831" s="4" t="s">
        <v>239</v>
      </c>
      <c r="C831" s="4">
        <v>2505</v>
      </c>
      <c r="D831" s="4">
        <v>1</v>
      </c>
      <c r="E831" s="4">
        <v>1</v>
      </c>
      <c r="F831" s="4" t="s">
        <v>268</v>
      </c>
      <c r="G831" s="4" t="s">
        <v>241</v>
      </c>
      <c r="H831" s="4" t="s">
        <v>241</v>
      </c>
      <c r="I831" s="4" t="s">
        <v>272</v>
      </c>
      <c r="J831" s="4" t="s">
        <v>274</v>
      </c>
      <c r="K831" s="4" t="s">
        <v>251</v>
      </c>
      <c r="L831" s="4" t="s">
        <v>269</v>
      </c>
      <c r="M831" s="5" t="s">
        <v>1690</v>
      </c>
      <c r="N831" s="6">
        <f>350</f>
        <v>350</v>
      </c>
      <c r="O831" s="4" t="s">
        <v>265</v>
      </c>
      <c r="P831" s="6">
        <f>1</f>
        <v>1</v>
      </c>
      <c r="Q831" s="6">
        <f>0</f>
        <v>0</v>
      </c>
      <c r="S831" s="6">
        <f>0</f>
        <v>0</v>
      </c>
      <c r="T831" s="6">
        <f>1</f>
        <v>1</v>
      </c>
      <c r="U831" s="5" t="s">
        <v>245</v>
      </c>
      <c r="V831" s="4" t="s">
        <v>270</v>
      </c>
      <c r="W831" s="4" t="s">
        <v>271</v>
      </c>
      <c r="X831" s="4" t="s">
        <v>273</v>
      </c>
      <c r="Y831" s="4" t="s">
        <v>241</v>
      </c>
      <c r="AB831" s="4" t="s">
        <v>241</v>
      </c>
      <c r="AD831" s="5" t="s">
        <v>241</v>
      </c>
      <c r="AG831" s="5" t="s">
        <v>246</v>
      </c>
      <c r="AH831" s="4" t="s">
        <v>241</v>
      </c>
      <c r="AI831" s="4" t="s">
        <v>247</v>
      </c>
      <c r="AJ831" s="4" t="s">
        <v>248</v>
      </c>
      <c r="AZ831" s="4" t="s">
        <v>249</v>
      </c>
      <c r="BA831" s="4" t="s">
        <v>241</v>
      </c>
      <c r="BB831" s="4" t="s">
        <v>250</v>
      </c>
      <c r="BC831" s="4" t="s">
        <v>241</v>
      </c>
      <c r="BD831" s="4" t="s">
        <v>252</v>
      </c>
      <c r="BE831" s="4" t="s">
        <v>241</v>
      </c>
      <c r="BI831" s="4" t="s">
        <v>253</v>
      </c>
      <c r="BJ831" s="5" t="s">
        <v>246</v>
      </c>
      <c r="BK831" s="4" t="s">
        <v>254</v>
      </c>
      <c r="BL831" s="4" t="s">
        <v>255</v>
      </c>
      <c r="BM831" s="4" t="s">
        <v>241</v>
      </c>
      <c r="BN831" s="6">
        <f>0</f>
        <v>0</v>
      </c>
      <c r="BO831" s="6">
        <f>0</f>
        <v>0</v>
      </c>
      <c r="BP831" s="4" t="s">
        <v>256</v>
      </c>
      <c r="BQ831" s="4" t="s">
        <v>257</v>
      </c>
      <c r="CE831" s="4" t="s">
        <v>241</v>
      </c>
      <c r="CF831" s="4" t="s">
        <v>241</v>
      </c>
      <c r="CJ831" s="4" t="s">
        <v>276</v>
      </c>
      <c r="CK831" s="4" t="s">
        <v>259</v>
      </c>
      <c r="CL831" s="4" t="s">
        <v>241</v>
      </c>
      <c r="CO831" s="5" t="s">
        <v>260</v>
      </c>
      <c r="CP831" s="4" t="s">
        <v>241</v>
      </c>
      <c r="CQ831" s="4" t="s">
        <v>261</v>
      </c>
      <c r="CR831" s="4" t="s">
        <v>241</v>
      </c>
      <c r="CS831" s="4" t="s">
        <v>241</v>
      </c>
      <c r="CT831" s="4">
        <v>0</v>
      </c>
      <c r="CU831" s="4" t="s">
        <v>262</v>
      </c>
      <c r="CV831" s="4" t="s">
        <v>263</v>
      </c>
      <c r="CW831" s="4" t="s">
        <v>263</v>
      </c>
      <c r="CX831" s="4" t="s">
        <v>264</v>
      </c>
      <c r="DA831" s="6">
        <f>1</f>
        <v>1</v>
      </c>
      <c r="DC831" s="4" t="s">
        <v>277</v>
      </c>
      <c r="DD831" s="4" t="s">
        <v>241</v>
      </c>
      <c r="DF831" s="4" t="s">
        <v>277</v>
      </c>
      <c r="DG831" s="6">
        <f>350</f>
        <v>350</v>
      </c>
      <c r="DI831" s="4" t="s">
        <v>241</v>
      </c>
      <c r="DJ831" s="4" t="s">
        <v>241</v>
      </c>
      <c r="DK831" s="4" t="s">
        <v>241</v>
      </c>
      <c r="DL831" s="4" t="s">
        <v>241</v>
      </c>
      <c r="DP831" s="4" t="s">
        <v>241</v>
      </c>
      <c r="DQ831" s="4" t="s">
        <v>241</v>
      </c>
      <c r="DR831" s="4" t="s">
        <v>241</v>
      </c>
      <c r="DS831" s="4" t="s">
        <v>241</v>
      </c>
      <c r="DV831" s="4" t="s">
        <v>278</v>
      </c>
      <c r="DW831" s="4" t="s">
        <v>1691</v>
      </c>
      <c r="HO831" s="4" t="s">
        <v>267</v>
      </c>
    </row>
    <row r="832" spans="1:223" ht="19.5" customHeight="1" x14ac:dyDescent="0.4">
      <c r="A832" s="4">
        <v>1</v>
      </c>
      <c r="B832" s="4" t="s">
        <v>239</v>
      </c>
      <c r="C832" s="4">
        <v>2506</v>
      </c>
      <c r="D832" s="4">
        <v>1</v>
      </c>
      <c r="E832" s="4">
        <v>1</v>
      </c>
      <c r="F832" s="4" t="s">
        <v>268</v>
      </c>
      <c r="G832" s="4" t="s">
        <v>241</v>
      </c>
      <c r="H832" s="4" t="s">
        <v>241</v>
      </c>
      <c r="I832" s="4" t="s">
        <v>272</v>
      </c>
      <c r="J832" s="4" t="s">
        <v>274</v>
      </c>
      <c r="K832" s="4" t="s">
        <v>251</v>
      </c>
      <c r="L832" s="4" t="s">
        <v>269</v>
      </c>
      <c r="M832" s="5" t="s">
        <v>1688</v>
      </c>
      <c r="N832" s="6">
        <f>2812</f>
        <v>2812</v>
      </c>
      <c r="O832" s="4" t="s">
        <v>265</v>
      </c>
      <c r="P832" s="6">
        <f>1</f>
        <v>1</v>
      </c>
      <c r="Q832" s="6">
        <f>0</f>
        <v>0</v>
      </c>
      <c r="S832" s="6">
        <f>0</f>
        <v>0</v>
      </c>
      <c r="T832" s="6">
        <f>1</f>
        <v>1</v>
      </c>
      <c r="U832" s="5" t="s">
        <v>245</v>
      </c>
      <c r="V832" s="4" t="s">
        <v>270</v>
      </c>
      <c r="W832" s="4" t="s">
        <v>271</v>
      </c>
      <c r="X832" s="4" t="s">
        <v>273</v>
      </c>
      <c r="Y832" s="4" t="s">
        <v>241</v>
      </c>
      <c r="AB832" s="4" t="s">
        <v>241</v>
      </c>
      <c r="AD832" s="5" t="s">
        <v>241</v>
      </c>
      <c r="AG832" s="5" t="s">
        <v>246</v>
      </c>
      <c r="AH832" s="4" t="s">
        <v>241</v>
      </c>
      <c r="AI832" s="4" t="s">
        <v>247</v>
      </c>
      <c r="AJ832" s="4" t="s">
        <v>248</v>
      </c>
      <c r="AZ832" s="4" t="s">
        <v>249</v>
      </c>
      <c r="BA832" s="4" t="s">
        <v>241</v>
      </c>
      <c r="BB832" s="4" t="s">
        <v>250</v>
      </c>
      <c r="BC832" s="4" t="s">
        <v>241</v>
      </c>
      <c r="BD832" s="4" t="s">
        <v>252</v>
      </c>
      <c r="BE832" s="4" t="s">
        <v>241</v>
      </c>
      <c r="BI832" s="4" t="s">
        <v>253</v>
      </c>
      <c r="BJ832" s="5" t="s">
        <v>246</v>
      </c>
      <c r="BK832" s="4" t="s">
        <v>254</v>
      </c>
      <c r="BL832" s="4" t="s">
        <v>255</v>
      </c>
      <c r="BM832" s="4" t="s">
        <v>241</v>
      </c>
      <c r="BN832" s="6">
        <f>0</f>
        <v>0</v>
      </c>
      <c r="BO832" s="6">
        <f>0</f>
        <v>0</v>
      </c>
      <c r="BP832" s="4" t="s">
        <v>256</v>
      </c>
      <c r="BQ832" s="4" t="s">
        <v>257</v>
      </c>
      <c r="CE832" s="4" t="s">
        <v>241</v>
      </c>
      <c r="CF832" s="4" t="s">
        <v>241</v>
      </c>
      <c r="CJ832" s="4" t="s">
        <v>276</v>
      </c>
      <c r="CK832" s="4" t="s">
        <v>259</v>
      </c>
      <c r="CL832" s="4" t="s">
        <v>241</v>
      </c>
      <c r="CO832" s="5" t="s">
        <v>260</v>
      </c>
      <c r="CP832" s="4" t="s">
        <v>241</v>
      </c>
      <c r="CQ832" s="4" t="s">
        <v>261</v>
      </c>
      <c r="CR832" s="4" t="s">
        <v>241</v>
      </c>
      <c r="CS832" s="4" t="s">
        <v>241</v>
      </c>
      <c r="CT832" s="4">
        <v>0</v>
      </c>
      <c r="CU832" s="4" t="s">
        <v>262</v>
      </c>
      <c r="CV832" s="4" t="s">
        <v>263</v>
      </c>
      <c r="CW832" s="4" t="s">
        <v>263</v>
      </c>
      <c r="CX832" s="4" t="s">
        <v>264</v>
      </c>
      <c r="DA832" s="6">
        <f>1</f>
        <v>1</v>
      </c>
      <c r="DC832" s="4" t="s">
        <v>277</v>
      </c>
      <c r="DD832" s="4" t="s">
        <v>241</v>
      </c>
      <c r="DF832" s="4" t="s">
        <v>277</v>
      </c>
      <c r="DG832" s="6">
        <f>2812</f>
        <v>2812</v>
      </c>
      <c r="DI832" s="4" t="s">
        <v>241</v>
      </c>
      <c r="DJ832" s="4" t="s">
        <v>241</v>
      </c>
      <c r="DK832" s="4" t="s">
        <v>241</v>
      </c>
      <c r="DL832" s="4" t="s">
        <v>241</v>
      </c>
      <c r="DP832" s="4" t="s">
        <v>241</v>
      </c>
      <c r="DQ832" s="4" t="s">
        <v>241</v>
      </c>
      <c r="DR832" s="4" t="s">
        <v>241</v>
      </c>
      <c r="DS832" s="4" t="s">
        <v>241</v>
      </c>
      <c r="DV832" s="4" t="s">
        <v>278</v>
      </c>
      <c r="DW832" s="4" t="s">
        <v>1689</v>
      </c>
      <c r="HO832" s="4" t="s">
        <v>267</v>
      </c>
    </row>
    <row r="833" spans="1:223" ht="19.5" customHeight="1" x14ac:dyDescent="0.4">
      <c r="A833" s="4">
        <v>1</v>
      </c>
      <c r="B833" s="4" t="s">
        <v>239</v>
      </c>
      <c r="C833" s="4">
        <v>2507</v>
      </c>
      <c r="D833" s="4">
        <v>1</v>
      </c>
      <c r="E833" s="4">
        <v>1</v>
      </c>
      <c r="F833" s="4" t="s">
        <v>268</v>
      </c>
      <c r="G833" s="4" t="s">
        <v>241</v>
      </c>
      <c r="H833" s="4" t="s">
        <v>241</v>
      </c>
      <c r="I833" s="4" t="s">
        <v>272</v>
      </c>
      <c r="J833" s="4" t="s">
        <v>274</v>
      </c>
      <c r="K833" s="4" t="s">
        <v>251</v>
      </c>
      <c r="L833" s="4" t="s">
        <v>269</v>
      </c>
      <c r="M833" s="5" t="s">
        <v>1686</v>
      </c>
      <c r="N833" s="6">
        <f>15526</f>
        <v>15526</v>
      </c>
      <c r="O833" s="4" t="s">
        <v>265</v>
      </c>
      <c r="P833" s="6">
        <f>1</f>
        <v>1</v>
      </c>
      <c r="Q833" s="6">
        <f>0</f>
        <v>0</v>
      </c>
      <c r="S833" s="6">
        <f>0</f>
        <v>0</v>
      </c>
      <c r="T833" s="6">
        <f>1</f>
        <v>1</v>
      </c>
      <c r="U833" s="5" t="s">
        <v>245</v>
      </c>
      <c r="V833" s="4" t="s">
        <v>270</v>
      </c>
      <c r="W833" s="4" t="s">
        <v>271</v>
      </c>
      <c r="X833" s="4" t="s">
        <v>273</v>
      </c>
      <c r="Y833" s="4" t="s">
        <v>241</v>
      </c>
      <c r="AB833" s="4" t="s">
        <v>241</v>
      </c>
      <c r="AD833" s="5" t="s">
        <v>241</v>
      </c>
      <c r="AG833" s="5" t="s">
        <v>246</v>
      </c>
      <c r="AH833" s="4" t="s">
        <v>241</v>
      </c>
      <c r="AI833" s="4" t="s">
        <v>247</v>
      </c>
      <c r="AJ833" s="4" t="s">
        <v>248</v>
      </c>
      <c r="AZ833" s="4" t="s">
        <v>249</v>
      </c>
      <c r="BA833" s="4" t="s">
        <v>241</v>
      </c>
      <c r="BB833" s="4" t="s">
        <v>250</v>
      </c>
      <c r="BC833" s="4" t="s">
        <v>241</v>
      </c>
      <c r="BD833" s="4" t="s">
        <v>252</v>
      </c>
      <c r="BE833" s="4" t="s">
        <v>241</v>
      </c>
      <c r="BI833" s="4" t="s">
        <v>253</v>
      </c>
      <c r="BJ833" s="5" t="s">
        <v>246</v>
      </c>
      <c r="BK833" s="4" t="s">
        <v>254</v>
      </c>
      <c r="BL833" s="4" t="s">
        <v>255</v>
      </c>
      <c r="BM833" s="4" t="s">
        <v>241</v>
      </c>
      <c r="BN833" s="6">
        <f>0</f>
        <v>0</v>
      </c>
      <c r="BO833" s="6">
        <f>0</f>
        <v>0</v>
      </c>
      <c r="BP833" s="4" t="s">
        <v>256</v>
      </c>
      <c r="BQ833" s="4" t="s">
        <v>257</v>
      </c>
      <c r="CE833" s="4" t="s">
        <v>241</v>
      </c>
      <c r="CF833" s="4" t="s">
        <v>241</v>
      </c>
      <c r="CJ833" s="4" t="s">
        <v>276</v>
      </c>
      <c r="CK833" s="4" t="s">
        <v>259</v>
      </c>
      <c r="CL833" s="4" t="s">
        <v>241</v>
      </c>
      <c r="CO833" s="5" t="s">
        <v>260</v>
      </c>
      <c r="CP833" s="4" t="s">
        <v>241</v>
      </c>
      <c r="CQ833" s="4" t="s">
        <v>261</v>
      </c>
      <c r="CR833" s="4" t="s">
        <v>241</v>
      </c>
      <c r="CS833" s="4" t="s">
        <v>241</v>
      </c>
      <c r="CT833" s="4">
        <v>0</v>
      </c>
      <c r="CU833" s="4" t="s">
        <v>262</v>
      </c>
      <c r="CV833" s="4" t="s">
        <v>263</v>
      </c>
      <c r="CW833" s="4" t="s">
        <v>263</v>
      </c>
      <c r="CX833" s="4" t="s">
        <v>264</v>
      </c>
      <c r="DA833" s="6">
        <f>1</f>
        <v>1</v>
      </c>
      <c r="DC833" s="4" t="s">
        <v>277</v>
      </c>
      <c r="DD833" s="4" t="s">
        <v>241</v>
      </c>
      <c r="DF833" s="4" t="s">
        <v>277</v>
      </c>
      <c r="DG833" s="6">
        <f>15526</f>
        <v>15526</v>
      </c>
      <c r="DI833" s="4" t="s">
        <v>241</v>
      </c>
      <c r="DJ833" s="4" t="s">
        <v>241</v>
      </c>
      <c r="DK833" s="4" t="s">
        <v>241</v>
      </c>
      <c r="DL833" s="4" t="s">
        <v>241</v>
      </c>
      <c r="DP833" s="4" t="s">
        <v>241</v>
      </c>
      <c r="DQ833" s="4" t="s">
        <v>241</v>
      </c>
      <c r="DR833" s="4" t="s">
        <v>241</v>
      </c>
      <c r="DS833" s="4" t="s">
        <v>241</v>
      </c>
      <c r="DV833" s="4" t="s">
        <v>278</v>
      </c>
      <c r="DW833" s="4" t="s">
        <v>1687</v>
      </c>
      <c r="HO833" s="4" t="s">
        <v>267</v>
      </c>
    </row>
    <row r="834" spans="1:223" ht="19.5" customHeight="1" x14ac:dyDescent="0.4">
      <c r="A834" s="4">
        <v>1</v>
      </c>
      <c r="B834" s="4" t="s">
        <v>239</v>
      </c>
      <c r="C834" s="4">
        <v>2508</v>
      </c>
      <c r="D834" s="4">
        <v>1</v>
      </c>
      <c r="E834" s="4">
        <v>1</v>
      </c>
      <c r="F834" s="4" t="s">
        <v>268</v>
      </c>
      <c r="G834" s="4" t="s">
        <v>241</v>
      </c>
      <c r="H834" s="4" t="s">
        <v>241</v>
      </c>
      <c r="I834" s="4" t="s">
        <v>272</v>
      </c>
      <c r="J834" s="4" t="s">
        <v>274</v>
      </c>
      <c r="K834" s="4" t="s">
        <v>251</v>
      </c>
      <c r="L834" s="4" t="s">
        <v>269</v>
      </c>
      <c r="M834" s="5" t="s">
        <v>1684</v>
      </c>
      <c r="N834" s="6">
        <f>260</f>
        <v>260</v>
      </c>
      <c r="O834" s="4" t="s">
        <v>265</v>
      </c>
      <c r="P834" s="6">
        <f>1</f>
        <v>1</v>
      </c>
      <c r="Q834" s="6">
        <f>0</f>
        <v>0</v>
      </c>
      <c r="S834" s="6">
        <f>0</f>
        <v>0</v>
      </c>
      <c r="T834" s="6">
        <f>1</f>
        <v>1</v>
      </c>
      <c r="U834" s="5" t="s">
        <v>245</v>
      </c>
      <c r="V834" s="4" t="s">
        <v>270</v>
      </c>
      <c r="W834" s="4" t="s">
        <v>271</v>
      </c>
      <c r="X834" s="4" t="s">
        <v>273</v>
      </c>
      <c r="Y834" s="4" t="s">
        <v>241</v>
      </c>
      <c r="AB834" s="4" t="s">
        <v>241</v>
      </c>
      <c r="AD834" s="5" t="s">
        <v>241</v>
      </c>
      <c r="AG834" s="5" t="s">
        <v>246</v>
      </c>
      <c r="AH834" s="4" t="s">
        <v>241</v>
      </c>
      <c r="AI834" s="4" t="s">
        <v>247</v>
      </c>
      <c r="AJ834" s="4" t="s">
        <v>248</v>
      </c>
      <c r="AZ834" s="4" t="s">
        <v>249</v>
      </c>
      <c r="BA834" s="4" t="s">
        <v>241</v>
      </c>
      <c r="BB834" s="4" t="s">
        <v>250</v>
      </c>
      <c r="BC834" s="4" t="s">
        <v>241</v>
      </c>
      <c r="BD834" s="4" t="s">
        <v>252</v>
      </c>
      <c r="BE834" s="4" t="s">
        <v>241</v>
      </c>
      <c r="BI834" s="4" t="s">
        <v>253</v>
      </c>
      <c r="BJ834" s="5" t="s">
        <v>246</v>
      </c>
      <c r="BK834" s="4" t="s">
        <v>254</v>
      </c>
      <c r="BL834" s="4" t="s">
        <v>255</v>
      </c>
      <c r="BM834" s="4" t="s">
        <v>241</v>
      </c>
      <c r="BN834" s="6">
        <f>0</f>
        <v>0</v>
      </c>
      <c r="BO834" s="6">
        <f>0</f>
        <v>0</v>
      </c>
      <c r="BP834" s="4" t="s">
        <v>256</v>
      </c>
      <c r="BQ834" s="4" t="s">
        <v>257</v>
      </c>
      <c r="CE834" s="4" t="s">
        <v>241</v>
      </c>
      <c r="CF834" s="4" t="s">
        <v>241</v>
      </c>
      <c r="CJ834" s="4" t="s">
        <v>276</v>
      </c>
      <c r="CK834" s="4" t="s">
        <v>259</v>
      </c>
      <c r="CL834" s="4" t="s">
        <v>241</v>
      </c>
      <c r="CO834" s="5" t="s">
        <v>260</v>
      </c>
      <c r="CP834" s="4" t="s">
        <v>241</v>
      </c>
      <c r="CQ834" s="4" t="s">
        <v>261</v>
      </c>
      <c r="CR834" s="4" t="s">
        <v>241</v>
      </c>
      <c r="CS834" s="4" t="s">
        <v>241</v>
      </c>
      <c r="CT834" s="4">
        <v>0</v>
      </c>
      <c r="CU834" s="4" t="s">
        <v>262</v>
      </c>
      <c r="CV834" s="4" t="s">
        <v>263</v>
      </c>
      <c r="CW834" s="4" t="s">
        <v>263</v>
      </c>
      <c r="CX834" s="4" t="s">
        <v>264</v>
      </c>
      <c r="DA834" s="6">
        <f>1</f>
        <v>1</v>
      </c>
      <c r="DC834" s="4" t="s">
        <v>277</v>
      </c>
      <c r="DD834" s="4" t="s">
        <v>241</v>
      </c>
      <c r="DF834" s="4" t="s">
        <v>277</v>
      </c>
      <c r="DG834" s="6">
        <f>260</f>
        <v>260</v>
      </c>
      <c r="DI834" s="4" t="s">
        <v>241</v>
      </c>
      <c r="DJ834" s="4" t="s">
        <v>241</v>
      </c>
      <c r="DK834" s="4" t="s">
        <v>241</v>
      </c>
      <c r="DL834" s="4" t="s">
        <v>241</v>
      </c>
      <c r="DP834" s="4" t="s">
        <v>241</v>
      </c>
      <c r="DQ834" s="4" t="s">
        <v>241</v>
      </c>
      <c r="DR834" s="4" t="s">
        <v>241</v>
      </c>
      <c r="DS834" s="4" t="s">
        <v>241</v>
      </c>
      <c r="DV834" s="4" t="s">
        <v>278</v>
      </c>
      <c r="DW834" s="4" t="s">
        <v>1685</v>
      </c>
      <c r="HO834" s="4" t="s">
        <v>267</v>
      </c>
    </row>
    <row r="835" spans="1:223" ht="19.5" customHeight="1" x14ac:dyDescent="0.4">
      <c r="A835" s="4">
        <v>1</v>
      </c>
      <c r="B835" s="4" t="s">
        <v>239</v>
      </c>
      <c r="C835" s="4">
        <v>2509</v>
      </c>
      <c r="D835" s="4">
        <v>1</v>
      </c>
      <c r="E835" s="4">
        <v>1</v>
      </c>
      <c r="F835" s="4" t="s">
        <v>268</v>
      </c>
      <c r="G835" s="4" t="s">
        <v>241</v>
      </c>
      <c r="H835" s="4" t="s">
        <v>241</v>
      </c>
      <c r="I835" s="4" t="s">
        <v>272</v>
      </c>
      <c r="J835" s="4" t="s">
        <v>274</v>
      </c>
      <c r="K835" s="4" t="s">
        <v>251</v>
      </c>
      <c r="L835" s="4" t="s">
        <v>269</v>
      </c>
      <c r="M835" s="5" t="s">
        <v>1682</v>
      </c>
      <c r="N835" s="6">
        <f>168</f>
        <v>168</v>
      </c>
      <c r="O835" s="4" t="s">
        <v>265</v>
      </c>
      <c r="P835" s="6">
        <f>1</f>
        <v>1</v>
      </c>
      <c r="Q835" s="6">
        <f>0</f>
        <v>0</v>
      </c>
      <c r="S835" s="6">
        <f>0</f>
        <v>0</v>
      </c>
      <c r="T835" s="6">
        <f>1</f>
        <v>1</v>
      </c>
      <c r="U835" s="5" t="s">
        <v>245</v>
      </c>
      <c r="V835" s="4" t="s">
        <v>270</v>
      </c>
      <c r="W835" s="4" t="s">
        <v>271</v>
      </c>
      <c r="X835" s="4" t="s">
        <v>273</v>
      </c>
      <c r="Y835" s="4" t="s">
        <v>241</v>
      </c>
      <c r="AB835" s="4" t="s">
        <v>241</v>
      </c>
      <c r="AD835" s="5" t="s">
        <v>241</v>
      </c>
      <c r="AG835" s="5" t="s">
        <v>246</v>
      </c>
      <c r="AH835" s="4" t="s">
        <v>241</v>
      </c>
      <c r="AI835" s="4" t="s">
        <v>247</v>
      </c>
      <c r="AJ835" s="4" t="s">
        <v>248</v>
      </c>
      <c r="AZ835" s="4" t="s">
        <v>249</v>
      </c>
      <c r="BA835" s="4" t="s">
        <v>241</v>
      </c>
      <c r="BB835" s="4" t="s">
        <v>250</v>
      </c>
      <c r="BC835" s="4" t="s">
        <v>241</v>
      </c>
      <c r="BD835" s="4" t="s">
        <v>252</v>
      </c>
      <c r="BE835" s="4" t="s">
        <v>241</v>
      </c>
      <c r="BI835" s="4" t="s">
        <v>253</v>
      </c>
      <c r="BJ835" s="5" t="s">
        <v>246</v>
      </c>
      <c r="BK835" s="4" t="s">
        <v>254</v>
      </c>
      <c r="BL835" s="4" t="s">
        <v>255</v>
      </c>
      <c r="BM835" s="4" t="s">
        <v>241</v>
      </c>
      <c r="BN835" s="6">
        <f>0</f>
        <v>0</v>
      </c>
      <c r="BO835" s="6">
        <f>0</f>
        <v>0</v>
      </c>
      <c r="BP835" s="4" t="s">
        <v>256</v>
      </c>
      <c r="BQ835" s="4" t="s">
        <v>257</v>
      </c>
      <c r="CE835" s="4" t="s">
        <v>241</v>
      </c>
      <c r="CF835" s="4" t="s">
        <v>241</v>
      </c>
      <c r="CJ835" s="4" t="s">
        <v>276</v>
      </c>
      <c r="CK835" s="4" t="s">
        <v>259</v>
      </c>
      <c r="CL835" s="4" t="s">
        <v>241</v>
      </c>
      <c r="CO835" s="5" t="s">
        <v>260</v>
      </c>
      <c r="CP835" s="4" t="s">
        <v>241</v>
      </c>
      <c r="CQ835" s="4" t="s">
        <v>261</v>
      </c>
      <c r="CR835" s="4" t="s">
        <v>241</v>
      </c>
      <c r="CS835" s="4" t="s">
        <v>241</v>
      </c>
      <c r="CT835" s="4">
        <v>0</v>
      </c>
      <c r="CU835" s="4" t="s">
        <v>262</v>
      </c>
      <c r="CV835" s="4" t="s">
        <v>263</v>
      </c>
      <c r="CW835" s="4" t="s">
        <v>263</v>
      </c>
      <c r="CX835" s="4" t="s">
        <v>264</v>
      </c>
      <c r="DA835" s="6">
        <f>1</f>
        <v>1</v>
      </c>
      <c r="DC835" s="4" t="s">
        <v>277</v>
      </c>
      <c r="DD835" s="4" t="s">
        <v>241</v>
      </c>
      <c r="DF835" s="4" t="s">
        <v>277</v>
      </c>
      <c r="DG835" s="6">
        <f>168</f>
        <v>168</v>
      </c>
      <c r="DI835" s="4" t="s">
        <v>241</v>
      </c>
      <c r="DJ835" s="4" t="s">
        <v>241</v>
      </c>
      <c r="DK835" s="4" t="s">
        <v>241</v>
      </c>
      <c r="DL835" s="4" t="s">
        <v>241</v>
      </c>
      <c r="DP835" s="4" t="s">
        <v>241</v>
      </c>
      <c r="DQ835" s="4" t="s">
        <v>241</v>
      </c>
      <c r="DR835" s="4" t="s">
        <v>241</v>
      </c>
      <c r="DS835" s="4" t="s">
        <v>241</v>
      </c>
      <c r="DV835" s="4" t="s">
        <v>278</v>
      </c>
      <c r="DW835" s="4" t="s">
        <v>1683</v>
      </c>
      <c r="HO835" s="4" t="s">
        <v>267</v>
      </c>
    </row>
    <row r="836" spans="1:223" ht="19.5" customHeight="1" x14ac:dyDescent="0.4">
      <c r="A836" s="4">
        <v>1</v>
      </c>
      <c r="B836" s="4" t="s">
        <v>239</v>
      </c>
      <c r="C836" s="4">
        <v>2510</v>
      </c>
      <c r="D836" s="4">
        <v>1</v>
      </c>
      <c r="E836" s="4">
        <v>1</v>
      </c>
      <c r="F836" s="4" t="s">
        <v>268</v>
      </c>
      <c r="G836" s="4" t="s">
        <v>241</v>
      </c>
      <c r="H836" s="4" t="s">
        <v>241</v>
      </c>
      <c r="I836" s="4" t="s">
        <v>272</v>
      </c>
      <c r="J836" s="4" t="s">
        <v>274</v>
      </c>
      <c r="K836" s="4" t="s">
        <v>251</v>
      </c>
      <c r="L836" s="4" t="s">
        <v>269</v>
      </c>
      <c r="M836" s="5" t="s">
        <v>1680</v>
      </c>
      <c r="N836" s="6">
        <f>1842</f>
        <v>1842</v>
      </c>
      <c r="O836" s="4" t="s">
        <v>265</v>
      </c>
      <c r="P836" s="6">
        <f>1</f>
        <v>1</v>
      </c>
      <c r="Q836" s="6">
        <f>0</f>
        <v>0</v>
      </c>
      <c r="S836" s="6">
        <f>0</f>
        <v>0</v>
      </c>
      <c r="T836" s="6">
        <f>1</f>
        <v>1</v>
      </c>
      <c r="U836" s="5" t="s">
        <v>245</v>
      </c>
      <c r="V836" s="4" t="s">
        <v>270</v>
      </c>
      <c r="W836" s="4" t="s">
        <v>271</v>
      </c>
      <c r="X836" s="4" t="s">
        <v>273</v>
      </c>
      <c r="Y836" s="4" t="s">
        <v>241</v>
      </c>
      <c r="AB836" s="4" t="s">
        <v>241</v>
      </c>
      <c r="AD836" s="5" t="s">
        <v>241</v>
      </c>
      <c r="AG836" s="5" t="s">
        <v>246</v>
      </c>
      <c r="AH836" s="4" t="s">
        <v>241</v>
      </c>
      <c r="AI836" s="4" t="s">
        <v>247</v>
      </c>
      <c r="AJ836" s="4" t="s">
        <v>248</v>
      </c>
      <c r="AZ836" s="4" t="s">
        <v>249</v>
      </c>
      <c r="BA836" s="4" t="s">
        <v>241</v>
      </c>
      <c r="BB836" s="4" t="s">
        <v>250</v>
      </c>
      <c r="BC836" s="4" t="s">
        <v>241</v>
      </c>
      <c r="BD836" s="4" t="s">
        <v>252</v>
      </c>
      <c r="BE836" s="4" t="s">
        <v>241</v>
      </c>
      <c r="BI836" s="4" t="s">
        <v>253</v>
      </c>
      <c r="BJ836" s="5" t="s">
        <v>246</v>
      </c>
      <c r="BK836" s="4" t="s">
        <v>254</v>
      </c>
      <c r="BL836" s="4" t="s">
        <v>255</v>
      </c>
      <c r="BM836" s="4" t="s">
        <v>241</v>
      </c>
      <c r="BN836" s="6">
        <f>0</f>
        <v>0</v>
      </c>
      <c r="BO836" s="6">
        <f>0</f>
        <v>0</v>
      </c>
      <c r="BP836" s="4" t="s">
        <v>256</v>
      </c>
      <c r="BQ836" s="4" t="s">
        <v>257</v>
      </c>
      <c r="CE836" s="4" t="s">
        <v>241</v>
      </c>
      <c r="CF836" s="4" t="s">
        <v>241</v>
      </c>
      <c r="CJ836" s="4" t="s">
        <v>276</v>
      </c>
      <c r="CK836" s="4" t="s">
        <v>259</v>
      </c>
      <c r="CL836" s="4" t="s">
        <v>241</v>
      </c>
      <c r="CO836" s="5" t="s">
        <v>260</v>
      </c>
      <c r="CP836" s="4" t="s">
        <v>241</v>
      </c>
      <c r="CQ836" s="4" t="s">
        <v>261</v>
      </c>
      <c r="CR836" s="4" t="s">
        <v>241</v>
      </c>
      <c r="CS836" s="4" t="s">
        <v>241</v>
      </c>
      <c r="CT836" s="4">
        <v>0</v>
      </c>
      <c r="CU836" s="4" t="s">
        <v>262</v>
      </c>
      <c r="CV836" s="4" t="s">
        <v>263</v>
      </c>
      <c r="CW836" s="4" t="s">
        <v>263</v>
      </c>
      <c r="CX836" s="4" t="s">
        <v>264</v>
      </c>
      <c r="DA836" s="6">
        <f>1</f>
        <v>1</v>
      </c>
      <c r="DC836" s="4" t="s">
        <v>277</v>
      </c>
      <c r="DD836" s="4" t="s">
        <v>241</v>
      </c>
      <c r="DF836" s="4" t="s">
        <v>277</v>
      </c>
      <c r="DG836" s="6">
        <f>1842</f>
        <v>1842</v>
      </c>
      <c r="DI836" s="4" t="s">
        <v>241</v>
      </c>
      <c r="DJ836" s="4" t="s">
        <v>241</v>
      </c>
      <c r="DK836" s="4" t="s">
        <v>241</v>
      </c>
      <c r="DL836" s="4" t="s">
        <v>241</v>
      </c>
      <c r="DP836" s="4" t="s">
        <v>241</v>
      </c>
      <c r="DQ836" s="4" t="s">
        <v>241</v>
      </c>
      <c r="DR836" s="4" t="s">
        <v>241</v>
      </c>
      <c r="DS836" s="4" t="s">
        <v>241</v>
      </c>
      <c r="DV836" s="4" t="s">
        <v>278</v>
      </c>
      <c r="DW836" s="4" t="s">
        <v>1681</v>
      </c>
      <c r="HO836" s="4" t="s">
        <v>267</v>
      </c>
    </row>
    <row r="837" spans="1:223" ht="19.5" customHeight="1" x14ac:dyDescent="0.4">
      <c r="A837" s="4">
        <v>1</v>
      </c>
      <c r="B837" s="4" t="s">
        <v>239</v>
      </c>
      <c r="C837" s="4">
        <v>2511</v>
      </c>
      <c r="D837" s="4">
        <v>1</v>
      </c>
      <c r="E837" s="4">
        <v>1</v>
      </c>
      <c r="F837" s="4" t="s">
        <v>268</v>
      </c>
      <c r="G837" s="4" t="s">
        <v>241</v>
      </c>
      <c r="H837" s="4" t="s">
        <v>241</v>
      </c>
      <c r="I837" s="4" t="s">
        <v>272</v>
      </c>
      <c r="J837" s="4" t="s">
        <v>274</v>
      </c>
      <c r="K837" s="4" t="s">
        <v>251</v>
      </c>
      <c r="L837" s="4" t="s">
        <v>269</v>
      </c>
      <c r="M837" s="5" t="s">
        <v>1678</v>
      </c>
      <c r="N837" s="6">
        <f>825</f>
        <v>825</v>
      </c>
      <c r="O837" s="4" t="s">
        <v>265</v>
      </c>
      <c r="P837" s="6">
        <f>1</f>
        <v>1</v>
      </c>
      <c r="Q837" s="6">
        <f>0</f>
        <v>0</v>
      </c>
      <c r="S837" s="6">
        <f>0</f>
        <v>0</v>
      </c>
      <c r="T837" s="6">
        <f>1</f>
        <v>1</v>
      </c>
      <c r="U837" s="5" t="s">
        <v>245</v>
      </c>
      <c r="V837" s="4" t="s">
        <v>270</v>
      </c>
      <c r="W837" s="4" t="s">
        <v>271</v>
      </c>
      <c r="X837" s="4" t="s">
        <v>273</v>
      </c>
      <c r="Y837" s="4" t="s">
        <v>241</v>
      </c>
      <c r="AB837" s="4" t="s">
        <v>241</v>
      </c>
      <c r="AD837" s="5" t="s">
        <v>241</v>
      </c>
      <c r="AG837" s="5" t="s">
        <v>246</v>
      </c>
      <c r="AH837" s="4" t="s">
        <v>241</v>
      </c>
      <c r="AI837" s="4" t="s">
        <v>247</v>
      </c>
      <c r="AJ837" s="4" t="s">
        <v>248</v>
      </c>
      <c r="AZ837" s="4" t="s">
        <v>249</v>
      </c>
      <c r="BA837" s="4" t="s">
        <v>241</v>
      </c>
      <c r="BB837" s="4" t="s">
        <v>250</v>
      </c>
      <c r="BC837" s="4" t="s">
        <v>241</v>
      </c>
      <c r="BD837" s="4" t="s">
        <v>252</v>
      </c>
      <c r="BE837" s="4" t="s">
        <v>241</v>
      </c>
      <c r="BI837" s="4" t="s">
        <v>253</v>
      </c>
      <c r="BJ837" s="5" t="s">
        <v>246</v>
      </c>
      <c r="BK837" s="4" t="s">
        <v>254</v>
      </c>
      <c r="BL837" s="4" t="s">
        <v>255</v>
      </c>
      <c r="BM837" s="4" t="s">
        <v>241</v>
      </c>
      <c r="BN837" s="6">
        <f>0</f>
        <v>0</v>
      </c>
      <c r="BO837" s="6">
        <f>0</f>
        <v>0</v>
      </c>
      <c r="BP837" s="4" t="s">
        <v>256</v>
      </c>
      <c r="BQ837" s="4" t="s">
        <v>257</v>
      </c>
      <c r="CE837" s="4" t="s">
        <v>241</v>
      </c>
      <c r="CF837" s="4" t="s">
        <v>241</v>
      </c>
      <c r="CJ837" s="4" t="s">
        <v>276</v>
      </c>
      <c r="CK837" s="4" t="s">
        <v>259</v>
      </c>
      <c r="CL837" s="4" t="s">
        <v>241</v>
      </c>
      <c r="CO837" s="5" t="s">
        <v>260</v>
      </c>
      <c r="CP837" s="4" t="s">
        <v>241</v>
      </c>
      <c r="CQ837" s="4" t="s">
        <v>261</v>
      </c>
      <c r="CR837" s="4" t="s">
        <v>241</v>
      </c>
      <c r="CS837" s="4" t="s">
        <v>241</v>
      </c>
      <c r="CT837" s="4">
        <v>0</v>
      </c>
      <c r="CU837" s="4" t="s">
        <v>262</v>
      </c>
      <c r="CV837" s="4" t="s">
        <v>263</v>
      </c>
      <c r="CW837" s="4" t="s">
        <v>263</v>
      </c>
      <c r="CX837" s="4" t="s">
        <v>264</v>
      </c>
      <c r="DA837" s="6">
        <f>1</f>
        <v>1</v>
      </c>
      <c r="DC837" s="4" t="s">
        <v>277</v>
      </c>
      <c r="DD837" s="4" t="s">
        <v>241</v>
      </c>
      <c r="DF837" s="4" t="s">
        <v>277</v>
      </c>
      <c r="DG837" s="6">
        <f>825</f>
        <v>825</v>
      </c>
      <c r="DI837" s="4" t="s">
        <v>241</v>
      </c>
      <c r="DJ837" s="4" t="s">
        <v>241</v>
      </c>
      <c r="DK837" s="4" t="s">
        <v>241</v>
      </c>
      <c r="DL837" s="4" t="s">
        <v>241</v>
      </c>
      <c r="DP837" s="4" t="s">
        <v>241</v>
      </c>
      <c r="DQ837" s="4" t="s">
        <v>241</v>
      </c>
      <c r="DR837" s="4" t="s">
        <v>241</v>
      </c>
      <c r="DS837" s="4" t="s">
        <v>241</v>
      </c>
      <c r="DV837" s="4" t="s">
        <v>278</v>
      </c>
      <c r="DW837" s="4" t="s">
        <v>1679</v>
      </c>
      <c r="HO837" s="4" t="s">
        <v>267</v>
      </c>
    </row>
    <row r="838" spans="1:223" ht="19.5" customHeight="1" x14ac:dyDescent="0.4">
      <c r="A838" s="4">
        <v>1</v>
      </c>
      <c r="B838" s="4" t="s">
        <v>239</v>
      </c>
      <c r="C838" s="4">
        <v>2512</v>
      </c>
      <c r="D838" s="4">
        <v>1</v>
      </c>
      <c r="E838" s="4">
        <v>1</v>
      </c>
      <c r="F838" s="4" t="s">
        <v>268</v>
      </c>
      <c r="G838" s="4" t="s">
        <v>241</v>
      </c>
      <c r="H838" s="4" t="s">
        <v>241</v>
      </c>
      <c r="I838" s="4" t="s">
        <v>272</v>
      </c>
      <c r="J838" s="4" t="s">
        <v>274</v>
      </c>
      <c r="K838" s="4" t="s">
        <v>251</v>
      </c>
      <c r="L838" s="4" t="s">
        <v>269</v>
      </c>
      <c r="M838" s="5" t="s">
        <v>1676</v>
      </c>
      <c r="N838" s="6">
        <f>1622</f>
        <v>1622</v>
      </c>
      <c r="O838" s="4" t="s">
        <v>265</v>
      </c>
      <c r="P838" s="6">
        <f>1</f>
        <v>1</v>
      </c>
      <c r="Q838" s="6">
        <f>0</f>
        <v>0</v>
      </c>
      <c r="S838" s="6">
        <f>0</f>
        <v>0</v>
      </c>
      <c r="T838" s="6">
        <f>1</f>
        <v>1</v>
      </c>
      <c r="U838" s="5" t="s">
        <v>245</v>
      </c>
      <c r="V838" s="4" t="s">
        <v>270</v>
      </c>
      <c r="W838" s="4" t="s">
        <v>271</v>
      </c>
      <c r="X838" s="4" t="s">
        <v>273</v>
      </c>
      <c r="Y838" s="4" t="s">
        <v>241</v>
      </c>
      <c r="AB838" s="4" t="s">
        <v>241</v>
      </c>
      <c r="AD838" s="5" t="s">
        <v>241</v>
      </c>
      <c r="AG838" s="5" t="s">
        <v>246</v>
      </c>
      <c r="AH838" s="4" t="s">
        <v>241</v>
      </c>
      <c r="AI838" s="4" t="s">
        <v>247</v>
      </c>
      <c r="AJ838" s="4" t="s">
        <v>248</v>
      </c>
      <c r="AZ838" s="4" t="s">
        <v>249</v>
      </c>
      <c r="BA838" s="4" t="s">
        <v>241</v>
      </c>
      <c r="BB838" s="4" t="s">
        <v>250</v>
      </c>
      <c r="BC838" s="4" t="s">
        <v>241</v>
      </c>
      <c r="BD838" s="4" t="s">
        <v>252</v>
      </c>
      <c r="BE838" s="4" t="s">
        <v>241</v>
      </c>
      <c r="BI838" s="4" t="s">
        <v>253</v>
      </c>
      <c r="BJ838" s="5" t="s">
        <v>246</v>
      </c>
      <c r="BK838" s="4" t="s">
        <v>254</v>
      </c>
      <c r="BL838" s="4" t="s">
        <v>255</v>
      </c>
      <c r="BM838" s="4" t="s">
        <v>241</v>
      </c>
      <c r="BN838" s="6">
        <f>0</f>
        <v>0</v>
      </c>
      <c r="BO838" s="6">
        <f>0</f>
        <v>0</v>
      </c>
      <c r="BP838" s="4" t="s">
        <v>256</v>
      </c>
      <c r="BQ838" s="4" t="s">
        <v>257</v>
      </c>
      <c r="CE838" s="4" t="s">
        <v>241</v>
      </c>
      <c r="CF838" s="4" t="s">
        <v>241</v>
      </c>
      <c r="CJ838" s="4" t="s">
        <v>276</v>
      </c>
      <c r="CK838" s="4" t="s">
        <v>259</v>
      </c>
      <c r="CL838" s="4" t="s">
        <v>241</v>
      </c>
      <c r="CO838" s="5" t="s">
        <v>260</v>
      </c>
      <c r="CP838" s="4" t="s">
        <v>241</v>
      </c>
      <c r="CQ838" s="4" t="s">
        <v>261</v>
      </c>
      <c r="CR838" s="4" t="s">
        <v>241</v>
      </c>
      <c r="CS838" s="4" t="s">
        <v>241</v>
      </c>
      <c r="CT838" s="4">
        <v>0</v>
      </c>
      <c r="CU838" s="4" t="s">
        <v>262</v>
      </c>
      <c r="CV838" s="4" t="s">
        <v>263</v>
      </c>
      <c r="CW838" s="4" t="s">
        <v>263</v>
      </c>
      <c r="CX838" s="4" t="s">
        <v>264</v>
      </c>
      <c r="DA838" s="6">
        <f>1</f>
        <v>1</v>
      </c>
      <c r="DC838" s="4" t="s">
        <v>277</v>
      </c>
      <c r="DD838" s="4" t="s">
        <v>241</v>
      </c>
      <c r="DF838" s="4" t="s">
        <v>277</v>
      </c>
      <c r="DG838" s="6">
        <f>1622</f>
        <v>1622</v>
      </c>
      <c r="DI838" s="4" t="s">
        <v>241</v>
      </c>
      <c r="DJ838" s="4" t="s">
        <v>241</v>
      </c>
      <c r="DK838" s="4" t="s">
        <v>241</v>
      </c>
      <c r="DL838" s="4" t="s">
        <v>241</v>
      </c>
      <c r="DP838" s="4" t="s">
        <v>241</v>
      </c>
      <c r="DQ838" s="4" t="s">
        <v>241</v>
      </c>
      <c r="DR838" s="4" t="s">
        <v>241</v>
      </c>
      <c r="DS838" s="4" t="s">
        <v>241</v>
      </c>
      <c r="DV838" s="4" t="s">
        <v>278</v>
      </c>
      <c r="DW838" s="4" t="s">
        <v>1677</v>
      </c>
      <c r="HO838" s="4" t="s">
        <v>267</v>
      </c>
    </row>
    <row r="839" spans="1:223" ht="19.5" customHeight="1" x14ac:dyDescent="0.4">
      <c r="A839" s="4">
        <v>1</v>
      </c>
      <c r="B839" s="4" t="s">
        <v>239</v>
      </c>
      <c r="C839" s="4">
        <v>2513</v>
      </c>
      <c r="D839" s="4">
        <v>1</v>
      </c>
      <c r="E839" s="4">
        <v>1</v>
      </c>
      <c r="F839" s="4" t="s">
        <v>268</v>
      </c>
      <c r="G839" s="4" t="s">
        <v>241</v>
      </c>
      <c r="H839" s="4" t="s">
        <v>241</v>
      </c>
      <c r="I839" s="4" t="s">
        <v>272</v>
      </c>
      <c r="J839" s="4" t="s">
        <v>274</v>
      </c>
      <c r="K839" s="4" t="s">
        <v>251</v>
      </c>
      <c r="L839" s="4" t="s">
        <v>269</v>
      </c>
      <c r="M839" s="5" t="s">
        <v>2021</v>
      </c>
      <c r="N839" s="6">
        <f>6431</f>
        <v>6431</v>
      </c>
      <c r="O839" s="4" t="s">
        <v>265</v>
      </c>
      <c r="P839" s="6">
        <f>1</f>
        <v>1</v>
      </c>
      <c r="Q839" s="6">
        <f>0</f>
        <v>0</v>
      </c>
      <c r="S839" s="6">
        <f>0</f>
        <v>0</v>
      </c>
      <c r="T839" s="6">
        <f>1</f>
        <v>1</v>
      </c>
      <c r="U839" s="5" t="s">
        <v>245</v>
      </c>
      <c r="V839" s="4" t="s">
        <v>270</v>
      </c>
      <c r="W839" s="4" t="s">
        <v>271</v>
      </c>
      <c r="X839" s="4" t="s">
        <v>273</v>
      </c>
      <c r="Y839" s="4" t="s">
        <v>241</v>
      </c>
      <c r="AB839" s="4" t="s">
        <v>241</v>
      </c>
      <c r="AD839" s="5" t="s">
        <v>241</v>
      </c>
      <c r="AG839" s="5" t="s">
        <v>246</v>
      </c>
      <c r="AH839" s="4" t="s">
        <v>241</v>
      </c>
      <c r="AI839" s="4" t="s">
        <v>247</v>
      </c>
      <c r="AJ839" s="4" t="s">
        <v>248</v>
      </c>
      <c r="AZ839" s="4" t="s">
        <v>249</v>
      </c>
      <c r="BA839" s="4" t="s">
        <v>241</v>
      </c>
      <c r="BB839" s="4" t="s">
        <v>250</v>
      </c>
      <c r="BC839" s="4" t="s">
        <v>241</v>
      </c>
      <c r="BD839" s="4" t="s">
        <v>252</v>
      </c>
      <c r="BE839" s="4" t="s">
        <v>241</v>
      </c>
      <c r="BI839" s="4" t="s">
        <v>253</v>
      </c>
      <c r="BJ839" s="5" t="s">
        <v>246</v>
      </c>
      <c r="BK839" s="4" t="s">
        <v>254</v>
      </c>
      <c r="BL839" s="4" t="s">
        <v>255</v>
      </c>
      <c r="BM839" s="4" t="s">
        <v>241</v>
      </c>
      <c r="BN839" s="6">
        <f>0</f>
        <v>0</v>
      </c>
      <c r="BO839" s="6">
        <f>0</f>
        <v>0</v>
      </c>
      <c r="BP839" s="4" t="s">
        <v>256</v>
      </c>
      <c r="BQ839" s="4" t="s">
        <v>257</v>
      </c>
      <c r="CE839" s="4" t="s">
        <v>241</v>
      </c>
      <c r="CF839" s="4" t="s">
        <v>241</v>
      </c>
      <c r="CJ839" s="4" t="s">
        <v>276</v>
      </c>
      <c r="CK839" s="4" t="s">
        <v>259</v>
      </c>
      <c r="CL839" s="4" t="s">
        <v>241</v>
      </c>
      <c r="CO839" s="5" t="s">
        <v>260</v>
      </c>
      <c r="CP839" s="4" t="s">
        <v>241</v>
      </c>
      <c r="CQ839" s="4" t="s">
        <v>261</v>
      </c>
      <c r="CR839" s="4" t="s">
        <v>241</v>
      </c>
      <c r="CS839" s="4" t="s">
        <v>241</v>
      </c>
      <c r="CT839" s="4">
        <v>0</v>
      </c>
      <c r="CU839" s="4" t="s">
        <v>262</v>
      </c>
      <c r="CV839" s="4" t="s">
        <v>263</v>
      </c>
      <c r="CW839" s="4" t="s">
        <v>263</v>
      </c>
      <c r="CX839" s="4" t="s">
        <v>264</v>
      </c>
      <c r="DA839" s="6">
        <f>1</f>
        <v>1</v>
      </c>
      <c r="DC839" s="4" t="s">
        <v>277</v>
      </c>
      <c r="DD839" s="4" t="s">
        <v>241</v>
      </c>
      <c r="DF839" s="4" t="s">
        <v>277</v>
      </c>
      <c r="DG839" s="6">
        <f>6431</f>
        <v>6431</v>
      </c>
      <c r="DI839" s="4" t="s">
        <v>241</v>
      </c>
      <c r="DJ839" s="4" t="s">
        <v>241</v>
      </c>
      <c r="DK839" s="4" t="s">
        <v>241</v>
      </c>
      <c r="DL839" s="4" t="s">
        <v>241</v>
      </c>
      <c r="DP839" s="4" t="s">
        <v>241</v>
      </c>
      <c r="DQ839" s="4" t="s">
        <v>241</v>
      </c>
      <c r="DR839" s="4" t="s">
        <v>241</v>
      </c>
      <c r="DS839" s="4" t="s">
        <v>241</v>
      </c>
      <c r="DV839" s="4" t="s">
        <v>278</v>
      </c>
      <c r="DW839" s="4" t="s">
        <v>2022</v>
      </c>
      <c r="HO839" s="4" t="s">
        <v>267</v>
      </c>
    </row>
    <row r="840" spans="1:223" ht="19.5" customHeight="1" x14ac:dyDescent="0.4">
      <c r="A840" s="4">
        <v>1</v>
      </c>
      <c r="B840" s="4" t="s">
        <v>239</v>
      </c>
      <c r="C840" s="4">
        <v>2514</v>
      </c>
      <c r="D840" s="4">
        <v>1</v>
      </c>
      <c r="E840" s="4">
        <v>1</v>
      </c>
      <c r="F840" s="4" t="s">
        <v>268</v>
      </c>
      <c r="G840" s="4" t="s">
        <v>241</v>
      </c>
      <c r="H840" s="4" t="s">
        <v>241</v>
      </c>
      <c r="I840" s="4" t="s">
        <v>272</v>
      </c>
      <c r="J840" s="4" t="s">
        <v>274</v>
      </c>
      <c r="K840" s="4" t="s">
        <v>251</v>
      </c>
      <c r="L840" s="4" t="s">
        <v>269</v>
      </c>
      <c r="M840" s="5" t="s">
        <v>1672</v>
      </c>
      <c r="N840" s="6">
        <f>2169</f>
        <v>2169</v>
      </c>
      <c r="O840" s="4" t="s">
        <v>265</v>
      </c>
      <c r="P840" s="6">
        <f>1</f>
        <v>1</v>
      </c>
      <c r="Q840" s="6">
        <f>0</f>
        <v>0</v>
      </c>
      <c r="S840" s="6">
        <f>0</f>
        <v>0</v>
      </c>
      <c r="T840" s="6">
        <f>1</f>
        <v>1</v>
      </c>
      <c r="U840" s="5" t="s">
        <v>245</v>
      </c>
      <c r="V840" s="4" t="s">
        <v>270</v>
      </c>
      <c r="W840" s="4" t="s">
        <v>271</v>
      </c>
      <c r="X840" s="4" t="s">
        <v>273</v>
      </c>
      <c r="Y840" s="4" t="s">
        <v>241</v>
      </c>
      <c r="AB840" s="4" t="s">
        <v>241</v>
      </c>
      <c r="AD840" s="5" t="s">
        <v>241</v>
      </c>
      <c r="AG840" s="5" t="s">
        <v>246</v>
      </c>
      <c r="AH840" s="4" t="s">
        <v>241</v>
      </c>
      <c r="AI840" s="4" t="s">
        <v>247</v>
      </c>
      <c r="AJ840" s="4" t="s">
        <v>248</v>
      </c>
      <c r="AZ840" s="4" t="s">
        <v>249</v>
      </c>
      <c r="BA840" s="4" t="s">
        <v>241</v>
      </c>
      <c r="BB840" s="4" t="s">
        <v>250</v>
      </c>
      <c r="BC840" s="4" t="s">
        <v>241</v>
      </c>
      <c r="BD840" s="4" t="s">
        <v>252</v>
      </c>
      <c r="BE840" s="4" t="s">
        <v>241</v>
      </c>
      <c r="BI840" s="4" t="s">
        <v>253</v>
      </c>
      <c r="BJ840" s="5" t="s">
        <v>246</v>
      </c>
      <c r="BK840" s="4" t="s">
        <v>254</v>
      </c>
      <c r="BL840" s="4" t="s">
        <v>255</v>
      </c>
      <c r="BM840" s="4" t="s">
        <v>241</v>
      </c>
      <c r="BN840" s="6">
        <f>0</f>
        <v>0</v>
      </c>
      <c r="BO840" s="6">
        <f>0</f>
        <v>0</v>
      </c>
      <c r="BP840" s="4" t="s">
        <v>256</v>
      </c>
      <c r="BQ840" s="4" t="s">
        <v>257</v>
      </c>
      <c r="CE840" s="4" t="s">
        <v>241</v>
      </c>
      <c r="CF840" s="4" t="s">
        <v>241</v>
      </c>
      <c r="CJ840" s="4" t="s">
        <v>276</v>
      </c>
      <c r="CK840" s="4" t="s">
        <v>259</v>
      </c>
      <c r="CL840" s="4" t="s">
        <v>241</v>
      </c>
      <c r="CO840" s="5" t="s">
        <v>260</v>
      </c>
      <c r="CP840" s="4" t="s">
        <v>241</v>
      </c>
      <c r="CQ840" s="4" t="s">
        <v>261</v>
      </c>
      <c r="CR840" s="4" t="s">
        <v>241</v>
      </c>
      <c r="CS840" s="4" t="s">
        <v>241</v>
      </c>
      <c r="CT840" s="4">
        <v>0</v>
      </c>
      <c r="CU840" s="4" t="s">
        <v>262</v>
      </c>
      <c r="CV840" s="4" t="s">
        <v>263</v>
      </c>
      <c r="CW840" s="4" t="s">
        <v>263</v>
      </c>
      <c r="CX840" s="4" t="s">
        <v>264</v>
      </c>
      <c r="DA840" s="6">
        <f>1</f>
        <v>1</v>
      </c>
      <c r="DC840" s="4" t="s">
        <v>277</v>
      </c>
      <c r="DD840" s="4" t="s">
        <v>241</v>
      </c>
      <c r="DF840" s="4" t="s">
        <v>277</v>
      </c>
      <c r="DG840" s="6">
        <f>2169</f>
        <v>2169</v>
      </c>
      <c r="DI840" s="4" t="s">
        <v>241</v>
      </c>
      <c r="DJ840" s="4" t="s">
        <v>241</v>
      </c>
      <c r="DK840" s="4" t="s">
        <v>241</v>
      </c>
      <c r="DL840" s="4" t="s">
        <v>241</v>
      </c>
      <c r="DP840" s="4" t="s">
        <v>241</v>
      </c>
      <c r="DQ840" s="4" t="s">
        <v>241</v>
      </c>
      <c r="DR840" s="4" t="s">
        <v>241</v>
      </c>
      <c r="DS840" s="4" t="s">
        <v>241</v>
      </c>
      <c r="DV840" s="4" t="s">
        <v>278</v>
      </c>
      <c r="DW840" s="4" t="s">
        <v>1673</v>
      </c>
      <c r="HO840" s="4" t="s">
        <v>267</v>
      </c>
    </row>
    <row r="841" spans="1:223" ht="19.5" customHeight="1" x14ac:dyDescent="0.4">
      <c r="A841" s="4">
        <v>1</v>
      </c>
      <c r="B841" s="4" t="s">
        <v>239</v>
      </c>
      <c r="C841" s="4">
        <v>2515</v>
      </c>
      <c r="D841" s="4">
        <v>1</v>
      </c>
      <c r="E841" s="4">
        <v>1</v>
      </c>
      <c r="F841" s="4" t="s">
        <v>268</v>
      </c>
      <c r="G841" s="4" t="s">
        <v>241</v>
      </c>
      <c r="H841" s="4" t="s">
        <v>241</v>
      </c>
      <c r="I841" s="4" t="s">
        <v>272</v>
      </c>
      <c r="J841" s="4" t="s">
        <v>274</v>
      </c>
      <c r="K841" s="4" t="s">
        <v>251</v>
      </c>
      <c r="L841" s="4" t="s">
        <v>269</v>
      </c>
      <c r="M841" s="5" t="s">
        <v>1671</v>
      </c>
      <c r="N841" s="6">
        <f>2646</f>
        <v>2646</v>
      </c>
      <c r="O841" s="4" t="s">
        <v>265</v>
      </c>
      <c r="P841" s="6">
        <f>1</f>
        <v>1</v>
      </c>
      <c r="Q841" s="6">
        <f>0</f>
        <v>0</v>
      </c>
      <c r="S841" s="6">
        <f>0</f>
        <v>0</v>
      </c>
      <c r="T841" s="6">
        <f>1</f>
        <v>1</v>
      </c>
      <c r="U841" s="5" t="s">
        <v>245</v>
      </c>
      <c r="V841" s="4" t="s">
        <v>270</v>
      </c>
      <c r="W841" s="4" t="s">
        <v>271</v>
      </c>
      <c r="X841" s="4" t="s">
        <v>273</v>
      </c>
      <c r="Y841" s="4" t="s">
        <v>241</v>
      </c>
      <c r="AB841" s="4" t="s">
        <v>241</v>
      </c>
      <c r="AD841" s="5" t="s">
        <v>241</v>
      </c>
      <c r="AG841" s="5" t="s">
        <v>246</v>
      </c>
      <c r="AH841" s="4" t="s">
        <v>241</v>
      </c>
      <c r="AI841" s="4" t="s">
        <v>247</v>
      </c>
      <c r="AJ841" s="4" t="s">
        <v>248</v>
      </c>
      <c r="AZ841" s="4" t="s">
        <v>249</v>
      </c>
      <c r="BA841" s="4" t="s">
        <v>241</v>
      </c>
      <c r="BB841" s="4" t="s">
        <v>250</v>
      </c>
      <c r="BC841" s="4" t="s">
        <v>241</v>
      </c>
      <c r="BD841" s="4" t="s">
        <v>252</v>
      </c>
      <c r="BE841" s="4" t="s">
        <v>241</v>
      </c>
      <c r="BI841" s="4" t="s">
        <v>253</v>
      </c>
      <c r="BJ841" s="5" t="s">
        <v>246</v>
      </c>
      <c r="BK841" s="4" t="s">
        <v>254</v>
      </c>
      <c r="BL841" s="4" t="s">
        <v>255</v>
      </c>
      <c r="BM841" s="4" t="s">
        <v>241</v>
      </c>
      <c r="BN841" s="6">
        <f>0</f>
        <v>0</v>
      </c>
      <c r="BO841" s="6">
        <f>0</f>
        <v>0</v>
      </c>
      <c r="BP841" s="4" t="s">
        <v>256</v>
      </c>
      <c r="BQ841" s="4" t="s">
        <v>257</v>
      </c>
      <c r="CE841" s="4" t="s">
        <v>241</v>
      </c>
      <c r="CF841" s="4" t="s">
        <v>241</v>
      </c>
      <c r="CJ841" s="4" t="s">
        <v>276</v>
      </c>
      <c r="CK841" s="4" t="s">
        <v>259</v>
      </c>
      <c r="CL841" s="4" t="s">
        <v>241</v>
      </c>
      <c r="CO841" s="5" t="s">
        <v>260</v>
      </c>
      <c r="CP841" s="4" t="s">
        <v>241</v>
      </c>
      <c r="CQ841" s="4" t="s">
        <v>261</v>
      </c>
      <c r="CR841" s="4" t="s">
        <v>241</v>
      </c>
      <c r="CS841" s="4" t="s">
        <v>241</v>
      </c>
      <c r="CT841" s="4">
        <v>0</v>
      </c>
      <c r="CU841" s="4" t="s">
        <v>262</v>
      </c>
      <c r="CV841" s="4" t="s">
        <v>263</v>
      </c>
      <c r="CW841" s="4" t="s">
        <v>263</v>
      </c>
      <c r="CX841" s="4" t="s">
        <v>264</v>
      </c>
      <c r="DA841" s="6">
        <f>1</f>
        <v>1</v>
      </c>
      <c r="DC841" s="4" t="s">
        <v>277</v>
      </c>
      <c r="DD841" s="4" t="s">
        <v>241</v>
      </c>
      <c r="DF841" s="4" t="s">
        <v>277</v>
      </c>
      <c r="DG841" s="6">
        <f>2646</f>
        <v>2646</v>
      </c>
      <c r="DI841" s="4" t="s">
        <v>241</v>
      </c>
      <c r="DJ841" s="4" t="s">
        <v>241</v>
      </c>
      <c r="DK841" s="4" t="s">
        <v>241</v>
      </c>
      <c r="DL841" s="4" t="s">
        <v>241</v>
      </c>
      <c r="DP841" s="4" t="s">
        <v>241</v>
      </c>
      <c r="DQ841" s="4" t="s">
        <v>241</v>
      </c>
      <c r="DR841" s="4" t="s">
        <v>241</v>
      </c>
      <c r="DS841" s="4" t="s">
        <v>241</v>
      </c>
      <c r="DV841" s="4" t="s">
        <v>278</v>
      </c>
      <c r="DW841" s="4" t="s">
        <v>444</v>
      </c>
      <c r="HO841" s="4" t="s">
        <v>267</v>
      </c>
    </row>
    <row r="842" spans="1:223" ht="19.5" customHeight="1" x14ac:dyDescent="0.4">
      <c r="A842" s="4">
        <v>1</v>
      </c>
      <c r="B842" s="4" t="s">
        <v>239</v>
      </c>
      <c r="C842" s="4">
        <v>2516</v>
      </c>
      <c r="D842" s="4">
        <v>1</v>
      </c>
      <c r="E842" s="4">
        <v>1</v>
      </c>
      <c r="F842" s="4" t="s">
        <v>268</v>
      </c>
      <c r="G842" s="4" t="s">
        <v>241</v>
      </c>
      <c r="H842" s="4" t="s">
        <v>241</v>
      </c>
      <c r="I842" s="4" t="s">
        <v>272</v>
      </c>
      <c r="J842" s="4" t="s">
        <v>274</v>
      </c>
      <c r="K842" s="4" t="s">
        <v>251</v>
      </c>
      <c r="L842" s="4" t="s">
        <v>269</v>
      </c>
      <c r="M842" s="5" t="s">
        <v>1670</v>
      </c>
      <c r="N842" s="6">
        <f>1644</f>
        <v>1644</v>
      </c>
      <c r="O842" s="4" t="s">
        <v>265</v>
      </c>
      <c r="P842" s="6">
        <f>1</f>
        <v>1</v>
      </c>
      <c r="Q842" s="6">
        <f>0</f>
        <v>0</v>
      </c>
      <c r="S842" s="6">
        <f>0</f>
        <v>0</v>
      </c>
      <c r="T842" s="6">
        <f>1</f>
        <v>1</v>
      </c>
      <c r="U842" s="5" t="s">
        <v>245</v>
      </c>
      <c r="V842" s="4" t="s">
        <v>270</v>
      </c>
      <c r="W842" s="4" t="s">
        <v>271</v>
      </c>
      <c r="X842" s="4" t="s">
        <v>273</v>
      </c>
      <c r="Y842" s="4" t="s">
        <v>241</v>
      </c>
      <c r="AB842" s="4" t="s">
        <v>241</v>
      </c>
      <c r="AD842" s="5" t="s">
        <v>241</v>
      </c>
      <c r="AG842" s="5" t="s">
        <v>246</v>
      </c>
      <c r="AH842" s="4" t="s">
        <v>241</v>
      </c>
      <c r="AI842" s="4" t="s">
        <v>247</v>
      </c>
      <c r="AJ842" s="4" t="s">
        <v>248</v>
      </c>
      <c r="AZ842" s="4" t="s">
        <v>249</v>
      </c>
      <c r="BA842" s="4" t="s">
        <v>241</v>
      </c>
      <c r="BB842" s="4" t="s">
        <v>250</v>
      </c>
      <c r="BC842" s="4" t="s">
        <v>241</v>
      </c>
      <c r="BD842" s="4" t="s">
        <v>252</v>
      </c>
      <c r="BE842" s="4" t="s">
        <v>241</v>
      </c>
      <c r="BI842" s="4" t="s">
        <v>253</v>
      </c>
      <c r="BJ842" s="5" t="s">
        <v>246</v>
      </c>
      <c r="BK842" s="4" t="s">
        <v>254</v>
      </c>
      <c r="BL842" s="4" t="s">
        <v>255</v>
      </c>
      <c r="BM842" s="4" t="s">
        <v>241</v>
      </c>
      <c r="BN842" s="6">
        <f>0</f>
        <v>0</v>
      </c>
      <c r="BO842" s="6">
        <f>0</f>
        <v>0</v>
      </c>
      <c r="BP842" s="4" t="s">
        <v>256</v>
      </c>
      <c r="BQ842" s="4" t="s">
        <v>257</v>
      </c>
      <c r="CE842" s="4" t="s">
        <v>241</v>
      </c>
      <c r="CF842" s="4" t="s">
        <v>241</v>
      </c>
      <c r="CJ842" s="4" t="s">
        <v>276</v>
      </c>
      <c r="CK842" s="4" t="s">
        <v>259</v>
      </c>
      <c r="CL842" s="4" t="s">
        <v>241</v>
      </c>
      <c r="CO842" s="5" t="s">
        <v>260</v>
      </c>
      <c r="CP842" s="4" t="s">
        <v>241</v>
      </c>
      <c r="CQ842" s="4" t="s">
        <v>261</v>
      </c>
      <c r="CR842" s="4" t="s">
        <v>241</v>
      </c>
      <c r="CS842" s="4" t="s">
        <v>241</v>
      </c>
      <c r="CT842" s="4">
        <v>0</v>
      </c>
      <c r="CU842" s="4" t="s">
        <v>262</v>
      </c>
      <c r="CV842" s="4" t="s">
        <v>263</v>
      </c>
      <c r="CW842" s="4" t="s">
        <v>263</v>
      </c>
      <c r="CX842" s="4" t="s">
        <v>264</v>
      </c>
      <c r="DA842" s="6">
        <f>1</f>
        <v>1</v>
      </c>
      <c r="DC842" s="4" t="s">
        <v>277</v>
      </c>
      <c r="DD842" s="4" t="s">
        <v>241</v>
      </c>
      <c r="DF842" s="4" t="s">
        <v>277</v>
      </c>
      <c r="DG842" s="6">
        <f>1644</f>
        <v>1644</v>
      </c>
      <c r="DI842" s="4" t="s">
        <v>241</v>
      </c>
      <c r="DJ842" s="4" t="s">
        <v>241</v>
      </c>
      <c r="DK842" s="4" t="s">
        <v>241</v>
      </c>
      <c r="DL842" s="4" t="s">
        <v>241</v>
      </c>
      <c r="DP842" s="4" t="s">
        <v>241</v>
      </c>
      <c r="DQ842" s="4" t="s">
        <v>241</v>
      </c>
      <c r="DR842" s="4" t="s">
        <v>241</v>
      </c>
      <c r="DS842" s="4" t="s">
        <v>241</v>
      </c>
      <c r="DV842" s="4" t="s">
        <v>278</v>
      </c>
      <c r="DW842" s="4" t="s">
        <v>248</v>
      </c>
      <c r="HO842" s="4" t="s">
        <v>267</v>
      </c>
    </row>
    <row r="843" spans="1:223" ht="19.5" customHeight="1" x14ac:dyDescent="0.4">
      <c r="A843" s="4">
        <v>1</v>
      </c>
      <c r="B843" s="4" t="s">
        <v>239</v>
      </c>
      <c r="C843" s="4">
        <v>2517</v>
      </c>
      <c r="D843" s="4">
        <v>1</v>
      </c>
      <c r="E843" s="4">
        <v>1</v>
      </c>
      <c r="F843" s="4" t="s">
        <v>268</v>
      </c>
      <c r="G843" s="4" t="s">
        <v>241</v>
      </c>
      <c r="H843" s="4" t="s">
        <v>241</v>
      </c>
      <c r="I843" s="4" t="s">
        <v>272</v>
      </c>
      <c r="J843" s="4" t="s">
        <v>274</v>
      </c>
      <c r="K843" s="4" t="s">
        <v>251</v>
      </c>
      <c r="L843" s="4" t="s">
        <v>269</v>
      </c>
      <c r="M843" s="5" t="s">
        <v>1668</v>
      </c>
      <c r="N843" s="6">
        <f>2026</f>
        <v>2026</v>
      </c>
      <c r="O843" s="4" t="s">
        <v>265</v>
      </c>
      <c r="P843" s="6">
        <f>1</f>
        <v>1</v>
      </c>
      <c r="Q843" s="6">
        <f>0</f>
        <v>0</v>
      </c>
      <c r="S843" s="6">
        <f>0</f>
        <v>0</v>
      </c>
      <c r="T843" s="6">
        <f>1</f>
        <v>1</v>
      </c>
      <c r="U843" s="5" t="s">
        <v>245</v>
      </c>
      <c r="V843" s="4" t="s">
        <v>270</v>
      </c>
      <c r="W843" s="4" t="s">
        <v>271</v>
      </c>
      <c r="X843" s="4" t="s">
        <v>273</v>
      </c>
      <c r="Y843" s="4" t="s">
        <v>241</v>
      </c>
      <c r="AB843" s="4" t="s">
        <v>241</v>
      </c>
      <c r="AD843" s="5" t="s">
        <v>241</v>
      </c>
      <c r="AG843" s="5" t="s">
        <v>246</v>
      </c>
      <c r="AH843" s="4" t="s">
        <v>241</v>
      </c>
      <c r="AI843" s="4" t="s">
        <v>247</v>
      </c>
      <c r="AJ843" s="4" t="s">
        <v>248</v>
      </c>
      <c r="AZ843" s="4" t="s">
        <v>249</v>
      </c>
      <c r="BA843" s="4" t="s">
        <v>241</v>
      </c>
      <c r="BB843" s="4" t="s">
        <v>250</v>
      </c>
      <c r="BC843" s="4" t="s">
        <v>241</v>
      </c>
      <c r="BD843" s="4" t="s">
        <v>252</v>
      </c>
      <c r="BE843" s="4" t="s">
        <v>241</v>
      </c>
      <c r="BI843" s="4" t="s">
        <v>253</v>
      </c>
      <c r="BJ843" s="5" t="s">
        <v>246</v>
      </c>
      <c r="BK843" s="4" t="s">
        <v>254</v>
      </c>
      <c r="BL843" s="4" t="s">
        <v>255</v>
      </c>
      <c r="BM843" s="4" t="s">
        <v>241</v>
      </c>
      <c r="BN843" s="6">
        <f>0</f>
        <v>0</v>
      </c>
      <c r="BO843" s="6">
        <f>0</f>
        <v>0</v>
      </c>
      <c r="BP843" s="4" t="s">
        <v>256</v>
      </c>
      <c r="BQ843" s="4" t="s">
        <v>257</v>
      </c>
      <c r="CE843" s="4" t="s">
        <v>241</v>
      </c>
      <c r="CF843" s="4" t="s">
        <v>241</v>
      </c>
      <c r="CJ843" s="4" t="s">
        <v>276</v>
      </c>
      <c r="CK843" s="4" t="s">
        <v>259</v>
      </c>
      <c r="CL843" s="4" t="s">
        <v>241</v>
      </c>
      <c r="CO843" s="5" t="s">
        <v>260</v>
      </c>
      <c r="CP843" s="4" t="s">
        <v>241</v>
      </c>
      <c r="CQ843" s="4" t="s">
        <v>261</v>
      </c>
      <c r="CR843" s="4" t="s">
        <v>241</v>
      </c>
      <c r="CS843" s="4" t="s">
        <v>241</v>
      </c>
      <c r="CT843" s="4">
        <v>0</v>
      </c>
      <c r="CU843" s="4" t="s">
        <v>262</v>
      </c>
      <c r="CV843" s="4" t="s">
        <v>263</v>
      </c>
      <c r="CW843" s="4" t="s">
        <v>263</v>
      </c>
      <c r="CX843" s="4" t="s">
        <v>264</v>
      </c>
      <c r="DA843" s="6">
        <f>1</f>
        <v>1</v>
      </c>
      <c r="DC843" s="4" t="s">
        <v>277</v>
      </c>
      <c r="DD843" s="4" t="s">
        <v>241</v>
      </c>
      <c r="DF843" s="4" t="s">
        <v>277</v>
      </c>
      <c r="DG843" s="6">
        <f>2026</f>
        <v>2026</v>
      </c>
      <c r="DI843" s="4" t="s">
        <v>241</v>
      </c>
      <c r="DJ843" s="4" t="s">
        <v>241</v>
      </c>
      <c r="DK843" s="4" t="s">
        <v>241</v>
      </c>
      <c r="DL843" s="4" t="s">
        <v>241</v>
      </c>
      <c r="DP843" s="4" t="s">
        <v>241</v>
      </c>
      <c r="DQ843" s="4" t="s">
        <v>241</v>
      </c>
      <c r="DR843" s="4" t="s">
        <v>241</v>
      </c>
      <c r="DS843" s="4" t="s">
        <v>241</v>
      </c>
      <c r="DV843" s="4" t="s">
        <v>278</v>
      </c>
      <c r="DW843" s="4" t="s">
        <v>1669</v>
      </c>
      <c r="HO843" s="4" t="s">
        <v>267</v>
      </c>
    </row>
    <row r="844" spans="1:223" ht="19.5" customHeight="1" x14ac:dyDescent="0.4">
      <c r="A844" s="4">
        <v>1</v>
      </c>
      <c r="B844" s="4" t="s">
        <v>239</v>
      </c>
      <c r="C844" s="4">
        <v>2518</v>
      </c>
      <c r="D844" s="4">
        <v>1</v>
      </c>
      <c r="E844" s="4">
        <v>1</v>
      </c>
      <c r="F844" s="4" t="s">
        <v>268</v>
      </c>
      <c r="G844" s="4" t="s">
        <v>241</v>
      </c>
      <c r="H844" s="4" t="s">
        <v>241</v>
      </c>
      <c r="I844" s="4" t="s">
        <v>272</v>
      </c>
      <c r="J844" s="4" t="s">
        <v>274</v>
      </c>
      <c r="K844" s="4" t="s">
        <v>251</v>
      </c>
      <c r="L844" s="4" t="s">
        <v>269</v>
      </c>
      <c r="M844" s="5" t="s">
        <v>1666</v>
      </c>
      <c r="N844" s="6">
        <f>3117</f>
        <v>3117</v>
      </c>
      <c r="O844" s="4" t="s">
        <v>265</v>
      </c>
      <c r="P844" s="6">
        <f>1</f>
        <v>1</v>
      </c>
      <c r="Q844" s="6">
        <f>0</f>
        <v>0</v>
      </c>
      <c r="S844" s="6">
        <f>0</f>
        <v>0</v>
      </c>
      <c r="T844" s="6">
        <f>1</f>
        <v>1</v>
      </c>
      <c r="U844" s="5" t="s">
        <v>245</v>
      </c>
      <c r="V844" s="4" t="s">
        <v>270</v>
      </c>
      <c r="W844" s="4" t="s">
        <v>271</v>
      </c>
      <c r="X844" s="4" t="s">
        <v>273</v>
      </c>
      <c r="Y844" s="4" t="s">
        <v>241</v>
      </c>
      <c r="AB844" s="4" t="s">
        <v>241</v>
      </c>
      <c r="AD844" s="5" t="s">
        <v>241</v>
      </c>
      <c r="AG844" s="5" t="s">
        <v>246</v>
      </c>
      <c r="AH844" s="4" t="s">
        <v>241</v>
      </c>
      <c r="AI844" s="4" t="s">
        <v>247</v>
      </c>
      <c r="AJ844" s="4" t="s">
        <v>248</v>
      </c>
      <c r="AZ844" s="4" t="s">
        <v>249</v>
      </c>
      <c r="BA844" s="4" t="s">
        <v>241</v>
      </c>
      <c r="BB844" s="4" t="s">
        <v>250</v>
      </c>
      <c r="BC844" s="4" t="s">
        <v>241</v>
      </c>
      <c r="BD844" s="4" t="s">
        <v>252</v>
      </c>
      <c r="BE844" s="4" t="s">
        <v>241</v>
      </c>
      <c r="BI844" s="4" t="s">
        <v>253</v>
      </c>
      <c r="BJ844" s="5" t="s">
        <v>246</v>
      </c>
      <c r="BK844" s="4" t="s">
        <v>254</v>
      </c>
      <c r="BL844" s="4" t="s">
        <v>255</v>
      </c>
      <c r="BM844" s="4" t="s">
        <v>241</v>
      </c>
      <c r="BN844" s="6">
        <f>0</f>
        <v>0</v>
      </c>
      <c r="BO844" s="6">
        <f>0</f>
        <v>0</v>
      </c>
      <c r="BP844" s="4" t="s">
        <v>256</v>
      </c>
      <c r="BQ844" s="4" t="s">
        <v>257</v>
      </c>
      <c r="CE844" s="4" t="s">
        <v>241</v>
      </c>
      <c r="CF844" s="4" t="s">
        <v>241</v>
      </c>
      <c r="CJ844" s="4" t="s">
        <v>276</v>
      </c>
      <c r="CK844" s="4" t="s">
        <v>259</v>
      </c>
      <c r="CL844" s="4" t="s">
        <v>241</v>
      </c>
      <c r="CO844" s="5" t="s">
        <v>260</v>
      </c>
      <c r="CP844" s="4" t="s">
        <v>241</v>
      </c>
      <c r="CQ844" s="4" t="s">
        <v>261</v>
      </c>
      <c r="CR844" s="4" t="s">
        <v>241</v>
      </c>
      <c r="CS844" s="4" t="s">
        <v>241</v>
      </c>
      <c r="CT844" s="4">
        <v>0</v>
      </c>
      <c r="CU844" s="4" t="s">
        <v>262</v>
      </c>
      <c r="CV844" s="4" t="s">
        <v>263</v>
      </c>
      <c r="CW844" s="4" t="s">
        <v>263</v>
      </c>
      <c r="CX844" s="4" t="s">
        <v>264</v>
      </c>
      <c r="DA844" s="6">
        <f>1</f>
        <v>1</v>
      </c>
      <c r="DC844" s="4" t="s">
        <v>277</v>
      </c>
      <c r="DD844" s="4" t="s">
        <v>241</v>
      </c>
      <c r="DF844" s="4" t="s">
        <v>277</v>
      </c>
      <c r="DG844" s="6">
        <f>3117</f>
        <v>3117</v>
      </c>
      <c r="DI844" s="4" t="s">
        <v>241</v>
      </c>
      <c r="DJ844" s="4" t="s">
        <v>241</v>
      </c>
      <c r="DK844" s="4" t="s">
        <v>241</v>
      </c>
      <c r="DL844" s="4" t="s">
        <v>241</v>
      </c>
      <c r="DP844" s="4" t="s">
        <v>241</v>
      </c>
      <c r="DQ844" s="4" t="s">
        <v>241</v>
      </c>
      <c r="DR844" s="4" t="s">
        <v>241</v>
      </c>
      <c r="DS844" s="4" t="s">
        <v>241</v>
      </c>
      <c r="DV844" s="4" t="s">
        <v>278</v>
      </c>
      <c r="DW844" s="4" t="s">
        <v>1667</v>
      </c>
      <c r="HO844" s="4" t="s">
        <v>267</v>
      </c>
    </row>
    <row r="845" spans="1:223" ht="19.5" customHeight="1" x14ac:dyDescent="0.4">
      <c r="A845" s="4">
        <v>1</v>
      </c>
      <c r="B845" s="4" t="s">
        <v>239</v>
      </c>
      <c r="C845" s="4">
        <v>2519</v>
      </c>
      <c r="D845" s="4">
        <v>1</v>
      </c>
      <c r="E845" s="4">
        <v>1</v>
      </c>
      <c r="F845" s="4" t="s">
        <v>268</v>
      </c>
      <c r="G845" s="4" t="s">
        <v>241</v>
      </c>
      <c r="H845" s="4" t="s">
        <v>241</v>
      </c>
      <c r="I845" s="4" t="s">
        <v>272</v>
      </c>
      <c r="J845" s="4" t="s">
        <v>274</v>
      </c>
      <c r="K845" s="4" t="s">
        <v>251</v>
      </c>
      <c r="L845" s="4" t="s">
        <v>269</v>
      </c>
      <c r="M845" s="5" t="s">
        <v>1664</v>
      </c>
      <c r="N845" s="6">
        <f>4832</f>
        <v>4832</v>
      </c>
      <c r="O845" s="4" t="s">
        <v>265</v>
      </c>
      <c r="P845" s="6">
        <f>1</f>
        <v>1</v>
      </c>
      <c r="Q845" s="6">
        <f>0</f>
        <v>0</v>
      </c>
      <c r="S845" s="6">
        <f>0</f>
        <v>0</v>
      </c>
      <c r="T845" s="6">
        <f>1</f>
        <v>1</v>
      </c>
      <c r="U845" s="5" t="s">
        <v>245</v>
      </c>
      <c r="V845" s="4" t="s">
        <v>270</v>
      </c>
      <c r="W845" s="4" t="s">
        <v>271</v>
      </c>
      <c r="X845" s="4" t="s">
        <v>273</v>
      </c>
      <c r="Y845" s="4" t="s">
        <v>241</v>
      </c>
      <c r="AB845" s="4" t="s">
        <v>241</v>
      </c>
      <c r="AD845" s="5" t="s">
        <v>241</v>
      </c>
      <c r="AG845" s="5" t="s">
        <v>246</v>
      </c>
      <c r="AH845" s="4" t="s">
        <v>241</v>
      </c>
      <c r="AI845" s="4" t="s">
        <v>247</v>
      </c>
      <c r="AJ845" s="4" t="s">
        <v>248</v>
      </c>
      <c r="AZ845" s="4" t="s">
        <v>249</v>
      </c>
      <c r="BA845" s="4" t="s">
        <v>241</v>
      </c>
      <c r="BB845" s="4" t="s">
        <v>250</v>
      </c>
      <c r="BC845" s="4" t="s">
        <v>241</v>
      </c>
      <c r="BD845" s="4" t="s">
        <v>252</v>
      </c>
      <c r="BE845" s="4" t="s">
        <v>241</v>
      </c>
      <c r="BI845" s="4" t="s">
        <v>253</v>
      </c>
      <c r="BJ845" s="5" t="s">
        <v>246</v>
      </c>
      <c r="BK845" s="4" t="s">
        <v>254</v>
      </c>
      <c r="BL845" s="4" t="s">
        <v>255</v>
      </c>
      <c r="BM845" s="4" t="s">
        <v>241</v>
      </c>
      <c r="BN845" s="6">
        <f>0</f>
        <v>0</v>
      </c>
      <c r="BO845" s="6">
        <f>0</f>
        <v>0</v>
      </c>
      <c r="BP845" s="4" t="s">
        <v>256</v>
      </c>
      <c r="BQ845" s="4" t="s">
        <v>257</v>
      </c>
      <c r="CE845" s="4" t="s">
        <v>241</v>
      </c>
      <c r="CF845" s="4" t="s">
        <v>241</v>
      </c>
      <c r="CJ845" s="4" t="s">
        <v>276</v>
      </c>
      <c r="CK845" s="4" t="s">
        <v>259</v>
      </c>
      <c r="CL845" s="4" t="s">
        <v>241</v>
      </c>
      <c r="CO845" s="5" t="s">
        <v>260</v>
      </c>
      <c r="CP845" s="4" t="s">
        <v>241</v>
      </c>
      <c r="CQ845" s="4" t="s">
        <v>261</v>
      </c>
      <c r="CR845" s="4" t="s">
        <v>241</v>
      </c>
      <c r="CS845" s="4" t="s">
        <v>241</v>
      </c>
      <c r="CT845" s="4">
        <v>0</v>
      </c>
      <c r="CU845" s="4" t="s">
        <v>262</v>
      </c>
      <c r="CV845" s="4" t="s">
        <v>263</v>
      </c>
      <c r="CW845" s="4" t="s">
        <v>263</v>
      </c>
      <c r="CX845" s="4" t="s">
        <v>264</v>
      </c>
      <c r="DA845" s="6">
        <f>1</f>
        <v>1</v>
      </c>
      <c r="DC845" s="4" t="s">
        <v>277</v>
      </c>
      <c r="DD845" s="4" t="s">
        <v>241</v>
      </c>
      <c r="DF845" s="4" t="s">
        <v>277</v>
      </c>
      <c r="DG845" s="6">
        <f>4832</f>
        <v>4832</v>
      </c>
      <c r="DI845" s="4" t="s">
        <v>241</v>
      </c>
      <c r="DJ845" s="4" t="s">
        <v>241</v>
      </c>
      <c r="DK845" s="4" t="s">
        <v>241</v>
      </c>
      <c r="DL845" s="4" t="s">
        <v>241</v>
      </c>
      <c r="DP845" s="4" t="s">
        <v>241</v>
      </c>
      <c r="DQ845" s="4" t="s">
        <v>241</v>
      </c>
      <c r="DR845" s="4" t="s">
        <v>241</v>
      </c>
      <c r="DS845" s="4" t="s">
        <v>241</v>
      </c>
      <c r="DV845" s="4" t="s">
        <v>278</v>
      </c>
      <c r="DW845" s="4" t="s">
        <v>1665</v>
      </c>
      <c r="HO845" s="4" t="s">
        <v>267</v>
      </c>
    </row>
    <row r="846" spans="1:223" ht="19.5" customHeight="1" x14ac:dyDescent="0.4">
      <c r="A846" s="4">
        <v>1</v>
      </c>
      <c r="B846" s="4" t="s">
        <v>239</v>
      </c>
      <c r="C846" s="4">
        <v>2520</v>
      </c>
      <c r="D846" s="4">
        <v>1</v>
      </c>
      <c r="E846" s="4">
        <v>1</v>
      </c>
      <c r="F846" s="4" t="s">
        <v>268</v>
      </c>
      <c r="G846" s="4" t="s">
        <v>241</v>
      </c>
      <c r="H846" s="4" t="s">
        <v>241</v>
      </c>
      <c r="I846" s="4" t="s">
        <v>272</v>
      </c>
      <c r="J846" s="4" t="s">
        <v>274</v>
      </c>
      <c r="K846" s="4" t="s">
        <v>251</v>
      </c>
      <c r="L846" s="4" t="s">
        <v>269</v>
      </c>
      <c r="M846" s="5" t="s">
        <v>1662</v>
      </c>
      <c r="N846" s="6">
        <f>1578</f>
        <v>1578</v>
      </c>
      <c r="O846" s="4" t="s">
        <v>265</v>
      </c>
      <c r="P846" s="6">
        <f>1</f>
        <v>1</v>
      </c>
      <c r="Q846" s="6">
        <f>0</f>
        <v>0</v>
      </c>
      <c r="S846" s="6">
        <f>0</f>
        <v>0</v>
      </c>
      <c r="T846" s="6">
        <f>1</f>
        <v>1</v>
      </c>
      <c r="U846" s="5" t="s">
        <v>245</v>
      </c>
      <c r="V846" s="4" t="s">
        <v>270</v>
      </c>
      <c r="W846" s="4" t="s">
        <v>271</v>
      </c>
      <c r="X846" s="4" t="s">
        <v>273</v>
      </c>
      <c r="Y846" s="4" t="s">
        <v>241</v>
      </c>
      <c r="AB846" s="4" t="s">
        <v>241</v>
      </c>
      <c r="AD846" s="5" t="s">
        <v>241</v>
      </c>
      <c r="AG846" s="5" t="s">
        <v>246</v>
      </c>
      <c r="AH846" s="4" t="s">
        <v>241</v>
      </c>
      <c r="AI846" s="4" t="s">
        <v>247</v>
      </c>
      <c r="AJ846" s="4" t="s">
        <v>248</v>
      </c>
      <c r="AZ846" s="4" t="s">
        <v>249</v>
      </c>
      <c r="BA846" s="4" t="s">
        <v>241</v>
      </c>
      <c r="BB846" s="4" t="s">
        <v>250</v>
      </c>
      <c r="BC846" s="4" t="s">
        <v>241</v>
      </c>
      <c r="BD846" s="4" t="s">
        <v>252</v>
      </c>
      <c r="BE846" s="4" t="s">
        <v>241</v>
      </c>
      <c r="BI846" s="4" t="s">
        <v>253</v>
      </c>
      <c r="BJ846" s="5" t="s">
        <v>246</v>
      </c>
      <c r="BK846" s="4" t="s">
        <v>254</v>
      </c>
      <c r="BL846" s="4" t="s">
        <v>255</v>
      </c>
      <c r="BM846" s="4" t="s">
        <v>241</v>
      </c>
      <c r="BN846" s="6">
        <f>0</f>
        <v>0</v>
      </c>
      <c r="BO846" s="6">
        <f>0</f>
        <v>0</v>
      </c>
      <c r="BP846" s="4" t="s">
        <v>256</v>
      </c>
      <c r="BQ846" s="4" t="s">
        <v>257</v>
      </c>
      <c r="CE846" s="4" t="s">
        <v>241</v>
      </c>
      <c r="CF846" s="4" t="s">
        <v>241</v>
      </c>
      <c r="CJ846" s="4" t="s">
        <v>276</v>
      </c>
      <c r="CK846" s="4" t="s">
        <v>259</v>
      </c>
      <c r="CL846" s="4" t="s">
        <v>241</v>
      </c>
      <c r="CO846" s="5" t="s">
        <v>260</v>
      </c>
      <c r="CP846" s="4" t="s">
        <v>241</v>
      </c>
      <c r="CQ846" s="4" t="s">
        <v>261</v>
      </c>
      <c r="CR846" s="4" t="s">
        <v>241</v>
      </c>
      <c r="CS846" s="4" t="s">
        <v>241</v>
      </c>
      <c r="CT846" s="4">
        <v>0</v>
      </c>
      <c r="CU846" s="4" t="s">
        <v>262</v>
      </c>
      <c r="CV846" s="4" t="s">
        <v>263</v>
      </c>
      <c r="CW846" s="4" t="s">
        <v>263</v>
      </c>
      <c r="CX846" s="4" t="s">
        <v>264</v>
      </c>
      <c r="DA846" s="6">
        <f>1</f>
        <v>1</v>
      </c>
      <c r="DC846" s="4" t="s">
        <v>277</v>
      </c>
      <c r="DD846" s="4" t="s">
        <v>241</v>
      </c>
      <c r="DF846" s="4" t="s">
        <v>277</v>
      </c>
      <c r="DG846" s="6">
        <f>1578</f>
        <v>1578</v>
      </c>
      <c r="DI846" s="4" t="s">
        <v>241</v>
      </c>
      <c r="DJ846" s="4" t="s">
        <v>241</v>
      </c>
      <c r="DK846" s="4" t="s">
        <v>241</v>
      </c>
      <c r="DL846" s="4" t="s">
        <v>241</v>
      </c>
      <c r="DP846" s="4" t="s">
        <v>241</v>
      </c>
      <c r="DQ846" s="4" t="s">
        <v>241</v>
      </c>
      <c r="DR846" s="4" t="s">
        <v>241</v>
      </c>
      <c r="DS846" s="4" t="s">
        <v>241</v>
      </c>
      <c r="DV846" s="4" t="s">
        <v>278</v>
      </c>
      <c r="DW846" s="4" t="s">
        <v>1663</v>
      </c>
      <c r="HO846" s="4" t="s">
        <v>267</v>
      </c>
    </row>
    <row r="847" spans="1:223" ht="19.5" customHeight="1" x14ac:dyDescent="0.4">
      <c r="A847" s="4">
        <v>1</v>
      </c>
      <c r="B847" s="4" t="s">
        <v>239</v>
      </c>
      <c r="C847" s="4">
        <v>2521</v>
      </c>
      <c r="D847" s="4">
        <v>1</v>
      </c>
      <c r="E847" s="4">
        <v>1</v>
      </c>
      <c r="F847" s="4" t="s">
        <v>268</v>
      </c>
      <c r="G847" s="4" t="s">
        <v>241</v>
      </c>
      <c r="H847" s="4" t="s">
        <v>241</v>
      </c>
      <c r="I847" s="4" t="s">
        <v>272</v>
      </c>
      <c r="J847" s="4" t="s">
        <v>274</v>
      </c>
      <c r="K847" s="4" t="s">
        <v>251</v>
      </c>
      <c r="L847" s="4" t="s">
        <v>269</v>
      </c>
      <c r="M847" s="5" t="s">
        <v>1660</v>
      </c>
      <c r="N847" s="6">
        <f>4068</f>
        <v>4068</v>
      </c>
      <c r="O847" s="4" t="s">
        <v>265</v>
      </c>
      <c r="P847" s="6">
        <f>1</f>
        <v>1</v>
      </c>
      <c r="Q847" s="6">
        <f>0</f>
        <v>0</v>
      </c>
      <c r="S847" s="6">
        <f>0</f>
        <v>0</v>
      </c>
      <c r="T847" s="6">
        <f>1</f>
        <v>1</v>
      </c>
      <c r="U847" s="5" t="s">
        <v>245</v>
      </c>
      <c r="V847" s="4" t="s">
        <v>270</v>
      </c>
      <c r="W847" s="4" t="s">
        <v>271</v>
      </c>
      <c r="X847" s="4" t="s">
        <v>273</v>
      </c>
      <c r="Y847" s="4" t="s">
        <v>241</v>
      </c>
      <c r="AB847" s="4" t="s">
        <v>241</v>
      </c>
      <c r="AD847" s="5" t="s">
        <v>241</v>
      </c>
      <c r="AG847" s="5" t="s">
        <v>246</v>
      </c>
      <c r="AH847" s="4" t="s">
        <v>241</v>
      </c>
      <c r="AI847" s="4" t="s">
        <v>247</v>
      </c>
      <c r="AJ847" s="4" t="s">
        <v>248</v>
      </c>
      <c r="AZ847" s="4" t="s">
        <v>249</v>
      </c>
      <c r="BA847" s="4" t="s">
        <v>241</v>
      </c>
      <c r="BB847" s="4" t="s">
        <v>250</v>
      </c>
      <c r="BC847" s="4" t="s">
        <v>241</v>
      </c>
      <c r="BD847" s="4" t="s">
        <v>252</v>
      </c>
      <c r="BE847" s="4" t="s">
        <v>241</v>
      </c>
      <c r="BI847" s="4" t="s">
        <v>253</v>
      </c>
      <c r="BJ847" s="5" t="s">
        <v>246</v>
      </c>
      <c r="BK847" s="4" t="s">
        <v>254</v>
      </c>
      <c r="BL847" s="4" t="s">
        <v>255</v>
      </c>
      <c r="BM847" s="4" t="s">
        <v>241</v>
      </c>
      <c r="BN847" s="6">
        <f>0</f>
        <v>0</v>
      </c>
      <c r="BO847" s="6">
        <f>0</f>
        <v>0</v>
      </c>
      <c r="BP847" s="4" t="s">
        <v>256</v>
      </c>
      <c r="BQ847" s="4" t="s">
        <v>257</v>
      </c>
      <c r="CE847" s="4" t="s">
        <v>241</v>
      </c>
      <c r="CF847" s="4" t="s">
        <v>241</v>
      </c>
      <c r="CJ847" s="4" t="s">
        <v>276</v>
      </c>
      <c r="CK847" s="4" t="s">
        <v>259</v>
      </c>
      <c r="CL847" s="4" t="s">
        <v>241</v>
      </c>
      <c r="CO847" s="5" t="s">
        <v>260</v>
      </c>
      <c r="CP847" s="4" t="s">
        <v>241</v>
      </c>
      <c r="CQ847" s="4" t="s">
        <v>261</v>
      </c>
      <c r="CR847" s="4" t="s">
        <v>241</v>
      </c>
      <c r="CS847" s="4" t="s">
        <v>241</v>
      </c>
      <c r="CT847" s="4">
        <v>0</v>
      </c>
      <c r="CU847" s="4" t="s">
        <v>262</v>
      </c>
      <c r="CV847" s="4" t="s">
        <v>263</v>
      </c>
      <c r="CW847" s="4" t="s">
        <v>263</v>
      </c>
      <c r="CX847" s="4" t="s">
        <v>264</v>
      </c>
      <c r="DA847" s="6">
        <f>1</f>
        <v>1</v>
      </c>
      <c r="DC847" s="4" t="s">
        <v>277</v>
      </c>
      <c r="DD847" s="4" t="s">
        <v>241</v>
      </c>
      <c r="DF847" s="4" t="s">
        <v>277</v>
      </c>
      <c r="DG847" s="6">
        <f>4068</f>
        <v>4068</v>
      </c>
      <c r="DI847" s="4" t="s">
        <v>241</v>
      </c>
      <c r="DJ847" s="4" t="s">
        <v>241</v>
      </c>
      <c r="DK847" s="4" t="s">
        <v>241</v>
      </c>
      <c r="DL847" s="4" t="s">
        <v>241</v>
      </c>
      <c r="DP847" s="4" t="s">
        <v>241</v>
      </c>
      <c r="DQ847" s="4" t="s">
        <v>241</v>
      </c>
      <c r="DR847" s="4" t="s">
        <v>241</v>
      </c>
      <c r="DS847" s="4" t="s">
        <v>241</v>
      </c>
      <c r="DV847" s="4" t="s">
        <v>278</v>
      </c>
      <c r="DW847" s="4" t="s">
        <v>1661</v>
      </c>
      <c r="HO847" s="4" t="s">
        <v>267</v>
      </c>
    </row>
    <row r="848" spans="1:223" ht="19.5" customHeight="1" x14ac:dyDescent="0.4">
      <c r="A848" s="4">
        <v>1</v>
      </c>
      <c r="B848" s="4" t="s">
        <v>239</v>
      </c>
      <c r="C848" s="4">
        <v>2522</v>
      </c>
      <c r="D848" s="4">
        <v>1</v>
      </c>
      <c r="E848" s="4">
        <v>1</v>
      </c>
      <c r="F848" s="4" t="s">
        <v>268</v>
      </c>
      <c r="G848" s="4" t="s">
        <v>241</v>
      </c>
      <c r="H848" s="4" t="s">
        <v>241</v>
      </c>
      <c r="I848" s="4" t="s">
        <v>272</v>
      </c>
      <c r="J848" s="4" t="s">
        <v>274</v>
      </c>
      <c r="K848" s="4" t="s">
        <v>251</v>
      </c>
      <c r="L848" s="4" t="s">
        <v>269</v>
      </c>
      <c r="M848" s="5" t="s">
        <v>1658</v>
      </c>
      <c r="N848" s="6">
        <f>5033</f>
        <v>5033</v>
      </c>
      <c r="O848" s="4" t="s">
        <v>265</v>
      </c>
      <c r="P848" s="6">
        <f>1</f>
        <v>1</v>
      </c>
      <c r="Q848" s="6">
        <f>0</f>
        <v>0</v>
      </c>
      <c r="S848" s="6">
        <f>0</f>
        <v>0</v>
      </c>
      <c r="T848" s="6">
        <f>1</f>
        <v>1</v>
      </c>
      <c r="U848" s="5" t="s">
        <v>245</v>
      </c>
      <c r="V848" s="4" t="s">
        <v>270</v>
      </c>
      <c r="W848" s="4" t="s">
        <v>271</v>
      </c>
      <c r="X848" s="4" t="s">
        <v>273</v>
      </c>
      <c r="Y848" s="4" t="s">
        <v>241</v>
      </c>
      <c r="AB848" s="4" t="s">
        <v>241</v>
      </c>
      <c r="AD848" s="5" t="s">
        <v>241</v>
      </c>
      <c r="AG848" s="5" t="s">
        <v>246</v>
      </c>
      <c r="AH848" s="4" t="s">
        <v>241</v>
      </c>
      <c r="AI848" s="4" t="s">
        <v>247</v>
      </c>
      <c r="AJ848" s="4" t="s">
        <v>248</v>
      </c>
      <c r="AZ848" s="4" t="s">
        <v>249</v>
      </c>
      <c r="BA848" s="4" t="s">
        <v>241</v>
      </c>
      <c r="BB848" s="4" t="s">
        <v>250</v>
      </c>
      <c r="BC848" s="4" t="s">
        <v>241</v>
      </c>
      <c r="BD848" s="4" t="s">
        <v>252</v>
      </c>
      <c r="BE848" s="4" t="s">
        <v>241</v>
      </c>
      <c r="BI848" s="4" t="s">
        <v>253</v>
      </c>
      <c r="BJ848" s="5" t="s">
        <v>246</v>
      </c>
      <c r="BK848" s="4" t="s">
        <v>254</v>
      </c>
      <c r="BL848" s="4" t="s">
        <v>255</v>
      </c>
      <c r="BM848" s="4" t="s">
        <v>241</v>
      </c>
      <c r="BN848" s="6">
        <f>0</f>
        <v>0</v>
      </c>
      <c r="BO848" s="6">
        <f>0</f>
        <v>0</v>
      </c>
      <c r="BP848" s="4" t="s">
        <v>256</v>
      </c>
      <c r="BQ848" s="4" t="s">
        <v>257</v>
      </c>
      <c r="CE848" s="4" t="s">
        <v>241</v>
      </c>
      <c r="CF848" s="4" t="s">
        <v>241</v>
      </c>
      <c r="CJ848" s="4" t="s">
        <v>276</v>
      </c>
      <c r="CK848" s="4" t="s">
        <v>259</v>
      </c>
      <c r="CL848" s="4" t="s">
        <v>241</v>
      </c>
      <c r="CO848" s="5" t="s">
        <v>260</v>
      </c>
      <c r="CP848" s="4" t="s">
        <v>241</v>
      </c>
      <c r="CQ848" s="4" t="s">
        <v>261</v>
      </c>
      <c r="CR848" s="4" t="s">
        <v>241</v>
      </c>
      <c r="CS848" s="4" t="s">
        <v>241</v>
      </c>
      <c r="CT848" s="4">
        <v>0</v>
      </c>
      <c r="CU848" s="4" t="s">
        <v>262</v>
      </c>
      <c r="CV848" s="4" t="s">
        <v>263</v>
      </c>
      <c r="CW848" s="4" t="s">
        <v>263</v>
      </c>
      <c r="CX848" s="4" t="s">
        <v>264</v>
      </c>
      <c r="DA848" s="6">
        <f>1</f>
        <v>1</v>
      </c>
      <c r="DC848" s="4" t="s">
        <v>277</v>
      </c>
      <c r="DD848" s="4" t="s">
        <v>241</v>
      </c>
      <c r="DF848" s="4" t="s">
        <v>277</v>
      </c>
      <c r="DG848" s="6">
        <f>5033</f>
        <v>5033</v>
      </c>
      <c r="DI848" s="4" t="s">
        <v>241</v>
      </c>
      <c r="DJ848" s="4" t="s">
        <v>241</v>
      </c>
      <c r="DK848" s="4" t="s">
        <v>241</v>
      </c>
      <c r="DL848" s="4" t="s">
        <v>241</v>
      </c>
      <c r="DP848" s="4" t="s">
        <v>241</v>
      </c>
      <c r="DQ848" s="4" t="s">
        <v>241</v>
      </c>
      <c r="DR848" s="4" t="s">
        <v>241</v>
      </c>
      <c r="DS848" s="4" t="s">
        <v>241</v>
      </c>
      <c r="DV848" s="4" t="s">
        <v>278</v>
      </c>
      <c r="DW848" s="4" t="s">
        <v>1659</v>
      </c>
      <c r="HO848" s="4" t="s">
        <v>267</v>
      </c>
    </row>
    <row r="849" spans="1:223" ht="19.5" customHeight="1" x14ac:dyDescent="0.4">
      <c r="A849" s="4">
        <v>1</v>
      </c>
      <c r="B849" s="4" t="s">
        <v>239</v>
      </c>
      <c r="C849" s="4">
        <v>2523</v>
      </c>
      <c r="D849" s="4">
        <v>1</v>
      </c>
      <c r="E849" s="4">
        <v>1</v>
      </c>
      <c r="F849" s="4" t="s">
        <v>268</v>
      </c>
      <c r="G849" s="4" t="s">
        <v>241</v>
      </c>
      <c r="H849" s="4" t="s">
        <v>241</v>
      </c>
      <c r="I849" s="4" t="s">
        <v>272</v>
      </c>
      <c r="J849" s="4" t="s">
        <v>274</v>
      </c>
      <c r="K849" s="4" t="s">
        <v>251</v>
      </c>
      <c r="L849" s="4" t="s">
        <v>269</v>
      </c>
      <c r="M849" s="5" t="s">
        <v>1656</v>
      </c>
      <c r="N849" s="6">
        <f>1012</f>
        <v>1012</v>
      </c>
      <c r="O849" s="4" t="s">
        <v>265</v>
      </c>
      <c r="P849" s="6">
        <f>1</f>
        <v>1</v>
      </c>
      <c r="Q849" s="6">
        <f>0</f>
        <v>0</v>
      </c>
      <c r="S849" s="6">
        <f>0</f>
        <v>0</v>
      </c>
      <c r="T849" s="6">
        <f>1</f>
        <v>1</v>
      </c>
      <c r="U849" s="5" t="s">
        <v>245</v>
      </c>
      <c r="V849" s="4" t="s">
        <v>270</v>
      </c>
      <c r="W849" s="4" t="s">
        <v>271</v>
      </c>
      <c r="X849" s="4" t="s">
        <v>273</v>
      </c>
      <c r="Y849" s="4" t="s">
        <v>241</v>
      </c>
      <c r="AB849" s="4" t="s">
        <v>241</v>
      </c>
      <c r="AD849" s="5" t="s">
        <v>241</v>
      </c>
      <c r="AG849" s="5" t="s">
        <v>246</v>
      </c>
      <c r="AH849" s="4" t="s">
        <v>241</v>
      </c>
      <c r="AI849" s="4" t="s">
        <v>247</v>
      </c>
      <c r="AJ849" s="4" t="s">
        <v>248</v>
      </c>
      <c r="AZ849" s="4" t="s">
        <v>249</v>
      </c>
      <c r="BA849" s="4" t="s">
        <v>241</v>
      </c>
      <c r="BB849" s="4" t="s">
        <v>250</v>
      </c>
      <c r="BC849" s="4" t="s">
        <v>241</v>
      </c>
      <c r="BD849" s="4" t="s">
        <v>252</v>
      </c>
      <c r="BE849" s="4" t="s">
        <v>241</v>
      </c>
      <c r="BI849" s="4" t="s">
        <v>253</v>
      </c>
      <c r="BJ849" s="5" t="s">
        <v>246</v>
      </c>
      <c r="BK849" s="4" t="s">
        <v>254</v>
      </c>
      <c r="BL849" s="4" t="s">
        <v>255</v>
      </c>
      <c r="BM849" s="4" t="s">
        <v>241</v>
      </c>
      <c r="BN849" s="6">
        <f>0</f>
        <v>0</v>
      </c>
      <c r="BO849" s="6">
        <f>0</f>
        <v>0</v>
      </c>
      <c r="BP849" s="4" t="s">
        <v>256</v>
      </c>
      <c r="BQ849" s="4" t="s">
        <v>257</v>
      </c>
      <c r="CE849" s="4" t="s">
        <v>241</v>
      </c>
      <c r="CF849" s="4" t="s">
        <v>241</v>
      </c>
      <c r="CJ849" s="4" t="s">
        <v>276</v>
      </c>
      <c r="CK849" s="4" t="s">
        <v>259</v>
      </c>
      <c r="CL849" s="4" t="s">
        <v>241</v>
      </c>
      <c r="CO849" s="5" t="s">
        <v>260</v>
      </c>
      <c r="CP849" s="4" t="s">
        <v>241</v>
      </c>
      <c r="CQ849" s="4" t="s">
        <v>261</v>
      </c>
      <c r="CR849" s="4" t="s">
        <v>241</v>
      </c>
      <c r="CS849" s="4" t="s">
        <v>241</v>
      </c>
      <c r="CT849" s="4">
        <v>0</v>
      </c>
      <c r="CU849" s="4" t="s">
        <v>262</v>
      </c>
      <c r="CV849" s="4" t="s">
        <v>263</v>
      </c>
      <c r="CW849" s="4" t="s">
        <v>263</v>
      </c>
      <c r="CX849" s="4" t="s">
        <v>264</v>
      </c>
      <c r="DA849" s="6">
        <f>1</f>
        <v>1</v>
      </c>
      <c r="DC849" s="4" t="s">
        <v>277</v>
      </c>
      <c r="DD849" s="4" t="s">
        <v>241</v>
      </c>
      <c r="DF849" s="4" t="s">
        <v>277</v>
      </c>
      <c r="DG849" s="6">
        <f>1012</f>
        <v>1012</v>
      </c>
      <c r="DI849" s="4" t="s">
        <v>241</v>
      </c>
      <c r="DJ849" s="4" t="s">
        <v>241</v>
      </c>
      <c r="DK849" s="4" t="s">
        <v>241</v>
      </c>
      <c r="DL849" s="4" t="s">
        <v>241</v>
      </c>
      <c r="DP849" s="4" t="s">
        <v>241</v>
      </c>
      <c r="DQ849" s="4" t="s">
        <v>241</v>
      </c>
      <c r="DR849" s="4" t="s">
        <v>241</v>
      </c>
      <c r="DS849" s="4" t="s">
        <v>241</v>
      </c>
      <c r="DV849" s="4" t="s">
        <v>278</v>
      </c>
      <c r="DW849" s="4" t="s">
        <v>1657</v>
      </c>
      <c r="HO849" s="4" t="s">
        <v>267</v>
      </c>
    </row>
    <row r="850" spans="1:223" ht="19.5" customHeight="1" x14ac:dyDescent="0.4">
      <c r="A850" s="4">
        <v>1</v>
      </c>
      <c r="B850" s="4" t="s">
        <v>239</v>
      </c>
      <c r="C850" s="4">
        <v>2524</v>
      </c>
      <c r="D850" s="4">
        <v>1</v>
      </c>
      <c r="E850" s="4">
        <v>1</v>
      </c>
      <c r="F850" s="4" t="s">
        <v>268</v>
      </c>
      <c r="G850" s="4" t="s">
        <v>241</v>
      </c>
      <c r="H850" s="4" t="s">
        <v>241</v>
      </c>
      <c r="I850" s="4" t="s">
        <v>272</v>
      </c>
      <c r="J850" s="4" t="s">
        <v>274</v>
      </c>
      <c r="K850" s="4" t="s">
        <v>251</v>
      </c>
      <c r="L850" s="4" t="s">
        <v>269</v>
      </c>
      <c r="M850" s="5" t="s">
        <v>1654</v>
      </c>
      <c r="N850" s="6">
        <f>1208</f>
        <v>1208</v>
      </c>
      <c r="O850" s="4" t="s">
        <v>265</v>
      </c>
      <c r="P850" s="6">
        <f>1</f>
        <v>1</v>
      </c>
      <c r="Q850" s="6">
        <f>0</f>
        <v>0</v>
      </c>
      <c r="S850" s="6">
        <f>0</f>
        <v>0</v>
      </c>
      <c r="T850" s="6">
        <f>1</f>
        <v>1</v>
      </c>
      <c r="U850" s="5" t="s">
        <v>245</v>
      </c>
      <c r="V850" s="4" t="s">
        <v>270</v>
      </c>
      <c r="W850" s="4" t="s">
        <v>271</v>
      </c>
      <c r="X850" s="4" t="s">
        <v>273</v>
      </c>
      <c r="Y850" s="4" t="s">
        <v>241</v>
      </c>
      <c r="AB850" s="4" t="s">
        <v>241</v>
      </c>
      <c r="AD850" s="5" t="s">
        <v>241</v>
      </c>
      <c r="AG850" s="5" t="s">
        <v>246</v>
      </c>
      <c r="AH850" s="4" t="s">
        <v>241</v>
      </c>
      <c r="AI850" s="4" t="s">
        <v>247</v>
      </c>
      <c r="AJ850" s="4" t="s">
        <v>248</v>
      </c>
      <c r="AZ850" s="4" t="s">
        <v>249</v>
      </c>
      <c r="BA850" s="4" t="s">
        <v>241</v>
      </c>
      <c r="BB850" s="4" t="s">
        <v>250</v>
      </c>
      <c r="BC850" s="4" t="s">
        <v>241</v>
      </c>
      <c r="BD850" s="4" t="s">
        <v>252</v>
      </c>
      <c r="BE850" s="4" t="s">
        <v>241</v>
      </c>
      <c r="BI850" s="4" t="s">
        <v>253</v>
      </c>
      <c r="BJ850" s="5" t="s">
        <v>246</v>
      </c>
      <c r="BK850" s="4" t="s">
        <v>254</v>
      </c>
      <c r="BL850" s="4" t="s">
        <v>255</v>
      </c>
      <c r="BM850" s="4" t="s">
        <v>241</v>
      </c>
      <c r="BN850" s="6">
        <f>0</f>
        <v>0</v>
      </c>
      <c r="BO850" s="6">
        <f>0</f>
        <v>0</v>
      </c>
      <c r="BP850" s="4" t="s">
        <v>256</v>
      </c>
      <c r="BQ850" s="4" t="s">
        <v>257</v>
      </c>
      <c r="CE850" s="4" t="s">
        <v>241</v>
      </c>
      <c r="CF850" s="4" t="s">
        <v>241</v>
      </c>
      <c r="CJ850" s="4" t="s">
        <v>276</v>
      </c>
      <c r="CK850" s="4" t="s">
        <v>259</v>
      </c>
      <c r="CL850" s="4" t="s">
        <v>241</v>
      </c>
      <c r="CO850" s="5" t="s">
        <v>260</v>
      </c>
      <c r="CP850" s="4" t="s">
        <v>241</v>
      </c>
      <c r="CQ850" s="4" t="s">
        <v>261</v>
      </c>
      <c r="CR850" s="4" t="s">
        <v>241</v>
      </c>
      <c r="CS850" s="4" t="s">
        <v>241</v>
      </c>
      <c r="CT850" s="4">
        <v>0</v>
      </c>
      <c r="CU850" s="4" t="s">
        <v>262</v>
      </c>
      <c r="CV850" s="4" t="s">
        <v>263</v>
      </c>
      <c r="CW850" s="4" t="s">
        <v>263</v>
      </c>
      <c r="CX850" s="4" t="s">
        <v>264</v>
      </c>
      <c r="DA850" s="6">
        <f>1</f>
        <v>1</v>
      </c>
      <c r="DC850" s="4" t="s">
        <v>277</v>
      </c>
      <c r="DD850" s="4" t="s">
        <v>241</v>
      </c>
      <c r="DF850" s="4" t="s">
        <v>277</v>
      </c>
      <c r="DG850" s="6">
        <f>1208</f>
        <v>1208</v>
      </c>
      <c r="DI850" s="4" t="s">
        <v>241</v>
      </c>
      <c r="DJ850" s="4" t="s">
        <v>241</v>
      </c>
      <c r="DK850" s="4" t="s">
        <v>241</v>
      </c>
      <c r="DL850" s="4" t="s">
        <v>241</v>
      </c>
      <c r="DP850" s="4" t="s">
        <v>241</v>
      </c>
      <c r="DQ850" s="4" t="s">
        <v>241</v>
      </c>
      <c r="DR850" s="4" t="s">
        <v>241</v>
      </c>
      <c r="DS850" s="4" t="s">
        <v>241</v>
      </c>
      <c r="DV850" s="4" t="s">
        <v>278</v>
      </c>
      <c r="DW850" s="4" t="s">
        <v>1655</v>
      </c>
      <c r="HO850" s="4" t="s">
        <v>267</v>
      </c>
    </row>
    <row r="851" spans="1:223" ht="19.5" customHeight="1" x14ac:dyDescent="0.4">
      <c r="A851" s="4">
        <v>1</v>
      </c>
      <c r="B851" s="4" t="s">
        <v>239</v>
      </c>
      <c r="C851" s="4">
        <v>2525</v>
      </c>
      <c r="D851" s="4">
        <v>1</v>
      </c>
      <c r="E851" s="4">
        <v>1</v>
      </c>
      <c r="F851" s="4" t="s">
        <v>268</v>
      </c>
      <c r="G851" s="4" t="s">
        <v>241</v>
      </c>
      <c r="H851" s="4" t="s">
        <v>241</v>
      </c>
      <c r="I851" s="4" t="s">
        <v>272</v>
      </c>
      <c r="J851" s="4" t="s">
        <v>274</v>
      </c>
      <c r="K851" s="4" t="s">
        <v>251</v>
      </c>
      <c r="L851" s="4" t="s">
        <v>269</v>
      </c>
      <c r="M851" s="5" t="s">
        <v>1652</v>
      </c>
      <c r="N851" s="6">
        <f>120</f>
        <v>120</v>
      </c>
      <c r="O851" s="4" t="s">
        <v>265</v>
      </c>
      <c r="P851" s="6">
        <f>1</f>
        <v>1</v>
      </c>
      <c r="Q851" s="6">
        <f>0</f>
        <v>0</v>
      </c>
      <c r="S851" s="6">
        <f>0</f>
        <v>0</v>
      </c>
      <c r="T851" s="6">
        <f>1</f>
        <v>1</v>
      </c>
      <c r="U851" s="5" t="s">
        <v>245</v>
      </c>
      <c r="V851" s="4" t="s">
        <v>270</v>
      </c>
      <c r="W851" s="4" t="s">
        <v>271</v>
      </c>
      <c r="X851" s="4" t="s">
        <v>273</v>
      </c>
      <c r="Y851" s="4" t="s">
        <v>241</v>
      </c>
      <c r="AB851" s="4" t="s">
        <v>241</v>
      </c>
      <c r="AD851" s="5" t="s">
        <v>241</v>
      </c>
      <c r="AG851" s="5" t="s">
        <v>246</v>
      </c>
      <c r="AH851" s="4" t="s">
        <v>241</v>
      </c>
      <c r="AI851" s="4" t="s">
        <v>247</v>
      </c>
      <c r="AJ851" s="4" t="s">
        <v>248</v>
      </c>
      <c r="AZ851" s="4" t="s">
        <v>249</v>
      </c>
      <c r="BA851" s="4" t="s">
        <v>241</v>
      </c>
      <c r="BB851" s="4" t="s">
        <v>250</v>
      </c>
      <c r="BC851" s="4" t="s">
        <v>241</v>
      </c>
      <c r="BD851" s="4" t="s">
        <v>252</v>
      </c>
      <c r="BE851" s="4" t="s">
        <v>241</v>
      </c>
      <c r="BI851" s="4" t="s">
        <v>253</v>
      </c>
      <c r="BJ851" s="5" t="s">
        <v>246</v>
      </c>
      <c r="BK851" s="4" t="s">
        <v>254</v>
      </c>
      <c r="BL851" s="4" t="s">
        <v>255</v>
      </c>
      <c r="BM851" s="4" t="s">
        <v>241</v>
      </c>
      <c r="BN851" s="6">
        <f>0</f>
        <v>0</v>
      </c>
      <c r="BO851" s="6">
        <f>0</f>
        <v>0</v>
      </c>
      <c r="BP851" s="4" t="s">
        <v>256</v>
      </c>
      <c r="BQ851" s="4" t="s">
        <v>257</v>
      </c>
      <c r="CE851" s="4" t="s">
        <v>241</v>
      </c>
      <c r="CF851" s="4" t="s">
        <v>241</v>
      </c>
      <c r="CJ851" s="4" t="s">
        <v>276</v>
      </c>
      <c r="CK851" s="4" t="s">
        <v>259</v>
      </c>
      <c r="CL851" s="4" t="s">
        <v>241</v>
      </c>
      <c r="CO851" s="5" t="s">
        <v>260</v>
      </c>
      <c r="CP851" s="4" t="s">
        <v>241</v>
      </c>
      <c r="CQ851" s="4" t="s">
        <v>261</v>
      </c>
      <c r="CR851" s="4" t="s">
        <v>241</v>
      </c>
      <c r="CS851" s="4" t="s">
        <v>241</v>
      </c>
      <c r="CT851" s="4">
        <v>0</v>
      </c>
      <c r="CU851" s="4" t="s">
        <v>262</v>
      </c>
      <c r="CV851" s="4" t="s">
        <v>263</v>
      </c>
      <c r="CW851" s="4" t="s">
        <v>263</v>
      </c>
      <c r="CX851" s="4" t="s">
        <v>264</v>
      </c>
      <c r="DA851" s="6">
        <f>1</f>
        <v>1</v>
      </c>
      <c r="DC851" s="4" t="s">
        <v>277</v>
      </c>
      <c r="DD851" s="4" t="s">
        <v>241</v>
      </c>
      <c r="DF851" s="4" t="s">
        <v>277</v>
      </c>
      <c r="DG851" s="6">
        <f>120</f>
        <v>120</v>
      </c>
      <c r="DI851" s="4" t="s">
        <v>241</v>
      </c>
      <c r="DJ851" s="4" t="s">
        <v>241</v>
      </c>
      <c r="DK851" s="4" t="s">
        <v>241</v>
      </c>
      <c r="DL851" s="4" t="s">
        <v>241</v>
      </c>
      <c r="DP851" s="4" t="s">
        <v>241</v>
      </c>
      <c r="DQ851" s="4" t="s">
        <v>241</v>
      </c>
      <c r="DR851" s="4" t="s">
        <v>241</v>
      </c>
      <c r="DS851" s="4" t="s">
        <v>241</v>
      </c>
      <c r="DV851" s="4" t="s">
        <v>278</v>
      </c>
      <c r="DW851" s="4" t="s">
        <v>1653</v>
      </c>
      <c r="HO851" s="4" t="s">
        <v>267</v>
      </c>
    </row>
    <row r="852" spans="1:223" ht="19.5" customHeight="1" x14ac:dyDescent="0.4">
      <c r="A852" s="4">
        <v>1</v>
      </c>
      <c r="B852" s="4" t="s">
        <v>239</v>
      </c>
      <c r="C852" s="4">
        <v>2526</v>
      </c>
      <c r="D852" s="4">
        <v>1</v>
      </c>
      <c r="E852" s="4">
        <v>1</v>
      </c>
      <c r="F852" s="4" t="s">
        <v>268</v>
      </c>
      <c r="G852" s="4" t="s">
        <v>241</v>
      </c>
      <c r="H852" s="4" t="s">
        <v>241</v>
      </c>
      <c r="I852" s="4" t="s">
        <v>272</v>
      </c>
      <c r="J852" s="4" t="s">
        <v>274</v>
      </c>
      <c r="K852" s="4" t="s">
        <v>251</v>
      </c>
      <c r="L852" s="4" t="s">
        <v>269</v>
      </c>
      <c r="M852" s="5" t="s">
        <v>1650</v>
      </c>
      <c r="N852" s="6">
        <f>2033</f>
        <v>2033</v>
      </c>
      <c r="O852" s="4" t="s">
        <v>265</v>
      </c>
      <c r="P852" s="6">
        <f>1</f>
        <v>1</v>
      </c>
      <c r="Q852" s="6">
        <f>0</f>
        <v>0</v>
      </c>
      <c r="S852" s="6">
        <f>0</f>
        <v>0</v>
      </c>
      <c r="T852" s="6">
        <f>1</f>
        <v>1</v>
      </c>
      <c r="U852" s="5" t="s">
        <v>245</v>
      </c>
      <c r="V852" s="4" t="s">
        <v>270</v>
      </c>
      <c r="W852" s="4" t="s">
        <v>271</v>
      </c>
      <c r="X852" s="4" t="s">
        <v>273</v>
      </c>
      <c r="Y852" s="4" t="s">
        <v>241</v>
      </c>
      <c r="AB852" s="4" t="s">
        <v>241</v>
      </c>
      <c r="AD852" s="5" t="s">
        <v>241</v>
      </c>
      <c r="AG852" s="5" t="s">
        <v>246</v>
      </c>
      <c r="AH852" s="4" t="s">
        <v>241</v>
      </c>
      <c r="AI852" s="4" t="s">
        <v>247</v>
      </c>
      <c r="AJ852" s="4" t="s">
        <v>248</v>
      </c>
      <c r="AZ852" s="4" t="s">
        <v>249</v>
      </c>
      <c r="BA852" s="4" t="s">
        <v>241</v>
      </c>
      <c r="BB852" s="4" t="s">
        <v>250</v>
      </c>
      <c r="BC852" s="4" t="s">
        <v>241</v>
      </c>
      <c r="BD852" s="4" t="s">
        <v>252</v>
      </c>
      <c r="BE852" s="4" t="s">
        <v>241</v>
      </c>
      <c r="BI852" s="4" t="s">
        <v>253</v>
      </c>
      <c r="BJ852" s="5" t="s">
        <v>246</v>
      </c>
      <c r="BK852" s="4" t="s">
        <v>254</v>
      </c>
      <c r="BL852" s="4" t="s">
        <v>255</v>
      </c>
      <c r="BM852" s="4" t="s">
        <v>241</v>
      </c>
      <c r="BN852" s="6">
        <f>0</f>
        <v>0</v>
      </c>
      <c r="BO852" s="6">
        <f>0</f>
        <v>0</v>
      </c>
      <c r="BP852" s="4" t="s">
        <v>256</v>
      </c>
      <c r="BQ852" s="4" t="s">
        <v>257</v>
      </c>
      <c r="CE852" s="4" t="s">
        <v>241</v>
      </c>
      <c r="CF852" s="4" t="s">
        <v>241</v>
      </c>
      <c r="CJ852" s="4" t="s">
        <v>276</v>
      </c>
      <c r="CK852" s="4" t="s">
        <v>259</v>
      </c>
      <c r="CL852" s="4" t="s">
        <v>241</v>
      </c>
      <c r="CO852" s="5" t="s">
        <v>260</v>
      </c>
      <c r="CP852" s="4" t="s">
        <v>241</v>
      </c>
      <c r="CQ852" s="4" t="s">
        <v>261</v>
      </c>
      <c r="CR852" s="4" t="s">
        <v>241</v>
      </c>
      <c r="CS852" s="4" t="s">
        <v>241</v>
      </c>
      <c r="CT852" s="4">
        <v>0</v>
      </c>
      <c r="CU852" s="4" t="s">
        <v>262</v>
      </c>
      <c r="CV852" s="4" t="s">
        <v>263</v>
      </c>
      <c r="CW852" s="4" t="s">
        <v>263</v>
      </c>
      <c r="CX852" s="4" t="s">
        <v>264</v>
      </c>
      <c r="DA852" s="6">
        <f>1</f>
        <v>1</v>
      </c>
      <c r="DC852" s="4" t="s">
        <v>277</v>
      </c>
      <c r="DD852" s="4" t="s">
        <v>241</v>
      </c>
      <c r="DF852" s="4" t="s">
        <v>277</v>
      </c>
      <c r="DG852" s="6">
        <f>2033</f>
        <v>2033</v>
      </c>
      <c r="DI852" s="4" t="s">
        <v>241</v>
      </c>
      <c r="DJ852" s="4" t="s">
        <v>241</v>
      </c>
      <c r="DK852" s="4" t="s">
        <v>241</v>
      </c>
      <c r="DL852" s="4" t="s">
        <v>241</v>
      </c>
      <c r="DP852" s="4" t="s">
        <v>241</v>
      </c>
      <c r="DQ852" s="4" t="s">
        <v>241</v>
      </c>
      <c r="DR852" s="4" t="s">
        <v>241</v>
      </c>
      <c r="DS852" s="4" t="s">
        <v>241</v>
      </c>
      <c r="DV852" s="4" t="s">
        <v>278</v>
      </c>
      <c r="DW852" s="4" t="s">
        <v>1651</v>
      </c>
      <c r="HO852" s="4" t="s">
        <v>267</v>
      </c>
    </row>
    <row r="853" spans="1:223" ht="19.5" customHeight="1" x14ac:dyDescent="0.4">
      <c r="A853" s="4">
        <v>1</v>
      </c>
      <c r="B853" s="4" t="s">
        <v>239</v>
      </c>
      <c r="C853" s="4">
        <v>2527</v>
      </c>
      <c r="D853" s="4">
        <v>1</v>
      </c>
      <c r="E853" s="4">
        <v>1</v>
      </c>
      <c r="F853" s="4" t="s">
        <v>268</v>
      </c>
      <c r="G853" s="4" t="s">
        <v>241</v>
      </c>
      <c r="H853" s="4" t="s">
        <v>241</v>
      </c>
      <c r="I853" s="4" t="s">
        <v>272</v>
      </c>
      <c r="J853" s="4" t="s">
        <v>274</v>
      </c>
      <c r="K853" s="4" t="s">
        <v>251</v>
      </c>
      <c r="L853" s="4" t="s">
        <v>269</v>
      </c>
      <c r="M853" s="5" t="s">
        <v>1344</v>
      </c>
      <c r="N853" s="6">
        <f>3474</f>
        <v>3474</v>
      </c>
      <c r="O853" s="4" t="s">
        <v>265</v>
      </c>
      <c r="P853" s="6">
        <f>1</f>
        <v>1</v>
      </c>
      <c r="Q853" s="6">
        <f>0</f>
        <v>0</v>
      </c>
      <c r="S853" s="6">
        <f>0</f>
        <v>0</v>
      </c>
      <c r="T853" s="6">
        <f>1</f>
        <v>1</v>
      </c>
      <c r="U853" s="5" t="s">
        <v>245</v>
      </c>
      <c r="V853" s="4" t="s">
        <v>270</v>
      </c>
      <c r="W853" s="4" t="s">
        <v>271</v>
      </c>
      <c r="X853" s="4" t="s">
        <v>273</v>
      </c>
      <c r="Y853" s="4" t="s">
        <v>241</v>
      </c>
      <c r="AB853" s="4" t="s">
        <v>241</v>
      </c>
      <c r="AD853" s="5" t="s">
        <v>241</v>
      </c>
      <c r="AG853" s="5" t="s">
        <v>246</v>
      </c>
      <c r="AH853" s="4" t="s">
        <v>241</v>
      </c>
      <c r="AI853" s="4" t="s">
        <v>247</v>
      </c>
      <c r="AJ853" s="4" t="s">
        <v>248</v>
      </c>
      <c r="AZ853" s="4" t="s">
        <v>249</v>
      </c>
      <c r="BA853" s="4" t="s">
        <v>241</v>
      </c>
      <c r="BB853" s="4" t="s">
        <v>250</v>
      </c>
      <c r="BC853" s="4" t="s">
        <v>241</v>
      </c>
      <c r="BD853" s="4" t="s">
        <v>252</v>
      </c>
      <c r="BE853" s="4" t="s">
        <v>241</v>
      </c>
      <c r="BI853" s="4" t="s">
        <v>253</v>
      </c>
      <c r="BJ853" s="5" t="s">
        <v>246</v>
      </c>
      <c r="BK853" s="4" t="s">
        <v>254</v>
      </c>
      <c r="BL853" s="4" t="s">
        <v>255</v>
      </c>
      <c r="BM853" s="4" t="s">
        <v>241</v>
      </c>
      <c r="BN853" s="6">
        <f>0</f>
        <v>0</v>
      </c>
      <c r="BO853" s="6">
        <f>0</f>
        <v>0</v>
      </c>
      <c r="BP853" s="4" t="s">
        <v>256</v>
      </c>
      <c r="BQ853" s="4" t="s">
        <v>257</v>
      </c>
      <c r="CE853" s="4" t="s">
        <v>241</v>
      </c>
      <c r="CF853" s="4" t="s">
        <v>241</v>
      </c>
      <c r="CJ853" s="4" t="s">
        <v>276</v>
      </c>
      <c r="CK853" s="4" t="s">
        <v>259</v>
      </c>
      <c r="CL853" s="4" t="s">
        <v>241</v>
      </c>
      <c r="CO853" s="5" t="s">
        <v>260</v>
      </c>
      <c r="CP853" s="4" t="s">
        <v>241</v>
      </c>
      <c r="CQ853" s="4" t="s">
        <v>261</v>
      </c>
      <c r="CR853" s="4" t="s">
        <v>241</v>
      </c>
      <c r="CS853" s="4" t="s">
        <v>241</v>
      </c>
      <c r="CT853" s="4">
        <v>0</v>
      </c>
      <c r="CU853" s="4" t="s">
        <v>262</v>
      </c>
      <c r="CV853" s="4" t="s">
        <v>263</v>
      </c>
      <c r="CW853" s="4" t="s">
        <v>263</v>
      </c>
      <c r="CX853" s="4" t="s">
        <v>264</v>
      </c>
      <c r="DA853" s="6">
        <f>1</f>
        <v>1</v>
      </c>
      <c r="DC853" s="4" t="s">
        <v>277</v>
      </c>
      <c r="DD853" s="4" t="s">
        <v>241</v>
      </c>
      <c r="DF853" s="4" t="s">
        <v>277</v>
      </c>
      <c r="DG853" s="6">
        <f>3474</f>
        <v>3474</v>
      </c>
      <c r="DI853" s="4" t="s">
        <v>241</v>
      </c>
      <c r="DJ853" s="4" t="s">
        <v>241</v>
      </c>
      <c r="DK853" s="4" t="s">
        <v>241</v>
      </c>
      <c r="DL853" s="4" t="s">
        <v>241</v>
      </c>
      <c r="DP853" s="4" t="s">
        <v>241</v>
      </c>
      <c r="DQ853" s="4" t="s">
        <v>241</v>
      </c>
      <c r="DR853" s="4" t="s">
        <v>241</v>
      </c>
      <c r="DS853" s="4" t="s">
        <v>241</v>
      </c>
      <c r="DV853" s="4" t="s">
        <v>278</v>
      </c>
      <c r="DW853" s="4" t="s">
        <v>1345</v>
      </c>
      <c r="HO853" s="4" t="s">
        <v>267</v>
      </c>
    </row>
    <row r="854" spans="1:223" ht="19.5" customHeight="1" x14ac:dyDescent="0.4">
      <c r="A854" s="4">
        <v>1</v>
      </c>
      <c r="B854" s="4" t="s">
        <v>239</v>
      </c>
      <c r="C854" s="4">
        <v>2528</v>
      </c>
      <c r="D854" s="4">
        <v>1</v>
      </c>
      <c r="E854" s="4">
        <v>1</v>
      </c>
      <c r="F854" s="4" t="s">
        <v>268</v>
      </c>
      <c r="G854" s="4" t="s">
        <v>241</v>
      </c>
      <c r="H854" s="4" t="s">
        <v>241</v>
      </c>
      <c r="I854" s="4" t="s">
        <v>272</v>
      </c>
      <c r="J854" s="4" t="s">
        <v>274</v>
      </c>
      <c r="K854" s="4" t="s">
        <v>251</v>
      </c>
      <c r="L854" s="4" t="s">
        <v>269</v>
      </c>
      <c r="M854" s="5" t="s">
        <v>2173</v>
      </c>
      <c r="N854" s="6">
        <f>3652</f>
        <v>3652</v>
      </c>
      <c r="O854" s="4" t="s">
        <v>265</v>
      </c>
      <c r="P854" s="6">
        <f>1</f>
        <v>1</v>
      </c>
      <c r="Q854" s="6">
        <f>0</f>
        <v>0</v>
      </c>
      <c r="S854" s="6">
        <f>0</f>
        <v>0</v>
      </c>
      <c r="T854" s="6">
        <f>1</f>
        <v>1</v>
      </c>
      <c r="U854" s="5" t="s">
        <v>245</v>
      </c>
      <c r="V854" s="4" t="s">
        <v>270</v>
      </c>
      <c r="W854" s="4" t="s">
        <v>271</v>
      </c>
      <c r="X854" s="4" t="s">
        <v>273</v>
      </c>
      <c r="Y854" s="4" t="s">
        <v>241</v>
      </c>
      <c r="AB854" s="4" t="s">
        <v>241</v>
      </c>
      <c r="AD854" s="5" t="s">
        <v>241</v>
      </c>
      <c r="AG854" s="5" t="s">
        <v>246</v>
      </c>
      <c r="AH854" s="4" t="s">
        <v>241</v>
      </c>
      <c r="AI854" s="4" t="s">
        <v>247</v>
      </c>
      <c r="AJ854" s="4" t="s">
        <v>248</v>
      </c>
      <c r="AZ854" s="4" t="s">
        <v>249</v>
      </c>
      <c r="BA854" s="4" t="s">
        <v>241</v>
      </c>
      <c r="BB854" s="4" t="s">
        <v>250</v>
      </c>
      <c r="BC854" s="4" t="s">
        <v>241</v>
      </c>
      <c r="BD854" s="4" t="s">
        <v>252</v>
      </c>
      <c r="BE854" s="4" t="s">
        <v>241</v>
      </c>
      <c r="BI854" s="4" t="s">
        <v>253</v>
      </c>
      <c r="BJ854" s="5" t="s">
        <v>246</v>
      </c>
      <c r="BK854" s="4" t="s">
        <v>254</v>
      </c>
      <c r="BL854" s="4" t="s">
        <v>255</v>
      </c>
      <c r="BM854" s="4" t="s">
        <v>241</v>
      </c>
      <c r="BN854" s="6">
        <f>0</f>
        <v>0</v>
      </c>
      <c r="BO854" s="6">
        <f>0</f>
        <v>0</v>
      </c>
      <c r="BP854" s="4" t="s">
        <v>256</v>
      </c>
      <c r="BQ854" s="4" t="s">
        <v>257</v>
      </c>
      <c r="CE854" s="4" t="s">
        <v>241</v>
      </c>
      <c r="CF854" s="4" t="s">
        <v>241</v>
      </c>
      <c r="CJ854" s="4" t="s">
        <v>276</v>
      </c>
      <c r="CK854" s="4" t="s">
        <v>259</v>
      </c>
      <c r="CL854" s="4" t="s">
        <v>241</v>
      </c>
      <c r="CO854" s="5" t="s">
        <v>260</v>
      </c>
      <c r="CP854" s="4" t="s">
        <v>241</v>
      </c>
      <c r="CQ854" s="4" t="s">
        <v>261</v>
      </c>
      <c r="CR854" s="4" t="s">
        <v>241</v>
      </c>
      <c r="CS854" s="4" t="s">
        <v>241</v>
      </c>
      <c r="CT854" s="4">
        <v>0</v>
      </c>
      <c r="CU854" s="4" t="s">
        <v>262</v>
      </c>
      <c r="CV854" s="4" t="s">
        <v>263</v>
      </c>
      <c r="CW854" s="4" t="s">
        <v>263</v>
      </c>
      <c r="CX854" s="4" t="s">
        <v>264</v>
      </c>
      <c r="DA854" s="6">
        <f>1</f>
        <v>1</v>
      </c>
      <c r="DC854" s="4" t="s">
        <v>277</v>
      </c>
      <c r="DD854" s="4" t="s">
        <v>241</v>
      </c>
      <c r="DF854" s="4" t="s">
        <v>277</v>
      </c>
      <c r="DG854" s="6">
        <f>3652</f>
        <v>3652</v>
      </c>
      <c r="DI854" s="4" t="s">
        <v>241</v>
      </c>
      <c r="DJ854" s="4" t="s">
        <v>241</v>
      </c>
      <c r="DK854" s="4" t="s">
        <v>241</v>
      </c>
      <c r="DL854" s="4" t="s">
        <v>241</v>
      </c>
      <c r="DP854" s="4" t="s">
        <v>241</v>
      </c>
      <c r="DQ854" s="4" t="s">
        <v>241</v>
      </c>
      <c r="DR854" s="4" t="s">
        <v>241</v>
      </c>
      <c r="DS854" s="4" t="s">
        <v>241</v>
      </c>
      <c r="DV854" s="4" t="s">
        <v>278</v>
      </c>
      <c r="DW854" s="4" t="s">
        <v>2174</v>
      </c>
      <c r="HO854" s="4" t="s">
        <v>267</v>
      </c>
    </row>
    <row r="855" spans="1:223" ht="19.5" customHeight="1" x14ac:dyDescent="0.4">
      <c r="A855" s="4">
        <v>1</v>
      </c>
      <c r="B855" s="4" t="s">
        <v>239</v>
      </c>
      <c r="C855" s="4">
        <v>2529</v>
      </c>
      <c r="D855" s="4">
        <v>1</v>
      </c>
      <c r="E855" s="4">
        <v>1</v>
      </c>
      <c r="F855" s="4" t="s">
        <v>268</v>
      </c>
      <c r="G855" s="4" t="s">
        <v>241</v>
      </c>
      <c r="H855" s="4" t="s">
        <v>241</v>
      </c>
      <c r="I855" s="4" t="s">
        <v>272</v>
      </c>
      <c r="J855" s="4" t="s">
        <v>274</v>
      </c>
      <c r="K855" s="4" t="s">
        <v>251</v>
      </c>
      <c r="L855" s="4" t="s">
        <v>269</v>
      </c>
      <c r="M855" s="5" t="s">
        <v>1648</v>
      </c>
      <c r="N855" s="6">
        <f>2680</f>
        <v>2680</v>
      </c>
      <c r="O855" s="4" t="s">
        <v>265</v>
      </c>
      <c r="P855" s="6">
        <f>1</f>
        <v>1</v>
      </c>
      <c r="Q855" s="6">
        <f>0</f>
        <v>0</v>
      </c>
      <c r="S855" s="6">
        <f>0</f>
        <v>0</v>
      </c>
      <c r="T855" s="6">
        <f>1</f>
        <v>1</v>
      </c>
      <c r="U855" s="5" t="s">
        <v>245</v>
      </c>
      <c r="V855" s="4" t="s">
        <v>270</v>
      </c>
      <c r="W855" s="4" t="s">
        <v>271</v>
      </c>
      <c r="X855" s="4" t="s">
        <v>273</v>
      </c>
      <c r="Y855" s="4" t="s">
        <v>241</v>
      </c>
      <c r="AB855" s="4" t="s">
        <v>241</v>
      </c>
      <c r="AD855" s="5" t="s">
        <v>241</v>
      </c>
      <c r="AG855" s="5" t="s">
        <v>246</v>
      </c>
      <c r="AH855" s="4" t="s">
        <v>241</v>
      </c>
      <c r="AI855" s="4" t="s">
        <v>247</v>
      </c>
      <c r="AJ855" s="4" t="s">
        <v>248</v>
      </c>
      <c r="AZ855" s="4" t="s">
        <v>249</v>
      </c>
      <c r="BA855" s="4" t="s">
        <v>241</v>
      </c>
      <c r="BB855" s="4" t="s">
        <v>250</v>
      </c>
      <c r="BC855" s="4" t="s">
        <v>241</v>
      </c>
      <c r="BD855" s="4" t="s">
        <v>252</v>
      </c>
      <c r="BE855" s="4" t="s">
        <v>241</v>
      </c>
      <c r="BI855" s="4" t="s">
        <v>253</v>
      </c>
      <c r="BJ855" s="5" t="s">
        <v>246</v>
      </c>
      <c r="BK855" s="4" t="s">
        <v>254</v>
      </c>
      <c r="BL855" s="4" t="s">
        <v>255</v>
      </c>
      <c r="BM855" s="4" t="s">
        <v>241</v>
      </c>
      <c r="BN855" s="6">
        <f>0</f>
        <v>0</v>
      </c>
      <c r="BO855" s="6">
        <f>0</f>
        <v>0</v>
      </c>
      <c r="BP855" s="4" t="s">
        <v>256</v>
      </c>
      <c r="BQ855" s="4" t="s">
        <v>257</v>
      </c>
      <c r="CE855" s="4" t="s">
        <v>241</v>
      </c>
      <c r="CF855" s="4" t="s">
        <v>241</v>
      </c>
      <c r="CJ855" s="4" t="s">
        <v>276</v>
      </c>
      <c r="CK855" s="4" t="s">
        <v>259</v>
      </c>
      <c r="CL855" s="4" t="s">
        <v>241</v>
      </c>
      <c r="CO855" s="5" t="s">
        <v>260</v>
      </c>
      <c r="CP855" s="4" t="s">
        <v>241</v>
      </c>
      <c r="CQ855" s="4" t="s">
        <v>261</v>
      </c>
      <c r="CR855" s="4" t="s">
        <v>241</v>
      </c>
      <c r="CS855" s="4" t="s">
        <v>241</v>
      </c>
      <c r="CT855" s="4">
        <v>0</v>
      </c>
      <c r="CU855" s="4" t="s">
        <v>262</v>
      </c>
      <c r="CV855" s="4" t="s">
        <v>263</v>
      </c>
      <c r="CW855" s="4" t="s">
        <v>263</v>
      </c>
      <c r="CX855" s="4" t="s">
        <v>264</v>
      </c>
      <c r="DA855" s="6">
        <f>1</f>
        <v>1</v>
      </c>
      <c r="DC855" s="4" t="s">
        <v>277</v>
      </c>
      <c r="DD855" s="4" t="s">
        <v>241</v>
      </c>
      <c r="DF855" s="4" t="s">
        <v>277</v>
      </c>
      <c r="DG855" s="6">
        <f>2680</f>
        <v>2680</v>
      </c>
      <c r="DI855" s="4" t="s">
        <v>241</v>
      </c>
      <c r="DJ855" s="4" t="s">
        <v>241</v>
      </c>
      <c r="DK855" s="4" t="s">
        <v>241</v>
      </c>
      <c r="DL855" s="4" t="s">
        <v>241</v>
      </c>
      <c r="DP855" s="4" t="s">
        <v>241</v>
      </c>
      <c r="DQ855" s="4" t="s">
        <v>241</v>
      </c>
      <c r="DR855" s="4" t="s">
        <v>241</v>
      </c>
      <c r="DS855" s="4" t="s">
        <v>241</v>
      </c>
      <c r="DV855" s="4" t="s">
        <v>278</v>
      </c>
      <c r="DW855" s="4" t="s">
        <v>1649</v>
      </c>
      <c r="HO855" s="4" t="s">
        <v>267</v>
      </c>
    </row>
    <row r="856" spans="1:223" ht="19.5" customHeight="1" x14ac:dyDescent="0.4">
      <c r="A856" s="4">
        <v>1</v>
      </c>
      <c r="B856" s="4" t="s">
        <v>239</v>
      </c>
      <c r="C856" s="4">
        <v>2530</v>
      </c>
      <c r="D856" s="4">
        <v>1</v>
      </c>
      <c r="E856" s="4">
        <v>1</v>
      </c>
      <c r="F856" s="4" t="s">
        <v>268</v>
      </c>
      <c r="G856" s="4" t="s">
        <v>241</v>
      </c>
      <c r="H856" s="4" t="s">
        <v>241</v>
      </c>
      <c r="I856" s="4" t="s">
        <v>272</v>
      </c>
      <c r="J856" s="4" t="s">
        <v>274</v>
      </c>
      <c r="K856" s="4" t="s">
        <v>251</v>
      </c>
      <c r="L856" s="4" t="s">
        <v>269</v>
      </c>
      <c r="M856" s="5" t="s">
        <v>1646</v>
      </c>
      <c r="N856" s="6">
        <f>1698</f>
        <v>1698</v>
      </c>
      <c r="O856" s="4" t="s">
        <v>265</v>
      </c>
      <c r="P856" s="6">
        <f>1</f>
        <v>1</v>
      </c>
      <c r="Q856" s="6">
        <f>0</f>
        <v>0</v>
      </c>
      <c r="S856" s="6">
        <f>0</f>
        <v>0</v>
      </c>
      <c r="T856" s="6">
        <f>1</f>
        <v>1</v>
      </c>
      <c r="U856" s="5" t="s">
        <v>245</v>
      </c>
      <c r="V856" s="4" t="s">
        <v>270</v>
      </c>
      <c r="W856" s="4" t="s">
        <v>271</v>
      </c>
      <c r="X856" s="4" t="s">
        <v>273</v>
      </c>
      <c r="Y856" s="4" t="s">
        <v>241</v>
      </c>
      <c r="AB856" s="4" t="s">
        <v>241</v>
      </c>
      <c r="AD856" s="5" t="s">
        <v>241</v>
      </c>
      <c r="AG856" s="5" t="s">
        <v>246</v>
      </c>
      <c r="AH856" s="4" t="s">
        <v>241</v>
      </c>
      <c r="AI856" s="4" t="s">
        <v>247</v>
      </c>
      <c r="AJ856" s="4" t="s">
        <v>248</v>
      </c>
      <c r="AZ856" s="4" t="s">
        <v>249</v>
      </c>
      <c r="BA856" s="4" t="s">
        <v>241</v>
      </c>
      <c r="BB856" s="4" t="s">
        <v>250</v>
      </c>
      <c r="BC856" s="4" t="s">
        <v>241</v>
      </c>
      <c r="BD856" s="4" t="s">
        <v>252</v>
      </c>
      <c r="BE856" s="4" t="s">
        <v>241</v>
      </c>
      <c r="BI856" s="4" t="s">
        <v>253</v>
      </c>
      <c r="BJ856" s="5" t="s">
        <v>246</v>
      </c>
      <c r="BK856" s="4" t="s">
        <v>254</v>
      </c>
      <c r="BL856" s="4" t="s">
        <v>255</v>
      </c>
      <c r="BM856" s="4" t="s">
        <v>241</v>
      </c>
      <c r="BN856" s="6">
        <f>0</f>
        <v>0</v>
      </c>
      <c r="BO856" s="6">
        <f>0</f>
        <v>0</v>
      </c>
      <c r="BP856" s="4" t="s">
        <v>256</v>
      </c>
      <c r="BQ856" s="4" t="s">
        <v>257</v>
      </c>
      <c r="CE856" s="4" t="s">
        <v>241</v>
      </c>
      <c r="CF856" s="4" t="s">
        <v>241</v>
      </c>
      <c r="CJ856" s="4" t="s">
        <v>276</v>
      </c>
      <c r="CK856" s="4" t="s">
        <v>259</v>
      </c>
      <c r="CL856" s="4" t="s">
        <v>241</v>
      </c>
      <c r="CO856" s="5" t="s">
        <v>260</v>
      </c>
      <c r="CP856" s="4" t="s">
        <v>241</v>
      </c>
      <c r="CQ856" s="4" t="s">
        <v>261</v>
      </c>
      <c r="CR856" s="4" t="s">
        <v>241</v>
      </c>
      <c r="CS856" s="4" t="s">
        <v>241</v>
      </c>
      <c r="CT856" s="4">
        <v>0</v>
      </c>
      <c r="CU856" s="4" t="s">
        <v>262</v>
      </c>
      <c r="CV856" s="4" t="s">
        <v>263</v>
      </c>
      <c r="CW856" s="4" t="s">
        <v>263</v>
      </c>
      <c r="CX856" s="4" t="s">
        <v>264</v>
      </c>
      <c r="DA856" s="6">
        <f>1</f>
        <v>1</v>
      </c>
      <c r="DC856" s="4" t="s">
        <v>277</v>
      </c>
      <c r="DD856" s="4" t="s">
        <v>241</v>
      </c>
      <c r="DF856" s="4" t="s">
        <v>277</v>
      </c>
      <c r="DG856" s="6">
        <f>1698</f>
        <v>1698</v>
      </c>
      <c r="DI856" s="4" t="s">
        <v>241</v>
      </c>
      <c r="DJ856" s="4" t="s">
        <v>241</v>
      </c>
      <c r="DK856" s="4" t="s">
        <v>241</v>
      </c>
      <c r="DL856" s="4" t="s">
        <v>241</v>
      </c>
      <c r="DP856" s="4" t="s">
        <v>241</v>
      </c>
      <c r="DQ856" s="4" t="s">
        <v>241</v>
      </c>
      <c r="DR856" s="4" t="s">
        <v>241</v>
      </c>
      <c r="DS856" s="4" t="s">
        <v>241</v>
      </c>
      <c r="DV856" s="4" t="s">
        <v>278</v>
      </c>
      <c r="DW856" s="4" t="s">
        <v>1647</v>
      </c>
      <c r="HO856" s="4" t="s">
        <v>267</v>
      </c>
    </row>
    <row r="857" spans="1:223" ht="19.5" customHeight="1" x14ac:dyDescent="0.4">
      <c r="A857" s="4">
        <v>1</v>
      </c>
      <c r="B857" s="4" t="s">
        <v>239</v>
      </c>
      <c r="C857" s="4">
        <v>2531</v>
      </c>
      <c r="D857" s="4">
        <v>1</v>
      </c>
      <c r="E857" s="4">
        <v>1</v>
      </c>
      <c r="F857" s="4" t="s">
        <v>268</v>
      </c>
      <c r="G857" s="4" t="s">
        <v>241</v>
      </c>
      <c r="H857" s="4" t="s">
        <v>241</v>
      </c>
      <c r="I857" s="4" t="s">
        <v>272</v>
      </c>
      <c r="J857" s="4" t="s">
        <v>274</v>
      </c>
      <c r="K857" s="4" t="s">
        <v>251</v>
      </c>
      <c r="L857" s="4" t="s">
        <v>269</v>
      </c>
      <c r="M857" s="5" t="s">
        <v>2766</v>
      </c>
      <c r="N857" s="6">
        <f>795</f>
        <v>795</v>
      </c>
      <c r="O857" s="4" t="s">
        <v>265</v>
      </c>
      <c r="P857" s="6">
        <f>1</f>
        <v>1</v>
      </c>
      <c r="Q857" s="6">
        <f>0</f>
        <v>0</v>
      </c>
      <c r="S857" s="6">
        <f>0</f>
        <v>0</v>
      </c>
      <c r="T857" s="6">
        <f>1</f>
        <v>1</v>
      </c>
      <c r="U857" s="5" t="s">
        <v>245</v>
      </c>
      <c r="V857" s="4" t="s">
        <v>270</v>
      </c>
      <c r="W857" s="4" t="s">
        <v>271</v>
      </c>
      <c r="X857" s="4" t="s">
        <v>273</v>
      </c>
      <c r="Y857" s="4" t="s">
        <v>241</v>
      </c>
      <c r="AB857" s="4" t="s">
        <v>241</v>
      </c>
      <c r="AD857" s="5" t="s">
        <v>241</v>
      </c>
      <c r="AG857" s="5" t="s">
        <v>246</v>
      </c>
      <c r="AH857" s="4" t="s">
        <v>241</v>
      </c>
      <c r="AI857" s="4" t="s">
        <v>247</v>
      </c>
      <c r="AJ857" s="4" t="s">
        <v>248</v>
      </c>
      <c r="AZ857" s="4" t="s">
        <v>249</v>
      </c>
      <c r="BA857" s="4" t="s">
        <v>241</v>
      </c>
      <c r="BB857" s="4" t="s">
        <v>250</v>
      </c>
      <c r="BC857" s="4" t="s">
        <v>241</v>
      </c>
      <c r="BD857" s="4" t="s">
        <v>252</v>
      </c>
      <c r="BE857" s="4" t="s">
        <v>241</v>
      </c>
      <c r="BI857" s="4" t="s">
        <v>253</v>
      </c>
      <c r="BJ857" s="5" t="s">
        <v>246</v>
      </c>
      <c r="BK857" s="4" t="s">
        <v>254</v>
      </c>
      <c r="BL857" s="4" t="s">
        <v>255</v>
      </c>
      <c r="BM857" s="4" t="s">
        <v>241</v>
      </c>
      <c r="BN857" s="6">
        <f>0</f>
        <v>0</v>
      </c>
      <c r="BO857" s="6">
        <f>0</f>
        <v>0</v>
      </c>
      <c r="BP857" s="4" t="s">
        <v>256</v>
      </c>
      <c r="BQ857" s="4" t="s">
        <v>257</v>
      </c>
      <c r="CE857" s="4" t="s">
        <v>241</v>
      </c>
      <c r="CF857" s="4" t="s">
        <v>241</v>
      </c>
      <c r="CJ857" s="4" t="s">
        <v>276</v>
      </c>
      <c r="CK857" s="4" t="s">
        <v>259</v>
      </c>
      <c r="CL857" s="4" t="s">
        <v>241</v>
      </c>
      <c r="CO857" s="5" t="s">
        <v>260</v>
      </c>
      <c r="CP857" s="4" t="s">
        <v>241</v>
      </c>
      <c r="CQ857" s="4" t="s">
        <v>261</v>
      </c>
      <c r="CR857" s="4" t="s">
        <v>241</v>
      </c>
      <c r="CS857" s="4" t="s">
        <v>241</v>
      </c>
      <c r="CT857" s="4">
        <v>0</v>
      </c>
      <c r="CU857" s="4" t="s">
        <v>262</v>
      </c>
      <c r="CV857" s="4" t="s">
        <v>263</v>
      </c>
      <c r="CW857" s="4" t="s">
        <v>263</v>
      </c>
      <c r="CX857" s="4" t="s">
        <v>264</v>
      </c>
      <c r="DA857" s="6">
        <f>1</f>
        <v>1</v>
      </c>
      <c r="DC857" s="4" t="s">
        <v>277</v>
      </c>
      <c r="DD857" s="4" t="s">
        <v>241</v>
      </c>
      <c r="DF857" s="4" t="s">
        <v>277</v>
      </c>
      <c r="DG857" s="6">
        <f>795</f>
        <v>795</v>
      </c>
      <c r="DI857" s="4" t="s">
        <v>241</v>
      </c>
      <c r="DJ857" s="4" t="s">
        <v>241</v>
      </c>
      <c r="DK857" s="4" t="s">
        <v>241</v>
      </c>
      <c r="DL857" s="4" t="s">
        <v>241</v>
      </c>
      <c r="DP857" s="4" t="s">
        <v>241</v>
      </c>
      <c r="DQ857" s="4" t="s">
        <v>241</v>
      </c>
      <c r="DR857" s="4" t="s">
        <v>241</v>
      </c>
      <c r="DS857" s="4" t="s">
        <v>241</v>
      </c>
      <c r="DV857" s="4" t="s">
        <v>278</v>
      </c>
      <c r="DW857" s="4" t="s">
        <v>2767</v>
      </c>
      <c r="HO857" s="4" t="s">
        <v>267</v>
      </c>
    </row>
    <row r="858" spans="1:223" ht="19.5" customHeight="1" x14ac:dyDescent="0.4">
      <c r="A858" s="4">
        <v>1</v>
      </c>
      <c r="B858" s="4" t="s">
        <v>239</v>
      </c>
      <c r="C858" s="4">
        <v>2532</v>
      </c>
      <c r="D858" s="4">
        <v>1</v>
      </c>
      <c r="E858" s="4">
        <v>1</v>
      </c>
      <c r="F858" s="4" t="s">
        <v>268</v>
      </c>
      <c r="G858" s="4" t="s">
        <v>241</v>
      </c>
      <c r="H858" s="4" t="s">
        <v>241</v>
      </c>
      <c r="I858" s="4" t="s">
        <v>272</v>
      </c>
      <c r="J858" s="4" t="s">
        <v>274</v>
      </c>
      <c r="K858" s="4" t="s">
        <v>251</v>
      </c>
      <c r="L858" s="4" t="s">
        <v>269</v>
      </c>
      <c r="M858" s="5" t="s">
        <v>1644</v>
      </c>
      <c r="N858" s="6">
        <f>1750</f>
        <v>1750</v>
      </c>
      <c r="O858" s="4" t="s">
        <v>265</v>
      </c>
      <c r="P858" s="6">
        <f>1</f>
        <v>1</v>
      </c>
      <c r="Q858" s="6">
        <f>0</f>
        <v>0</v>
      </c>
      <c r="S858" s="6">
        <f>0</f>
        <v>0</v>
      </c>
      <c r="T858" s="6">
        <f>1</f>
        <v>1</v>
      </c>
      <c r="U858" s="5" t="s">
        <v>245</v>
      </c>
      <c r="V858" s="4" t="s">
        <v>270</v>
      </c>
      <c r="W858" s="4" t="s">
        <v>271</v>
      </c>
      <c r="X858" s="4" t="s">
        <v>273</v>
      </c>
      <c r="Y858" s="4" t="s">
        <v>241</v>
      </c>
      <c r="AB858" s="4" t="s">
        <v>241</v>
      </c>
      <c r="AD858" s="5" t="s">
        <v>241</v>
      </c>
      <c r="AG858" s="5" t="s">
        <v>246</v>
      </c>
      <c r="AH858" s="4" t="s">
        <v>241</v>
      </c>
      <c r="AI858" s="4" t="s">
        <v>247</v>
      </c>
      <c r="AJ858" s="4" t="s">
        <v>248</v>
      </c>
      <c r="AZ858" s="4" t="s">
        <v>249</v>
      </c>
      <c r="BA858" s="4" t="s">
        <v>241</v>
      </c>
      <c r="BB858" s="4" t="s">
        <v>250</v>
      </c>
      <c r="BC858" s="4" t="s">
        <v>241</v>
      </c>
      <c r="BD858" s="4" t="s">
        <v>252</v>
      </c>
      <c r="BE858" s="4" t="s">
        <v>241</v>
      </c>
      <c r="BI858" s="4" t="s">
        <v>253</v>
      </c>
      <c r="BJ858" s="5" t="s">
        <v>246</v>
      </c>
      <c r="BK858" s="4" t="s">
        <v>254</v>
      </c>
      <c r="BL858" s="4" t="s">
        <v>255</v>
      </c>
      <c r="BM858" s="4" t="s">
        <v>241</v>
      </c>
      <c r="BN858" s="6">
        <f>0</f>
        <v>0</v>
      </c>
      <c r="BO858" s="6">
        <f>0</f>
        <v>0</v>
      </c>
      <c r="BP858" s="4" t="s">
        <v>256</v>
      </c>
      <c r="BQ858" s="4" t="s">
        <v>257</v>
      </c>
      <c r="CE858" s="4" t="s">
        <v>241</v>
      </c>
      <c r="CF858" s="4" t="s">
        <v>241</v>
      </c>
      <c r="CJ858" s="4" t="s">
        <v>276</v>
      </c>
      <c r="CK858" s="4" t="s">
        <v>259</v>
      </c>
      <c r="CL858" s="4" t="s">
        <v>241</v>
      </c>
      <c r="CO858" s="5" t="s">
        <v>260</v>
      </c>
      <c r="CP858" s="4" t="s">
        <v>241</v>
      </c>
      <c r="CQ858" s="4" t="s">
        <v>261</v>
      </c>
      <c r="CR858" s="4" t="s">
        <v>241</v>
      </c>
      <c r="CS858" s="4" t="s">
        <v>241</v>
      </c>
      <c r="CT858" s="4">
        <v>0</v>
      </c>
      <c r="CU858" s="4" t="s">
        <v>262</v>
      </c>
      <c r="CV858" s="4" t="s">
        <v>263</v>
      </c>
      <c r="CW858" s="4" t="s">
        <v>263</v>
      </c>
      <c r="CX858" s="4" t="s">
        <v>264</v>
      </c>
      <c r="DA858" s="6">
        <f>1</f>
        <v>1</v>
      </c>
      <c r="DC858" s="4" t="s">
        <v>277</v>
      </c>
      <c r="DD858" s="4" t="s">
        <v>241</v>
      </c>
      <c r="DF858" s="4" t="s">
        <v>277</v>
      </c>
      <c r="DG858" s="6">
        <f>1750</f>
        <v>1750</v>
      </c>
      <c r="DI858" s="4" t="s">
        <v>241</v>
      </c>
      <c r="DJ858" s="4" t="s">
        <v>241</v>
      </c>
      <c r="DK858" s="4" t="s">
        <v>241</v>
      </c>
      <c r="DL858" s="4" t="s">
        <v>241</v>
      </c>
      <c r="DP858" s="4" t="s">
        <v>241</v>
      </c>
      <c r="DQ858" s="4" t="s">
        <v>241</v>
      </c>
      <c r="DR858" s="4" t="s">
        <v>241</v>
      </c>
      <c r="DS858" s="4" t="s">
        <v>241</v>
      </c>
      <c r="DV858" s="4" t="s">
        <v>278</v>
      </c>
      <c r="DW858" s="4" t="s">
        <v>1645</v>
      </c>
      <c r="HO858" s="4" t="s">
        <v>267</v>
      </c>
    </row>
    <row r="859" spans="1:223" ht="19.5" customHeight="1" x14ac:dyDescent="0.4">
      <c r="A859" s="4">
        <v>1</v>
      </c>
      <c r="B859" s="4" t="s">
        <v>239</v>
      </c>
      <c r="C859" s="4">
        <v>2533</v>
      </c>
      <c r="D859" s="4">
        <v>1</v>
      </c>
      <c r="E859" s="4">
        <v>1</v>
      </c>
      <c r="F859" s="4" t="s">
        <v>268</v>
      </c>
      <c r="G859" s="4" t="s">
        <v>241</v>
      </c>
      <c r="H859" s="4" t="s">
        <v>241</v>
      </c>
      <c r="I859" s="4" t="s">
        <v>272</v>
      </c>
      <c r="J859" s="4" t="s">
        <v>274</v>
      </c>
      <c r="K859" s="4" t="s">
        <v>251</v>
      </c>
      <c r="L859" s="4" t="s">
        <v>269</v>
      </c>
      <c r="M859" s="5" t="s">
        <v>1642</v>
      </c>
      <c r="N859" s="6">
        <f>69</f>
        <v>69</v>
      </c>
      <c r="O859" s="4" t="s">
        <v>265</v>
      </c>
      <c r="P859" s="6">
        <f>1</f>
        <v>1</v>
      </c>
      <c r="Q859" s="6">
        <f>0</f>
        <v>0</v>
      </c>
      <c r="S859" s="6">
        <f>0</f>
        <v>0</v>
      </c>
      <c r="T859" s="6">
        <f>1</f>
        <v>1</v>
      </c>
      <c r="U859" s="5" t="s">
        <v>245</v>
      </c>
      <c r="V859" s="4" t="s">
        <v>270</v>
      </c>
      <c r="W859" s="4" t="s">
        <v>271</v>
      </c>
      <c r="X859" s="4" t="s">
        <v>273</v>
      </c>
      <c r="Y859" s="4" t="s">
        <v>241</v>
      </c>
      <c r="AB859" s="4" t="s">
        <v>241</v>
      </c>
      <c r="AD859" s="5" t="s">
        <v>241</v>
      </c>
      <c r="AG859" s="5" t="s">
        <v>246</v>
      </c>
      <c r="AH859" s="4" t="s">
        <v>241</v>
      </c>
      <c r="AI859" s="4" t="s">
        <v>247</v>
      </c>
      <c r="AJ859" s="4" t="s">
        <v>248</v>
      </c>
      <c r="AZ859" s="4" t="s">
        <v>249</v>
      </c>
      <c r="BA859" s="4" t="s">
        <v>241</v>
      </c>
      <c r="BB859" s="4" t="s">
        <v>250</v>
      </c>
      <c r="BC859" s="4" t="s">
        <v>241</v>
      </c>
      <c r="BD859" s="4" t="s">
        <v>252</v>
      </c>
      <c r="BE859" s="4" t="s">
        <v>241</v>
      </c>
      <c r="BI859" s="4" t="s">
        <v>253</v>
      </c>
      <c r="BJ859" s="5" t="s">
        <v>246</v>
      </c>
      <c r="BK859" s="4" t="s">
        <v>254</v>
      </c>
      <c r="BL859" s="4" t="s">
        <v>255</v>
      </c>
      <c r="BM859" s="4" t="s">
        <v>241</v>
      </c>
      <c r="BN859" s="6">
        <f>0</f>
        <v>0</v>
      </c>
      <c r="BO859" s="6">
        <f>0</f>
        <v>0</v>
      </c>
      <c r="BP859" s="4" t="s">
        <v>256</v>
      </c>
      <c r="BQ859" s="4" t="s">
        <v>257</v>
      </c>
      <c r="CE859" s="4" t="s">
        <v>241</v>
      </c>
      <c r="CF859" s="4" t="s">
        <v>241</v>
      </c>
      <c r="CJ859" s="4" t="s">
        <v>276</v>
      </c>
      <c r="CK859" s="4" t="s">
        <v>259</v>
      </c>
      <c r="CL859" s="4" t="s">
        <v>241</v>
      </c>
      <c r="CO859" s="5" t="s">
        <v>260</v>
      </c>
      <c r="CP859" s="4" t="s">
        <v>241</v>
      </c>
      <c r="CQ859" s="4" t="s">
        <v>261</v>
      </c>
      <c r="CR859" s="4" t="s">
        <v>241</v>
      </c>
      <c r="CS859" s="4" t="s">
        <v>241</v>
      </c>
      <c r="CT859" s="4">
        <v>0</v>
      </c>
      <c r="CU859" s="4" t="s">
        <v>262</v>
      </c>
      <c r="CV859" s="4" t="s">
        <v>263</v>
      </c>
      <c r="CW859" s="4" t="s">
        <v>263</v>
      </c>
      <c r="CX859" s="4" t="s">
        <v>264</v>
      </c>
      <c r="DA859" s="6">
        <f>1</f>
        <v>1</v>
      </c>
      <c r="DC859" s="4" t="s">
        <v>277</v>
      </c>
      <c r="DD859" s="4" t="s">
        <v>241</v>
      </c>
      <c r="DF859" s="4" t="s">
        <v>277</v>
      </c>
      <c r="DG859" s="6">
        <f>69</f>
        <v>69</v>
      </c>
      <c r="DI859" s="4" t="s">
        <v>241</v>
      </c>
      <c r="DJ859" s="4" t="s">
        <v>241</v>
      </c>
      <c r="DK859" s="4" t="s">
        <v>241</v>
      </c>
      <c r="DL859" s="4" t="s">
        <v>241</v>
      </c>
      <c r="DP859" s="4" t="s">
        <v>241</v>
      </c>
      <c r="DQ859" s="4" t="s">
        <v>241</v>
      </c>
      <c r="DR859" s="4" t="s">
        <v>241</v>
      </c>
      <c r="DS859" s="4" t="s">
        <v>241</v>
      </c>
      <c r="DV859" s="4" t="s">
        <v>278</v>
      </c>
      <c r="DW859" s="4" t="s">
        <v>1643</v>
      </c>
      <c r="HO859" s="4" t="s">
        <v>267</v>
      </c>
    </row>
    <row r="860" spans="1:223" ht="19.5" customHeight="1" x14ac:dyDescent="0.4">
      <c r="A860" s="4">
        <v>1</v>
      </c>
      <c r="B860" s="4" t="s">
        <v>239</v>
      </c>
      <c r="C860" s="4">
        <v>2534</v>
      </c>
      <c r="D860" s="4">
        <v>1</v>
      </c>
      <c r="E860" s="4">
        <v>1</v>
      </c>
      <c r="F860" s="4" t="s">
        <v>268</v>
      </c>
      <c r="G860" s="4" t="s">
        <v>241</v>
      </c>
      <c r="H860" s="4" t="s">
        <v>241</v>
      </c>
      <c r="I860" s="4" t="s">
        <v>272</v>
      </c>
      <c r="J860" s="4" t="s">
        <v>274</v>
      </c>
      <c r="K860" s="4" t="s">
        <v>251</v>
      </c>
      <c r="L860" s="4" t="s">
        <v>269</v>
      </c>
      <c r="M860" s="5" t="s">
        <v>1200</v>
      </c>
      <c r="N860" s="6">
        <f>1191</f>
        <v>1191</v>
      </c>
      <c r="O860" s="4" t="s">
        <v>265</v>
      </c>
      <c r="P860" s="6">
        <f>1</f>
        <v>1</v>
      </c>
      <c r="Q860" s="6">
        <f>0</f>
        <v>0</v>
      </c>
      <c r="S860" s="6">
        <f>0</f>
        <v>0</v>
      </c>
      <c r="T860" s="6">
        <f>1</f>
        <v>1</v>
      </c>
      <c r="U860" s="5" t="s">
        <v>245</v>
      </c>
      <c r="V860" s="4" t="s">
        <v>270</v>
      </c>
      <c r="W860" s="4" t="s">
        <v>271</v>
      </c>
      <c r="X860" s="4" t="s">
        <v>273</v>
      </c>
      <c r="Y860" s="4" t="s">
        <v>241</v>
      </c>
      <c r="AB860" s="4" t="s">
        <v>241</v>
      </c>
      <c r="AD860" s="5" t="s">
        <v>241</v>
      </c>
      <c r="AG860" s="5" t="s">
        <v>246</v>
      </c>
      <c r="AH860" s="4" t="s">
        <v>241</v>
      </c>
      <c r="AI860" s="4" t="s">
        <v>247</v>
      </c>
      <c r="AJ860" s="4" t="s">
        <v>248</v>
      </c>
      <c r="AZ860" s="4" t="s">
        <v>249</v>
      </c>
      <c r="BA860" s="4" t="s">
        <v>241</v>
      </c>
      <c r="BB860" s="4" t="s">
        <v>250</v>
      </c>
      <c r="BC860" s="4" t="s">
        <v>241</v>
      </c>
      <c r="BD860" s="4" t="s">
        <v>252</v>
      </c>
      <c r="BE860" s="4" t="s">
        <v>241</v>
      </c>
      <c r="BI860" s="4" t="s">
        <v>253</v>
      </c>
      <c r="BJ860" s="5" t="s">
        <v>246</v>
      </c>
      <c r="BK860" s="4" t="s">
        <v>254</v>
      </c>
      <c r="BL860" s="4" t="s">
        <v>255</v>
      </c>
      <c r="BM860" s="4" t="s">
        <v>241</v>
      </c>
      <c r="BN860" s="6">
        <f>0</f>
        <v>0</v>
      </c>
      <c r="BO860" s="6">
        <f>0</f>
        <v>0</v>
      </c>
      <c r="BP860" s="4" t="s">
        <v>256</v>
      </c>
      <c r="BQ860" s="4" t="s">
        <v>257</v>
      </c>
      <c r="CE860" s="4" t="s">
        <v>241</v>
      </c>
      <c r="CF860" s="4" t="s">
        <v>241</v>
      </c>
      <c r="CJ860" s="4" t="s">
        <v>276</v>
      </c>
      <c r="CK860" s="4" t="s">
        <v>259</v>
      </c>
      <c r="CL860" s="4" t="s">
        <v>241</v>
      </c>
      <c r="CO860" s="5" t="s">
        <v>260</v>
      </c>
      <c r="CP860" s="4" t="s">
        <v>241</v>
      </c>
      <c r="CQ860" s="4" t="s">
        <v>261</v>
      </c>
      <c r="CR860" s="4" t="s">
        <v>241</v>
      </c>
      <c r="CS860" s="4" t="s">
        <v>241</v>
      </c>
      <c r="CT860" s="4">
        <v>0</v>
      </c>
      <c r="CU860" s="4" t="s">
        <v>262</v>
      </c>
      <c r="CV860" s="4" t="s">
        <v>263</v>
      </c>
      <c r="CW860" s="4" t="s">
        <v>263</v>
      </c>
      <c r="CX860" s="4" t="s">
        <v>264</v>
      </c>
      <c r="DA860" s="6">
        <f>1</f>
        <v>1</v>
      </c>
      <c r="DC860" s="4" t="s">
        <v>277</v>
      </c>
      <c r="DD860" s="4" t="s">
        <v>241</v>
      </c>
      <c r="DF860" s="4" t="s">
        <v>277</v>
      </c>
      <c r="DG860" s="6">
        <f>1191</f>
        <v>1191</v>
      </c>
      <c r="DI860" s="4" t="s">
        <v>241</v>
      </c>
      <c r="DJ860" s="4" t="s">
        <v>241</v>
      </c>
      <c r="DK860" s="4" t="s">
        <v>241</v>
      </c>
      <c r="DL860" s="4" t="s">
        <v>241</v>
      </c>
      <c r="DP860" s="4" t="s">
        <v>241</v>
      </c>
      <c r="DQ860" s="4" t="s">
        <v>241</v>
      </c>
      <c r="DR860" s="4" t="s">
        <v>241</v>
      </c>
      <c r="DS860" s="4" t="s">
        <v>241</v>
      </c>
      <c r="DV860" s="4" t="s">
        <v>278</v>
      </c>
      <c r="DW860" s="4" t="s">
        <v>1201</v>
      </c>
      <c r="HO860" s="4" t="s">
        <v>267</v>
      </c>
    </row>
    <row r="861" spans="1:223" ht="19.5" customHeight="1" x14ac:dyDescent="0.4">
      <c r="A861" s="4">
        <v>1</v>
      </c>
      <c r="B861" s="4" t="s">
        <v>239</v>
      </c>
      <c r="C861" s="4">
        <v>2535</v>
      </c>
      <c r="D861" s="4">
        <v>1</v>
      </c>
      <c r="E861" s="4">
        <v>1</v>
      </c>
      <c r="F861" s="4" t="s">
        <v>268</v>
      </c>
      <c r="G861" s="4" t="s">
        <v>241</v>
      </c>
      <c r="H861" s="4" t="s">
        <v>241</v>
      </c>
      <c r="I861" s="4" t="s">
        <v>272</v>
      </c>
      <c r="J861" s="4" t="s">
        <v>274</v>
      </c>
      <c r="K861" s="4" t="s">
        <v>251</v>
      </c>
      <c r="L861" s="4" t="s">
        <v>269</v>
      </c>
      <c r="M861" s="5" t="s">
        <v>1640</v>
      </c>
      <c r="N861" s="6">
        <f>4460</f>
        <v>4460</v>
      </c>
      <c r="O861" s="4" t="s">
        <v>265</v>
      </c>
      <c r="P861" s="6">
        <f>1</f>
        <v>1</v>
      </c>
      <c r="Q861" s="6">
        <f>0</f>
        <v>0</v>
      </c>
      <c r="S861" s="6">
        <f>0</f>
        <v>0</v>
      </c>
      <c r="T861" s="6">
        <f>1</f>
        <v>1</v>
      </c>
      <c r="U861" s="5" t="s">
        <v>245</v>
      </c>
      <c r="V861" s="4" t="s">
        <v>270</v>
      </c>
      <c r="W861" s="4" t="s">
        <v>271</v>
      </c>
      <c r="X861" s="4" t="s">
        <v>273</v>
      </c>
      <c r="Y861" s="4" t="s">
        <v>241</v>
      </c>
      <c r="AB861" s="4" t="s">
        <v>241</v>
      </c>
      <c r="AD861" s="5" t="s">
        <v>241</v>
      </c>
      <c r="AG861" s="5" t="s">
        <v>246</v>
      </c>
      <c r="AH861" s="4" t="s">
        <v>241</v>
      </c>
      <c r="AI861" s="4" t="s">
        <v>247</v>
      </c>
      <c r="AJ861" s="4" t="s">
        <v>248</v>
      </c>
      <c r="AZ861" s="4" t="s">
        <v>249</v>
      </c>
      <c r="BA861" s="4" t="s">
        <v>241</v>
      </c>
      <c r="BB861" s="4" t="s">
        <v>250</v>
      </c>
      <c r="BC861" s="4" t="s">
        <v>241</v>
      </c>
      <c r="BD861" s="4" t="s">
        <v>252</v>
      </c>
      <c r="BE861" s="4" t="s">
        <v>241</v>
      </c>
      <c r="BI861" s="4" t="s">
        <v>253</v>
      </c>
      <c r="BJ861" s="5" t="s">
        <v>246</v>
      </c>
      <c r="BK861" s="4" t="s">
        <v>254</v>
      </c>
      <c r="BL861" s="4" t="s">
        <v>255</v>
      </c>
      <c r="BM861" s="4" t="s">
        <v>241</v>
      </c>
      <c r="BN861" s="6">
        <f>0</f>
        <v>0</v>
      </c>
      <c r="BO861" s="6">
        <f>0</f>
        <v>0</v>
      </c>
      <c r="BP861" s="4" t="s">
        <v>256</v>
      </c>
      <c r="BQ861" s="4" t="s">
        <v>257</v>
      </c>
      <c r="CE861" s="4" t="s">
        <v>241</v>
      </c>
      <c r="CF861" s="4" t="s">
        <v>241</v>
      </c>
      <c r="CJ861" s="4" t="s">
        <v>276</v>
      </c>
      <c r="CK861" s="4" t="s">
        <v>259</v>
      </c>
      <c r="CL861" s="4" t="s">
        <v>241</v>
      </c>
      <c r="CO861" s="5" t="s">
        <v>260</v>
      </c>
      <c r="CP861" s="4" t="s">
        <v>241</v>
      </c>
      <c r="CQ861" s="4" t="s">
        <v>261</v>
      </c>
      <c r="CR861" s="4" t="s">
        <v>241</v>
      </c>
      <c r="CS861" s="4" t="s">
        <v>241</v>
      </c>
      <c r="CT861" s="4">
        <v>0</v>
      </c>
      <c r="CU861" s="4" t="s">
        <v>262</v>
      </c>
      <c r="CV861" s="4" t="s">
        <v>263</v>
      </c>
      <c r="CW861" s="4" t="s">
        <v>263</v>
      </c>
      <c r="CX861" s="4" t="s">
        <v>264</v>
      </c>
      <c r="DA861" s="6">
        <f>1</f>
        <v>1</v>
      </c>
      <c r="DC861" s="4" t="s">
        <v>277</v>
      </c>
      <c r="DD861" s="4" t="s">
        <v>241</v>
      </c>
      <c r="DF861" s="4" t="s">
        <v>277</v>
      </c>
      <c r="DG861" s="6">
        <f>4460</f>
        <v>4460</v>
      </c>
      <c r="DI861" s="4" t="s">
        <v>241</v>
      </c>
      <c r="DJ861" s="4" t="s">
        <v>241</v>
      </c>
      <c r="DK861" s="4" t="s">
        <v>241</v>
      </c>
      <c r="DL861" s="4" t="s">
        <v>241</v>
      </c>
      <c r="DP861" s="4" t="s">
        <v>241</v>
      </c>
      <c r="DQ861" s="4" t="s">
        <v>241</v>
      </c>
      <c r="DR861" s="4" t="s">
        <v>241</v>
      </c>
      <c r="DS861" s="4" t="s">
        <v>241</v>
      </c>
      <c r="DV861" s="4" t="s">
        <v>278</v>
      </c>
      <c r="DW861" s="4" t="s">
        <v>1641</v>
      </c>
      <c r="HO861" s="4" t="s">
        <v>267</v>
      </c>
    </row>
    <row r="862" spans="1:223" ht="19.5" customHeight="1" x14ac:dyDescent="0.4">
      <c r="A862" s="4">
        <v>1</v>
      </c>
      <c r="B862" s="4" t="s">
        <v>239</v>
      </c>
      <c r="C862" s="4">
        <v>2536</v>
      </c>
      <c r="D862" s="4">
        <v>1</v>
      </c>
      <c r="E862" s="4">
        <v>1</v>
      </c>
      <c r="F862" s="4" t="s">
        <v>268</v>
      </c>
      <c r="G862" s="4" t="s">
        <v>241</v>
      </c>
      <c r="H862" s="4" t="s">
        <v>241</v>
      </c>
      <c r="I862" s="4" t="s">
        <v>272</v>
      </c>
      <c r="J862" s="4" t="s">
        <v>274</v>
      </c>
      <c r="K862" s="4" t="s">
        <v>251</v>
      </c>
      <c r="L862" s="4" t="s">
        <v>269</v>
      </c>
      <c r="M862" s="5" t="s">
        <v>1636</v>
      </c>
      <c r="N862" s="6">
        <f>913</f>
        <v>913</v>
      </c>
      <c r="O862" s="4" t="s">
        <v>265</v>
      </c>
      <c r="P862" s="6">
        <f>1</f>
        <v>1</v>
      </c>
      <c r="Q862" s="6">
        <f>0</f>
        <v>0</v>
      </c>
      <c r="S862" s="6">
        <f>0</f>
        <v>0</v>
      </c>
      <c r="T862" s="6">
        <f>1</f>
        <v>1</v>
      </c>
      <c r="U862" s="5" t="s">
        <v>245</v>
      </c>
      <c r="V862" s="4" t="s">
        <v>270</v>
      </c>
      <c r="W862" s="4" t="s">
        <v>271</v>
      </c>
      <c r="X862" s="4" t="s">
        <v>273</v>
      </c>
      <c r="Y862" s="4" t="s">
        <v>241</v>
      </c>
      <c r="AB862" s="4" t="s">
        <v>241</v>
      </c>
      <c r="AD862" s="5" t="s">
        <v>241</v>
      </c>
      <c r="AG862" s="5" t="s">
        <v>246</v>
      </c>
      <c r="AH862" s="4" t="s">
        <v>241</v>
      </c>
      <c r="AI862" s="4" t="s">
        <v>247</v>
      </c>
      <c r="AJ862" s="4" t="s">
        <v>248</v>
      </c>
      <c r="AZ862" s="4" t="s">
        <v>249</v>
      </c>
      <c r="BA862" s="4" t="s">
        <v>241</v>
      </c>
      <c r="BB862" s="4" t="s">
        <v>250</v>
      </c>
      <c r="BC862" s="4" t="s">
        <v>241</v>
      </c>
      <c r="BD862" s="4" t="s">
        <v>252</v>
      </c>
      <c r="BE862" s="4" t="s">
        <v>241</v>
      </c>
      <c r="BI862" s="4" t="s">
        <v>253</v>
      </c>
      <c r="BJ862" s="5" t="s">
        <v>246</v>
      </c>
      <c r="BK862" s="4" t="s">
        <v>254</v>
      </c>
      <c r="BL862" s="4" t="s">
        <v>255</v>
      </c>
      <c r="BM862" s="4" t="s">
        <v>241</v>
      </c>
      <c r="BN862" s="6">
        <f>0</f>
        <v>0</v>
      </c>
      <c r="BO862" s="6">
        <f>0</f>
        <v>0</v>
      </c>
      <c r="BP862" s="4" t="s">
        <v>256</v>
      </c>
      <c r="BQ862" s="4" t="s">
        <v>257</v>
      </c>
      <c r="CE862" s="4" t="s">
        <v>241</v>
      </c>
      <c r="CF862" s="4" t="s">
        <v>241</v>
      </c>
      <c r="CJ862" s="4" t="s">
        <v>276</v>
      </c>
      <c r="CK862" s="4" t="s">
        <v>259</v>
      </c>
      <c r="CL862" s="4" t="s">
        <v>241</v>
      </c>
      <c r="CO862" s="5" t="s">
        <v>260</v>
      </c>
      <c r="CP862" s="4" t="s">
        <v>241</v>
      </c>
      <c r="CQ862" s="4" t="s">
        <v>261</v>
      </c>
      <c r="CR862" s="4" t="s">
        <v>241</v>
      </c>
      <c r="CS862" s="4" t="s">
        <v>241</v>
      </c>
      <c r="CT862" s="4">
        <v>0</v>
      </c>
      <c r="CU862" s="4" t="s">
        <v>262</v>
      </c>
      <c r="CV862" s="4" t="s">
        <v>263</v>
      </c>
      <c r="CW862" s="4" t="s">
        <v>263</v>
      </c>
      <c r="CX862" s="4" t="s">
        <v>264</v>
      </c>
      <c r="DA862" s="6">
        <f>1</f>
        <v>1</v>
      </c>
      <c r="DC862" s="4" t="s">
        <v>277</v>
      </c>
      <c r="DD862" s="4" t="s">
        <v>241</v>
      </c>
      <c r="DF862" s="4" t="s">
        <v>277</v>
      </c>
      <c r="DG862" s="6">
        <f>913</f>
        <v>913</v>
      </c>
      <c r="DI862" s="4" t="s">
        <v>241</v>
      </c>
      <c r="DJ862" s="4" t="s">
        <v>241</v>
      </c>
      <c r="DK862" s="4" t="s">
        <v>241</v>
      </c>
      <c r="DL862" s="4" t="s">
        <v>241</v>
      </c>
      <c r="DP862" s="4" t="s">
        <v>241</v>
      </c>
      <c r="DQ862" s="4" t="s">
        <v>241</v>
      </c>
      <c r="DR862" s="4" t="s">
        <v>241</v>
      </c>
      <c r="DS862" s="4" t="s">
        <v>241</v>
      </c>
      <c r="DV862" s="4" t="s">
        <v>278</v>
      </c>
      <c r="DW862" s="4" t="s">
        <v>1637</v>
      </c>
      <c r="HO862" s="4" t="s">
        <v>267</v>
      </c>
    </row>
    <row r="863" spans="1:223" ht="19.5" customHeight="1" x14ac:dyDescent="0.4">
      <c r="A863" s="4">
        <v>1</v>
      </c>
      <c r="B863" s="4" t="s">
        <v>239</v>
      </c>
      <c r="C863" s="4">
        <v>2537</v>
      </c>
      <c r="D863" s="4">
        <v>1</v>
      </c>
      <c r="E863" s="4">
        <v>1</v>
      </c>
      <c r="F863" s="4" t="s">
        <v>268</v>
      </c>
      <c r="G863" s="4" t="s">
        <v>241</v>
      </c>
      <c r="H863" s="4" t="s">
        <v>241</v>
      </c>
      <c r="I863" s="4" t="s">
        <v>272</v>
      </c>
      <c r="J863" s="4" t="s">
        <v>274</v>
      </c>
      <c r="K863" s="4" t="s">
        <v>251</v>
      </c>
      <c r="L863" s="4" t="s">
        <v>269</v>
      </c>
      <c r="M863" s="5" t="s">
        <v>1634</v>
      </c>
      <c r="N863" s="6">
        <f>1760</f>
        <v>1760</v>
      </c>
      <c r="O863" s="4" t="s">
        <v>265</v>
      </c>
      <c r="P863" s="6">
        <f>1</f>
        <v>1</v>
      </c>
      <c r="Q863" s="6">
        <f>0</f>
        <v>0</v>
      </c>
      <c r="S863" s="6">
        <f>0</f>
        <v>0</v>
      </c>
      <c r="T863" s="6">
        <f>1</f>
        <v>1</v>
      </c>
      <c r="U863" s="5" t="s">
        <v>245</v>
      </c>
      <c r="V863" s="4" t="s">
        <v>270</v>
      </c>
      <c r="W863" s="4" t="s">
        <v>271</v>
      </c>
      <c r="X863" s="4" t="s">
        <v>273</v>
      </c>
      <c r="Y863" s="4" t="s">
        <v>241</v>
      </c>
      <c r="AB863" s="4" t="s">
        <v>241</v>
      </c>
      <c r="AD863" s="5" t="s">
        <v>241</v>
      </c>
      <c r="AG863" s="5" t="s">
        <v>246</v>
      </c>
      <c r="AH863" s="4" t="s">
        <v>241</v>
      </c>
      <c r="AI863" s="4" t="s">
        <v>247</v>
      </c>
      <c r="AJ863" s="4" t="s">
        <v>248</v>
      </c>
      <c r="AZ863" s="4" t="s">
        <v>249</v>
      </c>
      <c r="BA863" s="4" t="s">
        <v>241</v>
      </c>
      <c r="BB863" s="4" t="s">
        <v>250</v>
      </c>
      <c r="BC863" s="4" t="s">
        <v>241</v>
      </c>
      <c r="BD863" s="4" t="s">
        <v>252</v>
      </c>
      <c r="BE863" s="4" t="s">
        <v>241</v>
      </c>
      <c r="BI863" s="4" t="s">
        <v>253</v>
      </c>
      <c r="BJ863" s="5" t="s">
        <v>246</v>
      </c>
      <c r="BK863" s="4" t="s">
        <v>254</v>
      </c>
      <c r="BL863" s="4" t="s">
        <v>255</v>
      </c>
      <c r="BM863" s="4" t="s">
        <v>241</v>
      </c>
      <c r="BN863" s="6">
        <f>0</f>
        <v>0</v>
      </c>
      <c r="BO863" s="6">
        <f>0</f>
        <v>0</v>
      </c>
      <c r="BP863" s="4" t="s">
        <v>256</v>
      </c>
      <c r="BQ863" s="4" t="s">
        <v>257</v>
      </c>
      <c r="CE863" s="4" t="s">
        <v>241</v>
      </c>
      <c r="CF863" s="4" t="s">
        <v>241</v>
      </c>
      <c r="CJ863" s="4" t="s">
        <v>276</v>
      </c>
      <c r="CK863" s="4" t="s">
        <v>259</v>
      </c>
      <c r="CL863" s="4" t="s">
        <v>241</v>
      </c>
      <c r="CO863" s="5" t="s">
        <v>260</v>
      </c>
      <c r="CP863" s="4" t="s">
        <v>241</v>
      </c>
      <c r="CQ863" s="4" t="s">
        <v>261</v>
      </c>
      <c r="CR863" s="4" t="s">
        <v>241</v>
      </c>
      <c r="CS863" s="4" t="s">
        <v>241</v>
      </c>
      <c r="CT863" s="4">
        <v>0</v>
      </c>
      <c r="CU863" s="4" t="s">
        <v>262</v>
      </c>
      <c r="CV863" s="4" t="s">
        <v>263</v>
      </c>
      <c r="CW863" s="4" t="s">
        <v>263</v>
      </c>
      <c r="CX863" s="4" t="s">
        <v>264</v>
      </c>
      <c r="DA863" s="6">
        <f>1</f>
        <v>1</v>
      </c>
      <c r="DC863" s="4" t="s">
        <v>277</v>
      </c>
      <c r="DD863" s="4" t="s">
        <v>241</v>
      </c>
      <c r="DF863" s="4" t="s">
        <v>277</v>
      </c>
      <c r="DG863" s="6">
        <f>1760</f>
        <v>1760</v>
      </c>
      <c r="DI863" s="4" t="s">
        <v>241</v>
      </c>
      <c r="DJ863" s="4" t="s">
        <v>241</v>
      </c>
      <c r="DK863" s="4" t="s">
        <v>241</v>
      </c>
      <c r="DL863" s="4" t="s">
        <v>241</v>
      </c>
      <c r="DP863" s="4" t="s">
        <v>241</v>
      </c>
      <c r="DQ863" s="4" t="s">
        <v>241</v>
      </c>
      <c r="DR863" s="4" t="s">
        <v>241</v>
      </c>
      <c r="DS863" s="4" t="s">
        <v>241</v>
      </c>
      <c r="DV863" s="4" t="s">
        <v>278</v>
      </c>
      <c r="DW863" s="4" t="s">
        <v>1635</v>
      </c>
      <c r="HO863" s="4" t="s">
        <v>267</v>
      </c>
    </row>
    <row r="864" spans="1:223" ht="19.5" customHeight="1" x14ac:dyDescent="0.4">
      <c r="A864" s="4">
        <v>1</v>
      </c>
      <c r="B864" s="4" t="s">
        <v>239</v>
      </c>
      <c r="C864" s="4">
        <v>2538</v>
      </c>
      <c r="D864" s="4">
        <v>1</v>
      </c>
      <c r="E864" s="4">
        <v>1</v>
      </c>
      <c r="F864" s="4" t="s">
        <v>268</v>
      </c>
      <c r="G864" s="4" t="s">
        <v>241</v>
      </c>
      <c r="H864" s="4" t="s">
        <v>241</v>
      </c>
      <c r="I864" s="4" t="s">
        <v>272</v>
      </c>
      <c r="J864" s="4" t="s">
        <v>274</v>
      </c>
      <c r="K864" s="4" t="s">
        <v>251</v>
      </c>
      <c r="L864" s="4" t="s">
        <v>269</v>
      </c>
      <c r="M864" s="5" t="s">
        <v>1632</v>
      </c>
      <c r="N864" s="6">
        <f>161</f>
        <v>161</v>
      </c>
      <c r="O864" s="4" t="s">
        <v>265</v>
      </c>
      <c r="P864" s="6">
        <f>1</f>
        <v>1</v>
      </c>
      <c r="Q864" s="6">
        <f>0</f>
        <v>0</v>
      </c>
      <c r="S864" s="6">
        <f>0</f>
        <v>0</v>
      </c>
      <c r="T864" s="6">
        <f>1</f>
        <v>1</v>
      </c>
      <c r="U864" s="5" t="s">
        <v>245</v>
      </c>
      <c r="V864" s="4" t="s">
        <v>270</v>
      </c>
      <c r="W864" s="4" t="s">
        <v>271</v>
      </c>
      <c r="X864" s="4" t="s">
        <v>273</v>
      </c>
      <c r="Y864" s="4" t="s">
        <v>241</v>
      </c>
      <c r="AB864" s="4" t="s">
        <v>241</v>
      </c>
      <c r="AD864" s="5" t="s">
        <v>241</v>
      </c>
      <c r="AG864" s="5" t="s">
        <v>246</v>
      </c>
      <c r="AH864" s="4" t="s">
        <v>241</v>
      </c>
      <c r="AI864" s="4" t="s">
        <v>247</v>
      </c>
      <c r="AJ864" s="4" t="s">
        <v>248</v>
      </c>
      <c r="AZ864" s="4" t="s">
        <v>249</v>
      </c>
      <c r="BA864" s="4" t="s">
        <v>241</v>
      </c>
      <c r="BB864" s="4" t="s">
        <v>250</v>
      </c>
      <c r="BC864" s="4" t="s">
        <v>241</v>
      </c>
      <c r="BD864" s="4" t="s">
        <v>252</v>
      </c>
      <c r="BE864" s="4" t="s">
        <v>241</v>
      </c>
      <c r="BI864" s="4" t="s">
        <v>253</v>
      </c>
      <c r="BJ864" s="5" t="s">
        <v>246</v>
      </c>
      <c r="BK864" s="4" t="s">
        <v>254</v>
      </c>
      <c r="BL864" s="4" t="s">
        <v>255</v>
      </c>
      <c r="BM864" s="4" t="s">
        <v>241</v>
      </c>
      <c r="BN864" s="6">
        <f>0</f>
        <v>0</v>
      </c>
      <c r="BO864" s="6">
        <f>0</f>
        <v>0</v>
      </c>
      <c r="BP864" s="4" t="s">
        <v>256</v>
      </c>
      <c r="BQ864" s="4" t="s">
        <v>257</v>
      </c>
      <c r="CE864" s="4" t="s">
        <v>241</v>
      </c>
      <c r="CF864" s="4" t="s">
        <v>241</v>
      </c>
      <c r="CJ864" s="4" t="s">
        <v>276</v>
      </c>
      <c r="CK864" s="4" t="s">
        <v>259</v>
      </c>
      <c r="CL864" s="4" t="s">
        <v>241</v>
      </c>
      <c r="CO864" s="5" t="s">
        <v>260</v>
      </c>
      <c r="CP864" s="4" t="s">
        <v>241</v>
      </c>
      <c r="CQ864" s="4" t="s">
        <v>261</v>
      </c>
      <c r="CR864" s="4" t="s">
        <v>241</v>
      </c>
      <c r="CS864" s="4" t="s">
        <v>241</v>
      </c>
      <c r="CT864" s="4">
        <v>0</v>
      </c>
      <c r="CU864" s="4" t="s">
        <v>262</v>
      </c>
      <c r="CV864" s="4" t="s">
        <v>263</v>
      </c>
      <c r="CW864" s="4" t="s">
        <v>263</v>
      </c>
      <c r="CX864" s="4" t="s">
        <v>264</v>
      </c>
      <c r="DA864" s="6">
        <f>1</f>
        <v>1</v>
      </c>
      <c r="DC864" s="4" t="s">
        <v>277</v>
      </c>
      <c r="DD864" s="4" t="s">
        <v>241</v>
      </c>
      <c r="DF864" s="4" t="s">
        <v>277</v>
      </c>
      <c r="DG864" s="6">
        <f>161</f>
        <v>161</v>
      </c>
      <c r="DI864" s="4" t="s">
        <v>241</v>
      </c>
      <c r="DJ864" s="4" t="s">
        <v>241</v>
      </c>
      <c r="DK864" s="4" t="s">
        <v>241</v>
      </c>
      <c r="DL864" s="4" t="s">
        <v>241</v>
      </c>
      <c r="DP864" s="4" t="s">
        <v>241</v>
      </c>
      <c r="DQ864" s="4" t="s">
        <v>241</v>
      </c>
      <c r="DR864" s="4" t="s">
        <v>241</v>
      </c>
      <c r="DS864" s="4" t="s">
        <v>241</v>
      </c>
      <c r="DV864" s="4" t="s">
        <v>278</v>
      </c>
      <c r="DW864" s="4" t="s">
        <v>1633</v>
      </c>
      <c r="HO864" s="4" t="s">
        <v>267</v>
      </c>
    </row>
    <row r="865" spans="1:223" ht="19.5" customHeight="1" x14ac:dyDescent="0.4">
      <c r="A865" s="4">
        <v>1</v>
      </c>
      <c r="B865" s="4" t="s">
        <v>239</v>
      </c>
      <c r="C865" s="4">
        <v>2539</v>
      </c>
      <c r="D865" s="4">
        <v>1</v>
      </c>
      <c r="E865" s="4">
        <v>1</v>
      </c>
      <c r="F865" s="4" t="s">
        <v>268</v>
      </c>
      <c r="G865" s="4" t="s">
        <v>241</v>
      </c>
      <c r="H865" s="4" t="s">
        <v>241</v>
      </c>
      <c r="I865" s="4" t="s">
        <v>272</v>
      </c>
      <c r="J865" s="4" t="s">
        <v>274</v>
      </c>
      <c r="K865" s="4" t="s">
        <v>251</v>
      </c>
      <c r="L865" s="4" t="s">
        <v>269</v>
      </c>
      <c r="M865" s="5" t="s">
        <v>1630</v>
      </c>
      <c r="N865" s="6">
        <f>3493</f>
        <v>3493</v>
      </c>
      <c r="O865" s="4" t="s">
        <v>265</v>
      </c>
      <c r="P865" s="6">
        <f>1</f>
        <v>1</v>
      </c>
      <c r="Q865" s="6">
        <f>0</f>
        <v>0</v>
      </c>
      <c r="S865" s="6">
        <f>0</f>
        <v>0</v>
      </c>
      <c r="T865" s="6">
        <f>1</f>
        <v>1</v>
      </c>
      <c r="U865" s="5" t="s">
        <v>245</v>
      </c>
      <c r="V865" s="4" t="s">
        <v>270</v>
      </c>
      <c r="W865" s="4" t="s">
        <v>271</v>
      </c>
      <c r="X865" s="4" t="s">
        <v>273</v>
      </c>
      <c r="Y865" s="4" t="s">
        <v>241</v>
      </c>
      <c r="AB865" s="4" t="s">
        <v>241</v>
      </c>
      <c r="AD865" s="5" t="s">
        <v>241</v>
      </c>
      <c r="AG865" s="5" t="s">
        <v>246</v>
      </c>
      <c r="AH865" s="4" t="s">
        <v>241</v>
      </c>
      <c r="AI865" s="4" t="s">
        <v>247</v>
      </c>
      <c r="AJ865" s="4" t="s">
        <v>248</v>
      </c>
      <c r="AZ865" s="4" t="s">
        <v>249</v>
      </c>
      <c r="BA865" s="4" t="s">
        <v>241</v>
      </c>
      <c r="BB865" s="4" t="s">
        <v>250</v>
      </c>
      <c r="BC865" s="4" t="s">
        <v>241</v>
      </c>
      <c r="BD865" s="4" t="s">
        <v>252</v>
      </c>
      <c r="BE865" s="4" t="s">
        <v>241</v>
      </c>
      <c r="BI865" s="4" t="s">
        <v>253</v>
      </c>
      <c r="BJ865" s="5" t="s">
        <v>246</v>
      </c>
      <c r="BK865" s="4" t="s">
        <v>254</v>
      </c>
      <c r="BL865" s="4" t="s">
        <v>255</v>
      </c>
      <c r="BM865" s="4" t="s">
        <v>241</v>
      </c>
      <c r="BN865" s="6">
        <f>0</f>
        <v>0</v>
      </c>
      <c r="BO865" s="6">
        <f>0</f>
        <v>0</v>
      </c>
      <c r="BP865" s="4" t="s">
        <v>256</v>
      </c>
      <c r="BQ865" s="4" t="s">
        <v>257</v>
      </c>
      <c r="CE865" s="4" t="s">
        <v>241</v>
      </c>
      <c r="CF865" s="4" t="s">
        <v>241</v>
      </c>
      <c r="CJ865" s="4" t="s">
        <v>276</v>
      </c>
      <c r="CK865" s="4" t="s">
        <v>259</v>
      </c>
      <c r="CL865" s="4" t="s">
        <v>241</v>
      </c>
      <c r="CO865" s="5" t="s">
        <v>260</v>
      </c>
      <c r="CP865" s="4" t="s">
        <v>241</v>
      </c>
      <c r="CQ865" s="4" t="s">
        <v>261</v>
      </c>
      <c r="CR865" s="4" t="s">
        <v>241</v>
      </c>
      <c r="CS865" s="4" t="s">
        <v>241</v>
      </c>
      <c r="CT865" s="4">
        <v>0</v>
      </c>
      <c r="CU865" s="4" t="s">
        <v>262</v>
      </c>
      <c r="CV865" s="4" t="s">
        <v>263</v>
      </c>
      <c r="CW865" s="4" t="s">
        <v>263</v>
      </c>
      <c r="CX865" s="4" t="s">
        <v>264</v>
      </c>
      <c r="DA865" s="6">
        <f>1</f>
        <v>1</v>
      </c>
      <c r="DC865" s="4" t="s">
        <v>277</v>
      </c>
      <c r="DD865" s="4" t="s">
        <v>241</v>
      </c>
      <c r="DF865" s="4" t="s">
        <v>277</v>
      </c>
      <c r="DG865" s="6">
        <f>3493</f>
        <v>3493</v>
      </c>
      <c r="DI865" s="4" t="s">
        <v>241</v>
      </c>
      <c r="DJ865" s="4" t="s">
        <v>241</v>
      </c>
      <c r="DK865" s="4" t="s">
        <v>241</v>
      </c>
      <c r="DL865" s="4" t="s">
        <v>241</v>
      </c>
      <c r="DP865" s="4" t="s">
        <v>241</v>
      </c>
      <c r="DQ865" s="4" t="s">
        <v>241</v>
      </c>
      <c r="DR865" s="4" t="s">
        <v>241</v>
      </c>
      <c r="DS865" s="4" t="s">
        <v>241</v>
      </c>
      <c r="DV865" s="4" t="s">
        <v>278</v>
      </c>
      <c r="DW865" s="4" t="s">
        <v>1631</v>
      </c>
      <c r="HO865" s="4" t="s">
        <v>267</v>
      </c>
    </row>
    <row r="866" spans="1:223" ht="19.5" customHeight="1" x14ac:dyDescent="0.4">
      <c r="A866" s="4">
        <v>1</v>
      </c>
      <c r="B866" s="4" t="s">
        <v>239</v>
      </c>
      <c r="C866" s="4">
        <v>2540</v>
      </c>
      <c r="D866" s="4">
        <v>1</v>
      </c>
      <c r="E866" s="4">
        <v>1</v>
      </c>
      <c r="F866" s="4" t="s">
        <v>268</v>
      </c>
      <c r="G866" s="4" t="s">
        <v>241</v>
      </c>
      <c r="H866" s="4" t="s">
        <v>241</v>
      </c>
      <c r="I866" s="4" t="s">
        <v>272</v>
      </c>
      <c r="J866" s="4" t="s">
        <v>274</v>
      </c>
      <c r="K866" s="4" t="s">
        <v>251</v>
      </c>
      <c r="L866" s="4" t="s">
        <v>269</v>
      </c>
      <c r="M866" s="5" t="s">
        <v>1931</v>
      </c>
      <c r="N866" s="6">
        <f>793</f>
        <v>793</v>
      </c>
      <c r="O866" s="4" t="s">
        <v>265</v>
      </c>
      <c r="P866" s="6">
        <f>1</f>
        <v>1</v>
      </c>
      <c r="Q866" s="6">
        <f>0</f>
        <v>0</v>
      </c>
      <c r="S866" s="6">
        <f>0</f>
        <v>0</v>
      </c>
      <c r="T866" s="6">
        <f>1</f>
        <v>1</v>
      </c>
      <c r="U866" s="5" t="s">
        <v>245</v>
      </c>
      <c r="V866" s="4" t="s">
        <v>270</v>
      </c>
      <c r="W866" s="4" t="s">
        <v>271</v>
      </c>
      <c r="X866" s="4" t="s">
        <v>273</v>
      </c>
      <c r="Y866" s="4" t="s">
        <v>241</v>
      </c>
      <c r="AB866" s="4" t="s">
        <v>241</v>
      </c>
      <c r="AD866" s="5" t="s">
        <v>241</v>
      </c>
      <c r="AG866" s="5" t="s">
        <v>246</v>
      </c>
      <c r="AH866" s="4" t="s">
        <v>241</v>
      </c>
      <c r="AI866" s="4" t="s">
        <v>247</v>
      </c>
      <c r="AJ866" s="4" t="s">
        <v>248</v>
      </c>
      <c r="AZ866" s="4" t="s">
        <v>249</v>
      </c>
      <c r="BA866" s="4" t="s">
        <v>241</v>
      </c>
      <c r="BB866" s="4" t="s">
        <v>250</v>
      </c>
      <c r="BC866" s="4" t="s">
        <v>241</v>
      </c>
      <c r="BD866" s="4" t="s">
        <v>252</v>
      </c>
      <c r="BE866" s="4" t="s">
        <v>241</v>
      </c>
      <c r="BI866" s="4" t="s">
        <v>253</v>
      </c>
      <c r="BJ866" s="5" t="s">
        <v>246</v>
      </c>
      <c r="BK866" s="4" t="s">
        <v>254</v>
      </c>
      <c r="BL866" s="4" t="s">
        <v>255</v>
      </c>
      <c r="BM866" s="4" t="s">
        <v>241</v>
      </c>
      <c r="BN866" s="6">
        <f>0</f>
        <v>0</v>
      </c>
      <c r="BO866" s="6">
        <f>0</f>
        <v>0</v>
      </c>
      <c r="BP866" s="4" t="s">
        <v>256</v>
      </c>
      <c r="BQ866" s="4" t="s">
        <v>257</v>
      </c>
      <c r="CE866" s="4" t="s">
        <v>241</v>
      </c>
      <c r="CF866" s="4" t="s">
        <v>241</v>
      </c>
      <c r="CJ866" s="4" t="s">
        <v>276</v>
      </c>
      <c r="CK866" s="4" t="s">
        <v>259</v>
      </c>
      <c r="CL866" s="4" t="s">
        <v>241</v>
      </c>
      <c r="CO866" s="5" t="s">
        <v>260</v>
      </c>
      <c r="CP866" s="4" t="s">
        <v>241</v>
      </c>
      <c r="CQ866" s="4" t="s">
        <v>261</v>
      </c>
      <c r="CR866" s="4" t="s">
        <v>241</v>
      </c>
      <c r="CS866" s="4" t="s">
        <v>241</v>
      </c>
      <c r="CT866" s="4">
        <v>0</v>
      </c>
      <c r="CU866" s="4" t="s">
        <v>262</v>
      </c>
      <c r="CV866" s="4" t="s">
        <v>263</v>
      </c>
      <c r="CW866" s="4" t="s">
        <v>263</v>
      </c>
      <c r="CX866" s="4" t="s">
        <v>264</v>
      </c>
      <c r="DA866" s="6">
        <f>1</f>
        <v>1</v>
      </c>
      <c r="DC866" s="4" t="s">
        <v>277</v>
      </c>
      <c r="DD866" s="4" t="s">
        <v>241</v>
      </c>
      <c r="DF866" s="4" t="s">
        <v>277</v>
      </c>
      <c r="DG866" s="6">
        <f>793</f>
        <v>793</v>
      </c>
      <c r="DI866" s="4" t="s">
        <v>241</v>
      </c>
      <c r="DJ866" s="4" t="s">
        <v>241</v>
      </c>
      <c r="DK866" s="4" t="s">
        <v>241</v>
      </c>
      <c r="DL866" s="4" t="s">
        <v>241</v>
      </c>
      <c r="DP866" s="4" t="s">
        <v>241</v>
      </c>
      <c r="DQ866" s="4" t="s">
        <v>241</v>
      </c>
      <c r="DR866" s="4" t="s">
        <v>241</v>
      </c>
      <c r="DS866" s="4" t="s">
        <v>241</v>
      </c>
      <c r="DV866" s="4" t="s">
        <v>278</v>
      </c>
      <c r="DW866" s="4" t="s">
        <v>1932</v>
      </c>
      <c r="HO866" s="4" t="s">
        <v>267</v>
      </c>
    </row>
    <row r="867" spans="1:223" ht="19.5" customHeight="1" x14ac:dyDescent="0.4">
      <c r="A867" s="4">
        <v>1</v>
      </c>
      <c r="B867" s="4" t="s">
        <v>239</v>
      </c>
      <c r="C867" s="4">
        <v>2541</v>
      </c>
      <c r="D867" s="4">
        <v>1</v>
      </c>
      <c r="E867" s="4">
        <v>1</v>
      </c>
      <c r="F867" s="4" t="s">
        <v>268</v>
      </c>
      <c r="G867" s="4" t="s">
        <v>241</v>
      </c>
      <c r="H867" s="4" t="s">
        <v>241</v>
      </c>
      <c r="I867" s="4" t="s">
        <v>272</v>
      </c>
      <c r="J867" s="4" t="s">
        <v>274</v>
      </c>
      <c r="K867" s="4" t="s">
        <v>251</v>
      </c>
      <c r="L867" s="4" t="s">
        <v>269</v>
      </c>
      <c r="M867" s="5" t="s">
        <v>1628</v>
      </c>
      <c r="N867" s="6">
        <f>1714</f>
        <v>1714</v>
      </c>
      <c r="O867" s="4" t="s">
        <v>265</v>
      </c>
      <c r="P867" s="6">
        <f>1</f>
        <v>1</v>
      </c>
      <c r="Q867" s="6">
        <f>0</f>
        <v>0</v>
      </c>
      <c r="S867" s="6">
        <f>0</f>
        <v>0</v>
      </c>
      <c r="T867" s="6">
        <f>1</f>
        <v>1</v>
      </c>
      <c r="U867" s="5" t="s">
        <v>245</v>
      </c>
      <c r="V867" s="4" t="s">
        <v>270</v>
      </c>
      <c r="W867" s="4" t="s">
        <v>271</v>
      </c>
      <c r="X867" s="4" t="s">
        <v>273</v>
      </c>
      <c r="Y867" s="4" t="s">
        <v>241</v>
      </c>
      <c r="AB867" s="4" t="s">
        <v>241</v>
      </c>
      <c r="AD867" s="5" t="s">
        <v>241</v>
      </c>
      <c r="AG867" s="5" t="s">
        <v>246</v>
      </c>
      <c r="AH867" s="4" t="s">
        <v>241</v>
      </c>
      <c r="AI867" s="4" t="s">
        <v>247</v>
      </c>
      <c r="AJ867" s="4" t="s">
        <v>248</v>
      </c>
      <c r="AZ867" s="4" t="s">
        <v>249</v>
      </c>
      <c r="BA867" s="4" t="s">
        <v>241</v>
      </c>
      <c r="BB867" s="4" t="s">
        <v>250</v>
      </c>
      <c r="BC867" s="4" t="s">
        <v>241</v>
      </c>
      <c r="BD867" s="4" t="s">
        <v>252</v>
      </c>
      <c r="BE867" s="4" t="s">
        <v>241</v>
      </c>
      <c r="BI867" s="4" t="s">
        <v>253</v>
      </c>
      <c r="BJ867" s="5" t="s">
        <v>246</v>
      </c>
      <c r="BK867" s="4" t="s">
        <v>254</v>
      </c>
      <c r="BL867" s="4" t="s">
        <v>255</v>
      </c>
      <c r="BM867" s="4" t="s">
        <v>241</v>
      </c>
      <c r="BN867" s="6">
        <f>0</f>
        <v>0</v>
      </c>
      <c r="BO867" s="6">
        <f>0</f>
        <v>0</v>
      </c>
      <c r="BP867" s="4" t="s">
        <v>256</v>
      </c>
      <c r="BQ867" s="4" t="s">
        <v>257</v>
      </c>
      <c r="CE867" s="4" t="s">
        <v>241</v>
      </c>
      <c r="CF867" s="4" t="s">
        <v>241</v>
      </c>
      <c r="CJ867" s="4" t="s">
        <v>276</v>
      </c>
      <c r="CK867" s="4" t="s">
        <v>259</v>
      </c>
      <c r="CL867" s="4" t="s">
        <v>241</v>
      </c>
      <c r="CO867" s="5" t="s">
        <v>260</v>
      </c>
      <c r="CP867" s="4" t="s">
        <v>241</v>
      </c>
      <c r="CQ867" s="4" t="s">
        <v>261</v>
      </c>
      <c r="CR867" s="4" t="s">
        <v>241</v>
      </c>
      <c r="CS867" s="4" t="s">
        <v>241</v>
      </c>
      <c r="CT867" s="4">
        <v>0</v>
      </c>
      <c r="CU867" s="4" t="s">
        <v>262</v>
      </c>
      <c r="CV867" s="4" t="s">
        <v>263</v>
      </c>
      <c r="CW867" s="4" t="s">
        <v>263</v>
      </c>
      <c r="CX867" s="4" t="s">
        <v>264</v>
      </c>
      <c r="DA867" s="6">
        <f>1</f>
        <v>1</v>
      </c>
      <c r="DC867" s="4" t="s">
        <v>277</v>
      </c>
      <c r="DD867" s="4" t="s">
        <v>241</v>
      </c>
      <c r="DF867" s="4" t="s">
        <v>277</v>
      </c>
      <c r="DG867" s="6">
        <f>1714</f>
        <v>1714</v>
      </c>
      <c r="DI867" s="4" t="s">
        <v>241</v>
      </c>
      <c r="DJ867" s="4" t="s">
        <v>241</v>
      </c>
      <c r="DK867" s="4" t="s">
        <v>241</v>
      </c>
      <c r="DL867" s="4" t="s">
        <v>241</v>
      </c>
      <c r="DP867" s="4" t="s">
        <v>241</v>
      </c>
      <c r="DQ867" s="4" t="s">
        <v>241</v>
      </c>
      <c r="DR867" s="4" t="s">
        <v>241</v>
      </c>
      <c r="DS867" s="4" t="s">
        <v>241</v>
      </c>
      <c r="DV867" s="4" t="s">
        <v>278</v>
      </c>
      <c r="DW867" s="4" t="s">
        <v>1629</v>
      </c>
      <c r="HO867" s="4" t="s">
        <v>267</v>
      </c>
    </row>
    <row r="868" spans="1:223" ht="19.5" customHeight="1" x14ac:dyDescent="0.4">
      <c r="A868" s="4">
        <v>1</v>
      </c>
      <c r="B868" s="4" t="s">
        <v>239</v>
      </c>
      <c r="C868" s="4">
        <v>2542</v>
      </c>
      <c r="D868" s="4">
        <v>1</v>
      </c>
      <c r="E868" s="4">
        <v>1</v>
      </c>
      <c r="F868" s="4" t="s">
        <v>268</v>
      </c>
      <c r="G868" s="4" t="s">
        <v>241</v>
      </c>
      <c r="H868" s="4" t="s">
        <v>241</v>
      </c>
      <c r="I868" s="4" t="s">
        <v>272</v>
      </c>
      <c r="J868" s="4" t="s">
        <v>274</v>
      </c>
      <c r="K868" s="4" t="s">
        <v>251</v>
      </c>
      <c r="L868" s="4" t="s">
        <v>269</v>
      </c>
      <c r="M868" s="5" t="s">
        <v>1626</v>
      </c>
      <c r="N868" s="6">
        <f>740</f>
        <v>740</v>
      </c>
      <c r="O868" s="4" t="s">
        <v>265</v>
      </c>
      <c r="P868" s="6">
        <f>1</f>
        <v>1</v>
      </c>
      <c r="Q868" s="6">
        <f>0</f>
        <v>0</v>
      </c>
      <c r="S868" s="6">
        <f>0</f>
        <v>0</v>
      </c>
      <c r="T868" s="6">
        <f>1</f>
        <v>1</v>
      </c>
      <c r="U868" s="5" t="s">
        <v>245</v>
      </c>
      <c r="V868" s="4" t="s">
        <v>270</v>
      </c>
      <c r="W868" s="4" t="s">
        <v>271</v>
      </c>
      <c r="X868" s="4" t="s">
        <v>273</v>
      </c>
      <c r="Y868" s="4" t="s">
        <v>241</v>
      </c>
      <c r="AB868" s="4" t="s">
        <v>241</v>
      </c>
      <c r="AD868" s="5" t="s">
        <v>241</v>
      </c>
      <c r="AG868" s="5" t="s">
        <v>246</v>
      </c>
      <c r="AH868" s="4" t="s">
        <v>241</v>
      </c>
      <c r="AI868" s="4" t="s">
        <v>247</v>
      </c>
      <c r="AJ868" s="4" t="s">
        <v>248</v>
      </c>
      <c r="AZ868" s="4" t="s">
        <v>249</v>
      </c>
      <c r="BA868" s="4" t="s">
        <v>241</v>
      </c>
      <c r="BB868" s="4" t="s">
        <v>250</v>
      </c>
      <c r="BC868" s="4" t="s">
        <v>241</v>
      </c>
      <c r="BD868" s="4" t="s">
        <v>252</v>
      </c>
      <c r="BE868" s="4" t="s">
        <v>241</v>
      </c>
      <c r="BI868" s="4" t="s">
        <v>253</v>
      </c>
      <c r="BJ868" s="5" t="s">
        <v>246</v>
      </c>
      <c r="BK868" s="4" t="s">
        <v>254</v>
      </c>
      <c r="BL868" s="4" t="s">
        <v>255</v>
      </c>
      <c r="BM868" s="4" t="s">
        <v>241</v>
      </c>
      <c r="BN868" s="6">
        <f>0</f>
        <v>0</v>
      </c>
      <c r="BO868" s="6">
        <f>0</f>
        <v>0</v>
      </c>
      <c r="BP868" s="4" t="s">
        <v>256</v>
      </c>
      <c r="BQ868" s="4" t="s">
        <v>257</v>
      </c>
      <c r="CE868" s="4" t="s">
        <v>241</v>
      </c>
      <c r="CF868" s="4" t="s">
        <v>241</v>
      </c>
      <c r="CJ868" s="4" t="s">
        <v>276</v>
      </c>
      <c r="CK868" s="4" t="s">
        <v>259</v>
      </c>
      <c r="CL868" s="4" t="s">
        <v>241</v>
      </c>
      <c r="CO868" s="5" t="s">
        <v>260</v>
      </c>
      <c r="CP868" s="4" t="s">
        <v>241</v>
      </c>
      <c r="CQ868" s="4" t="s">
        <v>261</v>
      </c>
      <c r="CR868" s="4" t="s">
        <v>241</v>
      </c>
      <c r="CS868" s="4" t="s">
        <v>241</v>
      </c>
      <c r="CT868" s="4">
        <v>0</v>
      </c>
      <c r="CU868" s="4" t="s">
        <v>262</v>
      </c>
      <c r="CV868" s="4" t="s">
        <v>263</v>
      </c>
      <c r="CW868" s="4" t="s">
        <v>263</v>
      </c>
      <c r="CX868" s="4" t="s">
        <v>264</v>
      </c>
      <c r="DA868" s="6">
        <f>1</f>
        <v>1</v>
      </c>
      <c r="DC868" s="4" t="s">
        <v>277</v>
      </c>
      <c r="DD868" s="4" t="s">
        <v>241</v>
      </c>
      <c r="DF868" s="4" t="s">
        <v>277</v>
      </c>
      <c r="DG868" s="6">
        <f>740</f>
        <v>740</v>
      </c>
      <c r="DI868" s="4" t="s">
        <v>241</v>
      </c>
      <c r="DJ868" s="4" t="s">
        <v>241</v>
      </c>
      <c r="DK868" s="4" t="s">
        <v>241</v>
      </c>
      <c r="DL868" s="4" t="s">
        <v>241</v>
      </c>
      <c r="DP868" s="4" t="s">
        <v>241</v>
      </c>
      <c r="DQ868" s="4" t="s">
        <v>241</v>
      </c>
      <c r="DR868" s="4" t="s">
        <v>241</v>
      </c>
      <c r="DS868" s="4" t="s">
        <v>241</v>
      </c>
      <c r="DV868" s="4" t="s">
        <v>278</v>
      </c>
      <c r="DW868" s="4" t="s">
        <v>1627</v>
      </c>
      <c r="HO868" s="4" t="s">
        <v>267</v>
      </c>
    </row>
    <row r="869" spans="1:223" ht="19.5" customHeight="1" x14ac:dyDescent="0.4">
      <c r="A869" s="4">
        <v>1</v>
      </c>
      <c r="B869" s="4" t="s">
        <v>239</v>
      </c>
      <c r="C869" s="4">
        <v>2543</v>
      </c>
      <c r="D869" s="4">
        <v>1</v>
      </c>
      <c r="E869" s="4">
        <v>1</v>
      </c>
      <c r="F869" s="4" t="s">
        <v>268</v>
      </c>
      <c r="G869" s="4" t="s">
        <v>241</v>
      </c>
      <c r="H869" s="4" t="s">
        <v>241</v>
      </c>
      <c r="I869" s="4" t="s">
        <v>272</v>
      </c>
      <c r="J869" s="4" t="s">
        <v>274</v>
      </c>
      <c r="K869" s="4" t="s">
        <v>251</v>
      </c>
      <c r="L869" s="4" t="s">
        <v>269</v>
      </c>
      <c r="M869" s="5" t="s">
        <v>1948</v>
      </c>
      <c r="N869" s="6">
        <f>2923</f>
        <v>2923</v>
      </c>
      <c r="O869" s="4" t="s">
        <v>265</v>
      </c>
      <c r="P869" s="6">
        <f>1</f>
        <v>1</v>
      </c>
      <c r="Q869" s="6">
        <f>0</f>
        <v>0</v>
      </c>
      <c r="S869" s="6">
        <f>0</f>
        <v>0</v>
      </c>
      <c r="T869" s="6">
        <f>1</f>
        <v>1</v>
      </c>
      <c r="U869" s="5" t="s">
        <v>245</v>
      </c>
      <c r="V869" s="4" t="s">
        <v>270</v>
      </c>
      <c r="W869" s="4" t="s">
        <v>271</v>
      </c>
      <c r="X869" s="4" t="s">
        <v>273</v>
      </c>
      <c r="Y869" s="4" t="s">
        <v>241</v>
      </c>
      <c r="AB869" s="4" t="s">
        <v>241</v>
      </c>
      <c r="AD869" s="5" t="s">
        <v>241</v>
      </c>
      <c r="AG869" s="5" t="s">
        <v>246</v>
      </c>
      <c r="AH869" s="4" t="s">
        <v>241</v>
      </c>
      <c r="AI869" s="4" t="s">
        <v>247</v>
      </c>
      <c r="AJ869" s="4" t="s">
        <v>248</v>
      </c>
      <c r="AZ869" s="4" t="s">
        <v>249</v>
      </c>
      <c r="BA869" s="4" t="s">
        <v>241</v>
      </c>
      <c r="BB869" s="4" t="s">
        <v>250</v>
      </c>
      <c r="BC869" s="4" t="s">
        <v>241</v>
      </c>
      <c r="BD869" s="4" t="s">
        <v>252</v>
      </c>
      <c r="BE869" s="4" t="s">
        <v>241</v>
      </c>
      <c r="BI869" s="4" t="s">
        <v>253</v>
      </c>
      <c r="BJ869" s="5" t="s">
        <v>246</v>
      </c>
      <c r="BK869" s="4" t="s">
        <v>254</v>
      </c>
      <c r="BL869" s="4" t="s">
        <v>255</v>
      </c>
      <c r="BM869" s="4" t="s">
        <v>241</v>
      </c>
      <c r="BN869" s="6">
        <f>0</f>
        <v>0</v>
      </c>
      <c r="BO869" s="6">
        <f>0</f>
        <v>0</v>
      </c>
      <c r="BP869" s="4" t="s">
        <v>256</v>
      </c>
      <c r="BQ869" s="4" t="s">
        <v>257</v>
      </c>
      <c r="CE869" s="4" t="s">
        <v>241</v>
      </c>
      <c r="CF869" s="4" t="s">
        <v>241</v>
      </c>
      <c r="CJ869" s="4" t="s">
        <v>276</v>
      </c>
      <c r="CK869" s="4" t="s">
        <v>259</v>
      </c>
      <c r="CL869" s="4" t="s">
        <v>241</v>
      </c>
      <c r="CO869" s="5" t="s">
        <v>260</v>
      </c>
      <c r="CP869" s="4" t="s">
        <v>241</v>
      </c>
      <c r="CQ869" s="4" t="s">
        <v>261</v>
      </c>
      <c r="CR869" s="4" t="s">
        <v>241</v>
      </c>
      <c r="CS869" s="4" t="s">
        <v>241</v>
      </c>
      <c r="CT869" s="4">
        <v>0</v>
      </c>
      <c r="CU869" s="4" t="s">
        <v>262</v>
      </c>
      <c r="CV869" s="4" t="s">
        <v>263</v>
      </c>
      <c r="CW869" s="4" t="s">
        <v>263</v>
      </c>
      <c r="CX869" s="4" t="s">
        <v>264</v>
      </c>
      <c r="DA869" s="6">
        <f>1</f>
        <v>1</v>
      </c>
      <c r="DC869" s="4" t="s">
        <v>277</v>
      </c>
      <c r="DD869" s="4" t="s">
        <v>241</v>
      </c>
      <c r="DF869" s="4" t="s">
        <v>277</v>
      </c>
      <c r="DG869" s="6">
        <f>2923</f>
        <v>2923</v>
      </c>
      <c r="DI869" s="4" t="s">
        <v>241</v>
      </c>
      <c r="DJ869" s="4" t="s">
        <v>241</v>
      </c>
      <c r="DK869" s="4" t="s">
        <v>241</v>
      </c>
      <c r="DL869" s="4" t="s">
        <v>241</v>
      </c>
      <c r="DP869" s="4" t="s">
        <v>241</v>
      </c>
      <c r="DQ869" s="4" t="s">
        <v>241</v>
      </c>
      <c r="DR869" s="4" t="s">
        <v>241</v>
      </c>
      <c r="DS869" s="4" t="s">
        <v>241</v>
      </c>
      <c r="DV869" s="4" t="s">
        <v>278</v>
      </c>
      <c r="DW869" s="4" t="s">
        <v>1949</v>
      </c>
      <c r="HO869" s="4" t="s">
        <v>267</v>
      </c>
    </row>
    <row r="870" spans="1:223" ht="19.5" customHeight="1" x14ac:dyDescent="0.4">
      <c r="A870" s="4">
        <v>1</v>
      </c>
      <c r="B870" s="4" t="s">
        <v>239</v>
      </c>
      <c r="C870" s="4">
        <v>2544</v>
      </c>
      <c r="D870" s="4">
        <v>1</v>
      </c>
      <c r="E870" s="4">
        <v>1</v>
      </c>
      <c r="F870" s="4" t="s">
        <v>268</v>
      </c>
      <c r="G870" s="4" t="s">
        <v>241</v>
      </c>
      <c r="H870" s="4" t="s">
        <v>241</v>
      </c>
      <c r="I870" s="4" t="s">
        <v>272</v>
      </c>
      <c r="J870" s="4" t="s">
        <v>274</v>
      </c>
      <c r="K870" s="4" t="s">
        <v>251</v>
      </c>
      <c r="L870" s="4" t="s">
        <v>269</v>
      </c>
      <c r="M870" s="5" t="s">
        <v>2003</v>
      </c>
      <c r="N870" s="6">
        <f>633</f>
        <v>633</v>
      </c>
      <c r="O870" s="4" t="s">
        <v>265</v>
      </c>
      <c r="P870" s="6">
        <f>1</f>
        <v>1</v>
      </c>
      <c r="Q870" s="6">
        <f>0</f>
        <v>0</v>
      </c>
      <c r="S870" s="6">
        <f>0</f>
        <v>0</v>
      </c>
      <c r="T870" s="6">
        <f>1</f>
        <v>1</v>
      </c>
      <c r="U870" s="5" t="s">
        <v>245</v>
      </c>
      <c r="V870" s="4" t="s">
        <v>270</v>
      </c>
      <c r="W870" s="4" t="s">
        <v>271</v>
      </c>
      <c r="X870" s="4" t="s">
        <v>273</v>
      </c>
      <c r="Y870" s="4" t="s">
        <v>241</v>
      </c>
      <c r="AB870" s="4" t="s">
        <v>241</v>
      </c>
      <c r="AD870" s="5" t="s">
        <v>241</v>
      </c>
      <c r="AG870" s="5" t="s">
        <v>246</v>
      </c>
      <c r="AH870" s="4" t="s">
        <v>241</v>
      </c>
      <c r="AI870" s="4" t="s">
        <v>247</v>
      </c>
      <c r="AJ870" s="4" t="s">
        <v>248</v>
      </c>
      <c r="AZ870" s="4" t="s">
        <v>249</v>
      </c>
      <c r="BA870" s="4" t="s">
        <v>241</v>
      </c>
      <c r="BB870" s="4" t="s">
        <v>250</v>
      </c>
      <c r="BC870" s="4" t="s">
        <v>241</v>
      </c>
      <c r="BD870" s="4" t="s">
        <v>252</v>
      </c>
      <c r="BE870" s="4" t="s">
        <v>241</v>
      </c>
      <c r="BI870" s="4" t="s">
        <v>253</v>
      </c>
      <c r="BJ870" s="5" t="s">
        <v>246</v>
      </c>
      <c r="BK870" s="4" t="s">
        <v>254</v>
      </c>
      <c r="BL870" s="4" t="s">
        <v>255</v>
      </c>
      <c r="BM870" s="4" t="s">
        <v>241</v>
      </c>
      <c r="BN870" s="6">
        <f>0</f>
        <v>0</v>
      </c>
      <c r="BO870" s="6">
        <f>0</f>
        <v>0</v>
      </c>
      <c r="BP870" s="4" t="s">
        <v>256</v>
      </c>
      <c r="BQ870" s="4" t="s">
        <v>257</v>
      </c>
      <c r="CE870" s="4" t="s">
        <v>241</v>
      </c>
      <c r="CF870" s="4" t="s">
        <v>241</v>
      </c>
      <c r="CJ870" s="4" t="s">
        <v>276</v>
      </c>
      <c r="CK870" s="4" t="s">
        <v>259</v>
      </c>
      <c r="CL870" s="4" t="s">
        <v>241</v>
      </c>
      <c r="CO870" s="5" t="s">
        <v>260</v>
      </c>
      <c r="CP870" s="4" t="s">
        <v>241</v>
      </c>
      <c r="CQ870" s="4" t="s">
        <v>261</v>
      </c>
      <c r="CR870" s="4" t="s">
        <v>241</v>
      </c>
      <c r="CS870" s="4" t="s">
        <v>241</v>
      </c>
      <c r="CT870" s="4">
        <v>0</v>
      </c>
      <c r="CU870" s="4" t="s">
        <v>262</v>
      </c>
      <c r="CV870" s="4" t="s">
        <v>263</v>
      </c>
      <c r="CW870" s="4" t="s">
        <v>263</v>
      </c>
      <c r="CX870" s="4" t="s">
        <v>264</v>
      </c>
      <c r="DA870" s="6">
        <f>1</f>
        <v>1</v>
      </c>
      <c r="DC870" s="4" t="s">
        <v>277</v>
      </c>
      <c r="DD870" s="4" t="s">
        <v>241</v>
      </c>
      <c r="DF870" s="4" t="s">
        <v>277</v>
      </c>
      <c r="DG870" s="6">
        <f>633</f>
        <v>633</v>
      </c>
      <c r="DI870" s="4" t="s">
        <v>241</v>
      </c>
      <c r="DJ870" s="4" t="s">
        <v>241</v>
      </c>
      <c r="DK870" s="4" t="s">
        <v>241</v>
      </c>
      <c r="DL870" s="4" t="s">
        <v>241</v>
      </c>
      <c r="DP870" s="4" t="s">
        <v>241</v>
      </c>
      <c r="DQ870" s="4" t="s">
        <v>241</v>
      </c>
      <c r="DR870" s="4" t="s">
        <v>241</v>
      </c>
      <c r="DS870" s="4" t="s">
        <v>241</v>
      </c>
      <c r="DV870" s="4" t="s">
        <v>278</v>
      </c>
      <c r="DW870" s="4" t="s">
        <v>2004</v>
      </c>
      <c r="HO870" s="4" t="s">
        <v>267</v>
      </c>
    </row>
    <row r="871" spans="1:223" ht="19.5" customHeight="1" x14ac:dyDescent="0.4">
      <c r="A871" s="4">
        <v>1</v>
      </c>
      <c r="B871" s="4" t="s">
        <v>239</v>
      </c>
      <c r="C871" s="4">
        <v>2545</v>
      </c>
      <c r="D871" s="4">
        <v>1</v>
      </c>
      <c r="E871" s="4">
        <v>1</v>
      </c>
      <c r="F871" s="4" t="s">
        <v>268</v>
      </c>
      <c r="G871" s="4" t="s">
        <v>241</v>
      </c>
      <c r="H871" s="4" t="s">
        <v>241</v>
      </c>
      <c r="I871" s="4" t="s">
        <v>272</v>
      </c>
      <c r="J871" s="4" t="s">
        <v>274</v>
      </c>
      <c r="K871" s="4" t="s">
        <v>251</v>
      </c>
      <c r="L871" s="4" t="s">
        <v>269</v>
      </c>
      <c r="M871" s="5" t="s">
        <v>1524</v>
      </c>
      <c r="N871" s="6">
        <f>467</f>
        <v>467</v>
      </c>
      <c r="O871" s="4" t="s">
        <v>265</v>
      </c>
      <c r="P871" s="6">
        <f>1</f>
        <v>1</v>
      </c>
      <c r="Q871" s="6">
        <f>0</f>
        <v>0</v>
      </c>
      <c r="S871" s="6">
        <f>0</f>
        <v>0</v>
      </c>
      <c r="T871" s="6">
        <f>1</f>
        <v>1</v>
      </c>
      <c r="U871" s="5" t="s">
        <v>245</v>
      </c>
      <c r="V871" s="4" t="s">
        <v>270</v>
      </c>
      <c r="W871" s="4" t="s">
        <v>271</v>
      </c>
      <c r="X871" s="4" t="s">
        <v>273</v>
      </c>
      <c r="Y871" s="4" t="s">
        <v>241</v>
      </c>
      <c r="AB871" s="4" t="s">
        <v>241</v>
      </c>
      <c r="AD871" s="5" t="s">
        <v>241</v>
      </c>
      <c r="AG871" s="5" t="s">
        <v>246</v>
      </c>
      <c r="AH871" s="4" t="s">
        <v>241</v>
      </c>
      <c r="AI871" s="4" t="s">
        <v>247</v>
      </c>
      <c r="AJ871" s="4" t="s">
        <v>248</v>
      </c>
      <c r="AZ871" s="4" t="s">
        <v>249</v>
      </c>
      <c r="BA871" s="4" t="s">
        <v>241</v>
      </c>
      <c r="BB871" s="4" t="s">
        <v>250</v>
      </c>
      <c r="BC871" s="4" t="s">
        <v>241</v>
      </c>
      <c r="BD871" s="4" t="s">
        <v>252</v>
      </c>
      <c r="BE871" s="4" t="s">
        <v>241</v>
      </c>
      <c r="BI871" s="4" t="s">
        <v>253</v>
      </c>
      <c r="BJ871" s="5" t="s">
        <v>246</v>
      </c>
      <c r="BK871" s="4" t="s">
        <v>254</v>
      </c>
      <c r="BL871" s="4" t="s">
        <v>255</v>
      </c>
      <c r="BM871" s="4" t="s">
        <v>241</v>
      </c>
      <c r="BN871" s="6">
        <f>0</f>
        <v>0</v>
      </c>
      <c r="BO871" s="6">
        <f>0</f>
        <v>0</v>
      </c>
      <c r="BP871" s="4" t="s">
        <v>256</v>
      </c>
      <c r="BQ871" s="4" t="s">
        <v>257</v>
      </c>
      <c r="CE871" s="4" t="s">
        <v>241</v>
      </c>
      <c r="CF871" s="4" t="s">
        <v>241</v>
      </c>
      <c r="CJ871" s="4" t="s">
        <v>276</v>
      </c>
      <c r="CK871" s="4" t="s">
        <v>259</v>
      </c>
      <c r="CL871" s="4" t="s">
        <v>241</v>
      </c>
      <c r="CO871" s="5" t="s">
        <v>260</v>
      </c>
      <c r="CP871" s="4" t="s">
        <v>241</v>
      </c>
      <c r="CQ871" s="4" t="s">
        <v>261</v>
      </c>
      <c r="CR871" s="4" t="s">
        <v>241</v>
      </c>
      <c r="CS871" s="4" t="s">
        <v>241</v>
      </c>
      <c r="CT871" s="4">
        <v>0</v>
      </c>
      <c r="CU871" s="4" t="s">
        <v>262</v>
      </c>
      <c r="CV871" s="4" t="s">
        <v>263</v>
      </c>
      <c r="CW871" s="4" t="s">
        <v>263</v>
      </c>
      <c r="CX871" s="4" t="s">
        <v>264</v>
      </c>
      <c r="DA871" s="6">
        <f>1</f>
        <v>1</v>
      </c>
      <c r="DC871" s="4" t="s">
        <v>277</v>
      </c>
      <c r="DD871" s="4" t="s">
        <v>241</v>
      </c>
      <c r="DF871" s="4" t="s">
        <v>277</v>
      </c>
      <c r="DG871" s="6">
        <f>467</f>
        <v>467</v>
      </c>
      <c r="DI871" s="4" t="s">
        <v>241</v>
      </c>
      <c r="DJ871" s="4" t="s">
        <v>241</v>
      </c>
      <c r="DK871" s="4" t="s">
        <v>241</v>
      </c>
      <c r="DL871" s="4" t="s">
        <v>241</v>
      </c>
      <c r="DP871" s="4" t="s">
        <v>241</v>
      </c>
      <c r="DQ871" s="4" t="s">
        <v>241</v>
      </c>
      <c r="DR871" s="4" t="s">
        <v>241</v>
      </c>
      <c r="DS871" s="4" t="s">
        <v>241</v>
      </c>
      <c r="DV871" s="4" t="s">
        <v>278</v>
      </c>
      <c r="DW871" s="4" t="s">
        <v>1525</v>
      </c>
      <c r="HO871" s="4" t="s">
        <v>267</v>
      </c>
    </row>
    <row r="872" spans="1:223" ht="19.5" customHeight="1" x14ac:dyDescent="0.4">
      <c r="A872" s="4">
        <v>1</v>
      </c>
      <c r="B872" s="4" t="s">
        <v>239</v>
      </c>
      <c r="C872" s="4">
        <v>2546</v>
      </c>
      <c r="D872" s="4">
        <v>1</v>
      </c>
      <c r="E872" s="4">
        <v>1</v>
      </c>
      <c r="F872" s="4" t="s">
        <v>268</v>
      </c>
      <c r="G872" s="4" t="s">
        <v>241</v>
      </c>
      <c r="H872" s="4" t="s">
        <v>241</v>
      </c>
      <c r="I872" s="4" t="s">
        <v>272</v>
      </c>
      <c r="J872" s="4" t="s">
        <v>274</v>
      </c>
      <c r="K872" s="4" t="s">
        <v>251</v>
      </c>
      <c r="L872" s="4" t="s">
        <v>269</v>
      </c>
      <c r="M872" s="5" t="s">
        <v>1989</v>
      </c>
      <c r="N872" s="6">
        <f>5164</f>
        <v>5164</v>
      </c>
      <c r="O872" s="4" t="s">
        <v>265</v>
      </c>
      <c r="P872" s="6">
        <f>1</f>
        <v>1</v>
      </c>
      <c r="Q872" s="6">
        <f>0</f>
        <v>0</v>
      </c>
      <c r="S872" s="6">
        <f>0</f>
        <v>0</v>
      </c>
      <c r="T872" s="6">
        <f>1</f>
        <v>1</v>
      </c>
      <c r="U872" s="5" t="s">
        <v>245</v>
      </c>
      <c r="V872" s="4" t="s">
        <v>270</v>
      </c>
      <c r="W872" s="4" t="s">
        <v>271</v>
      </c>
      <c r="X872" s="4" t="s">
        <v>273</v>
      </c>
      <c r="Y872" s="4" t="s">
        <v>241</v>
      </c>
      <c r="AB872" s="4" t="s">
        <v>241</v>
      </c>
      <c r="AD872" s="5" t="s">
        <v>241</v>
      </c>
      <c r="AG872" s="5" t="s">
        <v>246</v>
      </c>
      <c r="AH872" s="4" t="s">
        <v>241</v>
      </c>
      <c r="AI872" s="4" t="s">
        <v>247</v>
      </c>
      <c r="AJ872" s="4" t="s">
        <v>248</v>
      </c>
      <c r="AZ872" s="4" t="s">
        <v>249</v>
      </c>
      <c r="BA872" s="4" t="s">
        <v>241</v>
      </c>
      <c r="BB872" s="4" t="s">
        <v>250</v>
      </c>
      <c r="BC872" s="4" t="s">
        <v>241</v>
      </c>
      <c r="BD872" s="4" t="s">
        <v>252</v>
      </c>
      <c r="BE872" s="4" t="s">
        <v>241</v>
      </c>
      <c r="BI872" s="4" t="s">
        <v>253</v>
      </c>
      <c r="BJ872" s="5" t="s">
        <v>246</v>
      </c>
      <c r="BK872" s="4" t="s">
        <v>254</v>
      </c>
      <c r="BL872" s="4" t="s">
        <v>255</v>
      </c>
      <c r="BM872" s="4" t="s">
        <v>241</v>
      </c>
      <c r="BN872" s="6">
        <f>0</f>
        <v>0</v>
      </c>
      <c r="BO872" s="6">
        <f>0</f>
        <v>0</v>
      </c>
      <c r="BP872" s="4" t="s">
        <v>256</v>
      </c>
      <c r="BQ872" s="4" t="s">
        <v>257</v>
      </c>
      <c r="CE872" s="4" t="s">
        <v>241</v>
      </c>
      <c r="CF872" s="4" t="s">
        <v>241</v>
      </c>
      <c r="CJ872" s="4" t="s">
        <v>276</v>
      </c>
      <c r="CK872" s="4" t="s">
        <v>259</v>
      </c>
      <c r="CL872" s="4" t="s">
        <v>241</v>
      </c>
      <c r="CO872" s="5" t="s">
        <v>260</v>
      </c>
      <c r="CP872" s="4" t="s">
        <v>241</v>
      </c>
      <c r="CQ872" s="4" t="s">
        <v>261</v>
      </c>
      <c r="CR872" s="4" t="s">
        <v>241</v>
      </c>
      <c r="CS872" s="4" t="s">
        <v>241</v>
      </c>
      <c r="CT872" s="4">
        <v>0</v>
      </c>
      <c r="CU872" s="4" t="s">
        <v>262</v>
      </c>
      <c r="CV872" s="4" t="s">
        <v>263</v>
      </c>
      <c r="CW872" s="4" t="s">
        <v>263</v>
      </c>
      <c r="CX872" s="4" t="s">
        <v>264</v>
      </c>
      <c r="DA872" s="6">
        <f>1</f>
        <v>1</v>
      </c>
      <c r="DC872" s="4" t="s">
        <v>277</v>
      </c>
      <c r="DD872" s="4" t="s">
        <v>241</v>
      </c>
      <c r="DF872" s="4" t="s">
        <v>277</v>
      </c>
      <c r="DG872" s="6">
        <f>5164</f>
        <v>5164</v>
      </c>
      <c r="DI872" s="4" t="s">
        <v>241</v>
      </c>
      <c r="DJ872" s="4" t="s">
        <v>241</v>
      </c>
      <c r="DK872" s="4" t="s">
        <v>241</v>
      </c>
      <c r="DL872" s="4" t="s">
        <v>241</v>
      </c>
      <c r="DP872" s="4" t="s">
        <v>241</v>
      </c>
      <c r="DQ872" s="4" t="s">
        <v>241</v>
      </c>
      <c r="DR872" s="4" t="s">
        <v>241</v>
      </c>
      <c r="DS872" s="4" t="s">
        <v>241</v>
      </c>
      <c r="DV872" s="4" t="s">
        <v>278</v>
      </c>
      <c r="DW872" s="4" t="s">
        <v>1990</v>
      </c>
      <c r="HO872" s="4" t="s">
        <v>267</v>
      </c>
    </row>
    <row r="873" spans="1:223" ht="19.5" customHeight="1" x14ac:dyDescent="0.4">
      <c r="A873" s="4">
        <v>1</v>
      </c>
      <c r="B873" s="4" t="s">
        <v>239</v>
      </c>
      <c r="C873" s="4">
        <v>2547</v>
      </c>
      <c r="D873" s="4">
        <v>1</v>
      </c>
      <c r="E873" s="4">
        <v>1</v>
      </c>
      <c r="F873" s="4" t="s">
        <v>268</v>
      </c>
      <c r="G873" s="4" t="s">
        <v>241</v>
      </c>
      <c r="H873" s="4" t="s">
        <v>241</v>
      </c>
      <c r="I873" s="4" t="s">
        <v>272</v>
      </c>
      <c r="J873" s="4" t="s">
        <v>274</v>
      </c>
      <c r="K873" s="4" t="s">
        <v>251</v>
      </c>
      <c r="L873" s="4" t="s">
        <v>269</v>
      </c>
      <c r="M873" s="5" t="s">
        <v>1942</v>
      </c>
      <c r="N873" s="6">
        <f>3926</f>
        <v>3926</v>
      </c>
      <c r="O873" s="4" t="s">
        <v>265</v>
      </c>
      <c r="P873" s="6">
        <f>1</f>
        <v>1</v>
      </c>
      <c r="Q873" s="6">
        <f>0</f>
        <v>0</v>
      </c>
      <c r="S873" s="6">
        <f>0</f>
        <v>0</v>
      </c>
      <c r="T873" s="6">
        <f>1</f>
        <v>1</v>
      </c>
      <c r="U873" s="5" t="s">
        <v>245</v>
      </c>
      <c r="V873" s="4" t="s">
        <v>270</v>
      </c>
      <c r="W873" s="4" t="s">
        <v>271</v>
      </c>
      <c r="X873" s="4" t="s">
        <v>273</v>
      </c>
      <c r="Y873" s="4" t="s">
        <v>241</v>
      </c>
      <c r="AB873" s="4" t="s">
        <v>241</v>
      </c>
      <c r="AD873" s="5" t="s">
        <v>241</v>
      </c>
      <c r="AG873" s="5" t="s">
        <v>246</v>
      </c>
      <c r="AH873" s="4" t="s">
        <v>241</v>
      </c>
      <c r="AI873" s="4" t="s">
        <v>247</v>
      </c>
      <c r="AJ873" s="4" t="s">
        <v>248</v>
      </c>
      <c r="AZ873" s="4" t="s">
        <v>249</v>
      </c>
      <c r="BA873" s="4" t="s">
        <v>241</v>
      </c>
      <c r="BB873" s="4" t="s">
        <v>250</v>
      </c>
      <c r="BC873" s="4" t="s">
        <v>241</v>
      </c>
      <c r="BD873" s="4" t="s">
        <v>252</v>
      </c>
      <c r="BE873" s="4" t="s">
        <v>241</v>
      </c>
      <c r="BI873" s="4" t="s">
        <v>253</v>
      </c>
      <c r="BJ873" s="5" t="s">
        <v>246</v>
      </c>
      <c r="BK873" s="4" t="s">
        <v>254</v>
      </c>
      <c r="BL873" s="4" t="s">
        <v>255</v>
      </c>
      <c r="BM873" s="4" t="s">
        <v>241</v>
      </c>
      <c r="BN873" s="6">
        <f>0</f>
        <v>0</v>
      </c>
      <c r="BO873" s="6">
        <f>0</f>
        <v>0</v>
      </c>
      <c r="BP873" s="4" t="s">
        <v>256</v>
      </c>
      <c r="BQ873" s="4" t="s">
        <v>257</v>
      </c>
      <c r="CE873" s="4" t="s">
        <v>241</v>
      </c>
      <c r="CF873" s="4" t="s">
        <v>241</v>
      </c>
      <c r="CJ873" s="4" t="s">
        <v>276</v>
      </c>
      <c r="CK873" s="4" t="s">
        <v>259</v>
      </c>
      <c r="CL873" s="4" t="s">
        <v>241</v>
      </c>
      <c r="CO873" s="5" t="s">
        <v>260</v>
      </c>
      <c r="CP873" s="4" t="s">
        <v>241</v>
      </c>
      <c r="CQ873" s="4" t="s">
        <v>261</v>
      </c>
      <c r="CR873" s="4" t="s">
        <v>241</v>
      </c>
      <c r="CS873" s="4" t="s">
        <v>241</v>
      </c>
      <c r="CT873" s="4">
        <v>0</v>
      </c>
      <c r="CU873" s="4" t="s">
        <v>262</v>
      </c>
      <c r="CV873" s="4" t="s">
        <v>263</v>
      </c>
      <c r="CW873" s="4" t="s">
        <v>263</v>
      </c>
      <c r="CX873" s="4" t="s">
        <v>264</v>
      </c>
      <c r="DA873" s="6">
        <f>1</f>
        <v>1</v>
      </c>
      <c r="DC873" s="4" t="s">
        <v>277</v>
      </c>
      <c r="DD873" s="4" t="s">
        <v>241</v>
      </c>
      <c r="DF873" s="4" t="s">
        <v>277</v>
      </c>
      <c r="DG873" s="6">
        <f>3926</f>
        <v>3926</v>
      </c>
      <c r="DI873" s="4" t="s">
        <v>241</v>
      </c>
      <c r="DJ873" s="4" t="s">
        <v>241</v>
      </c>
      <c r="DK873" s="4" t="s">
        <v>241</v>
      </c>
      <c r="DL873" s="4" t="s">
        <v>241</v>
      </c>
      <c r="DP873" s="4" t="s">
        <v>241</v>
      </c>
      <c r="DQ873" s="4" t="s">
        <v>241</v>
      </c>
      <c r="DR873" s="4" t="s">
        <v>241</v>
      </c>
      <c r="DS873" s="4" t="s">
        <v>241</v>
      </c>
      <c r="DV873" s="4" t="s">
        <v>278</v>
      </c>
      <c r="DW873" s="4" t="s">
        <v>1943</v>
      </c>
      <c r="HO873" s="4" t="s">
        <v>267</v>
      </c>
    </row>
    <row r="874" spans="1:223" ht="19.5" customHeight="1" x14ac:dyDescent="0.4">
      <c r="A874" s="4">
        <v>1</v>
      </c>
      <c r="B874" s="4" t="s">
        <v>239</v>
      </c>
      <c r="C874" s="4">
        <v>2548</v>
      </c>
      <c r="D874" s="4">
        <v>1</v>
      </c>
      <c r="E874" s="4">
        <v>1</v>
      </c>
      <c r="F874" s="4" t="s">
        <v>268</v>
      </c>
      <c r="G874" s="4" t="s">
        <v>241</v>
      </c>
      <c r="H874" s="4" t="s">
        <v>241</v>
      </c>
      <c r="I874" s="4" t="s">
        <v>272</v>
      </c>
      <c r="J874" s="4" t="s">
        <v>274</v>
      </c>
      <c r="K874" s="4" t="s">
        <v>251</v>
      </c>
      <c r="L874" s="4" t="s">
        <v>269</v>
      </c>
      <c r="M874" s="5" t="s">
        <v>1906</v>
      </c>
      <c r="N874" s="6">
        <f>2428</f>
        <v>2428</v>
      </c>
      <c r="O874" s="4" t="s">
        <v>265</v>
      </c>
      <c r="P874" s="6">
        <f>1</f>
        <v>1</v>
      </c>
      <c r="Q874" s="6">
        <f>0</f>
        <v>0</v>
      </c>
      <c r="S874" s="6">
        <f>0</f>
        <v>0</v>
      </c>
      <c r="T874" s="6">
        <f>1</f>
        <v>1</v>
      </c>
      <c r="U874" s="5" t="s">
        <v>245</v>
      </c>
      <c r="V874" s="4" t="s">
        <v>270</v>
      </c>
      <c r="W874" s="4" t="s">
        <v>271</v>
      </c>
      <c r="X874" s="4" t="s">
        <v>273</v>
      </c>
      <c r="Y874" s="4" t="s">
        <v>241</v>
      </c>
      <c r="AB874" s="4" t="s">
        <v>241</v>
      </c>
      <c r="AD874" s="5" t="s">
        <v>241</v>
      </c>
      <c r="AG874" s="5" t="s">
        <v>246</v>
      </c>
      <c r="AH874" s="4" t="s">
        <v>241</v>
      </c>
      <c r="AI874" s="4" t="s">
        <v>247</v>
      </c>
      <c r="AJ874" s="4" t="s">
        <v>248</v>
      </c>
      <c r="AZ874" s="4" t="s">
        <v>249</v>
      </c>
      <c r="BA874" s="4" t="s">
        <v>241</v>
      </c>
      <c r="BB874" s="4" t="s">
        <v>250</v>
      </c>
      <c r="BC874" s="4" t="s">
        <v>241</v>
      </c>
      <c r="BD874" s="4" t="s">
        <v>252</v>
      </c>
      <c r="BE874" s="4" t="s">
        <v>241</v>
      </c>
      <c r="BI874" s="4" t="s">
        <v>253</v>
      </c>
      <c r="BJ874" s="5" t="s">
        <v>246</v>
      </c>
      <c r="BK874" s="4" t="s">
        <v>254</v>
      </c>
      <c r="BL874" s="4" t="s">
        <v>255</v>
      </c>
      <c r="BM874" s="4" t="s">
        <v>241</v>
      </c>
      <c r="BN874" s="6">
        <f>0</f>
        <v>0</v>
      </c>
      <c r="BO874" s="6">
        <f>0</f>
        <v>0</v>
      </c>
      <c r="BP874" s="4" t="s">
        <v>256</v>
      </c>
      <c r="BQ874" s="4" t="s">
        <v>257</v>
      </c>
      <c r="CE874" s="4" t="s">
        <v>241</v>
      </c>
      <c r="CF874" s="4" t="s">
        <v>241</v>
      </c>
      <c r="CJ874" s="4" t="s">
        <v>276</v>
      </c>
      <c r="CK874" s="4" t="s">
        <v>259</v>
      </c>
      <c r="CL874" s="4" t="s">
        <v>241</v>
      </c>
      <c r="CO874" s="5" t="s">
        <v>260</v>
      </c>
      <c r="CP874" s="4" t="s">
        <v>241</v>
      </c>
      <c r="CQ874" s="4" t="s">
        <v>261</v>
      </c>
      <c r="CR874" s="4" t="s">
        <v>241</v>
      </c>
      <c r="CS874" s="4" t="s">
        <v>241</v>
      </c>
      <c r="CT874" s="4">
        <v>0</v>
      </c>
      <c r="CU874" s="4" t="s">
        <v>262</v>
      </c>
      <c r="CV874" s="4" t="s">
        <v>263</v>
      </c>
      <c r="CW874" s="4" t="s">
        <v>263</v>
      </c>
      <c r="CX874" s="4" t="s">
        <v>264</v>
      </c>
      <c r="DA874" s="6">
        <f>1</f>
        <v>1</v>
      </c>
      <c r="DC874" s="4" t="s">
        <v>277</v>
      </c>
      <c r="DD874" s="4" t="s">
        <v>241</v>
      </c>
      <c r="DF874" s="4" t="s">
        <v>277</v>
      </c>
      <c r="DG874" s="6">
        <f>2428</f>
        <v>2428</v>
      </c>
      <c r="DI874" s="4" t="s">
        <v>241</v>
      </c>
      <c r="DJ874" s="4" t="s">
        <v>241</v>
      </c>
      <c r="DK874" s="4" t="s">
        <v>241</v>
      </c>
      <c r="DL874" s="4" t="s">
        <v>241</v>
      </c>
      <c r="DP874" s="4" t="s">
        <v>241</v>
      </c>
      <c r="DQ874" s="4" t="s">
        <v>241</v>
      </c>
      <c r="DR874" s="4" t="s">
        <v>241</v>
      </c>
      <c r="DS874" s="4" t="s">
        <v>241</v>
      </c>
      <c r="DV874" s="4" t="s">
        <v>278</v>
      </c>
      <c r="DW874" s="4" t="s">
        <v>1907</v>
      </c>
      <c r="HO874" s="4" t="s">
        <v>267</v>
      </c>
    </row>
    <row r="875" spans="1:223" ht="19.5" customHeight="1" x14ac:dyDescent="0.4">
      <c r="A875" s="4">
        <v>1</v>
      </c>
      <c r="B875" s="4" t="s">
        <v>239</v>
      </c>
      <c r="C875" s="4">
        <v>2549</v>
      </c>
      <c r="D875" s="4">
        <v>1</v>
      </c>
      <c r="E875" s="4">
        <v>1</v>
      </c>
      <c r="F875" s="4" t="s">
        <v>268</v>
      </c>
      <c r="G875" s="4" t="s">
        <v>241</v>
      </c>
      <c r="H875" s="4" t="s">
        <v>241</v>
      </c>
      <c r="I875" s="4" t="s">
        <v>272</v>
      </c>
      <c r="J875" s="4" t="s">
        <v>274</v>
      </c>
      <c r="K875" s="4" t="s">
        <v>251</v>
      </c>
      <c r="L875" s="4" t="s">
        <v>269</v>
      </c>
      <c r="M875" s="5" t="s">
        <v>2143</v>
      </c>
      <c r="N875" s="6">
        <f>5536</f>
        <v>5536</v>
      </c>
      <c r="O875" s="4" t="s">
        <v>265</v>
      </c>
      <c r="P875" s="6">
        <f>1</f>
        <v>1</v>
      </c>
      <c r="Q875" s="6">
        <f>0</f>
        <v>0</v>
      </c>
      <c r="S875" s="6">
        <f>0</f>
        <v>0</v>
      </c>
      <c r="T875" s="6">
        <f>1</f>
        <v>1</v>
      </c>
      <c r="U875" s="5" t="s">
        <v>245</v>
      </c>
      <c r="V875" s="4" t="s">
        <v>270</v>
      </c>
      <c r="W875" s="4" t="s">
        <v>271</v>
      </c>
      <c r="X875" s="4" t="s">
        <v>273</v>
      </c>
      <c r="Y875" s="4" t="s">
        <v>241</v>
      </c>
      <c r="AB875" s="4" t="s">
        <v>241</v>
      </c>
      <c r="AD875" s="5" t="s">
        <v>241</v>
      </c>
      <c r="AG875" s="5" t="s">
        <v>246</v>
      </c>
      <c r="AH875" s="4" t="s">
        <v>241</v>
      </c>
      <c r="AI875" s="4" t="s">
        <v>247</v>
      </c>
      <c r="AJ875" s="4" t="s">
        <v>248</v>
      </c>
      <c r="AZ875" s="4" t="s">
        <v>249</v>
      </c>
      <c r="BA875" s="4" t="s">
        <v>241</v>
      </c>
      <c r="BB875" s="4" t="s">
        <v>250</v>
      </c>
      <c r="BC875" s="4" t="s">
        <v>241</v>
      </c>
      <c r="BD875" s="4" t="s">
        <v>252</v>
      </c>
      <c r="BE875" s="4" t="s">
        <v>241</v>
      </c>
      <c r="BI875" s="4" t="s">
        <v>253</v>
      </c>
      <c r="BJ875" s="5" t="s">
        <v>246</v>
      </c>
      <c r="BK875" s="4" t="s">
        <v>254</v>
      </c>
      <c r="BL875" s="4" t="s">
        <v>255</v>
      </c>
      <c r="BM875" s="4" t="s">
        <v>241</v>
      </c>
      <c r="BN875" s="6">
        <f>0</f>
        <v>0</v>
      </c>
      <c r="BO875" s="6">
        <f>0</f>
        <v>0</v>
      </c>
      <c r="BP875" s="4" t="s">
        <v>256</v>
      </c>
      <c r="BQ875" s="4" t="s">
        <v>257</v>
      </c>
      <c r="CE875" s="4" t="s">
        <v>241</v>
      </c>
      <c r="CF875" s="4" t="s">
        <v>241</v>
      </c>
      <c r="CJ875" s="4" t="s">
        <v>276</v>
      </c>
      <c r="CK875" s="4" t="s">
        <v>259</v>
      </c>
      <c r="CL875" s="4" t="s">
        <v>241</v>
      </c>
      <c r="CO875" s="5" t="s">
        <v>260</v>
      </c>
      <c r="CP875" s="4" t="s">
        <v>241</v>
      </c>
      <c r="CQ875" s="4" t="s">
        <v>261</v>
      </c>
      <c r="CR875" s="4" t="s">
        <v>241</v>
      </c>
      <c r="CS875" s="4" t="s">
        <v>241</v>
      </c>
      <c r="CT875" s="4">
        <v>0</v>
      </c>
      <c r="CU875" s="4" t="s">
        <v>262</v>
      </c>
      <c r="CV875" s="4" t="s">
        <v>263</v>
      </c>
      <c r="CW875" s="4" t="s">
        <v>263</v>
      </c>
      <c r="CX875" s="4" t="s">
        <v>264</v>
      </c>
      <c r="DA875" s="6">
        <f>1</f>
        <v>1</v>
      </c>
      <c r="DC875" s="4" t="s">
        <v>277</v>
      </c>
      <c r="DD875" s="4" t="s">
        <v>241</v>
      </c>
      <c r="DF875" s="4" t="s">
        <v>277</v>
      </c>
      <c r="DG875" s="6">
        <f>5536</f>
        <v>5536</v>
      </c>
      <c r="DI875" s="4" t="s">
        <v>241</v>
      </c>
      <c r="DJ875" s="4" t="s">
        <v>241</v>
      </c>
      <c r="DK875" s="4" t="s">
        <v>241</v>
      </c>
      <c r="DL875" s="4" t="s">
        <v>241</v>
      </c>
      <c r="DP875" s="4" t="s">
        <v>241</v>
      </c>
      <c r="DQ875" s="4" t="s">
        <v>241</v>
      </c>
      <c r="DR875" s="4" t="s">
        <v>241</v>
      </c>
      <c r="DS875" s="4" t="s">
        <v>241</v>
      </c>
      <c r="DV875" s="4" t="s">
        <v>278</v>
      </c>
      <c r="DW875" s="4" t="s">
        <v>2144</v>
      </c>
      <c r="HO875" s="4" t="s">
        <v>267</v>
      </c>
    </row>
    <row r="876" spans="1:223" ht="19.5" customHeight="1" x14ac:dyDescent="0.4">
      <c r="A876" s="4">
        <v>1</v>
      </c>
      <c r="B876" s="4" t="s">
        <v>239</v>
      </c>
      <c r="C876" s="4">
        <v>2550</v>
      </c>
      <c r="D876" s="4">
        <v>1</v>
      </c>
      <c r="E876" s="4">
        <v>1</v>
      </c>
      <c r="F876" s="4" t="s">
        <v>268</v>
      </c>
      <c r="G876" s="4" t="s">
        <v>241</v>
      </c>
      <c r="H876" s="4" t="s">
        <v>241</v>
      </c>
      <c r="I876" s="4" t="s">
        <v>272</v>
      </c>
      <c r="J876" s="4" t="s">
        <v>274</v>
      </c>
      <c r="K876" s="4" t="s">
        <v>251</v>
      </c>
      <c r="L876" s="4" t="s">
        <v>269</v>
      </c>
      <c r="M876" s="5" t="s">
        <v>1624</v>
      </c>
      <c r="N876" s="6">
        <f>236</f>
        <v>236</v>
      </c>
      <c r="O876" s="4" t="s">
        <v>265</v>
      </c>
      <c r="P876" s="6">
        <f>1</f>
        <v>1</v>
      </c>
      <c r="Q876" s="6">
        <f>0</f>
        <v>0</v>
      </c>
      <c r="S876" s="6">
        <f>0</f>
        <v>0</v>
      </c>
      <c r="T876" s="6">
        <f>1</f>
        <v>1</v>
      </c>
      <c r="U876" s="5" t="s">
        <v>245</v>
      </c>
      <c r="V876" s="4" t="s">
        <v>270</v>
      </c>
      <c r="W876" s="4" t="s">
        <v>271</v>
      </c>
      <c r="X876" s="4" t="s">
        <v>273</v>
      </c>
      <c r="Y876" s="4" t="s">
        <v>241</v>
      </c>
      <c r="AB876" s="4" t="s">
        <v>241</v>
      </c>
      <c r="AD876" s="5" t="s">
        <v>241</v>
      </c>
      <c r="AG876" s="5" t="s">
        <v>246</v>
      </c>
      <c r="AH876" s="4" t="s">
        <v>241</v>
      </c>
      <c r="AI876" s="4" t="s">
        <v>247</v>
      </c>
      <c r="AJ876" s="4" t="s">
        <v>248</v>
      </c>
      <c r="AZ876" s="4" t="s">
        <v>249</v>
      </c>
      <c r="BA876" s="4" t="s">
        <v>241</v>
      </c>
      <c r="BB876" s="4" t="s">
        <v>250</v>
      </c>
      <c r="BC876" s="4" t="s">
        <v>241</v>
      </c>
      <c r="BD876" s="4" t="s">
        <v>252</v>
      </c>
      <c r="BE876" s="4" t="s">
        <v>241</v>
      </c>
      <c r="BI876" s="4" t="s">
        <v>253</v>
      </c>
      <c r="BJ876" s="5" t="s">
        <v>246</v>
      </c>
      <c r="BK876" s="4" t="s">
        <v>254</v>
      </c>
      <c r="BL876" s="4" t="s">
        <v>255</v>
      </c>
      <c r="BM876" s="4" t="s">
        <v>241</v>
      </c>
      <c r="BN876" s="6">
        <f>0</f>
        <v>0</v>
      </c>
      <c r="BO876" s="6">
        <f>0</f>
        <v>0</v>
      </c>
      <c r="BP876" s="4" t="s">
        <v>256</v>
      </c>
      <c r="BQ876" s="4" t="s">
        <v>257</v>
      </c>
      <c r="CE876" s="4" t="s">
        <v>241</v>
      </c>
      <c r="CF876" s="4" t="s">
        <v>241</v>
      </c>
      <c r="CJ876" s="4" t="s">
        <v>276</v>
      </c>
      <c r="CK876" s="4" t="s">
        <v>259</v>
      </c>
      <c r="CL876" s="4" t="s">
        <v>241</v>
      </c>
      <c r="CO876" s="5" t="s">
        <v>260</v>
      </c>
      <c r="CP876" s="4" t="s">
        <v>241</v>
      </c>
      <c r="CQ876" s="4" t="s">
        <v>261</v>
      </c>
      <c r="CR876" s="4" t="s">
        <v>241</v>
      </c>
      <c r="CS876" s="4" t="s">
        <v>241</v>
      </c>
      <c r="CT876" s="4">
        <v>0</v>
      </c>
      <c r="CU876" s="4" t="s">
        <v>262</v>
      </c>
      <c r="CV876" s="4" t="s">
        <v>263</v>
      </c>
      <c r="CW876" s="4" t="s">
        <v>263</v>
      </c>
      <c r="CX876" s="4" t="s">
        <v>264</v>
      </c>
      <c r="DA876" s="6">
        <f>1</f>
        <v>1</v>
      </c>
      <c r="DC876" s="4" t="s">
        <v>277</v>
      </c>
      <c r="DD876" s="4" t="s">
        <v>241</v>
      </c>
      <c r="DF876" s="4" t="s">
        <v>277</v>
      </c>
      <c r="DG876" s="6">
        <f>236</f>
        <v>236</v>
      </c>
      <c r="DI876" s="4" t="s">
        <v>241</v>
      </c>
      <c r="DJ876" s="4" t="s">
        <v>241</v>
      </c>
      <c r="DK876" s="4" t="s">
        <v>241</v>
      </c>
      <c r="DL876" s="4" t="s">
        <v>241</v>
      </c>
      <c r="DP876" s="4" t="s">
        <v>241</v>
      </c>
      <c r="DQ876" s="4" t="s">
        <v>241</v>
      </c>
      <c r="DR876" s="4" t="s">
        <v>241</v>
      </c>
      <c r="DS876" s="4" t="s">
        <v>241</v>
      </c>
      <c r="DV876" s="4" t="s">
        <v>278</v>
      </c>
      <c r="DW876" s="4" t="s">
        <v>1625</v>
      </c>
      <c r="HO876" s="4" t="s">
        <v>267</v>
      </c>
    </row>
    <row r="877" spans="1:223" ht="19.5" customHeight="1" x14ac:dyDescent="0.4">
      <c r="A877" s="4">
        <v>1</v>
      </c>
      <c r="B877" s="4" t="s">
        <v>239</v>
      </c>
      <c r="C877" s="4">
        <v>2551</v>
      </c>
      <c r="D877" s="4">
        <v>1</v>
      </c>
      <c r="E877" s="4">
        <v>1</v>
      </c>
      <c r="F877" s="4" t="s">
        <v>268</v>
      </c>
      <c r="G877" s="4" t="s">
        <v>241</v>
      </c>
      <c r="H877" s="4" t="s">
        <v>241</v>
      </c>
      <c r="I877" s="4" t="s">
        <v>272</v>
      </c>
      <c r="J877" s="4" t="s">
        <v>274</v>
      </c>
      <c r="K877" s="4" t="s">
        <v>251</v>
      </c>
      <c r="L877" s="4" t="s">
        <v>269</v>
      </c>
      <c r="M877" s="5" t="s">
        <v>1594</v>
      </c>
      <c r="N877" s="6">
        <f>3431</f>
        <v>3431</v>
      </c>
      <c r="O877" s="4" t="s">
        <v>265</v>
      </c>
      <c r="P877" s="6">
        <f>1</f>
        <v>1</v>
      </c>
      <c r="Q877" s="6">
        <f>0</f>
        <v>0</v>
      </c>
      <c r="S877" s="6">
        <f>0</f>
        <v>0</v>
      </c>
      <c r="T877" s="6">
        <f>1</f>
        <v>1</v>
      </c>
      <c r="U877" s="5" t="s">
        <v>245</v>
      </c>
      <c r="V877" s="4" t="s">
        <v>270</v>
      </c>
      <c r="W877" s="4" t="s">
        <v>271</v>
      </c>
      <c r="X877" s="4" t="s">
        <v>273</v>
      </c>
      <c r="Y877" s="4" t="s">
        <v>241</v>
      </c>
      <c r="AB877" s="4" t="s">
        <v>241</v>
      </c>
      <c r="AD877" s="5" t="s">
        <v>241</v>
      </c>
      <c r="AG877" s="5" t="s">
        <v>246</v>
      </c>
      <c r="AH877" s="4" t="s">
        <v>241</v>
      </c>
      <c r="AI877" s="4" t="s">
        <v>247</v>
      </c>
      <c r="AJ877" s="4" t="s">
        <v>248</v>
      </c>
      <c r="AZ877" s="4" t="s">
        <v>249</v>
      </c>
      <c r="BA877" s="4" t="s">
        <v>241</v>
      </c>
      <c r="BB877" s="4" t="s">
        <v>250</v>
      </c>
      <c r="BC877" s="4" t="s">
        <v>241</v>
      </c>
      <c r="BD877" s="4" t="s">
        <v>252</v>
      </c>
      <c r="BE877" s="4" t="s">
        <v>241</v>
      </c>
      <c r="BI877" s="4" t="s">
        <v>253</v>
      </c>
      <c r="BJ877" s="5" t="s">
        <v>246</v>
      </c>
      <c r="BK877" s="4" t="s">
        <v>254</v>
      </c>
      <c r="BL877" s="4" t="s">
        <v>255</v>
      </c>
      <c r="BM877" s="4" t="s">
        <v>241</v>
      </c>
      <c r="BN877" s="6">
        <f>0</f>
        <v>0</v>
      </c>
      <c r="BO877" s="6">
        <f>0</f>
        <v>0</v>
      </c>
      <c r="BP877" s="4" t="s">
        <v>256</v>
      </c>
      <c r="BQ877" s="4" t="s">
        <v>257</v>
      </c>
      <c r="CE877" s="4" t="s">
        <v>241</v>
      </c>
      <c r="CF877" s="4" t="s">
        <v>241</v>
      </c>
      <c r="CJ877" s="4" t="s">
        <v>276</v>
      </c>
      <c r="CK877" s="4" t="s">
        <v>259</v>
      </c>
      <c r="CL877" s="4" t="s">
        <v>241</v>
      </c>
      <c r="CO877" s="5" t="s">
        <v>260</v>
      </c>
      <c r="CP877" s="4" t="s">
        <v>241</v>
      </c>
      <c r="CQ877" s="4" t="s">
        <v>261</v>
      </c>
      <c r="CR877" s="4" t="s">
        <v>241</v>
      </c>
      <c r="CS877" s="4" t="s">
        <v>241</v>
      </c>
      <c r="CT877" s="4">
        <v>0</v>
      </c>
      <c r="CU877" s="4" t="s">
        <v>262</v>
      </c>
      <c r="CV877" s="4" t="s">
        <v>263</v>
      </c>
      <c r="CW877" s="4" t="s">
        <v>263</v>
      </c>
      <c r="CX877" s="4" t="s">
        <v>264</v>
      </c>
      <c r="DA877" s="6">
        <f>1</f>
        <v>1</v>
      </c>
      <c r="DC877" s="4" t="s">
        <v>277</v>
      </c>
      <c r="DD877" s="4" t="s">
        <v>241</v>
      </c>
      <c r="DF877" s="4" t="s">
        <v>277</v>
      </c>
      <c r="DG877" s="6">
        <f>3431</f>
        <v>3431</v>
      </c>
      <c r="DI877" s="4" t="s">
        <v>241</v>
      </c>
      <c r="DJ877" s="4" t="s">
        <v>241</v>
      </c>
      <c r="DK877" s="4" t="s">
        <v>241</v>
      </c>
      <c r="DL877" s="4" t="s">
        <v>241</v>
      </c>
      <c r="DP877" s="4" t="s">
        <v>241</v>
      </c>
      <c r="DQ877" s="4" t="s">
        <v>241</v>
      </c>
      <c r="DR877" s="4" t="s">
        <v>241</v>
      </c>
      <c r="DS877" s="4" t="s">
        <v>241</v>
      </c>
      <c r="DV877" s="4" t="s">
        <v>278</v>
      </c>
      <c r="DW877" s="4" t="s">
        <v>1595</v>
      </c>
      <c r="HO877" s="4" t="s">
        <v>267</v>
      </c>
    </row>
    <row r="878" spans="1:223" ht="19.5" customHeight="1" x14ac:dyDescent="0.4">
      <c r="A878" s="4">
        <v>1</v>
      </c>
      <c r="B878" s="4" t="s">
        <v>239</v>
      </c>
      <c r="C878" s="4">
        <v>2552</v>
      </c>
      <c r="D878" s="4">
        <v>1</v>
      </c>
      <c r="E878" s="4">
        <v>1</v>
      </c>
      <c r="F878" s="4" t="s">
        <v>268</v>
      </c>
      <c r="G878" s="4" t="s">
        <v>241</v>
      </c>
      <c r="H878" s="4" t="s">
        <v>241</v>
      </c>
      <c r="I878" s="4" t="s">
        <v>272</v>
      </c>
      <c r="J878" s="4" t="s">
        <v>274</v>
      </c>
      <c r="K878" s="4" t="s">
        <v>251</v>
      </c>
      <c r="L878" s="4" t="s">
        <v>269</v>
      </c>
      <c r="M878" s="5" t="s">
        <v>1622</v>
      </c>
      <c r="N878" s="6">
        <f>2322</f>
        <v>2322</v>
      </c>
      <c r="O878" s="4" t="s">
        <v>265</v>
      </c>
      <c r="P878" s="6">
        <f>1</f>
        <v>1</v>
      </c>
      <c r="Q878" s="6">
        <f>0</f>
        <v>0</v>
      </c>
      <c r="S878" s="6">
        <f>0</f>
        <v>0</v>
      </c>
      <c r="T878" s="6">
        <f>1</f>
        <v>1</v>
      </c>
      <c r="U878" s="5" t="s">
        <v>245</v>
      </c>
      <c r="V878" s="4" t="s">
        <v>270</v>
      </c>
      <c r="W878" s="4" t="s">
        <v>271</v>
      </c>
      <c r="X878" s="4" t="s">
        <v>273</v>
      </c>
      <c r="Y878" s="4" t="s">
        <v>241</v>
      </c>
      <c r="AB878" s="4" t="s">
        <v>241</v>
      </c>
      <c r="AD878" s="5" t="s">
        <v>241</v>
      </c>
      <c r="AG878" s="5" t="s">
        <v>246</v>
      </c>
      <c r="AH878" s="4" t="s">
        <v>241</v>
      </c>
      <c r="AI878" s="4" t="s">
        <v>247</v>
      </c>
      <c r="AJ878" s="4" t="s">
        <v>248</v>
      </c>
      <c r="AZ878" s="4" t="s">
        <v>249</v>
      </c>
      <c r="BA878" s="4" t="s">
        <v>241</v>
      </c>
      <c r="BB878" s="4" t="s">
        <v>250</v>
      </c>
      <c r="BC878" s="4" t="s">
        <v>241</v>
      </c>
      <c r="BD878" s="4" t="s">
        <v>252</v>
      </c>
      <c r="BE878" s="4" t="s">
        <v>241</v>
      </c>
      <c r="BI878" s="4" t="s">
        <v>253</v>
      </c>
      <c r="BJ878" s="5" t="s">
        <v>246</v>
      </c>
      <c r="BK878" s="4" t="s">
        <v>254</v>
      </c>
      <c r="BL878" s="4" t="s">
        <v>255</v>
      </c>
      <c r="BM878" s="4" t="s">
        <v>241</v>
      </c>
      <c r="BN878" s="6">
        <f>0</f>
        <v>0</v>
      </c>
      <c r="BO878" s="6">
        <f>0</f>
        <v>0</v>
      </c>
      <c r="BP878" s="4" t="s">
        <v>256</v>
      </c>
      <c r="BQ878" s="4" t="s">
        <v>257</v>
      </c>
      <c r="CE878" s="4" t="s">
        <v>241</v>
      </c>
      <c r="CF878" s="4" t="s">
        <v>241</v>
      </c>
      <c r="CJ878" s="4" t="s">
        <v>276</v>
      </c>
      <c r="CK878" s="4" t="s">
        <v>259</v>
      </c>
      <c r="CL878" s="4" t="s">
        <v>241</v>
      </c>
      <c r="CO878" s="5" t="s">
        <v>260</v>
      </c>
      <c r="CP878" s="4" t="s">
        <v>241</v>
      </c>
      <c r="CQ878" s="4" t="s">
        <v>261</v>
      </c>
      <c r="CR878" s="4" t="s">
        <v>241</v>
      </c>
      <c r="CS878" s="4" t="s">
        <v>241</v>
      </c>
      <c r="CT878" s="4">
        <v>0</v>
      </c>
      <c r="CU878" s="4" t="s">
        <v>262</v>
      </c>
      <c r="CV878" s="4" t="s">
        <v>263</v>
      </c>
      <c r="CW878" s="4" t="s">
        <v>263</v>
      </c>
      <c r="CX878" s="4" t="s">
        <v>264</v>
      </c>
      <c r="DA878" s="6">
        <f>1</f>
        <v>1</v>
      </c>
      <c r="DC878" s="4" t="s">
        <v>277</v>
      </c>
      <c r="DD878" s="4" t="s">
        <v>241</v>
      </c>
      <c r="DF878" s="4" t="s">
        <v>277</v>
      </c>
      <c r="DG878" s="6">
        <f>2322</f>
        <v>2322</v>
      </c>
      <c r="DI878" s="4" t="s">
        <v>241</v>
      </c>
      <c r="DJ878" s="4" t="s">
        <v>241</v>
      </c>
      <c r="DK878" s="4" t="s">
        <v>241</v>
      </c>
      <c r="DL878" s="4" t="s">
        <v>241</v>
      </c>
      <c r="DP878" s="4" t="s">
        <v>241</v>
      </c>
      <c r="DQ878" s="4" t="s">
        <v>241</v>
      </c>
      <c r="DR878" s="4" t="s">
        <v>241</v>
      </c>
      <c r="DS878" s="4" t="s">
        <v>241</v>
      </c>
      <c r="DV878" s="4" t="s">
        <v>278</v>
      </c>
      <c r="DW878" s="4" t="s">
        <v>1623</v>
      </c>
      <c r="HO878" s="4" t="s">
        <v>267</v>
      </c>
    </row>
    <row r="879" spans="1:223" ht="19.5" customHeight="1" x14ac:dyDescent="0.4">
      <c r="A879" s="4">
        <v>1</v>
      </c>
      <c r="B879" s="4" t="s">
        <v>239</v>
      </c>
      <c r="C879" s="4">
        <v>2553</v>
      </c>
      <c r="D879" s="4">
        <v>1</v>
      </c>
      <c r="E879" s="4">
        <v>1</v>
      </c>
      <c r="F879" s="4" t="s">
        <v>268</v>
      </c>
      <c r="G879" s="4" t="s">
        <v>241</v>
      </c>
      <c r="H879" s="4" t="s">
        <v>241</v>
      </c>
      <c r="I879" s="4" t="s">
        <v>272</v>
      </c>
      <c r="J879" s="4" t="s">
        <v>274</v>
      </c>
      <c r="K879" s="4" t="s">
        <v>251</v>
      </c>
      <c r="L879" s="4" t="s">
        <v>269</v>
      </c>
      <c r="M879" s="5" t="s">
        <v>1620</v>
      </c>
      <c r="N879" s="6">
        <f>2935</f>
        <v>2935</v>
      </c>
      <c r="O879" s="4" t="s">
        <v>265</v>
      </c>
      <c r="P879" s="6">
        <f>1</f>
        <v>1</v>
      </c>
      <c r="Q879" s="6">
        <f>0</f>
        <v>0</v>
      </c>
      <c r="S879" s="6">
        <f>0</f>
        <v>0</v>
      </c>
      <c r="T879" s="6">
        <f>1</f>
        <v>1</v>
      </c>
      <c r="U879" s="5" t="s">
        <v>245</v>
      </c>
      <c r="V879" s="4" t="s">
        <v>270</v>
      </c>
      <c r="W879" s="4" t="s">
        <v>271</v>
      </c>
      <c r="X879" s="4" t="s">
        <v>273</v>
      </c>
      <c r="Y879" s="4" t="s">
        <v>241</v>
      </c>
      <c r="AB879" s="4" t="s">
        <v>241</v>
      </c>
      <c r="AD879" s="5" t="s">
        <v>241</v>
      </c>
      <c r="AG879" s="5" t="s">
        <v>246</v>
      </c>
      <c r="AH879" s="4" t="s">
        <v>241</v>
      </c>
      <c r="AI879" s="4" t="s">
        <v>247</v>
      </c>
      <c r="AJ879" s="4" t="s">
        <v>248</v>
      </c>
      <c r="AZ879" s="4" t="s">
        <v>249</v>
      </c>
      <c r="BA879" s="4" t="s">
        <v>241</v>
      </c>
      <c r="BB879" s="4" t="s">
        <v>250</v>
      </c>
      <c r="BC879" s="4" t="s">
        <v>241</v>
      </c>
      <c r="BD879" s="4" t="s">
        <v>252</v>
      </c>
      <c r="BE879" s="4" t="s">
        <v>241</v>
      </c>
      <c r="BI879" s="4" t="s">
        <v>253</v>
      </c>
      <c r="BJ879" s="5" t="s">
        <v>246</v>
      </c>
      <c r="BK879" s="4" t="s">
        <v>254</v>
      </c>
      <c r="BL879" s="4" t="s">
        <v>255</v>
      </c>
      <c r="BM879" s="4" t="s">
        <v>241</v>
      </c>
      <c r="BN879" s="6">
        <f>0</f>
        <v>0</v>
      </c>
      <c r="BO879" s="6">
        <f>0</f>
        <v>0</v>
      </c>
      <c r="BP879" s="4" t="s">
        <v>256</v>
      </c>
      <c r="BQ879" s="4" t="s">
        <v>257</v>
      </c>
      <c r="CE879" s="4" t="s">
        <v>241</v>
      </c>
      <c r="CF879" s="4" t="s">
        <v>241</v>
      </c>
      <c r="CJ879" s="4" t="s">
        <v>276</v>
      </c>
      <c r="CK879" s="4" t="s">
        <v>259</v>
      </c>
      <c r="CL879" s="4" t="s">
        <v>241</v>
      </c>
      <c r="CO879" s="5" t="s">
        <v>260</v>
      </c>
      <c r="CP879" s="4" t="s">
        <v>241</v>
      </c>
      <c r="CQ879" s="4" t="s">
        <v>261</v>
      </c>
      <c r="CR879" s="4" t="s">
        <v>241</v>
      </c>
      <c r="CS879" s="4" t="s">
        <v>241</v>
      </c>
      <c r="CT879" s="4">
        <v>0</v>
      </c>
      <c r="CU879" s="4" t="s">
        <v>262</v>
      </c>
      <c r="CV879" s="4" t="s">
        <v>263</v>
      </c>
      <c r="CW879" s="4" t="s">
        <v>263</v>
      </c>
      <c r="CX879" s="4" t="s">
        <v>264</v>
      </c>
      <c r="DA879" s="6">
        <f>1</f>
        <v>1</v>
      </c>
      <c r="DC879" s="4" t="s">
        <v>277</v>
      </c>
      <c r="DD879" s="4" t="s">
        <v>241</v>
      </c>
      <c r="DF879" s="4" t="s">
        <v>277</v>
      </c>
      <c r="DG879" s="6">
        <f>2935</f>
        <v>2935</v>
      </c>
      <c r="DI879" s="4" t="s">
        <v>241</v>
      </c>
      <c r="DJ879" s="4" t="s">
        <v>241</v>
      </c>
      <c r="DK879" s="4" t="s">
        <v>241</v>
      </c>
      <c r="DL879" s="4" t="s">
        <v>241</v>
      </c>
      <c r="DP879" s="4" t="s">
        <v>241</v>
      </c>
      <c r="DQ879" s="4" t="s">
        <v>241</v>
      </c>
      <c r="DR879" s="4" t="s">
        <v>241</v>
      </c>
      <c r="DS879" s="4" t="s">
        <v>241</v>
      </c>
      <c r="DV879" s="4" t="s">
        <v>278</v>
      </c>
      <c r="DW879" s="4" t="s">
        <v>1621</v>
      </c>
      <c r="HO879" s="4" t="s">
        <v>267</v>
      </c>
    </row>
    <row r="880" spans="1:223" ht="19.5" customHeight="1" x14ac:dyDescent="0.4">
      <c r="A880" s="4">
        <v>1</v>
      </c>
      <c r="B880" s="4" t="s">
        <v>239</v>
      </c>
      <c r="C880" s="4">
        <v>2554</v>
      </c>
      <c r="D880" s="4">
        <v>1</v>
      </c>
      <c r="E880" s="4">
        <v>1</v>
      </c>
      <c r="F880" s="4" t="s">
        <v>268</v>
      </c>
      <c r="G880" s="4" t="s">
        <v>241</v>
      </c>
      <c r="H880" s="4" t="s">
        <v>241</v>
      </c>
      <c r="I880" s="4" t="s">
        <v>272</v>
      </c>
      <c r="J880" s="4" t="s">
        <v>274</v>
      </c>
      <c r="K880" s="4" t="s">
        <v>251</v>
      </c>
      <c r="L880" s="4" t="s">
        <v>269</v>
      </c>
      <c r="M880" s="5" t="s">
        <v>1638</v>
      </c>
      <c r="N880" s="6">
        <f>2354</f>
        <v>2354</v>
      </c>
      <c r="O880" s="4" t="s">
        <v>265</v>
      </c>
      <c r="P880" s="6">
        <f>1</f>
        <v>1</v>
      </c>
      <c r="Q880" s="6">
        <f>0</f>
        <v>0</v>
      </c>
      <c r="S880" s="6">
        <f>0</f>
        <v>0</v>
      </c>
      <c r="T880" s="6">
        <f>1</f>
        <v>1</v>
      </c>
      <c r="U880" s="5" t="s">
        <v>245</v>
      </c>
      <c r="V880" s="4" t="s">
        <v>270</v>
      </c>
      <c r="W880" s="4" t="s">
        <v>271</v>
      </c>
      <c r="X880" s="4" t="s">
        <v>273</v>
      </c>
      <c r="Y880" s="4" t="s">
        <v>241</v>
      </c>
      <c r="AB880" s="4" t="s">
        <v>241</v>
      </c>
      <c r="AD880" s="5" t="s">
        <v>241</v>
      </c>
      <c r="AG880" s="5" t="s">
        <v>246</v>
      </c>
      <c r="AH880" s="4" t="s">
        <v>241</v>
      </c>
      <c r="AI880" s="4" t="s">
        <v>247</v>
      </c>
      <c r="AJ880" s="4" t="s">
        <v>248</v>
      </c>
      <c r="AZ880" s="4" t="s">
        <v>249</v>
      </c>
      <c r="BA880" s="4" t="s">
        <v>241</v>
      </c>
      <c r="BB880" s="4" t="s">
        <v>250</v>
      </c>
      <c r="BC880" s="4" t="s">
        <v>241</v>
      </c>
      <c r="BD880" s="4" t="s">
        <v>252</v>
      </c>
      <c r="BE880" s="4" t="s">
        <v>241</v>
      </c>
      <c r="BI880" s="4" t="s">
        <v>253</v>
      </c>
      <c r="BJ880" s="5" t="s">
        <v>246</v>
      </c>
      <c r="BK880" s="4" t="s">
        <v>254</v>
      </c>
      <c r="BL880" s="4" t="s">
        <v>255</v>
      </c>
      <c r="BM880" s="4" t="s">
        <v>241</v>
      </c>
      <c r="BN880" s="6">
        <f>0</f>
        <v>0</v>
      </c>
      <c r="BO880" s="6">
        <f>0</f>
        <v>0</v>
      </c>
      <c r="BP880" s="4" t="s">
        <v>256</v>
      </c>
      <c r="BQ880" s="4" t="s">
        <v>257</v>
      </c>
      <c r="CE880" s="4" t="s">
        <v>241</v>
      </c>
      <c r="CF880" s="4" t="s">
        <v>241</v>
      </c>
      <c r="CJ880" s="4" t="s">
        <v>276</v>
      </c>
      <c r="CK880" s="4" t="s">
        <v>259</v>
      </c>
      <c r="CL880" s="4" t="s">
        <v>241</v>
      </c>
      <c r="CO880" s="5" t="s">
        <v>260</v>
      </c>
      <c r="CP880" s="4" t="s">
        <v>241</v>
      </c>
      <c r="CQ880" s="4" t="s">
        <v>261</v>
      </c>
      <c r="CR880" s="4" t="s">
        <v>241</v>
      </c>
      <c r="CS880" s="4" t="s">
        <v>241</v>
      </c>
      <c r="CT880" s="4">
        <v>0</v>
      </c>
      <c r="CU880" s="4" t="s">
        <v>262</v>
      </c>
      <c r="CV880" s="4" t="s">
        <v>263</v>
      </c>
      <c r="CW880" s="4" t="s">
        <v>263</v>
      </c>
      <c r="CX880" s="4" t="s">
        <v>264</v>
      </c>
      <c r="DA880" s="6">
        <f>1</f>
        <v>1</v>
      </c>
      <c r="DC880" s="4" t="s">
        <v>277</v>
      </c>
      <c r="DD880" s="4" t="s">
        <v>241</v>
      </c>
      <c r="DF880" s="4" t="s">
        <v>277</v>
      </c>
      <c r="DG880" s="6">
        <f>2354</f>
        <v>2354</v>
      </c>
      <c r="DI880" s="4" t="s">
        <v>241</v>
      </c>
      <c r="DJ880" s="4" t="s">
        <v>241</v>
      </c>
      <c r="DK880" s="4" t="s">
        <v>241</v>
      </c>
      <c r="DL880" s="4" t="s">
        <v>241</v>
      </c>
      <c r="DP880" s="4" t="s">
        <v>241</v>
      </c>
      <c r="DQ880" s="4" t="s">
        <v>241</v>
      </c>
      <c r="DR880" s="4" t="s">
        <v>241</v>
      </c>
      <c r="DS880" s="4" t="s">
        <v>241</v>
      </c>
      <c r="DV880" s="4" t="s">
        <v>278</v>
      </c>
      <c r="DW880" s="4" t="s">
        <v>1639</v>
      </c>
      <c r="HO880" s="4" t="s">
        <v>267</v>
      </c>
    </row>
    <row r="881" spans="1:223" ht="19.5" customHeight="1" x14ac:dyDescent="0.4">
      <c r="A881" s="4">
        <v>1</v>
      </c>
      <c r="B881" s="4" t="s">
        <v>239</v>
      </c>
      <c r="C881" s="4">
        <v>2555</v>
      </c>
      <c r="D881" s="4">
        <v>1</v>
      </c>
      <c r="E881" s="4">
        <v>1</v>
      </c>
      <c r="F881" s="4" t="s">
        <v>268</v>
      </c>
      <c r="G881" s="4" t="s">
        <v>241</v>
      </c>
      <c r="H881" s="4" t="s">
        <v>241</v>
      </c>
      <c r="I881" s="4" t="s">
        <v>272</v>
      </c>
      <c r="J881" s="4" t="s">
        <v>274</v>
      </c>
      <c r="K881" s="4" t="s">
        <v>251</v>
      </c>
      <c r="L881" s="4" t="s">
        <v>269</v>
      </c>
      <c r="M881" s="5" t="s">
        <v>1616</v>
      </c>
      <c r="N881" s="6">
        <f>158</f>
        <v>158</v>
      </c>
      <c r="O881" s="4" t="s">
        <v>265</v>
      </c>
      <c r="P881" s="6">
        <f>1</f>
        <v>1</v>
      </c>
      <c r="Q881" s="6">
        <f>0</f>
        <v>0</v>
      </c>
      <c r="S881" s="6">
        <f>0</f>
        <v>0</v>
      </c>
      <c r="T881" s="6">
        <f>1</f>
        <v>1</v>
      </c>
      <c r="U881" s="5" t="s">
        <v>245</v>
      </c>
      <c r="V881" s="4" t="s">
        <v>270</v>
      </c>
      <c r="W881" s="4" t="s">
        <v>271</v>
      </c>
      <c r="X881" s="4" t="s">
        <v>273</v>
      </c>
      <c r="Y881" s="4" t="s">
        <v>241</v>
      </c>
      <c r="AB881" s="4" t="s">
        <v>241</v>
      </c>
      <c r="AD881" s="5" t="s">
        <v>241</v>
      </c>
      <c r="AG881" s="5" t="s">
        <v>246</v>
      </c>
      <c r="AH881" s="4" t="s">
        <v>241</v>
      </c>
      <c r="AI881" s="4" t="s">
        <v>247</v>
      </c>
      <c r="AJ881" s="4" t="s">
        <v>248</v>
      </c>
      <c r="AZ881" s="4" t="s">
        <v>249</v>
      </c>
      <c r="BA881" s="4" t="s">
        <v>241</v>
      </c>
      <c r="BB881" s="4" t="s">
        <v>250</v>
      </c>
      <c r="BC881" s="4" t="s">
        <v>241</v>
      </c>
      <c r="BD881" s="4" t="s">
        <v>252</v>
      </c>
      <c r="BE881" s="4" t="s">
        <v>241</v>
      </c>
      <c r="BI881" s="4" t="s">
        <v>253</v>
      </c>
      <c r="BJ881" s="5" t="s">
        <v>246</v>
      </c>
      <c r="BK881" s="4" t="s">
        <v>254</v>
      </c>
      <c r="BL881" s="4" t="s">
        <v>255</v>
      </c>
      <c r="BM881" s="4" t="s">
        <v>241</v>
      </c>
      <c r="BN881" s="6">
        <f>0</f>
        <v>0</v>
      </c>
      <c r="BO881" s="6">
        <f>0</f>
        <v>0</v>
      </c>
      <c r="BP881" s="4" t="s">
        <v>256</v>
      </c>
      <c r="BQ881" s="4" t="s">
        <v>257</v>
      </c>
      <c r="CE881" s="4" t="s">
        <v>241</v>
      </c>
      <c r="CF881" s="4" t="s">
        <v>241</v>
      </c>
      <c r="CJ881" s="4" t="s">
        <v>276</v>
      </c>
      <c r="CK881" s="4" t="s">
        <v>259</v>
      </c>
      <c r="CL881" s="4" t="s">
        <v>241</v>
      </c>
      <c r="CO881" s="5" t="s">
        <v>260</v>
      </c>
      <c r="CP881" s="4" t="s">
        <v>241</v>
      </c>
      <c r="CQ881" s="4" t="s">
        <v>261</v>
      </c>
      <c r="CR881" s="4" t="s">
        <v>241</v>
      </c>
      <c r="CS881" s="4" t="s">
        <v>241</v>
      </c>
      <c r="CT881" s="4">
        <v>0</v>
      </c>
      <c r="CU881" s="4" t="s">
        <v>262</v>
      </c>
      <c r="CV881" s="4" t="s">
        <v>263</v>
      </c>
      <c r="CW881" s="4" t="s">
        <v>263</v>
      </c>
      <c r="CX881" s="4" t="s">
        <v>264</v>
      </c>
      <c r="DA881" s="6">
        <f>1</f>
        <v>1</v>
      </c>
      <c r="DC881" s="4" t="s">
        <v>277</v>
      </c>
      <c r="DD881" s="4" t="s">
        <v>241</v>
      </c>
      <c r="DF881" s="4" t="s">
        <v>277</v>
      </c>
      <c r="DG881" s="6">
        <f>158</f>
        <v>158</v>
      </c>
      <c r="DI881" s="4" t="s">
        <v>241</v>
      </c>
      <c r="DJ881" s="4" t="s">
        <v>241</v>
      </c>
      <c r="DK881" s="4" t="s">
        <v>241</v>
      </c>
      <c r="DL881" s="4" t="s">
        <v>241</v>
      </c>
      <c r="DP881" s="4" t="s">
        <v>241</v>
      </c>
      <c r="DQ881" s="4" t="s">
        <v>241</v>
      </c>
      <c r="DR881" s="4" t="s">
        <v>241</v>
      </c>
      <c r="DS881" s="4" t="s">
        <v>241</v>
      </c>
      <c r="DV881" s="4" t="s">
        <v>278</v>
      </c>
      <c r="DW881" s="4" t="s">
        <v>1617</v>
      </c>
      <c r="HO881" s="4" t="s">
        <v>267</v>
      </c>
    </row>
    <row r="882" spans="1:223" ht="19.5" customHeight="1" x14ac:dyDescent="0.4">
      <c r="A882" s="4">
        <v>1</v>
      </c>
      <c r="B882" s="4" t="s">
        <v>239</v>
      </c>
      <c r="C882" s="4">
        <v>2556</v>
      </c>
      <c r="D882" s="4">
        <v>1</v>
      </c>
      <c r="E882" s="4">
        <v>1</v>
      </c>
      <c r="F882" s="4" t="s">
        <v>268</v>
      </c>
      <c r="G882" s="4" t="s">
        <v>241</v>
      </c>
      <c r="H882" s="4" t="s">
        <v>241</v>
      </c>
      <c r="I882" s="4" t="s">
        <v>272</v>
      </c>
      <c r="J882" s="4" t="s">
        <v>274</v>
      </c>
      <c r="K882" s="4" t="s">
        <v>251</v>
      </c>
      <c r="L882" s="4" t="s">
        <v>269</v>
      </c>
      <c r="M882" s="5" t="s">
        <v>1614</v>
      </c>
      <c r="N882" s="6">
        <f>1690</f>
        <v>1690</v>
      </c>
      <c r="O882" s="4" t="s">
        <v>265</v>
      </c>
      <c r="P882" s="6">
        <f>1</f>
        <v>1</v>
      </c>
      <c r="Q882" s="6">
        <f>0</f>
        <v>0</v>
      </c>
      <c r="S882" s="6">
        <f>0</f>
        <v>0</v>
      </c>
      <c r="T882" s="6">
        <f>1</f>
        <v>1</v>
      </c>
      <c r="U882" s="5" t="s">
        <v>245</v>
      </c>
      <c r="V882" s="4" t="s">
        <v>270</v>
      </c>
      <c r="W882" s="4" t="s">
        <v>271</v>
      </c>
      <c r="X882" s="4" t="s">
        <v>273</v>
      </c>
      <c r="Y882" s="4" t="s">
        <v>241</v>
      </c>
      <c r="AB882" s="4" t="s">
        <v>241</v>
      </c>
      <c r="AD882" s="5" t="s">
        <v>241</v>
      </c>
      <c r="AG882" s="5" t="s">
        <v>246</v>
      </c>
      <c r="AH882" s="4" t="s">
        <v>241</v>
      </c>
      <c r="AI882" s="4" t="s">
        <v>247</v>
      </c>
      <c r="AJ882" s="4" t="s">
        <v>248</v>
      </c>
      <c r="AZ882" s="4" t="s">
        <v>249</v>
      </c>
      <c r="BA882" s="4" t="s">
        <v>241</v>
      </c>
      <c r="BB882" s="4" t="s">
        <v>250</v>
      </c>
      <c r="BC882" s="4" t="s">
        <v>241</v>
      </c>
      <c r="BD882" s="4" t="s">
        <v>252</v>
      </c>
      <c r="BE882" s="4" t="s">
        <v>241</v>
      </c>
      <c r="BI882" s="4" t="s">
        <v>253</v>
      </c>
      <c r="BJ882" s="5" t="s">
        <v>246</v>
      </c>
      <c r="BK882" s="4" t="s">
        <v>254</v>
      </c>
      <c r="BL882" s="4" t="s">
        <v>255</v>
      </c>
      <c r="BM882" s="4" t="s">
        <v>241</v>
      </c>
      <c r="BN882" s="6">
        <f>0</f>
        <v>0</v>
      </c>
      <c r="BO882" s="6">
        <f>0</f>
        <v>0</v>
      </c>
      <c r="BP882" s="4" t="s">
        <v>256</v>
      </c>
      <c r="BQ882" s="4" t="s">
        <v>257</v>
      </c>
      <c r="CE882" s="4" t="s">
        <v>241</v>
      </c>
      <c r="CF882" s="4" t="s">
        <v>241</v>
      </c>
      <c r="CJ882" s="4" t="s">
        <v>276</v>
      </c>
      <c r="CK882" s="4" t="s">
        <v>259</v>
      </c>
      <c r="CL882" s="4" t="s">
        <v>241</v>
      </c>
      <c r="CO882" s="5" t="s">
        <v>260</v>
      </c>
      <c r="CP882" s="4" t="s">
        <v>241</v>
      </c>
      <c r="CQ882" s="4" t="s">
        <v>261</v>
      </c>
      <c r="CR882" s="4" t="s">
        <v>241</v>
      </c>
      <c r="CS882" s="4" t="s">
        <v>241</v>
      </c>
      <c r="CT882" s="4">
        <v>0</v>
      </c>
      <c r="CU882" s="4" t="s">
        <v>262</v>
      </c>
      <c r="CV882" s="4" t="s">
        <v>263</v>
      </c>
      <c r="CW882" s="4" t="s">
        <v>263</v>
      </c>
      <c r="CX882" s="4" t="s">
        <v>264</v>
      </c>
      <c r="DA882" s="6">
        <f>1</f>
        <v>1</v>
      </c>
      <c r="DC882" s="4" t="s">
        <v>277</v>
      </c>
      <c r="DD882" s="4" t="s">
        <v>241</v>
      </c>
      <c r="DF882" s="4" t="s">
        <v>277</v>
      </c>
      <c r="DG882" s="6">
        <f>1690</f>
        <v>1690</v>
      </c>
      <c r="DI882" s="4" t="s">
        <v>241</v>
      </c>
      <c r="DJ882" s="4" t="s">
        <v>241</v>
      </c>
      <c r="DK882" s="4" t="s">
        <v>241</v>
      </c>
      <c r="DL882" s="4" t="s">
        <v>241</v>
      </c>
      <c r="DP882" s="4" t="s">
        <v>241</v>
      </c>
      <c r="DQ882" s="4" t="s">
        <v>241</v>
      </c>
      <c r="DR882" s="4" t="s">
        <v>241</v>
      </c>
      <c r="DS882" s="4" t="s">
        <v>241</v>
      </c>
      <c r="DV882" s="4" t="s">
        <v>278</v>
      </c>
      <c r="DW882" s="4" t="s">
        <v>1615</v>
      </c>
      <c r="HO882" s="4" t="s">
        <v>267</v>
      </c>
    </row>
    <row r="883" spans="1:223" ht="19.5" customHeight="1" x14ac:dyDescent="0.4">
      <c r="A883" s="4">
        <v>1</v>
      </c>
      <c r="B883" s="4" t="s">
        <v>239</v>
      </c>
      <c r="C883" s="4">
        <v>2557</v>
      </c>
      <c r="D883" s="4">
        <v>1</v>
      </c>
      <c r="E883" s="4">
        <v>1</v>
      </c>
      <c r="F883" s="4" t="s">
        <v>268</v>
      </c>
      <c r="G883" s="4" t="s">
        <v>241</v>
      </c>
      <c r="H883" s="4" t="s">
        <v>241</v>
      </c>
      <c r="I883" s="4" t="s">
        <v>272</v>
      </c>
      <c r="J883" s="4" t="s">
        <v>274</v>
      </c>
      <c r="K883" s="4" t="s">
        <v>251</v>
      </c>
      <c r="L883" s="4" t="s">
        <v>269</v>
      </c>
      <c r="M883" s="5" t="s">
        <v>1612</v>
      </c>
      <c r="N883" s="6">
        <f>1145</f>
        <v>1145</v>
      </c>
      <c r="O883" s="4" t="s">
        <v>265</v>
      </c>
      <c r="P883" s="6">
        <f>1</f>
        <v>1</v>
      </c>
      <c r="Q883" s="6">
        <f>0</f>
        <v>0</v>
      </c>
      <c r="S883" s="6">
        <f>0</f>
        <v>0</v>
      </c>
      <c r="T883" s="6">
        <f>1</f>
        <v>1</v>
      </c>
      <c r="U883" s="5" t="s">
        <v>245</v>
      </c>
      <c r="V883" s="4" t="s">
        <v>270</v>
      </c>
      <c r="W883" s="4" t="s">
        <v>271</v>
      </c>
      <c r="X883" s="4" t="s">
        <v>273</v>
      </c>
      <c r="Y883" s="4" t="s">
        <v>241</v>
      </c>
      <c r="AB883" s="4" t="s">
        <v>241</v>
      </c>
      <c r="AD883" s="5" t="s">
        <v>241</v>
      </c>
      <c r="AG883" s="5" t="s">
        <v>246</v>
      </c>
      <c r="AH883" s="4" t="s">
        <v>241</v>
      </c>
      <c r="AI883" s="4" t="s">
        <v>247</v>
      </c>
      <c r="AJ883" s="4" t="s">
        <v>248</v>
      </c>
      <c r="AZ883" s="4" t="s">
        <v>249</v>
      </c>
      <c r="BA883" s="4" t="s">
        <v>241</v>
      </c>
      <c r="BB883" s="4" t="s">
        <v>250</v>
      </c>
      <c r="BC883" s="4" t="s">
        <v>241</v>
      </c>
      <c r="BD883" s="4" t="s">
        <v>252</v>
      </c>
      <c r="BE883" s="4" t="s">
        <v>241</v>
      </c>
      <c r="BI883" s="4" t="s">
        <v>253</v>
      </c>
      <c r="BJ883" s="5" t="s">
        <v>246</v>
      </c>
      <c r="BK883" s="4" t="s">
        <v>254</v>
      </c>
      <c r="BL883" s="4" t="s">
        <v>255</v>
      </c>
      <c r="BM883" s="4" t="s">
        <v>241</v>
      </c>
      <c r="BN883" s="6">
        <f>0</f>
        <v>0</v>
      </c>
      <c r="BO883" s="6">
        <f>0</f>
        <v>0</v>
      </c>
      <c r="BP883" s="4" t="s">
        <v>256</v>
      </c>
      <c r="BQ883" s="4" t="s">
        <v>257</v>
      </c>
      <c r="CE883" s="4" t="s">
        <v>241</v>
      </c>
      <c r="CF883" s="4" t="s">
        <v>241</v>
      </c>
      <c r="CJ883" s="4" t="s">
        <v>276</v>
      </c>
      <c r="CK883" s="4" t="s">
        <v>259</v>
      </c>
      <c r="CL883" s="4" t="s">
        <v>241</v>
      </c>
      <c r="CO883" s="5" t="s">
        <v>260</v>
      </c>
      <c r="CP883" s="4" t="s">
        <v>241</v>
      </c>
      <c r="CQ883" s="4" t="s">
        <v>261</v>
      </c>
      <c r="CR883" s="4" t="s">
        <v>241</v>
      </c>
      <c r="CS883" s="4" t="s">
        <v>241</v>
      </c>
      <c r="CT883" s="4">
        <v>0</v>
      </c>
      <c r="CU883" s="4" t="s">
        <v>262</v>
      </c>
      <c r="CV883" s="4" t="s">
        <v>263</v>
      </c>
      <c r="CW883" s="4" t="s">
        <v>263</v>
      </c>
      <c r="CX883" s="4" t="s">
        <v>264</v>
      </c>
      <c r="DA883" s="6">
        <f>1</f>
        <v>1</v>
      </c>
      <c r="DC883" s="4" t="s">
        <v>277</v>
      </c>
      <c r="DD883" s="4" t="s">
        <v>241</v>
      </c>
      <c r="DF883" s="4" t="s">
        <v>277</v>
      </c>
      <c r="DG883" s="6">
        <f>1145</f>
        <v>1145</v>
      </c>
      <c r="DI883" s="4" t="s">
        <v>241</v>
      </c>
      <c r="DJ883" s="4" t="s">
        <v>241</v>
      </c>
      <c r="DK883" s="4" t="s">
        <v>241</v>
      </c>
      <c r="DL883" s="4" t="s">
        <v>241</v>
      </c>
      <c r="DP883" s="4" t="s">
        <v>241</v>
      </c>
      <c r="DQ883" s="4" t="s">
        <v>241</v>
      </c>
      <c r="DR883" s="4" t="s">
        <v>241</v>
      </c>
      <c r="DS883" s="4" t="s">
        <v>241</v>
      </c>
      <c r="DV883" s="4" t="s">
        <v>278</v>
      </c>
      <c r="DW883" s="4" t="s">
        <v>1613</v>
      </c>
      <c r="HO883" s="4" t="s">
        <v>267</v>
      </c>
    </row>
    <row r="884" spans="1:223" ht="19.5" customHeight="1" x14ac:dyDescent="0.4">
      <c r="A884" s="4">
        <v>1</v>
      </c>
      <c r="B884" s="4" t="s">
        <v>239</v>
      </c>
      <c r="C884" s="4">
        <v>2558</v>
      </c>
      <c r="D884" s="4">
        <v>1</v>
      </c>
      <c r="E884" s="4">
        <v>1</v>
      </c>
      <c r="F884" s="4" t="s">
        <v>268</v>
      </c>
      <c r="G884" s="4" t="s">
        <v>241</v>
      </c>
      <c r="H884" s="4" t="s">
        <v>241</v>
      </c>
      <c r="I884" s="4" t="s">
        <v>272</v>
      </c>
      <c r="J884" s="4" t="s">
        <v>274</v>
      </c>
      <c r="K884" s="4" t="s">
        <v>251</v>
      </c>
      <c r="L884" s="4" t="s">
        <v>269</v>
      </c>
      <c r="M884" s="5" t="s">
        <v>1610</v>
      </c>
      <c r="N884" s="6">
        <f>895</f>
        <v>895</v>
      </c>
      <c r="O884" s="4" t="s">
        <v>265</v>
      </c>
      <c r="P884" s="6">
        <f>1</f>
        <v>1</v>
      </c>
      <c r="Q884" s="6">
        <f>0</f>
        <v>0</v>
      </c>
      <c r="S884" s="6">
        <f>0</f>
        <v>0</v>
      </c>
      <c r="T884" s="6">
        <f>1</f>
        <v>1</v>
      </c>
      <c r="U884" s="5" t="s">
        <v>245</v>
      </c>
      <c r="V884" s="4" t="s">
        <v>270</v>
      </c>
      <c r="W884" s="4" t="s">
        <v>271</v>
      </c>
      <c r="X884" s="4" t="s">
        <v>273</v>
      </c>
      <c r="Y884" s="4" t="s">
        <v>241</v>
      </c>
      <c r="AB884" s="4" t="s">
        <v>241</v>
      </c>
      <c r="AD884" s="5" t="s">
        <v>241</v>
      </c>
      <c r="AG884" s="5" t="s">
        <v>246</v>
      </c>
      <c r="AH884" s="4" t="s">
        <v>241</v>
      </c>
      <c r="AI884" s="4" t="s">
        <v>247</v>
      </c>
      <c r="AJ884" s="4" t="s">
        <v>248</v>
      </c>
      <c r="AZ884" s="4" t="s">
        <v>249</v>
      </c>
      <c r="BA884" s="4" t="s">
        <v>241</v>
      </c>
      <c r="BB884" s="4" t="s">
        <v>250</v>
      </c>
      <c r="BC884" s="4" t="s">
        <v>241</v>
      </c>
      <c r="BD884" s="4" t="s">
        <v>252</v>
      </c>
      <c r="BE884" s="4" t="s">
        <v>241</v>
      </c>
      <c r="BI884" s="4" t="s">
        <v>253</v>
      </c>
      <c r="BJ884" s="5" t="s">
        <v>246</v>
      </c>
      <c r="BK884" s="4" t="s">
        <v>254</v>
      </c>
      <c r="BL884" s="4" t="s">
        <v>255</v>
      </c>
      <c r="BM884" s="4" t="s">
        <v>241</v>
      </c>
      <c r="BN884" s="6">
        <f>0</f>
        <v>0</v>
      </c>
      <c r="BO884" s="6">
        <f>0</f>
        <v>0</v>
      </c>
      <c r="BP884" s="4" t="s">
        <v>256</v>
      </c>
      <c r="BQ884" s="4" t="s">
        <v>257</v>
      </c>
      <c r="CE884" s="4" t="s">
        <v>241</v>
      </c>
      <c r="CF884" s="4" t="s">
        <v>241</v>
      </c>
      <c r="CJ884" s="4" t="s">
        <v>276</v>
      </c>
      <c r="CK884" s="4" t="s">
        <v>259</v>
      </c>
      <c r="CL884" s="4" t="s">
        <v>241</v>
      </c>
      <c r="CO884" s="5" t="s">
        <v>260</v>
      </c>
      <c r="CP884" s="4" t="s">
        <v>241</v>
      </c>
      <c r="CQ884" s="4" t="s">
        <v>261</v>
      </c>
      <c r="CR884" s="4" t="s">
        <v>241</v>
      </c>
      <c r="CS884" s="4" t="s">
        <v>241</v>
      </c>
      <c r="CT884" s="4">
        <v>0</v>
      </c>
      <c r="CU884" s="4" t="s">
        <v>262</v>
      </c>
      <c r="CV884" s="4" t="s">
        <v>263</v>
      </c>
      <c r="CW884" s="4" t="s">
        <v>263</v>
      </c>
      <c r="CX884" s="4" t="s">
        <v>264</v>
      </c>
      <c r="DA884" s="6">
        <f>1</f>
        <v>1</v>
      </c>
      <c r="DC884" s="4" t="s">
        <v>277</v>
      </c>
      <c r="DD884" s="4" t="s">
        <v>241</v>
      </c>
      <c r="DF884" s="4" t="s">
        <v>277</v>
      </c>
      <c r="DG884" s="6">
        <f>895</f>
        <v>895</v>
      </c>
      <c r="DI884" s="4" t="s">
        <v>241</v>
      </c>
      <c r="DJ884" s="4" t="s">
        <v>241</v>
      </c>
      <c r="DK884" s="4" t="s">
        <v>241</v>
      </c>
      <c r="DL884" s="4" t="s">
        <v>241</v>
      </c>
      <c r="DP884" s="4" t="s">
        <v>241</v>
      </c>
      <c r="DQ884" s="4" t="s">
        <v>241</v>
      </c>
      <c r="DR884" s="4" t="s">
        <v>241</v>
      </c>
      <c r="DS884" s="4" t="s">
        <v>241</v>
      </c>
      <c r="DV884" s="4" t="s">
        <v>278</v>
      </c>
      <c r="DW884" s="4" t="s">
        <v>1611</v>
      </c>
      <c r="HO884" s="4" t="s">
        <v>267</v>
      </c>
    </row>
    <row r="885" spans="1:223" ht="19.5" customHeight="1" x14ac:dyDescent="0.4">
      <c r="A885" s="4">
        <v>1</v>
      </c>
      <c r="B885" s="4" t="s">
        <v>239</v>
      </c>
      <c r="C885" s="4">
        <v>2559</v>
      </c>
      <c r="D885" s="4">
        <v>1</v>
      </c>
      <c r="E885" s="4">
        <v>1</v>
      </c>
      <c r="F885" s="4" t="s">
        <v>268</v>
      </c>
      <c r="G885" s="4" t="s">
        <v>241</v>
      </c>
      <c r="H885" s="4" t="s">
        <v>241</v>
      </c>
      <c r="I885" s="4" t="s">
        <v>272</v>
      </c>
      <c r="J885" s="4" t="s">
        <v>274</v>
      </c>
      <c r="K885" s="4" t="s">
        <v>251</v>
      </c>
      <c r="L885" s="4" t="s">
        <v>269</v>
      </c>
      <c r="M885" s="5" t="s">
        <v>1608</v>
      </c>
      <c r="N885" s="6">
        <f>179</f>
        <v>179</v>
      </c>
      <c r="O885" s="4" t="s">
        <v>265</v>
      </c>
      <c r="P885" s="6">
        <f>1</f>
        <v>1</v>
      </c>
      <c r="Q885" s="6">
        <f>0</f>
        <v>0</v>
      </c>
      <c r="S885" s="6">
        <f>0</f>
        <v>0</v>
      </c>
      <c r="T885" s="6">
        <f>1</f>
        <v>1</v>
      </c>
      <c r="U885" s="5" t="s">
        <v>245</v>
      </c>
      <c r="V885" s="4" t="s">
        <v>270</v>
      </c>
      <c r="W885" s="4" t="s">
        <v>271</v>
      </c>
      <c r="X885" s="4" t="s">
        <v>273</v>
      </c>
      <c r="Y885" s="4" t="s">
        <v>241</v>
      </c>
      <c r="AB885" s="4" t="s">
        <v>241</v>
      </c>
      <c r="AD885" s="5" t="s">
        <v>241</v>
      </c>
      <c r="AG885" s="5" t="s">
        <v>246</v>
      </c>
      <c r="AH885" s="4" t="s">
        <v>241</v>
      </c>
      <c r="AI885" s="4" t="s">
        <v>247</v>
      </c>
      <c r="AJ885" s="4" t="s">
        <v>248</v>
      </c>
      <c r="AZ885" s="4" t="s">
        <v>249</v>
      </c>
      <c r="BA885" s="4" t="s">
        <v>241</v>
      </c>
      <c r="BB885" s="4" t="s">
        <v>250</v>
      </c>
      <c r="BC885" s="4" t="s">
        <v>241</v>
      </c>
      <c r="BD885" s="4" t="s">
        <v>252</v>
      </c>
      <c r="BE885" s="4" t="s">
        <v>241</v>
      </c>
      <c r="BI885" s="4" t="s">
        <v>253</v>
      </c>
      <c r="BJ885" s="5" t="s">
        <v>246</v>
      </c>
      <c r="BK885" s="4" t="s">
        <v>254</v>
      </c>
      <c r="BL885" s="4" t="s">
        <v>255</v>
      </c>
      <c r="BM885" s="4" t="s">
        <v>241</v>
      </c>
      <c r="BN885" s="6">
        <f>0</f>
        <v>0</v>
      </c>
      <c r="BO885" s="6">
        <f>0</f>
        <v>0</v>
      </c>
      <c r="BP885" s="4" t="s">
        <v>256</v>
      </c>
      <c r="BQ885" s="4" t="s">
        <v>257</v>
      </c>
      <c r="CE885" s="4" t="s">
        <v>241</v>
      </c>
      <c r="CF885" s="4" t="s">
        <v>241</v>
      </c>
      <c r="CJ885" s="4" t="s">
        <v>276</v>
      </c>
      <c r="CK885" s="4" t="s">
        <v>259</v>
      </c>
      <c r="CL885" s="4" t="s">
        <v>241</v>
      </c>
      <c r="CO885" s="5" t="s">
        <v>260</v>
      </c>
      <c r="CP885" s="4" t="s">
        <v>241</v>
      </c>
      <c r="CQ885" s="4" t="s">
        <v>261</v>
      </c>
      <c r="CR885" s="4" t="s">
        <v>241</v>
      </c>
      <c r="CS885" s="4" t="s">
        <v>241</v>
      </c>
      <c r="CT885" s="4">
        <v>0</v>
      </c>
      <c r="CU885" s="4" t="s">
        <v>262</v>
      </c>
      <c r="CV885" s="4" t="s">
        <v>263</v>
      </c>
      <c r="CW885" s="4" t="s">
        <v>263</v>
      </c>
      <c r="CX885" s="4" t="s">
        <v>264</v>
      </c>
      <c r="DA885" s="6">
        <f>1</f>
        <v>1</v>
      </c>
      <c r="DC885" s="4" t="s">
        <v>277</v>
      </c>
      <c r="DD885" s="4" t="s">
        <v>241</v>
      </c>
      <c r="DF885" s="4" t="s">
        <v>277</v>
      </c>
      <c r="DG885" s="6">
        <f>179</f>
        <v>179</v>
      </c>
      <c r="DI885" s="4" t="s">
        <v>241</v>
      </c>
      <c r="DJ885" s="4" t="s">
        <v>241</v>
      </c>
      <c r="DK885" s="4" t="s">
        <v>241</v>
      </c>
      <c r="DL885" s="4" t="s">
        <v>241</v>
      </c>
      <c r="DP885" s="4" t="s">
        <v>241</v>
      </c>
      <c r="DQ885" s="4" t="s">
        <v>241</v>
      </c>
      <c r="DR885" s="4" t="s">
        <v>241</v>
      </c>
      <c r="DS885" s="4" t="s">
        <v>241</v>
      </c>
      <c r="DV885" s="4" t="s">
        <v>278</v>
      </c>
      <c r="DW885" s="4" t="s">
        <v>1609</v>
      </c>
      <c r="HO885" s="4" t="s">
        <v>267</v>
      </c>
    </row>
    <row r="886" spans="1:223" ht="19.5" customHeight="1" x14ac:dyDescent="0.4">
      <c r="A886" s="4">
        <v>1</v>
      </c>
      <c r="B886" s="4" t="s">
        <v>239</v>
      </c>
      <c r="C886" s="4">
        <v>2560</v>
      </c>
      <c r="D886" s="4">
        <v>1</v>
      </c>
      <c r="E886" s="4">
        <v>1</v>
      </c>
      <c r="F886" s="4" t="s">
        <v>268</v>
      </c>
      <c r="G886" s="4" t="s">
        <v>241</v>
      </c>
      <c r="H886" s="4" t="s">
        <v>241</v>
      </c>
      <c r="I886" s="4" t="s">
        <v>272</v>
      </c>
      <c r="J886" s="4" t="s">
        <v>274</v>
      </c>
      <c r="K886" s="4" t="s">
        <v>251</v>
      </c>
      <c r="L886" s="4" t="s">
        <v>269</v>
      </c>
      <c r="M886" s="5" t="s">
        <v>1606</v>
      </c>
      <c r="N886" s="6">
        <f>5674</f>
        <v>5674</v>
      </c>
      <c r="O886" s="4" t="s">
        <v>265</v>
      </c>
      <c r="P886" s="6">
        <f>1</f>
        <v>1</v>
      </c>
      <c r="Q886" s="6">
        <f>0</f>
        <v>0</v>
      </c>
      <c r="S886" s="6">
        <f>0</f>
        <v>0</v>
      </c>
      <c r="T886" s="6">
        <f>1</f>
        <v>1</v>
      </c>
      <c r="U886" s="5" t="s">
        <v>245</v>
      </c>
      <c r="V886" s="4" t="s">
        <v>270</v>
      </c>
      <c r="W886" s="4" t="s">
        <v>271</v>
      </c>
      <c r="X886" s="4" t="s">
        <v>273</v>
      </c>
      <c r="Y886" s="4" t="s">
        <v>241</v>
      </c>
      <c r="AB886" s="4" t="s">
        <v>241</v>
      </c>
      <c r="AD886" s="5" t="s">
        <v>241</v>
      </c>
      <c r="AG886" s="5" t="s">
        <v>246</v>
      </c>
      <c r="AH886" s="4" t="s">
        <v>241</v>
      </c>
      <c r="AI886" s="4" t="s">
        <v>247</v>
      </c>
      <c r="AJ886" s="4" t="s">
        <v>248</v>
      </c>
      <c r="AZ886" s="4" t="s">
        <v>249</v>
      </c>
      <c r="BA886" s="4" t="s">
        <v>241</v>
      </c>
      <c r="BB886" s="4" t="s">
        <v>250</v>
      </c>
      <c r="BC886" s="4" t="s">
        <v>241</v>
      </c>
      <c r="BD886" s="4" t="s">
        <v>252</v>
      </c>
      <c r="BE886" s="4" t="s">
        <v>241</v>
      </c>
      <c r="BI886" s="4" t="s">
        <v>253</v>
      </c>
      <c r="BJ886" s="5" t="s">
        <v>246</v>
      </c>
      <c r="BK886" s="4" t="s">
        <v>254</v>
      </c>
      <c r="BL886" s="4" t="s">
        <v>255</v>
      </c>
      <c r="BM886" s="4" t="s">
        <v>241</v>
      </c>
      <c r="BN886" s="6">
        <f>0</f>
        <v>0</v>
      </c>
      <c r="BO886" s="6">
        <f>0</f>
        <v>0</v>
      </c>
      <c r="BP886" s="4" t="s">
        <v>256</v>
      </c>
      <c r="BQ886" s="4" t="s">
        <v>257</v>
      </c>
      <c r="CE886" s="4" t="s">
        <v>241</v>
      </c>
      <c r="CF886" s="4" t="s">
        <v>241</v>
      </c>
      <c r="CJ886" s="4" t="s">
        <v>276</v>
      </c>
      <c r="CK886" s="4" t="s">
        <v>259</v>
      </c>
      <c r="CL886" s="4" t="s">
        <v>241</v>
      </c>
      <c r="CO886" s="5" t="s">
        <v>260</v>
      </c>
      <c r="CP886" s="4" t="s">
        <v>241</v>
      </c>
      <c r="CQ886" s="4" t="s">
        <v>261</v>
      </c>
      <c r="CR886" s="4" t="s">
        <v>241</v>
      </c>
      <c r="CS886" s="4" t="s">
        <v>241</v>
      </c>
      <c r="CT886" s="4">
        <v>0</v>
      </c>
      <c r="CU886" s="4" t="s">
        <v>262</v>
      </c>
      <c r="CV886" s="4" t="s">
        <v>263</v>
      </c>
      <c r="CW886" s="4" t="s">
        <v>263</v>
      </c>
      <c r="CX886" s="4" t="s">
        <v>264</v>
      </c>
      <c r="DA886" s="6">
        <f>1</f>
        <v>1</v>
      </c>
      <c r="DC886" s="4" t="s">
        <v>277</v>
      </c>
      <c r="DD886" s="4" t="s">
        <v>241</v>
      </c>
      <c r="DF886" s="4" t="s">
        <v>277</v>
      </c>
      <c r="DG886" s="6">
        <f>5674</f>
        <v>5674</v>
      </c>
      <c r="DI886" s="4" t="s">
        <v>241</v>
      </c>
      <c r="DJ886" s="4" t="s">
        <v>241</v>
      </c>
      <c r="DK886" s="4" t="s">
        <v>241</v>
      </c>
      <c r="DL886" s="4" t="s">
        <v>241</v>
      </c>
      <c r="DP886" s="4" t="s">
        <v>241</v>
      </c>
      <c r="DQ886" s="4" t="s">
        <v>241</v>
      </c>
      <c r="DR886" s="4" t="s">
        <v>241</v>
      </c>
      <c r="DS886" s="4" t="s">
        <v>241</v>
      </c>
      <c r="DV886" s="4" t="s">
        <v>278</v>
      </c>
      <c r="DW886" s="4" t="s">
        <v>1607</v>
      </c>
      <c r="HO886" s="4" t="s">
        <v>267</v>
      </c>
    </row>
    <row r="887" spans="1:223" ht="19.5" customHeight="1" x14ac:dyDescent="0.4">
      <c r="A887" s="4">
        <v>1</v>
      </c>
      <c r="B887" s="4" t="s">
        <v>239</v>
      </c>
      <c r="C887" s="4">
        <v>2561</v>
      </c>
      <c r="D887" s="4">
        <v>1</v>
      </c>
      <c r="E887" s="4">
        <v>1</v>
      </c>
      <c r="F887" s="4" t="s">
        <v>268</v>
      </c>
      <c r="G887" s="4" t="s">
        <v>241</v>
      </c>
      <c r="H887" s="4" t="s">
        <v>241</v>
      </c>
      <c r="I887" s="4" t="s">
        <v>272</v>
      </c>
      <c r="J887" s="4" t="s">
        <v>274</v>
      </c>
      <c r="K887" s="4" t="s">
        <v>251</v>
      </c>
      <c r="L887" s="4" t="s">
        <v>269</v>
      </c>
      <c r="M887" s="5" t="s">
        <v>1604</v>
      </c>
      <c r="N887" s="6">
        <f>5353</f>
        <v>5353</v>
      </c>
      <c r="O887" s="4" t="s">
        <v>265</v>
      </c>
      <c r="P887" s="6">
        <f>1</f>
        <v>1</v>
      </c>
      <c r="Q887" s="6">
        <f>0</f>
        <v>0</v>
      </c>
      <c r="S887" s="6">
        <f>0</f>
        <v>0</v>
      </c>
      <c r="T887" s="6">
        <f>1</f>
        <v>1</v>
      </c>
      <c r="U887" s="5" t="s">
        <v>245</v>
      </c>
      <c r="V887" s="4" t="s">
        <v>270</v>
      </c>
      <c r="W887" s="4" t="s">
        <v>271</v>
      </c>
      <c r="X887" s="4" t="s">
        <v>273</v>
      </c>
      <c r="Y887" s="4" t="s">
        <v>241</v>
      </c>
      <c r="AB887" s="4" t="s">
        <v>241</v>
      </c>
      <c r="AD887" s="5" t="s">
        <v>241</v>
      </c>
      <c r="AG887" s="5" t="s">
        <v>246</v>
      </c>
      <c r="AH887" s="4" t="s">
        <v>241</v>
      </c>
      <c r="AI887" s="4" t="s">
        <v>247</v>
      </c>
      <c r="AJ887" s="4" t="s">
        <v>248</v>
      </c>
      <c r="AZ887" s="4" t="s">
        <v>249</v>
      </c>
      <c r="BA887" s="4" t="s">
        <v>241</v>
      </c>
      <c r="BB887" s="4" t="s">
        <v>250</v>
      </c>
      <c r="BC887" s="4" t="s">
        <v>241</v>
      </c>
      <c r="BD887" s="4" t="s">
        <v>252</v>
      </c>
      <c r="BE887" s="4" t="s">
        <v>241</v>
      </c>
      <c r="BI887" s="4" t="s">
        <v>253</v>
      </c>
      <c r="BJ887" s="5" t="s">
        <v>246</v>
      </c>
      <c r="BK887" s="4" t="s">
        <v>254</v>
      </c>
      <c r="BL887" s="4" t="s">
        <v>255</v>
      </c>
      <c r="BM887" s="4" t="s">
        <v>241</v>
      </c>
      <c r="BN887" s="6">
        <f>0</f>
        <v>0</v>
      </c>
      <c r="BO887" s="6">
        <f>0</f>
        <v>0</v>
      </c>
      <c r="BP887" s="4" t="s">
        <v>256</v>
      </c>
      <c r="BQ887" s="4" t="s">
        <v>257</v>
      </c>
      <c r="CE887" s="4" t="s">
        <v>241</v>
      </c>
      <c r="CF887" s="4" t="s">
        <v>241</v>
      </c>
      <c r="CJ887" s="4" t="s">
        <v>276</v>
      </c>
      <c r="CK887" s="4" t="s">
        <v>259</v>
      </c>
      <c r="CL887" s="4" t="s">
        <v>241</v>
      </c>
      <c r="CO887" s="5" t="s">
        <v>260</v>
      </c>
      <c r="CP887" s="4" t="s">
        <v>241</v>
      </c>
      <c r="CQ887" s="4" t="s">
        <v>261</v>
      </c>
      <c r="CR887" s="4" t="s">
        <v>241</v>
      </c>
      <c r="CS887" s="4" t="s">
        <v>241</v>
      </c>
      <c r="CT887" s="4">
        <v>0</v>
      </c>
      <c r="CU887" s="4" t="s">
        <v>262</v>
      </c>
      <c r="CV887" s="4" t="s">
        <v>263</v>
      </c>
      <c r="CW887" s="4" t="s">
        <v>263</v>
      </c>
      <c r="CX887" s="4" t="s">
        <v>264</v>
      </c>
      <c r="DA887" s="6">
        <f>1</f>
        <v>1</v>
      </c>
      <c r="DC887" s="4" t="s">
        <v>277</v>
      </c>
      <c r="DD887" s="4" t="s">
        <v>241</v>
      </c>
      <c r="DF887" s="4" t="s">
        <v>277</v>
      </c>
      <c r="DG887" s="6">
        <f>5353</f>
        <v>5353</v>
      </c>
      <c r="DI887" s="4" t="s">
        <v>241</v>
      </c>
      <c r="DJ887" s="4" t="s">
        <v>241</v>
      </c>
      <c r="DK887" s="4" t="s">
        <v>241</v>
      </c>
      <c r="DL887" s="4" t="s">
        <v>241</v>
      </c>
      <c r="DP887" s="4" t="s">
        <v>241</v>
      </c>
      <c r="DQ887" s="4" t="s">
        <v>241</v>
      </c>
      <c r="DR887" s="4" t="s">
        <v>241</v>
      </c>
      <c r="DS887" s="4" t="s">
        <v>241</v>
      </c>
      <c r="DV887" s="4" t="s">
        <v>278</v>
      </c>
      <c r="DW887" s="4" t="s">
        <v>1605</v>
      </c>
      <c r="HO887" s="4" t="s">
        <v>267</v>
      </c>
    </row>
    <row r="888" spans="1:223" ht="19.5" customHeight="1" x14ac:dyDescent="0.4">
      <c r="A888" s="4">
        <v>1</v>
      </c>
      <c r="B888" s="4" t="s">
        <v>239</v>
      </c>
      <c r="C888" s="4">
        <v>2562</v>
      </c>
      <c r="D888" s="4">
        <v>1</v>
      </c>
      <c r="E888" s="4">
        <v>1</v>
      </c>
      <c r="F888" s="4" t="s">
        <v>268</v>
      </c>
      <c r="G888" s="4" t="s">
        <v>241</v>
      </c>
      <c r="H888" s="4" t="s">
        <v>241</v>
      </c>
      <c r="I888" s="4" t="s">
        <v>272</v>
      </c>
      <c r="J888" s="4" t="s">
        <v>274</v>
      </c>
      <c r="K888" s="4" t="s">
        <v>251</v>
      </c>
      <c r="L888" s="4" t="s">
        <v>269</v>
      </c>
      <c r="M888" s="5" t="s">
        <v>1602</v>
      </c>
      <c r="N888" s="6">
        <f>1597</f>
        <v>1597</v>
      </c>
      <c r="O888" s="4" t="s">
        <v>265</v>
      </c>
      <c r="P888" s="6">
        <f>1</f>
        <v>1</v>
      </c>
      <c r="Q888" s="6">
        <f>0</f>
        <v>0</v>
      </c>
      <c r="S888" s="6">
        <f>0</f>
        <v>0</v>
      </c>
      <c r="T888" s="6">
        <f>1</f>
        <v>1</v>
      </c>
      <c r="U888" s="5" t="s">
        <v>245</v>
      </c>
      <c r="V888" s="4" t="s">
        <v>270</v>
      </c>
      <c r="W888" s="4" t="s">
        <v>271</v>
      </c>
      <c r="X888" s="4" t="s">
        <v>273</v>
      </c>
      <c r="Y888" s="4" t="s">
        <v>241</v>
      </c>
      <c r="AB888" s="4" t="s">
        <v>241</v>
      </c>
      <c r="AD888" s="5" t="s">
        <v>241</v>
      </c>
      <c r="AG888" s="5" t="s">
        <v>246</v>
      </c>
      <c r="AH888" s="4" t="s">
        <v>241</v>
      </c>
      <c r="AI888" s="4" t="s">
        <v>247</v>
      </c>
      <c r="AJ888" s="4" t="s">
        <v>248</v>
      </c>
      <c r="AZ888" s="4" t="s">
        <v>249</v>
      </c>
      <c r="BA888" s="4" t="s">
        <v>241</v>
      </c>
      <c r="BB888" s="4" t="s">
        <v>250</v>
      </c>
      <c r="BC888" s="4" t="s">
        <v>241</v>
      </c>
      <c r="BD888" s="4" t="s">
        <v>252</v>
      </c>
      <c r="BE888" s="4" t="s">
        <v>241</v>
      </c>
      <c r="BI888" s="4" t="s">
        <v>253</v>
      </c>
      <c r="BJ888" s="5" t="s">
        <v>246</v>
      </c>
      <c r="BK888" s="4" t="s">
        <v>254</v>
      </c>
      <c r="BL888" s="4" t="s">
        <v>255</v>
      </c>
      <c r="BM888" s="4" t="s">
        <v>241</v>
      </c>
      <c r="BN888" s="6">
        <f>0</f>
        <v>0</v>
      </c>
      <c r="BO888" s="6">
        <f>0</f>
        <v>0</v>
      </c>
      <c r="BP888" s="4" t="s">
        <v>256</v>
      </c>
      <c r="BQ888" s="4" t="s">
        <v>257</v>
      </c>
      <c r="CE888" s="4" t="s">
        <v>241</v>
      </c>
      <c r="CF888" s="4" t="s">
        <v>241</v>
      </c>
      <c r="CJ888" s="4" t="s">
        <v>276</v>
      </c>
      <c r="CK888" s="4" t="s">
        <v>259</v>
      </c>
      <c r="CL888" s="4" t="s">
        <v>241</v>
      </c>
      <c r="CO888" s="5" t="s">
        <v>260</v>
      </c>
      <c r="CP888" s="4" t="s">
        <v>241</v>
      </c>
      <c r="CQ888" s="4" t="s">
        <v>261</v>
      </c>
      <c r="CR888" s="4" t="s">
        <v>241</v>
      </c>
      <c r="CS888" s="4" t="s">
        <v>241</v>
      </c>
      <c r="CT888" s="4">
        <v>0</v>
      </c>
      <c r="CU888" s="4" t="s">
        <v>262</v>
      </c>
      <c r="CV888" s="4" t="s">
        <v>263</v>
      </c>
      <c r="CW888" s="4" t="s">
        <v>263</v>
      </c>
      <c r="CX888" s="4" t="s">
        <v>264</v>
      </c>
      <c r="DA888" s="6">
        <f>1</f>
        <v>1</v>
      </c>
      <c r="DC888" s="4" t="s">
        <v>277</v>
      </c>
      <c r="DD888" s="4" t="s">
        <v>241</v>
      </c>
      <c r="DF888" s="4" t="s">
        <v>277</v>
      </c>
      <c r="DG888" s="6">
        <f>1597</f>
        <v>1597</v>
      </c>
      <c r="DI888" s="4" t="s">
        <v>241</v>
      </c>
      <c r="DJ888" s="4" t="s">
        <v>241</v>
      </c>
      <c r="DK888" s="4" t="s">
        <v>241</v>
      </c>
      <c r="DL888" s="4" t="s">
        <v>241</v>
      </c>
      <c r="DP888" s="4" t="s">
        <v>241</v>
      </c>
      <c r="DQ888" s="4" t="s">
        <v>241</v>
      </c>
      <c r="DR888" s="4" t="s">
        <v>241</v>
      </c>
      <c r="DS888" s="4" t="s">
        <v>241</v>
      </c>
      <c r="DV888" s="4" t="s">
        <v>278</v>
      </c>
      <c r="DW888" s="4" t="s">
        <v>1603</v>
      </c>
      <c r="HO888" s="4" t="s">
        <v>267</v>
      </c>
    </row>
    <row r="889" spans="1:223" ht="19.5" customHeight="1" x14ac:dyDescent="0.4">
      <c r="A889" s="4">
        <v>1</v>
      </c>
      <c r="B889" s="4" t="s">
        <v>239</v>
      </c>
      <c r="C889" s="4">
        <v>2563</v>
      </c>
      <c r="D889" s="4">
        <v>1</v>
      </c>
      <c r="E889" s="4">
        <v>1</v>
      </c>
      <c r="F889" s="4" t="s">
        <v>268</v>
      </c>
      <c r="G889" s="4" t="s">
        <v>241</v>
      </c>
      <c r="H889" s="4" t="s">
        <v>241</v>
      </c>
      <c r="I889" s="4" t="s">
        <v>272</v>
      </c>
      <c r="J889" s="4" t="s">
        <v>274</v>
      </c>
      <c r="K889" s="4" t="s">
        <v>251</v>
      </c>
      <c r="L889" s="4" t="s">
        <v>269</v>
      </c>
      <c r="M889" s="5" t="s">
        <v>2746</v>
      </c>
      <c r="N889" s="6">
        <f>735</f>
        <v>735</v>
      </c>
      <c r="O889" s="4" t="s">
        <v>265</v>
      </c>
      <c r="P889" s="6">
        <f>1</f>
        <v>1</v>
      </c>
      <c r="Q889" s="6">
        <f>0</f>
        <v>0</v>
      </c>
      <c r="S889" s="6">
        <f>0</f>
        <v>0</v>
      </c>
      <c r="T889" s="6">
        <f>1</f>
        <v>1</v>
      </c>
      <c r="U889" s="5" t="s">
        <v>245</v>
      </c>
      <c r="V889" s="4" t="s">
        <v>270</v>
      </c>
      <c r="W889" s="4" t="s">
        <v>271</v>
      </c>
      <c r="X889" s="4" t="s">
        <v>273</v>
      </c>
      <c r="Y889" s="4" t="s">
        <v>241</v>
      </c>
      <c r="AB889" s="4" t="s">
        <v>241</v>
      </c>
      <c r="AD889" s="5" t="s">
        <v>241</v>
      </c>
      <c r="AG889" s="5" t="s">
        <v>246</v>
      </c>
      <c r="AH889" s="4" t="s">
        <v>241</v>
      </c>
      <c r="AI889" s="4" t="s">
        <v>247</v>
      </c>
      <c r="AJ889" s="4" t="s">
        <v>248</v>
      </c>
      <c r="AZ889" s="4" t="s">
        <v>249</v>
      </c>
      <c r="BA889" s="4" t="s">
        <v>241</v>
      </c>
      <c r="BB889" s="4" t="s">
        <v>250</v>
      </c>
      <c r="BC889" s="4" t="s">
        <v>241</v>
      </c>
      <c r="BD889" s="4" t="s">
        <v>252</v>
      </c>
      <c r="BE889" s="4" t="s">
        <v>241</v>
      </c>
      <c r="BI889" s="4" t="s">
        <v>253</v>
      </c>
      <c r="BJ889" s="5" t="s">
        <v>246</v>
      </c>
      <c r="BK889" s="4" t="s">
        <v>254</v>
      </c>
      <c r="BL889" s="4" t="s">
        <v>255</v>
      </c>
      <c r="BM889" s="4" t="s">
        <v>241</v>
      </c>
      <c r="BN889" s="6">
        <f>0</f>
        <v>0</v>
      </c>
      <c r="BO889" s="6">
        <f>0</f>
        <v>0</v>
      </c>
      <c r="BP889" s="4" t="s">
        <v>256</v>
      </c>
      <c r="BQ889" s="4" t="s">
        <v>257</v>
      </c>
      <c r="CE889" s="4" t="s">
        <v>241</v>
      </c>
      <c r="CF889" s="4" t="s">
        <v>241</v>
      </c>
      <c r="CJ889" s="4" t="s">
        <v>276</v>
      </c>
      <c r="CK889" s="4" t="s">
        <v>259</v>
      </c>
      <c r="CL889" s="4" t="s">
        <v>241</v>
      </c>
      <c r="CO889" s="5" t="s">
        <v>260</v>
      </c>
      <c r="CP889" s="4" t="s">
        <v>241</v>
      </c>
      <c r="CQ889" s="4" t="s">
        <v>261</v>
      </c>
      <c r="CR889" s="4" t="s">
        <v>241</v>
      </c>
      <c r="CS889" s="4" t="s">
        <v>241</v>
      </c>
      <c r="CT889" s="4">
        <v>0</v>
      </c>
      <c r="CU889" s="4" t="s">
        <v>262</v>
      </c>
      <c r="CV889" s="4" t="s">
        <v>263</v>
      </c>
      <c r="CW889" s="4" t="s">
        <v>263</v>
      </c>
      <c r="CX889" s="4" t="s">
        <v>264</v>
      </c>
      <c r="DA889" s="6">
        <f>1</f>
        <v>1</v>
      </c>
      <c r="DC889" s="4" t="s">
        <v>277</v>
      </c>
      <c r="DD889" s="4" t="s">
        <v>241</v>
      </c>
      <c r="DF889" s="4" t="s">
        <v>277</v>
      </c>
      <c r="DG889" s="6">
        <f>735</f>
        <v>735</v>
      </c>
      <c r="DI889" s="4" t="s">
        <v>241</v>
      </c>
      <c r="DJ889" s="4" t="s">
        <v>241</v>
      </c>
      <c r="DK889" s="4" t="s">
        <v>241</v>
      </c>
      <c r="DL889" s="4" t="s">
        <v>241</v>
      </c>
      <c r="DP889" s="4" t="s">
        <v>241</v>
      </c>
      <c r="DQ889" s="4" t="s">
        <v>241</v>
      </c>
      <c r="DR889" s="4" t="s">
        <v>241</v>
      </c>
      <c r="DS889" s="4" t="s">
        <v>241</v>
      </c>
      <c r="DV889" s="4" t="s">
        <v>278</v>
      </c>
      <c r="DW889" s="4" t="s">
        <v>2747</v>
      </c>
      <c r="HO889" s="4" t="s">
        <v>267</v>
      </c>
    </row>
    <row r="890" spans="1:223" ht="19.5" customHeight="1" x14ac:dyDescent="0.4">
      <c r="A890" s="4">
        <v>1</v>
      </c>
      <c r="B890" s="4" t="s">
        <v>239</v>
      </c>
      <c r="C890" s="4">
        <v>2564</v>
      </c>
      <c r="D890" s="4">
        <v>1</v>
      </c>
      <c r="E890" s="4">
        <v>1</v>
      </c>
      <c r="F890" s="4" t="s">
        <v>268</v>
      </c>
      <c r="G890" s="4" t="s">
        <v>241</v>
      </c>
      <c r="H890" s="4" t="s">
        <v>241</v>
      </c>
      <c r="I890" s="4" t="s">
        <v>272</v>
      </c>
      <c r="J890" s="4" t="s">
        <v>274</v>
      </c>
      <c r="K890" s="4" t="s">
        <v>251</v>
      </c>
      <c r="L890" s="4" t="s">
        <v>269</v>
      </c>
      <c r="M890" s="5" t="s">
        <v>1600</v>
      </c>
      <c r="N890" s="6">
        <f>2847</f>
        <v>2847</v>
      </c>
      <c r="O890" s="4" t="s">
        <v>265</v>
      </c>
      <c r="P890" s="6">
        <f>1</f>
        <v>1</v>
      </c>
      <c r="Q890" s="6">
        <f>0</f>
        <v>0</v>
      </c>
      <c r="S890" s="6">
        <f>0</f>
        <v>0</v>
      </c>
      <c r="T890" s="6">
        <f>1</f>
        <v>1</v>
      </c>
      <c r="U890" s="5" t="s">
        <v>245</v>
      </c>
      <c r="V890" s="4" t="s">
        <v>270</v>
      </c>
      <c r="W890" s="4" t="s">
        <v>271</v>
      </c>
      <c r="X890" s="4" t="s">
        <v>273</v>
      </c>
      <c r="Y890" s="4" t="s">
        <v>241</v>
      </c>
      <c r="AB890" s="4" t="s">
        <v>241</v>
      </c>
      <c r="AD890" s="5" t="s">
        <v>241</v>
      </c>
      <c r="AG890" s="5" t="s">
        <v>246</v>
      </c>
      <c r="AH890" s="4" t="s">
        <v>241</v>
      </c>
      <c r="AI890" s="4" t="s">
        <v>247</v>
      </c>
      <c r="AJ890" s="4" t="s">
        <v>248</v>
      </c>
      <c r="AZ890" s="4" t="s">
        <v>249</v>
      </c>
      <c r="BA890" s="4" t="s">
        <v>241</v>
      </c>
      <c r="BB890" s="4" t="s">
        <v>250</v>
      </c>
      <c r="BC890" s="4" t="s">
        <v>241</v>
      </c>
      <c r="BD890" s="4" t="s">
        <v>252</v>
      </c>
      <c r="BE890" s="4" t="s">
        <v>241</v>
      </c>
      <c r="BI890" s="4" t="s">
        <v>253</v>
      </c>
      <c r="BJ890" s="5" t="s">
        <v>246</v>
      </c>
      <c r="BK890" s="4" t="s">
        <v>254</v>
      </c>
      <c r="BL890" s="4" t="s">
        <v>255</v>
      </c>
      <c r="BM890" s="4" t="s">
        <v>241</v>
      </c>
      <c r="BN890" s="6">
        <f>0</f>
        <v>0</v>
      </c>
      <c r="BO890" s="6">
        <f>0</f>
        <v>0</v>
      </c>
      <c r="BP890" s="4" t="s">
        <v>256</v>
      </c>
      <c r="BQ890" s="4" t="s">
        <v>257</v>
      </c>
      <c r="CE890" s="4" t="s">
        <v>241</v>
      </c>
      <c r="CF890" s="4" t="s">
        <v>241</v>
      </c>
      <c r="CJ890" s="4" t="s">
        <v>276</v>
      </c>
      <c r="CK890" s="4" t="s">
        <v>259</v>
      </c>
      <c r="CL890" s="4" t="s">
        <v>241</v>
      </c>
      <c r="CO890" s="5" t="s">
        <v>260</v>
      </c>
      <c r="CP890" s="4" t="s">
        <v>241</v>
      </c>
      <c r="CQ890" s="4" t="s">
        <v>261</v>
      </c>
      <c r="CR890" s="4" t="s">
        <v>241</v>
      </c>
      <c r="CS890" s="4" t="s">
        <v>241</v>
      </c>
      <c r="CT890" s="4">
        <v>0</v>
      </c>
      <c r="CU890" s="4" t="s">
        <v>262</v>
      </c>
      <c r="CV890" s="4" t="s">
        <v>263</v>
      </c>
      <c r="CW890" s="4" t="s">
        <v>263</v>
      </c>
      <c r="CX890" s="4" t="s">
        <v>264</v>
      </c>
      <c r="DA890" s="6">
        <f>1</f>
        <v>1</v>
      </c>
      <c r="DC890" s="4" t="s">
        <v>277</v>
      </c>
      <c r="DD890" s="4" t="s">
        <v>241</v>
      </c>
      <c r="DF890" s="4" t="s">
        <v>277</v>
      </c>
      <c r="DG890" s="6">
        <f>2847</f>
        <v>2847</v>
      </c>
      <c r="DI890" s="4" t="s">
        <v>241</v>
      </c>
      <c r="DJ890" s="4" t="s">
        <v>241</v>
      </c>
      <c r="DK890" s="4" t="s">
        <v>241</v>
      </c>
      <c r="DL890" s="4" t="s">
        <v>241</v>
      </c>
      <c r="DP890" s="4" t="s">
        <v>241</v>
      </c>
      <c r="DQ890" s="4" t="s">
        <v>241</v>
      </c>
      <c r="DR890" s="4" t="s">
        <v>241</v>
      </c>
      <c r="DS890" s="4" t="s">
        <v>241</v>
      </c>
      <c r="DV890" s="4" t="s">
        <v>278</v>
      </c>
      <c r="DW890" s="4" t="s">
        <v>1601</v>
      </c>
      <c r="HO890" s="4" t="s">
        <v>267</v>
      </c>
    </row>
    <row r="891" spans="1:223" ht="19.5" customHeight="1" x14ac:dyDescent="0.4">
      <c r="A891" s="4">
        <v>1</v>
      </c>
      <c r="B891" s="4" t="s">
        <v>239</v>
      </c>
      <c r="C891" s="4">
        <v>2565</v>
      </c>
      <c r="D891" s="4">
        <v>1</v>
      </c>
      <c r="E891" s="4">
        <v>1</v>
      </c>
      <c r="F891" s="4" t="s">
        <v>268</v>
      </c>
      <c r="G891" s="4" t="s">
        <v>241</v>
      </c>
      <c r="H891" s="4" t="s">
        <v>241</v>
      </c>
      <c r="I891" s="4" t="s">
        <v>272</v>
      </c>
      <c r="J891" s="4" t="s">
        <v>274</v>
      </c>
      <c r="K891" s="4" t="s">
        <v>251</v>
      </c>
      <c r="L891" s="4" t="s">
        <v>269</v>
      </c>
      <c r="M891" s="5" t="s">
        <v>1598</v>
      </c>
      <c r="N891" s="6">
        <f>174</f>
        <v>174</v>
      </c>
      <c r="O891" s="4" t="s">
        <v>265</v>
      </c>
      <c r="P891" s="6">
        <f>1</f>
        <v>1</v>
      </c>
      <c r="Q891" s="6">
        <f>0</f>
        <v>0</v>
      </c>
      <c r="S891" s="6">
        <f>0</f>
        <v>0</v>
      </c>
      <c r="T891" s="6">
        <f>1</f>
        <v>1</v>
      </c>
      <c r="U891" s="5" t="s">
        <v>245</v>
      </c>
      <c r="V891" s="4" t="s">
        <v>270</v>
      </c>
      <c r="W891" s="4" t="s">
        <v>271</v>
      </c>
      <c r="X891" s="4" t="s">
        <v>273</v>
      </c>
      <c r="Y891" s="4" t="s">
        <v>241</v>
      </c>
      <c r="AB891" s="4" t="s">
        <v>241</v>
      </c>
      <c r="AD891" s="5" t="s">
        <v>241</v>
      </c>
      <c r="AG891" s="5" t="s">
        <v>246</v>
      </c>
      <c r="AH891" s="4" t="s">
        <v>241</v>
      </c>
      <c r="AI891" s="4" t="s">
        <v>247</v>
      </c>
      <c r="AJ891" s="4" t="s">
        <v>248</v>
      </c>
      <c r="AZ891" s="4" t="s">
        <v>249</v>
      </c>
      <c r="BA891" s="4" t="s">
        <v>241</v>
      </c>
      <c r="BB891" s="4" t="s">
        <v>250</v>
      </c>
      <c r="BC891" s="4" t="s">
        <v>241</v>
      </c>
      <c r="BD891" s="4" t="s">
        <v>252</v>
      </c>
      <c r="BE891" s="4" t="s">
        <v>241</v>
      </c>
      <c r="BI891" s="4" t="s">
        <v>253</v>
      </c>
      <c r="BJ891" s="5" t="s">
        <v>246</v>
      </c>
      <c r="BK891" s="4" t="s">
        <v>254</v>
      </c>
      <c r="BL891" s="4" t="s">
        <v>255</v>
      </c>
      <c r="BM891" s="4" t="s">
        <v>241</v>
      </c>
      <c r="BN891" s="6">
        <f>0</f>
        <v>0</v>
      </c>
      <c r="BO891" s="6">
        <f>0</f>
        <v>0</v>
      </c>
      <c r="BP891" s="4" t="s">
        <v>256</v>
      </c>
      <c r="BQ891" s="4" t="s">
        <v>257</v>
      </c>
      <c r="CE891" s="4" t="s">
        <v>241</v>
      </c>
      <c r="CF891" s="4" t="s">
        <v>241</v>
      </c>
      <c r="CJ891" s="4" t="s">
        <v>276</v>
      </c>
      <c r="CK891" s="4" t="s">
        <v>259</v>
      </c>
      <c r="CL891" s="4" t="s">
        <v>241</v>
      </c>
      <c r="CO891" s="5" t="s">
        <v>260</v>
      </c>
      <c r="CP891" s="4" t="s">
        <v>241</v>
      </c>
      <c r="CQ891" s="4" t="s">
        <v>261</v>
      </c>
      <c r="CR891" s="4" t="s">
        <v>241</v>
      </c>
      <c r="CS891" s="4" t="s">
        <v>241</v>
      </c>
      <c r="CT891" s="4">
        <v>0</v>
      </c>
      <c r="CU891" s="4" t="s">
        <v>262</v>
      </c>
      <c r="CV891" s="4" t="s">
        <v>263</v>
      </c>
      <c r="CW891" s="4" t="s">
        <v>263</v>
      </c>
      <c r="CX891" s="4" t="s">
        <v>264</v>
      </c>
      <c r="DA891" s="6">
        <f>1</f>
        <v>1</v>
      </c>
      <c r="DC891" s="4" t="s">
        <v>277</v>
      </c>
      <c r="DD891" s="4" t="s">
        <v>241</v>
      </c>
      <c r="DF891" s="4" t="s">
        <v>277</v>
      </c>
      <c r="DG891" s="6">
        <f>174</f>
        <v>174</v>
      </c>
      <c r="DI891" s="4" t="s">
        <v>241</v>
      </c>
      <c r="DJ891" s="4" t="s">
        <v>241</v>
      </c>
      <c r="DK891" s="4" t="s">
        <v>241</v>
      </c>
      <c r="DL891" s="4" t="s">
        <v>241</v>
      </c>
      <c r="DP891" s="4" t="s">
        <v>241</v>
      </c>
      <c r="DQ891" s="4" t="s">
        <v>241</v>
      </c>
      <c r="DR891" s="4" t="s">
        <v>241</v>
      </c>
      <c r="DS891" s="4" t="s">
        <v>241</v>
      </c>
      <c r="DV891" s="4" t="s">
        <v>278</v>
      </c>
      <c r="DW891" s="4" t="s">
        <v>1599</v>
      </c>
      <c r="HO891" s="4" t="s">
        <v>267</v>
      </c>
    </row>
    <row r="892" spans="1:223" ht="19.5" customHeight="1" x14ac:dyDescent="0.4">
      <c r="A892" s="4">
        <v>1</v>
      </c>
      <c r="B892" s="4" t="s">
        <v>239</v>
      </c>
      <c r="C892" s="4">
        <v>2566</v>
      </c>
      <c r="D892" s="4">
        <v>1</v>
      </c>
      <c r="E892" s="4">
        <v>1</v>
      </c>
      <c r="F892" s="4" t="s">
        <v>268</v>
      </c>
      <c r="G892" s="4" t="s">
        <v>241</v>
      </c>
      <c r="H892" s="4" t="s">
        <v>241</v>
      </c>
      <c r="I892" s="4" t="s">
        <v>272</v>
      </c>
      <c r="J892" s="4" t="s">
        <v>274</v>
      </c>
      <c r="K892" s="4" t="s">
        <v>251</v>
      </c>
      <c r="L892" s="4" t="s">
        <v>269</v>
      </c>
      <c r="M892" s="5" t="s">
        <v>1596</v>
      </c>
      <c r="N892" s="6">
        <f>2190</f>
        <v>2190</v>
      </c>
      <c r="O892" s="4" t="s">
        <v>265</v>
      </c>
      <c r="P892" s="6">
        <f>1</f>
        <v>1</v>
      </c>
      <c r="Q892" s="6">
        <f>0</f>
        <v>0</v>
      </c>
      <c r="S892" s="6">
        <f>0</f>
        <v>0</v>
      </c>
      <c r="T892" s="6">
        <f>1</f>
        <v>1</v>
      </c>
      <c r="U892" s="5" t="s">
        <v>245</v>
      </c>
      <c r="V892" s="4" t="s">
        <v>270</v>
      </c>
      <c r="W892" s="4" t="s">
        <v>271</v>
      </c>
      <c r="X892" s="4" t="s">
        <v>273</v>
      </c>
      <c r="Y892" s="4" t="s">
        <v>241</v>
      </c>
      <c r="AB892" s="4" t="s">
        <v>241</v>
      </c>
      <c r="AD892" s="5" t="s">
        <v>241</v>
      </c>
      <c r="AG892" s="5" t="s">
        <v>246</v>
      </c>
      <c r="AH892" s="4" t="s">
        <v>241</v>
      </c>
      <c r="AI892" s="4" t="s">
        <v>247</v>
      </c>
      <c r="AJ892" s="4" t="s">
        <v>248</v>
      </c>
      <c r="AZ892" s="4" t="s">
        <v>249</v>
      </c>
      <c r="BA892" s="4" t="s">
        <v>241</v>
      </c>
      <c r="BB892" s="4" t="s">
        <v>250</v>
      </c>
      <c r="BC892" s="4" t="s">
        <v>241</v>
      </c>
      <c r="BD892" s="4" t="s">
        <v>252</v>
      </c>
      <c r="BE892" s="4" t="s">
        <v>241</v>
      </c>
      <c r="BI892" s="4" t="s">
        <v>253</v>
      </c>
      <c r="BJ892" s="5" t="s">
        <v>246</v>
      </c>
      <c r="BK892" s="4" t="s">
        <v>254</v>
      </c>
      <c r="BL892" s="4" t="s">
        <v>255</v>
      </c>
      <c r="BM892" s="4" t="s">
        <v>241</v>
      </c>
      <c r="BN892" s="6">
        <f>0</f>
        <v>0</v>
      </c>
      <c r="BO892" s="6">
        <f>0</f>
        <v>0</v>
      </c>
      <c r="BP892" s="4" t="s">
        <v>256</v>
      </c>
      <c r="BQ892" s="4" t="s">
        <v>257</v>
      </c>
      <c r="CE892" s="4" t="s">
        <v>241</v>
      </c>
      <c r="CF892" s="4" t="s">
        <v>241</v>
      </c>
      <c r="CJ892" s="4" t="s">
        <v>276</v>
      </c>
      <c r="CK892" s="4" t="s">
        <v>259</v>
      </c>
      <c r="CL892" s="4" t="s">
        <v>241</v>
      </c>
      <c r="CO892" s="5" t="s">
        <v>260</v>
      </c>
      <c r="CP892" s="4" t="s">
        <v>241</v>
      </c>
      <c r="CQ892" s="4" t="s">
        <v>261</v>
      </c>
      <c r="CR892" s="4" t="s">
        <v>241</v>
      </c>
      <c r="CS892" s="4" t="s">
        <v>241</v>
      </c>
      <c r="CT892" s="4">
        <v>0</v>
      </c>
      <c r="CU892" s="4" t="s">
        <v>262</v>
      </c>
      <c r="CV892" s="4" t="s">
        <v>263</v>
      </c>
      <c r="CW892" s="4" t="s">
        <v>263</v>
      </c>
      <c r="CX892" s="4" t="s">
        <v>264</v>
      </c>
      <c r="DA892" s="6">
        <f>1</f>
        <v>1</v>
      </c>
      <c r="DC892" s="4" t="s">
        <v>277</v>
      </c>
      <c r="DD892" s="4" t="s">
        <v>241</v>
      </c>
      <c r="DF892" s="4" t="s">
        <v>277</v>
      </c>
      <c r="DG892" s="6">
        <f>2190</f>
        <v>2190</v>
      </c>
      <c r="DI892" s="4" t="s">
        <v>241</v>
      </c>
      <c r="DJ892" s="4" t="s">
        <v>241</v>
      </c>
      <c r="DK892" s="4" t="s">
        <v>241</v>
      </c>
      <c r="DL892" s="4" t="s">
        <v>241</v>
      </c>
      <c r="DP892" s="4" t="s">
        <v>241</v>
      </c>
      <c r="DQ892" s="4" t="s">
        <v>241</v>
      </c>
      <c r="DR892" s="4" t="s">
        <v>241</v>
      </c>
      <c r="DS892" s="4" t="s">
        <v>241</v>
      </c>
      <c r="DV892" s="4" t="s">
        <v>278</v>
      </c>
      <c r="DW892" s="4" t="s">
        <v>1597</v>
      </c>
      <c r="HO892" s="4" t="s">
        <v>267</v>
      </c>
    </row>
    <row r="893" spans="1:223" ht="19.5" customHeight="1" x14ac:dyDescent="0.4">
      <c r="A893" s="4">
        <v>1</v>
      </c>
      <c r="B893" s="4" t="s">
        <v>239</v>
      </c>
      <c r="C893" s="4">
        <v>2567</v>
      </c>
      <c r="D893" s="4">
        <v>1</v>
      </c>
      <c r="E893" s="4">
        <v>1</v>
      </c>
      <c r="F893" s="4" t="s">
        <v>268</v>
      </c>
      <c r="G893" s="4" t="s">
        <v>241</v>
      </c>
      <c r="H893" s="4" t="s">
        <v>241</v>
      </c>
      <c r="I893" s="4" t="s">
        <v>272</v>
      </c>
      <c r="J893" s="4" t="s">
        <v>274</v>
      </c>
      <c r="K893" s="4" t="s">
        <v>251</v>
      </c>
      <c r="L893" s="4" t="s">
        <v>269</v>
      </c>
      <c r="M893" s="5" t="s">
        <v>1804</v>
      </c>
      <c r="N893" s="6">
        <f>149</f>
        <v>149</v>
      </c>
      <c r="O893" s="4" t="s">
        <v>265</v>
      </c>
      <c r="P893" s="6">
        <f>1</f>
        <v>1</v>
      </c>
      <c r="Q893" s="6">
        <f>0</f>
        <v>0</v>
      </c>
      <c r="S893" s="6">
        <f>0</f>
        <v>0</v>
      </c>
      <c r="T893" s="6">
        <f>1</f>
        <v>1</v>
      </c>
      <c r="U893" s="5" t="s">
        <v>245</v>
      </c>
      <c r="V893" s="4" t="s">
        <v>270</v>
      </c>
      <c r="W893" s="4" t="s">
        <v>271</v>
      </c>
      <c r="X893" s="4" t="s">
        <v>273</v>
      </c>
      <c r="Y893" s="4" t="s">
        <v>241</v>
      </c>
      <c r="AB893" s="4" t="s">
        <v>241</v>
      </c>
      <c r="AD893" s="5" t="s">
        <v>241</v>
      </c>
      <c r="AG893" s="5" t="s">
        <v>246</v>
      </c>
      <c r="AH893" s="4" t="s">
        <v>241</v>
      </c>
      <c r="AI893" s="4" t="s">
        <v>247</v>
      </c>
      <c r="AJ893" s="4" t="s">
        <v>248</v>
      </c>
      <c r="AZ893" s="4" t="s">
        <v>249</v>
      </c>
      <c r="BA893" s="4" t="s">
        <v>241</v>
      </c>
      <c r="BB893" s="4" t="s">
        <v>250</v>
      </c>
      <c r="BC893" s="4" t="s">
        <v>241</v>
      </c>
      <c r="BD893" s="4" t="s">
        <v>252</v>
      </c>
      <c r="BE893" s="4" t="s">
        <v>241</v>
      </c>
      <c r="BI893" s="4" t="s">
        <v>253</v>
      </c>
      <c r="BJ893" s="5" t="s">
        <v>246</v>
      </c>
      <c r="BK893" s="4" t="s">
        <v>254</v>
      </c>
      <c r="BL893" s="4" t="s">
        <v>255</v>
      </c>
      <c r="BM893" s="4" t="s">
        <v>241</v>
      </c>
      <c r="BN893" s="6">
        <f>0</f>
        <v>0</v>
      </c>
      <c r="BO893" s="6">
        <f>0</f>
        <v>0</v>
      </c>
      <c r="BP893" s="4" t="s">
        <v>256</v>
      </c>
      <c r="BQ893" s="4" t="s">
        <v>257</v>
      </c>
      <c r="CE893" s="4" t="s">
        <v>241</v>
      </c>
      <c r="CF893" s="4" t="s">
        <v>241</v>
      </c>
      <c r="CJ893" s="4" t="s">
        <v>276</v>
      </c>
      <c r="CK893" s="4" t="s">
        <v>259</v>
      </c>
      <c r="CL893" s="4" t="s">
        <v>241</v>
      </c>
      <c r="CO893" s="5" t="s">
        <v>260</v>
      </c>
      <c r="CP893" s="4" t="s">
        <v>241</v>
      </c>
      <c r="CQ893" s="4" t="s">
        <v>261</v>
      </c>
      <c r="CR893" s="4" t="s">
        <v>241</v>
      </c>
      <c r="CS893" s="4" t="s">
        <v>241</v>
      </c>
      <c r="CT893" s="4">
        <v>0</v>
      </c>
      <c r="CU893" s="4" t="s">
        <v>262</v>
      </c>
      <c r="CV893" s="4" t="s">
        <v>263</v>
      </c>
      <c r="CW893" s="4" t="s">
        <v>263</v>
      </c>
      <c r="CX893" s="4" t="s">
        <v>264</v>
      </c>
      <c r="DA893" s="6">
        <f>1</f>
        <v>1</v>
      </c>
      <c r="DC893" s="4" t="s">
        <v>277</v>
      </c>
      <c r="DD893" s="4" t="s">
        <v>241</v>
      </c>
      <c r="DF893" s="4" t="s">
        <v>277</v>
      </c>
      <c r="DG893" s="6">
        <f>149</f>
        <v>149</v>
      </c>
      <c r="DI893" s="4" t="s">
        <v>241</v>
      </c>
      <c r="DJ893" s="4" t="s">
        <v>241</v>
      </c>
      <c r="DK893" s="4" t="s">
        <v>241</v>
      </c>
      <c r="DL893" s="4" t="s">
        <v>241</v>
      </c>
      <c r="DP893" s="4" t="s">
        <v>241</v>
      </c>
      <c r="DQ893" s="4" t="s">
        <v>241</v>
      </c>
      <c r="DR893" s="4" t="s">
        <v>241</v>
      </c>
      <c r="DS893" s="4" t="s">
        <v>241</v>
      </c>
      <c r="DV893" s="4" t="s">
        <v>278</v>
      </c>
      <c r="DW893" s="4" t="s">
        <v>1805</v>
      </c>
      <c r="HO893" s="4" t="s">
        <v>267</v>
      </c>
    </row>
    <row r="894" spans="1:223" ht="19.5" customHeight="1" x14ac:dyDescent="0.4">
      <c r="A894" s="4">
        <v>1</v>
      </c>
      <c r="B894" s="4" t="s">
        <v>239</v>
      </c>
      <c r="C894" s="4">
        <v>2568</v>
      </c>
      <c r="D894" s="4">
        <v>1</v>
      </c>
      <c r="E894" s="4">
        <v>1</v>
      </c>
      <c r="F894" s="4" t="s">
        <v>268</v>
      </c>
      <c r="G894" s="4" t="s">
        <v>241</v>
      </c>
      <c r="H894" s="4" t="s">
        <v>241</v>
      </c>
      <c r="I894" s="4" t="s">
        <v>272</v>
      </c>
      <c r="J894" s="4" t="s">
        <v>274</v>
      </c>
      <c r="K894" s="4" t="s">
        <v>251</v>
      </c>
      <c r="L894" s="4" t="s">
        <v>269</v>
      </c>
      <c r="M894" s="5" t="s">
        <v>1592</v>
      </c>
      <c r="N894" s="6">
        <f>1116</f>
        <v>1116</v>
      </c>
      <c r="O894" s="4" t="s">
        <v>265</v>
      </c>
      <c r="P894" s="6">
        <f>1</f>
        <v>1</v>
      </c>
      <c r="Q894" s="6">
        <f>0</f>
        <v>0</v>
      </c>
      <c r="S894" s="6">
        <f>0</f>
        <v>0</v>
      </c>
      <c r="T894" s="6">
        <f>1</f>
        <v>1</v>
      </c>
      <c r="U894" s="5" t="s">
        <v>245</v>
      </c>
      <c r="V894" s="4" t="s">
        <v>270</v>
      </c>
      <c r="W894" s="4" t="s">
        <v>271</v>
      </c>
      <c r="X894" s="4" t="s">
        <v>273</v>
      </c>
      <c r="Y894" s="4" t="s">
        <v>241</v>
      </c>
      <c r="AB894" s="4" t="s">
        <v>241</v>
      </c>
      <c r="AD894" s="5" t="s">
        <v>241</v>
      </c>
      <c r="AG894" s="5" t="s">
        <v>246</v>
      </c>
      <c r="AH894" s="4" t="s">
        <v>241</v>
      </c>
      <c r="AI894" s="4" t="s">
        <v>247</v>
      </c>
      <c r="AJ894" s="4" t="s">
        <v>248</v>
      </c>
      <c r="AZ894" s="4" t="s">
        <v>249</v>
      </c>
      <c r="BA894" s="4" t="s">
        <v>241</v>
      </c>
      <c r="BB894" s="4" t="s">
        <v>250</v>
      </c>
      <c r="BC894" s="4" t="s">
        <v>241</v>
      </c>
      <c r="BD894" s="4" t="s">
        <v>252</v>
      </c>
      <c r="BE894" s="4" t="s">
        <v>241</v>
      </c>
      <c r="BI894" s="4" t="s">
        <v>253</v>
      </c>
      <c r="BJ894" s="5" t="s">
        <v>246</v>
      </c>
      <c r="BK894" s="4" t="s">
        <v>254</v>
      </c>
      <c r="BL894" s="4" t="s">
        <v>255</v>
      </c>
      <c r="BM894" s="4" t="s">
        <v>241</v>
      </c>
      <c r="BN894" s="6">
        <f>0</f>
        <v>0</v>
      </c>
      <c r="BO894" s="6">
        <f>0</f>
        <v>0</v>
      </c>
      <c r="BP894" s="4" t="s">
        <v>256</v>
      </c>
      <c r="BQ894" s="4" t="s">
        <v>257</v>
      </c>
      <c r="CE894" s="4" t="s">
        <v>241</v>
      </c>
      <c r="CF894" s="4" t="s">
        <v>241</v>
      </c>
      <c r="CJ894" s="4" t="s">
        <v>276</v>
      </c>
      <c r="CK894" s="4" t="s">
        <v>259</v>
      </c>
      <c r="CL894" s="4" t="s">
        <v>241</v>
      </c>
      <c r="CO894" s="5" t="s">
        <v>260</v>
      </c>
      <c r="CP894" s="4" t="s">
        <v>241</v>
      </c>
      <c r="CQ894" s="4" t="s">
        <v>261</v>
      </c>
      <c r="CR894" s="4" t="s">
        <v>241</v>
      </c>
      <c r="CS894" s="4" t="s">
        <v>241</v>
      </c>
      <c r="CT894" s="4">
        <v>0</v>
      </c>
      <c r="CU894" s="4" t="s">
        <v>262</v>
      </c>
      <c r="CV894" s="4" t="s">
        <v>263</v>
      </c>
      <c r="CW894" s="4" t="s">
        <v>263</v>
      </c>
      <c r="CX894" s="4" t="s">
        <v>264</v>
      </c>
      <c r="DA894" s="6">
        <f>1</f>
        <v>1</v>
      </c>
      <c r="DC894" s="4" t="s">
        <v>277</v>
      </c>
      <c r="DD894" s="4" t="s">
        <v>241</v>
      </c>
      <c r="DF894" s="4" t="s">
        <v>277</v>
      </c>
      <c r="DG894" s="6">
        <f>1116</f>
        <v>1116</v>
      </c>
      <c r="DI894" s="4" t="s">
        <v>241</v>
      </c>
      <c r="DJ894" s="4" t="s">
        <v>241</v>
      </c>
      <c r="DK894" s="4" t="s">
        <v>241</v>
      </c>
      <c r="DL894" s="4" t="s">
        <v>241</v>
      </c>
      <c r="DP894" s="4" t="s">
        <v>241</v>
      </c>
      <c r="DQ894" s="4" t="s">
        <v>241</v>
      </c>
      <c r="DR894" s="4" t="s">
        <v>241</v>
      </c>
      <c r="DS894" s="4" t="s">
        <v>241</v>
      </c>
      <c r="DV894" s="4" t="s">
        <v>278</v>
      </c>
      <c r="DW894" s="4" t="s">
        <v>1593</v>
      </c>
      <c r="HO894" s="4" t="s">
        <v>267</v>
      </c>
    </row>
    <row r="895" spans="1:223" ht="19.5" customHeight="1" x14ac:dyDescent="0.4">
      <c r="A895" s="4">
        <v>1</v>
      </c>
      <c r="B895" s="4" t="s">
        <v>239</v>
      </c>
      <c r="C895" s="4">
        <v>2569</v>
      </c>
      <c r="D895" s="4">
        <v>1</v>
      </c>
      <c r="E895" s="4">
        <v>1</v>
      </c>
      <c r="F895" s="4" t="s">
        <v>268</v>
      </c>
      <c r="G895" s="4" t="s">
        <v>241</v>
      </c>
      <c r="H895" s="4" t="s">
        <v>241</v>
      </c>
      <c r="I895" s="4" t="s">
        <v>272</v>
      </c>
      <c r="J895" s="4" t="s">
        <v>274</v>
      </c>
      <c r="K895" s="4" t="s">
        <v>251</v>
      </c>
      <c r="L895" s="4" t="s">
        <v>269</v>
      </c>
      <c r="M895" s="5" t="s">
        <v>1870</v>
      </c>
      <c r="N895" s="6">
        <f>68</f>
        <v>68</v>
      </c>
      <c r="O895" s="4" t="s">
        <v>265</v>
      </c>
      <c r="P895" s="6">
        <f>1</f>
        <v>1</v>
      </c>
      <c r="Q895" s="6">
        <f>0</f>
        <v>0</v>
      </c>
      <c r="S895" s="6">
        <f>0</f>
        <v>0</v>
      </c>
      <c r="T895" s="6">
        <f>1</f>
        <v>1</v>
      </c>
      <c r="U895" s="5" t="s">
        <v>245</v>
      </c>
      <c r="V895" s="4" t="s">
        <v>270</v>
      </c>
      <c r="W895" s="4" t="s">
        <v>271</v>
      </c>
      <c r="X895" s="4" t="s">
        <v>273</v>
      </c>
      <c r="Y895" s="4" t="s">
        <v>241</v>
      </c>
      <c r="AB895" s="4" t="s">
        <v>241</v>
      </c>
      <c r="AD895" s="5" t="s">
        <v>241</v>
      </c>
      <c r="AG895" s="5" t="s">
        <v>246</v>
      </c>
      <c r="AH895" s="4" t="s">
        <v>241</v>
      </c>
      <c r="AI895" s="4" t="s">
        <v>247</v>
      </c>
      <c r="AJ895" s="4" t="s">
        <v>248</v>
      </c>
      <c r="AZ895" s="4" t="s">
        <v>249</v>
      </c>
      <c r="BA895" s="4" t="s">
        <v>241</v>
      </c>
      <c r="BB895" s="4" t="s">
        <v>250</v>
      </c>
      <c r="BC895" s="4" t="s">
        <v>241</v>
      </c>
      <c r="BD895" s="4" t="s">
        <v>252</v>
      </c>
      <c r="BE895" s="4" t="s">
        <v>241</v>
      </c>
      <c r="BI895" s="4" t="s">
        <v>253</v>
      </c>
      <c r="BJ895" s="5" t="s">
        <v>246</v>
      </c>
      <c r="BK895" s="4" t="s">
        <v>254</v>
      </c>
      <c r="BL895" s="4" t="s">
        <v>255</v>
      </c>
      <c r="BM895" s="4" t="s">
        <v>241</v>
      </c>
      <c r="BN895" s="6">
        <f>0</f>
        <v>0</v>
      </c>
      <c r="BO895" s="6">
        <f>0</f>
        <v>0</v>
      </c>
      <c r="BP895" s="4" t="s">
        <v>256</v>
      </c>
      <c r="BQ895" s="4" t="s">
        <v>257</v>
      </c>
      <c r="CE895" s="4" t="s">
        <v>241</v>
      </c>
      <c r="CF895" s="4" t="s">
        <v>241</v>
      </c>
      <c r="CJ895" s="4" t="s">
        <v>276</v>
      </c>
      <c r="CK895" s="4" t="s">
        <v>259</v>
      </c>
      <c r="CL895" s="4" t="s">
        <v>241</v>
      </c>
      <c r="CO895" s="5" t="s">
        <v>260</v>
      </c>
      <c r="CP895" s="4" t="s">
        <v>241</v>
      </c>
      <c r="CQ895" s="4" t="s">
        <v>261</v>
      </c>
      <c r="CR895" s="4" t="s">
        <v>241</v>
      </c>
      <c r="CS895" s="4" t="s">
        <v>241</v>
      </c>
      <c r="CT895" s="4">
        <v>0</v>
      </c>
      <c r="CU895" s="4" t="s">
        <v>262</v>
      </c>
      <c r="CV895" s="4" t="s">
        <v>263</v>
      </c>
      <c r="CW895" s="4" t="s">
        <v>263</v>
      </c>
      <c r="CX895" s="4" t="s">
        <v>264</v>
      </c>
      <c r="DA895" s="6">
        <f>1</f>
        <v>1</v>
      </c>
      <c r="DC895" s="4" t="s">
        <v>277</v>
      </c>
      <c r="DD895" s="4" t="s">
        <v>241</v>
      </c>
      <c r="DF895" s="4" t="s">
        <v>277</v>
      </c>
      <c r="DG895" s="6">
        <f>68</f>
        <v>68</v>
      </c>
      <c r="DI895" s="4" t="s">
        <v>241</v>
      </c>
      <c r="DJ895" s="4" t="s">
        <v>241</v>
      </c>
      <c r="DK895" s="4" t="s">
        <v>241</v>
      </c>
      <c r="DL895" s="4" t="s">
        <v>241</v>
      </c>
      <c r="DP895" s="4" t="s">
        <v>241</v>
      </c>
      <c r="DQ895" s="4" t="s">
        <v>241</v>
      </c>
      <c r="DR895" s="4" t="s">
        <v>241</v>
      </c>
      <c r="DS895" s="4" t="s">
        <v>241</v>
      </c>
      <c r="DV895" s="4" t="s">
        <v>278</v>
      </c>
      <c r="DW895" s="4" t="s">
        <v>1871</v>
      </c>
      <c r="HO895" s="4" t="s">
        <v>267</v>
      </c>
    </row>
    <row r="896" spans="1:223" ht="19.5" customHeight="1" x14ac:dyDescent="0.4">
      <c r="A896" s="4">
        <v>1</v>
      </c>
      <c r="B896" s="4" t="s">
        <v>239</v>
      </c>
      <c r="C896" s="4">
        <v>2570</v>
      </c>
      <c r="D896" s="4">
        <v>1</v>
      </c>
      <c r="E896" s="4">
        <v>1</v>
      </c>
      <c r="F896" s="4" t="s">
        <v>268</v>
      </c>
      <c r="G896" s="4" t="s">
        <v>241</v>
      </c>
      <c r="H896" s="4" t="s">
        <v>241</v>
      </c>
      <c r="I896" s="4" t="s">
        <v>272</v>
      </c>
      <c r="J896" s="4" t="s">
        <v>274</v>
      </c>
      <c r="K896" s="4" t="s">
        <v>251</v>
      </c>
      <c r="L896" s="4" t="s">
        <v>269</v>
      </c>
      <c r="M896" s="5" t="s">
        <v>1588</v>
      </c>
      <c r="N896" s="6">
        <f>203</f>
        <v>203</v>
      </c>
      <c r="O896" s="4" t="s">
        <v>265</v>
      </c>
      <c r="P896" s="6">
        <f>1</f>
        <v>1</v>
      </c>
      <c r="Q896" s="6">
        <f>0</f>
        <v>0</v>
      </c>
      <c r="S896" s="6">
        <f>0</f>
        <v>0</v>
      </c>
      <c r="T896" s="6">
        <f>1</f>
        <v>1</v>
      </c>
      <c r="U896" s="5" t="s">
        <v>245</v>
      </c>
      <c r="V896" s="4" t="s">
        <v>270</v>
      </c>
      <c r="W896" s="4" t="s">
        <v>271</v>
      </c>
      <c r="X896" s="4" t="s">
        <v>273</v>
      </c>
      <c r="Y896" s="4" t="s">
        <v>241</v>
      </c>
      <c r="AB896" s="4" t="s">
        <v>241</v>
      </c>
      <c r="AD896" s="5" t="s">
        <v>241</v>
      </c>
      <c r="AG896" s="5" t="s">
        <v>246</v>
      </c>
      <c r="AH896" s="4" t="s">
        <v>241</v>
      </c>
      <c r="AI896" s="4" t="s">
        <v>247</v>
      </c>
      <c r="AJ896" s="4" t="s">
        <v>248</v>
      </c>
      <c r="AZ896" s="4" t="s">
        <v>249</v>
      </c>
      <c r="BA896" s="4" t="s">
        <v>241</v>
      </c>
      <c r="BB896" s="4" t="s">
        <v>250</v>
      </c>
      <c r="BC896" s="4" t="s">
        <v>241</v>
      </c>
      <c r="BD896" s="4" t="s">
        <v>252</v>
      </c>
      <c r="BE896" s="4" t="s">
        <v>241</v>
      </c>
      <c r="BI896" s="4" t="s">
        <v>253</v>
      </c>
      <c r="BJ896" s="5" t="s">
        <v>246</v>
      </c>
      <c r="BK896" s="4" t="s">
        <v>254</v>
      </c>
      <c r="BL896" s="4" t="s">
        <v>255</v>
      </c>
      <c r="BM896" s="4" t="s">
        <v>241</v>
      </c>
      <c r="BN896" s="6">
        <f>0</f>
        <v>0</v>
      </c>
      <c r="BO896" s="6">
        <f>0</f>
        <v>0</v>
      </c>
      <c r="BP896" s="4" t="s">
        <v>256</v>
      </c>
      <c r="BQ896" s="4" t="s">
        <v>257</v>
      </c>
      <c r="CE896" s="4" t="s">
        <v>241</v>
      </c>
      <c r="CF896" s="4" t="s">
        <v>241</v>
      </c>
      <c r="CJ896" s="4" t="s">
        <v>276</v>
      </c>
      <c r="CK896" s="4" t="s">
        <v>259</v>
      </c>
      <c r="CL896" s="4" t="s">
        <v>241</v>
      </c>
      <c r="CO896" s="5" t="s">
        <v>260</v>
      </c>
      <c r="CP896" s="4" t="s">
        <v>241</v>
      </c>
      <c r="CQ896" s="4" t="s">
        <v>261</v>
      </c>
      <c r="CR896" s="4" t="s">
        <v>241</v>
      </c>
      <c r="CS896" s="4" t="s">
        <v>241</v>
      </c>
      <c r="CT896" s="4">
        <v>0</v>
      </c>
      <c r="CU896" s="4" t="s">
        <v>262</v>
      </c>
      <c r="CV896" s="4" t="s">
        <v>263</v>
      </c>
      <c r="CW896" s="4" t="s">
        <v>263</v>
      </c>
      <c r="CX896" s="4" t="s">
        <v>264</v>
      </c>
      <c r="DA896" s="6">
        <f>1</f>
        <v>1</v>
      </c>
      <c r="DC896" s="4" t="s">
        <v>277</v>
      </c>
      <c r="DD896" s="4" t="s">
        <v>241</v>
      </c>
      <c r="DF896" s="4" t="s">
        <v>277</v>
      </c>
      <c r="DG896" s="6">
        <f>203</f>
        <v>203</v>
      </c>
      <c r="DI896" s="4" t="s">
        <v>241</v>
      </c>
      <c r="DJ896" s="4" t="s">
        <v>241</v>
      </c>
      <c r="DK896" s="4" t="s">
        <v>241</v>
      </c>
      <c r="DL896" s="4" t="s">
        <v>241</v>
      </c>
      <c r="DP896" s="4" t="s">
        <v>241</v>
      </c>
      <c r="DQ896" s="4" t="s">
        <v>241</v>
      </c>
      <c r="DR896" s="4" t="s">
        <v>241</v>
      </c>
      <c r="DS896" s="4" t="s">
        <v>241</v>
      </c>
      <c r="DV896" s="4" t="s">
        <v>278</v>
      </c>
      <c r="DW896" s="4" t="s">
        <v>1589</v>
      </c>
      <c r="HO896" s="4" t="s">
        <v>267</v>
      </c>
    </row>
    <row r="897" spans="1:223" ht="19.5" customHeight="1" x14ac:dyDescent="0.4">
      <c r="A897" s="4">
        <v>1</v>
      </c>
      <c r="B897" s="4" t="s">
        <v>239</v>
      </c>
      <c r="C897" s="4">
        <v>2571</v>
      </c>
      <c r="D897" s="4">
        <v>1</v>
      </c>
      <c r="E897" s="4">
        <v>1</v>
      </c>
      <c r="F897" s="4" t="s">
        <v>268</v>
      </c>
      <c r="G897" s="4" t="s">
        <v>241</v>
      </c>
      <c r="H897" s="4" t="s">
        <v>241</v>
      </c>
      <c r="I897" s="4" t="s">
        <v>272</v>
      </c>
      <c r="J897" s="4" t="s">
        <v>274</v>
      </c>
      <c r="K897" s="4" t="s">
        <v>251</v>
      </c>
      <c r="L897" s="4" t="s">
        <v>269</v>
      </c>
      <c r="M897" s="5" t="s">
        <v>1586</v>
      </c>
      <c r="N897" s="6">
        <f>10</f>
        <v>10</v>
      </c>
      <c r="O897" s="4" t="s">
        <v>265</v>
      </c>
      <c r="P897" s="6">
        <f>1</f>
        <v>1</v>
      </c>
      <c r="Q897" s="6">
        <f>0</f>
        <v>0</v>
      </c>
      <c r="S897" s="6">
        <f>0</f>
        <v>0</v>
      </c>
      <c r="T897" s="6">
        <f>1</f>
        <v>1</v>
      </c>
      <c r="U897" s="5" t="s">
        <v>245</v>
      </c>
      <c r="V897" s="4" t="s">
        <v>270</v>
      </c>
      <c r="W897" s="4" t="s">
        <v>271</v>
      </c>
      <c r="X897" s="4" t="s">
        <v>273</v>
      </c>
      <c r="Y897" s="4" t="s">
        <v>241</v>
      </c>
      <c r="AB897" s="4" t="s">
        <v>241</v>
      </c>
      <c r="AD897" s="5" t="s">
        <v>241</v>
      </c>
      <c r="AG897" s="5" t="s">
        <v>246</v>
      </c>
      <c r="AH897" s="4" t="s">
        <v>241</v>
      </c>
      <c r="AI897" s="4" t="s">
        <v>247</v>
      </c>
      <c r="AJ897" s="4" t="s">
        <v>248</v>
      </c>
      <c r="AZ897" s="4" t="s">
        <v>249</v>
      </c>
      <c r="BA897" s="4" t="s">
        <v>241</v>
      </c>
      <c r="BB897" s="4" t="s">
        <v>250</v>
      </c>
      <c r="BC897" s="4" t="s">
        <v>241</v>
      </c>
      <c r="BD897" s="4" t="s">
        <v>252</v>
      </c>
      <c r="BE897" s="4" t="s">
        <v>241</v>
      </c>
      <c r="BI897" s="4" t="s">
        <v>253</v>
      </c>
      <c r="BJ897" s="5" t="s">
        <v>246</v>
      </c>
      <c r="BK897" s="4" t="s">
        <v>254</v>
      </c>
      <c r="BL897" s="4" t="s">
        <v>255</v>
      </c>
      <c r="BM897" s="4" t="s">
        <v>241</v>
      </c>
      <c r="BN897" s="6">
        <f>0</f>
        <v>0</v>
      </c>
      <c r="BO897" s="6">
        <f>0</f>
        <v>0</v>
      </c>
      <c r="BP897" s="4" t="s">
        <v>256</v>
      </c>
      <c r="BQ897" s="4" t="s">
        <v>257</v>
      </c>
      <c r="CE897" s="4" t="s">
        <v>241</v>
      </c>
      <c r="CF897" s="4" t="s">
        <v>241</v>
      </c>
      <c r="CJ897" s="4" t="s">
        <v>276</v>
      </c>
      <c r="CK897" s="4" t="s">
        <v>259</v>
      </c>
      <c r="CL897" s="4" t="s">
        <v>241</v>
      </c>
      <c r="CO897" s="5" t="s">
        <v>260</v>
      </c>
      <c r="CP897" s="4" t="s">
        <v>241</v>
      </c>
      <c r="CQ897" s="4" t="s">
        <v>261</v>
      </c>
      <c r="CR897" s="4" t="s">
        <v>241</v>
      </c>
      <c r="CS897" s="4" t="s">
        <v>241</v>
      </c>
      <c r="CT897" s="4">
        <v>0</v>
      </c>
      <c r="CU897" s="4" t="s">
        <v>262</v>
      </c>
      <c r="CV897" s="4" t="s">
        <v>263</v>
      </c>
      <c r="CW897" s="4" t="s">
        <v>263</v>
      </c>
      <c r="CX897" s="4" t="s">
        <v>264</v>
      </c>
      <c r="DA897" s="6">
        <f>1</f>
        <v>1</v>
      </c>
      <c r="DC897" s="4" t="s">
        <v>277</v>
      </c>
      <c r="DD897" s="4" t="s">
        <v>241</v>
      </c>
      <c r="DF897" s="4" t="s">
        <v>277</v>
      </c>
      <c r="DG897" s="6">
        <f>10</f>
        <v>10</v>
      </c>
      <c r="DI897" s="4" t="s">
        <v>241</v>
      </c>
      <c r="DJ897" s="4" t="s">
        <v>241</v>
      </c>
      <c r="DK897" s="4" t="s">
        <v>241</v>
      </c>
      <c r="DL897" s="4" t="s">
        <v>241</v>
      </c>
      <c r="DP897" s="4" t="s">
        <v>241</v>
      </c>
      <c r="DQ897" s="4" t="s">
        <v>241</v>
      </c>
      <c r="DR897" s="4" t="s">
        <v>241</v>
      </c>
      <c r="DS897" s="4" t="s">
        <v>241</v>
      </c>
      <c r="DV897" s="4" t="s">
        <v>278</v>
      </c>
      <c r="DW897" s="4" t="s">
        <v>1587</v>
      </c>
      <c r="HO897" s="4" t="s">
        <v>267</v>
      </c>
    </row>
    <row r="898" spans="1:223" ht="19.5" customHeight="1" x14ac:dyDescent="0.4">
      <c r="A898" s="4">
        <v>1</v>
      </c>
      <c r="B898" s="4" t="s">
        <v>239</v>
      </c>
      <c r="C898" s="4">
        <v>2572</v>
      </c>
      <c r="D898" s="4">
        <v>1</v>
      </c>
      <c r="E898" s="4">
        <v>1</v>
      </c>
      <c r="F898" s="4" t="s">
        <v>268</v>
      </c>
      <c r="G898" s="4" t="s">
        <v>241</v>
      </c>
      <c r="H898" s="4" t="s">
        <v>241</v>
      </c>
      <c r="I898" s="4" t="s">
        <v>272</v>
      </c>
      <c r="J898" s="4" t="s">
        <v>274</v>
      </c>
      <c r="K898" s="4" t="s">
        <v>251</v>
      </c>
      <c r="L898" s="4" t="s">
        <v>269</v>
      </c>
      <c r="M898" s="5" t="s">
        <v>1584</v>
      </c>
      <c r="N898" s="6">
        <f>128</f>
        <v>128</v>
      </c>
      <c r="O898" s="4" t="s">
        <v>265</v>
      </c>
      <c r="P898" s="6">
        <f>1</f>
        <v>1</v>
      </c>
      <c r="Q898" s="6">
        <f>0</f>
        <v>0</v>
      </c>
      <c r="S898" s="6">
        <f>0</f>
        <v>0</v>
      </c>
      <c r="T898" s="6">
        <f>1</f>
        <v>1</v>
      </c>
      <c r="U898" s="5" t="s">
        <v>245</v>
      </c>
      <c r="V898" s="4" t="s">
        <v>270</v>
      </c>
      <c r="W898" s="4" t="s">
        <v>271</v>
      </c>
      <c r="X898" s="4" t="s">
        <v>273</v>
      </c>
      <c r="Y898" s="4" t="s">
        <v>241</v>
      </c>
      <c r="AB898" s="4" t="s">
        <v>241</v>
      </c>
      <c r="AD898" s="5" t="s">
        <v>241</v>
      </c>
      <c r="AG898" s="5" t="s">
        <v>246</v>
      </c>
      <c r="AH898" s="4" t="s">
        <v>241</v>
      </c>
      <c r="AI898" s="4" t="s">
        <v>247</v>
      </c>
      <c r="AJ898" s="4" t="s">
        <v>248</v>
      </c>
      <c r="AZ898" s="4" t="s">
        <v>249</v>
      </c>
      <c r="BA898" s="4" t="s">
        <v>241</v>
      </c>
      <c r="BB898" s="4" t="s">
        <v>250</v>
      </c>
      <c r="BC898" s="4" t="s">
        <v>241</v>
      </c>
      <c r="BD898" s="4" t="s">
        <v>252</v>
      </c>
      <c r="BE898" s="4" t="s">
        <v>241</v>
      </c>
      <c r="BI898" s="4" t="s">
        <v>253</v>
      </c>
      <c r="BJ898" s="5" t="s">
        <v>246</v>
      </c>
      <c r="BK898" s="4" t="s">
        <v>254</v>
      </c>
      <c r="BL898" s="4" t="s">
        <v>255</v>
      </c>
      <c r="BM898" s="4" t="s">
        <v>241</v>
      </c>
      <c r="BN898" s="6">
        <f>0</f>
        <v>0</v>
      </c>
      <c r="BO898" s="6">
        <f>0</f>
        <v>0</v>
      </c>
      <c r="BP898" s="4" t="s">
        <v>256</v>
      </c>
      <c r="BQ898" s="4" t="s">
        <v>257</v>
      </c>
      <c r="CE898" s="4" t="s">
        <v>241</v>
      </c>
      <c r="CF898" s="4" t="s">
        <v>241</v>
      </c>
      <c r="CJ898" s="4" t="s">
        <v>276</v>
      </c>
      <c r="CK898" s="4" t="s">
        <v>259</v>
      </c>
      <c r="CL898" s="4" t="s">
        <v>241</v>
      </c>
      <c r="CO898" s="5" t="s">
        <v>260</v>
      </c>
      <c r="CP898" s="4" t="s">
        <v>241</v>
      </c>
      <c r="CQ898" s="4" t="s">
        <v>261</v>
      </c>
      <c r="CR898" s="4" t="s">
        <v>241</v>
      </c>
      <c r="CS898" s="4" t="s">
        <v>241</v>
      </c>
      <c r="CT898" s="4">
        <v>0</v>
      </c>
      <c r="CU898" s="4" t="s">
        <v>262</v>
      </c>
      <c r="CV898" s="4" t="s">
        <v>263</v>
      </c>
      <c r="CW898" s="4" t="s">
        <v>263</v>
      </c>
      <c r="CX898" s="4" t="s">
        <v>264</v>
      </c>
      <c r="DA898" s="6">
        <f>1</f>
        <v>1</v>
      </c>
      <c r="DC898" s="4" t="s">
        <v>277</v>
      </c>
      <c r="DD898" s="4" t="s">
        <v>241</v>
      </c>
      <c r="DF898" s="4" t="s">
        <v>277</v>
      </c>
      <c r="DG898" s="6">
        <f>128</f>
        <v>128</v>
      </c>
      <c r="DI898" s="4" t="s">
        <v>241</v>
      </c>
      <c r="DJ898" s="4" t="s">
        <v>241</v>
      </c>
      <c r="DK898" s="4" t="s">
        <v>241</v>
      </c>
      <c r="DL898" s="4" t="s">
        <v>241</v>
      </c>
      <c r="DP898" s="4" t="s">
        <v>241</v>
      </c>
      <c r="DQ898" s="4" t="s">
        <v>241</v>
      </c>
      <c r="DR898" s="4" t="s">
        <v>241</v>
      </c>
      <c r="DS898" s="4" t="s">
        <v>241</v>
      </c>
      <c r="DV898" s="4" t="s">
        <v>278</v>
      </c>
      <c r="DW898" s="4" t="s">
        <v>1585</v>
      </c>
      <c r="HO898" s="4" t="s">
        <v>267</v>
      </c>
    </row>
    <row r="899" spans="1:223" ht="19.5" customHeight="1" x14ac:dyDescent="0.4">
      <c r="A899" s="4">
        <v>1</v>
      </c>
      <c r="B899" s="4" t="s">
        <v>239</v>
      </c>
      <c r="C899" s="4">
        <v>2573</v>
      </c>
      <c r="D899" s="4">
        <v>1</v>
      </c>
      <c r="E899" s="4">
        <v>1</v>
      </c>
      <c r="F899" s="4" t="s">
        <v>268</v>
      </c>
      <c r="G899" s="4" t="s">
        <v>241</v>
      </c>
      <c r="H899" s="4" t="s">
        <v>241</v>
      </c>
      <c r="I899" s="4" t="s">
        <v>272</v>
      </c>
      <c r="J899" s="4" t="s">
        <v>274</v>
      </c>
      <c r="K899" s="4" t="s">
        <v>251</v>
      </c>
      <c r="L899" s="4" t="s">
        <v>269</v>
      </c>
      <c r="M899" s="5" t="s">
        <v>1582</v>
      </c>
      <c r="N899" s="6">
        <f>339</f>
        <v>339</v>
      </c>
      <c r="O899" s="4" t="s">
        <v>265</v>
      </c>
      <c r="P899" s="6">
        <f>1</f>
        <v>1</v>
      </c>
      <c r="Q899" s="6">
        <f>0</f>
        <v>0</v>
      </c>
      <c r="S899" s="6">
        <f>0</f>
        <v>0</v>
      </c>
      <c r="T899" s="6">
        <f>1</f>
        <v>1</v>
      </c>
      <c r="U899" s="5" t="s">
        <v>245</v>
      </c>
      <c r="V899" s="4" t="s">
        <v>270</v>
      </c>
      <c r="W899" s="4" t="s">
        <v>271</v>
      </c>
      <c r="X899" s="4" t="s">
        <v>273</v>
      </c>
      <c r="Y899" s="4" t="s">
        <v>241</v>
      </c>
      <c r="AB899" s="4" t="s">
        <v>241</v>
      </c>
      <c r="AD899" s="5" t="s">
        <v>241</v>
      </c>
      <c r="AG899" s="5" t="s">
        <v>246</v>
      </c>
      <c r="AH899" s="4" t="s">
        <v>241</v>
      </c>
      <c r="AI899" s="4" t="s">
        <v>247</v>
      </c>
      <c r="AJ899" s="4" t="s">
        <v>248</v>
      </c>
      <c r="AZ899" s="4" t="s">
        <v>249</v>
      </c>
      <c r="BA899" s="4" t="s">
        <v>241</v>
      </c>
      <c r="BB899" s="4" t="s">
        <v>250</v>
      </c>
      <c r="BC899" s="4" t="s">
        <v>241</v>
      </c>
      <c r="BD899" s="4" t="s">
        <v>252</v>
      </c>
      <c r="BE899" s="4" t="s">
        <v>241</v>
      </c>
      <c r="BI899" s="4" t="s">
        <v>253</v>
      </c>
      <c r="BJ899" s="5" t="s">
        <v>246</v>
      </c>
      <c r="BK899" s="4" t="s">
        <v>254</v>
      </c>
      <c r="BL899" s="4" t="s">
        <v>255</v>
      </c>
      <c r="BM899" s="4" t="s">
        <v>241</v>
      </c>
      <c r="BN899" s="6">
        <f>0</f>
        <v>0</v>
      </c>
      <c r="BO899" s="6">
        <f>0</f>
        <v>0</v>
      </c>
      <c r="BP899" s="4" t="s">
        <v>256</v>
      </c>
      <c r="BQ899" s="4" t="s">
        <v>257</v>
      </c>
      <c r="CE899" s="4" t="s">
        <v>241</v>
      </c>
      <c r="CF899" s="4" t="s">
        <v>241</v>
      </c>
      <c r="CJ899" s="4" t="s">
        <v>276</v>
      </c>
      <c r="CK899" s="4" t="s">
        <v>259</v>
      </c>
      <c r="CL899" s="4" t="s">
        <v>241</v>
      </c>
      <c r="CO899" s="5" t="s">
        <v>260</v>
      </c>
      <c r="CP899" s="4" t="s">
        <v>241</v>
      </c>
      <c r="CQ899" s="4" t="s">
        <v>261</v>
      </c>
      <c r="CR899" s="4" t="s">
        <v>241</v>
      </c>
      <c r="CS899" s="4" t="s">
        <v>241</v>
      </c>
      <c r="CT899" s="4">
        <v>0</v>
      </c>
      <c r="CU899" s="4" t="s">
        <v>262</v>
      </c>
      <c r="CV899" s="4" t="s">
        <v>263</v>
      </c>
      <c r="CW899" s="4" t="s">
        <v>263</v>
      </c>
      <c r="CX899" s="4" t="s">
        <v>264</v>
      </c>
      <c r="DA899" s="6">
        <f>1</f>
        <v>1</v>
      </c>
      <c r="DC899" s="4" t="s">
        <v>277</v>
      </c>
      <c r="DD899" s="4" t="s">
        <v>241</v>
      </c>
      <c r="DF899" s="4" t="s">
        <v>277</v>
      </c>
      <c r="DG899" s="6">
        <f>339</f>
        <v>339</v>
      </c>
      <c r="DI899" s="4" t="s">
        <v>241</v>
      </c>
      <c r="DJ899" s="4" t="s">
        <v>241</v>
      </c>
      <c r="DK899" s="4" t="s">
        <v>241</v>
      </c>
      <c r="DL899" s="4" t="s">
        <v>241</v>
      </c>
      <c r="DP899" s="4" t="s">
        <v>241</v>
      </c>
      <c r="DQ899" s="4" t="s">
        <v>241</v>
      </c>
      <c r="DR899" s="4" t="s">
        <v>241</v>
      </c>
      <c r="DS899" s="4" t="s">
        <v>241</v>
      </c>
      <c r="DV899" s="4" t="s">
        <v>278</v>
      </c>
      <c r="DW899" s="4" t="s">
        <v>1583</v>
      </c>
      <c r="HO899" s="4" t="s">
        <v>267</v>
      </c>
    </row>
    <row r="900" spans="1:223" ht="19.5" customHeight="1" x14ac:dyDescent="0.4">
      <c r="A900" s="4">
        <v>1</v>
      </c>
      <c r="B900" s="4" t="s">
        <v>239</v>
      </c>
      <c r="C900" s="4">
        <v>2574</v>
      </c>
      <c r="D900" s="4">
        <v>1</v>
      </c>
      <c r="E900" s="4">
        <v>1</v>
      </c>
      <c r="F900" s="4" t="s">
        <v>268</v>
      </c>
      <c r="G900" s="4" t="s">
        <v>241</v>
      </c>
      <c r="H900" s="4" t="s">
        <v>241</v>
      </c>
      <c r="I900" s="4" t="s">
        <v>272</v>
      </c>
      <c r="J900" s="4" t="s">
        <v>274</v>
      </c>
      <c r="K900" s="4" t="s">
        <v>251</v>
      </c>
      <c r="L900" s="4" t="s">
        <v>269</v>
      </c>
      <c r="M900" s="5" t="s">
        <v>1580</v>
      </c>
      <c r="N900" s="6">
        <f>638</f>
        <v>638</v>
      </c>
      <c r="O900" s="4" t="s">
        <v>265</v>
      </c>
      <c r="P900" s="6">
        <f>1</f>
        <v>1</v>
      </c>
      <c r="Q900" s="6">
        <f>0</f>
        <v>0</v>
      </c>
      <c r="S900" s="6">
        <f>0</f>
        <v>0</v>
      </c>
      <c r="T900" s="6">
        <f>1</f>
        <v>1</v>
      </c>
      <c r="U900" s="5" t="s">
        <v>245</v>
      </c>
      <c r="V900" s="4" t="s">
        <v>270</v>
      </c>
      <c r="W900" s="4" t="s">
        <v>271</v>
      </c>
      <c r="X900" s="4" t="s">
        <v>273</v>
      </c>
      <c r="Y900" s="4" t="s">
        <v>241</v>
      </c>
      <c r="AB900" s="4" t="s">
        <v>241</v>
      </c>
      <c r="AD900" s="5" t="s">
        <v>241</v>
      </c>
      <c r="AG900" s="5" t="s">
        <v>246</v>
      </c>
      <c r="AH900" s="4" t="s">
        <v>241</v>
      </c>
      <c r="AI900" s="4" t="s">
        <v>247</v>
      </c>
      <c r="AJ900" s="4" t="s">
        <v>248</v>
      </c>
      <c r="AZ900" s="4" t="s">
        <v>249</v>
      </c>
      <c r="BA900" s="4" t="s">
        <v>241</v>
      </c>
      <c r="BB900" s="4" t="s">
        <v>250</v>
      </c>
      <c r="BC900" s="4" t="s">
        <v>241</v>
      </c>
      <c r="BD900" s="4" t="s">
        <v>252</v>
      </c>
      <c r="BE900" s="4" t="s">
        <v>241</v>
      </c>
      <c r="BI900" s="4" t="s">
        <v>253</v>
      </c>
      <c r="BJ900" s="5" t="s">
        <v>246</v>
      </c>
      <c r="BK900" s="4" t="s">
        <v>254</v>
      </c>
      <c r="BL900" s="4" t="s">
        <v>255</v>
      </c>
      <c r="BM900" s="4" t="s">
        <v>241</v>
      </c>
      <c r="BN900" s="6">
        <f>0</f>
        <v>0</v>
      </c>
      <c r="BO900" s="6">
        <f>0</f>
        <v>0</v>
      </c>
      <c r="BP900" s="4" t="s">
        <v>256</v>
      </c>
      <c r="BQ900" s="4" t="s">
        <v>257</v>
      </c>
      <c r="CE900" s="4" t="s">
        <v>241</v>
      </c>
      <c r="CF900" s="4" t="s">
        <v>241</v>
      </c>
      <c r="CJ900" s="4" t="s">
        <v>276</v>
      </c>
      <c r="CK900" s="4" t="s">
        <v>259</v>
      </c>
      <c r="CL900" s="4" t="s">
        <v>241</v>
      </c>
      <c r="CO900" s="5" t="s">
        <v>260</v>
      </c>
      <c r="CP900" s="4" t="s">
        <v>241</v>
      </c>
      <c r="CQ900" s="4" t="s">
        <v>261</v>
      </c>
      <c r="CR900" s="4" t="s">
        <v>241</v>
      </c>
      <c r="CS900" s="4" t="s">
        <v>241</v>
      </c>
      <c r="CT900" s="4">
        <v>0</v>
      </c>
      <c r="CU900" s="4" t="s">
        <v>262</v>
      </c>
      <c r="CV900" s="4" t="s">
        <v>263</v>
      </c>
      <c r="CW900" s="4" t="s">
        <v>263</v>
      </c>
      <c r="CX900" s="4" t="s">
        <v>264</v>
      </c>
      <c r="DA900" s="6">
        <f>1</f>
        <v>1</v>
      </c>
      <c r="DC900" s="4" t="s">
        <v>277</v>
      </c>
      <c r="DD900" s="4" t="s">
        <v>241</v>
      </c>
      <c r="DF900" s="4" t="s">
        <v>277</v>
      </c>
      <c r="DG900" s="6">
        <f>638</f>
        <v>638</v>
      </c>
      <c r="DI900" s="4" t="s">
        <v>241</v>
      </c>
      <c r="DJ900" s="4" t="s">
        <v>241</v>
      </c>
      <c r="DK900" s="4" t="s">
        <v>241</v>
      </c>
      <c r="DL900" s="4" t="s">
        <v>241</v>
      </c>
      <c r="DP900" s="4" t="s">
        <v>241</v>
      </c>
      <c r="DQ900" s="4" t="s">
        <v>241</v>
      </c>
      <c r="DR900" s="4" t="s">
        <v>241</v>
      </c>
      <c r="DS900" s="4" t="s">
        <v>241</v>
      </c>
      <c r="DV900" s="4" t="s">
        <v>278</v>
      </c>
      <c r="DW900" s="4" t="s">
        <v>1581</v>
      </c>
      <c r="HO900" s="4" t="s">
        <v>267</v>
      </c>
    </row>
    <row r="901" spans="1:223" ht="19.5" customHeight="1" x14ac:dyDescent="0.4">
      <c r="A901" s="4">
        <v>1</v>
      </c>
      <c r="B901" s="4" t="s">
        <v>239</v>
      </c>
      <c r="C901" s="4">
        <v>2575</v>
      </c>
      <c r="D901" s="4">
        <v>1</v>
      </c>
      <c r="E901" s="4">
        <v>1</v>
      </c>
      <c r="F901" s="4" t="s">
        <v>268</v>
      </c>
      <c r="G901" s="4" t="s">
        <v>241</v>
      </c>
      <c r="H901" s="4" t="s">
        <v>241</v>
      </c>
      <c r="I901" s="4" t="s">
        <v>272</v>
      </c>
      <c r="J901" s="4" t="s">
        <v>274</v>
      </c>
      <c r="K901" s="4" t="s">
        <v>251</v>
      </c>
      <c r="L901" s="4" t="s">
        <v>269</v>
      </c>
      <c r="M901" s="5" t="s">
        <v>1578</v>
      </c>
      <c r="N901" s="6">
        <f>1686</f>
        <v>1686</v>
      </c>
      <c r="O901" s="4" t="s">
        <v>265</v>
      </c>
      <c r="P901" s="6">
        <f>1</f>
        <v>1</v>
      </c>
      <c r="Q901" s="6">
        <f>0</f>
        <v>0</v>
      </c>
      <c r="S901" s="6">
        <f>0</f>
        <v>0</v>
      </c>
      <c r="T901" s="6">
        <f>1</f>
        <v>1</v>
      </c>
      <c r="U901" s="5" t="s">
        <v>245</v>
      </c>
      <c r="V901" s="4" t="s">
        <v>270</v>
      </c>
      <c r="W901" s="4" t="s">
        <v>271</v>
      </c>
      <c r="X901" s="4" t="s">
        <v>273</v>
      </c>
      <c r="Y901" s="4" t="s">
        <v>241</v>
      </c>
      <c r="AB901" s="4" t="s">
        <v>241</v>
      </c>
      <c r="AD901" s="5" t="s">
        <v>241</v>
      </c>
      <c r="AG901" s="5" t="s">
        <v>246</v>
      </c>
      <c r="AH901" s="4" t="s">
        <v>241</v>
      </c>
      <c r="AI901" s="4" t="s">
        <v>247</v>
      </c>
      <c r="AJ901" s="4" t="s">
        <v>248</v>
      </c>
      <c r="AZ901" s="4" t="s">
        <v>249</v>
      </c>
      <c r="BA901" s="4" t="s">
        <v>241</v>
      </c>
      <c r="BB901" s="4" t="s">
        <v>250</v>
      </c>
      <c r="BC901" s="4" t="s">
        <v>241</v>
      </c>
      <c r="BD901" s="4" t="s">
        <v>252</v>
      </c>
      <c r="BE901" s="4" t="s">
        <v>241</v>
      </c>
      <c r="BI901" s="4" t="s">
        <v>253</v>
      </c>
      <c r="BJ901" s="5" t="s">
        <v>246</v>
      </c>
      <c r="BK901" s="4" t="s">
        <v>254</v>
      </c>
      <c r="BL901" s="4" t="s">
        <v>255</v>
      </c>
      <c r="BM901" s="4" t="s">
        <v>241</v>
      </c>
      <c r="BN901" s="6">
        <f>0</f>
        <v>0</v>
      </c>
      <c r="BO901" s="6">
        <f>0</f>
        <v>0</v>
      </c>
      <c r="BP901" s="4" t="s">
        <v>256</v>
      </c>
      <c r="BQ901" s="4" t="s">
        <v>257</v>
      </c>
      <c r="CE901" s="4" t="s">
        <v>241</v>
      </c>
      <c r="CF901" s="4" t="s">
        <v>241</v>
      </c>
      <c r="CJ901" s="4" t="s">
        <v>276</v>
      </c>
      <c r="CK901" s="4" t="s">
        <v>259</v>
      </c>
      <c r="CL901" s="4" t="s">
        <v>241</v>
      </c>
      <c r="CO901" s="5" t="s">
        <v>260</v>
      </c>
      <c r="CP901" s="4" t="s">
        <v>241</v>
      </c>
      <c r="CQ901" s="4" t="s">
        <v>261</v>
      </c>
      <c r="CR901" s="4" t="s">
        <v>241</v>
      </c>
      <c r="CS901" s="4" t="s">
        <v>241</v>
      </c>
      <c r="CT901" s="4">
        <v>0</v>
      </c>
      <c r="CU901" s="4" t="s">
        <v>262</v>
      </c>
      <c r="CV901" s="4" t="s">
        <v>263</v>
      </c>
      <c r="CW901" s="4" t="s">
        <v>263</v>
      </c>
      <c r="CX901" s="4" t="s">
        <v>264</v>
      </c>
      <c r="DA901" s="6">
        <f>1</f>
        <v>1</v>
      </c>
      <c r="DC901" s="4" t="s">
        <v>277</v>
      </c>
      <c r="DD901" s="4" t="s">
        <v>241</v>
      </c>
      <c r="DF901" s="4" t="s">
        <v>277</v>
      </c>
      <c r="DG901" s="6">
        <f>1686</f>
        <v>1686</v>
      </c>
      <c r="DI901" s="4" t="s">
        <v>241</v>
      </c>
      <c r="DJ901" s="4" t="s">
        <v>241</v>
      </c>
      <c r="DK901" s="4" t="s">
        <v>241</v>
      </c>
      <c r="DL901" s="4" t="s">
        <v>241</v>
      </c>
      <c r="DP901" s="4" t="s">
        <v>241</v>
      </c>
      <c r="DQ901" s="4" t="s">
        <v>241</v>
      </c>
      <c r="DR901" s="4" t="s">
        <v>241</v>
      </c>
      <c r="DS901" s="4" t="s">
        <v>241</v>
      </c>
      <c r="DV901" s="4" t="s">
        <v>278</v>
      </c>
      <c r="DW901" s="4" t="s">
        <v>1579</v>
      </c>
      <c r="HO901" s="4" t="s">
        <v>267</v>
      </c>
    </row>
    <row r="902" spans="1:223" ht="19.5" customHeight="1" x14ac:dyDescent="0.4">
      <c r="A902" s="4">
        <v>1</v>
      </c>
      <c r="B902" s="4" t="s">
        <v>239</v>
      </c>
      <c r="C902" s="4">
        <v>2576</v>
      </c>
      <c r="D902" s="4">
        <v>1</v>
      </c>
      <c r="E902" s="4">
        <v>1</v>
      </c>
      <c r="F902" s="4" t="s">
        <v>268</v>
      </c>
      <c r="G902" s="4" t="s">
        <v>241</v>
      </c>
      <c r="H902" s="4" t="s">
        <v>241</v>
      </c>
      <c r="I902" s="4" t="s">
        <v>272</v>
      </c>
      <c r="J902" s="4" t="s">
        <v>274</v>
      </c>
      <c r="K902" s="4" t="s">
        <v>251</v>
      </c>
      <c r="L902" s="4" t="s">
        <v>269</v>
      </c>
      <c r="M902" s="5" t="s">
        <v>1576</v>
      </c>
      <c r="N902" s="6">
        <f>215</f>
        <v>215</v>
      </c>
      <c r="O902" s="4" t="s">
        <v>265</v>
      </c>
      <c r="P902" s="6">
        <f>1</f>
        <v>1</v>
      </c>
      <c r="Q902" s="6">
        <f>0</f>
        <v>0</v>
      </c>
      <c r="S902" s="6">
        <f>0</f>
        <v>0</v>
      </c>
      <c r="T902" s="6">
        <f>1</f>
        <v>1</v>
      </c>
      <c r="U902" s="5" t="s">
        <v>245</v>
      </c>
      <c r="V902" s="4" t="s">
        <v>270</v>
      </c>
      <c r="W902" s="4" t="s">
        <v>271</v>
      </c>
      <c r="X902" s="4" t="s">
        <v>273</v>
      </c>
      <c r="Y902" s="4" t="s">
        <v>241</v>
      </c>
      <c r="AB902" s="4" t="s">
        <v>241</v>
      </c>
      <c r="AD902" s="5" t="s">
        <v>241</v>
      </c>
      <c r="AG902" s="5" t="s">
        <v>246</v>
      </c>
      <c r="AH902" s="4" t="s">
        <v>241</v>
      </c>
      <c r="AI902" s="4" t="s">
        <v>247</v>
      </c>
      <c r="AJ902" s="4" t="s">
        <v>248</v>
      </c>
      <c r="AZ902" s="4" t="s">
        <v>249</v>
      </c>
      <c r="BA902" s="4" t="s">
        <v>241</v>
      </c>
      <c r="BB902" s="4" t="s">
        <v>250</v>
      </c>
      <c r="BC902" s="4" t="s">
        <v>241</v>
      </c>
      <c r="BD902" s="4" t="s">
        <v>252</v>
      </c>
      <c r="BE902" s="4" t="s">
        <v>241</v>
      </c>
      <c r="BI902" s="4" t="s">
        <v>253</v>
      </c>
      <c r="BJ902" s="5" t="s">
        <v>246</v>
      </c>
      <c r="BK902" s="4" t="s">
        <v>254</v>
      </c>
      <c r="BL902" s="4" t="s">
        <v>255</v>
      </c>
      <c r="BM902" s="4" t="s">
        <v>241</v>
      </c>
      <c r="BN902" s="6">
        <f>0</f>
        <v>0</v>
      </c>
      <c r="BO902" s="6">
        <f>0</f>
        <v>0</v>
      </c>
      <c r="BP902" s="4" t="s">
        <v>256</v>
      </c>
      <c r="BQ902" s="4" t="s">
        <v>257</v>
      </c>
      <c r="CE902" s="4" t="s">
        <v>241</v>
      </c>
      <c r="CF902" s="4" t="s">
        <v>241</v>
      </c>
      <c r="CJ902" s="4" t="s">
        <v>276</v>
      </c>
      <c r="CK902" s="4" t="s">
        <v>259</v>
      </c>
      <c r="CL902" s="4" t="s">
        <v>241</v>
      </c>
      <c r="CO902" s="5" t="s">
        <v>260</v>
      </c>
      <c r="CP902" s="4" t="s">
        <v>241</v>
      </c>
      <c r="CQ902" s="4" t="s">
        <v>261</v>
      </c>
      <c r="CR902" s="4" t="s">
        <v>241</v>
      </c>
      <c r="CS902" s="4" t="s">
        <v>241</v>
      </c>
      <c r="CT902" s="4">
        <v>0</v>
      </c>
      <c r="CU902" s="4" t="s">
        <v>262</v>
      </c>
      <c r="CV902" s="4" t="s">
        <v>263</v>
      </c>
      <c r="CW902" s="4" t="s">
        <v>263</v>
      </c>
      <c r="CX902" s="4" t="s">
        <v>264</v>
      </c>
      <c r="DA902" s="6">
        <f>1</f>
        <v>1</v>
      </c>
      <c r="DC902" s="4" t="s">
        <v>277</v>
      </c>
      <c r="DD902" s="4" t="s">
        <v>241</v>
      </c>
      <c r="DF902" s="4" t="s">
        <v>277</v>
      </c>
      <c r="DG902" s="6">
        <f>215</f>
        <v>215</v>
      </c>
      <c r="DI902" s="4" t="s">
        <v>241</v>
      </c>
      <c r="DJ902" s="4" t="s">
        <v>241</v>
      </c>
      <c r="DK902" s="4" t="s">
        <v>241</v>
      </c>
      <c r="DL902" s="4" t="s">
        <v>241</v>
      </c>
      <c r="DP902" s="4" t="s">
        <v>241</v>
      </c>
      <c r="DQ902" s="4" t="s">
        <v>241</v>
      </c>
      <c r="DR902" s="4" t="s">
        <v>241</v>
      </c>
      <c r="DS902" s="4" t="s">
        <v>241</v>
      </c>
      <c r="DV902" s="4" t="s">
        <v>278</v>
      </c>
      <c r="DW902" s="4" t="s">
        <v>1577</v>
      </c>
      <c r="HO902" s="4" t="s">
        <v>267</v>
      </c>
    </row>
    <row r="903" spans="1:223" ht="19.5" customHeight="1" x14ac:dyDescent="0.4">
      <c r="A903" s="4">
        <v>1</v>
      </c>
      <c r="B903" s="4" t="s">
        <v>239</v>
      </c>
      <c r="C903" s="4">
        <v>2577</v>
      </c>
      <c r="D903" s="4">
        <v>1</v>
      </c>
      <c r="E903" s="4">
        <v>1</v>
      </c>
      <c r="F903" s="4" t="s">
        <v>268</v>
      </c>
      <c r="G903" s="4" t="s">
        <v>241</v>
      </c>
      <c r="H903" s="4" t="s">
        <v>241</v>
      </c>
      <c r="I903" s="4" t="s">
        <v>272</v>
      </c>
      <c r="J903" s="4" t="s">
        <v>274</v>
      </c>
      <c r="K903" s="4" t="s">
        <v>251</v>
      </c>
      <c r="L903" s="4" t="s">
        <v>269</v>
      </c>
      <c r="M903" s="5" t="s">
        <v>1574</v>
      </c>
      <c r="N903" s="6">
        <f>421</f>
        <v>421</v>
      </c>
      <c r="O903" s="4" t="s">
        <v>265</v>
      </c>
      <c r="P903" s="6">
        <f>1</f>
        <v>1</v>
      </c>
      <c r="Q903" s="6">
        <f>0</f>
        <v>0</v>
      </c>
      <c r="S903" s="6">
        <f>0</f>
        <v>0</v>
      </c>
      <c r="T903" s="6">
        <f>1</f>
        <v>1</v>
      </c>
      <c r="U903" s="5" t="s">
        <v>245</v>
      </c>
      <c r="V903" s="4" t="s">
        <v>270</v>
      </c>
      <c r="W903" s="4" t="s">
        <v>271</v>
      </c>
      <c r="X903" s="4" t="s">
        <v>273</v>
      </c>
      <c r="Y903" s="4" t="s">
        <v>241</v>
      </c>
      <c r="AB903" s="4" t="s">
        <v>241</v>
      </c>
      <c r="AD903" s="5" t="s">
        <v>241</v>
      </c>
      <c r="AG903" s="5" t="s">
        <v>246</v>
      </c>
      <c r="AH903" s="4" t="s">
        <v>241</v>
      </c>
      <c r="AI903" s="4" t="s">
        <v>247</v>
      </c>
      <c r="AJ903" s="4" t="s">
        <v>248</v>
      </c>
      <c r="AZ903" s="4" t="s">
        <v>249</v>
      </c>
      <c r="BA903" s="4" t="s">
        <v>241</v>
      </c>
      <c r="BB903" s="4" t="s">
        <v>250</v>
      </c>
      <c r="BC903" s="4" t="s">
        <v>241</v>
      </c>
      <c r="BD903" s="4" t="s">
        <v>252</v>
      </c>
      <c r="BE903" s="4" t="s">
        <v>241</v>
      </c>
      <c r="BI903" s="4" t="s">
        <v>253</v>
      </c>
      <c r="BJ903" s="5" t="s">
        <v>246</v>
      </c>
      <c r="BK903" s="4" t="s">
        <v>254</v>
      </c>
      <c r="BL903" s="4" t="s">
        <v>255</v>
      </c>
      <c r="BM903" s="4" t="s">
        <v>241</v>
      </c>
      <c r="BN903" s="6">
        <f>0</f>
        <v>0</v>
      </c>
      <c r="BO903" s="6">
        <f>0</f>
        <v>0</v>
      </c>
      <c r="BP903" s="4" t="s">
        <v>256</v>
      </c>
      <c r="BQ903" s="4" t="s">
        <v>257</v>
      </c>
      <c r="CE903" s="4" t="s">
        <v>241</v>
      </c>
      <c r="CF903" s="4" t="s">
        <v>241</v>
      </c>
      <c r="CJ903" s="4" t="s">
        <v>276</v>
      </c>
      <c r="CK903" s="4" t="s">
        <v>259</v>
      </c>
      <c r="CL903" s="4" t="s">
        <v>241</v>
      </c>
      <c r="CO903" s="5" t="s">
        <v>260</v>
      </c>
      <c r="CP903" s="4" t="s">
        <v>241</v>
      </c>
      <c r="CQ903" s="4" t="s">
        <v>261</v>
      </c>
      <c r="CR903" s="4" t="s">
        <v>241</v>
      </c>
      <c r="CS903" s="4" t="s">
        <v>241</v>
      </c>
      <c r="CT903" s="4">
        <v>0</v>
      </c>
      <c r="CU903" s="4" t="s">
        <v>262</v>
      </c>
      <c r="CV903" s="4" t="s">
        <v>263</v>
      </c>
      <c r="CW903" s="4" t="s">
        <v>263</v>
      </c>
      <c r="CX903" s="4" t="s">
        <v>264</v>
      </c>
      <c r="DA903" s="6">
        <f>1</f>
        <v>1</v>
      </c>
      <c r="DC903" s="4" t="s">
        <v>277</v>
      </c>
      <c r="DD903" s="4" t="s">
        <v>241</v>
      </c>
      <c r="DF903" s="4" t="s">
        <v>277</v>
      </c>
      <c r="DG903" s="6">
        <f>421</f>
        <v>421</v>
      </c>
      <c r="DI903" s="4" t="s">
        <v>241</v>
      </c>
      <c r="DJ903" s="4" t="s">
        <v>241</v>
      </c>
      <c r="DK903" s="4" t="s">
        <v>241</v>
      </c>
      <c r="DL903" s="4" t="s">
        <v>241</v>
      </c>
      <c r="DP903" s="4" t="s">
        <v>241</v>
      </c>
      <c r="DQ903" s="4" t="s">
        <v>241</v>
      </c>
      <c r="DR903" s="4" t="s">
        <v>241</v>
      </c>
      <c r="DS903" s="4" t="s">
        <v>241</v>
      </c>
      <c r="DV903" s="4" t="s">
        <v>278</v>
      </c>
      <c r="DW903" s="4" t="s">
        <v>1575</v>
      </c>
      <c r="HO903" s="4" t="s">
        <v>267</v>
      </c>
    </row>
    <row r="904" spans="1:223" ht="19.5" customHeight="1" x14ac:dyDescent="0.4">
      <c r="A904" s="4">
        <v>1</v>
      </c>
      <c r="B904" s="4" t="s">
        <v>239</v>
      </c>
      <c r="C904" s="4">
        <v>2578</v>
      </c>
      <c r="D904" s="4">
        <v>1</v>
      </c>
      <c r="E904" s="4">
        <v>1</v>
      </c>
      <c r="F904" s="4" t="s">
        <v>268</v>
      </c>
      <c r="G904" s="4" t="s">
        <v>241</v>
      </c>
      <c r="H904" s="4" t="s">
        <v>241</v>
      </c>
      <c r="I904" s="4" t="s">
        <v>272</v>
      </c>
      <c r="J904" s="4" t="s">
        <v>274</v>
      </c>
      <c r="K904" s="4" t="s">
        <v>251</v>
      </c>
      <c r="L904" s="4" t="s">
        <v>269</v>
      </c>
      <c r="M904" s="5" t="s">
        <v>1572</v>
      </c>
      <c r="N904" s="6">
        <f>745</f>
        <v>745</v>
      </c>
      <c r="O904" s="4" t="s">
        <v>265</v>
      </c>
      <c r="P904" s="6">
        <f>1</f>
        <v>1</v>
      </c>
      <c r="Q904" s="6">
        <f>0</f>
        <v>0</v>
      </c>
      <c r="S904" s="6">
        <f>0</f>
        <v>0</v>
      </c>
      <c r="T904" s="6">
        <f>1</f>
        <v>1</v>
      </c>
      <c r="U904" s="5" t="s">
        <v>245</v>
      </c>
      <c r="V904" s="4" t="s">
        <v>270</v>
      </c>
      <c r="W904" s="4" t="s">
        <v>271</v>
      </c>
      <c r="X904" s="4" t="s">
        <v>273</v>
      </c>
      <c r="Y904" s="4" t="s">
        <v>241</v>
      </c>
      <c r="AB904" s="4" t="s">
        <v>241</v>
      </c>
      <c r="AD904" s="5" t="s">
        <v>241</v>
      </c>
      <c r="AG904" s="5" t="s">
        <v>246</v>
      </c>
      <c r="AH904" s="4" t="s">
        <v>241</v>
      </c>
      <c r="AI904" s="4" t="s">
        <v>247</v>
      </c>
      <c r="AJ904" s="4" t="s">
        <v>248</v>
      </c>
      <c r="AZ904" s="4" t="s">
        <v>249</v>
      </c>
      <c r="BA904" s="4" t="s">
        <v>241</v>
      </c>
      <c r="BB904" s="4" t="s">
        <v>250</v>
      </c>
      <c r="BC904" s="4" t="s">
        <v>241</v>
      </c>
      <c r="BD904" s="4" t="s">
        <v>252</v>
      </c>
      <c r="BE904" s="4" t="s">
        <v>241</v>
      </c>
      <c r="BI904" s="4" t="s">
        <v>253</v>
      </c>
      <c r="BJ904" s="5" t="s">
        <v>246</v>
      </c>
      <c r="BK904" s="4" t="s">
        <v>254</v>
      </c>
      <c r="BL904" s="4" t="s">
        <v>255</v>
      </c>
      <c r="BM904" s="4" t="s">
        <v>241</v>
      </c>
      <c r="BN904" s="6">
        <f>0</f>
        <v>0</v>
      </c>
      <c r="BO904" s="6">
        <f>0</f>
        <v>0</v>
      </c>
      <c r="BP904" s="4" t="s">
        <v>256</v>
      </c>
      <c r="BQ904" s="4" t="s">
        <v>257</v>
      </c>
      <c r="CE904" s="4" t="s">
        <v>241</v>
      </c>
      <c r="CF904" s="4" t="s">
        <v>241</v>
      </c>
      <c r="CJ904" s="4" t="s">
        <v>276</v>
      </c>
      <c r="CK904" s="4" t="s">
        <v>259</v>
      </c>
      <c r="CL904" s="4" t="s">
        <v>241</v>
      </c>
      <c r="CO904" s="5" t="s">
        <v>260</v>
      </c>
      <c r="CP904" s="4" t="s">
        <v>241</v>
      </c>
      <c r="CQ904" s="4" t="s">
        <v>261</v>
      </c>
      <c r="CR904" s="4" t="s">
        <v>241</v>
      </c>
      <c r="CS904" s="4" t="s">
        <v>241</v>
      </c>
      <c r="CT904" s="4">
        <v>0</v>
      </c>
      <c r="CU904" s="4" t="s">
        <v>262</v>
      </c>
      <c r="CV904" s="4" t="s">
        <v>263</v>
      </c>
      <c r="CW904" s="4" t="s">
        <v>263</v>
      </c>
      <c r="CX904" s="4" t="s">
        <v>264</v>
      </c>
      <c r="DA904" s="6">
        <f>1</f>
        <v>1</v>
      </c>
      <c r="DC904" s="4" t="s">
        <v>277</v>
      </c>
      <c r="DD904" s="4" t="s">
        <v>241</v>
      </c>
      <c r="DF904" s="4" t="s">
        <v>277</v>
      </c>
      <c r="DG904" s="6">
        <f>745</f>
        <v>745</v>
      </c>
      <c r="DI904" s="4" t="s">
        <v>241</v>
      </c>
      <c r="DJ904" s="4" t="s">
        <v>241</v>
      </c>
      <c r="DK904" s="4" t="s">
        <v>241</v>
      </c>
      <c r="DL904" s="4" t="s">
        <v>241</v>
      </c>
      <c r="DP904" s="4" t="s">
        <v>241</v>
      </c>
      <c r="DQ904" s="4" t="s">
        <v>241</v>
      </c>
      <c r="DR904" s="4" t="s">
        <v>241</v>
      </c>
      <c r="DS904" s="4" t="s">
        <v>241</v>
      </c>
      <c r="DV904" s="4" t="s">
        <v>278</v>
      </c>
      <c r="DW904" s="4" t="s">
        <v>1573</v>
      </c>
      <c r="HO904" s="4" t="s">
        <v>267</v>
      </c>
    </row>
    <row r="905" spans="1:223" ht="19.5" customHeight="1" x14ac:dyDescent="0.4">
      <c r="A905" s="4">
        <v>1</v>
      </c>
      <c r="B905" s="4" t="s">
        <v>239</v>
      </c>
      <c r="C905" s="4">
        <v>2579</v>
      </c>
      <c r="D905" s="4">
        <v>1</v>
      </c>
      <c r="E905" s="4">
        <v>1</v>
      </c>
      <c r="F905" s="4" t="s">
        <v>268</v>
      </c>
      <c r="G905" s="4" t="s">
        <v>241</v>
      </c>
      <c r="H905" s="4" t="s">
        <v>241</v>
      </c>
      <c r="I905" s="4" t="s">
        <v>272</v>
      </c>
      <c r="J905" s="4" t="s">
        <v>274</v>
      </c>
      <c r="K905" s="4" t="s">
        <v>251</v>
      </c>
      <c r="L905" s="4" t="s">
        <v>269</v>
      </c>
      <c r="M905" s="5" t="s">
        <v>1570</v>
      </c>
      <c r="N905" s="6">
        <f>1453</f>
        <v>1453</v>
      </c>
      <c r="O905" s="4" t="s">
        <v>265</v>
      </c>
      <c r="P905" s="6">
        <f>1</f>
        <v>1</v>
      </c>
      <c r="Q905" s="6">
        <f>0</f>
        <v>0</v>
      </c>
      <c r="S905" s="6">
        <f>0</f>
        <v>0</v>
      </c>
      <c r="T905" s="6">
        <f>1</f>
        <v>1</v>
      </c>
      <c r="U905" s="5" t="s">
        <v>245</v>
      </c>
      <c r="V905" s="4" t="s">
        <v>270</v>
      </c>
      <c r="W905" s="4" t="s">
        <v>271</v>
      </c>
      <c r="X905" s="4" t="s">
        <v>273</v>
      </c>
      <c r="Y905" s="4" t="s">
        <v>241</v>
      </c>
      <c r="AB905" s="4" t="s">
        <v>241</v>
      </c>
      <c r="AD905" s="5" t="s">
        <v>241</v>
      </c>
      <c r="AG905" s="5" t="s">
        <v>246</v>
      </c>
      <c r="AH905" s="4" t="s">
        <v>241</v>
      </c>
      <c r="AI905" s="4" t="s">
        <v>247</v>
      </c>
      <c r="AJ905" s="4" t="s">
        <v>248</v>
      </c>
      <c r="AZ905" s="4" t="s">
        <v>249</v>
      </c>
      <c r="BA905" s="4" t="s">
        <v>241</v>
      </c>
      <c r="BB905" s="4" t="s">
        <v>250</v>
      </c>
      <c r="BC905" s="4" t="s">
        <v>241</v>
      </c>
      <c r="BD905" s="4" t="s">
        <v>252</v>
      </c>
      <c r="BE905" s="4" t="s">
        <v>241</v>
      </c>
      <c r="BI905" s="4" t="s">
        <v>253</v>
      </c>
      <c r="BJ905" s="5" t="s">
        <v>246</v>
      </c>
      <c r="BK905" s="4" t="s">
        <v>254</v>
      </c>
      <c r="BL905" s="4" t="s">
        <v>255</v>
      </c>
      <c r="BM905" s="4" t="s">
        <v>241</v>
      </c>
      <c r="BN905" s="6">
        <f>0</f>
        <v>0</v>
      </c>
      <c r="BO905" s="6">
        <f>0</f>
        <v>0</v>
      </c>
      <c r="BP905" s="4" t="s">
        <v>256</v>
      </c>
      <c r="BQ905" s="4" t="s">
        <v>257</v>
      </c>
      <c r="CE905" s="4" t="s">
        <v>241</v>
      </c>
      <c r="CF905" s="4" t="s">
        <v>241</v>
      </c>
      <c r="CJ905" s="4" t="s">
        <v>276</v>
      </c>
      <c r="CK905" s="4" t="s">
        <v>259</v>
      </c>
      <c r="CL905" s="4" t="s">
        <v>241</v>
      </c>
      <c r="CO905" s="5" t="s">
        <v>260</v>
      </c>
      <c r="CP905" s="4" t="s">
        <v>241</v>
      </c>
      <c r="CQ905" s="4" t="s">
        <v>261</v>
      </c>
      <c r="CR905" s="4" t="s">
        <v>241</v>
      </c>
      <c r="CS905" s="4" t="s">
        <v>241</v>
      </c>
      <c r="CT905" s="4">
        <v>0</v>
      </c>
      <c r="CU905" s="4" t="s">
        <v>262</v>
      </c>
      <c r="CV905" s="4" t="s">
        <v>263</v>
      </c>
      <c r="CW905" s="4" t="s">
        <v>263</v>
      </c>
      <c r="CX905" s="4" t="s">
        <v>264</v>
      </c>
      <c r="DA905" s="6">
        <f>1</f>
        <v>1</v>
      </c>
      <c r="DC905" s="4" t="s">
        <v>277</v>
      </c>
      <c r="DD905" s="4" t="s">
        <v>241</v>
      </c>
      <c r="DF905" s="4" t="s">
        <v>277</v>
      </c>
      <c r="DG905" s="6">
        <f>1453</f>
        <v>1453</v>
      </c>
      <c r="DI905" s="4" t="s">
        <v>241</v>
      </c>
      <c r="DJ905" s="4" t="s">
        <v>241</v>
      </c>
      <c r="DK905" s="4" t="s">
        <v>241</v>
      </c>
      <c r="DL905" s="4" t="s">
        <v>241</v>
      </c>
      <c r="DP905" s="4" t="s">
        <v>241</v>
      </c>
      <c r="DQ905" s="4" t="s">
        <v>241</v>
      </c>
      <c r="DR905" s="4" t="s">
        <v>241</v>
      </c>
      <c r="DS905" s="4" t="s">
        <v>241</v>
      </c>
      <c r="DV905" s="4" t="s">
        <v>278</v>
      </c>
      <c r="DW905" s="4" t="s">
        <v>1571</v>
      </c>
      <c r="HO905" s="4" t="s">
        <v>267</v>
      </c>
    </row>
    <row r="906" spans="1:223" ht="19.5" customHeight="1" x14ac:dyDescent="0.4">
      <c r="A906" s="4">
        <v>1</v>
      </c>
      <c r="B906" s="4" t="s">
        <v>239</v>
      </c>
      <c r="C906" s="4">
        <v>2580</v>
      </c>
      <c r="D906" s="4">
        <v>1</v>
      </c>
      <c r="E906" s="4">
        <v>1</v>
      </c>
      <c r="F906" s="4" t="s">
        <v>268</v>
      </c>
      <c r="G906" s="4" t="s">
        <v>241</v>
      </c>
      <c r="H906" s="4" t="s">
        <v>241</v>
      </c>
      <c r="I906" s="4" t="s">
        <v>272</v>
      </c>
      <c r="J906" s="4" t="s">
        <v>274</v>
      </c>
      <c r="K906" s="4" t="s">
        <v>251</v>
      </c>
      <c r="L906" s="4" t="s">
        <v>269</v>
      </c>
      <c r="M906" s="5" t="s">
        <v>1568</v>
      </c>
      <c r="N906" s="6">
        <f>658</f>
        <v>658</v>
      </c>
      <c r="O906" s="4" t="s">
        <v>265</v>
      </c>
      <c r="P906" s="6">
        <f>1</f>
        <v>1</v>
      </c>
      <c r="Q906" s="6">
        <f>0</f>
        <v>0</v>
      </c>
      <c r="S906" s="6">
        <f>0</f>
        <v>0</v>
      </c>
      <c r="T906" s="6">
        <f>1</f>
        <v>1</v>
      </c>
      <c r="U906" s="5" t="s">
        <v>245</v>
      </c>
      <c r="V906" s="4" t="s">
        <v>270</v>
      </c>
      <c r="W906" s="4" t="s">
        <v>271</v>
      </c>
      <c r="X906" s="4" t="s">
        <v>273</v>
      </c>
      <c r="Y906" s="4" t="s">
        <v>241</v>
      </c>
      <c r="AB906" s="4" t="s">
        <v>241</v>
      </c>
      <c r="AD906" s="5" t="s">
        <v>241</v>
      </c>
      <c r="AG906" s="5" t="s">
        <v>246</v>
      </c>
      <c r="AH906" s="4" t="s">
        <v>241</v>
      </c>
      <c r="AI906" s="4" t="s">
        <v>247</v>
      </c>
      <c r="AJ906" s="4" t="s">
        <v>248</v>
      </c>
      <c r="AZ906" s="4" t="s">
        <v>249</v>
      </c>
      <c r="BA906" s="4" t="s">
        <v>241</v>
      </c>
      <c r="BB906" s="4" t="s">
        <v>250</v>
      </c>
      <c r="BC906" s="4" t="s">
        <v>241</v>
      </c>
      <c r="BD906" s="4" t="s">
        <v>252</v>
      </c>
      <c r="BE906" s="4" t="s">
        <v>241</v>
      </c>
      <c r="BI906" s="4" t="s">
        <v>253</v>
      </c>
      <c r="BJ906" s="5" t="s">
        <v>246</v>
      </c>
      <c r="BK906" s="4" t="s">
        <v>254</v>
      </c>
      <c r="BL906" s="4" t="s">
        <v>255</v>
      </c>
      <c r="BM906" s="4" t="s">
        <v>241</v>
      </c>
      <c r="BN906" s="6">
        <f>0</f>
        <v>0</v>
      </c>
      <c r="BO906" s="6">
        <f>0</f>
        <v>0</v>
      </c>
      <c r="BP906" s="4" t="s">
        <v>256</v>
      </c>
      <c r="BQ906" s="4" t="s">
        <v>257</v>
      </c>
      <c r="CE906" s="4" t="s">
        <v>241</v>
      </c>
      <c r="CF906" s="4" t="s">
        <v>241</v>
      </c>
      <c r="CJ906" s="4" t="s">
        <v>276</v>
      </c>
      <c r="CK906" s="4" t="s">
        <v>259</v>
      </c>
      <c r="CL906" s="4" t="s">
        <v>241</v>
      </c>
      <c r="CO906" s="5" t="s">
        <v>260</v>
      </c>
      <c r="CP906" s="4" t="s">
        <v>241</v>
      </c>
      <c r="CQ906" s="4" t="s">
        <v>261</v>
      </c>
      <c r="CR906" s="4" t="s">
        <v>241</v>
      </c>
      <c r="CS906" s="4" t="s">
        <v>241</v>
      </c>
      <c r="CT906" s="4">
        <v>0</v>
      </c>
      <c r="CU906" s="4" t="s">
        <v>262</v>
      </c>
      <c r="CV906" s="4" t="s">
        <v>263</v>
      </c>
      <c r="CW906" s="4" t="s">
        <v>263</v>
      </c>
      <c r="CX906" s="4" t="s">
        <v>264</v>
      </c>
      <c r="DA906" s="6">
        <f>1</f>
        <v>1</v>
      </c>
      <c r="DC906" s="4" t="s">
        <v>277</v>
      </c>
      <c r="DD906" s="4" t="s">
        <v>241</v>
      </c>
      <c r="DF906" s="4" t="s">
        <v>277</v>
      </c>
      <c r="DG906" s="6">
        <f>658</f>
        <v>658</v>
      </c>
      <c r="DI906" s="4" t="s">
        <v>241</v>
      </c>
      <c r="DJ906" s="4" t="s">
        <v>241</v>
      </c>
      <c r="DK906" s="4" t="s">
        <v>241</v>
      </c>
      <c r="DL906" s="4" t="s">
        <v>241</v>
      </c>
      <c r="DP906" s="4" t="s">
        <v>241</v>
      </c>
      <c r="DQ906" s="4" t="s">
        <v>241</v>
      </c>
      <c r="DR906" s="4" t="s">
        <v>241</v>
      </c>
      <c r="DS906" s="4" t="s">
        <v>241</v>
      </c>
      <c r="DV906" s="4" t="s">
        <v>278</v>
      </c>
      <c r="DW906" s="4" t="s">
        <v>1569</v>
      </c>
      <c r="HO906" s="4" t="s">
        <v>267</v>
      </c>
    </row>
    <row r="907" spans="1:223" ht="19.5" customHeight="1" x14ac:dyDescent="0.4">
      <c r="A907" s="4">
        <v>1</v>
      </c>
      <c r="B907" s="4" t="s">
        <v>239</v>
      </c>
      <c r="C907" s="4">
        <v>2581</v>
      </c>
      <c r="D907" s="4">
        <v>1</v>
      </c>
      <c r="E907" s="4">
        <v>1</v>
      </c>
      <c r="F907" s="4" t="s">
        <v>268</v>
      </c>
      <c r="G907" s="4" t="s">
        <v>241</v>
      </c>
      <c r="H907" s="4" t="s">
        <v>241</v>
      </c>
      <c r="I907" s="4" t="s">
        <v>272</v>
      </c>
      <c r="J907" s="4" t="s">
        <v>274</v>
      </c>
      <c r="K907" s="4" t="s">
        <v>251</v>
      </c>
      <c r="L907" s="4" t="s">
        <v>269</v>
      </c>
      <c r="M907" s="5" t="s">
        <v>1566</v>
      </c>
      <c r="N907" s="6">
        <f>3458</f>
        <v>3458</v>
      </c>
      <c r="O907" s="4" t="s">
        <v>265</v>
      </c>
      <c r="P907" s="6">
        <f>1</f>
        <v>1</v>
      </c>
      <c r="Q907" s="6">
        <f>0</f>
        <v>0</v>
      </c>
      <c r="S907" s="6">
        <f>0</f>
        <v>0</v>
      </c>
      <c r="T907" s="6">
        <f>1</f>
        <v>1</v>
      </c>
      <c r="U907" s="5" t="s">
        <v>245</v>
      </c>
      <c r="V907" s="4" t="s">
        <v>270</v>
      </c>
      <c r="W907" s="4" t="s">
        <v>271</v>
      </c>
      <c r="X907" s="4" t="s">
        <v>273</v>
      </c>
      <c r="Y907" s="4" t="s">
        <v>241</v>
      </c>
      <c r="AB907" s="4" t="s">
        <v>241</v>
      </c>
      <c r="AD907" s="5" t="s">
        <v>241</v>
      </c>
      <c r="AG907" s="5" t="s">
        <v>246</v>
      </c>
      <c r="AH907" s="4" t="s">
        <v>241</v>
      </c>
      <c r="AI907" s="4" t="s">
        <v>247</v>
      </c>
      <c r="AJ907" s="4" t="s">
        <v>248</v>
      </c>
      <c r="AZ907" s="4" t="s">
        <v>249</v>
      </c>
      <c r="BA907" s="4" t="s">
        <v>241</v>
      </c>
      <c r="BB907" s="4" t="s">
        <v>250</v>
      </c>
      <c r="BC907" s="4" t="s">
        <v>241</v>
      </c>
      <c r="BD907" s="4" t="s">
        <v>252</v>
      </c>
      <c r="BE907" s="4" t="s">
        <v>241</v>
      </c>
      <c r="BI907" s="4" t="s">
        <v>253</v>
      </c>
      <c r="BJ907" s="5" t="s">
        <v>246</v>
      </c>
      <c r="BK907" s="4" t="s">
        <v>254</v>
      </c>
      <c r="BL907" s="4" t="s">
        <v>255</v>
      </c>
      <c r="BM907" s="4" t="s">
        <v>241</v>
      </c>
      <c r="BN907" s="6">
        <f>0</f>
        <v>0</v>
      </c>
      <c r="BO907" s="6">
        <f>0</f>
        <v>0</v>
      </c>
      <c r="BP907" s="4" t="s">
        <v>256</v>
      </c>
      <c r="BQ907" s="4" t="s">
        <v>257</v>
      </c>
      <c r="CE907" s="4" t="s">
        <v>241</v>
      </c>
      <c r="CF907" s="4" t="s">
        <v>241</v>
      </c>
      <c r="CJ907" s="4" t="s">
        <v>276</v>
      </c>
      <c r="CK907" s="4" t="s">
        <v>259</v>
      </c>
      <c r="CL907" s="4" t="s">
        <v>241</v>
      </c>
      <c r="CO907" s="5" t="s">
        <v>260</v>
      </c>
      <c r="CP907" s="4" t="s">
        <v>241</v>
      </c>
      <c r="CQ907" s="4" t="s">
        <v>261</v>
      </c>
      <c r="CR907" s="4" t="s">
        <v>241</v>
      </c>
      <c r="CS907" s="4" t="s">
        <v>241</v>
      </c>
      <c r="CT907" s="4">
        <v>0</v>
      </c>
      <c r="CU907" s="4" t="s">
        <v>262</v>
      </c>
      <c r="CV907" s="4" t="s">
        <v>263</v>
      </c>
      <c r="CW907" s="4" t="s">
        <v>263</v>
      </c>
      <c r="CX907" s="4" t="s">
        <v>264</v>
      </c>
      <c r="DA907" s="6">
        <f>1</f>
        <v>1</v>
      </c>
      <c r="DC907" s="4" t="s">
        <v>277</v>
      </c>
      <c r="DD907" s="4" t="s">
        <v>241</v>
      </c>
      <c r="DF907" s="4" t="s">
        <v>277</v>
      </c>
      <c r="DG907" s="6">
        <f>3458</f>
        <v>3458</v>
      </c>
      <c r="DI907" s="4" t="s">
        <v>241</v>
      </c>
      <c r="DJ907" s="4" t="s">
        <v>241</v>
      </c>
      <c r="DK907" s="4" t="s">
        <v>241</v>
      </c>
      <c r="DL907" s="4" t="s">
        <v>241</v>
      </c>
      <c r="DP907" s="4" t="s">
        <v>241</v>
      </c>
      <c r="DQ907" s="4" t="s">
        <v>241</v>
      </c>
      <c r="DR907" s="4" t="s">
        <v>241</v>
      </c>
      <c r="DS907" s="4" t="s">
        <v>241</v>
      </c>
      <c r="DV907" s="4" t="s">
        <v>278</v>
      </c>
      <c r="DW907" s="4" t="s">
        <v>1567</v>
      </c>
      <c r="HO907" s="4" t="s">
        <v>267</v>
      </c>
    </row>
    <row r="908" spans="1:223" ht="19.5" customHeight="1" x14ac:dyDescent="0.4">
      <c r="A908" s="4">
        <v>1</v>
      </c>
      <c r="B908" s="4" t="s">
        <v>239</v>
      </c>
      <c r="C908" s="4">
        <v>2582</v>
      </c>
      <c r="D908" s="4">
        <v>1</v>
      </c>
      <c r="E908" s="4">
        <v>1</v>
      </c>
      <c r="F908" s="4" t="s">
        <v>268</v>
      </c>
      <c r="G908" s="4" t="s">
        <v>241</v>
      </c>
      <c r="H908" s="4" t="s">
        <v>241</v>
      </c>
      <c r="I908" s="4" t="s">
        <v>272</v>
      </c>
      <c r="J908" s="4" t="s">
        <v>274</v>
      </c>
      <c r="K908" s="4" t="s">
        <v>251</v>
      </c>
      <c r="L908" s="4" t="s">
        <v>269</v>
      </c>
      <c r="M908" s="5" t="s">
        <v>1564</v>
      </c>
      <c r="N908" s="6">
        <f>798</f>
        <v>798</v>
      </c>
      <c r="O908" s="4" t="s">
        <v>265</v>
      </c>
      <c r="P908" s="6">
        <f>1</f>
        <v>1</v>
      </c>
      <c r="Q908" s="6">
        <f>0</f>
        <v>0</v>
      </c>
      <c r="S908" s="6">
        <f>0</f>
        <v>0</v>
      </c>
      <c r="T908" s="6">
        <f>1</f>
        <v>1</v>
      </c>
      <c r="U908" s="5" t="s">
        <v>245</v>
      </c>
      <c r="V908" s="4" t="s">
        <v>270</v>
      </c>
      <c r="W908" s="4" t="s">
        <v>271</v>
      </c>
      <c r="X908" s="4" t="s">
        <v>273</v>
      </c>
      <c r="Y908" s="4" t="s">
        <v>241</v>
      </c>
      <c r="AB908" s="4" t="s">
        <v>241</v>
      </c>
      <c r="AD908" s="5" t="s">
        <v>241</v>
      </c>
      <c r="AG908" s="5" t="s">
        <v>246</v>
      </c>
      <c r="AH908" s="4" t="s">
        <v>241</v>
      </c>
      <c r="AI908" s="4" t="s">
        <v>247</v>
      </c>
      <c r="AJ908" s="4" t="s">
        <v>248</v>
      </c>
      <c r="AZ908" s="4" t="s">
        <v>249</v>
      </c>
      <c r="BA908" s="4" t="s">
        <v>241</v>
      </c>
      <c r="BB908" s="4" t="s">
        <v>250</v>
      </c>
      <c r="BC908" s="4" t="s">
        <v>241</v>
      </c>
      <c r="BD908" s="4" t="s">
        <v>252</v>
      </c>
      <c r="BE908" s="4" t="s">
        <v>241</v>
      </c>
      <c r="BI908" s="4" t="s">
        <v>253</v>
      </c>
      <c r="BJ908" s="5" t="s">
        <v>246</v>
      </c>
      <c r="BK908" s="4" t="s">
        <v>254</v>
      </c>
      <c r="BL908" s="4" t="s">
        <v>255</v>
      </c>
      <c r="BM908" s="4" t="s">
        <v>241</v>
      </c>
      <c r="BN908" s="6">
        <f>0</f>
        <v>0</v>
      </c>
      <c r="BO908" s="6">
        <f>0</f>
        <v>0</v>
      </c>
      <c r="BP908" s="4" t="s">
        <v>256</v>
      </c>
      <c r="BQ908" s="4" t="s">
        <v>257</v>
      </c>
      <c r="CE908" s="4" t="s">
        <v>241</v>
      </c>
      <c r="CF908" s="4" t="s">
        <v>241</v>
      </c>
      <c r="CJ908" s="4" t="s">
        <v>276</v>
      </c>
      <c r="CK908" s="4" t="s">
        <v>259</v>
      </c>
      <c r="CL908" s="4" t="s">
        <v>241</v>
      </c>
      <c r="CO908" s="5" t="s">
        <v>260</v>
      </c>
      <c r="CP908" s="4" t="s">
        <v>241</v>
      </c>
      <c r="CQ908" s="4" t="s">
        <v>261</v>
      </c>
      <c r="CR908" s="4" t="s">
        <v>241</v>
      </c>
      <c r="CS908" s="4" t="s">
        <v>241</v>
      </c>
      <c r="CT908" s="4">
        <v>0</v>
      </c>
      <c r="CU908" s="4" t="s">
        <v>262</v>
      </c>
      <c r="CV908" s="4" t="s">
        <v>263</v>
      </c>
      <c r="CW908" s="4" t="s">
        <v>263</v>
      </c>
      <c r="CX908" s="4" t="s">
        <v>264</v>
      </c>
      <c r="DA908" s="6">
        <f>1</f>
        <v>1</v>
      </c>
      <c r="DC908" s="4" t="s">
        <v>277</v>
      </c>
      <c r="DD908" s="4" t="s">
        <v>241</v>
      </c>
      <c r="DF908" s="4" t="s">
        <v>277</v>
      </c>
      <c r="DG908" s="6">
        <f>798</f>
        <v>798</v>
      </c>
      <c r="DI908" s="4" t="s">
        <v>241</v>
      </c>
      <c r="DJ908" s="4" t="s">
        <v>241</v>
      </c>
      <c r="DK908" s="4" t="s">
        <v>241</v>
      </c>
      <c r="DL908" s="4" t="s">
        <v>241</v>
      </c>
      <c r="DP908" s="4" t="s">
        <v>241</v>
      </c>
      <c r="DQ908" s="4" t="s">
        <v>241</v>
      </c>
      <c r="DR908" s="4" t="s">
        <v>241</v>
      </c>
      <c r="DS908" s="4" t="s">
        <v>241</v>
      </c>
      <c r="DV908" s="4" t="s">
        <v>278</v>
      </c>
      <c r="DW908" s="4" t="s">
        <v>1565</v>
      </c>
      <c r="HO908" s="4" t="s">
        <v>267</v>
      </c>
    </row>
    <row r="909" spans="1:223" ht="19.5" customHeight="1" x14ac:dyDescent="0.4">
      <c r="A909" s="4">
        <v>1</v>
      </c>
      <c r="B909" s="4" t="s">
        <v>239</v>
      </c>
      <c r="C909" s="4">
        <v>2583</v>
      </c>
      <c r="D909" s="4">
        <v>1</v>
      </c>
      <c r="E909" s="4">
        <v>1</v>
      </c>
      <c r="F909" s="4" t="s">
        <v>268</v>
      </c>
      <c r="G909" s="4" t="s">
        <v>241</v>
      </c>
      <c r="H909" s="4" t="s">
        <v>241</v>
      </c>
      <c r="I909" s="4" t="s">
        <v>272</v>
      </c>
      <c r="J909" s="4" t="s">
        <v>274</v>
      </c>
      <c r="K909" s="4" t="s">
        <v>251</v>
      </c>
      <c r="L909" s="4" t="s">
        <v>269</v>
      </c>
      <c r="M909" s="5" t="s">
        <v>1562</v>
      </c>
      <c r="N909" s="6">
        <f>368</f>
        <v>368</v>
      </c>
      <c r="O909" s="4" t="s">
        <v>265</v>
      </c>
      <c r="P909" s="6">
        <f>1</f>
        <v>1</v>
      </c>
      <c r="Q909" s="6">
        <f>0</f>
        <v>0</v>
      </c>
      <c r="S909" s="6">
        <f>0</f>
        <v>0</v>
      </c>
      <c r="T909" s="6">
        <f>1</f>
        <v>1</v>
      </c>
      <c r="U909" s="5" t="s">
        <v>245</v>
      </c>
      <c r="V909" s="4" t="s">
        <v>270</v>
      </c>
      <c r="W909" s="4" t="s">
        <v>271</v>
      </c>
      <c r="X909" s="4" t="s">
        <v>273</v>
      </c>
      <c r="Y909" s="4" t="s">
        <v>241</v>
      </c>
      <c r="AB909" s="4" t="s">
        <v>241</v>
      </c>
      <c r="AD909" s="5" t="s">
        <v>241</v>
      </c>
      <c r="AG909" s="5" t="s">
        <v>246</v>
      </c>
      <c r="AH909" s="4" t="s">
        <v>241</v>
      </c>
      <c r="AI909" s="4" t="s">
        <v>247</v>
      </c>
      <c r="AJ909" s="4" t="s">
        <v>248</v>
      </c>
      <c r="AZ909" s="4" t="s">
        <v>249</v>
      </c>
      <c r="BA909" s="4" t="s">
        <v>241</v>
      </c>
      <c r="BB909" s="4" t="s">
        <v>250</v>
      </c>
      <c r="BC909" s="4" t="s">
        <v>241</v>
      </c>
      <c r="BD909" s="4" t="s">
        <v>252</v>
      </c>
      <c r="BE909" s="4" t="s">
        <v>241</v>
      </c>
      <c r="BI909" s="4" t="s">
        <v>253</v>
      </c>
      <c r="BJ909" s="5" t="s">
        <v>246</v>
      </c>
      <c r="BK909" s="4" t="s">
        <v>254</v>
      </c>
      <c r="BL909" s="4" t="s">
        <v>255</v>
      </c>
      <c r="BM909" s="4" t="s">
        <v>241</v>
      </c>
      <c r="BN909" s="6">
        <f>0</f>
        <v>0</v>
      </c>
      <c r="BO909" s="6">
        <f>0</f>
        <v>0</v>
      </c>
      <c r="BP909" s="4" t="s">
        <v>256</v>
      </c>
      <c r="BQ909" s="4" t="s">
        <v>257</v>
      </c>
      <c r="CE909" s="4" t="s">
        <v>241</v>
      </c>
      <c r="CF909" s="4" t="s">
        <v>241</v>
      </c>
      <c r="CJ909" s="4" t="s">
        <v>276</v>
      </c>
      <c r="CK909" s="4" t="s">
        <v>259</v>
      </c>
      <c r="CL909" s="4" t="s">
        <v>241</v>
      </c>
      <c r="CO909" s="5" t="s">
        <v>260</v>
      </c>
      <c r="CP909" s="4" t="s">
        <v>241</v>
      </c>
      <c r="CQ909" s="4" t="s">
        <v>261</v>
      </c>
      <c r="CR909" s="4" t="s">
        <v>241</v>
      </c>
      <c r="CS909" s="4" t="s">
        <v>241</v>
      </c>
      <c r="CT909" s="4">
        <v>0</v>
      </c>
      <c r="CU909" s="4" t="s">
        <v>262</v>
      </c>
      <c r="CV909" s="4" t="s">
        <v>263</v>
      </c>
      <c r="CW909" s="4" t="s">
        <v>263</v>
      </c>
      <c r="CX909" s="4" t="s">
        <v>264</v>
      </c>
      <c r="DA909" s="6">
        <f>1</f>
        <v>1</v>
      </c>
      <c r="DC909" s="4" t="s">
        <v>277</v>
      </c>
      <c r="DD909" s="4" t="s">
        <v>241</v>
      </c>
      <c r="DF909" s="4" t="s">
        <v>277</v>
      </c>
      <c r="DG909" s="6">
        <f>368</f>
        <v>368</v>
      </c>
      <c r="DI909" s="4" t="s">
        <v>241</v>
      </c>
      <c r="DJ909" s="4" t="s">
        <v>241</v>
      </c>
      <c r="DK909" s="4" t="s">
        <v>241</v>
      </c>
      <c r="DL909" s="4" t="s">
        <v>241</v>
      </c>
      <c r="DP909" s="4" t="s">
        <v>241</v>
      </c>
      <c r="DQ909" s="4" t="s">
        <v>241</v>
      </c>
      <c r="DR909" s="4" t="s">
        <v>241</v>
      </c>
      <c r="DS909" s="4" t="s">
        <v>241</v>
      </c>
      <c r="DV909" s="4" t="s">
        <v>278</v>
      </c>
      <c r="DW909" s="4" t="s">
        <v>1563</v>
      </c>
      <c r="HO909" s="4" t="s">
        <v>267</v>
      </c>
    </row>
    <row r="910" spans="1:223" ht="19.5" customHeight="1" x14ac:dyDescent="0.4">
      <c r="A910" s="4">
        <v>1</v>
      </c>
      <c r="B910" s="4" t="s">
        <v>239</v>
      </c>
      <c r="C910" s="4">
        <v>2584</v>
      </c>
      <c r="D910" s="4">
        <v>1</v>
      </c>
      <c r="E910" s="4">
        <v>1</v>
      </c>
      <c r="F910" s="4" t="s">
        <v>268</v>
      </c>
      <c r="G910" s="4" t="s">
        <v>241</v>
      </c>
      <c r="H910" s="4" t="s">
        <v>241</v>
      </c>
      <c r="I910" s="4" t="s">
        <v>272</v>
      </c>
      <c r="J910" s="4" t="s">
        <v>274</v>
      </c>
      <c r="K910" s="4" t="s">
        <v>251</v>
      </c>
      <c r="L910" s="4" t="s">
        <v>269</v>
      </c>
      <c r="M910" s="5" t="s">
        <v>1560</v>
      </c>
      <c r="N910" s="6">
        <f>169</f>
        <v>169</v>
      </c>
      <c r="O910" s="4" t="s">
        <v>265</v>
      </c>
      <c r="P910" s="6">
        <f>1</f>
        <v>1</v>
      </c>
      <c r="Q910" s="6">
        <f>0</f>
        <v>0</v>
      </c>
      <c r="S910" s="6">
        <f>0</f>
        <v>0</v>
      </c>
      <c r="T910" s="6">
        <f>1</f>
        <v>1</v>
      </c>
      <c r="U910" s="5" t="s">
        <v>245</v>
      </c>
      <c r="V910" s="4" t="s">
        <v>270</v>
      </c>
      <c r="W910" s="4" t="s">
        <v>271</v>
      </c>
      <c r="X910" s="4" t="s">
        <v>273</v>
      </c>
      <c r="Y910" s="4" t="s">
        <v>241</v>
      </c>
      <c r="AB910" s="4" t="s">
        <v>241</v>
      </c>
      <c r="AD910" s="5" t="s">
        <v>241</v>
      </c>
      <c r="AG910" s="5" t="s">
        <v>246</v>
      </c>
      <c r="AH910" s="4" t="s">
        <v>241</v>
      </c>
      <c r="AI910" s="4" t="s">
        <v>247</v>
      </c>
      <c r="AJ910" s="4" t="s">
        <v>248</v>
      </c>
      <c r="AZ910" s="4" t="s">
        <v>249</v>
      </c>
      <c r="BA910" s="4" t="s">
        <v>241</v>
      </c>
      <c r="BB910" s="4" t="s">
        <v>250</v>
      </c>
      <c r="BC910" s="4" t="s">
        <v>241</v>
      </c>
      <c r="BD910" s="4" t="s">
        <v>252</v>
      </c>
      <c r="BE910" s="4" t="s">
        <v>241</v>
      </c>
      <c r="BI910" s="4" t="s">
        <v>253</v>
      </c>
      <c r="BJ910" s="5" t="s">
        <v>246</v>
      </c>
      <c r="BK910" s="4" t="s">
        <v>254</v>
      </c>
      <c r="BL910" s="4" t="s">
        <v>255</v>
      </c>
      <c r="BM910" s="4" t="s">
        <v>241</v>
      </c>
      <c r="BN910" s="6">
        <f>0</f>
        <v>0</v>
      </c>
      <c r="BO910" s="6">
        <f>0</f>
        <v>0</v>
      </c>
      <c r="BP910" s="4" t="s">
        <v>256</v>
      </c>
      <c r="BQ910" s="4" t="s">
        <v>257</v>
      </c>
      <c r="CE910" s="4" t="s">
        <v>241</v>
      </c>
      <c r="CF910" s="4" t="s">
        <v>241</v>
      </c>
      <c r="CJ910" s="4" t="s">
        <v>276</v>
      </c>
      <c r="CK910" s="4" t="s">
        <v>259</v>
      </c>
      <c r="CL910" s="4" t="s">
        <v>241</v>
      </c>
      <c r="CO910" s="5" t="s">
        <v>260</v>
      </c>
      <c r="CP910" s="4" t="s">
        <v>241</v>
      </c>
      <c r="CQ910" s="4" t="s">
        <v>261</v>
      </c>
      <c r="CR910" s="4" t="s">
        <v>241</v>
      </c>
      <c r="CS910" s="4" t="s">
        <v>241</v>
      </c>
      <c r="CT910" s="4">
        <v>0</v>
      </c>
      <c r="CU910" s="4" t="s">
        <v>262</v>
      </c>
      <c r="CV910" s="4" t="s">
        <v>263</v>
      </c>
      <c r="CW910" s="4" t="s">
        <v>263</v>
      </c>
      <c r="CX910" s="4" t="s">
        <v>264</v>
      </c>
      <c r="DA910" s="6">
        <f>1</f>
        <v>1</v>
      </c>
      <c r="DC910" s="4" t="s">
        <v>277</v>
      </c>
      <c r="DD910" s="4" t="s">
        <v>241</v>
      </c>
      <c r="DF910" s="4" t="s">
        <v>277</v>
      </c>
      <c r="DG910" s="6">
        <f>169</f>
        <v>169</v>
      </c>
      <c r="DI910" s="4" t="s">
        <v>241</v>
      </c>
      <c r="DJ910" s="4" t="s">
        <v>241</v>
      </c>
      <c r="DK910" s="4" t="s">
        <v>241</v>
      </c>
      <c r="DL910" s="4" t="s">
        <v>241</v>
      </c>
      <c r="DP910" s="4" t="s">
        <v>241</v>
      </c>
      <c r="DQ910" s="4" t="s">
        <v>241</v>
      </c>
      <c r="DR910" s="4" t="s">
        <v>241</v>
      </c>
      <c r="DS910" s="4" t="s">
        <v>241</v>
      </c>
      <c r="DV910" s="4" t="s">
        <v>278</v>
      </c>
      <c r="DW910" s="4" t="s">
        <v>1561</v>
      </c>
      <c r="HO910" s="4" t="s">
        <v>267</v>
      </c>
    </row>
    <row r="911" spans="1:223" ht="19.5" customHeight="1" x14ac:dyDescent="0.4">
      <c r="A911" s="4">
        <v>1</v>
      </c>
      <c r="B911" s="4" t="s">
        <v>239</v>
      </c>
      <c r="C911" s="4">
        <v>2585</v>
      </c>
      <c r="D911" s="4">
        <v>1</v>
      </c>
      <c r="E911" s="4">
        <v>1</v>
      </c>
      <c r="F911" s="4" t="s">
        <v>268</v>
      </c>
      <c r="G911" s="4" t="s">
        <v>241</v>
      </c>
      <c r="H911" s="4" t="s">
        <v>241</v>
      </c>
      <c r="I911" s="4" t="s">
        <v>272</v>
      </c>
      <c r="J911" s="4" t="s">
        <v>274</v>
      </c>
      <c r="K911" s="4" t="s">
        <v>251</v>
      </c>
      <c r="L911" s="4" t="s">
        <v>269</v>
      </c>
      <c r="M911" s="5" t="s">
        <v>1558</v>
      </c>
      <c r="N911" s="6">
        <f>98</f>
        <v>98</v>
      </c>
      <c r="O911" s="4" t="s">
        <v>265</v>
      </c>
      <c r="P911" s="6">
        <f>1</f>
        <v>1</v>
      </c>
      <c r="Q911" s="6">
        <f>0</f>
        <v>0</v>
      </c>
      <c r="S911" s="6">
        <f>0</f>
        <v>0</v>
      </c>
      <c r="T911" s="6">
        <f>1</f>
        <v>1</v>
      </c>
      <c r="U911" s="5" t="s">
        <v>245</v>
      </c>
      <c r="V911" s="4" t="s">
        <v>270</v>
      </c>
      <c r="W911" s="4" t="s">
        <v>271</v>
      </c>
      <c r="X911" s="4" t="s">
        <v>273</v>
      </c>
      <c r="Y911" s="4" t="s">
        <v>241</v>
      </c>
      <c r="AB911" s="4" t="s">
        <v>241</v>
      </c>
      <c r="AD911" s="5" t="s">
        <v>241</v>
      </c>
      <c r="AG911" s="5" t="s">
        <v>246</v>
      </c>
      <c r="AH911" s="4" t="s">
        <v>241</v>
      </c>
      <c r="AI911" s="4" t="s">
        <v>247</v>
      </c>
      <c r="AJ911" s="4" t="s">
        <v>248</v>
      </c>
      <c r="AZ911" s="4" t="s">
        <v>249</v>
      </c>
      <c r="BA911" s="4" t="s">
        <v>241</v>
      </c>
      <c r="BB911" s="4" t="s">
        <v>250</v>
      </c>
      <c r="BC911" s="4" t="s">
        <v>241</v>
      </c>
      <c r="BD911" s="4" t="s">
        <v>252</v>
      </c>
      <c r="BE911" s="4" t="s">
        <v>241</v>
      </c>
      <c r="BI911" s="4" t="s">
        <v>253</v>
      </c>
      <c r="BJ911" s="5" t="s">
        <v>246</v>
      </c>
      <c r="BK911" s="4" t="s">
        <v>254</v>
      </c>
      <c r="BL911" s="4" t="s">
        <v>255</v>
      </c>
      <c r="BM911" s="4" t="s">
        <v>241</v>
      </c>
      <c r="BN911" s="6">
        <f>0</f>
        <v>0</v>
      </c>
      <c r="BO911" s="6">
        <f>0</f>
        <v>0</v>
      </c>
      <c r="BP911" s="4" t="s">
        <v>256</v>
      </c>
      <c r="BQ911" s="4" t="s">
        <v>257</v>
      </c>
      <c r="CE911" s="4" t="s">
        <v>241</v>
      </c>
      <c r="CF911" s="4" t="s">
        <v>241</v>
      </c>
      <c r="CJ911" s="4" t="s">
        <v>276</v>
      </c>
      <c r="CK911" s="4" t="s">
        <v>259</v>
      </c>
      <c r="CL911" s="4" t="s">
        <v>241</v>
      </c>
      <c r="CO911" s="5" t="s">
        <v>260</v>
      </c>
      <c r="CP911" s="4" t="s">
        <v>241</v>
      </c>
      <c r="CQ911" s="4" t="s">
        <v>261</v>
      </c>
      <c r="CR911" s="4" t="s">
        <v>241</v>
      </c>
      <c r="CS911" s="4" t="s">
        <v>241</v>
      </c>
      <c r="CT911" s="4">
        <v>0</v>
      </c>
      <c r="CU911" s="4" t="s">
        <v>262</v>
      </c>
      <c r="CV911" s="4" t="s">
        <v>263</v>
      </c>
      <c r="CW911" s="4" t="s">
        <v>263</v>
      </c>
      <c r="CX911" s="4" t="s">
        <v>264</v>
      </c>
      <c r="DA911" s="6">
        <f>1</f>
        <v>1</v>
      </c>
      <c r="DC911" s="4" t="s">
        <v>277</v>
      </c>
      <c r="DD911" s="4" t="s">
        <v>241</v>
      </c>
      <c r="DF911" s="4" t="s">
        <v>277</v>
      </c>
      <c r="DG911" s="6">
        <f>98</f>
        <v>98</v>
      </c>
      <c r="DI911" s="4" t="s">
        <v>241</v>
      </c>
      <c r="DJ911" s="4" t="s">
        <v>241</v>
      </c>
      <c r="DK911" s="4" t="s">
        <v>241</v>
      </c>
      <c r="DL911" s="4" t="s">
        <v>241</v>
      </c>
      <c r="DP911" s="4" t="s">
        <v>241</v>
      </c>
      <c r="DQ911" s="4" t="s">
        <v>241</v>
      </c>
      <c r="DR911" s="4" t="s">
        <v>241</v>
      </c>
      <c r="DS911" s="4" t="s">
        <v>241</v>
      </c>
      <c r="DV911" s="4" t="s">
        <v>278</v>
      </c>
      <c r="DW911" s="4" t="s">
        <v>1559</v>
      </c>
      <c r="HO911" s="4" t="s">
        <v>267</v>
      </c>
    </row>
    <row r="912" spans="1:223" ht="19.5" customHeight="1" x14ac:dyDescent="0.4">
      <c r="A912" s="4">
        <v>1</v>
      </c>
      <c r="B912" s="4" t="s">
        <v>239</v>
      </c>
      <c r="C912" s="4">
        <v>2586</v>
      </c>
      <c r="D912" s="4">
        <v>1</v>
      </c>
      <c r="E912" s="4">
        <v>1</v>
      </c>
      <c r="F912" s="4" t="s">
        <v>268</v>
      </c>
      <c r="G912" s="4" t="s">
        <v>241</v>
      </c>
      <c r="H912" s="4" t="s">
        <v>241</v>
      </c>
      <c r="I912" s="4" t="s">
        <v>272</v>
      </c>
      <c r="J912" s="4" t="s">
        <v>274</v>
      </c>
      <c r="K912" s="4" t="s">
        <v>251</v>
      </c>
      <c r="L912" s="4" t="s">
        <v>269</v>
      </c>
      <c r="M912" s="5" t="s">
        <v>1556</v>
      </c>
      <c r="N912" s="6">
        <f>0.83</f>
        <v>0.83</v>
      </c>
      <c r="O912" s="4" t="s">
        <v>265</v>
      </c>
      <c r="P912" s="6">
        <f>1</f>
        <v>1</v>
      </c>
      <c r="Q912" s="6">
        <f>0</f>
        <v>0</v>
      </c>
      <c r="S912" s="6">
        <f>0</f>
        <v>0</v>
      </c>
      <c r="T912" s="6">
        <f>1</f>
        <v>1</v>
      </c>
      <c r="U912" s="5" t="s">
        <v>245</v>
      </c>
      <c r="V912" s="4" t="s">
        <v>270</v>
      </c>
      <c r="W912" s="4" t="s">
        <v>271</v>
      </c>
      <c r="X912" s="4" t="s">
        <v>273</v>
      </c>
      <c r="Y912" s="4" t="s">
        <v>241</v>
      </c>
      <c r="AB912" s="4" t="s">
        <v>241</v>
      </c>
      <c r="AD912" s="5" t="s">
        <v>241</v>
      </c>
      <c r="AG912" s="5" t="s">
        <v>246</v>
      </c>
      <c r="AH912" s="4" t="s">
        <v>241</v>
      </c>
      <c r="AI912" s="4" t="s">
        <v>247</v>
      </c>
      <c r="AJ912" s="4" t="s">
        <v>248</v>
      </c>
      <c r="AZ912" s="4" t="s">
        <v>249</v>
      </c>
      <c r="BA912" s="4" t="s">
        <v>241</v>
      </c>
      <c r="BB912" s="4" t="s">
        <v>250</v>
      </c>
      <c r="BC912" s="4" t="s">
        <v>241</v>
      </c>
      <c r="BD912" s="4" t="s">
        <v>252</v>
      </c>
      <c r="BE912" s="4" t="s">
        <v>241</v>
      </c>
      <c r="BI912" s="4" t="s">
        <v>253</v>
      </c>
      <c r="BJ912" s="5" t="s">
        <v>246</v>
      </c>
      <c r="BK912" s="4" t="s">
        <v>254</v>
      </c>
      <c r="BL912" s="4" t="s">
        <v>255</v>
      </c>
      <c r="BM912" s="4" t="s">
        <v>241</v>
      </c>
      <c r="BN912" s="6">
        <f>0</f>
        <v>0</v>
      </c>
      <c r="BO912" s="6">
        <f>0</f>
        <v>0</v>
      </c>
      <c r="BP912" s="4" t="s">
        <v>256</v>
      </c>
      <c r="BQ912" s="4" t="s">
        <v>257</v>
      </c>
      <c r="CE912" s="4" t="s">
        <v>241</v>
      </c>
      <c r="CF912" s="4" t="s">
        <v>241</v>
      </c>
      <c r="CJ912" s="4" t="s">
        <v>276</v>
      </c>
      <c r="CK912" s="4" t="s">
        <v>259</v>
      </c>
      <c r="CL912" s="4" t="s">
        <v>241</v>
      </c>
      <c r="CO912" s="5" t="s">
        <v>260</v>
      </c>
      <c r="CP912" s="4" t="s">
        <v>241</v>
      </c>
      <c r="CQ912" s="4" t="s">
        <v>261</v>
      </c>
      <c r="CR912" s="4" t="s">
        <v>241</v>
      </c>
      <c r="CS912" s="4" t="s">
        <v>241</v>
      </c>
      <c r="CT912" s="4">
        <v>0</v>
      </c>
      <c r="CU912" s="4" t="s">
        <v>262</v>
      </c>
      <c r="CV912" s="4" t="s">
        <v>263</v>
      </c>
      <c r="CW912" s="4" t="s">
        <v>263</v>
      </c>
      <c r="CX912" s="4" t="s">
        <v>264</v>
      </c>
      <c r="DA912" s="6">
        <f>1</f>
        <v>1</v>
      </c>
      <c r="DC912" s="4" t="s">
        <v>277</v>
      </c>
      <c r="DD912" s="4" t="s">
        <v>241</v>
      </c>
      <c r="DF912" s="4" t="s">
        <v>277</v>
      </c>
      <c r="DG912" s="6">
        <f>0.83</f>
        <v>0.83</v>
      </c>
      <c r="DI912" s="4" t="s">
        <v>241</v>
      </c>
      <c r="DJ912" s="4" t="s">
        <v>241</v>
      </c>
      <c r="DK912" s="4" t="s">
        <v>241</v>
      </c>
      <c r="DL912" s="4" t="s">
        <v>241</v>
      </c>
      <c r="DP912" s="4" t="s">
        <v>241</v>
      </c>
      <c r="DQ912" s="4" t="s">
        <v>241</v>
      </c>
      <c r="DR912" s="4" t="s">
        <v>241</v>
      </c>
      <c r="DS912" s="4" t="s">
        <v>241</v>
      </c>
      <c r="DV912" s="4" t="s">
        <v>278</v>
      </c>
      <c r="DW912" s="4" t="s">
        <v>1557</v>
      </c>
      <c r="HO912" s="4" t="s">
        <v>267</v>
      </c>
    </row>
    <row r="913" spans="1:223" ht="19.5" customHeight="1" x14ac:dyDescent="0.4">
      <c r="A913" s="4">
        <v>1</v>
      </c>
      <c r="B913" s="4" t="s">
        <v>239</v>
      </c>
      <c r="C913" s="4">
        <v>2587</v>
      </c>
      <c r="D913" s="4">
        <v>1</v>
      </c>
      <c r="E913" s="4">
        <v>1</v>
      </c>
      <c r="F913" s="4" t="s">
        <v>268</v>
      </c>
      <c r="G913" s="4" t="s">
        <v>241</v>
      </c>
      <c r="H913" s="4" t="s">
        <v>241</v>
      </c>
      <c r="I913" s="4" t="s">
        <v>272</v>
      </c>
      <c r="J913" s="4" t="s">
        <v>274</v>
      </c>
      <c r="K913" s="4" t="s">
        <v>251</v>
      </c>
      <c r="L913" s="4" t="s">
        <v>269</v>
      </c>
      <c r="M913" s="5" t="s">
        <v>1554</v>
      </c>
      <c r="N913" s="6">
        <f>57</f>
        <v>57</v>
      </c>
      <c r="O913" s="4" t="s">
        <v>265</v>
      </c>
      <c r="P913" s="6">
        <f>1</f>
        <v>1</v>
      </c>
      <c r="Q913" s="6">
        <f>0</f>
        <v>0</v>
      </c>
      <c r="S913" s="6">
        <f>0</f>
        <v>0</v>
      </c>
      <c r="T913" s="6">
        <f>1</f>
        <v>1</v>
      </c>
      <c r="U913" s="5" t="s">
        <v>245</v>
      </c>
      <c r="V913" s="4" t="s">
        <v>270</v>
      </c>
      <c r="W913" s="4" t="s">
        <v>271</v>
      </c>
      <c r="X913" s="4" t="s">
        <v>273</v>
      </c>
      <c r="Y913" s="4" t="s">
        <v>241</v>
      </c>
      <c r="AB913" s="4" t="s">
        <v>241</v>
      </c>
      <c r="AD913" s="5" t="s">
        <v>241</v>
      </c>
      <c r="AG913" s="5" t="s">
        <v>246</v>
      </c>
      <c r="AH913" s="4" t="s">
        <v>241</v>
      </c>
      <c r="AI913" s="4" t="s">
        <v>247</v>
      </c>
      <c r="AJ913" s="4" t="s">
        <v>248</v>
      </c>
      <c r="AZ913" s="4" t="s">
        <v>249</v>
      </c>
      <c r="BA913" s="4" t="s">
        <v>241</v>
      </c>
      <c r="BB913" s="4" t="s">
        <v>250</v>
      </c>
      <c r="BC913" s="4" t="s">
        <v>241</v>
      </c>
      <c r="BD913" s="4" t="s">
        <v>252</v>
      </c>
      <c r="BE913" s="4" t="s">
        <v>241</v>
      </c>
      <c r="BI913" s="4" t="s">
        <v>253</v>
      </c>
      <c r="BJ913" s="5" t="s">
        <v>246</v>
      </c>
      <c r="BK913" s="4" t="s">
        <v>254</v>
      </c>
      <c r="BL913" s="4" t="s">
        <v>255</v>
      </c>
      <c r="BM913" s="4" t="s">
        <v>241</v>
      </c>
      <c r="BN913" s="6">
        <f>0</f>
        <v>0</v>
      </c>
      <c r="BO913" s="6">
        <f>0</f>
        <v>0</v>
      </c>
      <c r="BP913" s="4" t="s">
        <v>256</v>
      </c>
      <c r="BQ913" s="4" t="s">
        <v>257</v>
      </c>
      <c r="CE913" s="4" t="s">
        <v>241</v>
      </c>
      <c r="CF913" s="4" t="s">
        <v>241</v>
      </c>
      <c r="CJ913" s="4" t="s">
        <v>276</v>
      </c>
      <c r="CK913" s="4" t="s">
        <v>259</v>
      </c>
      <c r="CL913" s="4" t="s">
        <v>241</v>
      </c>
      <c r="CO913" s="5" t="s">
        <v>260</v>
      </c>
      <c r="CP913" s="4" t="s">
        <v>241</v>
      </c>
      <c r="CQ913" s="4" t="s">
        <v>261</v>
      </c>
      <c r="CR913" s="4" t="s">
        <v>241</v>
      </c>
      <c r="CS913" s="4" t="s">
        <v>241</v>
      </c>
      <c r="CT913" s="4">
        <v>0</v>
      </c>
      <c r="CU913" s="4" t="s">
        <v>262</v>
      </c>
      <c r="CV913" s="4" t="s">
        <v>263</v>
      </c>
      <c r="CW913" s="4" t="s">
        <v>263</v>
      </c>
      <c r="CX913" s="4" t="s">
        <v>264</v>
      </c>
      <c r="DA913" s="6">
        <f>1</f>
        <v>1</v>
      </c>
      <c r="DC913" s="4" t="s">
        <v>277</v>
      </c>
      <c r="DD913" s="4" t="s">
        <v>241</v>
      </c>
      <c r="DF913" s="4" t="s">
        <v>277</v>
      </c>
      <c r="DG913" s="6">
        <f>57</f>
        <v>57</v>
      </c>
      <c r="DI913" s="4" t="s">
        <v>241</v>
      </c>
      <c r="DJ913" s="4" t="s">
        <v>241</v>
      </c>
      <c r="DK913" s="4" t="s">
        <v>241</v>
      </c>
      <c r="DL913" s="4" t="s">
        <v>241</v>
      </c>
      <c r="DP913" s="4" t="s">
        <v>241</v>
      </c>
      <c r="DQ913" s="4" t="s">
        <v>241</v>
      </c>
      <c r="DR913" s="4" t="s">
        <v>241</v>
      </c>
      <c r="DS913" s="4" t="s">
        <v>241</v>
      </c>
      <c r="DV913" s="4" t="s">
        <v>278</v>
      </c>
      <c r="DW913" s="4" t="s">
        <v>1555</v>
      </c>
      <c r="HO913" s="4" t="s">
        <v>267</v>
      </c>
    </row>
    <row r="914" spans="1:223" ht="19.5" customHeight="1" x14ac:dyDescent="0.4">
      <c r="A914" s="4">
        <v>1</v>
      </c>
      <c r="B914" s="4" t="s">
        <v>239</v>
      </c>
      <c r="C914" s="4">
        <v>2588</v>
      </c>
      <c r="D914" s="4">
        <v>1</v>
      </c>
      <c r="E914" s="4">
        <v>1</v>
      </c>
      <c r="F914" s="4" t="s">
        <v>268</v>
      </c>
      <c r="G914" s="4" t="s">
        <v>241</v>
      </c>
      <c r="H914" s="4" t="s">
        <v>241</v>
      </c>
      <c r="I914" s="4" t="s">
        <v>272</v>
      </c>
      <c r="J914" s="4" t="s">
        <v>274</v>
      </c>
      <c r="K914" s="4" t="s">
        <v>251</v>
      </c>
      <c r="L914" s="4" t="s">
        <v>269</v>
      </c>
      <c r="M914" s="5" t="s">
        <v>1552</v>
      </c>
      <c r="N914" s="6">
        <f>1221</f>
        <v>1221</v>
      </c>
      <c r="O914" s="4" t="s">
        <v>265</v>
      </c>
      <c r="P914" s="6">
        <f>1</f>
        <v>1</v>
      </c>
      <c r="Q914" s="6">
        <f>0</f>
        <v>0</v>
      </c>
      <c r="S914" s="6">
        <f>0</f>
        <v>0</v>
      </c>
      <c r="T914" s="6">
        <f>1</f>
        <v>1</v>
      </c>
      <c r="U914" s="5" t="s">
        <v>245</v>
      </c>
      <c r="V914" s="4" t="s">
        <v>270</v>
      </c>
      <c r="W914" s="4" t="s">
        <v>271</v>
      </c>
      <c r="X914" s="4" t="s">
        <v>273</v>
      </c>
      <c r="Y914" s="4" t="s">
        <v>241</v>
      </c>
      <c r="AB914" s="4" t="s">
        <v>241</v>
      </c>
      <c r="AD914" s="5" t="s">
        <v>241</v>
      </c>
      <c r="AG914" s="5" t="s">
        <v>246</v>
      </c>
      <c r="AH914" s="4" t="s">
        <v>241</v>
      </c>
      <c r="AI914" s="4" t="s">
        <v>247</v>
      </c>
      <c r="AJ914" s="4" t="s">
        <v>248</v>
      </c>
      <c r="AZ914" s="4" t="s">
        <v>249</v>
      </c>
      <c r="BA914" s="4" t="s">
        <v>241</v>
      </c>
      <c r="BB914" s="4" t="s">
        <v>250</v>
      </c>
      <c r="BC914" s="4" t="s">
        <v>241</v>
      </c>
      <c r="BD914" s="4" t="s">
        <v>252</v>
      </c>
      <c r="BE914" s="4" t="s">
        <v>241</v>
      </c>
      <c r="BI914" s="4" t="s">
        <v>253</v>
      </c>
      <c r="BJ914" s="5" t="s">
        <v>246</v>
      </c>
      <c r="BK914" s="4" t="s">
        <v>254</v>
      </c>
      <c r="BL914" s="4" t="s">
        <v>255</v>
      </c>
      <c r="BM914" s="4" t="s">
        <v>241</v>
      </c>
      <c r="BN914" s="6">
        <f>0</f>
        <v>0</v>
      </c>
      <c r="BO914" s="6">
        <f>0</f>
        <v>0</v>
      </c>
      <c r="BP914" s="4" t="s">
        <v>256</v>
      </c>
      <c r="BQ914" s="4" t="s">
        <v>257</v>
      </c>
      <c r="CE914" s="4" t="s">
        <v>241</v>
      </c>
      <c r="CF914" s="4" t="s">
        <v>241</v>
      </c>
      <c r="CJ914" s="4" t="s">
        <v>276</v>
      </c>
      <c r="CK914" s="4" t="s">
        <v>259</v>
      </c>
      <c r="CL914" s="4" t="s">
        <v>241</v>
      </c>
      <c r="CO914" s="5" t="s">
        <v>260</v>
      </c>
      <c r="CP914" s="4" t="s">
        <v>241</v>
      </c>
      <c r="CQ914" s="4" t="s">
        <v>261</v>
      </c>
      <c r="CR914" s="4" t="s">
        <v>241</v>
      </c>
      <c r="CS914" s="4" t="s">
        <v>241</v>
      </c>
      <c r="CT914" s="4">
        <v>0</v>
      </c>
      <c r="CU914" s="4" t="s">
        <v>262</v>
      </c>
      <c r="CV914" s="4" t="s">
        <v>263</v>
      </c>
      <c r="CW914" s="4" t="s">
        <v>263</v>
      </c>
      <c r="CX914" s="4" t="s">
        <v>264</v>
      </c>
      <c r="DA914" s="6">
        <f>1</f>
        <v>1</v>
      </c>
      <c r="DC914" s="4" t="s">
        <v>277</v>
      </c>
      <c r="DD914" s="4" t="s">
        <v>241</v>
      </c>
      <c r="DF914" s="4" t="s">
        <v>277</v>
      </c>
      <c r="DG914" s="6">
        <f>1221</f>
        <v>1221</v>
      </c>
      <c r="DI914" s="4" t="s">
        <v>241</v>
      </c>
      <c r="DJ914" s="4" t="s">
        <v>241</v>
      </c>
      <c r="DK914" s="4" t="s">
        <v>241</v>
      </c>
      <c r="DL914" s="4" t="s">
        <v>241</v>
      </c>
      <c r="DP914" s="4" t="s">
        <v>241</v>
      </c>
      <c r="DQ914" s="4" t="s">
        <v>241</v>
      </c>
      <c r="DR914" s="4" t="s">
        <v>241</v>
      </c>
      <c r="DS914" s="4" t="s">
        <v>241</v>
      </c>
      <c r="DV914" s="4" t="s">
        <v>278</v>
      </c>
      <c r="DW914" s="4" t="s">
        <v>1553</v>
      </c>
      <c r="HO914" s="4" t="s">
        <v>267</v>
      </c>
    </row>
    <row r="915" spans="1:223" ht="19.5" customHeight="1" x14ac:dyDescent="0.4">
      <c r="A915" s="4">
        <v>1</v>
      </c>
      <c r="B915" s="4" t="s">
        <v>239</v>
      </c>
      <c r="C915" s="4">
        <v>2589</v>
      </c>
      <c r="D915" s="4">
        <v>1</v>
      </c>
      <c r="E915" s="4">
        <v>1</v>
      </c>
      <c r="F915" s="4" t="s">
        <v>268</v>
      </c>
      <c r="G915" s="4" t="s">
        <v>241</v>
      </c>
      <c r="H915" s="4" t="s">
        <v>241</v>
      </c>
      <c r="I915" s="4" t="s">
        <v>272</v>
      </c>
      <c r="J915" s="4" t="s">
        <v>274</v>
      </c>
      <c r="K915" s="4" t="s">
        <v>251</v>
      </c>
      <c r="L915" s="4" t="s">
        <v>269</v>
      </c>
      <c r="M915" s="5" t="s">
        <v>1550</v>
      </c>
      <c r="N915" s="6">
        <f>485</f>
        <v>485</v>
      </c>
      <c r="O915" s="4" t="s">
        <v>265</v>
      </c>
      <c r="P915" s="6">
        <f>1</f>
        <v>1</v>
      </c>
      <c r="Q915" s="6">
        <f>0</f>
        <v>0</v>
      </c>
      <c r="S915" s="6">
        <f>0</f>
        <v>0</v>
      </c>
      <c r="T915" s="6">
        <f>1</f>
        <v>1</v>
      </c>
      <c r="U915" s="5" t="s">
        <v>245</v>
      </c>
      <c r="V915" s="4" t="s">
        <v>270</v>
      </c>
      <c r="W915" s="4" t="s">
        <v>271</v>
      </c>
      <c r="X915" s="4" t="s">
        <v>273</v>
      </c>
      <c r="Y915" s="4" t="s">
        <v>241</v>
      </c>
      <c r="AB915" s="4" t="s">
        <v>241</v>
      </c>
      <c r="AD915" s="5" t="s">
        <v>241</v>
      </c>
      <c r="AG915" s="5" t="s">
        <v>246</v>
      </c>
      <c r="AH915" s="4" t="s">
        <v>241</v>
      </c>
      <c r="AI915" s="4" t="s">
        <v>247</v>
      </c>
      <c r="AJ915" s="4" t="s">
        <v>248</v>
      </c>
      <c r="AZ915" s="4" t="s">
        <v>249</v>
      </c>
      <c r="BA915" s="4" t="s">
        <v>241</v>
      </c>
      <c r="BB915" s="4" t="s">
        <v>250</v>
      </c>
      <c r="BC915" s="4" t="s">
        <v>241</v>
      </c>
      <c r="BD915" s="4" t="s">
        <v>252</v>
      </c>
      <c r="BE915" s="4" t="s">
        <v>241</v>
      </c>
      <c r="BI915" s="4" t="s">
        <v>253</v>
      </c>
      <c r="BJ915" s="5" t="s">
        <v>246</v>
      </c>
      <c r="BK915" s="4" t="s">
        <v>254</v>
      </c>
      <c r="BL915" s="4" t="s">
        <v>255</v>
      </c>
      <c r="BM915" s="4" t="s">
        <v>241</v>
      </c>
      <c r="BN915" s="6">
        <f>0</f>
        <v>0</v>
      </c>
      <c r="BO915" s="6">
        <f>0</f>
        <v>0</v>
      </c>
      <c r="BP915" s="4" t="s">
        <v>256</v>
      </c>
      <c r="BQ915" s="4" t="s">
        <v>257</v>
      </c>
      <c r="CE915" s="4" t="s">
        <v>241</v>
      </c>
      <c r="CF915" s="4" t="s">
        <v>241</v>
      </c>
      <c r="CJ915" s="4" t="s">
        <v>276</v>
      </c>
      <c r="CK915" s="4" t="s">
        <v>259</v>
      </c>
      <c r="CL915" s="4" t="s">
        <v>241</v>
      </c>
      <c r="CO915" s="5" t="s">
        <v>260</v>
      </c>
      <c r="CP915" s="4" t="s">
        <v>241</v>
      </c>
      <c r="CQ915" s="4" t="s">
        <v>261</v>
      </c>
      <c r="CR915" s="4" t="s">
        <v>241</v>
      </c>
      <c r="CS915" s="4" t="s">
        <v>241</v>
      </c>
      <c r="CT915" s="4">
        <v>0</v>
      </c>
      <c r="CU915" s="4" t="s">
        <v>262</v>
      </c>
      <c r="CV915" s="4" t="s">
        <v>263</v>
      </c>
      <c r="CW915" s="4" t="s">
        <v>263</v>
      </c>
      <c r="CX915" s="4" t="s">
        <v>264</v>
      </c>
      <c r="DA915" s="6">
        <f>1</f>
        <v>1</v>
      </c>
      <c r="DC915" s="4" t="s">
        <v>277</v>
      </c>
      <c r="DD915" s="4" t="s">
        <v>241</v>
      </c>
      <c r="DF915" s="4" t="s">
        <v>277</v>
      </c>
      <c r="DG915" s="6">
        <f>485</f>
        <v>485</v>
      </c>
      <c r="DI915" s="4" t="s">
        <v>241</v>
      </c>
      <c r="DJ915" s="4" t="s">
        <v>241</v>
      </c>
      <c r="DK915" s="4" t="s">
        <v>241</v>
      </c>
      <c r="DL915" s="4" t="s">
        <v>241</v>
      </c>
      <c r="DP915" s="4" t="s">
        <v>241</v>
      </c>
      <c r="DQ915" s="4" t="s">
        <v>241</v>
      </c>
      <c r="DR915" s="4" t="s">
        <v>241</v>
      </c>
      <c r="DS915" s="4" t="s">
        <v>241</v>
      </c>
      <c r="DV915" s="4" t="s">
        <v>278</v>
      </c>
      <c r="DW915" s="4" t="s">
        <v>1551</v>
      </c>
      <c r="HO915" s="4" t="s">
        <v>267</v>
      </c>
    </row>
    <row r="916" spans="1:223" ht="19.5" customHeight="1" x14ac:dyDescent="0.4">
      <c r="A916" s="4">
        <v>1</v>
      </c>
      <c r="B916" s="4" t="s">
        <v>239</v>
      </c>
      <c r="C916" s="4">
        <v>2590</v>
      </c>
      <c r="D916" s="4">
        <v>1</v>
      </c>
      <c r="E916" s="4">
        <v>1</v>
      </c>
      <c r="F916" s="4" t="s">
        <v>268</v>
      </c>
      <c r="G916" s="4" t="s">
        <v>241</v>
      </c>
      <c r="H916" s="4" t="s">
        <v>241</v>
      </c>
      <c r="I916" s="4" t="s">
        <v>272</v>
      </c>
      <c r="J916" s="4" t="s">
        <v>274</v>
      </c>
      <c r="K916" s="4" t="s">
        <v>251</v>
      </c>
      <c r="L916" s="4" t="s">
        <v>269</v>
      </c>
      <c r="M916" s="5" t="s">
        <v>1548</v>
      </c>
      <c r="N916" s="6">
        <f>80</f>
        <v>80</v>
      </c>
      <c r="O916" s="4" t="s">
        <v>265</v>
      </c>
      <c r="P916" s="6">
        <f>1</f>
        <v>1</v>
      </c>
      <c r="Q916" s="6">
        <f>0</f>
        <v>0</v>
      </c>
      <c r="S916" s="6">
        <f>0</f>
        <v>0</v>
      </c>
      <c r="T916" s="6">
        <f>1</f>
        <v>1</v>
      </c>
      <c r="U916" s="5" t="s">
        <v>245</v>
      </c>
      <c r="V916" s="4" t="s">
        <v>270</v>
      </c>
      <c r="W916" s="4" t="s">
        <v>271</v>
      </c>
      <c r="X916" s="4" t="s">
        <v>273</v>
      </c>
      <c r="Y916" s="4" t="s">
        <v>241</v>
      </c>
      <c r="AB916" s="4" t="s">
        <v>241</v>
      </c>
      <c r="AD916" s="5" t="s">
        <v>241</v>
      </c>
      <c r="AG916" s="5" t="s">
        <v>246</v>
      </c>
      <c r="AH916" s="4" t="s">
        <v>241</v>
      </c>
      <c r="AI916" s="4" t="s">
        <v>247</v>
      </c>
      <c r="AJ916" s="4" t="s">
        <v>248</v>
      </c>
      <c r="AZ916" s="4" t="s">
        <v>249</v>
      </c>
      <c r="BA916" s="4" t="s">
        <v>241</v>
      </c>
      <c r="BB916" s="4" t="s">
        <v>250</v>
      </c>
      <c r="BC916" s="4" t="s">
        <v>241</v>
      </c>
      <c r="BD916" s="4" t="s">
        <v>252</v>
      </c>
      <c r="BE916" s="4" t="s">
        <v>241</v>
      </c>
      <c r="BI916" s="4" t="s">
        <v>253</v>
      </c>
      <c r="BJ916" s="5" t="s">
        <v>246</v>
      </c>
      <c r="BK916" s="4" t="s">
        <v>254</v>
      </c>
      <c r="BL916" s="4" t="s">
        <v>255</v>
      </c>
      <c r="BM916" s="4" t="s">
        <v>241</v>
      </c>
      <c r="BN916" s="6">
        <f>0</f>
        <v>0</v>
      </c>
      <c r="BO916" s="6">
        <f>0</f>
        <v>0</v>
      </c>
      <c r="BP916" s="4" t="s">
        <v>256</v>
      </c>
      <c r="BQ916" s="4" t="s">
        <v>257</v>
      </c>
      <c r="CE916" s="4" t="s">
        <v>241</v>
      </c>
      <c r="CF916" s="4" t="s">
        <v>241</v>
      </c>
      <c r="CJ916" s="4" t="s">
        <v>276</v>
      </c>
      <c r="CK916" s="4" t="s">
        <v>259</v>
      </c>
      <c r="CL916" s="4" t="s">
        <v>241</v>
      </c>
      <c r="CO916" s="5" t="s">
        <v>260</v>
      </c>
      <c r="CP916" s="4" t="s">
        <v>241</v>
      </c>
      <c r="CQ916" s="4" t="s">
        <v>261</v>
      </c>
      <c r="CR916" s="4" t="s">
        <v>241</v>
      </c>
      <c r="CS916" s="4" t="s">
        <v>241</v>
      </c>
      <c r="CT916" s="4">
        <v>0</v>
      </c>
      <c r="CU916" s="4" t="s">
        <v>262</v>
      </c>
      <c r="CV916" s="4" t="s">
        <v>263</v>
      </c>
      <c r="CW916" s="4" t="s">
        <v>263</v>
      </c>
      <c r="CX916" s="4" t="s">
        <v>264</v>
      </c>
      <c r="DA916" s="6">
        <f>1</f>
        <v>1</v>
      </c>
      <c r="DC916" s="4" t="s">
        <v>277</v>
      </c>
      <c r="DD916" s="4" t="s">
        <v>241</v>
      </c>
      <c r="DF916" s="4" t="s">
        <v>277</v>
      </c>
      <c r="DG916" s="6">
        <f>80</f>
        <v>80</v>
      </c>
      <c r="DI916" s="4" t="s">
        <v>241</v>
      </c>
      <c r="DJ916" s="4" t="s">
        <v>241</v>
      </c>
      <c r="DK916" s="4" t="s">
        <v>241</v>
      </c>
      <c r="DL916" s="4" t="s">
        <v>241</v>
      </c>
      <c r="DP916" s="4" t="s">
        <v>241</v>
      </c>
      <c r="DQ916" s="4" t="s">
        <v>241</v>
      </c>
      <c r="DR916" s="4" t="s">
        <v>241</v>
      </c>
      <c r="DS916" s="4" t="s">
        <v>241</v>
      </c>
      <c r="DV916" s="4" t="s">
        <v>278</v>
      </c>
      <c r="DW916" s="4" t="s">
        <v>1549</v>
      </c>
      <c r="HO916" s="4" t="s">
        <v>267</v>
      </c>
    </row>
    <row r="917" spans="1:223" ht="19.5" customHeight="1" x14ac:dyDescent="0.4">
      <c r="A917" s="4">
        <v>1</v>
      </c>
      <c r="B917" s="4" t="s">
        <v>239</v>
      </c>
      <c r="C917" s="4">
        <v>2591</v>
      </c>
      <c r="D917" s="4">
        <v>1</v>
      </c>
      <c r="E917" s="4">
        <v>1</v>
      </c>
      <c r="F917" s="4" t="s">
        <v>268</v>
      </c>
      <c r="G917" s="4" t="s">
        <v>241</v>
      </c>
      <c r="H917" s="4" t="s">
        <v>241</v>
      </c>
      <c r="I917" s="4" t="s">
        <v>272</v>
      </c>
      <c r="J917" s="4" t="s">
        <v>274</v>
      </c>
      <c r="K917" s="4" t="s">
        <v>251</v>
      </c>
      <c r="L917" s="4" t="s">
        <v>269</v>
      </c>
      <c r="M917" s="5" t="s">
        <v>1546</v>
      </c>
      <c r="N917" s="6">
        <f>7.11</f>
        <v>7.11</v>
      </c>
      <c r="O917" s="4" t="s">
        <v>265</v>
      </c>
      <c r="P917" s="6">
        <f>1</f>
        <v>1</v>
      </c>
      <c r="Q917" s="6">
        <f>0</f>
        <v>0</v>
      </c>
      <c r="S917" s="6">
        <f>0</f>
        <v>0</v>
      </c>
      <c r="T917" s="6">
        <f>1</f>
        <v>1</v>
      </c>
      <c r="U917" s="5" t="s">
        <v>245</v>
      </c>
      <c r="V917" s="4" t="s">
        <v>270</v>
      </c>
      <c r="W917" s="4" t="s">
        <v>271</v>
      </c>
      <c r="X917" s="4" t="s">
        <v>273</v>
      </c>
      <c r="Y917" s="4" t="s">
        <v>241</v>
      </c>
      <c r="AB917" s="4" t="s">
        <v>241</v>
      </c>
      <c r="AD917" s="5" t="s">
        <v>241</v>
      </c>
      <c r="AG917" s="5" t="s">
        <v>246</v>
      </c>
      <c r="AH917" s="4" t="s">
        <v>241</v>
      </c>
      <c r="AI917" s="4" t="s">
        <v>247</v>
      </c>
      <c r="AJ917" s="4" t="s">
        <v>248</v>
      </c>
      <c r="AZ917" s="4" t="s">
        <v>249</v>
      </c>
      <c r="BA917" s="4" t="s">
        <v>241</v>
      </c>
      <c r="BB917" s="4" t="s">
        <v>250</v>
      </c>
      <c r="BC917" s="4" t="s">
        <v>241</v>
      </c>
      <c r="BD917" s="4" t="s">
        <v>252</v>
      </c>
      <c r="BE917" s="4" t="s">
        <v>241</v>
      </c>
      <c r="BI917" s="4" t="s">
        <v>253</v>
      </c>
      <c r="BJ917" s="5" t="s">
        <v>246</v>
      </c>
      <c r="BK917" s="4" t="s">
        <v>254</v>
      </c>
      <c r="BL917" s="4" t="s">
        <v>255</v>
      </c>
      <c r="BM917" s="4" t="s">
        <v>241</v>
      </c>
      <c r="BN917" s="6">
        <f>0</f>
        <v>0</v>
      </c>
      <c r="BO917" s="6">
        <f>0</f>
        <v>0</v>
      </c>
      <c r="BP917" s="4" t="s">
        <v>256</v>
      </c>
      <c r="BQ917" s="4" t="s">
        <v>257</v>
      </c>
      <c r="CE917" s="4" t="s">
        <v>241</v>
      </c>
      <c r="CF917" s="4" t="s">
        <v>241</v>
      </c>
      <c r="CJ917" s="4" t="s">
        <v>276</v>
      </c>
      <c r="CK917" s="4" t="s">
        <v>259</v>
      </c>
      <c r="CL917" s="4" t="s">
        <v>241</v>
      </c>
      <c r="CO917" s="5" t="s">
        <v>260</v>
      </c>
      <c r="CP917" s="4" t="s">
        <v>241</v>
      </c>
      <c r="CQ917" s="4" t="s">
        <v>261</v>
      </c>
      <c r="CR917" s="4" t="s">
        <v>241</v>
      </c>
      <c r="CS917" s="4" t="s">
        <v>241</v>
      </c>
      <c r="CT917" s="4">
        <v>0</v>
      </c>
      <c r="CU917" s="4" t="s">
        <v>262</v>
      </c>
      <c r="CV917" s="4" t="s">
        <v>263</v>
      </c>
      <c r="CW917" s="4" t="s">
        <v>263</v>
      </c>
      <c r="CX917" s="4" t="s">
        <v>264</v>
      </c>
      <c r="DA917" s="6">
        <f>1</f>
        <v>1</v>
      </c>
      <c r="DC917" s="4" t="s">
        <v>277</v>
      </c>
      <c r="DD917" s="4" t="s">
        <v>241</v>
      </c>
      <c r="DF917" s="4" t="s">
        <v>277</v>
      </c>
      <c r="DG917" s="6">
        <f>7.11</f>
        <v>7.11</v>
      </c>
      <c r="DI917" s="4" t="s">
        <v>241</v>
      </c>
      <c r="DJ917" s="4" t="s">
        <v>241</v>
      </c>
      <c r="DK917" s="4" t="s">
        <v>241</v>
      </c>
      <c r="DL917" s="4" t="s">
        <v>241</v>
      </c>
      <c r="DP917" s="4" t="s">
        <v>241</v>
      </c>
      <c r="DQ917" s="4" t="s">
        <v>241</v>
      </c>
      <c r="DR917" s="4" t="s">
        <v>241</v>
      </c>
      <c r="DS917" s="4" t="s">
        <v>241</v>
      </c>
      <c r="DV917" s="4" t="s">
        <v>278</v>
      </c>
      <c r="DW917" s="4" t="s">
        <v>1547</v>
      </c>
      <c r="HO917" s="4" t="s">
        <v>267</v>
      </c>
    </row>
    <row r="918" spans="1:223" ht="19.5" customHeight="1" x14ac:dyDescent="0.4">
      <c r="A918" s="4">
        <v>1</v>
      </c>
      <c r="B918" s="4" t="s">
        <v>239</v>
      </c>
      <c r="C918" s="4">
        <v>2592</v>
      </c>
      <c r="D918" s="4">
        <v>1</v>
      </c>
      <c r="E918" s="4">
        <v>1</v>
      </c>
      <c r="F918" s="4" t="s">
        <v>268</v>
      </c>
      <c r="G918" s="4" t="s">
        <v>241</v>
      </c>
      <c r="H918" s="4" t="s">
        <v>241</v>
      </c>
      <c r="I918" s="4" t="s">
        <v>272</v>
      </c>
      <c r="J918" s="4" t="s">
        <v>274</v>
      </c>
      <c r="K918" s="4" t="s">
        <v>251</v>
      </c>
      <c r="L918" s="4" t="s">
        <v>269</v>
      </c>
      <c r="M918" s="5" t="s">
        <v>1544</v>
      </c>
      <c r="N918" s="6">
        <f>97</f>
        <v>97</v>
      </c>
      <c r="O918" s="4" t="s">
        <v>265</v>
      </c>
      <c r="P918" s="6">
        <f>1</f>
        <v>1</v>
      </c>
      <c r="Q918" s="6">
        <f>0</f>
        <v>0</v>
      </c>
      <c r="S918" s="6">
        <f>0</f>
        <v>0</v>
      </c>
      <c r="T918" s="6">
        <f>1</f>
        <v>1</v>
      </c>
      <c r="U918" s="5" t="s">
        <v>245</v>
      </c>
      <c r="V918" s="4" t="s">
        <v>270</v>
      </c>
      <c r="W918" s="4" t="s">
        <v>271</v>
      </c>
      <c r="X918" s="4" t="s">
        <v>273</v>
      </c>
      <c r="Y918" s="4" t="s">
        <v>241</v>
      </c>
      <c r="AB918" s="4" t="s">
        <v>241</v>
      </c>
      <c r="AD918" s="5" t="s">
        <v>241</v>
      </c>
      <c r="AG918" s="5" t="s">
        <v>246</v>
      </c>
      <c r="AH918" s="4" t="s">
        <v>241</v>
      </c>
      <c r="AI918" s="4" t="s">
        <v>247</v>
      </c>
      <c r="AJ918" s="4" t="s">
        <v>248</v>
      </c>
      <c r="AZ918" s="4" t="s">
        <v>249</v>
      </c>
      <c r="BA918" s="4" t="s">
        <v>241</v>
      </c>
      <c r="BB918" s="4" t="s">
        <v>250</v>
      </c>
      <c r="BC918" s="4" t="s">
        <v>241</v>
      </c>
      <c r="BD918" s="4" t="s">
        <v>252</v>
      </c>
      <c r="BE918" s="4" t="s">
        <v>241</v>
      </c>
      <c r="BI918" s="4" t="s">
        <v>253</v>
      </c>
      <c r="BJ918" s="5" t="s">
        <v>246</v>
      </c>
      <c r="BK918" s="4" t="s">
        <v>254</v>
      </c>
      <c r="BL918" s="4" t="s">
        <v>255</v>
      </c>
      <c r="BM918" s="4" t="s">
        <v>241</v>
      </c>
      <c r="BN918" s="6">
        <f>0</f>
        <v>0</v>
      </c>
      <c r="BO918" s="6">
        <f>0</f>
        <v>0</v>
      </c>
      <c r="BP918" s="4" t="s">
        <v>256</v>
      </c>
      <c r="BQ918" s="4" t="s">
        <v>257</v>
      </c>
      <c r="CE918" s="4" t="s">
        <v>241</v>
      </c>
      <c r="CF918" s="4" t="s">
        <v>241</v>
      </c>
      <c r="CJ918" s="4" t="s">
        <v>276</v>
      </c>
      <c r="CK918" s="4" t="s">
        <v>259</v>
      </c>
      <c r="CL918" s="4" t="s">
        <v>241</v>
      </c>
      <c r="CO918" s="5" t="s">
        <v>260</v>
      </c>
      <c r="CP918" s="4" t="s">
        <v>241</v>
      </c>
      <c r="CQ918" s="4" t="s">
        <v>261</v>
      </c>
      <c r="CR918" s="4" t="s">
        <v>241</v>
      </c>
      <c r="CS918" s="4" t="s">
        <v>241</v>
      </c>
      <c r="CT918" s="4">
        <v>0</v>
      </c>
      <c r="CU918" s="4" t="s">
        <v>262</v>
      </c>
      <c r="CV918" s="4" t="s">
        <v>263</v>
      </c>
      <c r="CW918" s="4" t="s">
        <v>263</v>
      </c>
      <c r="CX918" s="4" t="s">
        <v>264</v>
      </c>
      <c r="DA918" s="6">
        <f>1</f>
        <v>1</v>
      </c>
      <c r="DC918" s="4" t="s">
        <v>277</v>
      </c>
      <c r="DD918" s="4" t="s">
        <v>241</v>
      </c>
      <c r="DF918" s="4" t="s">
        <v>277</v>
      </c>
      <c r="DG918" s="6">
        <f>97</f>
        <v>97</v>
      </c>
      <c r="DI918" s="4" t="s">
        <v>241</v>
      </c>
      <c r="DJ918" s="4" t="s">
        <v>241</v>
      </c>
      <c r="DK918" s="4" t="s">
        <v>241</v>
      </c>
      <c r="DL918" s="4" t="s">
        <v>241</v>
      </c>
      <c r="DP918" s="4" t="s">
        <v>241</v>
      </c>
      <c r="DQ918" s="4" t="s">
        <v>241</v>
      </c>
      <c r="DR918" s="4" t="s">
        <v>241</v>
      </c>
      <c r="DS918" s="4" t="s">
        <v>241</v>
      </c>
      <c r="DV918" s="4" t="s">
        <v>278</v>
      </c>
      <c r="DW918" s="4" t="s">
        <v>1545</v>
      </c>
      <c r="HO918" s="4" t="s">
        <v>267</v>
      </c>
    </row>
    <row r="919" spans="1:223" ht="19.5" customHeight="1" x14ac:dyDescent="0.4">
      <c r="A919" s="4">
        <v>1</v>
      </c>
      <c r="B919" s="4" t="s">
        <v>239</v>
      </c>
      <c r="C919" s="4">
        <v>2593</v>
      </c>
      <c r="D919" s="4">
        <v>1</v>
      </c>
      <c r="E919" s="4">
        <v>1</v>
      </c>
      <c r="F919" s="4" t="s">
        <v>268</v>
      </c>
      <c r="G919" s="4" t="s">
        <v>241</v>
      </c>
      <c r="H919" s="4" t="s">
        <v>241</v>
      </c>
      <c r="I919" s="4" t="s">
        <v>272</v>
      </c>
      <c r="J919" s="4" t="s">
        <v>274</v>
      </c>
      <c r="K919" s="4" t="s">
        <v>251</v>
      </c>
      <c r="L919" s="4" t="s">
        <v>269</v>
      </c>
      <c r="M919" s="5" t="s">
        <v>1542</v>
      </c>
      <c r="N919" s="6">
        <f>85</f>
        <v>85</v>
      </c>
      <c r="O919" s="4" t="s">
        <v>265</v>
      </c>
      <c r="P919" s="6">
        <f>1</f>
        <v>1</v>
      </c>
      <c r="Q919" s="6">
        <f>0</f>
        <v>0</v>
      </c>
      <c r="S919" s="6">
        <f>0</f>
        <v>0</v>
      </c>
      <c r="T919" s="6">
        <f>1</f>
        <v>1</v>
      </c>
      <c r="U919" s="5" t="s">
        <v>245</v>
      </c>
      <c r="V919" s="4" t="s">
        <v>270</v>
      </c>
      <c r="W919" s="4" t="s">
        <v>271</v>
      </c>
      <c r="X919" s="4" t="s">
        <v>273</v>
      </c>
      <c r="Y919" s="4" t="s">
        <v>241</v>
      </c>
      <c r="AB919" s="4" t="s">
        <v>241</v>
      </c>
      <c r="AD919" s="5" t="s">
        <v>241</v>
      </c>
      <c r="AG919" s="5" t="s">
        <v>246</v>
      </c>
      <c r="AH919" s="4" t="s">
        <v>241</v>
      </c>
      <c r="AI919" s="4" t="s">
        <v>247</v>
      </c>
      <c r="AJ919" s="4" t="s">
        <v>248</v>
      </c>
      <c r="AZ919" s="4" t="s">
        <v>249</v>
      </c>
      <c r="BA919" s="4" t="s">
        <v>241</v>
      </c>
      <c r="BB919" s="4" t="s">
        <v>250</v>
      </c>
      <c r="BC919" s="4" t="s">
        <v>241</v>
      </c>
      <c r="BD919" s="4" t="s">
        <v>252</v>
      </c>
      <c r="BE919" s="4" t="s">
        <v>241</v>
      </c>
      <c r="BI919" s="4" t="s">
        <v>253</v>
      </c>
      <c r="BJ919" s="5" t="s">
        <v>246</v>
      </c>
      <c r="BK919" s="4" t="s">
        <v>254</v>
      </c>
      <c r="BL919" s="4" t="s">
        <v>255</v>
      </c>
      <c r="BM919" s="4" t="s">
        <v>241</v>
      </c>
      <c r="BN919" s="6">
        <f>0</f>
        <v>0</v>
      </c>
      <c r="BO919" s="6">
        <f>0</f>
        <v>0</v>
      </c>
      <c r="BP919" s="4" t="s">
        <v>256</v>
      </c>
      <c r="BQ919" s="4" t="s">
        <v>257</v>
      </c>
      <c r="CE919" s="4" t="s">
        <v>241</v>
      </c>
      <c r="CF919" s="4" t="s">
        <v>241</v>
      </c>
      <c r="CJ919" s="4" t="s">
        <v>276</v>
      </c>
      <c r="CK919" s="4" t="s">
        <v>259</v>
      </c>
      <c r="CL919" s="4" t="s">
        <v>241</v>
      </c>
      <c r="CO919" s="5" t="s">
        <v>260</v>
      </c>
      <c r="CP919" s="4" t="s">
        <v>241</v>
      </c>
      <c r="CQ919" s="4" t="s">
        <v>261</v>
      </c>
      <c r="CR919" s="4" t="s">
        <v>241</v>
      </c>
      <c r="CS919" s="4" t="s">
        <v>241</v>
      </c>
      <c r="CT919" s="4">
        <v>0</v>
      </c>
      <c r="CU919" s="4" t="s">
        <v>262</v>
      </c>
      <c r="CV919" s="4" t="s">
        <v>263</v>
      </c>
      <c r="CW919" s="4" t="s">
        <v>263</v>
      </c>
      <c r="CX919" s="4" t="s">
        <v>264</v>
      </c>
      <c r="DA919" s="6">
        <f>1</f>
        <v>1</v>
      </c>
      <c r="DC919" s="4" t="s">
        <v>277</v>
      </c>
      <c r="DD919" s="4" t="s">
        <v>241</v>
      </c>
      <c r="DF919" s="4" t="s">
        <v>277</v>
      </c>
      <c r="DG919" s="6">
        <f>85</f>
        <v>85</v>
      </c>
      <c r="DI919" s="4" t="s">
        <v>241</v>
      </c>
      <c r="DJ919" s="4" t="s">
        <v>241</v>
      </c>
      <c r="DK919" s="4" t="s">
        <v>241</v>
      </c>
      <c r="DL919" s="4" t="s">
        <v>241</v>
      </c>
      <c r="DP919" s="4" t="s">
        <v>241</v>
      </c>
      <c r="DQ919" s="4" t="s">
        <v>241</v>
      </c>
      <c r="DR919" s="4" t="s">
        <v>241</v>
      </c>
      <c r="DS919" s="4" t="s">
        <v>241</v>
      </c>
      <c r="DV919" s="4" t="s">
        <v>278</v>
      </c>
      <c r="DW919" s="4" t="s">
        <v>1543</v>
      </c>
      <c r="HO919" s="4" t="s">
        <v>267</v>
      </c>
    </row>
    <row r="920" spans="1:223" ht="19.5" customHeight="1" x14ac:dyDescent="0.4">
      <c r="A920" s="4">
        <v>1</v>
      </c>
      <c r="B920" s="4" t="s">
        <v>239</v>
      </c>
      <c r="C920" s="4">
        <v>2594</v>
      </c>
      <c r="D920" s="4">
        <v>1</v>
      </c>
      <c r="E920" s="4">
        <v>1</v>
      </c>
      <c r="F920" s="4" t="s">
        <v>268</v>
      </c>
      <c r="G920" s="4" t="s">
        <v>241</v>
      </c>
      <c r="H920" s="4" t="s">
        <v>241</v>
      </c>
      <c r="I920" s="4" t="s">
        <v>272</v>
      </c>
      <c r="J920" s="4" t="s">
        <v>274</v>
      </c>
      <c r="K920" s="4" t="s">
        <v>251</v>
      </c>
      <c r="L920" s="4" t="s">
        <v>269</v>
      </c>
      <c r="M920" s="5" t="s">
        <v>1540</v>
      </c>
      <c r="N920" s="6">
        <f>21</f>
        <v>21</v>
      </c>
      <c r="O920" s="4" t="s">
        <v>265</v>
      </c>
      <c r="P920" s="6">
        <f>1</f>
        <v>1</v>
      </c>
      <c r="Q920" s="6">
        <f>0</f>
        <v>0</v>
      </c>
      <c r="S920" s="6">
        <f>0</f>
        <v>0</v>
      </c>
      <c r="T920" s="6">
        <f>1</f>
        <v>1</v>
      </c>
      <c r="U920" s="5" t="s">
        <v>245</v>
      </c>
      <c r="V920" s="4" t="s">
        <v>270</v>
      </c>
      <c r="W920" s="4" t="s">
        <v>271</v>
      </c>
      <c r="X920" s="4" t="s">
        <v>273</v>
      </c>
      <c r="Y920" s="4" t="s">
        <v>241</v>
      </c>
      <c r="AB920" s="4" t="s">
        <v>241</v>
      </c>
      <c r="AD920" s="5" t="s">
        <v>241</v>
      </c>
      <c r="AG920" s="5" t="s">
        <v>246</v>
      </c>
      <c r="AH920" s="4" t="s">
        <v>241</v>
      </c>
      <c r="AI920" s="4" t="s">
        <v>247</v>
      </c>
      <c r="AJ920" s="4" t="s">
        <v>248</v>
      </c>
      <c r="AZ920" s="4" t="s">
        <v>249</v>
      </c>
      <c r="BA920" s="4" t="s">
        <v>241</v>
      </c>
      <c r="BB920" s="4" t="s">
        <v>250</v>
      </c>
      <c r="BC920" s="4" t="s">
        <v>241</v>
      </c>
      <c r="BD920" s="4" t="s">
        <v>252</v>
      </c>
      <c r="BE920" s="4" t="s">
        <v>241</v>
      </c>
      <c r="BI920" s="4" t="s">
        <v>253</v>
      </c>
      <c r="BJ920" s="5" t="s">
        <v>246</v>
      </c>
      <c r="BK920" s="4" t="s">
        <v>254</v>
      </c>
      <c r="BL920" s="4" t="s">
        <v>255</v>
      </c>
      <c r="BM920" s="4" t="s">
        <v>241</v>
      </c>
      <c r="BN920" s="6">
        <f>0</f>
        <v>0</v>
      </c>
      <c r="BO920" s="6">
        <f>0</f>
        <v>0</v>
      </c>
      <c r="BP920" s="4" t="s">
        <v>256</v>
      </c>
      <c r="BQ920" s="4" t="s">
        <v>257</v>
      </c>
      <c r="CE920" s="4" t="s">
        <v>241</v>
      </c>
      <c r="CF920" s="4" t="s">
        <v>241</v>
      </c>
      <c r="CJ920" s="4" t="s">
        <v>276</v>
      </c>
      <c r="CK920" s="4" t="s">
        <v>259</v>
      </c>
      <c r="CL920" s="4" t="s">
        <v>241</v>
      </c>
      <c r="CO920" s="5" t="s">
        <v>260</v>
      </c>
      <c r="CP920" s="4" t="s">
        <v>241</v>
      </c>
      <c r="CQ920" s="4" t="s">
        <v>261</v>
      </c>
      <c r="CR920" s="4" t="s">
        <v>241</v>
      </c>
      <c r="CS920" s="4" t="s">
        <v>241</v>
      </c>
      <c r="CT920" s="4">
        <v>0</v>
      </c>
      <c r="CU920" s="4" t="s">
        <v>262</v>
      </c>
      <c r="CV920" s="4" t="s">
        <v>263</v>
      </c>
      <c r="CW920" s="4" t="s">
        <v>263</v>
      </c>
      <c r="CX920" s="4" t="s">
        <v>264</v>
      </c>
      <c r="DA920" s="6">
        <f>1</f>
        <v>1</v>
      </c>
      <c r="DC920" s="4" t="s">
        <v>277</v>
      </c>
      <c r="DD920" s="4" t="s">
        <v>241</v>
      </c>
      <c r="DF920" s="4" t="s">
        <v>277</v>
      </c>
      <c r="DG920" s="6">
        <f>21</f>
        <v>21</v>
      </c>
      <c r="DI920" s="4" t="s">
        <v>241</v>
      </c>
      <c r="DJ920" s="4" t="s">
        <v>241</v>
      </c>
      <c r="DK920" s="4" t="s">
        <v>241</v>
      </c>
      <c r="DL920" s="4" t="s">
        <v>241</v>
      </c>
      <c r="DP920" s="4" t="s">
        <v>241</v>
      </c>
      <c r="DQ920" s="4" t="s">
        <v>241</v>
      </c>
      <c r="DR920" s="4" t="s">
        <v>241</v>
      </c>
      <c r="DS920" s="4" t="s">
        <v>241</v>
      </c>
      <c r="DV920" s="4" t="s">
        <v>278</v>
      </c>
      <c r="DW920" s="4" t="s">
        <v>1541</v>
      </c>
      <c r="HO920" s="4" t="s">
        <v>267</v>
      </c>
    </row>
    <row r="921" spans="1:223" ht="19.5" customHeight="1" x14ac:dyDescent="0.4">
      <c r="A921" s="4">
        <v>1</v>
      </c>
      <c r="B921" s="4" t="s">
        <v>239</v>
      </c>
      <c r="C921" s="4">
        <v>2595</v>
      </c>
      <c r="D921" s="4">
        <v>1</v>
      </c>
      <c r="E921" s="4">
        <v>1</v>
      </c>
      <c r="F921" s="4" t="s">
        <v>268</v>
      </c>
      <c r="G921" s="4" t="s">
        <v>241</v>
      </c>
      <c r="H921" s="4" t="s">
        <v>241</v>
      </c>
      <c r="I921" s="4" t="s">
        <v>272</v>
      </c>
      <c r="J921" s="4" t="s">
        <v>274</v>
      </c>
      <c r="K921" s="4" t="s">
        <v>251</v>
      </c>
      <c r="L921" s="4" t="s">
        <v>269</v>
      </c>
      <c r="M921" s="5" t="s">
        <v>1538</v>
      </c>
      <c r="N921" s="6">
        <f>431</f>
        <v>431</v>
      </c>
      <c r="O921" s="4" t="s">
        <v>265</v>
      </c>
      <c r="P921" s="6">
        <f>1</f>
        <v>1</v>
      </c>
      <c r="Q921" s="6">
        <f>0</f>
        <v>0</v>
      </c>
      <c r="S921" s="6">
        <f>0</f>
        <v>0</v>
      </c>
      <c r="T921" s="6">
        <f>1</f>
        <v>1</v>
      </c>
      <c r="U921" s="5" t="s">
        <v>245</v>
      </c>
      <c r="V921" s="4" t="s">
        <v>270</v>
      </c>
      <c r="W921" s="4" t="s">
        <v>271</v>
      </c>
      <c r="X921" s="4" t="s">
        <v>273</v>
      </c>
      <c r="Y921" s="4" t="s">
        <v>241</v>
      </c>
      <c r="AB921" s="4" t="s">
        <v>241</v>
      </c>
      <c r="AD921" s="5" t="s">
        <v>241</v>
      </c>
      <c r="AG921" s="5" t="s">
        <v>246</v>
      </c>
      <c r="AH921" s="4" t="s">
        <v>241</v>
      </c>
      <c r="AI921" s="4" t="s">
        <v>247</v>
      </c>
      <c r="AJ921" s="4" t="s">
        <v>248</v>
      </c>
      <c r="AZ921" s="4" t="s">
        <v>249</v>
      </c>
      <c r="BA921" s="4" t="s">
        <v>241</v>
      </c>
      <c r="BB921" s="4" t="s">
        <v>250</v>
      </c>
      <c r="BC921" s="4" t="s">
        <v>241</v>
      </c>
      <c r="BD921" s="4" t="s">
        <v>252</v>
      </c>
      <c r="BE921" s="4" t="s">
        <v>241</v>
      </c>
      <c r="BI921" s="4" t="s">
        <v>253</v>
      </c>
      <c r="BJ921" s="5" t="s">
        <v>246</v>
      </c>
      <c r="BK921" s="4" t="s">
        <v>254</v>
      </c>
      <c r="BL921" s="4" t="s">
        <v>255</v>
      </c>
      <c r="BM921" s="4" t="s">
        <v>241</v>
      </c>
      <c r="BN921" s="6">
        <f>0</f>
        <v>0</v>
      </c>
      <c r="BO921" s="6">
        <f>0</f>
        <v>0</v>
      </c>
      <c r="BP921" s="4" t="s">
        <v>256</v>
      </c>
      <c r="BQ921" s="4" t="s">
        <v>257</v>
      </c>
      <c r="CE921" s="4" t="s">
        <v>241</v>
      </c>
      <c r="CF921" s="4" t="s">
        <v>241</v>
      </c>
      <c r="CJ921" s="4" t="s">
        <v>276</v>
      </c>
      <c r="CK921" s="4" t="s">
        <v>259</v>
      </c>
      <c r="CL921" s="4" t="s">
        <v>241</v>
      </c>
      <c r="CO921" s="5" t="s">
        <v>260</v>
      </c>
      <c r="CP921" s="4" t="s">
        <v>241</v>
      </c>
      <c r="CQ921" s="4" t="s">
        <v>261</v>
      </c>
      <c r="CR921" s="4" t="s">
        <v>241</v>
      </c>
      <c r="CS921" s="4" t="s">
        <v>241</v>
      </c>
      <c r="CT921" s="4">
        <v>0</v>
      </c>
      <c r="CU921" s="4" t="s">
        <v>262</v>
      </c>
      <c r="CV921" s="4" t="s">
        <v>263</v>
      </c>
      <c r="CW921" s="4" t="s">
        <v>263</v>
      </c>
      <c r="CX921" s="4" t="s">
        <v>264</v>
      </c>
      <c r="DA921" s="6">
        <f>1</f>
        <v>1</v>
      </c>
      <c r="DC921" s="4" t="s">
        <v>277</v>
      </c>
      <c r="DD921" s="4" t="s">
        <v>241</v>
      </c>
      <c r="DF921" s="4" t="s">
        <v>277</v>
      </c>
      <c r="DG921" s="6">
        <f>431</f>
        <v>431</v>
      </c>
      <c r="DI921" s="4" t="s">
        <v>241</v>
      </c>
      <c r="DJ921" s="4" t="s">
        <v>241</v>
      </c>
      <c r="DK921" s="4" t="s">
        <v>241</v>
      </c>
      <c r="DL921" s="4" t="s">
        <v>241</v>
      </c>
      <c r="DP921" s="4" t="s">
        <v>241</v>
      </c>
      <c r="DQ921" s="4" t="s">
        <v>241</v>
      </c>
      <c r="DR921" s="4" t="s">
        <v>241</v>
      </c>
      <c r="DS921" s="4" t="s">
        <v>241</v>
      </c>
      <c r="DV921" s="4" t="s">
        <v>278</v>
      </c>
      <c r="DW921" s="4" t="s">
        <v>1539</v>
      </c>
      <c r="HO921" s="4" t="s">
        <v>267</v>
      </c>
    </row>
    <row r="922" spans="1:223" ht="19.5" customHeight="1" x14ac:dyDescent="0.4">
      <c r="A922" s="4">
        <v>1</v>
      </c>
      <c r="B922" s="4" t="s">
        <v>239</v>
      </c>
      <c r="C922" s="4">
        <v>2596</v>
      </c>
      <c r="D922" s="4">
        <v>1</v>
      </c>
      <c r="E922" s="4">
        <v>1</v>
      </c>
      <c r="F922" s="4" t="s">
        <v>268</v>
      </c>
      <c r="G922" s="4" t="s">
        <v>241</v>
      </c>
      <c r="H922" s="4" t="s">
        <v>241</v>
      </c>
      <c r="I922" s="4" t="s">
        <v>272</v>
      </c>
      <c r="J922" s="4" t="s">
        <v>274</v>
      </c>
      <c r="K922" s="4" t="s">
        <v>251</v>
      </c>
      <c r="L922" s="4" t="s">
        <v>269</v>
      </c>
      <c r="M922" s="5" t="s">
        <v>1536</v>
      </c>
      <c r="N922" s="6">
        <f>2188</f>
        <v>2188</v>
      </c>
      <c r="O922" s="4" t="s">
        <v>265</v>
      </c>
      <c r="P922" s="6">
        <f>1</f>
        <v>1</v>
      </c>
      <c r="Q922" s="6">
        <f>0</f>
        <v>0</v>
      </c>
      <c r="S922" s="6">
        <f>0</f>
        <v>0</v>
      </c>
      <c r="T922" s="6">
        <f>1</f>
        <v>1</v>
      </c>
      <c r="U922" s="5" t="s">
        <v>245</v>
      </c>
      <c r="V922" s="4" t="s">
        <v>270</v>
      </c>
      <c r="W922" s="4" t="s">
        <v>271</v>
      </c>
      <c r="X922" s="4" t="s">
        <v>273</v>
      </c>
      <c r="Y922" s="4" t="s">
        <v>241</v>
      </c>
      <c r="AB922" s="4" t="s">
        <v>241</v>
      </c>
      <c r="AD922" s="5" t="s">
        <v>241</v>
      </c>
      <c r="AG922" s="5" t="s">
        <v>246</v>
      </c>
      <c r="AH922" s="4" t="s">
        <v>241</v>
      </c>
      <c r="AI922" s="4" t="s">
        <v>247</v>
      </c>
      <c r="AJ922" s="4" t="s">
        <v>248</v>
      </c>
      <c r="AZ922" s="4" t="s">
        <v>249</v>
      </c>
      <c r="BA922" s="4" t="s">
        <v>241</v>
      </c>
      <c r="BB922" s="4" t="s">
        <v>250</v>
      </c>
      <c r="BC922" s="4" t="s">
        <v>241</v>
      </c>
      <c r="BD922" s="4" t="s">
        <v>252</v>
      </c>
      <c r="BE922" s="4" t="s">
        <v>241</v>
      </c>
      <c r="BI922" s="4" t="s">
        <v>253</v>
      </c>
      <c r="BJ922" s="5" t="s">
        <v>246</v>
      </c>
      <c r="BK922" s="4" t="s">
        <v>254</v>
      </c>
      <c r="BL922" s="4" t="s">
        <v>255</v>
      </c>
      <c r="BM922" s="4" t="s">
        <v>241</v>
      </c>
      <c r="BN922" s="6">
        <f>0</f>
        <v>0</v>
      </c>
      <c r="BO922" s="6">
        <f>0</f>
        <v>0</v>
      </c>
      <c r="BP922" s="4" t="s">
        <v>256</v>
      </c>
      <c r="BQ922" s="4" t="s">
        <v>257</v>
      </c>
      <c r="CE922" s="4" t="s">
        <v>241</v>
      </c>
      <c r="CF922" s="4" t="s">
        <v>241</v>
      </c>
      <c r="CJ922" s="4" t="s">
        <v>276</v>
      </c>
      <c r="CK922" s="4" t="s">
        <v>259</v>
      </c>
      <c r="CL922" s="4" t="s">
        <v>241</v>
      </c>
      <c r="CO922" s="5" t="s">
        <v>260</v>
      </c>
      <c r="CP922" s="4" t="s">
        <v>241</v>
      </c>
      <c r="CQ922" s="4" t="s">
        <v>261</v>
      </c>
      <c r="CR922" s="4" t="s">
        <v>241</v>
      </c>
      <c r="CS922" s="4" t="s">
        <v>241</v>
      </c>
      <c r="CT922" s="4">
        <v>0</v>
      </c>
      <c r="CU922" s="4" t="s">
        <v>262</v>
      </c>
      <c r="CV922" s="4" t="s">
        <v>263</v>
      </c>
      <c r="CW922" s="4" t="s">
        <v>263</v>
      </c>
      <c r="CX922" s="4" t="s">
        <v>264</v>
      </c>
      <c r="DA922" s="6">
        <f>1</f>
        <v>1</v>
      </c>
      <c r="DC922" s="4" t="s">
        <v>277</v>
      </c>
      <c r="DD922" s="4" t="s">
        <v>241</v>
      </c>
      <c r="DF922" s="4" t="s">
        <v>277</v>
      </c>
      <c r="DG922" s="6">
        <f>2188</f>
        <v>2188</v>
      </c>
      <c r="DI922" s="4" t="s">
        <v>241</v>
      </c>
      <c r="DJ922" s="4" t="s">
        <v>241</v>
      </c>
      <c r="DK922" s="4" t="s">
        <v>241</v>
      </c>
      <c r="DL922" s="4" t="s">
        <v>241</v>
      </c>
      <c r="DP922" s="4" t="s">
        <v>241</v>
      </c>
      <c r="DQ922" s="4" t="s">
        <v>241</v>
      </c>
      <c r="DR922" s="4" t="s">
        <v>241</v>
      </c>
      <c r="DS922" s="4" t="s">
        <v>241</v>
      </c>
      <c r="DV922" s="4" t="s">
        <v>278</v>
      </c>
      <c r="DW922" s="4" t="s">
        <v>1537</v>
      </c>
      <c r="HO922" s="4" t="s">
        <v>267</v>
      </c>
    </row>
    <row r="923" spans="1:223" ht="19.5" customHeight="1" x14ac:dyDescent="0.4">
      <c r="A923" s="4">
        <v>1</v>
      </c>
      <c r="B923" s="4" t="s">
        <v>239</v>
      </c>
      <c r="C923" s="4">
        <v>2597</v>
      </c>
      <c r="D923" s="4">
        <v>1</v>
      </c>
      <c r="E923" s="4">
        <v>1</v>
      </c>
      <c r="F923" s="4" t="s">
        <v>268</v>
      </c>
      <c r="G923" s="4" t="s">
        <v>241</v>
      </c>
      <c r="H923" s="4" t="s">
        <v>241</v>
      </c>
      <c r="I923" s="4" t="s">
        <v>272</v>
      </c>
      <c r="J923" s="4" t="s">
        <v>274</v>
      </c>
      <c r="K923" s="4" t="s">
        <v>251</v>
      </c>
      <c r="L923" s="4" t="s">
        <v>269</v>
      </c>
      <c r="M923" s="5" t="s">
        <v>1534</v>
      </c>
      <c r="N923" s="6">
        <f>5282</f>
        <v>5282</v>
      </c>
      <c r="O923" s="4" t="s">
        <v>265</v>
      </c>
      <c r="P923" s="6">
        <f>1</f>
        <v>1</v>
      </c>
      <c r="Q923" s="6">
        <f>0</f>
        <v>0</v>
      </c>
      <c r="S923" s="6">
        <f>0</f>
        <v>0</v>
      </c>
      <c r="T923" s="6">
        <f>1</f>
        <v>1</v>
      </c>
      <c r="U923" s="5" t="s">
        <v>245</v>
      </c>
      <c r="V923" s="4" t="s">
        <v>270</v>
      </c>
      <c r="W923" s="4" t="s">
        <v>271</v>
      </c>
      <c r="X923" s="4" t="s">
        <v>273</v>
      </c>
      <c r="Y923" s="4" t="s">
        <v>241</v>
      </c>
      <c r="AB923" s="4" t="s">
        <v>241</v>
      </c>
      <c r="AD923" s="5" t="s">
        <v>241</v>
      </c>
      <c r="AG923" s="5" t="s">
        <v>246</v>
      </c>
      <c r="AH923" s="4" t="s">
        <v>241</v>
      </c>
      <c r="AI923" s="4" t="s">
        <v>247</v>
      </c>
      <c r="AJ923" s="4" t="s">
        <v>248</v>
      </c>
      <c r="AZ923" s="4" t="s">
        <v>249</v>
      </c>
      <c r="BA923" s="4" t="s">
        <v>241</v>
      </c>
      <c r="BB923" s="4" t="s">
        <v>250</v>
      </c>
      <c r="BC923" s="4" t="s">
        <v>241</v>
      </c>
      <c r="BD923" s="4" t="s">
        <v>252</v>
      </c>
      <c r="BE923" s="4" t="s">
        <v>241</v>
      </c>
      <c r="BI923" s="4" t="s">
        <v>253</v>
      </c>
      <c r="BJ923" s="5" t="s">
        <v>246</v>
      </c>
      <c r="BK923" s="4" t="s">
        <v>254</v>
      </c>
      <c r="BL923" s="4" t="s">
        <v>255</v>
      </c>
      <c r="BM923" s="4" t="s">
        <v>241</v>
      </c>
      <c r="BN923" s="6">
        <f>0</f>
        <v>0</v>
      </c>
      <c r="BO923" s="6">
        <f>0</f>
        <v>0</v>
      </c>
      <c r="BP923" s="4" t="s">
        <v>256</v>
      </c>
      <c r="BQ923" s="4" t="s">
        <v>257</v>
      </c>
      <c r="CE923" s="4" t="s">
        <v>241</v>
      </c>
      <c r="CF923" s="4" t="s">
        <v>241</v>
      </c>
      <c r="CJ923" s="4" t="s">
        <v>276</v>
      </c>
      <c r="CK923" s="4" t="s">
        <v>259</v>
      </c>
      <c r="CL923" s="4" t="s">
        <v>241</v>
      </c>
      <c r="CO923" s="5" t="s">
        <v>260</v>
      </c>
      <c r="CP923" s="4" t="s">
        <v>241</v>
      </c>
      <c r="CQ923" s="4" t="s">
        <v>261</v>
      </c>
      <c r="CR923" s="4" t="s">
        <v>241</v>
      </c>
      <c r="CS923" s="4" t="s">
        <v>241</v>
      </c>
      <c r="CT923" s="4">
        <v>0</v>
      </c>
      <c r="CU923" s="4" t="s">
        <v>262</v>
      </c>
      <c r="CV923" s="4" t="s">
        <v>263</v>
      </c>
      <c r="CW923" s="4" t="s">
        <v>263</v>
      </c>
      <c r="CX923" s="4" t="s">
        <v>264</v>
      </c>
      <c r="DA923" s="6">
        <f>1</f>
        <v>1</v>
      </c>
      <c r="DC923" s="4" t="s">
        <v>277</v>
      </c>
      <c r="DD923" s="4" t="s">
        <v>241</v>
      </c>
      <c r="DF923" s="4" t="s">
        <v>277</v>
      </c>
      <c r="DG923" s="6">
        <f>5282</f>
        <v>5282</v>
      </c>
      <c r="DI923" s="4" t="s">
        <v>241</v>
      </c>
      <c r="DJ923" s="4" t="s">
        <v>241</v>
      </c>
      <c r="DK923" s="4" t="s">
        <v>241</v>
      </c>
      <c r="DL923" s="4" t="s">
        <v>241</v>
      </c>
      <c r="DP923" s="4" t="s">
        <v>241</v>
      </c>
      <c r="DQ923" s="4" t="s">
        <v>241</v>
      </c>
      <c r="DR923" s="4" t="s">
        <v>241</v>
      </c>
      <c r="DS923" s="4" t="s">
        <v>241</v>
      </c>
      <c r="DV923" s="4" t="s">
        <v>278</v>
      </c>
      <c r="DW923" s="4" t="s">
        <v>1535</v>
      </c>
      <c r="HO923" s="4" t="s">
        <v>267</v>
      </c>
    </row>
    <row r="924" spans="1:223" ht="19.5" customHeight="1" x14ac:dyDescent="0.4">
      <c r="A924" s="4">
        <v>1</v>
      </c>
      <c r="B924" s="4" t="s">
        <v>239</v>
      </c>
      <c r="C924" s="4">
        <v>2598</v>
      </c>
      <c r="D924" s="4">
        <v>1</v>
      </c>
      <c r="E924" s="4">
        <v>1</v>
      </c>
      <c r="F924" s="4" t="s">
        <v>268</v>
      </c>
      <c r="G924" s="4" t="s">
        <v>241</v>
      </c>
      <c r="H924" s="4" t="s">
        <v>241</v>
      </c>
      <c r="I924" s="4" t="s">
        <v>272</v>
      </c>
      <c r="J924" s="4" t="s">
        <v>274</v>
      </c>
      <c r="K924" s="4" t="s">
        <v>251</v>
      </c>
      <c r="L924" s="4" t="s">
        <v>269</v>
      </c>
      <c r="M924" s="5" t="s">
        <v>1532</v>
      </c>
      <c r="N924" s="6">
        <f>1127</f>
        <v>1127</v>
      </c>
      <c r="O924" s="4" t="s">
        <v>265</v>
      </c>
      <c r="P924" s="6">
        <f>1</f>
        <v>1</v>
      </c>
      <c r="Q924" s="6">
        <f>0</f>
        <v>0</v>
      </c>
      <c r="S924" s="6">
        <f>0</f>
        <v>0</v>
      </c>
      <c r="T924" s="6">
        <f>1</f>
        <v>1</v>
      </c>
      <c r="U924" s="5" t="s">
        <v>245</v>
      </c>
      <c r="V924" s="4" t="s">
        <v>270</v>
      </c>
      <c r="W924" s="4" t="s">
        <v>271</v>
      </c>
      <c r="X924" s="4" t="s">
        <v>273</v>
      </c>
      <c r="Y924" s="4" t="s">
        <v>241</v>
      </c>
      <c r="AB924" s="4" t="s">
        <v>241</v>
      </c>
      <c r="AD924" s="5" t="s">
        <v>241</v>
      </c>
      <c r="AG924" s="5" t="s">
        <v>246</v>
      </c>
      <c r="AH924" s="4" t="s">
        <v>241</v>
      </c>
      <c r="AI924" s="4" t="s">
        <v>247</v>
      </c>
      <c r="AJ924" s="4" t="s">
        <v>248</v>
      </c>
      <c r="AZ924" s="4" t="s">
        <v>249</v>
      </c>
      <c r="BA924" s="4" t="s">
        <v>241</v>
      </c>
      <c r="BB924" s="4" t="s">
        <v>250</v>
      </c>
      <c r="BC924" s="4" t="s">
        <v>241</v>
      </c>
      <c r="BD924" s="4" t="s">
        <v>252</v>
      </c>
      <c r="BE924" s="4" t="s">
        <v>241</v>
      </c>
      <c r="BI924" s="4" t="s">
        <v>253</v>
      </c>
      <c r="BJ924" s="5" t="s">
        <v>246</v>
      </c>
      <c r="BK924" s="4" t="s">
        <v>254</v>
      </c>
      <c r="BL924" s="4" t="s">
        <v>255</v>
      </c>
      <c r="BM924" s="4" t="s">
        <v>241</v>
      </c>
      <c r="BN924" s="6">
        <f>0</f>
        <v>0</v>
      </c>
      <c r="BO924" s="6">
        <f>0</f>
        <v>0</v>
      </c>
      <c r="BP924" s="4" t="s">
        <v>256</v>
      </c>
      <c r="BQ924" s="4" t="s">
        <v>257</v>
      </c>
      <c r="CE924" s="4" t="s">
        <v>241</v>
      </c>
      <c r="CF924" s="4" t="s">
        <v>241</v>
      </c>
      <c r="CJ924" s="4" t="s">
        <v>276</v>
      </c>
      <c r="CK924" s="4" t="s">
        <v>259</v>
      </c>
      <c r="CL924" s="4" t="s">
        <v>241</v>
      </c>
      <c r="CO924" s="5" t="s">
        <v>260</v>
      </c>
      <c r="CP924" s="4" t="s">
        <v>241</v>
      </c>
      <c r="CQ924" s="4" t="s">
        <v>261</v>
      </c>
      <c r="CR924" s="4" t="s">
        <v>241</v>
      </c>
      <c r="CS924" s="4" t="s">
        <v>241</v>
      </c>
      <c r="CT924" s="4">
        <v>0</v>
      </c>
      <c r="CU924" s="4" t="s">
        <v>262</v>
      </c>
      <c r="CV924" s="4" t="s">
        <v>263</v>
      </c>
      <c r="CW924" s="4" t="s">
        <v>263</v>
      </c>
      <c r="CX924" s="4" t="s">
        <v>264</v>
      </c>
      <c r="DA924" s="6">
        <f>1</f>
        <v>1</v>
      </c>
      <c r="DC924" s="4" t="s">
        <v>277</v>
      </c>
      <c r="DD924" s="4" t="s">
        <v>241</v>
      </c>
      <c r="DF924" s="4" t="s">
        <v>277</v>
      </c>
      <c r="DG924" s="6">
        <f>1127</f>
        <v>1127</v>
      </c>
      <c r="DI924" s="4" t="s">
        <v>241</v>
      </c>
      <c r="DJ924" s="4" t="s">
        <v>241</v>
      </c>
      <c r="DK924" s="4" t="s">
        <v>241</v>
      </c>
      <c r="DL924" s="4" t="s">
        <v>241</v>
      </c>
      <c r="DP924" s="4" t="s">
        <v>241</v>
      </c>
      <c r="DQ924" s="4" t="s">
        <v>241</v>
      </c>
      <c r="DR924" s="4" t="s">
        <v>241</v>
      </c>
      <c r="DS924" s="4" t="s">
        <v>241</v>
      </c>
      <c r="DV924" s="4" t="s">
        <v>278</v>
      </c>
      <c r="DW924" s="4" t="s">
        <v>1533</v>
      </c>
      <c r="HO924" s="4" t="s">
        <v>267</v>
      </c>
    </row>
    <row r="925" spans="1:223" ht="19.5" customHeight="1" x14ac:dyDescent="0.4">
      <c r="A925" s="4">
        <v>1</v>
      </c>
      <c r="B925" s="4" t="s">
        <v>239</v>
      </c>
      <c r="C925" s="4">
        <v>2599</v>
      </c>
      <c r="D925" s="4">
        <v>1</v>
      </c>
      <c r="E925" s="4">
        <v>1</v>
      </c>
      <c r="F925" s="4" t="s">
        <v>268</v>
      </c>
      <c r="G925" s="4" t="s">
        <v>241</v>
      </c>
      <c r="H925" s="4" t="s">
        <v>241</v>
      </c>
      <c r="I925" s="4" t="s">
        <v>272</v>
      </c>
      <c r="J925" s="4" t="s">
        <v>274</v>
      </c>
      <c r="K925" s="4" t="s">
        <v>251</v>
      </c>
      <c r="L925" s="4" t="s">
        <v>269</v>
      </c>
      <c r="M925" s="5" t="s">
        <v>1530</v>
      </c>
      <c r="N925" s="6">
        <f>1526</f>
        <v>1526</v>
      </c>
      <c r="O925" s="4" t="s">
        <v>265</v>
      </c>
      <c r="P925" s="6">
        <f>1</f>
        <v>1</v>
      </c>
      <c r="Q925" s="6">
        <f>0</f>
        <v>0</v>
      </c>
      <c r="S925" s="6">
        <f>0</f>
        <v>0</v>
      </c>
      <c r="T925" s="6">
        <f>1</f>
        <v>1</v>
      </c>
      <c r="U925" s="5" t="s">
        <v>245</v>
      </c>
      <c r="V925" s="4" t="s">
        <v>270</v>
      </c>
      <c r="W925" s="4" t="s">
        <v>271</v>
      </c>
      <c r="X925" s="4" t="s">
        <v>273</v>
      </c>
      <c r="Y925" s="4" t="s">
        <v>241</v>
      </c>
      <c r="AB925" s="4" t="s">
        <v>241</v>
      </c>
      <c r="AD925" s="5" t="s">
        <v>241</v>
      </c>
      <c r="AG925" s="5" t="s">
        <v>246</v>
      </c>
      <c r="AH925" s="4" t="s">
        <v>241</v>
      </c>
      <c r="AI925" s="4" t="s">
        <v>247</v>
      </c>
      <c r="AJ925" s="4" t="s">
        <v>248</v>
      </c>
      <c r="AZ925" s="4" t="s">
        <v>249</v>
      </c>
      <c r="BA925" s="4" t="s">
        <v>241</v>
      </c>
      <c r="BB925" s="4" t="s">
        <v>250</v>
      </c>
      <c r="BC925" s="4" t="s">
        <v>241</v>
      </c>
      <c r="BD925" s="4" t="s">
        <v>252</v>
      </c>
      <c r="BE925" s="4" t="s">
        <v>241</v>
      </c>
      <c r="BI925" s="4" t="s">
        <v>253</v>
      </c>
      <c r="BJ925" s="5" t="s">
        <v>246</v>
      </c>
      <c r="BK925" s="4" t="s">
        <v>254</v>
      </c>
      <c r="BL925" s="4" t="s">
        <v>255</v>
      </c>
      <c r="BM925" s="4" t="s">
        <v>241</v>
      </c>
      <c r="BN925" s="6">
        <f>0</f>
        <v>0</v>
      </c>
      <c r="BO925" s="6">
        <f>0</f>
        <v>0</v>
      </c>
      <c r="BP925" s="4" t="s">
        <v>256</v>
      </c>
      <c r="BQ925" s="4" t="s">
        <v>257</v>
      </c>
      <c r="CE925" s="4" t="s">
        <v>241</v>
      </c>
      <c r="CF925" s="4" t="s">
        <v>241</v>
      </c>
      <c r="CJ925" s="4" t="s">
        <v>276</v>
      </c>
      <c r="CK925" s="4" t="s">
        <v>259</v>
      </c>
      <c r="CL925" s="4" t="s">
        <v>241</v>
      </c>
      <c r="CO925" s="5" t="s">
        <v>260</v>
      </c>
      <c r="CP925" s="4" t="s">
        <v>241</v>
      </c>
      <c r="CQ925" s="4" t="s">
        <v>261</v>
      </c>
      <c r="CR925" s="4" t="s">
        <v>241</v>
      </c>
      <c r="CS925" s="4" t="s">
        <v>241</v>
      </c>
      <c r="CT925" s="4">
        <v>0</v>
      </c>
      <c r="CU925" s="4" t="s">
        <v>262</v>
      </c>
      <c r="CV925" s="4" t="s">
        <v>263</v>
      </c>
      <c r="CW925" s="4" t="s">
        <v>263</v>
      </c>
      <c r="CX925" s="4" t="s">
        <v>264</v>
      </c>
      <c r="DA925" s="6">
        <f>1</f>
        <v>1</v>
      </c>
      <c r="DC925" s="4" t="s">
        <v>277</v>
      </c>
      <c r="DD925" s="4" t="s">
        <v>241</v>
      </c>
      <c r="DF925" s="4" t="s">
        <v>277</v>
      </c>
      <c r="DG925" s="6">
        <f>1526</f>
        <v>1526</v>
      </c>
      <c r="DI925" s="4" t="s">
        <v>241</v>
      </c>
      <c r="DJ925" s="4" t="s">
        <v>241</v>
      </c>
      <c r="DK925" s="4" t="s">
        <v>241</v>
      </c>
      <c r="DL925" s="4" t="s">
        <v>241</v>
      </c>
      <c r="DP925" s="4" t="s">
        <v>241</v>
      </c>
      <c r="DQ925" s="4" t="s">
        <v>241</v>
      </c>
      <c r="DR925" s="4" t="s">
        <v>241</v>
      </c>
      <c r="DS925" s="4" t="s">
        <v>241</v>
      </c>
      <c r="DV925" s="4" t="s">
        <v>278</v>
      </c>
      <c r="DW925" s="4" t="s">
        <v>1531</v>
      </c>
      <c r="HO925" s="4" t="s">
        <v>267</v>
      </c>
    </row>
    <row r="926" spans="1:223" ht="19.5" customHeight="1" x14ac:dyDescent="0.4">
      <c r="A926" s="4">
        <v>1</v>
      </c>
      <c r="B926" s="4" t="s">
        <v>239</v>
      </c>
      <c r="C926" s="4">
        <v>2600</v>
      </c>
      <c r="D926" s="4">
        <v>1</v>
      </c>
      <c r="E926" s="4">
        <v>1</v>
      </c>
      <c r="F926" s="4" t="s">
        <v>268</v>
      </c>
      <c r="G926" s="4" t="s">
        <v>241</v>
      </c>
      <c r="H926" s="4" t="s">
        <v>241</v>
      </c>
      <c r="I926" s="4" t="s">
        <v>272</v>
      </c>
      <c r="J926" s="4" t="s">
        <v>274</v>
      </c>
      <c r="K926" s="4" t="s">
        <v>251</v>
      </c>
      <c r="L926" s="4" t="s">
        <v>269</v>
      </c>
      <c r="M926" s="5" t="s">
        <v>1528</v>
      </c>
      <c r="N926" s="6">
        <f>40</f>
        <v>40</v>
      </c>
      <c r="O926" s="4" t="s">
        <v>265</v>
      </c>
      <c r="P926" s="6">
        <f>1</f>
        <v>1</v>
      </c>
      <c r="Q926" s="6">
        <f>0</f>
        <v>0</v>
      </c>
      <c r="S926" s="6">
        <f>0</f>
        <v>0</v>
      </c>
      <c r="T926" s="6">
        <f>1</f>
        <v>1</v>
      </c>
      <c r="U926" s="5" t="s">
        <v>245</v>
      </c>
      <c r="V926" s="4" t="s">
        <v>270</v>
      </c>
      <c r="W926" s="4" t="s">
        <v>271</v>
      </c>
      <c r="X926" s="4" t="s">
        <v>273</v>
      </c>
      <c r="Y926" s="4" t="s">
        <v>241</v>
      </c>
      <c r="AB926" s="4" t="s">
        <v>241</v>
      </c>
      <c r="AD926" s="5" t="s">
        <v>241</v>
      </c>
      <c r="AG926" s="5" t="s">
        <v>246</v>
      </c>
      <c r="AH926" s="4" t="s">
        <v>241</v>
      </c>
      <c r="AI926" s="4" t="s">
        <v>247</v>
      </c>
      <c r="AJ926" s="4" t="s">
        <v>248</v>
      </c>
      <c r="AZ926" s="4" t="s">
        <v>249</v>
      </c>
      <c r="BA926" s="4" t="s">
        <v>241</v>
      </c>
      <c r="BB926" s="4" t="s">
        <v>250</v>
      </c>
      <c r="BC926" s="4" t="s">
        <v>241</v>
      </c>
      <c r="BD926" s="4" t="s">
        <v>252</v>
      </c>
      <c r="BE926" s="4" t="s">
        <v>241</v>
      </c>
      <c r="BI926" s="4" t="s">
        <v>253</v>
      </c>
      <c r="BJ926" s="5" t="s">
        <v>246</v>
      </c>
      <c r="BK926" s="4" t="s">
        <v>254</v>
      </c>
      <c r="BL926" s="4" t="s">
        <v>255</v>
      </c>
      <c r="BM926" s="4" t="s">
        <v>241</v>
      </c>
      <c r="BN926" s="6">
        <f>0</f>
        <v>0</v>
      </c>
      <c r="BO926" s="6">
        <f>0</f>
        <v>0</v>
      </c>
      <c r="BP926" s="4" t="s">
        <v>256</v>
      </c>
      <c r="BQ926" s="4" t="s">
        <v>257</v>
      </c>
      <c r="CE926" s="4" t="s">
        <v>241</v>
      </c>
      <c r="CF926" s="4" t="s">
        <v>241</v>
      </c>
      <c r="CJ926" s="4" t="s">
        <v>276</v>
      </c>
      <c r="CK926" s="4" t="s">
        <v>259</v>
      </c>
      <c r="CL926" s="4" t="s">
        <v>241</v>
      </c>
      <c r="CO926" s="5" t="s">
        <v>260</v>
      </c>
      <c r="CP926" s="4" t="s">
        <v>241</v>
      </c>
      <c r="CQ926" s="4" t="s">
        <v>261</v>
      </c>
      <c r="CR926" s="4" t="s">
        <v>241</v>
      </c>
      <c r="CS926" s="4" t="s">
        <v>241</v>
      </c>
      <c r="CT926" s="4">
        <v>0</v>
      </c>
      <c r="CU926" s="4" t="s">
        <v>262</v>
      </c>
      <c r="CV926" s="4" t="s">
        <v>263</v>
      </c>
      <c r="CW926" s="4" t="s">
        <v>263</v>
      </c>
      <c r="CX926" s="4" t="s">
        <v>264</v>
      </c>
      <c r="DA926" s="6">
        <f>1</f>
        <v>1</v>
      </c>
      <c r="DC926" s="4" t="s">
        <v>277</v>
      </c>
      <c r="DD926" s="4" t="s">
        <v>241</v>
      </c>
      <c r="DF926" s="4" t="s">
        <v>277</v>
      </c>
      <c r="DG926" s="6">
        <f>40</f>
        <v>40</v>
      </c>
      <c r="DI926" s="4" t="s">
        <v>241</v>
      </c>
      <c r="DJ926" s="4" t="s">
        <v>241</v>
      </c>
      <c r="DK926" s="4" t="s">
        <v>241</v>
      </c>
      <c r="DL926" s="4" t="s">
        <v>241</v>
      </c>
      <c r="DP926" s="4" t="s">
        <v>241</v>
      </c>
      <c r="DQ926" s="4" t="s">
        <v>241</v>
      </c>
      <c r="DR926" s="4" t="s">
        <v>241</v>
      </c>
      <c r="DS926" s="4" t="s">
        <v>241</v>
      </c>
      <c r="DV926" s="4" t="s">
        <v>278</v>
      </c>
      <c r="DW926" s="4" t="s">
        <v>1529</v>
      </c>
      <c r="HO926" s="4" t="s">
        <v>267</v>
      </c>
    </row>
    <row r="927" spans="1:223" ht="19.5" customHeight="1" x14ac:dyDescent="0.4">
      <c r="A927" s="4">
        <v>1</v>
      </c>
      <c r="B927" s="4" t="s">
        <v>239</v>
      </c>
      <c r="C927" s="4">
        <v>2601</v>
      </c>
      <c r="D927" s="4">
        <v>1</v>
      </c>
      <c r="E927" s="4">
        <v>1</v>
      </c>
      <c r="F927" s="4" t="s">
        <v>268</v>
      </c>
      <c r="G927" s="4" t="s">
        <v>241</v>
      </c>
      <c r="H927" s="4" t="s">
        <v>241</v>
      </c>
      <c r="I927" s="4" t="s">
        <v>272</v>
      </c>
      <c r="J927" s="4" t="s">
        <v>274</v>
      </c>
      <c r="K927" s="4" t="s">
        <v>251</v>
      </c>
      <c r="L927" s="4" t="s">
        <v>269</v>
      </c>
      <c r="M927" s="5" t="s">
        <v>1526</v>
      </c>
      <c r="N927" s="6">
        <f>161</f>
        <v>161</v>
      </c>
      <c r="O927" s="4" t="s">
        <v>265</v>
      </c>
      <c r="P927" s="6">
        <f>1</f>
        <v>1</v>
      </c>
      <c r="Q927" s="6">
        <f>0</f>
        <v>0</v>
      </c>
      <c r="S927" s="6">
        <f>0</f>
        <v>0</v>
      </c>
      <c r="T927" s="6">
        <f>1</f>
        <v>1</v>
      </c>
      <c r="U927" s="5" t="s">
        <v>245</v>
      </c>
      <c r="V927" s="4" t="s">
        <v>270</v>
      </c>
      <c r="W927" s="4" t="s">
        <v>271</v>
      </c>
      <c r="X927" s="4" t="s">
        <v>273</v>
      </c>
      <c r="Y927" s="4" t="s">
        <v>241</v>
      </c>
      <c r="AB927" s="4" t="s">
        <v>241</v>
      </c>
      <c r="AD927" s="5" t="s">
        <v>241</v>
      </c>
      <c r="AG927" s="5" t="s">
        <v>246</v>
      </c>
      <c r="AH927" s="4" t="s">
        <v>241</v>
      </c>
      <c r="AI927" s="4" t="s">
        <v>247</v>
      </c>
      <c r="AJ927" s="4" t="s">
        <v>248</v>
      </c>
      <c r="AZ927" s="4" t="s">
        <v>249</v>
      </c>
      <c r="BA927" s="4" t="s">
        <v>241</v>
      </c>
      <c r="BB927" s="4" t="s">
        <v>250</v>
      </c>
      <c r="BC927" s="4" t="s">
        <v>241</v>
      </c>
      <c r="BD927" s="4" t="s">
        <v>252</v>
      </c>
      <c r="BE927" s="4" t="s">
        <v>241</v>
      </c>
      <c r="BI927" s="4" t="s">
        <v>253</v>
      </c>
      <c r="BJ927" s="5" t="s">
        <v>246</v>
      </c>
      <c r="BK927" s="4" t="s">
        <v>254</v>
      </c>
      <c r="BL927" s="4" t="s">
        <v>255</v>
      </c>
      <c r="BM927" s="4" t="s">
        <v>241</v>
      </c>
      <c r="BN927" s="6">
        <f>0</f>
        <v>0</v>
      </c>
      <c r="BO927" s="6">
        <f>0</f>
        <v>0</v>
      </c>
      <c r="BP927" s="4" t="s">
        <v>256</v>
      </c>
      <c r="BQ927" s="4" t="s">
        <v>257</v>
      </c>
      <c r="CE927" s="4" t="s">
        <v>241</v>
      </c>
      <c r="CF927" s="4" t="s">
        <v>241</v>
      </c>
      <c r="CJ927" s="4" t="s">
        <v>276</v>
      </c>
      <c r="CK927" s="4" t="s">
        <v>259</v>
      </c>
      <c r="CL927" s="4" t="s">
        <v>241</v>
      </c>
      <c r="CO927" s="5" t="s">
        <v>260</v>
      </c>
      <c r="CP927" s="4" t="s">
        <v>241</v>
      </c>
      <c r="CQ927" s="4" t="s">
        <v>261</v>
      </c>
      <c r="CR927" s="4" t="s">
        <v>241</v>
      </c>
      <c r="CS927" s="4" t="s">
        <v>241</v>
      </c>
      <c r="CT927" s="4">
        <v>0</v>
      </c>
      <c r="CU927" s="4" t="s">
        <v>262</v>
      </c>
      <c r="CV927" s="4" t="s">
        <v>263</v>
      </c>
      <c r="CW927" s="4" t="s">
        <v>263</v>
      </c>
      <c r="CX927" s="4" t="s">
        <v>264</v>
      </c>
      <c r="DA927" s="6">
        <f>1</f>
        <v>1</v>
      </c>
      <c r="DC927" s="4" t="s">
        <v>277</v>
      </c>
      <c r="DD927" s="4" t="s">
        <v>241</v>
      </c>
      <c r="DF927" s="4" t="s">
        <v>277</v>
      </c>
      <c r="DG927" s="6">
        <f>161</f>
        <v>161</v>
      </c>
      <c r="DI927" s="4" t="s">
        <v>241</v>
      </c>
      <c r="DJ927" s="4" t="s">
        <v>241</v>
      </c>
      <c r="DK927" s="4" t="s">
        <v>241</v>
      </c>
      <c r="DL927" s="4" t="s">
        <v>241</v>
      </c>
      <c r="DP927" s="4" t="s">
        <v>241</v>
      </c>
      <c r="DQ927" s="4" t="s">
        <v>241</v>
      </c>
      <c r="DR927" s="4" t="s">
        <v>241</v>
      </c>
      <c r="DS927" s="4" t="s">
        <v>241</v>
      </c>
      <c r="DV927" s="4" t="s">
        <v>278</v>
      </c>
      <c r="DW927" s="4" t="s">
        <v>1527</v>
      </c>
      <c r="HO927" s="4" t="s">
        <v>267</v>
      </c>
    </row>
    <row r="928" spans="1:223" ht="19.5" customHeight="1" x14ac:dyDescent="0.4">
      <c r="A928" s="4">
        <v>1</v>
      </c>
      <c r="B928" s="4" t="s">
        <v>239</v>
      </c>
      <c r="C928" s="4">
        <v>2602</v>
      </c>
      <c r="D928" s="4">
        <v>1</v>
      </c>
      <c r="E928" s="4">
        <v>1</v>
      </c>
      <c r="F928" s="4" t="s">
        <v>268</v>
      </c>
      <c r="G928" s="4" t="s">
        <v>241</v>
      </c>
      <c r="H928" s="4" t="s">
        <v>241</v>
      </c>
      <c r="I928" s="4" t="s">
        <v>272</v>
      </c>
      <c r="J928" s="4" t="s">
        <v>274</v>
      </c>
      <c r="K928" s="4" t="s">
        <v>251</v>
      </c>
      <c r="L928" s="4" t="s">
        <v>269</v>
      </c>
      <c r="M928" s="5" t="s">
        <v>1522</v>
      </c>
      <c r="N928" s="6">
        <f>4600</f>
        <v>4600</v>
      </c>
      <c r="O928" s="4" t="s">
        <v>265</v>
      </c>
      <c r="P928" s="6">
        <f>1</f>
        <v>1</v>
      </c>
      <c r="Q928" s="6">
        <f>0</f>
        <v>0</v>
      </c>
      <c r="S928" s="6">
        <f>0</f>
        <v>0</v>
      </c>
      <c r="T928" s="6">
        <f>1</f>
        <v>1</v>
      </c>
      <c r="U928" s="5" t="s">
        <v>245</v>
      </c>
      <c r="V928" s="4" t="s">
        <v>270</v>
      </c>
      <c r="W928" s="4" t="s">
        <v>271</v>
      </c>
      <c r="X928" s="4" t="s">
        <v>273</v>
      </c>
      <c r="Y928" s="4" t="s">
        <v>241</v>
      </c>
      <c r="AB928" s="4" t="s">
        <v>241</v>
      </c>
      <c r="AD928" s="5" t="s">
        <v>241</v>
      </c>
      <c r="AG928" s="5" t="s">
        <v>246</v>
      </c>
      <c r="AH928" s="4" t="s">
        <v>241</v>
      </c>
      <c r="AI928" s="4" t="s">
        <v>247</v>
      </c>
      <c r="AJ928" s="4" t="s">
        <v>248</v>
      </c>
      <c r="AZ928" s="4" t="s">
        <v>249</v>
      </c>
      <c r="BA928" s="4" t="s">
        <v>241</v>
      </c>
      <c r="BB928" s="4" t="s">
        <v>250</v>
      </c>
      <c r="BC928" s="4" t="s">
        <v>241</v>
      </c>
      <c r="BD928" s="4" t="s">
        <v>252</v>
      </c>
      <c r="BE928" s="4" t="s">
        <v>241</v>
      </c>
      <c r="BI928" s="4" t="s">
        <v>253</v>
      </c>
      <c r="BJ928" s="5" t="s">
        <v>246</v>
      </c>
      <c r="BK928" s="4" t="s">
        <v>254</v>
      </c>
      <c r="BL928" s="4" t="s">
        <v>255</v>
      </c>
      <c r="BM928" s="4" t="s">
        <v>241</v>
      </c>
      <c r="BN928" s="6">
        <f>0</f>
        <v>0</v>
      </c>
      <c r="BO928" s="6">
        <f>0</f>
        <v>0</v>
      </c>
      <c r="BP928" s="4" t="s">
        <v>256</v>
      </c>
      <c r="BQ928" s="4" t="s">
        <v>257</v>
      </c>
      <c r="CE928" s="4" t="s">
        <v>241</v>
      </c>
      <c r="CF928" s="4" t="s">
        <v>241</v>
      </c>
      <c r="CJ928" s="4" t="s">
        <v>276</v>
      </c>
      <c r="CK928" s="4" t="s">
        <v>259</v>
      </c>
      <c r="CL928" s="4" t="s">
        <v>241</v>
      </c>
      <c r="CO928" s="5" t="s">
        <v>260</v>
      </c>
      <c r="CP928" s="4" t="s">
        <v>241</v>
      </c>
      <c r="CQ928" s="4" t="s">
        <v>261</v>
      </c>
      <c r="CR928" s="4" t="s">
        <v>241</v>
      </c>
      <c r="CS928" s="4" t="s">
        <v>241</v>
      </c>
      <c r="CT928" s="4">
        <v>0</v>
      </c>
      <c r="CU928" s="4" t="s">
        <v>262</v>
      </c>
      <c r="CV928" s="4" t="s">
        <v>263</v>
      </c>
      <c r="CW928" s="4" t="s">
        <v>263</v>
      </c>
      <c r="CX928" s="4" t="s">
        <v>264</v>
      </c>
      <c r="DA928" s="6">
        <f>1</f>
        <v>1</v>
      </c>
      <c r="DC928" s="4" t="s">
        <v>277</v>
      </c>
      <c r="DD928" s="4" t="s">
        <v>241</v>
      </c>
      <c r="DF928" s="4" t="s">
        <v>277</v>
      </c>
      <c r="DG928" s="6">
        <f>4600</f>
        <v>4600</v>
      </c>
      <c r="DI928" s="4" t="s">
        <v>241</v>
      </c>
      <c r="DJ928" s="4" t="s">
        <v>241</v>
      </c>
      <c r="DK928" s="4" t="s">
        <v>241</v>
      </c>
      <c r="DL928" s="4" t="s">
        <v>241</v>
      </c>
      <c r="DP928" s="4" t="s">
        <v>241</v>
      </c>
      <c r="DQ928" s="4" t="s">
        <v>241</v>
      </c>
      <c r="DR928" s="4" t="s">
        <v>241</v>
      </c>
      <c r="DS928" s="4" t="s">
        <v>241</v>
      </c>
      <c r="DV928" s="4" t="s">
        <v>278</v>
      </c>
      <c r="DW928" s="4" t="s">
        <v>1523</v>
      </c>
      <c r="HO928" s="4" t="s">
        <v>267</v>
      </c>
    </row>
    <row r="929" spans="1:223" ht="19.5" customHeight="1" x14ac:dyDescent="0.4">
      <c r="A929" s="4">
        <v>1</v>
      </c>
      <c r="B929" s="4" t="s">
        <v>239</v>
      </c>
      <c r="C929" s="4">
        <v>2603</v>
      </c>
      <c r="D929" s="4">
        <v>1</v>
      </c>
      <c r="E929" s="4">
        <v>1</v>
      </c>
      <c r="F929" s="4" t="s">
        <v>268</v>
      </c>
      <c r="G929" s="4" t="s">
        <v>241</v>
      </c>
      <c r="H929" s="4" t="s">
        <v>241</v>
      </c>
      <c r="I929" s="4" t="s">
        <v>272</v>
      </c>
      <c r="J929" s="4" t="s">
        <v>274</v>
      </c>
      <c r="K929" s="4" t="s">
        <v>251</v>
      </c>
      <c r="L929" s="4" t="s">
        <v>269</v>
      </c>
      <c r="M929" s="5" t="s">
        <v>1520</v>
      </c>
      <c r="N929" s="6">
        <f>605</f>
        <v>605</v>
      </c>
      <c r="O929" s="4" t="s">
        <v>265</v>
      </c>
      <c r="P929" s="6">
        <f>1</f>
        <v>1</v>
      </c>
      <c r="Q929" s="6">
        <f>0</f>
        <v>0</v>
      </c>
      <c r="S929" s="6">
        <f>0</f>
        <v>0</v>
      </c>
      <c r="T929" s="6">
        <f>1</f>
        <v>1</v>
      </c>
      <c r="U929" s="5" t="s">
        <v>245</v>
      </c>
      <c r="V929" s="4" t="s">
        <v>270</v>
      </c>
      <c r="W929" s="4" t="s">
        <v>271</v>
      </c>
      <c r="X929" s="4" t="s">
        <v>273</v>
      </c>
      <c r="Y929" s="4" t="s">
        <v>241</v>
      </c>
      <c r="AB929" s="4" t="s">
        <v>241</v>
      </c>
      <c r="AD929" s="5" t="s">
        <v>241</v>
      </c>
      <c r="AG929" s="5" t="s">
        <v>246</v>
      </c>
      <c r="AH929" s="4" t="s">
        <v>241</v>
      </c>
      <c r="AI929" s="4" t="s">
        <v>247</v>
      </c>
      <c r="AJ929" s="4" t="s">
        <v>248</v>
      </c>
      <c r="AZ929" s="4" t="s">
        <v>249</v>
      </c>
      <c r="BA929" s="4" t="s">
        <v>241</v>
      </c>
      <c r="BB929" s="4" t="s">
        <v>250</v>
      </c>
      <c r="BC929" s="4" t="s">
        <v>241</v>
      </c>
      <c r="BD929" s="4" t="s">
        <v>252</v>
      </c>
      <c r="BE929" s="4" t="s">
        <v>241</v>
      </c>
      <c r="BI929" s="4" t="s">
        <v>253</v>
      </c>
      <c r="BJ929" s="5" t="s">
        <v>246</v>
      </c>
      <c r="BK929" s="4" t="s">
        <v>254</v>
      </c>
      <c r="BL929" s="4" t="s">
        <v>255</v>
      </c>
      <c r="BM929" s="4" t="s">
        <v>241</v>
      </c>
      <c r="BN929" s="6">
        <f>0</f>
        <v>0</v>
      </c>
      <c r="BO929" s="6">
        <f>0</f>
        <v>0</v>
      </c>
      <c r="BP929" s="4" t="s">
        <v>256</v>
      </c>
      <c r="BQ929" s="4" t="s">
        <v>257</v>
      </c>
      <c r="CE929" s="4" t="s">
        <v>241</v>
      </c>
      <c r="CF929" s="4" t="s">
        <v>241</v>
      </c>
      <c r="CJ929" s="4" t="s">
        <v>276</v>
      </c>
      <c r="CK929" s="4" t="s">
        <v>259</v>
      </c>
      <c r="CL929" s="4" t="s">
        <v>241</v>
      </c>
      <c r="CO929" s="5" t="s">
        <v>260</v>
      </c>
      <c r="CP929" s="4" t="s">
        <v>241</v>
      </c>
      <c r="CQ929" s="4" t="s">
        <v>261</v>
      </c>
      <c r="CR929" s="4" t="s">
        <v>241</v>
      </c>
      <c r="CS929" s="4" t="s">
        <v>241</v>
      </c>
      <c r="CT929" s="4">
        <v>0</v>
      </c>
      <c r="CU929" s="4" t="s">
        <v>262</v>
      </c>
      <c r="CV929" s="4" t="s">
        <v>263</v>
      </c>
      <c r="CW929" s="4" t="s">
        <v>263</v>
      </c>
      <c r="CX929" s="4" t="s">
        <v>264</v>
      </c>
      <c r="DA929" s="6">
        <f>1</f>
        <v>1</v>
      </c>
      <c r="DC929" s="4" t="s">
        <v>277</v>
      </c>
      <c r="DD929" s="4" t="s">
        <v>241</v>
      </c>
      <c r="DF929" s="4" t="s">
        <v>277</v>
      </c>
      <c r="DG929" s="6">
        <f>605</f>
        <v>605</v>
      </c>
      <c r="DI929" s="4" t="s">
        <v>241</v>
      </c>
      <c r="DJ929" s="4" t="s">
        <v>241</v>
      </c>
      <c r="DK929" s="4" t="s">
        <v>241</v>
      </c>
      <c r="DL929" s="4" t="s">
        <v>241</v>
      </c>
      <c r="DP929" s="4" t="s">
        <v>241</v>
      </c>
      <c r="DQ929" s="4" t="s">
        <v>241</v>
      </c>
      <c r="DR929" s="4" t="s">
        <v>241</v>
      </c>
      <c r="DS929" s="4" t="s">
        <v>241</v>
      </c>
      <c r="DV929" s="4" t="s">
        <v>278</v>
      </c>
      <c r="DW929" s="4" t="s">
        <v>1521</v>
      </c>
      <c r="HO929" s="4" t="s">
        <v>267</v>
      </c>
    </row>
    <row r="930" spans="1:223" ht="19.5" customHeight="1" x14ac:dyDescent="0.4">
      <c r="A930" s="4">
        <v>1</v>
      </c>
      <c r="B930" s="4" t="s">
        <v>239</v>
      </c>
      <c r="C930" s="4">
        <v>2604</v>
      </c>
      <c r="D930" s="4">
        <v>1</v>
      </c>
      <c r="E930" s="4">
        <v>1</v>
      </c>
      <c r="F930" s="4" t="s">
        <v>268</v>
      </c>
      <c r="G930" s="4" t="s">
        <v>241</v>
      </c>
      <c r="H930" s="4" t="s">
        <v>241</v>
      </c>
      <c r="I930" s="4" t="s">
        <v>272</v>
      </c>
      <c r="J930" s="4" t="s">
        <v>274</v>
      </c>
      <c r="K930" s="4" t="s">
        <v>251</v>
      </c>
      <c r="L930" s="4" t="s">
        <v>269</v>
      </c>
      <c r="M930" s="5" t="s">
        <v>1518</v>
      </c>
      <c r="N930" s="6">
        <f>180</f>
        <v>180</v>
      </c>
      <c r="O930" s="4" t="s">
        <v>265</v>
      </c>
      <c r="P930" s="6">
        <f>1</f>
        <v>1</v>
      </c>
      <c r="Q930" s="6">
        <f>0</f>
        <v>0</v>
      </c>
      <c r="S930" s="6">
        <f>0</f>
        <v>0</v>
      </c>
      <c r="T930" s="6">
        <f>1</f>
        <v>1</v>
      </c>
      <c r="U930" s="5" t="s">
        <v>245</v>
      </c>
      <c r="V930" s="4" t="s">
        <v>270</v>
      </c>
      <c r="W930" s="4" t="s">
        <v>271</v>
      </c>
      <c r="X930" s="4" t="s">
        <v>273</v>
      </c>
      <c r="Y930" s="4" t="s">
        <v>241</v>
      </c>
      <c r="AB930" s="4" t="s">
        <v>241</v>
      </c>
      <c r="AD930" s="5" t="s">
        <v>241</v>
      </c>
      <c r="AG930" s="5" t="s">
        <v>246</v>
      </c>
      <c r="AH930" s="4" t="s">
        <v>241</v>
      </c>
      <c r="AI930" s="4" t="s">
        <v>247</v>
      </c>
      <c r="AJ930" s="4" t="s">
        <v>248</v>
      </c>
      <c r="AZ930" s="4" t="s">
        <v>249</v>
      </c>
      <c r="BA930" s="4" t="s">
        <v>241</v>
      </c>
      <c r="BB930" s="4" t="s">
        <v>250</v>
      </c>
      <c r="BC930" s="4" t="s">
        <v>241</v>
      </c>
      <c r="BD930" s="4" t="s">
        <v>252</v>
      </c>
      <c r="BE930" s="4" t="s">
        <v>241</v>
      </c>
      <c r="BI930" s="4" t="s">
        <v>253</v>
      </c>
      <c r="BJ930" s="5" t="s">
        <v>246</v>
      </c>
      <c r="BK930" s="4" t="s">
        <v>254</v>
      </c>
      <c r="BL930" s="4" t="s">
        <v>255</v>
      </c>
      <c r="BM930" s="4" t="s">
        <v>241</v>
      </c>
      <c r="BN930" s="6">
        <f>0</f>
        <v>0</v>
      </c>
      <c r="BO930" s="6">
        <f>0</f>
        <v>0</v>
      </c>
      <c r="BP930" s="4" t="s">
        <v>256</v>
      </c>
      <c r="BQ930" s="4" t="s">
        <v>257</v>
      </c>
      <c r="CE930" s="4" t="s">
        <v>241</v>
      </c>
      <c r="CF930" s="4" t="s">
        <v>241</v>
      </c>
      <c r="CJ930" s="4" t="s">
        <v>276</v>
      </c>
      <c r="CK930" s="4" t="s">
        <v>259</v>
      </c>
      <c r="CL930" s="4" t="s">
        <v>241</v>
      </c>
      <c r="CO930" s="5" t="s">
        <v>260</v>
      </c>
      <c r="CP930" s="4" t="s">
        <v>241</v>
      </c>
      <c r="CQ930" s="4" t="s">
        <v>261</v>
      </c>
      <c r="CR930" s="4" t="s">
        <v>241</v>
      </c>
      <c r="CS930" s="4" t="s">
        <v>241</v>
      </c>
      <c r="CT930" s="4">
        <v>0</v>
      </c>
      <c r="CU930" s="4" t="s">
        <v>262</v>
      </c>
      <c r="CV930" s="4" t="s">
        <v>263</v>
      </c>
      <c r="CW930" s="4" t="s">
        <v>263</v>
      </c>
      <c r="CX930" s="4" t="s">
        <v>264</v>
      </c>
      <c r="DA930" s="6">
        <f>1</f>
        <v>1</v>
      </c>
      <c r="DC930" s="4" t="s">
        <v>277</v>
      </c>
      <c r="DD930" s="4" t="s">
        <v>241</v>
      </c>
      <c r="DF930" s="4" t="s">
        <v>277</v>
      </c>
      <c r="DG930" s="6">
        <f>180</f>
        <v>180</v>
      </c>
      <c r="DI930" s="4" t="s">
        <v>241</v>
      </c>
      <c r="DJ930" s="4" t="s">
        <v>241</v>
      </c>
      <c r="DK930" s="4" t="s">
        <v>241</v>
      </c>
      <c r="DL930" s="4" t="s">
        <v>241</v>
      </c>
      <c r="DP930" s="4" t="s">
        <v>241</v>
      </c>
      <c r="DQ930" s="4" t="s">
        <v>241</v>
      </c>
      <c r="DR930" s="4" t="s">
        <v>241</v>
      </c>
      <c r="DS930" s="4" t="s">
        <v>241</v>
      </c>
      <c r="DV930" s="4" t="s">
        <v>278</v>
      </c>
      <c r="DW930" s="4" t="s">
        <v>1519</v>
      </c>
      <c r="HO930" s="4" t="s">
        <v>267</v>
      </c>
    </row>
    <row r="931" spans="1:223" ht="19.5" customHeight="1" x14ac:dyDescent="0.4">
      <c r="A931" s="4">
        <v>1</v>
      </c>
      <c r="B931" s="4" t="s">
        <v>239</v>
      </c>
      <c r="C931" s="4">
        <v>2605</v>
      </c>
      <c r="D931" s="4">
        <v>1</v>
      </c>
      <c r="E931" s="4">
        <v>1</v>
      </c>
      <c r="F931" s="4" t="s">
        <v>268</v>
      </c>
      <c r="G931" s="4" t="s">
        <v>241</v>
      </c>
      <c r="H931" s="4" t="s">
        <v>241</v>
      </c>
      <c r="I931" s="4" t="s">
        <v>272</v>
      </c>
      <c r="J931" s="4" t="s">
        <v>274</v>
      </c>
      <c r="K931" s="4" t="s">
        <v>251</v>
      </c>
      <c r="L931" s="4" t="s">
        <v>269</v>
      </c>
      <c r="M931" s="5" t="s">
        <v>1516</v>
      </c>
      <c r="N931" s="6">
        <f>222</f>
        <v>222</v>
      </c>
      <c r="O931" s="4" t="s">
        <v>265</v>
      </c>
      <c r="P931" s="6">
        <f>1</f>
        <v>1</v>
      </c>
      <c r="Q931" s="6">
        <f>0</f>
        <v>0</v>
      </c>
      <c r="S931" s="6">
        <f>0</f>
        <v>0</v>
      </c>
      <c r="T931" s="6">
        <f>1</f>
        <v>1</v>
      </c>
      <c r="U931" s="5" t="s">
        <v>245</v>
      </c>
      <c r="V931" s="4" t="s">
        <v>270</v>
      </c>
      <c r="W931" s="4" t="s">
        <v>271</v>
      </c>
      <c r="X931" s="4" t="s">
        <v>273</v>
      </c>
      <c r="Y931" s="4" t="s">
        <v>241</v>
      </c>
      <c r="AB931" s="4" t="s">
        <v>241</v>
      </c>
      <c r="AD931" s="5" t="s">
        <v>241</v>
      </c>
      <c r="AG931" s="5" t="s">
        <v>246</v>
      </c>
      <c r="AH931" s="4" t="s">
        <v>241</v>
      </c>
      <c r="AI931" s="4" t="s">
        <v>247</v>
      </c>
      <c r="AJ931" s="4" t="s">
        <v>248</v>
      </c>
      <c r="AZ931" s="4" t="s">
        <v>249</v>
      </c>
      <c r="BA931" s="4" t="s">
        <v>241</v>
      </c>
      <c r="BB931" s="4" t="s">
        <v>250</v>
      </c>
      <c r="BC931" s="4" t="s">
        <v>241</v>
      </c>
      <c r="BD931" s="4" t="s">
        <v>252</v>
      </c>
      <c r="BE931" s="4" t="s">
        <v>241</v>
      </c>
      <c r="BI931" s="4" t="s">
        <v>253</v>
      </c>
      <c r="BJ931" s="5" t="s">
        <v>246</v>
      </c>
      <c r="BK931" s="4" t="s">
        <v>254</v>
      </c>
      <c r="BL931" s="4" t="s">
        <v>255</v>
      </c>
      <c r="BM931" s="4" t="s">
        <v>241</v>
      </c>
      <c r="BN931" s="6">
        <f>0</f>
        <v>0</v>
      </c>
      <c r="BO931" s="6">
        <f>0</f>
        <v>0</v>
      </c>
      <c r="BP931" s="4" t="s">
        <v>256</v>
      </c>
      <c r="BQ931" s="4" t="s">
        <v>257</v>
      </c>
      <c r="CE931" s="4" t="s">
        <v>241</v>
      </c>
      <c r="CF931" s="4" t="s">
        <v>241</v>
      </c>
      <c r="CJ931" s="4" t="s">
        <v>276</v>
      </c>
      <c r="CK931" s="4" t="s">
        <v>259</v>
      </c>
      <c r="CL931" s="4" t="s">
        <v>241</v>
      </c>
      <c r="CO931" s="5" t="s">
        <v>260</v>
      </c>
      <c r="CP931" s="4" t="s">
        <v>241</v>
      </c>
      <c r="CQ931" s="4" t="s">
        <v>261</v>
      </c>
      <c r="CR931" s="4" t="s">
        <v>241</v>
      </c>
      <c r="CS931" s="4" t="s">
        <v>241</v>
      </c>
      <c r="CT931" s="4">
        <v>0</v>
      </c>
      <c r="CU931" s="4" t="s">
        <v>262</v>
      </c>
      <c r="CV931" s="4" t="s">
        <v>263</v>
      </c>
      <c r="CW931" s="4" t="s">
        <v>263</v>
      </c>
      <c r="CX931" s="4" t="s">
        <v>264</v>
      </c>
      <c r="DA931" s="6">
        <f>1</f>
        <v>1</v>
      </c>
      <c r="DC931" s="4" t="s">
        <v>277</v>
      </c>
      <c r="DD931" s="4" t="s">
        <v>241</v>
      </c>
      <c r="DF931" s="4" t="s">
        <v>277</v>
      </c>
      <c r="DG931" s="6">
        <f>222</f>
        <v>222</v>
      </c>
      <c r="DI931" s="4" t="s">
        <v>241</v>
      </c>
      <c r="DJ931" s="4" t="s">
        <v>241</v>
      </c>
      <c r="DK931" s="4" t="s">
        <v>241</v>
      </c>
      <c r="DL931" s="4" t="s">
        <v>241</v>
      </c>
      <c r="DP931" s="4" t="s">
        <v>241</v>
      </c>
      <c r="DQ931" s="4" t="s">
        <v>241</v>
      </c>
      <c r="DR931" s="4" t="s">
        <v>241</v>
      </c>
      <c r="DS931" s="4" t="s">
        <v>241</v>
      </c>
      <c r="DV931" s="4" t="s">
        <v>278</v>
      </c>
      <c r="DW931" s="4" t="s">
        <v>1517</v>
      </c>
      <c r="HO931" s="4" t="s">
        <v>267</v>
      </c>
    </row>
    <row r="932" spans="1:223" ht="19.5" customHeight="1" x14ac:dyDescent="0.4">
      <c r="A932" s="4">
        <v>1</v>
      </c>
      <c r="B932" s="4" t="s">
        <v>239</v>
      </c>
      <c r="C932" s="4">
        <v>2606</v>
      </c>
      <c r="D932" s="4">
        <v>1</v>
      </c>
      <c r="E932" s="4">
        <v>1</v>
      </c>
      <c r="F932" s="4" t="s">
        <v>268</v>
      </c>
      <c r="G932" s="4" t="s">
        <v>241</v>
      </c>
      <c r="H932" s="4" t="s">
        <v>241</v>
      </c>
      <c r="I932" s="4" t="s">
        <v>272</v>
      </c>
      <c r="J932" s="4" t="s">
        <v>274</v>
      </c>
      <c r="K932" s="4" t="s">
        <v>251</v>
      </c>
      <c r="L932" s="4" t="s">
        <v>269</v>
      </c>
      <c r="M932" s="5" t="s">
        <v>1514</v>
      </c>
      <c r="N932" s="6">
        <f>3581</f>
        <v>3581</v>
      </c>
      <c r="O932" s="4" t="s">
        <v>265</v>
      </c>
      <c r="P932" s="6">
        <f>1</f>
        <v>1</v>
      </c>
      <c r="Q932" s="6">
        <f>0</f>
        <v>0</v>
      </c>
      <c r="S932" s="6">
        <f>0</f>
        <v>0</v>
      </c>
      <c r="T932" s="6">
        <f>1</f>
        <v>1</v>
      </c>
      <c r="U932" s="5" t="s">
        <v>245</v>
      </c>
      <c r="V932" s="4" t="s">
        <v>270</v>
      </c>
      <c r="W932" s="4" t="s">
        <v>271</v>
      </c>
      <c r="X932" s="4" t="s">
        <v>273</v>
      </c>
      <c r="Y932" s="4" t="s">
        <v>241</v>
      </c>
      <c r="AB932" s="4" t="s">
        <v>241</v>
      </c>
      <c r="AD932" s="5" t="s">
        <v>241</v>
      </c>
      <c r="AG932" s="5" t="s">
        <v>246</v>
      </c>
      <c r="AH932" s="4" t="s">
        <v>241</v>
      </c>
      <c r="AI932" s="4" t="s">
        <v>247</v>
      </c>
      <c r="AJ932" s="4" t="s">
        <v>248</v>
      </c>
      <c r="AZ932" s="4" t="s">
        <v>249</v>
      </c>
      <c r="BA932" s="4" t="s">
        <v>241</v>
      </c>
      <c r="BB932" s="4" t="s">
        <v>250</v>
      </c>
      <c r="BC932" s="4" t="s">
        <v>241</v>
      </c>
      <c r="BD932" s="4" t="s">
        <v>252</v>
      </c>
      <c r="BE932" s="4" t="s">
        <v>241</v>
      </c>
      <c r="BI932" s="4" t="s">
        <v>253</v>
      </c>
      <c r="BJ932" s="5" t="s">
        <v>246</v>
      </c>
      <c r="BK932" s="4" t="s">
        <v>254</v>
      </c>
      <c r="BL932" s="4" t="s">
        <v>255</v>
      </c>
      <c r="BM932" s="4" t="s">
        <v>241</v>
      </c>
      <c r="BN932" s="6">
        <f>0</f>
        <v>0</v>
      </c>
      <c r="BO932" s="6">
        <f>0</f>
        <v>0</v>
      </c>
      <c r="BP932" s="4" t="s">
        <v>256</v>
      </c>
      <c r="BQ932" s="4" t="s">
        <v>257</v>
      </c>
      <c r="CE932" s="4" t="s">
        <v>241</v>
      </c>
      <c r="CF932" s="4" t="s">
        <v>241</v>
      </c>
      <c r="CJ932" s="4" t="s">
        <v>276</v>
      </c>
      <c r="CK932" s="4" t="s">
        <v>259</v>
      </c>
      <c r="CL932" s="4" t="s">
        <v>241</v>
      </c>
      <c r="CO932" s="5" t="s">
        <v>260</v>
      </c>
      <c r="CP932" s="4" t="s">
        <v>241</v>
      </c>
      <c r="CQ932" s="4" t="s">
        <v>261</v>
      </c>
      <c r="CR932" s="4" t="s">
        <v>241</v>
      </c>
      <c r="CS932" s="4" t="s">
        <v>241</v>
      </c>
      <c r="CT932" s="4">
        <v>0</v>
      </c>
      <c r="CU932" s="4" t="s">
        <v>262</v>
      </c>
      <c r="CV932" s="4" t="s">
        <v>263</v>
      </c>
      <c r="CW932" s="4" t="s">
        <v>263</v>
      </c>
      <c r="CX932" s="4" t="s">
        <v>264</v>
      </c>
      <c r="DA932" s="6">
        <f>1</f>
        <v>1</v>
      </c>
      <c r="DC932" s="4" t="s">
        <v>277</v>
      </c>
      <c r="DD932" s="4" t="s">
        <v>241</v>
      </c>
      <c r="DF932" s="4" t="s">
        <v>277</v>
      </c>
      <c r="DG932" s="6">
        <f>3581</f>
        <v>3581</v>
      </c>
      <c r="DI932" s="4" t="s">
        <v>241</v>
      </c>
      <c r="DJ932" s="4" t="s">
        <v>241</v>
      </c>
      <c r="DK932" s="4" t="s">
        <v>241</v>
      </c>
      <c r="DL932" s="4" t="s">
        <v>241</v>
      </c>
      <c r="DP932" s="4" t="s">
        <v>241</v>
      </c>
      <c r="DQ932" s="4" t="s">
        <v>241</v>
      </c>
      <c r="DR932" s="4" t="s">
        <v>241</v>
      </c>
      <c r="DS932" s="4" t="s">
        <v>241</v>
      </c>
      <c r="DV932" s="4" t="s">
        <v>278</v>
      </c>
      <c r="DW932" s="4" t="s">
        <v>1515</v>
      </c>
      <c r="HO932" s="4" t="s">
        <v>267</v>
      </c>
    </row>
    <row r="933" spans="1:223" ht="19.5" customHeight="1" x14ac:dyDescent="0.4">
      <c r="A933" s="4">
        <v>1</v>
      </c>
      <c r="B933" s="4" t="s">
        <v>239</v>
      </c>
      <c r="C933" s="4">
        <v>2607</v>
      </c>
      <c r="D933" s="4">
        <v>1</v>
      </c>
      <c r="E933" s="4">
        <v>1</v>
      </c>
      <c r="F933" s="4" t="s">
        <v>268</v>
      </c>
      <c r="G933" s="4" t="s">
        <v>241</v>
      </c>
      <c r="H933" s="4" t="s">
        <v>241</v>
      </c>
      <c r="I933" s="4" t="s">
        <v>272</v>
      </c>
      <c r="J933" s="4" t="s">
        <v>274</v>
      </c>
      <c r="K933" s="4" t="s">
        <v>251</v>
      </c>
      <c r="L933" s="4" t="s">
        <v>269</v>
      </c>
      <c r="M933" s="5" t="s">
        <v>1512</v>
      </c>
      <c r="N933" s="6">
        <f>603</f>
        <v>603</v>
      </c>
      <c r="O933" s="4" t="s">
        <v>265</v>
      </c>
      <c r="P933" s="6">
        <f>1</f>
        <v>1</v>
      </c>
      <c r="Q933" s="6">
        <f>0</f>
        <v>0</v>
      </c>
      <c r="S933" s="6">
        <f>0</f>
        <v>0</v>
      </c>
      <c r="T933" s="6">
        <f>1</f>
        <v>1</v>
      </c>
      <c r="U933" s="5" t="s">
        <v>245</v>
      </c>
      <c r="V933" s="4" t="s">
        <v>270</v>
      </c>
      <c r="W933" s="4" t="s">
        <v>271</v>
      </c>
      <c r="X933" s="4" t="s">
        <v>273</v>
      </c>
      <c r="Y933" s="4" t="s">
        <v>241</v>
      </c>
      <c r="AB933" s="4" t="s">
        <v>241</v>
      </c>
      <c r="AD933" s="5" t="s">
        <v>241</v>
      </c>
      <c r="AG933" s="5" t="s">
        <v>246</v>
      </c>
      <c r="AH933" s="4" t="s">
        <v>241</v>
      </c>
      <c r="AI933" s="4" t="s">
        <v>247</v>
      </c>
      <c r="AJ933" s="4" t="s">
        <v>248</v>
      </c>
      <c r="AZ933" s="4" t="s">
        <v>249</v>
      </c>
      <c r="BA933" s="4" t="s">
        <v>241</v>
      </c>
      <c r="BB933" s="4" t="s">
        <v>250</v>
      </c>
      <c r="BC933" s="4" t="s">
        <v>241</v>
      </c>
      <c r="BD933" s="4" t="s">
        <v>252</v>
      </c>
      <c r="BE933" s="4" t="s">
        <v>241</v>
      </c>
      <c r="BI933" s="4" t="s">
        <v>253</v>
      </c>
      <c r="BJ933" s="5" t="s">
        <v>246</v>
      </c>
      <c r="BK933" s="4" t="s">
        <v>254</v>
      </c>
      <c r="BL933" s="4" t="s">
        <v>255</v>
      </c>
      <c r="BM933" s="4" t="s">
        <v>241</v>
      </c>
      <c r="BN933" s="6">
        <f>0</f>
        <v>0</v>
      </c>
      <c r="BO933" s="6">
        <f>0</f>
        <v>0</v>
      </c>
      <c r="BP933" s="4" t="s">
        <v>256</v>
      </c>
      <c r="BQ933" s="4" t="s">
        <v>257</v>
      </c>
      <c r="CE933" s="4" t="s">
        <v>241</v>
      </c>
      <c r="CF933" s="4" t="s">
        <v>241</v>
      </c>
      <c r="CJ933" s="4" t="s">
        <v>276</v>
      </c>
      <c r="CK933" s="4" t="s">
        <v>259</v>
      </c>
      <c r="CL933" s="4" t="s">
        <v>241</v>
      </c>
      <c r="CO933" s="5" t="s">
        <v>260</v>
      </c>
      <c r="CP933" s="4" t="s">
        <v>241</v>
      </c>
      <c r="CQ933" s="4" t="s">
        <v>261</v>
      </c>
      <c r="CR933" s="4" t="s">
        <v>241</v>
      </c>
      <c r="CS933" s="4" t="s">
        <v>241</v>
      </c>
      <c r="CT933" s="4">
        <v>0</v>
      </c>
      <c r="CU933" s="4" t="s">
        <v>262</v>
      </c>
      <c r="CV933" s="4" t="s">
        <v>263</v>
      </c>
      <c r="CW933" s="4" t="s">
        <v>263</v>
      </c>
      <c r="CX933" s="4" t="s">
        <v>264</v>
      </c>
      <c r="DA933" s="6">
        <f>1</f>
        <v>1</v>
      </c>
      <c r="DC933" s="4" t="s">
        <v>277</v>
      </c>
      <c r="DD933" s="4" t="s">
        <v>241</v>
      </c>
      <c r="DF933" s="4" t="s">
        <v>277</v>
      </c>
      <c r="DG933" s="6">
        <f>603</f>
        <v>603</v>
      </c>
      <c r="DI933" s="4" t="s">
        <v>241</v>
      </c>
      <c r="DJ933" s="4" t="s">
        <v>241</v>
      </c>
      <c r="DK933" s="4" t="s">
        <v>241</v>
      </c>
      <c r="DL933" s="4" t="s">
        <v>241</v>
      </c>
      <c r="DP933" s="4" t="s">
        <v>241</v>
      </c>
      <c r="DQ933" s="4" t="s">
        <v>241</v>
      </c>
      <c r="DR933" s="4" t="s">
        <v>241</v>
      </c>
      <c r="DS933" s="4" t="s">
        <v>241</v>
      </c>
      <c r="DV933" s="4" t="s">
        <v>278</v>
      </c>
      <c r="DW933" s="4" t="s">
        <v>1513</v>
      </c>
      <c r="HO933" s="4" t="s">
        <v>267</v>
      </c>
    </row>
    <row r="934" spans="1:223" ht="19.5" customHeight="1" x14ac:dyDescent="0.4">
      <c r="A934" s="4">
        <v>1</v>
      </c>
      <c r="B934" s="4" t="s">
        <v>239</v>
      </c>
      <c r="C934" s="4">
        <v>2608</v>
      </c>
      <c r="D934" s="4">
        <v>1</v>
      </c>
      <c r="E934" s="4">
        <v>1</v>
      </c>
      <c r="F934" s="4" t="s">
        <v>268</v>
      </c>
      <c r="G934" s="4" t="s">
        <v>241</v>
      </c>
      <c r="H934" s="4" t="s">
        <v>241</v>
      </c>
      <c r="I934" s="4" t="s">
        <v>272</v>
      </c>
      <c r="J934" s="4" t="s">
        <v>274</v>
      </c>
      <c r="K934" s="4" t="s">
        <v>251</v>
      </c>
      <c r="L934" s="4" t="s">
        <v>269</v>
      </c>
      <c r="M934" s="5" t="s">
        <v>1510</v>
      </c>
      <c r="N934" s="6">
        <f>92</f>
        <v>92</v>
      </c>
      <c r="O934" s="4" t="s">
        <v>265</v>
      </c>
      <c r="P934" s="6">
        <f>1</f>
        <v>1</v>
      </c>
      <c r="Q934" s="6">
        <f>0</f>
        <v>0</v>
      </c>
      <c r="S934" s="6">
        <f>0</f>
        <v>0</v>
      </c>
      <c r="T934" s="6">
        <f>1</f>
        <v>1</v>
      </c>
      <c r="U934" s="5" t="s">
        <v>245</v>
      </c>
      <c r="V934" s="4" t="s">
        <v>270</v>
      </c>
      <c r="W934" s="4" t="s">
        <v>271</v>
      </c>
      <c r="X934" s="4" t="s">
        <v>273</v>
      </c>
      <c r="Y934" s="4" t="s">
        <v>241</v>
      </c>
      <c r="AB934" s="4" t="s">
        <v>241</v>
      </c>
      <c r="AD934" s="5" t="s">
        <v>241</v>
      </c>
      <c r="AG934" s="5" t="s">
        <v>246</v>
      </c>
      <c r="AH934" s="4" t="s">
        <v>241</v>
      </c>
      <c r="AI934" s="4" t="s">
        <v>247</v>
      </c>
      <c r="AJ934" s="4" t="s">
        <v>248</v>
      </c>
      <c r="AZ934" s="4" t="s">
        <v>249</v>
      </c>
      <c r="BA934" s="4" t="s">
        <v>241</v>
      </c>
      <c r="BB934" s="4" t="s">
        <v>250</v>
      </c>
      <c r="BC934" s="4" t="s">
        <v>241</v>
      </c>
      <c r="BD934" s="4" t="s">
        <v>252</v>
      </c>
      <c r="BE934" s="4" t="s">
        <v>241</v>
      </c>
      <c r="BI934" s="4" t="s">
        <v>253</v>
      </c>
      <c r="BJ934" s="5" t="s">
        <v>246</v>
      </c>
      <c r="BK934" s="4" t="s">
        <v>254</v>
      </c>
      <c r="BL934" s="4" t="s">
        <v>255</v>
      </c>
      <c r="BM934" s="4" t="s">
        <v>241</v>
      </c>
      <c r="BN934" s="6">
        <f>0</f>
        <v>0</v>
      </c>
      <c r="BO934" s="6">
        <f>0</f>
        <v>0</v>
      </c>
      <c r="BP934" s="4" t="s">
        <v>256</v>
      </c>
      <c r="BQ934" s="4" t="s">
        <v>257</v>
      </c>
      <c r="CE934" s="4" t="s">
        <v>241</v>
      </c>
      <c r="CF934" s="4" t="s">
        <v>241</v>
      </c>
      <c r="CJ934" s="4" t="s">
        <v>276</v>
      </c>
      <c r="CK934" s="4" t="s">
        <v>259</v>
      </c>
      <c r="CL934" s="4" t="s">
        <v>241</v>
      </c>
      <c r="CO934" s="5" t="s">
        <v>260</v>
      </c>
      <c r="CP934" s="4" t="s">
        <v>241</v>
      </c>
      <c r="CQ934" s="4" t="s">
        <v>261</v>
      </c>
      <c r="CR934" s="4" t="s">
        <v>241</v>
      </c>
      <c r="CS934" s="4" t="s">
        <v>241</v>
      </c>
      <c r="CT934" s="4">
        <v>0</v>
      </c>
      <c r="CU934" s="4" t="s">
        <v>262</v>
      </c>
      <c r="CV934" s="4" t="s">
        <v>263</v>
      </c>
      <c r="CW934" s="4" t="s">
        <v>263</v>
      </c>
      <c r="CX934" s="4" t="s">
        <v>264</v>
      </c>
      <c r="DA934" s="6">
        <f>1</f>
        <v>1</v>
      </c>
      <c r="DC934" s="4" t="s">
        <v>277</v>
      </c>
      <c r="DD934" s="4" t="s">
        <v>241</v>
      </c>
      <c r="DF934" s="4" t="s">
        <v>277</v>
      </c>
      <c r="DG934" s="6">
        <f>92</f>
        <v>92</v>
      </c>
      <c r="DI934" s="4" t="s">
        <v>241</v>
      </c>
      <c r="DJ934" s="4" t="s">
        <v>241</v>
      </c>
      <c r="DK934" s="4" t="s">
        <v>241</v>
      </c>
      <c r="DL934" s="4" t="s">
        <v>241</v>
      </c>
      <c r="DP934" s="4" t="s">
        <v>241</v>
      </c>
      <c r="DQ934" s="4" t="s">
        <v>241</v>
      </c>
      <c r="DR934" s="4" t="s">
        <v>241</v>
      </c>
      <c r="DS934" s="4" t="s">
        <v>241</v>
      </c>
      <c r="DV934" s="4" t="s">
        <v>278</v>
      </c>
      <c r="DW934" s="4" t="s">
        <v>1511</v>
      </c>
      <c r="HO934" s="4" t="s">
        <v>267</v>
      </c>
    </row>
    <row r="935" spans="1:223" ht="19.5" customHeight="1" x14ac:dyDescent="0.4">
      <c r="A935" s="4">
        <v>1</v>
      </c>
      <c r="B935" s="4" t="s">
        <v>239</v>
      </c>
      <c r="C935" s="4">
        <v>2609</v>
      </c>
      <c r="D935" s="4">
        <v>1</v>
      </c>
      <c r="E935" s="4">
        <v>1</v>
      </c>
      <c r="F935" s="4" t="s">
        <v>268</v>
      </c>
      <c r="G935" s="4" t="s">
        <v>241</v>
      </c>
      <c r="H935" s="4" t="s">
        <v>241</v>
      </c>
      <c r="I935" s="4" t="s">
        <v>272</v>
      </c>
      <c r="J935" s="4" t="s">
        <v>274</v>
      </c>
      <c r="K935" s="4" t="s">
        <v>251</v>
      </c>
      <c r="L935" s="4" t="s">
        <v>269</v>
      </c>
      <c r="M935" s="5" t="s">
        <v>1508</v>
      </c>
      <c r="N935" s="6">
        <f>109</f>
        <v>109</v>
      </c>
      <c r="O935" s="4" t="s">
        <v>265</v>
      </c>
      <c r="P935" s="6">
        <f>1</f>
        <v>1</v>
      </c>
      <c r="Q935" s="6">
        <f>0</f>
        <v>0</v>
      </c>
      <c r="S935" s="6">
        <f>0</f>
        <v>0</v>
      </c>
      <c r="T935" s="6">
        <f>1</f>
        <v>1</v>
      </c>
      <c r="U935" s="5" t="s">
        <v>245</v>
      </c>
      <c r="V935" s="4" t="s">
        <v>270</v>
      </c>
      <c r="W935" s="4" t="s">
        <v>271</v>
      </c>
      <c r="X935" s="4" t="s">
        <v>273</v>
      </c>
      <c r="Y935" s="4" t="s">
        <v>241</v>
      </c>
      <c r="AB935" s="4" t="s">
        <v>241</v>
      </c>
      <c r="AD935" s="5" t="s">
        <v>241</v>
      </c>
      <c r="AG935" s="5" t="s">
        <v>246</v>
      </c>
      <c r="AH935" s="4" t="s">
        <v>241</v>
      </c>
      <c r="AI935" s="4" t="s">
        <v>247</v>
      </c>
      <c r="AJ935" s="4" t="s">
        <v>248</v>
      </c>
      <c r="AZ935" s="4" t="s">
        <v>249</v>
      </c>
      <c r="BA935" s="4" t="s">
        <v>241</v>
      </c>
      <c r="BB935" s="4" t="s">
        <v>250</v>
      </c>
      <c r="BC935" s="4" t="s">
        <v>241</v>
      </c>
      <c r="BD935" s="4" t="s">
        <v>252</v>
      </c>
      <c r="BE935" s="4" t="s">
        <v>241</v>
      </c>
      <c r="BI935" s="4" t="s">
        <v>253</v>
      </c>
      <c r="BJ935" s="5" t="s">
        <v>246</v>
      </c>
      <c r="BK935" s="4" t="s">
        <v>254</v>
      </c>
      <c r="BL935" s="4" t="s">
        <v>255</v>
      </c>
      <c r="BM935" s="4" t="s">
        <v>241</v>
      </c>
      <c r="BN935" s="6">
        <f>0</f>
        <v>0</v>
      </c>
      <c r="BO935" s="6">
        <f>0</f>
        <v>0</v>
      </c>
      <c r="BP935" s="4" t="s">
        <v>256</v>
      </c>
      <c r="BQ935" s="4" t="s">
        <v>257</v>
      </c>
      <c r="CE935" s="4" t="s">
        <v>241</v>
      </c>
      <c r="CF935" s="4" t="s">
        <v>241</v>
      </c>
      <c r="CJ935" s="4" t="s">
        <v>276</v>
      </c>
      <c r="CK935" s="4" t="s">
        <v>259</v>
      </c>
      <c r="CL935" s="4" t="s">
        <v>241</v>
      </c>
      <c r="CO935" s="5" t="s">
        <v>260</v>
      </c>
      <c r="CP935" s="4" t="s">
        <v>241</v>
      </c>
      <c r="CQ935" s="4" t="s">
        <v>261</v>
      </c>
      <c r="CR935" s="4" t="s">
        <v>241</v>
      </c>
      <c r="CS935" s="4" t="s">
        <v>241</v>
      </c>
      <c r="CT935" s="4">
        <v>0</v>
      </c>
      <c r="CU935" s="4" t="s">
        <v>262</v>
      </c>
      <c r="CV935" s="4" t="s">
        <v>263</v>
      </c>
      <c r="CW935" s="4" t="s">
        <v>263</v>
      </c>
      <c r="CX935" s="4" t="s">
        <v>264</v>
      </c>
      <c r="DA935" s="6">
        <f>1</f>
        <v>1</v>
      </c>
      <c r="DC935" s="4" t="s">
        <v>277</v>
      </c>
      <c r="DD935" s="4" t="s">
        <v>241</v>
      </c>
      <c r="DF935" s="4" t="s">
        <v>277</v>
      </c>
      <c r="DG935" s="6">
        <f>109</f>
        <v>109</v>
      </c>
      <c r="DI935" s="4" t="s">
        <v>241</v>
      </c>
      <c r="DJ935" s="4" t="s">
        <v>241</v>
      </c>
      <c r="DK935" s="4" t="s">
        <v>241</v>
      </c>
      <c r="DL935" s="4" t="s">
        <v>241</v>
      </c>
      <c r="DP935" s="4" t="s">
        <v>241</v>
      </c>
      <c r="DQ935" s="4" t="s">
        <v>241</v>
      </c>
      <c r="DR935" s="4" t="s">
        <v>241</v>
      </c>
      <c r="DS935" s="4" t="s">
        <v>241</v>
      </c>
      <c r="DV935" s="4" t="s">
        <v>278</v>
      </c>
      <c r="DW935" s="4" t="s">
        <v>1509</v>
      </c>
      <c r="HO935" s="4" t="s">
        <v>267</v>
      </c>
    </row>
    <row r="936" spans="1:223" ht="19.5" customHeight="1" x14ac:dyDescent="0.4">
      <c r="A936" s="4">
        <v>1</v>
      </c>
      <c r="B936" s="4" t="s">
        <v>239</v>
      </c>
      <c r="C936" s="4">
        <v>2610</v>
      </c>
      <c r="D936" s="4">
        <v>1</v>
      </c>
      <c r="E936" s="4">
        <v>1</v>
      </c>
      <c r="F936" s="4" t="s">
        <v>268</v>
      </c>
      <c r="G936" s="4" t="s">
        <v>241</v>
      </c>
      <c r="H936" s="4" t="s">
        <v>241</v>
      </c>
      <c r="I936" s="4" t="s">
        <v>272</v>
      </c>
      <c r="J936" s="4" t="s">
        <v>274</v>
      </c>
      <c r="K936" s="4" t="s">
        <v>251</v>
      </c>
      <c r="L936" s="4" t="s">
        <v>269</v>
      </c>
      <c r="M936" s="5" t="s">
        <v>1504</v>
      </c>
      <c r="N936" s="6">
        <f>1732</f>
        <v>1732</v>
      </c>
      <c r="O936" s="4" t="s">
        <v>265</v>
      </c>
      <c r="P936" s="6">
        <f>1</f>
        <v>1</v>
      </c>
      <c r="Q936" s="6">
        <f>0</f>
        <v>0</v>
      </c>
      <c r="S936" s="6">
        <f>0</f>
        <v>0</v>
      </c>
      <c r="T936" s="6">
        <f>1</f>
        <v>1</v>
      </c>
      <c r="U936" s="5" t="s">
        <v>245</v>
      </c>
      <c r="V936" s="4" t="s">
        <v>270</v>
      </c>
      <c r="W936" s="4" t="s">
        <v>271</v>
      </c>
      <c r="X936" s="4" t="s">
        <v>273</v>
      </c>
      <c r="Y936" s="4" t="s">
        <v>241</v>
      </c>
      <c r="AB936" s="4" t="s">
        <v>241</v>
      </c>
      <c r="AD936" s="5" t="s">
        <v>241</v>
      </c>
      <c r="AG936" s="5" t="s">
        <v>246</v>
      </c>
      <c r="AH936" s="4" t="s">
        <v>241</v>
      </c>
      <c r="AI936" s="4" t="s">
        <v>247</v>
      </c>
      <c r="AJ936" s="4" t="s">
        <v>248</v>
      </c>
      <c r="AZ936" s="4" t="s">
        <v>249</v>
      </c>
      <c r="BA936" s="4" t="s">
        <v>241</v>
      </c>
      <c r="BB936" s="4" t="s">
        <v>250</v>
      </c>
      <c r="BC936" s="4" t="s">
        <v>241</v>
      </c>
      <c r="BD936" s="4" t="s">
        <v>252</v>
      </c>
      <c r="BE936" s="4" t="s">
        <v>241</v>
      </c>
      <c r="BI936" s="4" t="s">
        <v>253</v>
      </c>
      <c r="BJ936" s="5" t="s">
        <v>246</v>
      </c>
      <c r="BK936" s="4" t="s">
        <v>254</v>
      </c>
      <c r="BL936" s="4" t="s">
        <v>255</v>
      </c>
      <c r="BM936" s="4" t="s">
        <v>241</v>
      </c>
      <c r="BN936" s="6">
        <f>0</f>
        <v>0</v>
      </c>
      <c r="BO936" s="6">
        <f>0</f>
        <v>0</v>
      </c>
      <c r="BP936" s="4" t="s">
        <v>256</v>
      </c>
      <c r="BQ936" s="4" t="s">
        <v>257</v>
      </c>
      <c r="CE936" s="4" t="s">
        <v>241</v>
      </c>
      <c r="CF936" s="4" t="s">
        <v>241</v>
      </c>
      <c r="CJ936" s="4" t="s">
        <v>276</v>
      </c>
      <c r="CK936" s="4" t="s">
        <v>259</v>
      </c>
      <c r="CL936" s="4" t="s">
        <v>241</v>
      </c>
      <c r="CO936" s="5" t="s">
        <v>260</v>
      </c>
      <c r="CP936" s="4" t="s">
        <v>241</v>
      </c>
      <c r="CQ936" s="4" t="s">
        <v>261</v>
      </c>
      <c r="CR936" s="4" t="s">
        <v>241</v>
      </c>
      <c r="CS936" s="4" t="s">
        <v>241</v>
      </c>
      <c r="CT936" s="4">
        <v>0</v>
      </c>
      <c r="CU936" s="4" t="s">
        <v>262</v>
      </c>
      <c r="CV936" s="4" t="s">
        <v>263</v>
      </c>
      <c r="CW936" s="4" t="s">
        <v>263</v>
      </c>
      <c r="CX936" s="4" t="s">
        <v>264</v>
      </c>
      <c r="DA936" s="6">
        <f>1</f>
        <v>1</v>
      </c>
      <c r="DC936" s="4" t="s">
        <v>277</v>
      </c>
      <c r="DD936" s="4" t="s">
        <v>241</v>
      </c>
      <c r="DF936" s="4" t="s">
        <v>277</v>
      </c>
      <c r="DG936" s="6">
        <f>1732</f>
        <v>1732</v>
      </c>
      <c r="DI936" s="4" t="s">
        <v>241</v>
      </c>
      <c r="DJ936" s="4" t="s">
        <v>241</v>
      </c>
      <c r="DK936" s="4" t="s">
        <v>241</v>
      </c>
      <c r="DL936" s="4" t="s">
        <v>241</v>
      </c>
      <c r="DP936" s="4" t="s">
        <v>241</v>
      </c>
      <c r="DQ936" s="4" t="s">
        <v>241</v>
      </c>
      <c r="DR936" s="4" t="s">
        <v>241</v>
      </c>
      <c r="DS936" s="4" t="s">
        <v>241</v>
      </c>
      <c r="DV936" s="4" t="s">
        <v>278</v>
      </c>
      <c r="DW936" s="4" t="s">
        <v>1505</v>
      </c>
      <c r="HO936" s="4" t="s">
        <v>267</v>
      </c>
    </row>
    <row r="937" spans="1:223" ht="19.5" customHeight="1" x14ac:dyDescent="0.4">
      <c r="A937" s="4">
        <v>1</v>
      </c>
      <c r="B937" s="4" t="s">
        <v>239</v>
      </c>
      <c r="C937" s="4">
        <v>2611</v>
      </c>
      <c r="D937" s="4">
        <v>1</v>
      </c>
      <c r="E937" s="4">
        <v>1</v>
      </c>
      <c r="F937" s="4" t="s">
        <v>268</v>
      </c>
      <c r="G937" s="4" t="s">
        <v>241</v>
      </c>
      <c r="H937" s="4" t="s">
        <v>241</v>
      </c>
      <c r="I937" s="4" t="s">
        <v>272</v>
      </c>
      <c r="J937" s="4" t="s">
        <v>274</v>
      </c>
      <c r="K937" s="4" t="s">
        <v>251</v>
      </c>
      <c r="L937" s="4" t="s">
        <v>269</v>
      </c>
      <c r="M937" s="5" t="s">
        <v>1502</v>
      </c>
      <c r="N937" s="6">
        <f>392</f>
        <v>392</v>
      </c>
      <c r="O937" s="4" t="s">
        <v>265</v>
      </c>
      <c r="P937" s="6">
        <f>1</f>
        <v>1</v>
      </c>
      <c r="Q937" s="6">
        <f>0</f>
        <v>0</v>
      </c>
      <c r="S937" s="6">
        <f>0</f>
        <v>0</v>
      </c>
      <c r="T937" s="6">
        <f>1</f>
        <v>1</v>
      </c>
      <c r="U937" s="5" t="s">
        <v>245</v>
      </c>
      <c r="V937" s="4" t="s">
        <v>270</v>
      </c>
      <c r="W937" s="4" t="s">
        <v>271</v>
      </c>
      <c r="X937" s="4" t="s">
        <v>273</v>
      </c>
      <c r="Y937" s="4" t="s">
        <v>241</v>
      </c>
      <c r="AB937" s="4" t="s">
        <v>241</v>
      </c>
      <c r="AD937" s="5" t="s">
        <v>241</v>
      </c>
      <c r="AG937" s="5" t="s">
        <v>246</v>
      </c>
      <c r="AH937" s="4" t="s">
        <v>241</v>
      </c>
      <c r="AI937" s="4" t="s">
        <v>247</v>
      </c>
      <c r="AJ937" s="4" t="s">
        <v>248</v>
      </c>
      <c r="AZ937" s="4" t="s">
        <v>249</v>
      </c>
      <c r="BA937" s="4" t="s">
        <v>241</v>
      </c>
      <c r="BB937" s="4" t="s">
        <v>250</v>
      </c>
      <c r="BC937" s="4" t="s">
        <v>241</v>
      </c>
      <c r="BD937" s="4" t="s">
        <v>252</v>
      </c>
      <c r="BE937" s="4" t="s">
        <v>241</v>
      </c>
      <c r="BI937" s="4" t="s">
        <v>253</v>
      </c>
      <c r="BJ937" s="5" t="s">
        <v>246</v>
      </c>
      <c r="BK937" s="4" t="s">
        <v>254</v>
      </c>
      <c r="BL937" s="4" t="s">
        <v>255</v>
      </c>
      <c r="BM937" s="4" t="s">
        <v>241</v>
      </c>
      <c r="BN937" s="6">
        <f>0</f>
        <v>0</v>
      </c>
      <c r="BO937" s="6">
        <f>0</f>
        <v>0</v>
      </c>
      <c r="BP937" s="4" t="s">
        <v>256</v>
      </c>
      <c r="BQ937" s="4" t="s">
        <v>257</v>
      </c>
      <c r="CE937" s="4" t="s">
        <v>241</v>
      </c>
      <c r="CF937" s="4" t="s">
        <v>241</v>
      </c>
      <c r="CJ937" s="4" t="s">
        <v>276</v>
      </c>
      <c r="CK937" s="4" t="s">
        <v>259</v>
      </c>
      <c r="CL937" s="4" t="s">
        <v>241</v>
      </c>
      <c r="CO937" s="5" t="s">
        <v>260</v>
      </c>
      <c r="CP937" s="4" t="s">
        <v>241</v>
      </c>
      <c r="CQ937" s="4" t="s">
        <v>261</v>
      </c>
      <c r="CR937" s="4" t="s">
        <v>241</v>
      </c>
      <c r="CS937" s="4" t="s">
        <v>241</v>
      </c>
      <c r="CT937" s="4">
        <v>0</v>
      </c>
      <c r="CU937" s="4" t="s">
        <v>262</v>
      </c>
      <c r="CV937" s="4" t="s">
        <v>263</v>
      </c>
      <c r="CW937" s="4" t="s">
        <v>263</v>
      </c>
      <c r="CX937" s="4" t="s">
        <v>264</v>
      </c>
      <c r="DA937" s="6">
        <f>1</f>
        <v>1</v>
      </c>
      <c r="DC937" s="4" t="s">
        <v>277</v>
      </c>
      <c r="DD937" s="4" t="s">
        <v>241</v>
      </c>
      <c r="DF937" s="4" t="s">
        <v>277</v>
      </c>
      <c r="DG937" s="6">
        <f>392</f>
        <v>392</v>
      </c>
      <c r="DI937" s="4" t="s">
        <v>241</v>
      </c>
      <c r="DJ937" s="4" t="s">
        <v>241</v>
      </c>
      <c r="DK937" s="4" t="s">
        <v>241</v>
      </c>
      <c r="DL937" s="4" t="s">
        <v>241</v>
      </c>
      <c r="DP937" s="4" t="s">
        <v>241</v>
      </c>
      <c r="DQ937" s="4" t="s">
        <v>241</v>
      </c>
      <c r="DR937" s="4" t="s">
        <v>241</v>
      </c>
      <c r="DS937" s="4" t="s">
        <v>241</v>
      </c>
      <c r="DV937" s="4" t="s">
        <v>278</v>
      </c>
      <c r="DW937" s="4" t="s">
        <v>1503</v>
      </c>
      <c r="HO937" s="4" t="s">
        <v>267</v>
      </c>
    </row>
    <row r="938" spans="1:223" ht="19.5" customHeight="1" x14ac:dyDescent="0.4">
      <c r="A938" s="4">
        <v>1</v>
      </c>
      <c r="B938" s="4" t="s">
        <v>239</v>
      </c>
      <c r="C938" s="4">
        <v>2612</v>
      </c>
      <c r="D938" s="4">
        <v>1</v>
      </c>
      <c r="E938" s="4">
        <v>1</v>
      </c>
      <c r="F938" s="4" t="s">
        <v>268</v>
      </c>
      <c r="G938" s="4" t="s">
        <v>241</v>
      </c>
      <c r="H938" s="4" t="s">
        <v>241</v>
      </c>
      <c r="I938" s="4" t="s">
        <v>272</v>
      </c>
      <c r="J938" s="4" t="s">
        <v>274</v>
      </c>
      <c r="K938" s="4" t="s">
        <v>251</v>
      </c>
      <c r="L938" s="4" t="s">
        <v>269</v>
      </c>
      <c r="M938" s="5" t="s">
        <v>1500</v>
      </c>
      <c r="N938" s="6">
        <f>341</f>
        <v>341</v>
      </c>
      <c r="O938" s="4" t="s">
        <v>265</v>
      </c>
      <c r="P938" s="6">
        <f>1</f>
        <v>1</v>
      </c>
      <c r="Q938" s="6">
        <f>0</f>
        <v>0</v>
      </c>
      <c r="S938" s="6">
        <f>0</f>
        <v>0</v>
      </c>
      <c r="T938" s="6">
        <f>1</f>
        <v>1</v>
      </c>
      <c r="U938" s="5" t="s">
        <v>245</v>
      </c>
      <c r="V938" s="4" t="s">
        <v>270</v>
      </c>
      <c r="W938" s="4" t="s">
        <v>271</v>
      </c>
      <c r="X938" s="4" t="s">
        <v>273</v>
      </c>
      <c r="Y938" s="4" t="s">
        <v>241</v>
      </c>
      <c r="AB938" s="4" t="s">
        <v>241</v>
      </c>
      <c r="AD938" s="5" t="s">
        <v>241</v>
      </c>
      <c r="AG938" s="5" t="s">
        <v>246</v>
      </c>
      <c r="AH938" s="4" t="s">
        <v>241</v>
      </c>
      <c r="AI938" s="4" t="s">
        <v>247</v>
      </c>
      <c r="AJ938" s="4" t="s">
        <v>248</v>
      </c>
      <c r="AZ938" s="4" t="s">
        <v>249</v>
      </c>
      <c r="BA938" s="4" t="s">
        <v>241</v>
      </c>
      <c r="BB938" s="4" t="s">
        <v>250</v>
      </c>
      <c r="BC938" s="4" t="s">
        <v>241</v>
      </c>
      <c r="BD938" s="4" t="s">
        <v>252</v>
      </c>
      <c r="BE938" s="4" t="s">
        <v>241</v>
      </c>
      <c r="BI938" s="4" t="s">
        <v>253</v>
      </c>
      <c r="BJ938" s="5" t="s">
        <v>246</v>
      </c>
      <c r="BK938" s="4" t="s">
        <v>254</v>
      </c>
      <c r="BL938" s="4" t="s">
        <v>255</v>
      </c>
      <c r="BM938" s="4" t="s">
        <v>241</v>
      </c>
      <c r="BN938" s="6">
        <f>0</f>
        <v>0</v>
      </c>
      <c r="BO938" s="6">
        <f>0</f>
        <v>0</v>
      </c>
      <c r="BP938" s="4" t="s">
        <v>256</v>
      </c>
      <c r="BQ938" s="4" t="s">
        <v>257</v>
      </c>
      <c r="CE938" s="4" t="s">
        <v>241</v>
      </c>
      <c r="CF938" s="4" t="s">
        <v>241</v>
      </c>
      <c r="CJ938" s="4" t="s">
        <v>276</v>
      </c>
      <c r="CK938" s="4" t="s">
        <v>259</v>
      </c>
      <c r="CL938" s="4" t="s">
        <v>241</v>
      </c>
      <c r="CO938" s="5" t="s">
        <v>260</v>
      </c>
      <c r="CP938" s="4" t="s">
        <v>241</v>
      </c>
      <c r="CQ938" s="4" t="s">
        <v>261</v>
      </c>
      <c r="CR938" s="4" t="s">
        <v>241</v>
      </c>
      <c r="CS938" s="4" t="s">
        <v>241</v>
      </c>
      <c r="CT938" s="4">
        <v>0</v>
      </c>
      <c r="CU938" s="4" t="s">
        <v>262</v>
      </c>
      <c r="CV938" s="4" t="s">
        <v>263</v>
      </c>
      <c r="CW938" s="4" t="s">
        <v>263</v>
      </c>
      <c r="CX938" s="4" t="s">
        <v>264</v>
      </c>
      <c r="DA938" s="6">
        <f>1</f>
        <v>1</v>
      </c>
      <c r="DC938" s="4" t="s">
        <v>277</v>
      </c>
      <c r="DD938" s="4" t="s">
        <v>241</v>
      </c>
      <c r="DF938" s="4" t="s">
        <v>277</v>
      </c>
      <c r="DG938" s="6">
        <f>341</f>
        <v>341</v>
      </c>
      <c r="DI938" s="4" t="s">
        <v>241</v>
      </c>
      <c r="DJ938" s="4" t="s">
        <v>241</v>
      </c>
      <c r="DK938" s="4" t="s">
        <v>241</v>
      </c>
      <c r="DL938" s="4" t="s">
        <v>241</v>
      </c>
      <c r="DP938" s="4" t="s">
        <v>241</v>
      </c>
      <c r="DQ938" s="4" t="s">
        <v>241</v>
      </c>
      <c r="DR938" s="4" t="s">
        <v>241</v>
      </c>
      <c r="DS938" s="4" t="s">
        <v>241</v>
      </c>
      <c r="DV938" s="4" t="s">
        <v>278</v>
      </c>
      <c r="DW938" s="4" t="s">
        <v>1501</v>
      </c>
      <c r="HO938" s="4" t="s">
        <v>267</v>
      </c>
    </row>
    <row r="939" spans="1:223" ht="19.5" customHeight="1" x14ac:dyDescent="0.4">
      <c r="A939" s="4">
        <v>1</v>
      </c>
      <c r="B939" s="4" t="s">
        <v>239</v>
      </c>
      <c r="C939" s="4">
        <v>2613</v>
      </c>
      <c r="D939" s="4">
        <v>1</v>
      </c>
      <c r="E939" s="4">
        <v>1</v>
      </c>
      <c r="F939" s="4" t="s">
        <v>268</v>
      </c>
      <c r="G939" s="4" t="s">
        <v>241</v>
      </c>
      <c r="H939" s="4" t="s">
        <v>241</v>
      </c>
      <c r="I939" s="4" t="s">
        <v>272</v>
      </c>
      <c r="J939" s="4" t="s">
        <v>274</v>
      </c>
      <c r="K939" s="4" t="s">
        <v>251</v>
      </c>
      <c r="L939" s="4" t="s">
        <v>269</v>
      </c>
      <c r="M939" s="5" t="s">
        <v>1498</v>
      </c>
      <c r="N939" s="6">
        <f>654</f>
        <v>654</v>
      </c>
      <c r="O939" s="4" t="s">
        <v>265</v>
      </c>
      <c r="P939" s="6">
        <f>1</f>
        <v>1</v>
      </c>
      <c r="Q939" s="6">
        <f>0</f>
        <v>0</v>
      </c>
      <c r="S939" s="6">
        <f>0</f>
        <v>0</v>
      </c>
      <c r="T939" s="6">
        <f>1</f>
        <v>1</v>
      </c>
      <c r="U939" s="5" t="s">
        <v>245</v>
      </c>
      <c r="V939" s="4" t="s">
        <v>270</v>
      </c>
      <c r="W939" s="4" t="s">
        <v>271</v>
      </c>
      <c r="X939" s="4" t="s">
        <v>273</v>
      </c>
      <c r="Y939" s="4" t="s">
        <v>241</v>
      </c>
      <c r="AB939" s="4" t="s">
        <v>241</v>
      </c>
      <c r="AD939" s="5" t="s">
        <v>241</v>
      </c>
      <c r="AG939" s="5" t="s">
        <v>246</v>
      </c>
      <c r="AH939" s="4" t="s">
        <v>241</v>
      </c>
      <c r="AI939" s="4" t="s">
        <v>247</v>
      </c>
      <c r="AJ939" s="4" t="s">
        <v>248</v>
      </c>
      <c r="AZ939" s="4" t="s">
        <v>249</v>
      </c>
      <c r="BA939" s="4" t="s">
        <v>241</v>
      </c>
      <c r="BB939" s="4" t="s">
        <v>250</v>
      </c>
      <c r="BC939" s="4" t="s">
        <v>241</v>
      </c>
      <c r="BD939" s="4" t="s">
        <v>252</v>
      </c>
      <c r="BE939" s="4" t="s">
        <v>241</v>
      </c>
      <c r="BI939" s="4" t="s">
        <v>253</v>
      </c>
      <c r="BJ939" s="5" t="s">
        <v>246</v>
      </c>
      <c r="BK939" s="4" t="s">
        <v>254</v>
      </c>
      <c r="BL939" s="4" t="s">
        <v>255</v>
      </c>
      <c r="BM939" s="4" t="s">
        <v>241</v>
      </c>
      <c r="BN939" s="6">
        <f>0</f>
        <v>0</v>
      </c>
      <c r="BO939" s="6">
        <f>0</f>
        <v>0</v>
      </c>
      <c r="BP939" s="4" t="s">
        <v>256</v>
      </c>
      <c r="BQ939" s="4" t="s">
        <v>257</v>
      </c>
      <c r="CE939" s="4" t="s">
        <v>241</v>
      </c>
      <c r="CF939" s="4" t="s">
        <v>241</v>
      </c>
      <c r="CJ939" s="4" t="s">
        <v>276</v>
      </c>
      <c r="CK939" s="4" t="s">
        <v>259</v>
      </c>
      <c r="CL939" s="4" t="s">
        <v>241</v>
      </c>
      <c r="CO939" s="5" t="s">
        <v>260</v>
      </c>
      <c r="CP939" s="4" t="s">
        <v>241</v>
      </c>
      <c r="CQ939" s="4" t="s">
        <v>261</v>
      </c>
      <c r="CR939" s="4" t="s">
        <v>241</v>
      </c>
      <c r="CS939" s="4" t="s">
        <v>241</v>
      </c>
      <c r="CT939" s="4">
        <v>0</v>
      </c>
      <c r="CU939" s="4" t="s">
        <v>262</v>
      </c>
      <c r="CV939" s="4" t="s">
        <v>263</v>
      </c>
      <c r="CW939" s="4" t="s">
        <v>263</v>
      </c>
      <c r="CX939" s="4" t="s">
        <v>264</v>
      </c>
      <c r="DA939" s="6">
        <f>1</f>
        <v>1</v>
      </c>
      <c r="DC939" s="4" t="s">
        <v>277</v>
      </c>
      <c r="DD939" s="4" t="s">
        <v>241</v>
      </c>
      <c r="DF939" s="4" t="s">
        <v>277</v>
      </c>
      <c r="DG939" s="6">
        <f>654</f>
        <v>654</v>
      </c>
      <c r="DI939" s="4" t="s">
        <v>241</v>
      </c>
      <c r="DJ939" s="4" t="s">
        <v>241</v>
      </c>
      <c r="DK939" s="4" t="s">
        <v>241</v>
      </c>
      <c r="DL939" s="4" t="s">
        <v>241</v>
      </c>
      <c r="DP939" s="4" t="s">
        <v>241</v>
      </c>
      <c r="DQ939" s="4" t="s">
        <v>241</v>
      </c>
      <c r="DR939" s="4" t="s">
        <v>241</v>
      </c>
      <c r="DS939" s="4" t="s">
        <v>241</v>
      </c>
      <c r="DV939" s="4" t="s">
        <v>278</v>
      </c>
      <c r="DW939" s="4" t="s">
        <v>1499</v>
      </c>
      <c r="HO939" s="4" t="s">
        <v>267</v>
      </c>
    </row>
    <row r="940" spans="1:223" ht="19.5" customHeight="1" x14ac:dyDescent="0.4">
      <c r="A940" s="4">
        <v>1</v>
      </c>
      <c r="B940" s="4" t="s">
        <v>239</v>
      </c>
      <c r="C940" s="4">
        <v>2614</v>
      </c>
      <c r="D940" s="4">
        <v>1</v>
      </c>
      <c r="E940" s="4">
        <v>1</v>
      </c>
      <c r="F940" s="4" t="s">
        <v>268</v>
      </c>
      <c r="G940" s="4" t="s">
        <v>241</v>
      </c>
      <c r="H940" s="4" t="s">
        <v>241</v>
      </c>
      <c r="I940" s="4" t="s">
        <v>272</v>
      </c>
      <c r="J940" s="4" t="s">
        <v>274</v>
      </c>
      <c r="K940" s="4" t="s">
        <v>251</v>
      </c>
      <c r="L940" s="4" t="s">
        <v>269</v>
      </c>
      <c r="M940" s="5" t="s">
        <v>1494</v>
      </c>
      <c r="N940" s="6">
        <f>2693</f>
        <v>2693</v>
      </c>
      <c r="O940" s="4" t="s">
        <v>265</v>
      </c>
      <c r="P940" s="6">
        <f>1</f>
        <v>1</v>
      </c>
      <c r="Q940" s="6">
        <f>0</f>
        <v>0</v>
      </c>
      <c r="S940" s="6">
        <f>0</f>
        <v>0</v>
      </c>
      <c r="T940" s="6">
        <f>1</f>
        <v>1</v>
      </c>
      <c r="U940" s="5" t="s">
        <v>245</v>
      </c>
      <c r="V940" s="4" t="s">
        <v>270</v>
      </c>
      <c r="W940" s="4" t="s">
        <v>271</v>
      </c>
      <c r="X940" s="4" t="s">
        <v>273</v>
      </c>
      <c r="Y940" s="4" t="s">
        <v>241</v>
      </c>
      <c r="AB940" s="4" t="s">
        <v>241</v>
      </c>
      <c r="AD940" s="5" t="s">
        <v>241</v>
      </c>
      <c r="AG940" s="5" t="s">
        <v>246</v>
      </c>
      <c r="AH940" s="4" t="s">
        <v>241</v>
      </c>
      <c r="AI940" s="4" t="s">
        <v>247</v>
      </c>
      <c r="AJ940" s="4" t="s">
        <v>248</v>
      </c>
      <c r="AZ940" s="4" t="s">
        <v>249</v>
      </c>
      <c r="BA940" s="4" t="s">
        <v>241</v>
      </c>
      <c r="BB940" s="4" t="s">
        <v>250</v>
      </c>
      <c r="BC940" s="4" t="s">
        <v>241</v>
      </c>
      <c r="BD940" s="4" t="s">
        <v>252</v>
      </c>
      <c r="BE940" s="4" t="s">
        <v>241</v>
      </c>
      <c r="BI940" s="4" t="s">
        <v>253</v>
      </c>
      <c r="BJ940" s="5" t="s">
        <v>246</v>
      </c>
      <c r="BK940" s="4" t="s">
        <v>254</v>
      </c>
      <c r="BL940" s="4" t="s">
        <v>255</v>
      </c>
      <c r="BM940" s="4" t="s">
        <v>241</v>
      </c>
      <c r="BN940" s="6">
        <f>0</f>
        <v>0</v>
      </c>
      <c r="BO940" s="6">
        <f>0</f>
        <v>0</v>
      </c>
      <c r="BP940" s="4" t="s">
        <v>256</v>
      </c>
      <c r="BQ940" s="4" t="s">
        <v>257</v>
      </c>
      <c r="CE940" s="4" t="s">
        <v>241</v>
      </c>
      <c r="CF940" s="4" t="s">
        <v>241</v>
      </c>
      <c r="CJ940" s="4" t="s">
        <v>276</v>
      </c>
      <c r="CK940" s="4" t="s">
        <v>259</v>
      </c>
      <c r="CL940" s="4" t="s">
        <v>241</v>
      </c>
      <c r="CO940" s="5" t="s">
        <v>260</v>
      </c>
      <c r="CP940" s="4" t="s">
        <v>241</v>
      </c>
      <c r="CQ940" s="4" t="s">
        <v>261</v>
      </c>
      <c r="CR940" s="4" t="s">
        <v>241</v>
      </c>
      <c r="CS940" s="4" t="s">
        <v>241</v>
      </c>
      <c r="CT940" s="4">
        <v>0</v>
      </c>
      <c r="CU940" s="4" t="s">
        <v>262</v>
      </c>
      <c r="CV940" s="4" t="s">
        <v>263</v>
      </c>
      <c r="CW940" s="4" t="s">
        <v>263</v>
      </c>
      <c r="CX940" s="4" t="s">
        <v>264</v>
      </c>
      <c r="DA940" s="6">
        <f>1</f>
        <v>1</v>
      </c>
      <c r="DC940" s="4" t="s">
        <v>277</v>
      </c>
      <c r="DD940" s="4" t="s">
        <v>241</v>
      </c>
      <c r="DF940" s="4" t="s">
        <v>277</v>
      </c>
      <c r="DG940" s="6">
        <f>2693</f>
        <v>2693</v>
      </c>
      <c r="DI940" s="4" t="s">
        <v>241</v>
      </c>
      <c r="DJ940" s="4" t="s">
        <v>241</v>
      </c>
      <c r="DK940" s="4" t="s">
        <v>241</v>
      </c>
      <c r="DL940" s="4" t="s">
        <v>241</v>
      </c>
      <c r="DP940" s="4" t="s">
        <v>241</v>
      </c>
      <c r="DQ940" s="4" t="s">
        <v>241</v>
      </c>
      <c r="DR940" s="4" t="s">
        <v>241</v>
      </c>
      <c r="DS940" s="4" t="s">
        <v>241</v>
      </c>
      <c r="DV940" s="4" t="s">
        <v>278</v>
      </c>
      <c r="DW940" s="4" t="s">
        <v>1495</v>
      </c>
      <c r="HO940" s="4" t="s">
        <v>267</v>
      </c>
    </row>
    <row r="941" spans="1:223" ht="19.5" customHeight="1" x14ac:dyDescent="0.4">
      <c r="A941" s="4">
        <v>1</v>
      </c>
      <c r="B941" s="4" t="s">
        <v>239</v>
      </c>
      <c r="C941" s="4">
        <v>2615</v>
      </c>
      <c r="D941" s="4">
        <v>1</v>
      </c>
      <c r="E941" s="4">
        <v>1</v>
      </c>
      <c r="F941" s="4" t="s">
        <v>268</v>
      </c>
      <c r="G941" s="4" t="s">
        <v>241</v>
      </c>
      <c r="H941" s="4" t="s">
        <v>241</v>
      </c>
      <c r="I941" s="4" t="s">
        <v>272</v>
      </c>
      <c r="J941" s="4" t="s">
        <v>274</v>
      </c>
      <c r="K941" s="4" t="s">
        <v>251</v>
      </c>
      <c r="L941" s="4" t="s">
        <v>269</v>
      </c>
      <c r="M941" s="5" t="s">
        <v>1492</v>
      </c>
      <c r="N941" s="6">
        <f>2050</f>
        <v>2050</v>
      </c>
      <c r="O941" s="4" t="s">
        <v>265</v>
      </c>
      <c r="P941" s="6">
        <f>1</f>
        <v>1</v>
      </c>
      <c r="Q941" s="6">
        <f>0</f>
        <v>0</v>
      </c>
      <c r="S941" s="6">
        <f>0</f>
        <v>0</v>
      </c>
      <c r="T941" s="6">
        <f>1</f>
        <v>1</v>
      </c>
      <c r="U941" s="5" t="s">
        <v>245</v>
      </c>
      <c r="V941" s="4" t="s">
        <v>270</v>
      </c>
      <c r="W941" s="4" t="s">
        <v>271</v>
      </c>
      <c r="X941" s="4" t="s">
        <v>273</v>
      </c>
      <c r="Y941" s="4" t="s">
        <v>241</v>
      </c>
      <c r="AB941" s="4" t="s">
        <v>241</v>
      </c>
      <c r="AD941" s="5" t="s">
        <v>241</v>
      </c>
      <c r="AG941" s="5" t="s">
        <v>246</v>
      </c>
      <c r="AH941" s="4" t="s">
        <v>241</v>
      </c>
      <c r="AI941" s="4" t="s">
        <v>247</v>
      </c>
      <c r="AJ941" s="4" t="s">
        <v>248</v>
      </c>
      <c r="AZ941" s="4" t="s">
        <v>249</v>
      </c>
      <c r="BA941" s="4" t="s">
        <v>241</v>
      </c>
      <c r="BB941" s="4" t="s">
        <v>250</v>
      </c>
      <c r="BC941" s="4" t="s">
        <v>241</v>
      </c>
      <c r="BD941" s="4" t="s">
        <v>252</v>
      </c>
      <c r="BE941" s="4" t="s">
        <v>241</v>
      </c>
      <c r="BI941" s="4" t="s">
        <v>253</v>
      </c>
      <c r="BJ941" s="5" t="s">
        <v>246</v>
      </c>
      <c r="BK941" s="4" t="s">
        <v>254</v>
      </c>
      <c r="BL941" s="4" t="s">
        <v>255</v>
      </c>
      <c r="BM941" s="4" t="s">
        <v>241</v>
      </c>
      <c r="BN941" s="6">
        <f>0</f>
        <v>0</v>
      </c>
      <c r="BO941" s="6">
        <f>0</f>
        <v>0</v>
      </c>
      <c r="BP941" s="4" t="s">
        <v>256</v>
      </c>
      <c r="BQ941" s="4" t="s">
        <v>257</v>
      </c>
      <c r="CE941" s="4" t="s">
        <v>241</v>
      </c>
      <c r="CF941" s="4" t="s">
        <v>241</v>
      </c>
      <c r="CJ941" s="4" t="s">
        <v>276</v>
      </c>
      <c r="CK941" s="4" t="s">
        <v>259</v>
      </c>
      <c r="CL941" s="4" t="s">
        <v>241</v>
      </c>
      <c r="CO941" s="5" t="s">
        <v>260</v>
      </c>
      <c r="CP941" s="4" t="s">
        <v>241</v>
      </c>
      <c r="CQ941" s="4" t="s">
        <v>261</v>
      </c>
      <c r="CR941" s="4" t="s">
        <v>241</v>
      </c>
      <c r="CS941" s="4" t="s">
        <v>241</v>
      </c>
      <c r="CT941" s="4">
        <v>0</v>
      </c>
      <c r="CU941" s="4" t="s">
        <v>262</v>
      </c>
      <c r="CV941" s="4" t="s">
        <v>263</v>
      </c>
      <c r="CW941" s="4" t="s">
        <v>263</v>
      </c>
      <c r="CX941" s="4" t="s">
        <v>264</v>
      </c>
      <c r="DA941" s="6">
        <f>1</f>
        <v>1</v>
      </c>
      <c r="DC941" s="4" t="s">
        <v>277</v>
      </c>
      <c r="DD941" s="4" t="s">
        <v>241</v>
      </c>
      <c r="DF941" s="4" t="s">
        <v>277</v>
      </c>
      <c r="DG941" s="6">
        <f>2050</f>
        <v>2050</v>
      </c>
      <c r="DI941" s="4" t="s">
        <v>241</v>
      </c>
      <c r="DJ941" s="4" t="s">
        <v>241</v>
      </c>
      <c r="DK941" s="4" t="s">
        <v>241</v>
      </c>
      <c r="DL941" s="4" t="s">
        <v>241</v>
      </c>
      <c r="DP941" s="4" t="s">
        <v>241</v>
      </c>
      <c r="DQ941" s="4" t="s">
        <v>241</v>
      </c>
      <c r="DR941" s="4" t="s">
        <v>241</v>
      </c>
      <c r="DS941" s="4" t="s">
        <v>241</v>
      </c>
      <c r="DV941" s="4" t="s">
        <v>278</v>
      </c>
      <c r="DW941" s="4" t="s">
        <v>1493</v>
      </c>
      <c r="HO941" s="4" t="s">
        <v>267</v>
      </c>
    </row>
    <row r="942" spans="1:223" ht="19.5" customHeight="1" x14ac:dyDescent="0.4">
      <c r="A942" s="4">
        <v>1</v>
      </c>
      <c r="B942" s="4" t="s">
        <v>239</v>
      </c>
      <c r="C942" s="4">
        <v>2616</v>
      </c>
      <c r="D942" s="4">
        <v>1</v>
      </c>
      <c r="E942" s="4">
        <v>1</v>
      </c>
      <c r="F942" s="4" t="s">
        <v>268</v>
      </c>
      <c r="G942" s="4" t="s">
        <v>241</v>
      </c>
      <c r="H942" s="4" t="s">
        <v>241</v>
      </c>
      <c r="I942" s="4" t="s">
        <v>272</v>
      </c>
      <c r="J942" s="4" t="s">
        <v>274</v>
      </c>
      <c r="K942" s="4" t="s">
        <v>251</v>
      </c>
      <c r="L942" s="4" t="s">
        <v>269</v>
      </c>
      <c r="M942" s="5" t="s">
        <v>1489</v>
      </c>
      <c r="N942" s="6">
        <f>1102</f>
        <v>1102</v>
      </c>
      <c r="O942" s="4" t="s">
        <v>265</v>
      </c>
      <c r="P942" s="6">
        <f>1</f>
        <v>1</v>
      </c>
      <c r="Q942" s="6">
        <f>0</f>
        <v>0</v>
      </c>
      <c r="S942" s="6">
        <f>0</f>
        <v>0</v>
      </c>
      <c r="T942" s="6">
        <f>1</f>
        <v>1</v>
      </c>
      <c r="U942" s="5" t="s">
        <v>245</v>
      </c>
      <c r="V942" s="4" t="s">
        <v>270</v>
      </c>
      <c r="W942" s="4" t="s">
        <v>271</v>
      </c>
      <c r="X942" s="4" t="s">
        <v>273</v>
      </c>
      <c r="Y942" s="4" t="s">
        <v>241</v>
      </c>
      <c r="AB942" s="4" t="s">
        <v>241</v>
      </c>
      <c r="AD942" s="5" t="s">
        <v>241</v>
      </c>
      <c r="AG942" s="5" t="s">
        <v>246</v>
      </c>
      <c r="AH942" s="4" t="s">
        <v>241</v>
      </c>
      <c r="AI942" s="4" t="s">
        <v>247</v>
      </c>
      <c r="AJ942" s="4" t="s">
        <v>248</v>
      </c>
      <c r="AZ942" s="4" t="s">
        <v>249</v>
      </c>
      <c r="BA942" s="4" t="s">
        <v>241</v>
      </c>
      <c r="BB942" s="4" t="s">
        <v>250</v>
      </c>
      <c r="BC942" s="4" t="s">
        <v>241</v>
      </c>
      <c r="BD942" s="4" t="s">
        <v>252</v>
      </c>
      <c r="BE942" s="4" t="s">
        <v>241</v>
      </c>
      <c r="BI942" s="4" t="s">
        <v>253</v>
      </c>
      <c r="BJ942" s="5" t="s">
        <v>246</v>
      </c>
      <c r="BK942" s="4" t="s">
        <v>254</v>
      </c>
      <c r="BL942" s="4" t="s">
        <v>255</v>
      </c>
      <c r="BM942" s="4" t="s">
        <v>241</v>
      </c>
      <c r="BN942" s="6">
        <f>0</f>
        <v>0</v>
      </c>
      <c r="BO942" s="6">
        <f>0</f>
        <v>0</v>
      </c>
      <c r="BP942" s="4" t="s">
        <v>256</v>
      </c>
      <c r="BQ942" s="4" t="s">
        <v>257</v>
      </c>
      <c r="CE942" s="4" t="s">
        <v>241</v>
      </c>
      <c r="CF942" s="4" t="s">
        <v>241</v>
      </c>
      <c r="CJ942" s="4" t="s">
        <v>276</v>
      </c>
      <c r="CK942" s="4" t="s">
        <v>259</v>
      </c>
      <c r="CL942" s="4" t="s">
        <v>241</v>
      </c>
      <c r="CO942" s="5" t="s">
        <v>260</v>
      </c>
      <c r="CP942" s="4" t="s">
        <v>241</v>
      </c>
      <c r="CQ942" s="4" t="s">
        <v>261</v>
      </c>
      <c r="CR942" s="4" t="s">
        <v>241</v>
      </c>
      <c r="CS942" s="4" t="s">
        <v>241</v>
      </c>
      <c r="CT942" s="4">
        <v>0</v>
      </c>
      <c r="CU942" s="4" t="s">
        <v>262</v>
      </c>
      <c r="CV942" s="4" t="s">
        <v>263</v>
      </c>
      <c r="CW942" s="4" t="s">
        <v>263</v>
      </c>
      <c r="CX942" s="4" t="s">
        <v>264</v>
      </c>
      <c r="DA942" s="6">
        <f>1</f>
        <v>1</v>
      </c>
      <c r="DC942" s="4" t="s">
        <v>277</v>
      </c>
      <c r="DD942" s="4" t="s">
        <v>241</v>
      </c>
      <c r="DF942" s="4" t="s">
        <v>277</v>
      </c>
      <c r="DG942" s="6">
        <f>1102</f>
        <v>1102</v>
      </c>
      <c r="DI942" s="4" t="s">
        <v>241</v>
      </c>
      <c r="DJ942" s="4" t="s">
        <v>241</v>
      </c>
      <c r="DK942" s="4" t="s">
        <v>241</v>
      </c>
      <c r="DL942" s="4" t="s">
        <v>241</v>
      </c>
      <c r="DP942" s="4" t="s">
        <v>241</v>
      </c>
      <c r="DQ942" s="4" t="s">
        <v>241</v>
      </c>
      <c r="DR942" s="4" t="s">
        <v>241</v>
      </c>
      <c r="DS942" s="4" t="s">
        <v>241</v>
      </c>
      <c r="DV942" s="4" t="s">
        <v>278</v>
      </c>
      <c r="DW942" s="4" t="s">
        <v>1490</v>
      </c>
      <c r="HO942" s="4" t="s">
        <v>267</v>
      </c>
    </row>
    <row r="943" spans="1:223" ht="19.5" customHeight="1" x14ac:dyDescent="0.4">
      <c r="A943" s="4">
        <v>1</v>
      </c>
      <c r="B943" s="4" t="s">
        <v>239</v>
      </c>
      <c r="C943" s="4">
        <v>2617</v>
      </c>
      <c r="D943" s="4">
        <v>1</v>
      </c>
      <c r="E943" s="4">
        <v>1</v>
      </c>
      <c r="F943" s="4" t="s">
        <v>268</v>
      </c>
      <c r="G943" s="4" t="s">
        <v>241</v>
      </c>
      <c r="H943" s="4" t="s">
        <v>241</v>
      </c>
      <c r="I943" s="4" t="s">
        <v>272</v>
      </c>
      <c r="J943" s="4" t="s">
        <v>274</v>
      </c>
      <c r="K943" s="4" t="s">
        <v>251</v>
      </c>
      <c r="L943" s="4" t="s">
        <v>269</v>
      </c>
      <c r="M943" s="5" t="s">
        <v>1487</v>
      </c>
      <c r="N943" s="6">
        <f>3914</f>
        <v>3914</v>
      </c>
      <c r="O943" s="4" t="s">
        <v>265</v>
      </c>
      <c r="P943" s="6">
        <f>1</f>
        <v>1</v>
      </c>
      <c r="Q943" s="6">
        <f>0</f>
        <v>0</v>
      </c>
      <c r="S943" s="6">
        <f>0</f>
        <v>0</v>
      </c>
      <c r="T943" s="6">
        <f>1</f>
        <v>1</v>
      </c>
      <c r="U943" s="5" t="s">
        <v>245</v>
      </c>
      <c r="V943" s="4" t="s">
        <v>270</v>
      </c>
      <c r="W943" s="4" t="s">
        <v>271</v>
      </c>
      <c r="X943" s="4" t="s">
        <v>273</v>
      </c>
      <c r="Y943" s="4" t="s">
        <v>241</v>
      </c>
      <c r="AB943" s="4" t="s">
        <v>241</v>
      </c>
      <c r="AD943" s="5" t="s">
        <v>241</v>
      </c>
      <c r="AG943" s="5" t="s">
        <v>246</v>
      </c>
      <c r="AH943" s="4" t="s">
        <v>241</v>
      </c>
      <c r="AI943" s="4" t="s">
        <v>247</v>
      </c>
      <c r="AJ943" s="4" t="s">
        <v>248</v>
      </c>
      <c r="AZ943" s="4" t="s">
        <v>249</v>
      </c>
      <c r="BA943" s="4" t="s">
        <v>241</v>
      </c>
      <c r="BB943" s="4" t="s">
        <v>250</v>
      </c>
      <c r="BC943" s="4" t="s">
        <v>241</v>
      </c>
      <c r="BD943" s="4" t="s">
        <v>252</v>
      </c>
      <c r="BE943" s="4" t="s">
        <v>241</v>
      </c>
      <c r="BI943" s="4" t="s">
        <v>253</v>
      </c>
      <c r="BJ943" s="5" t="s">
        <v>246</v>
      </c>
      <c r="BK943" s="4" t="s">
        <v>254</v>
      </c>
      <c r="BL943" s="4" t="s">
        <v>255</v>
      </c>
      <c r="BM943" s="4" t="s">
        <v>241</v>
      </c>
      <c r="BN943" s="6">
        <f>0</f>
        <v>0</v>
      </c>
      <c r="BO943" s="6">
        <f>0</f>
        <v>0</v>
      </c>
      <c r="BP943" s="4" t="s">
        <v>256</v>
      </c>
      <c r="BQ943" s="4" t="s">
        <v>257</v>
      </c>
      <c r="CE943" s="4" t="s">
        <v>241</v>
      </c>
      <c r="CF943" s="4" t="s">
        <v>241</v>
      </c>
      <c r="CJ943" s="4" t="s">
        <v>276</v>
      </c>
      <c r="CK943" s="4" t="s">
        <v>259</v>
      </c>
      <c r="CL943" s="4" t="s">
        <v>241</v>
      </c>
      <c r="CO943" s="5" t="s">
        <v>260</v>
      </c>
      <c r="CP943" s="4" t="s">
        <v>241</v>
      </c>
      <c r="CQ943" s="4" t="s">
        <v>261</v>
      </c>
      <c r="CR943" s="4" t="s">
        <v>241</v>
      </c>
      <c r="CS943" s="4" t="s">
        <v>241</v>
      </c>
      <c r="CT943" s="4">
        <v>0</v>
      </c>
      <c r="CU943" s="4" t="s">
        <v>262</v>
      </c>
      <c r="CV943" s="4" t="s">
        <v>263</v>
      </c>
      <c r="CW943" s="4" t="s">
        <v>263</v>
      </c>
      <c r="CX943" s="4" t="s">
        <v>264</v>
      </c>
      <c r="DA943" s="6">
        <f>1</f>
        <v>1</v>
      </c>
      <c r="DC943" s="4" t="s">
        <v>277</v>
      </c>
      <c r="DD943" s="4" t="s">
        <v>241</v>
      </c>
      <c r="DF943" s="4" t="s">
        <v>277</v>
      </c>
      <c r="DG943" s="6">
        <f>3914</f>
        <v>3914</v>
      </c>
      <c r="DI943" s="4" t="s">
        <v>241</v>
      </c>
      <c r="DJ943" s="4" t="s">
        <v>241</v>
      </c>
      <c r="DK943" s="4" t="s">
        <v>241</v>
      </c>
      <c r="DL943" s="4" t="s">
        <v>241</v>
      </c>
      <c r="DP943" s="4" t="s">
        <v>241</v>
      </c>
      <c r="DQ943" s="4" t="s">
        <v>241</v>
      </c>
      <c r="DR943" s="4" t="s">
        <v>241</v>
      </c>
      <c r="DS943" s="4" t="s">
        <v>241</v>
      </c>
      <c r="DV943" s="4" t="s">
        <v>278</v>
      </c>
      <c r="DW943" s="4" t="s">
        <v>1488</v>
      </c>
      <c r="HO943" s="4" t="s">
        <v>267</v>
      </c>
    </row>
    <row r="944" spans="1:223" ht="19.5" customHeight="1" x14ac:dyDescent="0.4">
      <c r="A944" s="4">
        <v>1</v>
      </c>
      <c r="B944" s="4" t="s">
        <v>239</v>
      </c>
      <c r="C944" s="4">
        <v>2618</v>
      </c>
      <c r="D944" s="4">
        <v>1</v>
      </c>
      <c r="E944" s="4">
        <v>1</v>
      </c>
      <c r="F944" s="4" t="s">
        <v>268</v>
      </c>
      <c r="G944" s="4" t="s">
        <v>241</v>
      </c>
      <c r="H944" s="4" t="s">
        <v>241</v>
      </c>
      <c r="I944" s="4" t="s">
        <v>272</v>
      </c>
      <c r="J944" s="4" t="s">
        <v>274</v>
      </c>
      <c r="K944" s="4" t="s">
        <v>251</v>
      </c>
      <c r="L944" s="4" t="s">
        <v>269</v>
      </c>
      <c r="M944" s="5" t="s">
        <v>1822</v>
      </c>
      <c r="N944" s="6">
        <f>346</f>
        <v>346</v>
      </c>
      <c r="O944" s="4" t="s">
        <v>265</v>
      </c>
      <c r="P944" s="6">
        <f>1</f>
        <v>1</v>
      </c>
      <c r="Q944" s="6">
        <f>0</f>
        <v>0</v>
      </c>
      <c r="S944" s="6">
        <f>0</f>
        <v>0</v>
      </c>
      <c r="T944" s="6">
        <f>1</f>
        <v>1</v>
      </c>
      <c r="U944" s="5" t="s">
        <v>245</v>
      </c>
      <c r="V944" s="4" t="s">
        <v>270</v>
      </c>
      <c r="W944" s="4" t="s">
        <v>271</v>
      </c>
      <c r="X944" s="4" t="s">
        <v>273</v>
      </c>
      <c r="Y944" s="4" t="s">
        <v>241</v>
      </c>
      <c r="AB944" s="4" t="s">
        <v>241</v>
      </c>
      <c r="AD944" s="5" t="s">
        <v>241</v>
      </c>
      <c r="AG944" s="5" t="s">
        <v>246</v>
      </c>
      <c r="AH944" s="4" t="s">
        <v>241</v>
      </c>
      <c r="AI944" s="4" t="s">
        <v>247</v>
      </c>
      <c r="AJ944" s="4" t="s">
        <v>248</v>
      </c>
      <c r="AZ944" s="4" t="s">
        <v>249</v>
      </c>
      <c r="BA944" s="4" t="s">
        <v>241</v>
      </c>
      <c r="BB944" s="4" t="s">
        <v>250</v>
      </c>
      <c r="BC944" s="4" t="s">
        <v>241</v>
      </c>
      <c r="BD944" s="4" t="s">
        <v>252</v>
      </c>
      <c r="BE944" s="4" t="s">
        <v>241</v>
      </c>
      <c r="BI944" s="4" t="s">
        <v>253</v>
      </c>
      <c r="BJ944" s="5" t="s">
        <v>246</v>
      </c>
      <c r="BK944" s="4" t="s">
        <v>254</v>
      </c>
      <c r="BL944" s="4" t="s">
        <v>255</v>
      </c>
      <c r="BM944" s="4" t="s">
        <v>241</v>
      </c>
      <c r="BN944" s="6">
        <f>0</f>
        <v>0</v>
      </c>
      <c r="BO944" s="6">
        <f>0</f>
        <v>0</v>
      </c>
      <c r="BP944" s="4" t="s">
        <v>256</v>
      </c>
      <c r="BQ944" s="4" t="s">
        <v>257</v>
      </c>
      <c r="CE944" s="4" t="s">
        <v>241</v>
      </c>
      <c r="CF944" s="4" t="s">
        <v>241</v>
      </c>
      <c r="CJ944" s="4" t="s">
        <v>276</v>
      </c>
      <c r="CK944" s="4" t="s">
        <v>259</v>
      </c>
      <c r="CL944" s="4" t="s">
        <v>241</v>
      </c>
      <c r="CO944" s="5" t="s">
        <v>260</v>
      </c>
      <c r="CP944" s="4" t="s">
        <v>241</v>
      </c>
      <c r="CQ944" s="4" t="s">
        <v>261</v>
      </c>
      <c r="CR944" s="4" t="s">
        <v>241</v>
      </c>
      <c r="CS944" s="4" t="s">
        <v>241</v>
      </c>
      <c r="CT944" s="4">
        <v>0</v>
      </c>
      <c r="CU944" s="4" t="s">
        <v>262</v>
      </c>
      <c r="CV944" s="4" t="s">
        <v>263</v>
      </c>
      <c r="CW944" s="4" t="s">
        <v>263</v>
      </c>
      <c r="CX944" s="4" t="s">
        <v>264</v>
      </c>
      <c r="DA944" s="6">
        <f>1</f>
        <v>1</v>
      </c>
      <c r="DC944" s="4" t="s">
        <v>277</v>
      </c>
      <c r="DD944" s="4" t="s">
        <v>241</v>
      </c>
      <c r="DF944" s="4" t="s">
        <v>277</v>
      </c>
      <c r="DG944" s="6">
        <f>346</f>
        <v>346</v>
      </c>
      <c r="DI944" s="4" t="s">
        <v>241</v>
      </c>
      <c r="DJ944" s="4" t="s">
        <v>241</v>
      </c>
      <c r="DK944" s="4" t="s">
        <v>241</v>
      </c>
      <c r="DL944" s="4" t="s">
        <v>241</v>
      </c>
      <c r="DP944" s="4" t="s">
        <v>241</v>
      </c>
      <c r="DQ944" s="4" t="s">
        <v>241</v>
      </c>
      <c r="DR944" s="4" t="s">
        <v>241</v>
      </c>
      <c r="DS944" s="4" t="s">
        <v>241</v>
      </c>
      <c r="DV944" s="4" t="s">
        <v>278</v>
      </c>
      <c r="DW944" s="4" t="s">
        <v>1823</v>
      </c>
      <c r="HO944" s="4" t="s">
        <v>267</v>
      </c>
    </row>
    <row r="945" spans="1:223" ht="19.5" customHeight="1" x14ac:dyDescent="0.4">
      <c r="A945" s="4">
        <v>1</v>
      </c>
      <c r="B945" s="4" t="s">
        <v>239</v>
      </c>
      <c r="C945" s="4">
        <v>2619</v>
      </c>
      <c r="D945" s="4">
        <v>1</v>
      </c>
      <c r="E945" s="4">
        <v>1</v>
      </c>
      <c r="F945" s="4" t="s">
        <v>268</v>
      </c>
      <c r="G945" s="4" t="s">
        <v>241</v>
      </c>
      <c r="H945" s="4" t="s">
        <v>241</v>
      </c>
      <c r="I945" s="4" t="s">
        <v>272</v>
      </c>
      <c r="J945" s="4" t="s">
        <v>274</v>
      </c>
      <c r="K945" s="4" t="s">
        <v>251</v>
      </c>
      <c r="L945" s="4" t="s">
        <v>269</v>
      </c>
      <c r="M945" s="5" t="s">
        <v>1484</v>
      </c>
      <c r="N945" s="6">
        <f>1261</f>
        <v>1261</v>
      </c>
      <c r="O945" s="4" t="s">
        <v>265</v>
      </c>
      <c r="P945" s="6">
        <f>1</f>
        <v>1</v>
      </c>
      <c r="Q945" s="6">
        <f>0</f>
        <v>0</v>
      </c>
      <c r="S945" s="6">
        <f>0</f>
        <v>0</v>
      </c>
      <c r="T945" s="6">
        <f>1</f>
        <v>1</v>
      </c>
      <c r="U945" s="5" t="s">
        <v>245</v>
      </c>
      <c r="V945" s="4" t="s">
        <v>270</v>
      </c>
      <c r="W945" s="4" t="s">
        <v>271</v>
      </c>
      <c r="X945" s="4" t="s">
        <v>273</v>
      </c>
      <c r="Y945" s="4" t="s">
        <v>241</v>
      </c>
      <c r="AB945" s="4" t="s">
        <v>241</v>
      </c>
      <c r="AD945" s="5" t="s">
        <v>241</v>
      </c>
      <c r="AG945" s="5" t="s">
        <v>246</v>
      </c>
      <c r="AH945" s="4" t="s">
        <v>241</v>
      </c>
      <c r="AI945" s="4" t="s">
        <v>247</v>
      </c>
      <c r="AJ945" s="4" t="s">
        <v>248</v>
      </c>
      <c r="AZ945" s="4" t="s">
        <v>249</v>
      </c>
      <c r="BA945" s="4" t="s">
        <v>241</v>
      </c>
      <c r="BB945" s="4" t="s">
        <v>250</v>
      </c>
      <c r="BC945" s="4" t="s">
        <v>241</v>
      </c>
      <c r="BD945" s="4" t="s">
        <v>252</v>
      </c>
      <c r="BE945" s="4" t="s">
        <v>241</v>
      </c>
      <c r="BI945" s="4" t="s">
        <v>253</v>
      </c>
      <c r="BJ945" s="5" t="s">
        <v>246</v>
      </c>
      <c r="BK945" s="4" t="s">
        <v>254</v>
      </c>
      <c r="BL945" s="4" t="s">
        <v>255</v>
      </c>
      <c r="BM945" s="4" t="s">
        <v>241</v>
      </c>
      <c r="BN945" s="6">
        <f>0</f>
        <v>0</v>
      </c>
      <c r="BO945" s="6">
        <f>0</f>
        <v>0</v>
      </c>
      <c r="BP945" s="4" t="s">
        <v>256</v>
      </c>
      <c r="BQ945" s="4" t="s">
        <v>257</v>
      </c>
      <c r="CE945" s="4" t="s">
        <v>241</v>
      </c>
      <c r="CF945" s="4" t="s">
        <v>241</v>
      </c>
      <c r="CJ945" s="4" t="s">
        <v>276</v>
      </c>
      <c r="CK945" s="4" t="s">
        <v>259</v>
      </c>
      <c r="CL945" s="4" t="s">
        <v>241</v>
      </c>
      <c r="CO945" s="5" t="s">
        <v>260</v>
      </c>
      <c r="CP945" s="4" t="s">
        <v>241</v>
      </c>
      <c r="CQ945" s="4" t="s">
        <v>261</v>
      </c>
      <c r="CR945" s="4" t="s">
        <v>241</v>
      </c>
      <c r="CS945" s="4" t="s">
        <v>241</v>
      </c>
      <c r="CT945" s="4">
        <v>0</v>
      </c>
      <c r="CU945" s="4" t="s">
        <v>262</v>
      </c>
      <c r="CV945" s="4" t="s">
        <v>263</v>
      </c>
      <c r="CW945" s="4" t="s">
        <v>263</v>
      </c>
      <c r="CX945" s="4" t="s">
        <v>264</v>
      </c>
      <c r="DA945" s="6">
        <f>1</f>
        <v>1</v>
      </c>
      <c r="DC945" s="4" t="s">
        <v>277</v>
      </c>
      <c r="DD945" s="4" t="s">
        <v>241</v>
      </c>
      <c r="DF945" s="4" t="s">
        <v>277</v>
      </c>
      <c r="DG945" s="6">
        <f>1261</f>
        <v>1261</v>
      </c>
      <c r="DI945" s="4" t="s">
        <v>241</v>
      </c>
      <c r="DJ945" s="4" t="s">
        <v>241</v>
      </c>
      <c r="DK945" s="4" t="s">
        <v>241</v>
      </c>
      <c r="DL945" s="4" t="s">
        <v>241</v>
      </c>
      <c r="DP945" s="4" t="s">
        <v>241</v>
      </c>
      <c r="DQ945" s="4" t="s">
        <v>241</v>
      </c>
      <c r="DR945" s="4" t="s">
        <v>241</v>
      </c>
      <c r="DS945" s="4" t="s">
        <v>241</v>
      </c>
      <c r="DV945" s="4" t="s">
        <v>278</v>
      </c>
      <c r="DW945" s="4" t="s">
        <v>1485</v>
      </c>
      <c r="HO945" s="4" t="s">
        <v>267</v>
      </c>
    </row>
    <row r="946" spans="1:223" ht="19.5" customHeight="1" x14ac:dyDescent="0.4">
      <c r="A946" s="4">
        <v>1</v>
      </c>
      <c r="B946" s="4" t="s">
        <v>239</v>
      </c>
      <c r="C946" s="4">
        <v>2620</v>
      </c>
      <c r="D946" s="4">
        <v>1</v>
      </c>
      <c r="E946" s="4">
        <v>1</v>
      </c>
      <c r="F946" s="4" t="s">
        <v>268</v>
      </c>
      <c r="G946" s="4" t="s">
        <v>241</v>
      </c>
      <c r="H946" s="4" t="s">
        <v>241</v>
      </c>
      <c r="I946" s="4" t="s">
        <v>272</v>
      </c>
      <c r="J946" s="4" t="s">
        <v>274</v>
      </c>
      <c r="K946" s="4" t="s">
        <v>251</v>
      </c>
      <c r="L946" s="4" t="s">
        <v>269</v>
      </c>
      <c r="M946" s="5" t="s">
        <v>1482</v>
      </c>
      <c r="N946" s="6">
        <f>170</f>
        <v>170</v>
      </c>
      <c r="O946" s="4" t="s">
        <v>265</v>
      </c>
      <c r="P946" s="6">
        <f>1</f>
        <v>1</v>
      </c>
      <c r="Q946" s="6">
        <f>0</f>
        <v>0</v>
      </c>
      <c r="S946" s="6">
        <f>0</f>
        <v>0</v>
      </c>
      <c r="T946" s="6">
        <f>1</f>
        <v>1</v>
      </c>
      <c r="U946" s="5" t="s">
        <v>245</v>
      </c>
      <c r="V946" s="4" t="s">
        <v>270</v>
      </c>
      <c r="W946" s="4" t="s">
        <v>271</v>
      </c>
      <c r="X946" s="4" t="s">
        <v>273</v>
      </c>
      <c r="Y946" s="4" t="s">
        <v>241</v>
      </c>
      <c r="AB946" s="4" t="s">
        <v>241</v>
      </c>
      <c r="AD946" s="5" t="s">
        <v>241</v>
      </c>
      <c r="AG946" s="5" t="s">
        <v>246</v>
      </c>
      <c r="AH946" s="4" t="s">
        <v>241</v>
      </c>
      <c r="AI946" s="4" t="s">
        <v>247</v>
      </c>
      <c r="AJ946" s="4" t="s">
        <v>248</v>
      </c>
      <c r="AZ946" s="4" t="s">
        <v>249</v>
      </c>
      <c r="BA946" s="4" t="s">
        <v>241</v>
      </c>
      <c r="BB946" s="4" t="s">
        <v>250</v>
      </c>
      <c r="BC946" s="4" t="s">
        <v>241</v>
      </c>
      <c r="BD946" s="4" t="s">
        <v>252</v>
      </c>
      <c r="BE946" s="4" t="s">
        <v>241</v>
      </c>
      <c r="BI946" s="4" t="s">
        <v>253</v>
      </c>
      <c r="BJ946" s="5" t="s">
        <v>246</v>
      </c>
      <c r="BK946" s="4" t="s">
        <v>254</v>
      </c>
      <c r="BL946" s="4" t="s">
        <v>255</v>
      </c>
      <c r="BM946" s="4" t="s">
        <v>241</v>
      </c>
      <c r="BN946" s="6">
        <f>0</f>
        <v>0</v>
      </c>
      <c r="BO946" s="6">
        <f>0</f>
        <v>0</v>
      </c>
      <c r="BP946" s="4" t="s">
        <v>256</v>
      </c>
      <c r="BQ946" s="4" t="s">
        <v>257</v>
      </c>
      <c r="CE946" s="4" t="s">
        <v>241</v>
      </c>
      <c r="CF946" s="4" t="s">
        <v>241</v>
      </c>
      <c r="CJ946" s="4" t="s">
        <v>276</v>
      </c>
      <c r="CK946" s="4" t="s">
        <v>259</v>
      </c>
      <c r="CL946" s="4" t="s">
        <v>241</v>
      </c>
      <c r="CO946" s="5" t="s">
        <v>260</v>
      </c>
      <c r="CP946" s="4" t="s">
        <v>241</v>
      </c>
      <c r="CQ946" s="4" t="s">
        <v>261</v>
      </c>
      <c r="CR946" s="4" t="s">
        <v>241</v>
      </c>
      <c r="CS946" s="4" t="s">
        <v>241</v>
      </c>
      <c r="CT946" s="4">
        <v>0</v>
      </c>
      <c r="CU946" s="4" t="s">
        <v>262</v>
      </c>
      <c r="CV946" s="4" t="s">
        <v>263</v>
      </c>
      <c r="CW946" s="4" t="s">
        <v>263</v>
      </c>
      <c r="CX946" s="4" t="s">
        <v>264</v>
      </c>
      <c r="DA946" s="6">
        <f>1</f>
        <v>1</v>
      </c>
      <c r="DC946" s="4" t="s">
        <v>277</v>
      </c>
      <c r="DD946" s="4" t="s">
        <v>241</v>
      </c>
      <c r="DF946" s="4" t="s">
        <v>277</v>
      </c>
      <c r="DG946" s="6">
        <f>170</f>
        <v>170</v>
      </c>
      <c r="DI946" s="4" t="s">
        <v>241</v>
      </c>
      <c r="DJ946" s="4" t="s">
        <v>241</v>
      </c>
      <c r="DK946" s="4" t="s">
        <v>241</v>
      </c>
      <c r="DL946" s="4" t="s">
        <v>241</v>
      </c>
      <c r="DP946" s="4" t="s">
        <v>241</v>
      </c>
      <c r="DQ946" s="4" t="s">
        <v>241</v>
      </c>
      <c r="DR946" s="4" t="s">
        <v>241</v>
      </c>
      <c r="DS946" s="4" t="s">
        <v>241</v>
      </c>
      <c r="DV946" s="4" t="s">
        <v>278</v>
      </c>
      <c r="DW946" s="4" t="s">
        <v>1483</v>
      </c>
      <c r="HO946" s="4" t="s">
        <v>267</v>
      </c>
    </row>
    <row r="947" spans="1:223" ht="19.5" customHeight="1" x14ac:dyDescent="0.4">
      <c r="A947" s="4">
        <v>1</v>
      </c>
      <c r="B947" s="4" t="s">
        <v>239</v>
      </c>
      <c r="C947" s="4">
        <v>2621</v>
      </c>
      <c r="D947" s="4">
        <v>1</v>
      </c>
      <c r="E947" s="4">
        <v>1</v>
      </c>
      <c r="F947" s="4" t="s">
        <v>268</v>
      </c>
      <c r="G947" s="4" t="s">
        <v>241</v>
      </c>
      <c r="H947" s="4" t="s">
        <v>241</v>
      </c>
      <c r="I947" s="4" t="s">
        <v>272</v>
      </c>
      <c r="J947" s="4" t="s">
        <v>274</v>
      </c>
      <c r="K947" s="4" t="s">
        <v>251</v>
      </c>
      <c r="L947" s="4" t="s">
        <v>269</v>
      </c>
      <c r="M947" s="5" t="s">
        <v>1480</v>
      </c>
      <c r="N947" s="6">
        <f>2865</f>
        <v>2865</v>
      </c>
      <c r="O947" s="4" t="s">
        <v>265</v>
      </c>
      <c r="P947" s="6">
        <f>1</f>
        <v>1</v>
      </c>
      <c r="Q947" s="6">
        <f>0</f>
        <v>0</v>
      </c>
      <c r="S947" s="6">
        <f>0</f>
        <v>0</v>
      </c>
      <c r="T947" s="6">
        <f>1</f>
        <v>1</v>
      </c>
      <c r="U947" s="5" t="s">
        <v>245</v>
      </c>
      <c r="V947" s="4" t="s">
        <v>270</v>
      </c>
      <c r="W947" s="4" t="s">
        <v>271</v>
      </c>
      <c r="X947" s="4" t="s">
        <v>273</v>
      </c>
      <c r="Y947" s="4" t="s">
        <v>241</v>
      </c>
      <c r="AB947" s="4" t="s">
        <v>241</v>
      </c>
      <c r="AD947" s="5" t="s">
        <v>241</v>
      </c>
      <c r="AG947" s="5" t="s">
        <v>246</v>
      </c>
      <c r="AH947" s="4" t="s">
        <v>241</v>
      </c>
      <c r="AI947" s="4" t="s">
        <v>247</v>
      </c>
      <c r="AJ947" s="4" t="s">
        <v>248</v>
      </c>
      <c r="AZ947" s="4" t="s">
        <v>249</v>
      </c>
      <c r="BA947" s="4" t="s">
        <v>241</v>
      </c>
      <c r="BB947" s="4" t="s">
        <v>250</v>
      </c>
      <c r="BC947" s="4" t="s">
        <v>241</v>
      </c>
      <c r="BD947" s="4" t="s">
        <v>252</v>
      </c>
      <c r="BE947" s="4" t="s">
        <v>241</v>
      </c>
      <c r="BI947" s="4" t="s">
        <v>253</v>
      </c>
      <c r="BJ947" s="5" t="s">
        <v>246</v>
      </c>
      <c r="BK947" s="4" t="s">
        <v>254</v>
      </c>
      <c r="BL947" s="4" t="s">
        <v>255</v>
      </c>
      <c r="BM947" s="4" t="s">
        <v>241</v>
      </c>
      <c r="BN947" s="6">
        <f>0</f>
        <v>0</v>
      </c>
      <c r="BO947" s="6">
        <f>0</f>
        <v>0</v>
      </c>
      <c r="BP947" s="4" t="s">
        <v>256</v>
      </c>
      <c r="BQ947" s="4" t="s">
        <v>257</v>
      </c>
      <c r="CE947" s="4" t="s">
        <v>241</v>
      </c>
      <c r="CF947" s="4" t="s">
        <v>241</v>
      </c>
      <c r="CJ947" s="4" t="s">
        <v>276</v>
      </c>
      <c r="CK947" s="4" t="s">
        <v>259</v>
      </c>
      <c r="CL947" s="4" t="s">
        <v>241</v>
      </c>
      <c r="CO947" s="5" t="s">
        <v>260</v>
      </c>
      <c r="CP947" s="4" t="s">
        <v>241</v>
      </c>
      <c r="CQ947" s="4" t="s">
        <v>261</v>
      </c>
      <c r="CR947" s="4" t="s">
        <v>241</v>
      </c>
      <c r="CS947" s="4" t="s">
        <v>241</v>
      </c>
      <c r="CT947" s="4">
        <v>0</v>
      </c>
      <c r="CU947" s="4" t="s">
        <v>262</v>
      </c>
      <c r="CV947" s="4" t="s">
        <v>263</v>
      </c>
      <c r="CW947" s="4" t="s">
        <v>263</v>
      </c>
      <c r="CX947" s="4" t="s">
        <v>264</v>
      </c>
      <c r="DA947" s="6">
        <f>1</f>
        <v>1</v>
      </c>
      <c r="DC947" s="4" t="s">
        <v>277</v>
      </c>
      <c r="DD947" s="4" t="s">
        <v>241</v>
      </c>
      <c r="DF947" s="4" t="s">
        <v>277</v>
      </c>
      <c r="DG947" s="6">
        <f>2865</f>
        <v>2865</v>
      </c>
      <c r="DI947" s="4" t="s">
        <v>241</v>
      </c>
      <c r="DJ947" s="4" t="s">
        <v>241</v>
      </c>
      <c r="DK947" s="4" t="s">
        <v>241</v>
      </c>
      <c r="DL947" s="4" t="s">
        <v>241</v>
      </c>
      <c r="DP947" s="4" t="s">
        <v>241</v>
      </c>
      <c r="DQ947" s="4" t="s">
        <v>241</v>
      </c>
      <c r="DR947" s="4" t="s">
        <v>241</v>
      </c>
      <c r="DS947" s="4" t="s">
        <v>241</v>
      </c>
      <c r="DV947" s="4" t="s">
        <v>278</v>
      </c>
      <c r="DW947" s="4" t="s">
        <v>1481</v>
      </c>
      <c r="HO947" s="4" t="s">
        <v>267</v>
      </c>
    </row>
    <row r="948" spans="1:223" ht="19.5" customHeight="1" x14ac:dyDescent="0.4">
      <c r="A948" s="4">
        <v>1</v>
      </c>
      <c r="B948" s="4" t="s">
        <v>239</v>
      </c>
      <c r="C948" s="4">
        <v>2622</v>
      </c>
      <c r="D948" s="4">
        <v>1</v>
      </c>
      <c r="E948" s="4">
        <v>1</v>
      </c>
      <c r="F948" s="4" t="s">
        <v>268</v>
      </c>
      <c r="G948" s="4" t="s">
        <v>241</v>
      </c>
      <c r="H948" s="4" t="s">
        <v>241</v>
      </c>
      <c r="I948" s="4" t="s">
        <v>272</v>
      </c>
      <c r="J948" s="4" t="s">
        <v>274</v>
      </c>
      <c r="K948" s="4" t="s">
        <v>251</v>
      </c>
      <c r="L948" s="4" t="s">
        <v>269</v>
      </c>
      <c r="M948" s="5" t="s">
        <v>1477</v>
      </c>
      <c r="N948" s="6">
        <f>2018</f>
        <v>2018</v>
      </c>
      <c r="O948" s="4" t="s">
        <v>265</v>
      </c>
      <c r="P948" s="6">
        <f>1</f>
        <v>1</v>
      </c>
      <c r="Q948" s="6">
        <f>0</f>
        <v>0</v>
      </c>
      <c r="S948" s="6">
        <f>0</f>
        <v>0</v>
      </c>
      <c r="T948" s="6">
        <f>1</f>
        <v>1</v>
      </c>
      <c r="U948" s="5" t="s">
        <v>245</v>
      </c>
      <c r="V948" s="4" t="s">
        <v>270</v>
      </c>
      <c r="W948" s="4" t="s">
        <v>271</v>
      </c>
      <c r="X948" s="4" t="s">
        <v>273</v>
      </c>
      <c r="Y948" s="4" t="s">
        <v>241</v>
      </c>
      <c r="AB948" s="4" t="s">
        <v>241</v>
      </c>
      <c r="AD948" s="5" t="s">
        <v>241</v>
      </c>
      <c r="AG948" s="5" t="s">
        <v>246</v>
      </c>
      <c r="AH948" s="4" t="s">
        <v>241</v>
      </c>
      <c r="AI948" s="4" t="s">
        <v>247</v>
      </c>
      <c r="AJ948" s="4" t="s">
        <v>248</v>
      </c>
      <c r="AZ948" s="4" t="s">
        <v>249</v>
      </c>
      <c r="BA948" s="4" t="s">
        <v>241</v>
      </c>
      <c r="BB948" s="4" t="s">
        <v>250</v>
      </c>
      <c r="BC948" s="4" t="s">
        <v>241</v>
      </c>
      <c r="BD948" s="4" t="s">
        <v>252</v>
      </c>
      <c r="BE948" s="4" t="s">
        <v>241</v>
      </c>
      <c r="BI948" s="4" t="s">
        <v>253</v>
      </c>
      <c r="BJ948" s="5" t="s">
        <v>246</v>
      </c>
      <c r="BK948" s="4" t="s">
        <v>254</v>
      </c>
      <c r="BL948" s="4" t="s">
        <v>255</v>
      </c>
      <c r="BM948" s="4" t="s">
        <v>241</v>
      </c>
      <c r="BN948" s="6">
        <f>0</f>
        <v>0</v>
      </c>
      <c r="BO948" s="6">
        <f>0</f>
        <v>0</v>
      </c>
      <c r="BP948" s="4" t="s">
        <v>256</v>
      </c>
      <c r="BQ948" s="4" t="s">
        <v>257</v>
      </c>
      <c r="CE948" s="4" t="s">
        <v>241</v>
      </c>
      <c r="CF948" s="4" t="s">
        <v>241</v>
      </c>
      <c r="CJ948" s="4" t="s">
        <v>276</v>
      </c>
      <c r="CK948" s="4" t="s">
        <v>259</v>
      </c>
      <c r="CL948" s="4" t="s">
        <v>241</v>
      </c>
      <c r="CO948" s="5" t="s">
        <v>260</v>
      </c>
      <c r="CP948" s="4" t="s">
        <v>241</v>
      </c>
      <c r="CQ948" s="4" t="s">
        <v>261</v>
      </c>
      <c r="CR948" s="4" t="s">
        <v>241</v>
      </c>
      <c r="CS948" s="4" t="s">
        <v>241</v>
      </c>
      <c r="CT948" s="4">
        <v>0</v>
      </c>
      <c r="CU948" s="4" t="s">
        <v>262</v>
      </c>
      <c r="CV948" s="4" t="s">
        <v>263</v>
      </c>
      <c r="CW948" s="4" t="s">
        <v>263</v>
      </c>
      <c r="CX948" s="4" t="s">
        <v>264</v>
      </c>
      <c r="DA948" s="6">
        <f>1</f>
        <v>1</v>
      </c>
      <c r="DC948" s="4" t="s">
        <v>277</v>
      </c>
      <c r="DD948" s="4" t="s">
        <v>241</v>
      </c>
      <c r="DF948" s="4" t="s">
        <v>277</v>
      </c>
      <c r="DG948" s="6">
        <f>2018</f>
        <v>2018</v>
      </c>
      <c r="DI948" s="4" t="s">
        <v>241</v>
      </c>
      <c r="DJ948" s="4" t="s">
        <v>241</v>
      </c>
      <c r="DK948" s="4" t="s">
        <v>241</v>
      </c>
      <c r="DL948" s="4" t="s">
        <v>241</v>
      </c>
      <c r="DP948" s="4" t="s">
        <v>241</v>
      </c>
      <c r="DQ948" s="4" t="s">
        <v>241</v>
      </c>
      <c r="DR948" s="4" t="s">
        <v>241</v>
      </c>
      <c r="DS948" s="4" t="s">
        <v>241</v>
      </c>
      <c r="DV948" s="4" t="s">
        <v>278</v>
      </c>
      <c r="DW948" s="4" t="s">
        <v>427</v>
      </c>
      <c r="HO948" s="4" t="s">
        <v>267</v>
      </c>
    </row>
    <row r="949" spans="1:223" ht="19.5" customHeight="1" x14ac:dyDescent="0.4">
      <c r="A949" s="4">
        <v>1</v>
      </c>
      <c r="B949" s="4" t="s">
        <v>239</v>
      </c>
      <c r="C949" s="4">
        <v>2623</v>
      </c>
      <c r="D949" s="4">
        <v>1</v>
      </c>
      <c r="E949" s="4">
        <v>1</v>
      </c>
      <c r="F949" s="4" t="s">
        <v>268</v>
      </c>
      <c r="G949" s="4" t="s">
        <v>241</v>
      </c>
      <c r="H949" s="4" t="s">
        <v>241</v>
      </c>
      <c r="I949" s="4" t="s">
        <v>272</v>
      </c>
      <c r="J949" s="4" t="s">
        <v>274</v>
      </c>
      <c r="K949" s="4" t="s">
        <v>251</v>
      </c>
      <c r="L949" s="4" t="s">
        <v>269</v>
      </c>
      <c r="M949" s="5" t="s">
        <v>1476</v>
      </c>
      <c r="N949" s="6">
        <f>145</f>
        <v>145</v>
      </c>
      <c r="O949" s="4" t="s">
        <v>265</v>
      </c>
      <c r="P949" s="6">
        <f>1</f>
        <v>1</v>
      </c>
      <c r="Q949" s="6">
        <f>0</f>
        <v>0</v>
      </c>
      <c r="S949" s="6">
        <f>0</f>
        <v>0</v>
      </c>
      <c r="T949" s="6">
        <f>1</f>
        <v>1</v>
      </c>
      <c r="U949" s="5" t="s">
        <v>245</v>
      </c>
      <c r="V949" s="4" t="s">
        <v>270</v>
      </c>
      <c r="W949" s="4" t="s">
        <v>271</v>
      </c>
      <c r="X949" s="4" t="s">
        <v>273</v>
      </c>
      <c r="Y949" s="4" t="s">
        <v>241</v>
      </c>
      <c r="AB949" s="4" t="s">
        <v>241</v>
      </c>
      <c r="AD949" s="5" t="s">
        <v>241</v>
      </c>
      <c r="AG949" s="5" t="s">
        <v>246</v>
      </c>
      <c r="AH949" s="4" t="s">
        <v>241</v>
      </c>
      <c r="AI949" s="4" t="s">
        <v>247</v>
      </c>
      <c r="AJ949" s="4" t="s">
        <v>248</v>
      </c>
      <c r="AZ949" s="4" t="s">
        <v>249</v>
      </c>
      <c r="BA949" s="4" t="s">
        <v>241</v>
      </c>
      <c r="BB949" s="4" t="s">
        <v>250</v>
      </c>
      <c r="BC949" s="4" t="s">
        <v>241</v>
      </c>
      <c r="BD949" s="4" t="s">
        <v>252</v>
      </c>
      <c r="BE949" s="4" t="s">
        <v>241</v>
      </c>
      <c r="BI949" s="4" t="s">
        <v>253</v>
      </c>
      <c r="BJ949" s="5" t="s">
        <v>246</v>
      </c>
      <c r="BK949" s="4" t="s">
        <v>254</v>
      </c>
      <c r="BL949" s="4" t="s">
        <v>255</v>
      </c>
      <c r="BM949" s="4" t="s">
        <v>241</v>
      </c>
      <c r="BN949" s="6">
        <f>0</f>
        <v>0</v>
      </c>
      <c r="BO949" s="6">
        <f>0</f>
        <v>0</v>
      </c>
      <c r="BP949" s="4" t="s">
        <v>256</v>
      </c>
      <c r="BQ949" s="4" t="s">
        <v>257</v>
      </c>
      <c r="CE949" s="4" t="s">
        <v>241</v>
      </c>
      <c r="CF949" s="4" t="s">
        <v>241</v>
      </c>
      <c r="CJ949" s="4" t="s">
        <v>276</v>
      </c>
      <c r="CK949" s="4" t="s">
        <v>259</v>
      </c>
      <c r="CL949" s="4" t="s">
        <v>241</v>
      </c>
      <c r="CO949" s="5" t="s">
        <v>260</v>
      </c>
      <c r="CP949" s="4" t="s">
        <v>241</v>
      </c>
      <c r="CQ949" s="4" t="s">
        <v>261</v>
      </c>
      <c r="CR949" s="4" t="s">
        <v>241</v>
      </c>
      <c r="CS949" s="4" t="s">
        <v>241</v>
      </c>
      <c r="CT949" s="4">
        <v>0</v>
      </c>
      <c r="CU949" s="4" t="s">
        <v>262</v>
      </c>
      <c r="CV949" s="4" t="s">
        <v>263</v>
      </c>
      <c r="CW949" s="4" t="s">
        <v>263</v>
      </c>
      <c r="CX949" s="4" t="s">
        <v>264</v>
      </c>
      <c r="DA949" s="6">
        <f>1</f>
        <v>1</v>
      </c>
      <c r="DC949" s="4" t="s">
        <v>277</v>
      </c>
      <c r="DD949" s="4" t="s">
        <v>241</v>
      </c>
      <c r="DF949" s="4" t="s">
        <v>277</v>
      </c>
      <c r="DG949" s="6">
        <f>145</f>
        <v>145</v>
      </c>
      <c r="DI949" s="4" t="s">
        <v>241</v>
      </c>
      <c r="DJ949" s="4" t="s">
        <v>241</v>
      </c>
      <c r="DK949" s="4" t="s">
        <v>241</v>
      </c>
      <c r="DL949" s="4" t="s">
        <v>241</v>
      </c>
      <c r="DP949" s="4" t="s">
        <v>241</v>
      </c>
      <c r="DQ949" s="4" t="s">
        <v>241</v>
      </c>
      <c r="DR949" s="4" t="s">
        <v>241</v>
      </c>
      <c r="DS949" s="4" t="s">
        <v>241</v>
      </c>
      <c r="DV949" s="4" t="s">
        <v>278</v>
      </c>
      <c r="DW949" s="4" t="s">
        <v>429</v>
      </c>
      <c r="HO949" s="4" t="s">
        <v>267</v>
      </c>
    </row>
    <row r="950" spans="1:223" ht="19.5" customHeight="1" x14ac:dyDescent="0.4">
      <c r="A950" s="4">
        <v>1</v>
      </c>
      <c r="B950" s="4" t="s">
        <v>239</v>
      </c>
      <c r="C950" s="4">
        <v>2624</v>
      </c>
      <c r="D950" s="4">
        <v>1</v>
      </c>
      <c r="E950" s="4">
        <v>1</v>
      </c>
      <c r="F950" s="4" t="s">
        <v>268</v>
      </c>
      <c r="G950" s="4" t="s">
        <v>241</v>
      </c>
      <c r="H950" s="4" t="s">
        <v>241</v>
      </c>
      <c r="I950" s="4" t="s">
        <v>272</v>
      </c>
      <c r="J950" s="4" t="s">
        <v>274</v>
      </c>
      <c r="K950" s="4" t="s">
        <v>251</v>
      </c>
      <c r="L950" s="4" t="s">
        <v>269</v>
      </c>
      <c r="M950" s="5" t="s">
        <v>1475</v>
      </c>
      <c r="N950" s="6">
        <f>1760</f>
        <v>1760</v>
      </c>
      <c r="O950" s="4" t="s">
        <v>265</v>
      </c>
      <c r="P950" s="6">
        <f>1</f>
        <v>1</v>
      </c>
      <c r="Q950" s="6">
        <f>0</f>
        <v>0</v>
      </c>
      <c r="S950" s="6">
        <f>0</f>
        <v>0</v>
      </c>
      <c r="T950" s="6">
        <f>1</f>
        <v>1</v>
      </c>
      <c r="U950" s="5" t="s">
        <v>245</v>
      </c>
      <c r="V950" s="4" t="s">
        <v>270</v>
      </c>
      <c r="W950" s="4" t="s">
        <v>271</v>
      </c>
      <c r="X950" s="4" t="s">
        <v>273</v>
      </c>
      <c r="Y950" s="4" t="s">
        <v>241</v>
      </c>
      <c r="AB950" s="4" t="s">
        <v>241</v>
      </c>
      <c r="AD950" s="5" t="s">
        <v>241</v>
      </c>
      <c r="AG950" s="5" t="s">
        <v>246</v>
      </c>
      <c r="AH950" s="4" t="s">
        <v>241</v>
      </c>
      <c r="AI950" s="4" t="s">
        <v>247</v>
      </c>
      <c r="AJ950" s="4" t="s">
        <v>248</v>
      </c>
      <c r="AZ950" s="4" t="s">
        <v>249</v>
      </c>
      <c r="BA950" s="4" t="s">
        <v>241</v>
      </c>
      <c r="BB950" s="4" t="s">
        <v>250</v>
      </c>
      <c r="BC950" s="4" t="s">
        <v>241</v>
      </c>
      <c r="BD950" s="4" t="s">
        <v>252</v>
      </c>
      <c r="BE950" s="4" t="s">
        <v>241</v>
      </c>
      <c r="BI950" s="4" t="s">
        <v>253</v>
      </c>
      <c r="BJ950" s="5" t="s">
        <v>246</v>
      </c>
      <c r="BK950" s="4" t="s">
        <v>254</v>
      </c>
      <c r="BL950" s="4" t="s">
        <v>255</v>
      </c>
      <c r="BM950" s="4" t="s">
        <v>241</v>
      </c>
      <c r="BN950" s="6">
        <f>0</f>
        <v>0</v>
      </c>
      <c r="BO950" s="6">
        <f>0</f>
        <v>0</v>
      </c>
      <c r="BP950" s="4" t="s">
        <v>256</v>
      </c>
      <c r="BQ950" s="4" t="s">
        <v>257</v>
      </c>
      <c r="CE950" s="4" t="s">
        <v>241</v>
      </c>
      <c r="CF950" s="4" t="s">
        <v>241</v>
      </c>
      <c r="CJ950" s="4" t="s">
        <v>276</v>
      </c>
      <c r="CK950" s="4" t="s">
        <v>259</v>
      </c>
      <c r="CL950" s="4" t="s">
        <v>241</v>
      </c>
      <c r="CO950" s="5" t="s">
        <v>260</v>
      </c>
      <c r="CP950" s="4" t="s">
        <v>241</v>
      </c>
      <c r="CQ950" s="4" t="s">
        <v>261</v>
      </c>
      <c r="CR950" s="4" t="s">
        <v>241</v>
      </c>
      <c r="CS950" s="4" t="s">
        <v>241</v>
      </c>
      <c r="CT950" s="4">
        <v>0</v>
      </c>
      <c r="CU950" s="4" t="s">
        <v>262</v>
      </c>
      <c r="CV950" s="4" t="s">
        <v>263</v>
      </c>
      <c r="CW950" s="4" t="s">
        <v>263</v>
      </c>
      <c r="CX950" s="4" t="s">
        <v>264</v>
      </c>
      <c r="DA950" s="6">
        <f>1</f>
        <v>1</v>
      </c>
      <c r="DC950" s="4" t="s">
        <v>277</v>
      </c>
      <c r="DD950" s="4" t="s">
        <v>241</v>
      </c>
      <c r="DF950" s="4" t="s">
        <v>277</v>
      </c>
      <c r="DG950" s="6">
        <f>1760</f>
        <v>1760</v>
      </c>
      <c r="DI950" s="4" t="s">
        <v>241</v>
      </c>
      <c r="DJ950" s="4" t="s">
        <v>241</v>
      </c>
      <c r="DK950" s="4" t="s">
        <v>241</v>
      </c>
      <c r="DL950" s="4" t="s">
        <v>241</v>
      </c>
      <c r="DP950" s="4" t="s">
        <v>241</v>
      </c>
      <c r="DQ950" s="4" t="s">
        <v>241</v>
      </c>
      <c r="DR950" s="4" t="s">
        <v>241</v>
      </c>
      <c r="DS950" s="4" t="s">
        <v>241</v>
      </c>
      <c r="DV950" s="4" t="s">
        <v>278</v>
      </c>
      <c r="DW950" s="4" t="s">
        <v>433</v>
      </c>
      <c r="HO950" s="4" t="s">
        <v>267</v>
      </c>
    </row>
    <row r="951" spans="1:223" ht="19.5" customHeight="1" x14ac:dyDescent="0.4">
      <c r="A951" s="4">
        <v>1</v>
      </c>
      <c r="B951" s="4" t="s">
        <v>239</v>
      </c>
      <c r="C951" s="4">
        <v>2625</v>
      </c>
      <c r="D951" s="4">
        <v>1</v>
      </c>
      <c r="E951" s="4">
        <v>1</v>
      </c>
      <c r="F951" s="4" t="s">
        <v>268</v>
      </c>
      <c r="G951" s="4" t="s">
        <v>241</v>
      </c>
      <c r="H951" s="4" t="s">
        <v>241</v>
      </c>
      <c r="I951" s="4" t="s">
        <v>272</v>
      </c>
      <c r="J951" s="4" t="s">
        <v>274</v>
      </c>
      <c r="K951" s="4" t="s">
        <v>251</v>
      </c>
      <c r="L951" s="4" t="s">
        <v>269</v>
      </c>
      <c r="M951" s="5" t="s">
        <v>1474</v>
      </c>
      <c r="N951" s="6">
        <f>714</f>
        <v>714</v>
      </c>
      <c r="O951" s="4" t="s">
        <v>265</v>
      </c>
      <c r="P951" s="6">
        <f>1</f>
        <v>1</v>
      </c>
      <c r="Q951" s="6">
        <f>0</f>
        <v>0</v>
      </c>
      <c r="S951" s="6">
        <f>0</f>
        <v>0</v>
      </c>
      <c r="T951" s="6">
        <f>1</f>
        <v>1</v>
      </c>
      <c r="U951" s="5" t="s">
        <v>245</v>
      </c>
      <c r="V951" s="4" t="s">
        <v>270</v>
      </c>
      <c r="W951" s="4" t="s">
        <v>271</v>
      </c>
      <c r="X951" s="4" t="s">
        <v>273</v>
      </c>
      <c r="Y951" s="4" t="s">
        <v>241</v>
      </c>
      <c r="AB951" s="4" t="s">
        <v>241</v>
      </c>
      <c r="AD951" s="5" t="s">
        <v>241</v>
      </c>
      <c r="AG951" s="5" t="s">
        <v>246</v>
      </c>
      <c r="AH951" s="4" t="s">
        <v>241</v>
      </c>
      <c r="AI951" s="4" t="s">
        <v>247</v>
      </c>
      <c r="AJ951" s="4" t="s">
        <v>248</v>
      </c>
      <c r="AZ951" s="4" t="s">
        <v>249</v>
      </c>
      <c r="BA951" s="4" t="s">
        <v>241</v>
      </c>
      <c r="BB951" s="4" t="s">
        <v>250</v>
      </c>
      <c r="BC951" s="4" t="s">
        <v>241</v>
      </c>
      <c r="BD951" s="4" t="s">
        <v>252</v>
      </c>
      <c r="BE951" s="4" t="s">
        <v>241</v>
      </c>
      <c r="BI951" s="4" t="s">
        <v>253</v>
      </c>
      <c r="BJ951" s="5" t="s">
        <v>246</v>
      </c>
      <c r="BK951" s="4" t="s">
        <v>254</v>
      </c>
      <c r="BL951" s="4" t="s">
        <v>255</v>
      </c>
      <c r="BM951" s="4" t="s">
        <v>241</v>
      </c>
      <c r="BN951" s="6">
        <f>0</f>
        <v>0</v>
      </c>
      <c r="BO951" s="6">
        <f>0</f>
        <v>0</v>
      </c>
      <c r="BP951" s="4" t="s">
        <v>256</v>
      </c>
      <c r="BQ951" s="4" t="s">
        <v>257</v>
      </c>
      <c r="CE951" s="4" t="s">
        <v>241</v>
      </c>
      <c r="CF951" s="4" t="s">
        <v>241</v>
      </c>
      <c r="CJ951" s="4" t="s">
        <v>276</v>
      </c>
      <c r="CK951" s="4" t="s">
        <v>259</v>
      </c>
      <c r="CL951" s="4" t="s">
        <v>241</v>
      </c>
      <c r="CO951" s="5" t="s">
        <v>260</v>
      </c>
      <c r="CP951" s="4" t="s">
        <v>241</v>
      </c>
      <c r="CQ951" s="4" t="s">
        <v>261</v>
      </c>
      <c r="CR951" s="4" t="s">
        <v>241</v>
      </c>
      <c r="CS951" s="4" t="s">
        <v>241</v>
      </c>
      <c r="CT951" s="4">
        <v>0</v>
      </c>
      <c r="CU951" s="4" t="s">
        <v>262</v>
      </c>
      <c r="CV951" s="4" t="s">
        <v>263</v>
      </c>
      <c r="CW951" s="4" t="s">
        <v>263</v>
      </c>
      <c r="CX951" s="4" t="s">
        <v>264</v>
      </c>
      <c r="DA951" s="6">
        <f>1</f>
        <v>1</v>
      </c>
      <c r="DC951" s="4" t="s">
        <v>277</v>
      </c>
      <c r="DD951" s="4" t="s">
        <v>241</v>
      </c>
      <c r="DF951" s="4" t="s">
        <v>277</v>
      </c>
      <c r="DG951" s="6">
        <f>714</f>
        <v>714</v>
      </c>
      <c r="DI951" s="4" t="s">
        <v>241</v>
      </c>
      <c r="DJ951" s="4" t="s">
        <v>241</v>
      </c>
      <c r="DK951" s="4" t="s">
        <v>241</v>
      </c>
      <c r="DL951" s="4" t="s">
        <v>241</v>
      </c>
      <c r="DP951" s="4" t="s">
        <v>241</v>
      </c>
      <c r="DQ951" s="4" t="s">
        <v>241</v>
      </c>
      <c r="DR951" s="4" t="s">
        <v>241</v>
      </c>
      <c r="DS951" s="4" t="s">
        <v>241</v>
      </c>
      <c r="DV951" s="4" t="s">
        <v>278</v>
      </c>
      <c r="DW951" s="4" t="s">
        <v>435</v>
      </c>
      <c r="HO951" s="4" t="s">
        <v>267</v>
      </c>
    </row>
    <row r="952" spans="1:223" ht="19.5" customHeight="1" x14ac:dyDescent="0.4">
      <c r="A952" s="4">
        <v>1</v>
      </c>
      <c r="B952" s="4" t="s">
        <v>239</v>
      </c>
      <c r="C952" s="4">
        <v>2626</v>
      </c>
      <c r="D952" s="4">
        <v>1</v>
      </c>
      <c r="E952" s="4">
        <v>1</v>
      </c>
      <c r="F952" s="4" t="s">
        <v>268</v>
      </c>
      <c r="G952" s="4" t="s">
        <v>241</v>
      </c>
      <c r="H952" s="4" t="s">
        <v>241</v>
      </c>
      <c r="I952" s="4" t="s">
        <v>272</v>
      </c>
      <c r="J952" s="4" t="s">
        <v>274</v>
      </c>
      <c r="K952" s="4" t="s">
        <v>251</v>
      </c>
      <c r="L952" s="4" t="s">
        <v>269</v>
      </c>
      <c r="M952" s="5" t="s">
        <v>1471</v>
      </c>
      <c r="N952" s="6">
        <f>1359</f>
        <v>1359</v>
      </c>
      <c r="O952" s="4" t="s">
        <v>265</v>
      </c>
      <c r="P952" s="6">
        <f>1</f>
        <v>1</v>
      </c>
      <c r="Q952" s="6">
        <f>0</f>
        <v>0</v>
      </c>
      <c r="S952" s="6">
        <f>0</f>
        <v>0</v>
      </c>
      <c r="T952" s="6">
        <f>1</f>
        <v>1</v>
      </c>
      <c r="U952" s="5" t="s">
        <v>245</v>
      </c>
      <c r="V952" s="4" t="s">
        <v>270</v>
      </c>
      <c r="W952" s="4" t="s">
        <v>271</v>
      </c>
      <c r="X952" s="4" t="s">
        <v>273</v>
      </c>
      <c r="Y952" s="4" t="s">
        <v>241</v>
      </c>
      <c r="AB952" s="4" t="s">
        <v>241</v>
      </c>
      <c r="AD952" s="5" t="s">
        <v>241</v>
      </c>
      <c r="AG952" s="5" t="s">
        <v>246</v>
      </c>
      <c r="AH952" s="4" t="s">
        <v>241</v>
      </c>
      <c r="AI952" s="4" t="s">
        <v>247</v>
      </c>
      <c r="AJ952" s="4" t="s">
        <v>248</v>
      </c>
      <c r="AZ952" s="4" t="s">
        <v>249</v>
      </c>
      <c r="BA952" s="4" t="s">
        <v>241</v>
      </c>
      <c r="BB952" s="4" t="s">
        <v>250</v>
      </c>
      <c r="BC952" s="4" t="s">
        <v>241</v>
      </c>
      <c r="BD952" s="4" t="s">
        <v>252</v>
      </c>
      <c r="BE952" s="4" t="s">
        <v>241</v>
      </c>
      <c r="BI952" s="4" t="s">
        <v>253</v>
      </c>
      <c r="BJ952" s="5" t="s">
        <v>246</v>
      </c>
      <c r="BK952" s="4" t="s">
        <v>254</v>
      </c>
      <c r="BL952" s="4" t="s">
        <v>255</v>
      </c>
      <c r="BM952" s="4" t="s">
        <v>241</v>
      </c>
      <c r="BN952" s="6">
        <f>0</f>
        <v>0</v>
      </c>
      <c r="BO952" s="6">
        <f>0</f>
        <v>0</v>
      </c>
      <c r="BP952" s="4" t="s">
        <v>256</v>
      </c>
      <c r="BQ952" s="4" t="s">
        <v>257</v>
      </c>
      <c r="CE952" s="4" t="s">
        <v>241</v>
      </c>
      <c r="CF952" s="4" t="s">
        <v>241</v>
      </c>
      <c r="CJ952" s="4" t="s">
        <v>276</v>
      </c>
      <c r="CK952" s="4" t="s">
        <v>259</v>
      </c>
      <c r="CL952" s="4" t="s">
        <v>241</v>
      </c>
      <c r="CO952" s="5" t="s">
        <v>260</v>
      </c>
      <c r="CP952" s="4" t="s">
        <v>241</v>
      </c>
      <c r="CQ952" s="4" t="s">
        <v>261</v>
      </c>
      <c r="CR952" s="4" t="s">
        <v>241</v>
      </c>
      <c r="CS952" s="4" t="s">
        <v>241</v>
      </c>
      <c r="CT952" s="4">
        <v>0</v>
      </c>
      <c r="CU952" s="4" t="s">
        <v>262</v>
      </c>
      <c r="CV952" s="4" t="s">
        <v>263</v>
      </c>
      <c r="CW952" s="4" t="s">
        <v>263</v>
      </c>
      <c r="CX952" s="4" t="s">
        <v>264</v>
      </c>
      <c r="DA952" s="6">
        <f>1</f>
        <v>1</v>
      </c>
      <c r="DC952" s="4" t="s">
        <v>277</v>
      </c>
      <c r="DD952" s="4" t="s">
        <v>241</v>
      </c>
      <c r="DF952" s="4" t="s">
        <v>277</v>
      </c>
      <c r="DG952" s="6">
        <f>1359</f>
        <v>1359</v>
      </c>
      <c r="DI952" s="4" t="s">
        <v>241</v>
      </c>
      <c r="DJ952" s="4" t="s">
        <v>241</v>
      </c>
      <c r="DK952" s="4" t="s">
        <v>241</v>
      </c>
      <c r="DL952" s="4" t="s">
        <v>241</v>
      </c>
      <c r="DP952" s="4" t="s">
        <v>241</v>
      </c>
      <c r="DQ952" s="4" t="s">
        <v>241</v>
      </c>
      <c r="DR952" s="4" t="s">
        <v>241</v>
      </c>
      <c r="DS952" s="4" t="s">
        <v>241</v>
      </c>
      <c r="DV952" s="4" t="s">
        <v>278</v>
      </c>
      <c r="DW952" s="4" t="s">
        <v>441</v>
      </c>
      <c r="HO952" s="4" t="s">
        <v>267</v>
      </c>
    </row>
    <row r="953" spans="1:223" ht="19.5" customHeight="1" x14ac:dyDescent="0.4">
      <c r="A953" s="4">
        <v>1</v>
      </c>
      <c r="B953" s="4" t="s">
        <v>239</v>
      </c>
      <c r="C953" s="4">
        <v>2627</v>
      </c>
      <c r="D953" s="4">
        <v>1</v>
      </c>
      <c r="E953" s="4">
        <v>1</v>
      </c>
      <c r="F953" s="4" t="s">
        <v>268</v>
      </c>
      <c r="G953" s="4" t="s">
        <v>241</v>
      </c>
      <c r="H953" s="4" t="s">
        <v>241</v>
      </c>
      <c r="I953" s="4" t="s">
        <v>272</v>
      </c>
      <c r="J953" s="4" t="s">
        <v>274</v>
      </c>
      <c r="K953" s="4" t="s">
        <v>251</v>
      </c>
      <c r="L953" s="4" t="s">
        <v>269</v>
      </c>
      <c r="M953" s="5" t="s">
        <v>1470</v>
      </c>
      <c r="N953" s="6">
        <f>4721</f>
        <v>4721</v>
      </c>
      <c r="O953" s="4" t="s">
        <v>265</v>
      </c>
      <c r="P953" s="6">
        <f>1</f>
        <v>1</v>
      </c>
      <c r="Q953" s="6">
        <f>0</f>
        <v>0</v>
      </c>
      <c r="S953" s="6">
        <f>0</f>
        <v>0</v>
      </c>
      <c r="T953" s="6">
        <f>1</f>
        <v>1</v>
      </c>
      <c r="U953" s="5" t="s">
        <v>245</v>
      </c>
      <c r="V953" s="4" t="s">
        <v>270</v>
      </c>
      <c r="W953" s="4" t="s">
        <v>271</v>
      </c>
      <c r="X953" s="4" t="s">
        <v>273</v>
      </c>
      <c r="Y953" s="4" t="s">
        <v>241</v>
      </c>
      <c r="AB953" s="4" t="s">
        <v>241</v>
      </c>
      <c r="AD953" s="5" t="s">
        <v>241</v>
      </c>
      <c r="AG953" s="5" t="s">
        <v>246</v>
      </c>
      <c r="AH953" s="4" t="s">
        <v>241</v>
      </c>
      <c r="AI953" s="4" t="s">
        <v>247</v>
      </c>
      <c r="AJ953" s="4" t="s">
        <v>248</v>
      </c>
      <c r="AZ953" s="4" t="s">
        <v>249</v>
      </c>
      <c r="BA953" s="4" t="s">
        <v>241</v>
      </c>
      <c r="BB953" s="4" t="s">
        <v>250</v>
      </c>
      <c r="BC953" s="4" t="s">
        <v>241</v>
      </c>
      <c r="BD953" s="4" t="s">
        <v>252</v>
      </c>
      <c r="BE953" s="4" t="s">
        <v>241</v>
      </c>
      <c r="BI953" s="4" t="s">
        <v>253</v>
      </c>
      <c r="BJ953" s="5" t="s">
        <v>246</v>
      </c>
      <c r="BK953" s="4" t="s">
        <v>254</v>
      </c>
      <c r="BL953" s="4" t="s">
        <v>255</v>
      </c>
      <c r="BM953" s="4" t="s">
        <v>241</v>
      </c>
      <c r="BN953" s="6">
        <f>0</f>
        <v>0</v>
      </c>
      <c r="BO953" s="6">
        <f>0</f>
        <v>0</v>
      </c>
      <c r="BP953" s="4" t="s">
        <v>256</v>
      </c>
      <c r="BQ953" s="4" t="s">
        <v>257</v>
      </c>
      <c r="CE953" s="4" t="s">
        <v>241</v>
      </c>
      <c r="CF953" s="4" t="s">
        <v>241</v>
      </c>
      <c r="CJ953" s="4" t="s">
        <v>276</v>
      </c>
      <c r="CK953" s="4" t="s">
        <v>259</v>
      </c>
      <c r="CL953" s="4" t="s">
        <v>241</v>
      </c>
      <c r="CO953" s="5" t="s">
        <v>260</v>
      </c>
      <c r="CP953" s="4" t="s">
        <v>241</v>
      </c>
      <c r="CQ953" s="4" t="s">
        <v>261</v>
      </c>
      <c r="CR953" s="4" t="s">
        <v>241</v>
      </c>
      <c r="CS953" s="4" t="s">
        <v>241</v>
      </c>
      <c r="CT953" s="4">
        <v>0</v>
      </c>
      <c r="CU953" s="4" t="s">
        <v>262</v>
      </c>
      <c r="CV953" s="4" t="s">
        <v>263</v>
      </c>
      <c r="CW953" s="4" t="s">
        <v>263</v>
      </c>
      <c r="CX953" s="4" t="s">
        <v>264</v>
      </c>
      <c r="DA953" s="6">
        <f>1</f>
        <v>1</v>
      </c>
      <c r="DC953" s="4" t="s">
        <v>277</v>
      </c>
      <c r="DD953" s="4" t="s">
        <v>241</v>
      </c>
      <c r="DF953" s="4" t="s">
        <v>277</v>
      </c>
      <c r="DG953" s="6">
        <f>4721</f>
        <v>4721</v>
      </c>
      <c r="DI953" s="4" t="s">
        <v>241</v>
      </c>
      <c r="DJ953" s="4" t="s">
        <v>241</v>
      </c>
      <c r="DK953" s="4" t="s">
        <v>241</v>
      </c>
      <c r="DL953" s="4" t="s">
        <v>241</v>
      </c>
      <c r="DP953" s="4" t="s">
        <v>241</v>
      </c>
      <c r="DQ953" s="4" t="s">
        <v>241</v>
      </c>
      <c r="DR953" s="4" t="s">
        <v>241</v>
      </c>
      <c r="DS953" s="4" t="s">
        <v>241</v>
      </c>
      <c r="DV953" s="4" t="s">
        <v>278</v>
      </c>
      <c r="DW953" s="4" t="s">
        <v>443</v>
      </c>
      <c r="HO953" s="4" t="s">
        <v>267</v>
      </c>
    </row>
    <row r="954" spans="1:223" ht="19.5" customHeight="1" x14ac:dyDescent="0.4">
      <c r="A954" s="4">
        <v>1</v>
      </c>
      <c r="B954" s="4" t="s">
        <v>239</v>
      </c>
      <c r="C954" s="4">
        <v>2628</v>
      </c>
      <c r="D954" s="4">
        <v>1</v>
      </c>
      <c r="E954" s="4">
        <v>1</v>
      </c>
      <c r="F954" s="4" t="s">
        <v>268</v>
      </c>
      <c r="G954" s="4" t="s">
        <v>241</v>
      </c>
      <c r="H954" s="4" t="s">
        <v>241</v>
      </c>
      <c r="I954" s="4" t="s">
        <v>272</v>
      </c>
      <c r="J954" s="4" t="s">
        <v>274</v>
      </c>
      <c r="K954" s="4" t="s">
        <v>251</v>
      </c>
      <c r="L954" s="4" t="s">
        <v>269</v>
      </c>
      <c r="M954" s="5" t="s">
        <v>1469</v>
      </c>
      <c r="N954" s="6">
        <f>5722</f>
        <v>5722</v>
      </c>
      <c r="O954" s="4" t="s">
        <v>265</v>
      </c>
      <c r="P954" s="6">
        <f>1</f>
        <v>1</v>
      </c>
      <c r="Q954" s="6">
        <f>0</f>
        <v>0</v>
      </c>
      <c r="S954" s="6">
        <f>0</f>
        <v>0</v>
      </c>
      <c r="T954" s="6">
        <f>1</f>
        <v>1</v>
      </c>
      <c r="U954" s="5" t="s">
        <v>245</v>
      </c>
      <c r="V954" s="4" t="s">
        <v>270</v>
      </c>
      <c r="W954" s="4" t="s">
        <v>271</v>
      </c>
      <c r="X954" s="4" t="s">
        <v>273</v>
      </c>
      <c r="Y954" s="4" t="s">
        <v>241</v>
      </c>
      <c r="AB954" s="4" t="s">
        <v>241</v>
      </c>
      <c r="AD954" s="5" t="s">
        <v>241</v>
      </c>
      <c r="AG954" s="5" t="s">
        <v>246</v>
      </c>
      <c r="AH954" s="4" t="s">
        <v>241</v>
      </c>
      <c r="AI954" s="4" t="s">
        <v>247</v>
      </c>
      <c r="AJ954" s="4" t="s">
        <v>248</v>
      </c>
      <c r="AZ954" s="4" t="s">
        <v>249</v>
      </c>
      <c r="BA954" s="4" t="s">
        <v>241</v>
      </c>
      <c r="BB954" s="4" t="s">
        <v>250</v>
      </c>
      <c r="BC954" s="4" t="s">
        <v>241</v>
      </c>
      <c r="BD954" s="4" t="s">
        <v>252</v>
      </c>
      <c r="BE954" s="4" t="s">
        <v>241</v>
      </c>
      <c r="BI954" s="4" t="s">
        <v>253</v>
      </c>
      <c r="BJ954" s="5" t="s">
        <v>246</v>
      </c>
      <c r="BK954" s="4" t="s">
        <v>254</v>
      </c>
      <c r="BL954" s="4" t="s">
        <v>255</v>
      </c>
      <c r="BM954" s="4" t="s">
        <v>241</v>
      </c>
      <c r="BN954" s="6">
        <f>0</f>
        <v>0</v>
      </c>
      <c r="BO954" s="6">
        <f>0</f>
        <v>0</v>
      </c>
      <c r="BP954" s="4" t="s">
        <v>256</v>
      </c>
      <c r="BQ954" s="4" t="s">
        <v>257</v>
      </c>
      <c r="CE954" s="4" t="s">
        <v>241</v>
      </c>
      <c r="CF954" s="4" t="s">
        <v>241</v>
      </c>
      <c r="CJ954" s="4" t="s">
        <v>276</v>
      </c>
      <c r="CK954" s="4" t="s">
        <v>259</v>
      </c>
      <c r="CL954" s="4" t="s">
        <v>241</v>
      </c>
      <c r="CO954" s="5" t="s">
        <v>260</v>
      </c>
      <c r="CP954" s="4" t="s">
        <v>241</v>
      </c>
      <c r="CQ954" s="4" t="s">
        <v>261</v>
      </c>
      <c r="CR954" s="4" t="s">
        <v>241</v>
      </c>
      <c r="CS954" s="4" t="s">
        <v>241</v>
      </c>
      <c r="CT954" s="4">
        <v>0</v>
      </c>
      <c r="CU954" s="4" t="s">
        <v>262</v>
      </c>
      <c r="CV954" s="4" t="s">
        <v>263</v>
      </c>
      <c r="CW954" s="4" t="s">
        <v>263</v>
      </c>
      <c r="CX954" s="4" t="s">
        <v>264</v>
      </c>
      <c r="DA954" s="6">
        <f>1</f>
        <v>1</v>
      </c>
      <c r="DC954" s="4" t="s">
        <v>277</v>
      </c>
      <c r="DD954" s="4" t="s">
        <v>241</v>
      </c>
      <c r="DF954" s="4" t="s">
        <v>277</v>
      </c>
      <c r="DG954" s="6">
        <f>5722</f>
        <v>5722</v>
      </c>
      <c r="DI954" s="4" t="s">
        <v>241</v>
      </c>
      <c r="DJ954" s="4" t="s">
        <v>241</v>
      </c>
      <c r="DK954" s="4" t="s">
        <v>241</v>
      </c>
      <c r="DL954" s="4" t="s">
        <v>241</v>
      </c>
      <c r="DP954" s="4" t="s">
        <v>241</v>
      </c>
      <c r="DQ954" s="4" t="s">
        <v>241</v>
      </c>
      <c r="DR954" s="4" t="s">
        <v>241</v>
      </c>
      <c r="DS954" s="4" t="s">
        <v>241</v>
      </c>
      <c r="DV954" s="4" t="s">
        <v>278</v>
      </c>
      <c r="DW954" s="4" t="s">
        <v>446</v>
      </c>
      <c r="HO954" s="4" t="s">
        <v>267</v>
      </c>
    </row>
    <row r="955" spans="1:223" ht="19.5" customHeight="1" x14ac:dyDescent="0.4">
      <c r="A955" s="4">
        <v>1</v>
      </c>
      <c r="B955" s="4" t="s">
        <v>239</v>
      </c>
      <c r="C955" s="4">
        <v>2629</v>
      </c>
      <c r="D955" s="4">
        <v>1</v>
      </c>
      <c r="E955" s="4">
        <v>1</v>
      </c>
      <c r="F955" s="4" t="s">
        <v>268</v>
      </c>
      <c r="G955" s="4" t="s">
        <v>241</v>
      </c>
      <c r="H955" s="4" t="s">
        <v>241</v>
      </c>
      <c r="I955" s="4" t="s">
        <v>272</v>
      </c>
      <c r="J955" s="4" t="s">
        <v>274</v>
      </c>
      <c r="K955" s="4" t="s">
        <v>251</v>
      </c>
      <c r="L955" s="4" t="s">
        <v>269</v>
      </c>
      <c r="M955" s="5" t="s">
        <v>1468</v>
      </c>
      <c r="N955" s="6">
        <f>2218</f>
        <v>2218</v>
      </c>
      <c r="O955" s="4" t="s">
        <v>265</v>
      </c>
      <c r="P955" s="6">
        <f>1</f>
        <v>1</v>
      </c>
      <c r="Q955" s="6">
        <f>0</f>
        <v>0</v>
      </c>
      <c r="S955" s="6">
        <f>0</f>
        <v>0</v>
      </c>
      <c r="T955" s="6">
        <f>1</f>
        <v>1</v>
      </c>
      <c r="U955" s="5" t="s">
        <v>245</v>
      </c>
      <c r="V955" s="4" t="s">
        <v>270</v>
      </c>
      <c r="W955" s="4" t="s">
        <v>271</v>
      </c>
      <c r="X955" s="4" t="s">
        <v>273</v>
      </c>
      <c r="Y955" s="4" t="s">
        <v>241</v>
      </c>
      <c r="AB955" s="4" t="s">
        <v>241</v>
      </c>
      <c r="AD955" s="5" t="s">
        <v>241</v>
      </c>
      <c r="AG955" s="5" t="s">
        <v>246</v>
      </c>
      <c r="AH955" s="4" t="s">
        <v>241</v>
      </c>
      <c r="AI955" s="4" t="s">
        <v>247</v>
      </c>
      <c r="AJ955" s="4" t="s">
        <v>248</v>
      </c>
      <c r="AZ955" s="4" t="s">
        <v>249</v>
      </c>
      <c r="BA955" s="4" t="s">
        <v>241</v>
      </c>
      <c r="BB955" s="4" t="s">
        <v>250</v>
      </c>
      <c r="BC955" s="4" t="s">
        <v>241</v>
      </c>
      <c r="BD955" s="4" t="s">
        <v>252</v>
      </c>
      <c r="BE955" s="4" t="s">
        <v>241</v>
      </c>
      <c r="BI955" s="4" t="s">
        <v>253</v>
      </c>
      <c r="BJ955" s="5" t="s">
        <v>246</v>
      </c>
      <c r="BK955" s="4" t="s">
        <v>254</v>
      </c>
      <c r="BL955" s="4" t="s">
        <v>255</v>
      </c>
      <c r="BM955" s="4" t="s">
        <v>241</v>
      </c>
      <c r="BN955" s="6">
        <f>0</f>
        <v>0</v>
      </c>
      <c r="BO955" s="6">
        <f>0</f>
        <v>0</v>
      </c>
      <c r="BP955" s="4" t="s">
        <v>256</v>
      </c>
      <c r="BQ955" s="4" t="s">
        <v>257</v>
      </c>
      <c r="CE955" s="4" t="s">
        <v>241</v>
      </c>
      <c r="CF955" s="4" t="s">
        <v>241</v>
      </c>
      <c r="CJ955" s="4" t="s">
        <v>276</v>
      </c>
      <c r="CK955" s="4" t="s">
        <v>259</v>
      </c>
      <c r="CL955" s="4" t="s">
        <v>241</v>
      </c>
      <c r="CO955" s="5" t="s">
        <v>260</v>
      </c>
      <c r="CP955" s="4" t="s">
        <v>241</v>
      </c>
      <c r="CQ955" s="4" t="s">
        <v>261</v>
      </c>
      <c r="CR955" s="4" t="s">
        <v>241</v>
      </c>
      <c r="CS955" s="4" t="s">
        <v>241</v>
      </c>
      <c r="CT955" s="4">
        <v>0</v>
      </c>
      <c r="CU955" s="4" t="s">
        <v>262</v>
      </c>
      <c r="CV955" s="4" t="s">
        <v>263</v>
      </c>
      <c r="CW955" s="4" t="s">
        <v>263</v>
      </c>
      <c r="CX955" s="4" t="s">
        <v>264</v>
      </c>
      <c r="DA955" s="6">
        <f>1</f>
        <v>1</v>
      </c>
      <c r="DC955" s="4" t="s">
        <v>277</v>
      </c>
      <c r="DD955" s="4" t="s">
        <v>241</v>
      </c>
      <c r="DF955" s="4" t="s">
        <v>277</v>
      </c>
      <c r="DG955" s="6">
        <f>2218</f>
        <v>2218</v>
      </c>
      <c r="DI955" s="4" t="s">
        <v>241</v>
      </c>
      <c r="DJ955" s="4" t="s">
        <v>241</v>
      </c>
      <c r="DK955" s="4" t="s">
        <v>241</v>
      </c>
      <c r="DL955" s="4" t="s">
        <v>241</v>
      </c>
      <c r="DP955" s="4" t="s">
        <v>241</v>
      </c>
      <c r="DQ955" s="4" t="s">
        <v>241</v>
      </c>
      <c r="DR955" s="4" t="s">
        <v>241</v>
      </c>
      <c r="DS955" s="4" t="s">
        <v>241</v>
      </c>
      <c r="DV955" s="4" t="s">
        <v>278</v>
      </c>
      <c r="DW955" s="4" t="s">
        <v>448</v>
      </c>
      <c r="HO955" s="4" t="s">
        <v>267</v>
      </c>
    </row>
    <row r="956" spans="1:223" ht="19.5" customHeight="1" x14ac:dyDescent="0.4">
      <c r="A956" s="4">
        <v>1</v>
      </c>
      <c r="B956" s="4" t="s">
        <v>239</v>
      </c>
      <c r="C956" s="4">
        <v>2630</v>
      </c>
      <c r="D956" s="4">
        <v>1</v>
      </c>
      <c r="E956" s="4">
        <v>1</v>
      </c>
      <c r="F956" s="4" t="s">
        <v>268</v>
      </c>
      <c r="G956" s="4" t="s">
        <v>241</v>
      </c>
      <c r="H956" s="4" t="s">
        <v>241</v>
      </c>
      <c r="I956" s="4" t="s">
        <v>272</v>
      </c>
      <c r="J956" s="4" t="s">
        <v>274</v>
      </c>
      <c r="K956" s="4" t="s">
        <v>251</v>
      </c>
      <c r="L956" s="4" t="s">
        <v>269</v>
      </c>
      <c r="M956" s="5" t="s">
        <v>1466</v>
      </c>
      <c r="N956" s="6">
        <f>706</f>
        <v>706</v>
      </c>
      <c r="O956" s="4" t="s">
        <v>265</v>
      </c>
      <c r="P956" s="6">
        <f>1</f>
        <v>1</v>
      </c>
      <c r="Q956" s="6">
        <f>0</f>
        <v>0</v>
      </c>
      <c r="S956" s="6">
        <f>0</f>
        <v>0</v>
      </c>
      <c r="T956" s="6">
        <f>1</f>
        <v>1</v>
      </c>
      <c r="U956" s="5" t="s">
        <v>245</v>
      </c>
      <c r="V956" s="4" t="s">
        <v>270</v>
      </c>
      <c r="W956" s="4" t="s">
        <v>271</v>
      </c>
      <c r="X956" s="4" t="s">
        <v>273</v>
      </c>
      <c r="Y956" s="4" t="s">
        <v>241</v>
      </c>
      <c r="AB956" s="4" t="s">
        <v>241</v>
      </c>
      <c r="AD956" s="5" t="s">
        <v>241</v>
      </c>
      <c r="AG956" s="5" t="s">
        <v>246</v>
      </c>
      <c r="AH956" s="4" t="s">
        <v>241</v>
      </c>
      <c r="AI956" s="4" t="s">
        <v>247</v>
      </c>
      <c r="AJ956" s="4" t="s">
        <v>248</v>
      </c>
      <c r="AZ956" s="4" t="s">
        <v>249</v>
      </c>
      <c r="BA956" s="4" t="s">
        <v>241</v>
      </c>
      <c r="BB956" s="4" t="s">
        <v>250</v>
      </c>
      <c r="BC956" s="4" t="s">
        <v>241</v>
      </c>
      <c r="BD956" s="4" t="s">
        <v>252</v>
      </c>
      <c r="BE956" s="4" t="s">
        <v>241</v>
      </c>
      <c r="BI956" s="4" t="s">
        <v>253</v>
      </c>
      <c r="BJ956" s="5" t="s">
        <v>246</v>
      </c>
      <c r="BK956" s="4" t="s">
        <v>254</v>
      </c>
      <c r="BL956" s="4" t="s">
        <v>255</v>
      </c>
      <c r="BM956" s="4" t="s">
        <v>241</v>
      </c>
      <c r="BN956" s="6">
        <f>0</f>
        <v>0</v>
      </c>
      <c r="BO956" s="6">
        <f>0</f>
        <v>0</v>
      </c>
      <c r="BP956" s="4" t="s">
        <v>256</v>
      </c>
      <c r="BQ956" s="4" t="s">
        <v>257</v>
      </c>
      <c r="CE956" s="4" t="s">
        <v>241</v>
      </c>
      <c r="CF956" s="4" t="s">
        <v>241</v>
      </c>
      <c r="CJ956" s="4" t="s">
        <v>276</v>
      </c>
      <c r="CK956" s="4" t="s">
        <v>259</v>
      </c>
      <c r="CL956" s="4" t="s">
        <v>241</v>
      </c>
      <c r="CO956" s="5" t="s">
        <v>260</v>
      </c>
      <c r="CP956" s="4" t="s">
        <v>241</v>
      </c>
      <c r="CQ956" s="4" t="s">
        <v>261</v>
      </c>
      <c r="CR956" s="4" t="s">
        <v>241</v>
      </c>
      <c r="CS956" s="4" t="s">
        <v>241</v>
      </c>
      <c r="CT956" s="4">
        <v>0</v>
      </c>
      <c r="CU956" s="4" t="s">
        <v>262</v>
      </c>
      <c r="CV956" s="4" t="s">
        <v>263</v>
      </c>
      <c r="CW956" s="4" t="s">
        <v>263</v>
      </c>
      <c r="CX956" s="4" t="s">
        <v>264</v>
      </c>
      <c r="DA956" s="6">
        <f>1</f>
        <v>1</v>
      </c>
      <c r="DC956" s="4" t="s">
        <v>277</v>
      </c>
      <c r="DD956" s="4" t="s">
        <v>241</v>
      </c>
      <c r="DF956" s="4" t="s">
        <v>277</v>
      </c>
      <c r="DG956" s="6">
        <f>706</f>
        <v>706</v>
      </c>
      <c r="DI956" s="4" t="s">
        <v>241</v>
      </c>
      <c r="DJ956" s="4" t="s">
        <v>241</v>
      </c>
      <c r="DK956" s="4" t="s">
        <v>241</v>
      </c>
      <c r="DL956" s="4" t="s">
        <v>241</v>
      </c>
      <c r="DP956" s="4" t="s">
        <v>241</v>
      </c>
      <c r="DQ956" s="4" t="s">
        <v>241</v>
      </c>
      <c r="DR956" s="4" t="s">
        <v>241</v>
      </c>
      <c r="DS956" s="4" t="s">
        <v>241</v>
      </c>
      <c r="DV956" s="4" t="s">
        <v>278</v>
      </c>
      <c r="DW956" s="4" t="s">
        <v>456</v>
      </c>
      <c r="HO956" s="4" t="s">
        <v>267</v>
      </c>
    </row>
    <row r="957" spans="1:223" ht="19.5" customHeight="1" x14ac:dyDescent="0.4">
      <c r="A957" s="4">
        <v>1</v>
      </c>
      <c r="B957" s="4" t="s">
        <v>239</v>
      </c>
      <c r="C957" s="4">
        <v>2631</v>
      </c>
      <c r="D957" s="4">
        <v>1</v>
      </c>
      <c r="E957" s="4">
        <v>1</v>
      </c>
      <c r="F957" s="4" t="s">
        <v>268</v>
      </c>
      <c r="G957" s="4" t="s">
        <v>241</v>
      </c>
      <c r="H957" s="4" t="s">
        <v>241</v>
      </c>
      <c r="I957" s="4" t="s">
        <v>272</v>
      </c>
      <c r="J957" s="4" t="s">
        <v>274</v>
      </c>
      <c r="K957" s="4" t="s">
        <v>251</v>
      </c>
      <c r="L957" s="4" t="s">
        <v>269</v>
      </c>
      <c r="M957" s="5" t="s">
        <v>1465</v>
      </c>
      <c r="N957" s="6">
        <f>169</f>
        <v>169</v>
      </c>
      <c r="O957" s="4" t="s">
        <v>265</v>
      </c>
      <c r="P957" s="6">
        <f>1</f>
        <v>1</v>
      </c>
      <c r="Q957" s="6">
        <f>0</f>
        <v>0</v>
      </c>
      <c r="S957" s="6">
        <f>0</f>
        <v>0</v>
      </c>
      <c r="T957" s="6">
        <f>1</f>
        <v>1</v>
      </c>
      <c r="U957" s="5" t="s">
        <v>245</v>
      </c>
      <c r="V957" s="4" t="s">
        <v>270</v>
      </c>
      <c r="W957" s="4" t="s">
        <v>271</v>
      </c>
      <c r="X957" s="4" t="s">
        <v>273</v>
      </c>
      <c r="Y957" s="4" t="s">
        <v>241</v>
      </c>
      <c r="AB957" s="4" t="s">
        <v>241</v>
      </c>
      <c r="AD957" s="5" t="s">
        <v>241</v>
      </c>
      <c r="AG957" s="5" t="s">
        <v>246</v>
      </c>
      <c r="AH957" s="4" t="s">
        <v>241</v>
      </c>
      <c r="AI957" s="4" t="s">
        <v>247</v>
      </c>
      <c r="AJ957" s="4" t="s">
        <v>248</v>
      </c>
      <c r="AZ957" s="4" t="s">
        <v>249</v>
      </c>
      <c r="BA957" s="4" t="s">
        <v>241</v>
      </c>
      <c r="BB957" s="4" t="s">
        <v>250</v>
      </c>
      <c r="BC957" s="4" t="s">
        <v>241</v>
      </c>
      <c r="BD957" s="4" t="s">
        <v>252</v>
      </c>
      <c r="BE957" s="4" t="s">
        <v>241</v>
      </c>
      <c r="BI957" s="4" t="s">
        <v>253</v>
      </c>
      <c r="BJ957" s="5" t="s">
        <v>246</v>
      </c>
      <c r="BK957" s="4" t="s">
        <v>254</v>
      </c>
      <c r="BL957" s="4" t="s">
        <v>255</v>
      </c>
      <c r="BM957" s="4" t="s">
        <v>241</v>
      </c>
      <c r="BN957" s="6">
        <f>0</f>
        <v>0</v>
      </c>
      <c r="BO957" s="6">
        <f>0</f>
        <v>0</v>
      </c>
      <c r="BP957" s="4" t="s">
        <v>256</v>
      </c>
      <c r="BQ957" s="4" t="s">
        <v>257</v>
      </c>
      <c r="CE957" s="4" t="s">
        <v>241</v>
      </c>
      <c r="CF957" s="4" t="s">
        <v>241</v>
      </c>
      <c r="CJ957" s="4" t="s">
        <v>276</v>
      </c>
      <c r="CK957" s="4" t="s">
        <v>259</v>
      </c>
      <c r="CL957" s="4" t="s">
        <v>241</v>
      </c>
      <c r="CO957" s="5" t="s">
        <v>260</v>
      </c>
      <c r="CP957" s="4" t="s">
        <v>241</v>
      </c>
      <c r="CQ957" s="4" t="s">
        <v>261</v>
      </c>
      <c r="CR957" s="4" t="s">
        <v>241</v>
      </c>
      <c r="CS957" s="4" t="s">
        <v>241</v>
      </c>
      <c r="CT957" s="4">
        <v>0</v>
      </c>
      <c r="CU957" s="4" t="s">
        <v>262</v>
      </c>
      <c r="CV957" s="4" t="s">
        <v>263</v>
      </c>
      <c r="CW957" s="4" t="s">
        <v>263</v>
      </c>
      <c r="CX957" s="4" t="s">
        <v>264</v>
      </c>
      <c r="DA957" s="6">
        <f>1</f>
        <v>1</v>
      </c>
      <c r="DC957" s="4" t="s">
        <v>277</v>
      </c>
      <c r="DD957" s="4" t="s">
        <v>241</v>
      </c>
      <c r="DF957" s="4" t="s">
        <v>277</v>
      </c>
      <c r="DG957" s="6">
        <f>169</f>
        <v>169</v>
      </c>
      <c r="DI957" s="4" t="s">
        <v>241</v>
      </c>
      <c r="DJ957" s="4" t="s">
        <v>241</v>
      </c>
      <c r="DK957" s="4" t="s">
        <v>241</v>
      </c>
      <c r="DL957" s="4" t="s">
        <v>241</v>
      </c>
      <c r="DP957" s="4" t="s">
        <v>241</v>
      </c>
      <c r="DQ957" s="4" t="s">
        <v>241</v>
      </c>
      <c r="DR957" s="4" t="s">
        <v>241</v>
      </c>
      <c r="DS957" s="4" t="s">
        <v>241</v>
      </c>
      <c r="DV957" s="4" t="s">
        <v>278</v>
      </c>
      <c r="DW957" s="4" t="s">
        <v>458</v>
      </c>
      <c r="HO957" s="4" t="s">
        <v>267</v>
      </c>
    </row>
    <row r="958" spans="1:223" ht="19.5" customHeight="1" x14ac:dyDescent="0.4">
      <c r="A958" s="4">
        <v>1</v>
      </c>
      <c r="B958" s="4" t="s">
        <v>239</v>
      </c>
      <c r="C958" s="4">
        <v>2632</v>
      </c>
      <c r="D958" s="4">
        <v>1</v>
      </c>
      <c r="E958" s="4">
        <v>1</v>
      </c>
      <c r="F958" s="4" t="s">
        <v>268</v>
      </c>
      <c r="G958" s="4" t="s">
        <v>241</v>
      </c>
      <c r="H958" s="4" t="s">
        <v>241</v>
      </c>
      <c r="I958" s="4" t="s">
        <v>272</v>
      </c>
      <c r="J958" s="4" t="s">
        <v>274</v>
      </c>
      <c r="K958" s="4" t="s">
        <v>251</v>
      </c>
      <c r="L958" s="4" t="s">
        <v>269</v>
      </c>
      <c r="M958" s="5" t="s">
        <v>1463</v>
      </c>
      <c r="N958" s="6">
        <f>532</f>
        <v>532</v>
      </c>
      <c r="O958" s="4" t="s">
        <v>265</v>
      </c>
      <c r="P958" s="6">
        <f>1</f>
        <v>1</v>
      </c>
      <c r="Q958" s="6">
        <f>0</f>
        <v>0</v>
      </c>
      <c r="S958" s="6">
        <f>0</f>
        <v>0</v>
      </c>
      <c r="T958" s="6">
        <f>1</f>
        <v>1</v>
      </c>
      <c r="U958" s="5" t="s">
        <v>245</v>
      </c>
      <c r="V958" s="4" t="s">
        <v>270</v>
      </c>
      <c r="W958" s="4" t="s">
        <v>271</v>
      </c>
      <c r="X958" s="4" t="s">
        <v>273</v>
      </c>
      <c r="Y958" s="4" t="s">
        <v>241</v>
      </c>
      <c r="AB958" s="4" t="s">
        <v>241</v>
      </c>
      <c r="AD958" s="5" t="s">
        <v>241</v>
      </c>
      <c r="AG958" s="5" t="s">
        <v>246</v>
      </c>
      <c r="AH958" s="4" t="s">
        <v>241</v>
      </c>
      <c r="AI958" s="4" t="s">
        <v>247</v>
      </c>
      <c r="AJ958" s="4" t="s">
        <v>248</v>
      </c>
      <c r="AZ958" s="4" t="s">
        <v>249</v>
      </c>
      <c r="BA958" s="4" t="s">
        <v>241</v>
      </c>
      <c r="BB958" s="4" t="s">
        <v>250</v>
      </c>
      <c r="BC958" s="4" t="s">
        <v>241</v>
      </c>
      <c r="BD958" s="4" t="s">
        <v>252</v>
      </c>
      <c r="BE958" s="4" t="s">
        <v>241</v>
      </c>
      <c r="BI958" s="4" t="s">
        <v>253</v>
      </c>
      <c r="BJ958" s="5" t="s">
        <v>246</v>
      </c>
      <c r="BK958" s="4" t="s">
        <v>254</v>
      </c>
      <c r="BL958" s="4" t="s">
        <v>255</v>
      </c>
      <c r="BM958" s="4" t="s">
        <v>241</v>
      </c>
      <c r="BN958" s="6">
        <f>0</f>
        <v>0</v>
      </c>
      <c r="BO958" s="6">
        <f>0</f>
        <v>0</v>
      </c>
      <c r="BP958" s="4" t="s">
        <v>256</v>
      </c>
      <c r="BQ958" s="4" t="s">
        <v>257</v>
      </c>
      <c r="CE958" s="4" t="s">
        <v>241</v>
      </c>
      <c r="CF958" s="4" t="s">
        <v>241</v>
      </c>
      <c r="CJ958" s="4" t="s">
        <v>276</v>
      </c>
      <c r="CK958" s="4" t="s">
        <v>259</v>
      </c>
      <c r="CL958" s="4" t="s">
        <v>241</v>
      </c>
      <c r="CO958" s="5" t="s">
        <v>260</v>
      </c>
      <c r="CP958" s="4" t="s">
        <v>241</v>
      </c>
      <c r="CQ958" s="4" t="s">
        <v>261</v>
      </c>
      <c r="CR958" s="4" t="s">
        <v>241</v>
      </c>
      <c r="CS958" s="4" t="s">
        <v>241</v>
      </c>
      <c r="CT958" s="4">
        <v>0</v>
      </c>
      <c r="CU958" s="4" t="s">
        <v>262</v>
      </c>
      <c r="CV958" s="4" t="s">
        <v>263</v>
      </c>
      <c r="CW958" s="4" t="s">
        <v>263</v>
      </c>
      <c r="CX958" s="4" t="s">
        <v>264</v>
      </c>
      <c r="DA958" s="6">
        <f>1</f>
        <v>1</v>
      </c>
      <c r="DC958" s="4" t="s">
        <v>277</v>
      </c>
      <c r="DD958" s="4" t="s">
        <v>241</v>
      </c>
      <c r="DF958" s="4" t="s">
        <v>277</v>
      </c>
      <c r="DG958" s="6">
        <f>532</f>
        <v>532</v>
      </c>
      <c r="DI958" s="4" t="s">
        <v>241</v>
      </c>
      <c r="DJ958" s="4" t="s">
        <v>241</v>
      </c>
      <c r="DK958" s="4" t="s">
        <v>241</v>
      </c>
      <c r="DL958" s="4" t="s">
        <v>241</v>
      </c>
      <c r="DP958" s="4" t="s">
        <v>241</v>
      </c>
      <c r="DQ958" s="4" t="s">
        <v>241</v>
      </c>
      <c r="DR958" s="4" t="s">
        <v>241</v>
      </c>
      <c r="DS958" s="4" t="s">
        <v>241</v>
      </c>
      <c r="DV958" s="4" t="s">
        <v>278</v>
      </c>
      <c r="DW958" s="4" t="s">
        <v>462</v>
      </c>
      <c r="HO958" s="4" t="s">
        <v>267</v>
      </c>
    </row>
    <row r="959" spans="1:223" ht="19.5" customHeight="1" x14ac:dyDescent="0.4">
      <c r="A959" s="4">
        <v>1</v>
      </c>
      <c r="B959" s="4" t="s">
        <v>239</v>
      </c>
      <c r="C959" s="4">
        <v>2633</v>
      </c>
      <c r="D959" s="4">
        <v>1</v>
      </c>
      <c r="E959" s="4">
        <v>1</v>
      </c>
      <c r="F959" s="4" t="s">
        <v>268</v>
      </c>
      <c r="G959" s="4" t="s">
        <v>241</v>
      </c>
      <c r="H959" s="4" t="s">
        <v>241</v>
      </c>
      <c r="I959" s="4" t="s">
        <v>272</v>
      </c>
      <c r="J959" s="4" t="s">
        <v>274</v>
      </c>
      <c r="K959" s="4" t="s">
        <v>251</v>
      </c>
      <c r="L959" s="4" t="s">
        <v>269</v>
      </c>
      <c r="M959" s="5" t="s">
        <v>1462</v>
      </c>
      <c r="N959" s="6">
        <f>1747</f>
        <v>1747</v>
      </c>
      <c r="O959" s="4" t="s">
        <v>265</v>
      </c>
      <c r="P959" s="6">
        <f>1</f>
        <v>1</v>
      </c>
      <c r="Q959" s="6">
        <f>0</f>
        <v>0</v>
      </c>
      <c r="S959" s="6">
        <f>0</f>
        <v>0</v>
      </c>
      <c r="T959" s="6">
        <f>1</f>
        <v>1</v>
      </c>
      <c r="U959" s="5" t="s">
        <v>245</v>
      </c>
      <c r="V959" s="4" t="s">
        <v>270</v>
      </c>
      <c r="W959" s="4" t="s">
        <v>271</v>
      </c>
      <c r="X959" s="4" t="s">
        <v>273</v>
      </c>
      <c r="Y959" s="4" t="s">
        <v>241</v>
      </c>
      <c r="AB959" s="4" t="s">
        <v>241</v>
      </c>
      <c r="AD959" s="5" t="s">
        <v>241</v>
      </c>
      <c r="AG959" s="5" t="s">
        <v>246</v>
      </c>
      <c r="AH959" s="4" t="s">
        <v>241</v>
      </c>
      <c r="AI959" s="4" t="s">
        <v>247</v>
      </c>
      <c r="AJ959" s="4" t="s">
        <v>248</v>
      </c>
      <c r="AZ959" s="4" t="s">
        <v>249</v>
      </c>
      <c r="BA959" s="4" t="s">
        <v>241</v>
      </c>
      <c r="BB959" s="4" t="s">
        <v>250</v>
      </c>
      <c r="BC959" s="4" t="s">
        <v>241</v>
      </c>
      <c r="BD959" s="4" t="s">
        <v>252</v>
      </c>
      <c r="BE959" s="4" t="s">
        <v>241</v>
      </c>
      <c r="BI959" s="4" t="s">
        <v>253</v>
      </c>
      <c r="BJ959" s="5" t="s">
        <v>246</v>
      </c>
      <c r="BK959" s="4" t="s">
        <v>254</v>
      </c>
      <c r="BL959" s="4" t="s">
        <v>255</v>
      </c>
      <c r="BM959" s="4" t="s">
        <v>241</v>
      </c>
      <c r="BN959" s="6">
        <f>0</f>
        <v>0</v>
      </c>
      <c r="BO959" s="6">
        <f>0</f>
        <v>0</v>
      </c>
      <c r="BP959" s="4" t="s">
        <v>256</v>
      </c>
      <c r="BQ959" s="4" t="s">
        <v>257</v>
      </c>
      <c r="CE959" s="4" t="s">
        <v>241</v>
      </c>
      <c r="CF959" s="4" t="s">
        <v>241</v>
      </c>
      <c r="CJ959" s="4" t="s">
        <v>276</v>
      </c>
      <c r="CK959" s="4" t="s">
        <v>259</v>
      </c>
      <c r="CL959" s="4" t="s">
        <v>241</v>
      </c>
      <c r="CO959" s="5" t="s">
        <v>260</v>
      </c>
      <c r="CP959" s="4" t="s">
        <v>241</v>
      </c>
      <c r="CQ959" s="4" t="s">
        <v>261</v>
      </c>
      <c r="CR959" s="4" t="s">
        <v>241</v>
      </c>
      <c r="CS959" s="4" t="s">
        <v>241</v>
      </c>
      <c r="CT959" s="4">
        <v>0</v>
      </c>
      <c r="CU959" s="4" t="s">
        <v>262</v>
      </c>
      <c r="CV959" s="4" t="s">
        <v>263</v>
      </c>
      <c r="CW959" s="4" t="s">
        <v>263</v>
      </c>
      <c r="CX959" s="4" t="s">
        <v>264</v>
      </c>
      <c r="DA959" s="6">
        <f>1</f>
        <v>1</v>
      </c>
      <c r="DC959" s="4" t="s">
        <v>277</v>
      </c>
      <c r="DD959" s="4" t="s">
        <v>241</v>
      </c>
      <c r="DF959" s="4" t="s">
        <v>277</v>
      </c>
      <c r="DG959" s="6">
        <f>1747</f>
        <v>1747</v>
      </c>
      <c r="DI959" s="4" t="s">
        <v>241</v>
      </c>
      <c r="DJ959" s="4" t="s">
        <v>241</v>
      </c>
      <c r="DK959" s="4" t="s">
        <v>241</v>
      </c>
      <c r="DL959" s="4" t="s">
        <v>241</v>
      </c>
      <c r="DP959" s="4" t="s">
        <v>241</v>
      </c>
      <c r="DQ959" s="4" t="s">
        <v>241</v>
      </c>
      <c r="DR959" s="4" t="s">
        <v>241</v>
      </c>
      <c r="DS959" s="4" t="s">
        <v>241</v>
      </c>
      <c r="DV959" s="4" t="s">
        <v>278</v>
      </c>
      <c r="DW959" s="4" t="s">
        <v>464</v>
      </c>
      <c r="HO959" s="4" t="s">
        <v>267</v>
      </c>
    </row>
    <row r="960" spans="1:223" ht="19.5" customHeight="1" x14ac:dyDescent="0.4">
      <c r="A960" s="4">
        <v>1</v>
      </c>
      <c r="B960" s="4" t="s">
        <v>239</v>
      </c>
      <c r="C960" s="4">
        <v>2634</v>
      </c>
      <c r="D960" s="4">
        <v>1</v>
      </c>
      <c r="E960" s="4">
        <v>1</v>
      </c>
      <c r="F960" s="4" t="s">
        <v>268</v>
      </c>
      <c r="G960" s="4" t="s">
        <v>241</v>
      </c>
      <c r="H960" s="4" t="s">
        <v>241</v>
      </c>
      <c r="I960" s="4" t="s">
        <v>272</v>
      </c>
      <c r="J960" s="4" t="s">
        <v>274</v>
      </c>
      <c r="K960" s="4" t="s">
        <v>251</v>
      </c>
      <c r="L960" s="4" t="s">
        <v>269</v>
      </c>
      <c r="M960" s="5" t="s">
        <v>1459</v>
      </c>
      <c r="N960" s="6">
        <f>368</f>
        <v>368</v>
      </c>
      <c r="O960" s="4" t="s">
        <v>265</v>
      </c>
      <c r="P960" s="6">
        <f>1</f>
        <v>1</v>
      </c>
      <c r="Q960" s="6">
        <f>0</f>
        <v>0</v>
      </c>
      <c r="S960" s="6">
        <f>0</f>
        <v>0</v>
      </c>
      <c r="T960" s="6">
        <f>1</f>
        <v>1</v>
      </c>
      <c r="U960" s="5" t="s">
        <v>245</v>
      </c>
      <c r="V960" s="4" t="s">
        <v>270</v>
      </c>
      <c r="W960" s="4" t="s">
        <v>271</v>
      </c>
      <c r="X960" s="4" t="s">
        <v>273</v>
      </c>
      <c r="Y960" s="4" t="s">
        <v>241</v>
      </c>
      <c r="AB960" s="4" t="s">
        <v>241</v>
      </c>
      <c r="AD960" s="5" t="s">
        <v>241</v>
      </c>
      <c r="AG960" s="5" t="s">
        <v>246</v>
      </c>
      <c r="AH960" s="4" t="s">
        <v>241</v>
      </c>
      <c r="AI960" s="4" t="s">
        <v>247</v>
      </c>
      <c r="AJ960" s="4" t="s">
        <v>248</v>
      </c>
      <c r="AZ960" s="4" t="s">
        <v>249</v>
      </c>
      <c r="BA960" s="4" t="s">
        <v>241</v>
      </c>
      <c r="BB960" s="4" t="s">
        <v>250</v>
      </c>
      <c r="BC960" s="4" t="s">
        <v>241</v>
      </c>
      <c r="BD960" s="4" t="s">
        <v>252</v>
      </c>
      <c r="BE960" s="4" t="s">
        <v>241</v>
      </c>
      <c r="BI960" s="4" t="s">
        <v>253</v>
      </c>
      <c r="BJ960" s="5" t="s">
        <v>246</v>
      </c>
      <c r="BK960" s="4" t="s">
        <v>254</v>
      </c>
      <c r="BL960" s="4" t="s">
        <v>255</v>
      </c>
      <c r="BM960" s="4" t="s">
        <v>241</v>
      </c>
      <c r="BN960" s="6">
        <f>0</f>
        <v>0</v>
      </c>
      <c r="BO960" s="6">
        <f>0</f>
        <v>0</v>
      </c>
      <c r="BP960" s="4" t="s">
        <v>256</v>
      </c>
      <c r="BQ960" s="4" t="s">
        <v>257</v>
      </c>
      <c r="CE960" s="4" t="s">
        <v>241</v>
      </c>
      <c r="CF960" s="4" t="s">
        <v>241</v>
      </c>
      <c r="CJ960" s="4" t="s">
        <v>276</v>
      </c>
      <c r="CK960" s="4" t="s">
        <v>259</v>
      </c>
      <c r="CL960" s="4" t="s">
        <v>241</v>
      </c>
      <c r="CO960" s="5" t="s">
        <v>260</v>
      </c>
      <c r="CP960" s="4" t="s">
        <v>241</v>
      </c>
      <c r="CQ960" s="4" t="s">
        <v>261</v>
      </c>
      <c r="CR960" s="4" t="s">
        <v>241</v>
      </c>
      <c r="CS960" s="4" t="s">
        <v>241</v>
      </c>
      <c r="CT960" s="4">
        <v>0</v>
      </c>
      <c r="CU960" s="4" t="s">
        <v>262</v>
      </c>
      <c r="CV960" s="4" t="s">
        <v>263</v>
      </c>
      <c r="CW960" s="4" t="s">
        <v>263</v>
      </c>
      <c r="CX960" s="4" t="s">
        <v>264</v>
      </c>
      <c r="DA960" s="6">
        <f>1</f>
        <v>1</v>
      </c>
      <c r="DC960" s="4" t="s">
        <v>277</v>
      </c>
      <c r="DD960" s="4" t="s">
        <v>241</v>
      </c>
      <c r="DF960" s="4" t="s">
        <v>277</v>
      </c>
      <c r="DG960" s="6">
        <f>368</f>
        <v>368</v>
      </c>
      <c r="DI960" s="4" t="s">
        <v>241</v>
      </c>
      <c r="DJ960" s="4" t="s">
        <v>241</v>
      </c>
      <c r="DK960" s="4" t="s">
        <v>241</v>
      </c>
      <c r="DL960" s="4" t="s">
        <v>241</v>
      </c>
      <c r="DP960" s="4" t="s">
        <v>241</v>
      </c>
      <c r="DQ960" s="4" t="s">
        <v>241</v>
      </c>
      <c r="DR960" s="4" t="s">
        <v>241</v>
      </c>
      <c r="DS960" s="4" t="s">
        <v>241</v>
      </c>
      <c r="DV960" s="4" t="s">
        <v>278</v>
      </c>
      <c r="DW960" s="4" t="s">
        <v>468</v>
      </c>
      <c r="HO960" s="4" t="s">
        <v>267</v>
      </c>
    </row>
    <row r="961" spans="1:223" ht="19.5" customHeight="1" x14ac:dyDescent="0.4">
      <c r="A961" s="4">
        <v>1</v>
      </c>
      <c r="B961" s="4" t="s">
        <v>239</v>
      </c>
      <c r="C961" s="4">
        <v>2635</v>
      </c>
      <c r="D961" s="4">
        <v>1</v>
      </c>
      <c r="E961" s="4">
        <v>1</v>
      </c>
      <c r="F961" s="4" t="s">
        <v>268</v>
      </c>
      <c r="G961" s="4" t="s">
        <v>241</v>
      </c>
      <c r="H961" s="4" t="s">
        <v>241</v>
      </c>
      <c r="I961" s="4" t="s">
        <v>272</v>
      </c>
      <c r="J961" s="4" t="s">
        <v>274</v>
      </c>
      <c r="K961" s="4" t="s">
        <v>251</v>
      </c>
      <c r="L961" s="4" t="s">
        <v>269</v>
      </c>
      <c r="M961" s="5" t="s">
        <v>1458</v>
      </c>
      <c r="N961" s="6">
        <f>2993</f>
        <v>2993</v>
      </c>
      <c r="O961" s="4" t="s">
        <v>265</v>
      </c>
      <c r="P961" s="6">
        <f>1</f>
        <v>1</v>
      </c>
      <c r="Q961" s="6">
        <f>0</f>
        <v>0</v>
      </c>
      <c r="S961" s="6">
        <f>0</f>
        <v>0</v>
      </c>
      <c r="T961" s="6">
        <f>1</f>
        <v>1</v>
      </c>
      <c r="U961" s="5" t="s">
        <v>245</v>
      </c>
      <c r="V961" s="4" t="s">
        <v>270</v>
      </c>
      <c r="W961" s="4" t="s">
        <v>271</v>
      </c>
      <c r="X961" s="4" t="s">
        <v>273</v>
      </c>
      <c r="Y961" s="4" t="s">
        <v>241</v>
      </c>
      <c r="AB961" s="4" t="s">
        <v>241</v>
      </c>
      <c r="AD961" s="5" t="s">
        <v>241</v>
      </c>
      <c r="AG961" s="5" t="s">
        <v>246</v>
      </c>
      <c r="AH961" s="4" t="s">
        <v>241</v>
      </c>
      <c r="AI961" s="4" t="s">
        <v>247</v>
      </c>
      <c r="AJ961" s="4" t="s">
        <v>248</v>
      </c>
      <c r="AZ961" s="4" t="s">
        <v>249</v>
      </c>
      <c r="BA961" s="4" t="s">
        <v>241</v>
      </c>
      <c r="BB961" s="4" t="s">
        <v>250</v>
      </c>
      <c r="BC961" s="4" t="s">
        <v>241</v>
      </c>
      <c r="BD961" s="4" t="s">
        <v>252</v>
      </c>
      <c r="BE961" s="4" t="s">
        <v>241</v>
      </c>
      <c r="BI961" s="4" t="s">
        <v>253</v>
      </c>
      <c r="BJ961" s="5" t="s">
        <v>246</v>
      </c>
      <c r="BK961" s="4" t="s">
        <v>254</v>
      </c>
      <c r="BL961" s="4" t="s">
        <v>255</v>
      </c>
      <c r="BM961" s="4" t="s">
        <v>241</v>
      </c>
      <c r="BN961" s="6">
        <f>0</f>
        <v>0</v>
      </c>
      <c r="BO961" s="6">
        <f>0</f>
        <v>0</v>
      </c>
      <c r="BP961" s="4" t="s">
        <v>256</v>
      </c>
      <c r="BQ961" s="4" t="s">
        <v>257</v>
      </c>
      <c r="CE961" s="4" t="s">
        <v>241</v>
      </c>
      <c r="CF961" s="4" t="s">
        <v>241</v>
      </c>
      <c r="CJ961" s="4" t="s">
        <v>276</v>
      </c>
      <c r="CK961" s="4" t="s">
        <v>259</v>
      </c>
      <c r="CL961" s="4" t="s">
        <v>241</v>
      </c>
      <c r="CO961" s="5" t="s">
        <v>260</v>
      </c>
      <c r="CP961" s="4" t="s">
        <v>241</v>
      </c>
      <c r="CQ961" s="4" t="s">
        <v>261</v>
      </c>
      <c r="CR961" s="4" t="s">
        <v>241</v>
      </c>
      <c r="CS961" s="4" t="s">
        <v>241</v>
      </c>
      <c r="CT961" s="4">
        <v>0</v>
      </c>
      <c r="CU961" s="4" t="s">
        <v>262</v>
      </c>
      <c r="CV961" s="4" t="s">
        <v>263</v>
      </c>
      <c r="CW961" s="4" t="s">
        <v>263</v>
      </c>
      <c r="CX961" s="4" t="s">
        <v>264</v>
      </c>
      <c r="DA961" s="6">
        <f>1</f>
        <v>1</v>
      </c>
      <c r="DC961" s="4" t="s">
        <v>277</v>
      </c>
      <c r="DD961" s="4" t="s">
        <v>241</v>
      </c>
      <c r="DF961" s="4" t="s">
        <v>277</v>
      </c>
      <c r="DG961" s="6">
        <f>2993</f>
        <v>2993</v>
      </c>
      <c r="DI961" s="4" t="s">
        <v>241</v>
      </c>
      <c r="DJ961" s="4" t="s">
        <v>241</v>
      </c>
      <c r="DK961" s="4" t="s">
        <v>241</v>
      </c>
      <c r="DL961" s="4" t="s">
        <v>241</v>
      </c>
      <c r="DP961" s="4" t="s">
        <v>241</v>
      </c>
      <c r="DQ961" s="4" t="s">
        <v>241</v>
      </c>
      <c r="DR961" s="4" t="s">
        <v>241</v>
      </c>
      <c r="DS961" s="4" t="s">
        <v>241</v>
      </c>
      <c r="DV961" s="4" t="s">
        <v>278</v>
      </c>
      <c r="DW961" s="4" t="s">
        <v>470</v>
      </c>
      <c r="HO961" s="4" t="s">
        <v>267</v>
      </c>
    </row>
    <row r="962" spans="1:223" ht="19.5" customHeight="1" x14ac:dyDescent="0.4">
      <c r="A962" s="4">
        <v>1</v>
      </c>
      <c r="B962" s="4" t="s">
        <v>239</v>
      </c>
      <c r="C962" s="4">
        <v>2636</v>
      </c>
      <c r="D962" s="4">
        <v>1</v>
      </c>
      <c r="E962" s="4">
        <v>1</v>
      </c>
      <c r="F962" s="4" t="s">
        <v>268</v>
      </c>
      <c r="G962" s="4" t="s">
        <v>241</v>
      </c>
      <c r="H962" s="4" t="s">
        <v>241</v>
      </c>
      <c r="I962" s="4" t="s">
        <v>272</v>
      </c>
      <c r="J962" s="4" t="s">
        <v>274</v>
      </c>
      <c r="K962" s="4" t="s">
        <v>251</v>
      </c>
      <c r="L962" s="4" t="s">
        <v>269</v>
      </c>
      <c r="M962" s="5" t="s">
        <v>1456</v>
      </c>
      <c r="N962" s="6">
        <f>2380</f>
        <v>2380</v>
      </c>
      <c r="O962" s="4" t="s">
        <v>265</v>
      </c>
      <c r="P962" s="6">
        <f>1</f>
        <v>1</v>
      </c>
      <c r="Q962" s="6">
        <f>0</f>
        <v>0</v>
      </c>
      <c r="S962" s="6">
        <f>0</f>
        <v>0</v>
      </c>
      <c r="T962" s="6">
        <f>1</f>
        <v>1</v>
      </c>
      <c r="U962" s="5" t="s">
        <v>245</v>
      </c>
      <c r="V962" s="4" t="s">
        <v>270</v>
      </c>
      <c r="W962" s="4" t="s">
        <v>271</v>
      </c>
      <c r="X962" s="4" t="s">
        <v>273</v>
      </c>
      <c r="Y962" s="4" t="s">
        <v>241</v>
      </c>
      <c r="AB962" s="4" t="s">
        <v>241</v>
      </c>
      <c r="AD962" s="5" t="s">
        <v>241</v>
      </c>
      <c r="AG962" s="5" t="s">
        <v>246</v>
      </c>
      <c r="AH962" s="4" t="s">
        <v>241</v>
      </c>
      <c r="AI962" s="4" t="s">
        <v>247</v>
      </c>
      <c r="AJ962" s="4" t="s">
        <v>248</v>
      </c>
      <c r="AZ962" s="4" t="s">
        <v>249</v>
      </c>
      <c r="BA962" s="4" t="s">
        <v>241</v>
      </c>
      <c r="BB962" s="4" t="s">
        <v>250</v>
      </c>
      <c r="BC962" s="4" t="s">
        <v>241</v>
      </c>
      <c r="BD962" s="4" t="s">
        <v>252</v>
      </c>
      <c r="BE962" s="4" t="s">
        <v>241</v>
      </c>
      <c r="BI962" s="4" t="s">
        <v>253</v>
      </c>
      <c r="BJ962" s="5" t="s">
        <v>246</v>
      </c>
      <c r="BK962" s="4" t="s">
        <v>254</v>
      </c>
      <c r="BL962" s="4" t="s">
        <v>255</v>
      </c>
      <c r="BM962" s="4" t="s">
        <v>241</v>
      </c>
      <c r="BN962" s="6">
        <f>0</f>
        <v>0</v>
      </c>
      <c r="BO962" s="6">
        <f>0</f>
        <v>0</v>
      </c>
      <c r="BP962" s="4" t="s">
        <v>256</v>
      </c>
      <c r="BQ962" s="4" t="s">
        <v>257</v>
      </c>
      <c r="CE962" s="4" t="s">
        <v>241</v>
      </c>
      <c r="CF962" s="4" t="s">
        <v>241</v>
      </c>
      <c r="CJ962" s="4" t="s">
        <v>276</v>
      </c>
      <c r="CK962" s="4" t="s">
        <v>259</v>
      </c>
      <c r="CL962" s="4" t="s">
        <v>241</v>
      </c>
      <c r="CO962" s="5" t="s">
        <v>260</v>
      </c>
      <c r="CP962" s="4" t="s">
        <v>241</v>
      </c>
      <c r="CQ962" s="4" t="s">
        <v>261</v>
      </c>
      <c r="CR962" s="4" t="s">
        <v>241</v>
      </c>
      <c r="CS962" s="4" t="s">
        <v>241</v>
      </c>
      <c r="CT962" s="4">
        <v>0</v>
      </c>
      <c r="CU962" s="4" t="s">
        <v>262</v>
      </c>
      <c r="CV962" s="4" t="s">
        <v>263</v>
      </c>
      <c r="CW962" s="4" t="s">
        <v>263</v>
      </c>
      <c r="CX962" s="4" t="s">
        <v>264</v>
      </c>
      <c r="DA962" s="6">
        <f>1</f>
        <v>1</v>
      </c>
      <c r="DC962" s="4" t="s">
        <v>277</v>
      </c>
      <c r="DD962" s="4" t="s">
        <v>241</v>
      </c>
      <c r="DF962" s="4" t="s">
        <v>277</v>
      </c>
      <c r="DG962" s="6">
        <f>2380</f>
        <v>2380</v>
      </c>
      <c r="DI962" s="4" t="s">
        <v>241</v>
      </c>
      <c r="DJ962" s="4" t="s">
        <v>241</v>
      </c>
      <c r="DK962" s="4" t="s">
        <v>241</v>
      </c>
      <c r="DL962" s="4" t="s">
        <v>241</v>
      </c>
      <c r="DP962" s="4" t="s">
        <v>241</v>
      </c>
      <c r="DQ962" s="4" t="s">
        <v>241</v>
      </c>
      <c r="DR962" s="4" t="s">
        <v>241</v>
      </c>
      <c r="DS962" s="4" t="s">
        <v>241</v>
      </c>
      <c r="DV962" s="4" t="s">
        <v>278</v>
      </c>
      <c r="DW962" s="4" t="s">
        <v>1457</v>
      </c>
      <c r="HO962" s="4" t="s">
        <v>267</v>
      </c>
    </row>
    <row r="963" spans="1:223" ht="19.5" customHeight="1" x14ac:dyDescent="0.4">
      <c r="A963" s="4">
        <v>1</v>
      </c>
      <c r="B963" s="4" t="s">
        <v>239</v>
      </c>
      <c r="C963" s="4">
        <v>2637</v>
      </c>
      <c r="D963" s="4">
        <v>1</v>
      </c>
      <c r="E963" s="4">
        <v>1</v>
      </c>
      <c r="F963" s="4" t="s">
        <v>268</v>
      </c>
      <c r="G963" s="4" t="s">
        <v>241</v>
      </c>
      <c r="H963" s="4" t="s">
        <v>241</v>
      </c>
      <c r="I963" s="4" t="s">
        <v>272</v>
      </c>
      <c r="J963" s="4" t="s">
        <v>274</v>
      </c>
      <c r="K963" s="4" t="s">
        <v>251</v>
      </c>
      <c r="L963" s="4" t="s">
        <v>269</v>
      </c>
      <c r="M963" s="5" t="s">
        <v>1455</v>
      </c>
      <c r="N963" s="6">
        <f>8734</f>
        <v>8734</v>
      </c>
      <c r="O963" s="4" t="s">
        <v>265</v>
      </c>
      <c r="P963" s="6">
        <f>1</f>
        <v>1</v>
      </c>
      <c r="Q963" s="6">
        <f>0</f>
        <v>0</v>
      </c>
      <c r="S963" s="6">
        <f>0</f>
        <v>0</v>
      </c>
      <c r="T963" s="6">
        <f>1</f>
        <v>1</v>
      </c>
      <c r="U963" s="5" t="s">
        <v>245</v>
      </c>
      <c r="V963" s="4" t="s">
        <v>270</v>
      </c>
      <c r="W963" s="4" t="s">
        <v>271</v>
      </c>
      <c r="X963" s="4" t="s">
        <v>273</v>
      </c>
      <c r="Y963" s="4" t="s">
        <v>241</v>
      </c>
      <c r="AB963" s="4" t="s">
        <v>241</v>
      </c>
      <c r="AD963" s="5" t="s">
        <v>241</v>
      </c>
      <c r="AG963" s="5" t="s">
        <v>246</v>
      </c>
      <c r="AH963" s="4" t="s">
        <v>241</v>
      </c>
      <c r="AI963" s="4" t="s">
        <v>247</v>
      </c>
      <c r="AJ963" s="4" t="s">
        <v>248</v>
      </c>
      <c r="AZ963" s="4" t="s">
        <v>249</v>
      </c>
      <c r="BA963" s="4" t="s">
        <v>241</v>
      </c>
      <c r="BB963" s="4" t="s">
        <v>250</v>
      </c>
      <c r="BC963" s="4" t="s">
        <v>241</v>
      </c>
      <c r="BD963" s="4" t="s">
        <v>252</v>
      </c>
      <c r="BE963" s="4" t="s">
        <v>241</v>
      </c>
      <c r="BI963" s="4" t="s">
        <v>253</v>
      </c>
      <c r="BJ963" s="5" t="s">
        <v>246</v>
      </c>
      <c r="BK963" s="4" t="s">
        <v>254</v>
      </c>
      <c r="BL963" s="4" t="s">
        <v>255</v>
      </c>
      <c r="BM963" s="4" t="s">
        <v>241</v>
      </c>
      <c r="BN963" s="6">
        <f>0</f>
        <v>0</v>
      </c>
      <c r="BO963" s="6">
        <f>0</f>
        <v>0</v>
      </c>
      <c r="BP963" s="4" t="s">
        <v>256</v>
      </c>
      <c r="BQ963" s="4" t="s">
        <v>257</v>
      </c>
      <c r="CE963" s="4" t="s">
        <v>241</v>
      </c>
      <c r="CF963" s="4" t="s">
        <v>241</v>
      </c>
      <c r="CJ963" s="4" t="s">
        <v>276</v>
      </c>
      <c r="CK963" s="4" t="s">
        <v>259</v>
      </c>
      <c r="CL963" s="4" t="s">
        <v>241</v>
      </c>
      <c r="CO963" s="5" t="s">
        <v>260</v>
      </c>
      <c r="CP963" s="4" t="s">
        <v>241</v>
      </c>
      <c r="CQ963" s="4" t="s">
        <v>261</v>
      </c>
      <c r="CR963" s="4" t="s">
        <v>241</v>
      </c>
      <c r="CS963" s="4" t="s">
        <v>241</v>
      </c>
      <c r="CT963" s="4">
        <v>0</v>
      </c>
      <c r="CU963" s="4" t="s">
        <v>262</v>
      </c>
      <c r="CV963" s="4" t="s">
        <v>263</v>
      </c>
      <c r="CW963" s="4" t="s">
        <v>263</v>
      </c>
      <c r="CX963" s="4" t="s">
        <v>264</v>
      </c>
      <c r="DA963" s="6">
        <f>1</f>
        <v>1</v>
      </c>
      <c r="DC963" s="4" t="s">
        <v>277</v>
      </c>
      <c r="DD963" s="4" t="s">
        <v>241</v>
      </c>
      <c r="DF963" s="4" t="s">
        <v>277</v>
      </c>
      <c r="DG963" s="6">
        <f>8734</f>
        <v>8734</v>
      </c>
      <c r="DI963" s="4" t="s">
        <v>241</v>
      </c>
      <c r="DJ963" s="4" t="s">
        <v>241</v>
      </c>
      <c r="DK963" s="4" t="s">
        <v>241</v>
      </c>
      <c r="DL963" s="4" t="s">
        <v>241</v>
      </c>
      <c r="DP963" s="4" t="s">
        <v>241</v>
      </c>
      <c r="DQ963" s="4" t="s">
        <v>241</v>
      </c>
      <c r="DR963" s="4" t="s">
        <v>241</v>
      </c>
      <c r="DS963" s="4" t="s">
        <v>241</v>
      </c>
      <c r="DV963" s="4" t="s">
        <v>278</v>
      </c>
      <c r="DW963" s="4" t="s">
        <v>476</v>
      </c>
      <c r="HO963" s="4" t="s">
        <v>267</v>
      </c>
    </row>
    <row r="964" spans="1:223" ht="19.5" customHeight="1" x14ac:dyDescent="0.4">
      <c r="A964" s="4">
        <v>1</v>
      </c>
      <c r="B964" s="4" t="s">
        <v>239</v>
      </c>
      <c r="C964" s="4">
        <v>2638</v>
      </c>
      <c r="D964" s="4">
        <v>1</v>
      </c>
      <c r="E964" s="4">
        <v>1</v>
      </c>
      <c r="F964" s="4" t="s">
        <v>268</v>
      </c>
      <c r="G964" s="4" t="s">
        <v>241</v>
      </c>
      <c r="H964" s="4" t="s">
        <v>241</v>
      </c>
      <c r="I964" s="4" t="s">
        <v>272</v>
      </c>
      <c r="J964" s="4" t="s">
        <v>274</v>
      </c>
      <c r="K964" s="4" t="s">
        <v>251</v>
      </c>
      <c r="L964" s="4" t="s">
        <v>269</v>
      </c>
      <c r="M964" s="5" t="s">
        <v>1452</v>
      </c>
      <c r="N964" s="6">
        <f>816</f>
        <v>816</v>
      </c>
      <c r="O964" s="4" t="s">
        <v>265</v>
      </c>
      <c r="P964" s="6">
        <f>1</f>
        <v>1</v>
      </c>
      <c r="Q964" s="6">
        <f>0</f>
        <v>0</v>
      </c>
      <c r="S964" s="6">
        <f>0</f>
        <v>0</v>
      </c>
      <c r="T964" s="6">
        <f>1</f>
        <v>1</v>
      </c>
      <c r="U964" s="5" t="s">
        <v>245</v>
      </c>
      <c r="V964" s="4" t="s">
        <v>270</v>
      </c>
      <c r="W964" s="4" t="s">
        <v>271</v>
      </c>
      <c r="X964" s="4" t="s">
        <v>273</v>
      </c>
      <c r="Y964" s="4" t="s">
        <v>241</v>
      </c>
      <c r="AB964" s="4" t="s">
        <v>241</v>
      </c>
      <c r="AD964" s="5" t="s">
        <v>241</v>
      </c>
      <c r="AG964" s="5" t="s">
        <v>246</v>
      </c>
      <c r="AH964" s="4" t="s">
        <v>241</v>
      </c>
      <c r="AI964" s="4" t="s">
        <v>247</v>
      </c>
      <c r="AJ964" s="4" t="s">
        <v>248</v>
      </c>
      <c r="AZ964" s="4" t="s">
        <v>249</v>
      </c>
      <c r="BA964" s="4" t="s">
        <v>241</v>
      </c>
      <c r="BB964" s="4" t="s">
        <v>250</v>
      </c>
      <c r="BC964" s="4" t="s">
        <v>241</v>
      </c>
      <c r="BD964" s="4" t="s">
        <v>252</v>
      </c>
      <c r="BE964" s="4" t="s">
        <v>241</v>
      </c>
      <c r="BI964" s="4" t="s">
        <v>253</v>
      </c>
      <c r="BJ964" s="5" t="s">
        <v>246</v>
      </c>
      <c r="BK964" s="4" t="s">
        <v>254</v>
      </c>
      <c r="BL964" s="4" t="s">
        <v>255</v>
      </c>
      <c r="BM964" s="4" t="s">
        <v>241</v>
      </c>
      <c r="BN964" s="6">
        <f>0</f>
        <v>0</v>
      </c>
      <c r="BO964" s="6">
        <f>0</f>
        <v>0</v>
      </c>
      <c r="BP964" s="4" t="s">
        <v>256</v>
      </c>
      <c r="BQ964" s="4" t="s">
        <v>257</v>
      </c>
      <c r="CE964" s="4" t="s">
        <v>241</v>
      </c>
      <c r="CF964" s="4" t="s">
        <v>241</v>
      </c>
      <c r="CJ964" s="4" t="s">
        <v>276</v>
      </c>
      <c r="CK964" s="4" t="s">
        <v>259</v>
      </c>
      <c r="CL964" s="4" t="s">
        <v>241</v>
      </c>
      <c r="CO964" s="5" t="s">
        <v>260</v>
      </c>
      <c r="CP964" s="4" t="s">
        <v>241</v>
      </c>
      <c r="CQ964" s="4" t="s">
        <v>261</v>
      </c>
      <c r="CR964" s="4" t="s">
        <v>241</v>
      </c>
      <c r="CS964" s="4" t="s">
        <v>241</v>
      </c>
      <c r="CT964" s="4">
        <v>0</v>
      </c>
      <c r="CU964" s="4" t="s">
        <v>262</v>
      </c>
      <c r="CV964" s="4" t="s">
        <v>263</v>
      </c>
      <c r="CW964" s="4" t="s">
        <v>263</v>
      </c>
      <c r="CX964" s="4" t="s">
        <v>264</v>
      </c>
      <c r="DA964" s="6">
        <f>1</f>
        <v>1</v>
      </c>
      <c r="DC964" s="4" t="s">
        <v>277</v>
      </c>
      <c r="DD964" s="4" t="s">
        <v>241</v>
      </c>
      <c r="DF964" s="4" t="s">
        <v>277</v>
      </c>
      <c r="DG964" s="6">
        <f>816</f>
        <v>816</v>
      </c>
      <c r="DI964" s="4" t="s">
        <v>241</v>
      </c>
      <c r="DJ964" s="4" t="s">
        <v>241</v>
      </c>
      <c r="DK964" s="4" t="s">
        <v>241</v>
      </c>
      <c r="DL964" s="4" t="s">
        <v>241</v>
      </c>
      <c r="DP964" s="4" t="s">
        <v>241</v>
      </c>
      <c r="DQ964" s="4" t="s">
        <v>241</v>
      </c>
      <c r="DR964" s="4" t="s">
        <v>241</v>
      </c>
      <c r="DS964" s="4" t="s">
        <v>241</v>
      </c>
      <c r="DV964" s="4" t="s">
        <v>278</v>
      </c>
      <c r="DW964" s="4" t="s">
        <v>486</v>
      </c>
      <c r="HO964" s="4" t="s">
        <v>267</v>
      </c>
    </row>
    <row r="965" spans="1:223" ht="19.5" customHeight="1" x14ac:dyDescent="0.4">
      <c r="A965" s="4">
        <v>1</v>
      </c>
      <c r="B965" s="4" t="s">
        <v>239</v>
      </c>
      <c r="C965" s="4">
        <v>2639</v>
      </c>
      <c r="D965" s="4">
        <v>1</v>
      </c>
      <c r="E965" s="4">
        <v>1</v>
      </c>
      <c r="F965" s="4" t="s">
        <v>268</v>
      </c>
      <c r="G965" s="4" t="s">
        <v>241</v>
      </c>
      <c r="H965" s="4" t="s">
        <v>241</v>
      </c>
      <c r="I965" s="4" t="s">
        <v>272</v>
      </c>
      <c r="J965" s="4" t="s">
        <v>274</v>
      </c>
      <c r="K965" s="4" t="s">
        <v>251</v>
      </c>
      <c r="L965" s="4" t="s">
        <v>269</v>
      </c>
      <c r="M965" s="5" t="s">
        <v>1451</v>
      </c>
      <c r="N965" s="6">
        <f>2031</f>
        <v>2031</v>
      </c>
      <c r="O965" s="4" t="s">
        <v>265</v>
      </c>
      <c r="P965" s="6">
        <f>1</f>
        <v>1</v>
      </c>
      <c r="Q965" s="6">
        <f>0</f>
        <v>0</v>
      </c>
      <c r="S965" s="6">
        <f>0</f>
        <v>0</v>
      </c>
      <c r="T965" s="6">
        <f>1</f>
        <v>1</v>
      </c>
      <c r="U965" s="5" t="s">
        <v>245</v>
      </c>
      <c r="V965" s="4" t="s">
        <v>270</v>
      </c>
      <c r="W965" s="4" t="s">
        <v>271</v>
      </c>
      <c r="X965" s="4" t="s">
        <v>273</v>
      </c>
      <c r="Y965" s="4" t="s">
        <v>241</v>
      </c>
      <c r="AB965" s="4" t="s">
        <v>241</v>
      </c>
      <c r="AD965" s="5" t="s">
        <v>241</v>
      </c>
      <c r="AG965" s="5" t="s">
        <v>246</v>
      </c>
      <c r="AH965" s="4" t="s">
        <v>241</v>
      </c>
      <c r="AI965" s="4" t="s">
        <v>247</v>
      </c>
      <c r="AJ965" s="4" t="s">
        <v>248</v>
      </c>
      <c r="AZ965" s="4" t="s">
        <v>249</v>
      </c>
      <c r="BA965" s="4" t="s">
        <v>241</v>
      </c>
      <c r="BB965" s="4" t="s">
        <v>250</v>
      </c>
      <c r="BC965" s="4" t="s">
        <v>241</v>
      </c>
      <c r="BD965" s="4" t="s">
        <v>252</v>
      </c>
      <c r="BE965" s="4" t="s">
        <v>241</v>
      </c>
      <c r="BI965" s="4" t="s">
        <v>253</v>
      </c>
      <c r="BJ965" s="5" t="s">
        <v>246</v>
      </c>
      <c r="BK965" s="4" t="s">
        <v>254</v>
      </c>
      <c r="BL965" s="4" t="s">
        <v>255</v>
      </c>
      <c r="BM965" s="4" t="s">
        <v>241</v>
      </c>
      <c r="BN965" s="6">
        <f>0</f>
        <v>0</v>
      </c>
      <c r="BO965" s="6">
        <f>0</f>
        <v>0</v>
      </c>
      <c r="BP965" s="4" t="s">
        <v>256</v>
      </c>
      <c r="BQ965" s="4" t="s">
        <v>257</v>
      </c>
      <c r="CE965" s="4" t="s">
        <v>241</v>
      </c>
      <c r="CF965" s="4" t="s">
        <v>241</v>
      </c>
      <c r="CJ965" s="4" t="s">
        <v>276</v>
      </c>
      <c r="CK965" s="4" t="s">
        <v>259</v>
      </c>
      <c r="CL965" s="4" t="s">
        <v>241</v>
      </c>
      <c r="CO965" s="5" t="s">
        <v>260</v>
      </c>
      <c r="CP965" s="4" t="s">
        <v>241</v>
      </c>
      <c r="CQ965" s="4" t="s">
        <v>261</v>
      </c>
      <c r="CR965" s="4" t="s">
        <v>241</v>
      </c>
      <c r="CS965" s="4" t="s">
        <v>241</v>
      </c>
      <c r="CT965" s="4">
        <v>0</v>
      </c>
      <c r="CU965" s="4" t="s">
        <v>262</v>
      </c>
      <c r="CV965" s="4" t="s">
        <v>263</v>
      </c>
      <c r="CW965" s="4" t="s">
        <v>263</v>
      </c>
      <c r="CX965" s="4" t="s">
        <v>264</v>
      </c>
      <c r="DA965" s="6">
        <f>1</f>
        <v>1</v>
      </c>
      <c r="DC965" s="4" t="s">
        <v>277</v>
      </c>
      <c r="DD965" s="4" t="s">
        <v>241</v>
      </c>
      <c r="DF965" s="4" t="s">
        <v>277</v>
      </c>
      <c r="DG965" s="6">
        <f>2031</f>
        <v>2031</v>
      </c>
      <c r="DI965" s="4" t="s">
        <v>241</v>
      </c>
      <c r="DJ965" s="4" t="s">
        <v>241</v>
      </c>
      <c r="DK965" s="4" t="s">
        <v>241</v>
      </c>
      <c r="DL965" s="4" t="s">
        <v>241</v>
      </c>
      <c r="DP965" s="4" t="s">
        <v>241</v>
      </c>
      <c r="DQ965" s="4" t="s">
        <v>241</v>
      </c>
      <c r="DR965" s="4" t="s">
        <v>241</v>
      </c>
      <c r="DS965" s="4" t="s">
        <v>241</v>
      </c>
      <c r="DV965" s="4" t="s">
        <v>278</v>
      </c>
      <c r="DW965" s="4" t="s">
        <v>488</v>
      </c>
      <c r="HO965" s="4" t="s">
        <v>267</v>
      </c>
    </row>
    <row r="966" spans="1:223" ht="19.5" customHeight="1" x14ac:dyDescent="0.4">
      <c r="A966" s="4">
        <v>1</v>
      </c>
      <c r="B966" s="4" t="s">
        <v>239</v>
      </c>
      <c r="C966" s="4">
        <v>2640</v>
      </c>
      <c r="D966" s="4">
        <v>1</v>
      </c>
      <c r="E966" s="4">
        <v>1</v>
      </c>
      <c r="F966" s="4" t="s">
        <v>268</v>
      </c>
      <c r="G966" s="4" t="s">
        <v>241</v>
      </c>
      <c r="H966" s="4" t="s">
        <v>241</v>
      </c>
      <c r="I966" s="4" t="s">
        <v>272</v>
      </c>
      <c r="J966" s="4" t="s">
        <v>274</v>
      </c>
      <c r="K966" s="4" t="s">
        <v>251</v>
      </c>
      <c r="L966" s="4" t="s">
        <v>269</v>
      </c>
      <c r="M966" s="5" t="s">
        <v>1449</v>
      </c>
      <c r="N966" s="6">
        <f>1407</f>
        <v>1407</v>
      </c>
      <c r="O966" s="4" t="s">
        <v>265</v>
      </c>
      <c r="P966" s="6">
        <f>1</f>
        <v>1</v>
      </c>
      <c r="Q966" s="6">
        <f>0</f>
        <v>0</v>
      </c>
      <c r="S966" s="6">
        <f>0</f>
        <v>0</v>
      </c>
      <c r="T966" s="6">
        <f>1</f>
        <v>1</v>
      </c>
      <c r="U966" s="5" t="s">
        <v>245</v>
      </c>
      <c r="V966" s="4" t="s">
        <v>270</v>
      </c>
      <c r="W966" s="4" t="s">
        <v>271</v>
      </c>
      <c r="X966" s="4" t="s">
        <v>273</v>
      </c>
      <c r="Y966" s="4" t="s">
        <v>241</v>
      </c>
      <c r="AB966" s="4" t="s">
        <v>241</v>
      </c>
      <c r="AD966" s="5" t="s">
        <v>241</v>
      </c>
      <c r="AG966" s="5" t="s">
        <v>246</v>
      </c>
      <c r="AH966" s="4" t="s">
        <v>241</v>
      </c>
      <c r="AI966" s="4" t="s">
        <v>247</v>
      </c>
      <c r="AJ966" s="4" t="s">
        <v>248</v>
      </c>
      <c r="AZ966" s="4" t="s">
        <v>249</v>
      </c>
      <c r="BA966" s="4" t="s">
        <v>241</v>
      </c>
      <c r="BB966" s="4" t="s">
        <v>250</v>
      </c>
      <c r="BC966" s="4" t="s">
        <v>241</v>
      </c>
      <c r="BD966" s="4" t="s">
        <v>252</v>
      </c>
      <c r="BE966" s="4" t="s">
        <v>241</v>
      </c>
      <c r="BI966" s="4" t="s">
        <v>253</v>
      </c>
      <c r="BJ966" s="5" t="s">
        <v>246</v>
      </c>
      <c r="BK966" s="4" t="s">
        <v>254</v>
      </c>
      <c r="BL966" s="4" t="s">
        <v>255</v>
      </c>
      <c r="BM966" s="4" t="s">
        <v>241</v>
      </c>
      <c r="BN966" s="6">
        <f>0</f>
        <v>0</v>
      </c>
      <c r="BO966" s="6">
        <f>0</f>
        <v>0</v>
      </c>
      <c r="BP966" s="4" t="s">
        <v>256</v>
      </c>
      <c r="BQ966" s="4" t="s">
        <v>257</v>
      </c>
      <c r="CE966" s="4" t="s">
        <v>241</v>
      </c>
      <c r="CF966" s="4" t="s">
        <v>241</v>
      </c>
      <c r="CJ966" s="4" t="s">
        <v>276</v>
      </c>
      <c r="CK966" s="4" t="s">
        <v>259</v>
      </c>
      <c r="CL966" s="4" t="s">
        <v>241</v>
      </c>
      <c r="CO966" s="5" t="s">
        <v>260</v>
      </c>
      <c r="CP966" s="4" t="s">
        <v>241</v>
      </c>
      <c r="CQ966" s="4" t="s">
        <v>261</v>
      </c>
      <c r="CR966" s="4" t="s">
        <v>241</v>
      </c>
      <c r="CS966" s="4" t="s">
        <v>241</v>
      </c>
      <c r="CT966" s="4">
        <v>0</v>
      </c>
      <c r="CU966" s="4" t="s">
        <v>262</v>
      </c>
      <c r="CV966" s="4" t="s">
        <v>263</v>
      </c>
      <c r="CW966" s="4" t="s">
        <v>263</v>
      </c>
      <c r="CX966" s="4" t="s">
        <v>264</v>
      </c>
      <c r="DA966" s="6">
        <f>1</f>
        <v>1</v>
      </c>
      <c r="DC966" s="4" t="s">
        <v>277</v>
      </c>
      <c r="DD966" s="4" t="s">
        <v>241</v>
      </c>
      <c r="DF966" s="4" t="s">
        <v>277</v>
      </c>
      <c r="DG966" s="6">
        <f>1407</f>
        <v>1407</v>
      </c>
      <c r="DI966" s="4" t="s">
        <v>241</v>
      </c>
      <c r="DJ966" s="4" t="s">
        <v>241</v>
      </c>
      <c r="DK966" s="4" t="s">
        <v>241</v>
      </c>
      <c r="DL966" s="4" t="s">
        <v>241</v>
      </c>
      <c r="DP966" s="4" t="s">
        <v>241</v>
      </c>
      <c r="DQ966" s="4" t="s">
        <v>241</v>
      </c>
      <c r="DR966" s="4" t="s">
        <v>241</v>
      </c>
      <c r="DS966" s="4" t="s">
        <v>241</v>
      </c>
      <c r="DV966" s="4" t="s">
        <v>278</v>
      </c>
      <c r="DW966" s="4" t="s">
        <v>491</v>
      </c>
      <c r="HO966" s="4" t="s">
        <v>267</v>
      </c>
    </row>
    <row r="967" spans="1:223" ht="19.5" customHeight="1" x14ac:dyDescent="0.4">
      <c r="A967" s="4">
        <v>1</v>
      </c>
      <c r="B967" s="4" t="s">
        <v>239</v>
      </c>
      <c r="C967" s="4">
        <v>2641</v>
      </c>
      <c r="D967" s="4">
        <v>1</v>
      </c>
      <c r="E967" s="4">
        <v>1</v>
      </c>
      <c r="F967" s="4" t="s">
        <v>268</v>
      </c>
      <c r="G967" s="4" t="s">
        <v>241</v>
      </c>
      <c r="H967" s="4" t="s">
        <v>241</v>
      </c>
      <c r="I967" s="4" t="s">
        <v>272</v>
      </c>
      <c r="J967" s="4" t="s">
        <v>274</v>
      </c>
      <c r="K967" s="4" t="s">
        <v>251</v>
      </c>
      <c r="L967" s="4" t="s">
        <v>269</v>
      </c>
      <c r="M967" s="5" t="s">
        <v>1448</v>
      </c>
      <c r="N967" s="6">
        <f>1076</f>
        <v>1076</v>
      </c>
      <c r="O967" s="4" t="s">
        <v>265</v>
      </c>
      <c r="P967" s="6">
        <f>1</f>
        <v>1</v>
      </c>
      <c r="Q967" s="6">
        <f>0</f>
        <v>0</v>
      </c>
      <c r="S967" s="6">
        <f>0</f>
        <v>0</v>
      </c>
      <c r="T967" s="6">
        <f>1</f>
        <v>1</v>
      </c>
      <c r="U967" s="5" t="s">
        <v>245</v>
      </c>
      <c r="V967" s="4" t="s">
        <v>270</v>
      </c>
      <c r="W967" s="4" t="s">
        <v>271</v>
      </c>
      <c r="X967" s="4" t="s">
        <v>273</v>
      </c>
      <c r="Y967" s="4" t="s">
        <v>241</v>
      </c>
      <c r="AB967" s="4" t="s">
        <v>241</v>
      </c>
      <c r="AD967" s="5" t="s">
        <v>241</v>
      </c>
      <c r="AG967" s="5" t="s">
        <v>246</v>
      </c>
      <c r="AH967" s="4" t="s">
        <v>241</v>
      </c>
      <c r="AI967" s="4" t="s">
        <v>247</v>
      </c>
      <c r="AJ967" s="4" t="s">
        <v>248</v>
      </c>
      <c r="AZ967" s="4" t="s">
        <v>249</v>
      </c>
      <c r="BA967" s="4" t="s">
        <v>241</v>
      </c>
      <c r="BB967" s="4" t="s">
        <v>250</v>
      </c>
      <c r="BC967" s="4" t="s">
        <v>241</v>
      </c>
      <c r="BD967" s="4" t="s">
        <v>252</v>
      </c>
      <c r="BE967" s="4" t="s">
        <v>241</v>
      </c>
      <c r="BI967" s="4" t="s">
        <v>253</v>
      </c>
      <c r="BJ967" s="5" t="s">
        <v>246</v>
      </c>
      <c r="BK967" s="4" t="s">
        <v>254</v>
      </c>
      <c r="BL967" s="4" t="s">
        <v>255</v>
      </c>
      <c r="BM967" s="4" t="s">
        <v>241</v>
      </c>
      <c r="BN967" s="6">
        <f>0</f>
        <v>0</v>
      </c>
      <c r="BO967" s="6">
        <f>0</f>
        <v>0</v>
      </c>
      <c r="BP967" s="4" t="s">
        <v>256</v>
      </c>
      <c r="BQ967" s="4" t="s">
        <v>257</v>
      </c>
      <c r="CE967" s="4" t="s">
        <v>241</v>
      </c>
      <c r="CF967" s="4" t="s">
        <v>241</v>
      </c>
      <c r="CJ967" s="4" t="s">
        <v>276</v>
      </c>
      <c r="CK967" s="4" t="s">
        <v>259</v>
      </c>
      <c r="CL967" s="4" t="s">
        <v>241</v>
      </c>
      <c r="CO967" s="5" t="s">
        <v>260</v>
      </c>
      <c r="CP967" s="4" t="s">
        <v>241</v>
      </c>
      <c r="CQ967" s="4" t="s">
        <v>261</v>
      </c>
      <c r="CR967" s="4" t="s">
        <v>241</v>
      </c>
      <c r="CS967" s="4" t="s">
        <v>241</v>
      </c>
      <c r="CT967" s="4">
        <v>0</v>
      </c>
      <c r="CU967" s="4" t="s">
        <v>262</v>
      </c>
      <c r="CV967" s="4" t="s">
        <v>263</v>
      </c>
      <c r="CW967" s="4" t="s">
        <v>263</v>
      </c>
      <c r="CX967" s="4" t="s">
        <v>264</v>
      </c>
      <c r="DA967" s="6">
        <f>1</f>
        <v>1</v>
      </c>
      <c r="DC967" s="4" t="s">
        <v>277</v>
      </c>
      <c r="DD967" s="4" t="s">
        <v>241</v>
      </c>
      <c r="DF967" s="4" t="s">
        <v>277</v>
      </c>
      <c r="DG967" s="6">
        <f>1076</f>
        <v>1076</v>
      </c>
      <c r="DI967" s="4" t="s">
        <v>241</v>
      </c>
      <c r="DJ967" s="4" t="s">
        <v>241</v>
      </c>
      <c r="DK967" s="4" t="s">
        <v>241</v>
      </c>
      <c r="DL967" s="4" t="s">
        <v>241</v>
      </c>
      <c r="DP967" s="4" t="s">
        <v>241</v>
      </c>
      <c r="DQ967" s="4" t="s">
        <v>241</v>
      </c>
      <c r="DR967" s="4" t="s">
        <v>241</v>
      </c>
      <c r="DS967" s="4" t="s">
        <v>241</v>
      </c>
      <c r="DV967" s="4" t="s">
        <v>278</v>
      </c>
      <c r="DW967" s="4" t="s">
        <v>493</v>
      </c>
      <c r="HO967" s="4" t="s">
        <v>267</v>
      </c>
    </row>
    <row r="968" spans="1:223" ht="19.5" customHeight="1" x14ac:dyDescent="0.4">
      <c r="A968" s="4">
        <v>1</v>
      </c>
      <c r="B968" s="4" t="s">
        <v>239</v>
      </c>
      <c r="C968" s="4">
        <v>2642</v>
      </c>
      <c r="D968" s="4">
        <v>1</v>
      </c>
      <c r="E968" s="4">
        <v>1</v>
      </c>
      <c r="F968" s="4" t="s">
        <v>268</v>
      </c>
      <c r="G968" s="4" t="s">
        <v>241</v>
      </c>
      <c r="H968" s="4" t="s">
        <v>241</v>
      </c>
      <c r="I968" s="4" t="s">
        <v>272</v>
      </c>
      <c r="J968" s="4" t="s">
        <v>274</v>
      </c>
      <c r="K968" s="4" t="s">
        <v>251</v>
      </c>
      <c r="L968" s="4" t="s">
        <v>269</v>
      </c>
      <c r="M968" s="5" t="s">
        <v>1447</v>
      </c>
      <c r="N968" s="6">
        <f>281</f>
        <v>281</v>
      </c>
      <c r="O968" s="4" t="s">
        <v>265</v>
      </c>
      <c r="P968" s="6">
        <f>1</f>
        <v>1</v>
      </c>
      <c r="Q968" s="6">
        <f>0</f>
        <v>0</v>
      </c>
      <c r="S968" s="6">
        <f>0</f>
        <v>0</v>
      </c>
      <c r="T968" s="6">
        <f>1</f>
        <v>1</v>
      </c>
      <c r="U968" s="5" t="s">
        <v>245</v>
      </c>
      <c r="V968" s="4" t="s">
        <v>270</v>
      </c>
      <c r="W968" s="4" t="s">
        <v>271</v>
      </c>
      <c r="X968" s="4" t="s">
        <v>273</v>
      </c>
      <c r="Y968" s="4" t="s">
        <v>241</v>
      </c>
      <c r="AB968" s="4" t="s">
        <v>241</v>
      </c>
      <c r="AD968" s="5" t="s">
        <v>241</v>
      </c>
      <c r="AG968" s="5" t="s">
        <v>246</v>
      </c>
      <c r="AH968" s="4" t="s">
        <v>241</v>
      </c>
      <c r="AI968" s="4" t="s">
        <v>247</v>
      </c>
      <c r="AJ968" s="4" t="s">
        <v>248</v>
      </c>
      <c r="AZ968" s="4" t="s">
        <v>249</v>
      </c>
      <c r="BA968" s="4" t="s">
        <v>241</v>
      </c>
      <c r="BB968" s="4" t="s">
        <v>250</v>
      </c>
      <c r="BC968" s="4" t="s">
        <v>241</v>
      </c>
      <c r="BD968" s="4" t="s">
        <v>252</v>
      </c>
      <c r="BE968" s="4" t="s">
        <v>241</v>
      </c>
      <c r="BI968" s="4" t="s">
        <v>253</v>
      </c>
      <c r="BJ968" s="5" t="s">
        <v>246</v>
      </c>
      <c r="BK968" s="4" t="s">
        <v>254</v>
      </c>
      <c r="BL968" s="4" t="s">
        <v>255</v>
      </c>
      <c r="BM968" s="4" t="s">
        <v>241</v>
      </c>
      <c r="BN968" s="6">
        <f>0</f>
        <v>0</v>
      </c>
      <c r="BO968" s="6">
        <f>0</f>
        <v>0</v>
      </c>
      <c r="BP968" s="4" t="s">
        <v>256</v>
      </c>
      <c r="BQ968" s="4" t="s">
        <v>257</v>
      </c>
      <c r="CE968" s="4" t="s">
        <v>241</v>
      </c>
      <c r="CF968" s="4" t="s">
        <v>241</v>
      </c>
      <c r="CJ968" s="4" t="s">
        <v>276</v>
      </c>
      <c r="CK968" s="4" t="s">
        <v>259</v>
      </c>
      <c r="CL968" s="4" t="s">
        <v>241</v>
      </c>
      <c r="CO968" s="5" t="s">
        <v>260</v>
      </c>
      <c r="CP968" s="4" t="s">
        <v>241</v>
      </c>
      <c r="CQ968" s="4" t="s">
        <v>261</v>
      </c>
      <c r="CR968" s="4" t="s">
        <v>241</v>
      </c>
      <c r="CS968" s="4" t="s">
        <v>241</v>
      </c>
      <c r="CT968" s="4">
        <v>0</v>
      </c>
      <c r="CU968" s="4" t="s">
        <v>262</v>
      </c>
      <c r="CV968" s="4" t="s">
        <v>263</v>
      </c>
      <c r="CW968" s="4" t="s">
        <v>263</v>
      </c>
      <c r="CX968" s="4" t="s">
        <v>264</v>
      </c>
      <c r="DA968" s="6">
        <f>1</f>
        <v>1</v>
      </c>
      <c r="DC968" s="4" t="s">
        <v>277</v>
      </c>
      <c r="DD968" s="4" t="s">
        <v>241</v>
      </c>
      <c r="DF968" s="4" t="s">
        <v>277</v>
      </c>
      <c r="DG968" s="6">
        <f>281</f>
        <v>281</v>
      </c>
      <c r="DI968" s="4" t="s">
        <v>241</v>
      </c>
      <c r="DJ968" s="4" t="s">
        <v>241</v>
      </c>
      <c r="DK968" s="4" t="s">
        <v>241</v>
      </c>
      <c r="DL968" s="4" t="s">
        <v>241</v>
      </c>
      <c r="DP968" s="4" t="s">
        <v>241</v>
      </c>
      <c r="DQ968" s="4" t="s">
        <v>241</v>
      </c>
      <c r="DR968" s="4" t="s">
        <v>241</v>
      </c>
      <c r="DS968" s="4" t="s">
        <v>241</v>
      </c>
      <c r="DV968" s="4" t="s">
        <v>278</v>
      </c>
      <c r="DW968" s="4" t="s">
        <v>499</v>
      </c>
      <c r="HO968" s="4" t="s">
        <v>267</v>
      </c>
    </row>
    <row r="969" spans="1:223" ht="19.5" customHeight="1" x14ac:dyDescent="0.4">
      <c r="A969" s="4">
        <v>1</v>
      </c>
      <c r="B969" s="4" t="s">
        <v>239</v>
      </c>
      <c r="C969" s="4">
        <v>2643</v>
      </c>
      <c r="D969" s="4">
        <v>1</v>
      </c>
      <c r="E969" s="4">
        <v>1</v>
      </c>
      <c r="F969" s="4" t="s">
        <v>268</v>
      </c>
      <c r="G969" s="4" t="s">
        <v>241</v>
      </c>
      <c r="H969" s="4" t="s">
        <v>241</v>
      </c>
      <c r="I969" s="4" t="s">
        <v>272</v>
      </c>
      <c r="J969" s="4" t="s">
        <v>274</v>
      </c>
      <c r="K969" s="4" t="s">
        <v>251</v>
      </c>
      <c r="L969" s="4" t="s">
        <v>269</v>
      </c>
      <c r="M969" s="5" t="s">
        <v>1446</v>
      </c>
      <c r="N969" s="6">
        <f>1557</f>
        <v>1557</v>
      </c>
      <c r="O969" s="4" t="s">
        <v>265</v>
      </c>
      <c r="P969" s="6">
        <f>1</f>
        <v>1</v>
      </c>
      <c r="Q969" s="6">
        <f>0</f>
        <v>0</v>
      </c>
      <c r="S969" s="6">
        <f>0</f>
        <v>0</v>
      </c>
      <c r="T969" s="6">
        <f>1</f>
        <v>1</v>
      </c>
      <c r="U969" s="5" t="s">
        <v>245</v>
      </c>
      <c r="V969" s="4" t="s">
        <v>270</v>
      </c>
      <c r="W969" s="4" t="s">
        <v>271</v>
      </c>
      <c r="X969" s="4" t="s">
        <v>273</v>
      </c>
      <c r="Y969" s="4" t="s">
        <v>241</v>
      </c>
      <c r="AB969" s="4" t="s">
        <v>241</v>
      </c>
      <c r="AD969" s="5" t="s">
        <v>241</v>
      </c>
      <c r="AG969" s="5" t="s">
        <v>246</v>
      </c>
      <c r="AH969" s="4" t="s">
        <v>241</v>
      </c>
      <c r="AI969" s="4" t="s">
        <v>247</v>
      </c>
      <c r="AJ969" s="4" t="s">
        <v>248</v>
      </c>
      <c r="AZ969" s="4" t="s">
        <v>249</v>
      </c>
      <c r="BA969" s="4" t="s">
        <v>241</v>
      </c>
      <c r="BB969" s="4" t="s">
        <v>250</v>
      </c>
      <c r="BC969" s="4" t="s">
        <v>241</v>
      </c>
      <c r="BD969" s="4" t="s">
        <v>252</v>
      </c>
      <c r="BE969" s="4" t="s">
        <v>241</v>
      </c>
      <c r="BI969" s="4" t="s">
        <v>253</v>
      </c>
      <c r="BJ969" s="5" t="s">
        <v>246</v>
      </c>
      <c r="BK969" s="4" t="s">
        <v>254</v>
      </c>
      <c r="BL969" s="4" t="s">
        <v>255</v>
      </c>
      <c r="BM969" s="4" t="s">
        <v>241</v>
      </c>
      <c r="BN969" s="6">
        <f>0</f>
        <v>0</v>
      </c>
      <c r="BO969" s="6">
        <f>0</f>
        <v>0</v>
      </c>
      <c r="BP969" s="4" t="s">
        <v>256</v>
      </c>
      <c r="BQ969" s="4" t="s">
        <v>257</v>
      </c>
      <c r="CE969" s="4" t="s">
        <v>241</v>
      </c>
      <c r="CF969" s="4" t="s">
        <v>241</v>
      </c>
      <c r="CJ969" s="4" t="s">
        <v>276</v>
      </c>
      <c r="CK969" s="4" t="s">
        <v>259</v>
      </c>
      <c r="CL969" s="4" t="s">
        <v>241</v>
      </c>
      <c r="CO969" s="5" t="s">
        <v>260</v>
      </c>
      <c r="CP969" s="4" t="s">
        <v>241</v>
      </c>
      <c r="CQ969" s="4" t="s">
        <v>261</v>
      </c>
      <c r="CR969" s="4" t="s">
        <v>241</v>
      </c>
      <c r="CS969" s="4" t="s">
        <v>241</v>
      </c>
      <c r="CT969" s="4">
        <v>0</v>
      </c>
      <c r="CU969" s="4" t="s">
        <v>262</v>
      </c>
      <c r="CV969" s="4" t="s">
        <v>263</v>
      </c>
      <c r="CW969" s="4" t="s">
        <v>263</v>
      </c>
      <c r="CX969" s="4" t="s">
        <v>264</v>
      </c>
      <c r="DA969" s="6">
        <f>1</f>
        <v>1</v>
      </c>
      <c r="DC969" s="4" t="s">
        <v>277</v>
      </c>
      <c r="DD969" s="4" t="s">
        <v>241</v>
      </c>
      <c r="DF969" s="4" t="s">
        <v>277</v>
      </c>
      <c r="DG969" s="6">
        <f>1557</f>
        <v>1557</v>
      </c>
      <c r="DI969" s="4" t="s">
        <v>241</v>
      </c>
      <c r="DJ969" s="4" t="s">
        <v>241</v>
      </c>
      <c r="DK969" s="4" t="s">
        <v>241</v>
      </c>
      <c r="DL969" s="4" t="s">
        <v>241</v>
      </c>
      <c r="DP969" s="4" t="s">
        <v>241</v>
      </c>
      <c r="DQ969" s="4" t="s">
        <v>241</v>
      </c>
      <c r="DR969" s="4" t="s">
        <v>241</v>
      </c>
      <c r="DS969" s="4" t="s">
        <v>241</v>
      </c>
      <c r="DV969" s="4" t="s">
        <v>278</v>
      </c>
      <c r="DW969" s="4" t="s">
        <v>501</v>
      </c>
      <c r="HO969" s="4" t="s">
        <v>267</v>
      </c>
    </row>
    <row r="970" spans="1:223" ht="19.5" customHeight="1" x14ac:dyDescent="0.4">
      <c r="A970" s="4">
        <v>1</v>
      </c>
      <c r="B970" s="4" t="s">
        <v>239</v>
      </c>
      <c r="C970" s="4">
        <v>2644</v>
      </c>
      <c r="D970" s="4">
        <v>1</v>
      </c>
      <c r="E970" s="4">
        <v>1</v>
      </c>
      <c r="F970" s="4" t="s">
        <v>268</v>
      </c>
      <c r="G970" s="4" t="s">
        <v>241</v>
      </c>
      <c r="H970" s="4" t="s">
        <v>241</v>
      </c>
      <c r="I970" s="4" t="s">
        <v>272</v>
      </c>
      <c r="J970" s="4" t="s">
        <v>274</v>
      </c>
      <c r="K970" s="4" t="s">
        <v>251</v>
      </c>
      <c r="L970" s="4" t="s">
        <v>269</v>
      </c>
      <c r="M970" s="5" t="s">
        <v>1443</v>
      </c>
      <c r="N970" s="6">
        <f>912</f>
        <v>912</v>
      </c>
      <c r="O970" s="4" t="s">
        <v>265</v>
      </c>
      <c r="P970" s="6">
        <f>1</f>
        <v>1</v>
      </c>
      <c r="Q970" s="6">
        <f>0</f>
        <v>0</v>
      </c>
      <c r="S970" s="6">
        <f>0</f>
        <v>0</v>
      </c>
      <c r="T970" s="6">
        <f>1</f>
        <v>1</v>
      </c>
      <c r="U970" s="5" t="s">
        <v>245</v>
      </c>
      <c r="V970" s="4" t="s">
        <v>270</v>
      </c>
      <c r="W970" s="4" t="s">
        <v>271</v>
      </c>
      <c r="X970" s="4" t="s">
        <v>273</v>
      </c>
      <c r="Y970" s="4" t="s">
        <v>241</v>
      </c>
      <c r="AB970" s="4" t="s">
        <v>241</v>
      </c>
      <c r="AD970" s="5" t="s">
        <v>241</v>
      </c>
      <c r="AG970" s="5" t="s">
        <v>246</v>
      </c>
      <c r="AH970" s="4" t="s">
        <v>241</v>
      </c>
      <c r="AI970" s="4" t="s">
        <v>247</v>
      </c>
      <c r="AJ970" s="4" t="s">
        <v>248</v>
      </c>
      <c r="AZ970" s="4" t="s">
        <v>249</v>
      </c>
      <c r="BA970" s="4" t="s">
        <v>241</v>
      </c>
      <c r="BB970" s="4" t="s">
        <v>250</v>
      </c>
      <c r="BC970" s="4" t="s">
        <v>241</v>
      </c>
      <c r="BD970" s="4" t="s">
        <v>252</v>
      </c>
      <c r="BE970" s="4" t="s">
        <v>241</v>
      </c>
      <c r="BI970" s="4" t="s">
        <v>253</v>
      </c>
      <c r="BJ970" s="5" t="s">
        <v>246</v>
      </c>
      <c r="BK970" s="4" t="s">
        <v>254</v>
      </c>
      <c r="BL970" s="4" t="s">
        <v>255</v>
      </c>
      <c r="BM970" s="4" t="s">
        <v>241</v>
      </c>
      <c r="BN970" s="6">
        <f>0</f>
        <v>0</v>
      </c>
      <c r="BO970" s="6">
        <f>0</f>
        <v>0</v>
      </c>
      <c r="BP970" s="4" t="s">
        <v>256</v>
      </c>
      <c r="BQ970" s="4" t="s">
        <v>257</v>
      </c>
      <c r="CE970" s="4" t="s">
        <v>241</v>
      </c>
      <c r="CF970" s="4" t="s">
        <v>241</v>
      </c>
      <c r="CJ970" s="4" t="s">
        <v>276</v>
      </c>
      <c r="CK970" s="4" t="s">
        <v>259</v>
      </c>
      <c r="CL970" s="4" t="s">
        <v>241</v>
      </c>
      <c r="CO970" s="5" t="s">
        <v>260</v>
      </c>
      <c r="CP970" s="4" t="s">
        <v>241</v>
      </c>
      <c r="CQ970" s="4" t="s">
        <v>261</v>
      </c>
      <c r="CR970" s="4" t="s">
        <v>241</v>
      </c>
      <c r="CS970" s="4" t="s">
        <v>241</v>
      </c>
      <c r="CT970" s="4">
        <v>0</v>
      </c>
      <c r="CU970" s="4" t="s">
        <v>262</v>
      </c>
      <c r="CV970" s="4" t="s">
        <v>263</v>
      </c>
      <c r="CW970" s="4" t="s">
        <v>263</v>
      </c>
      <c r="CX970" s="4" t="s">
        <v>264</v>
      </c>
      <c r="DA970" s="6">
        <f>1</f>
        <v>1</v>
      </c>
      <c r="DC970" s="4" t="s">
        <v>277</v>
      </c>
      <c r="DD970" s="4" t="s">
        <v>241</v>
      </c>
      <c r="DF970" s="4" t="s">
        <v>277</v>
      </c>
      <c r="DG970" s="6">
        <f>912</f>
        <v>912</v>
      </c>
      <c r="DI970" s="4" t="s">
        <v>241</v>
      </c>
      <c r="DJ970" s="4" t="s">
        <v>241</v>
      </c>
      <c r="DK970" s="4" t="s">
        <v>241</v>
      </c>
      <c r="DL970" s="4" t="s">
        <v>241</v>
      </c>
      <c r="DP970" s="4" t="s">
        <v>241</v>
      </c>
      <c r="DQ970" s="4" t="s">
        <v>241</v>
      </c>
      <c r="DR970" s="4" t="s">
        <v>241</v>
      </c>
      <c r="DS970" s="4" t="s">
        <v>241</v>
      </c>
      <c r="DV970" s="4" t="s">
        <v>278</v>
      </c>
      <c r="DW970" s="4" t="s">
        <v>1444</v>
      </c>
      <c r="HO970" s="4" t="s">
        <v>267</v>
      </c>
    </row>
    <row r="971" spans="1:223" ht="19.5" customHeight="1" x14ac:dyDescent="0.4">
      <c r="A971" s="4">
        <v>1</v>
      </c>
      <c r="B971" s="4" t="s">
        <v>239</v>
      </c>
      <c r="C971" s="4">
        <v>2645</v>
      </c>
      <c r="D971" s="4">
        <v>1</v>
      </c>
      <c r="E971" s="4">
        <v>1</v>
      </c>
      <c r="F971" s="4" t="s">
        <v>268</v>
      </c>
      <c r="G971" s="4" t="s">
        <v>241</v>
      </c>
      <c r="H971" s="4" t="s">
        <v>241</v>
      </c>
      <c r="I971" s="4" t="s">
        <v>272</v>
      </c>
      <c r="J971" s="4" t="s">
        <v>274</v>
      </c>
      <c r="K971" s="4" t="s">
        <v>251</v>
      </c>
      <c r="L971" s="4" t="s">
        <v>269</v>
      </c>
      <c r="M971" s="5" t="s">
        <v>1439</v>
      </c>
      <c r="N971" s="6">
        <f>93</f>
        <v>93</v>
      </c>
      <c r="O971" s="4" t="s">
        <v>265</v>
      </c>
      <c r="P971" s="6">
        <f>1</f>
        <v>1</v>
      </c>
      <c r="Q971" s="6">
        <f>0</f>
        <v>0</v>
      </c>
      <c r="S971" s="6">
        <f>0</f>
        <v>0</v>
      </c>
      <c r="T971" s="6">
        <f>1</f>
        <v>1</v>
      </c>
      <c r="U971" s="5" t="s">
        <v>245</v>
      </c>
      <c r="V971" s="4" t="s">
        <v>270</v>
      </c>
      <c r="W971" s="4" t="s">
        <v>271</v>
      </c>
      <c r="X971" s="4" t="s">
        <v>273</v>
      </c>
      <c r="Y971" s="4" t="s">
        <v>241</v>
      </c>
      <c r="AB971" s="4" t="s">
        <v>241</v>
      </c>
      <c r="AD971" s="5" t="s">
        <v>241</v>
      </c>
      <c r="AG971" s="5" t="s">
        <v>246</v>
      </c>
      <c r="AH971" s="4" t="s">
        <v>241</v>
      </c>
      <c r="AI971" s="4" t="s">
        <v>247</v>
      </c>
      <c r="AJ971" s="4" t="s">
        <v>248</v>
      </c>
      <c r="AZ971" s="4" t="s">
        <v>249</v>
      </c>
      <c r="BA971" s="4" t="s">
        <v>241</v>
      </c>
      <c r="BB971" s="4" t="s">
        <v>250</v>
      </c>
      <c r="BC971" s="4" t="s">
        <v>241</v>
      </c>
      <c r="BD971" s="4" t="s">
        <v>252</v>
      </c>
      <c r="BE971" s="4" t="s">
        <v>241</v>
      </c>
      <c r="BI971" s="4" t="s">
        <v>253</v>
      </c>
      <c r="BJ971" s="5" t="s">
        <v>246</v>
      </c>
      <c r="BK971" s="4" t="s">
        <v>254</v>
      </c>
      <c r="BL971" s="4" t="s">
        <v>255</v>
      </c>
      <c r="BM971" s="4" t="s">
        <v>241</v>
      </c>
      <c r="BN971" s="6">
        <f>0</f>
        <v>0</v>
      </c>
      <c r="BO971" s="6">
        <f>0</f>
        <v>0</v>
      </c>
      <c r="BP971" s="4" t="s">
        <v>256</v>
      </c>
      <c r="BQ971" s="4" t="s">
        <v>257</v>
      </c>
      <c r="CE971" s="4" t="s">
        <v>241</v>
      </c>
      <c r="CF971" s="4" t="s">
        <v>241</v>
      </c>
      <c r="CJ971" s="4" t="s">
        <v>276</v>
      </c>
      <c r="CK971" s="4" t="s">
        <v>259</v>
      </c>
      <c r="CL971" s="4" t="s">
        <v>241</v>
      </c>
      <c r="CO971" s="5" t="s">
        <v>260</v>
      </c>
      <c r="CP971" s="4" t="s">
        <v>241</v>
      </c>
      <c r="CQ971" s="4" t="s">
        <v>261</v>
      </c>
      <c r="CR971" s="4" t="s">
        <v>241</v>
      </c>
      <c r="CS971" s="4" t="s">
        <v>241</v>
      </c>
      <c r="CT971" s="4">
        <v>0</v>
      </c>
      <c r="CU971" s="4" t="s">
        <v>262</v>
      </c>
      <c r="CV971" s="4" t="s">
        <v>263</v>
      </c>
      <c r="CW971" s="4" t="s">
        <v>263</v>
      </c>
      <c r="CX971" s="4" t="s">
        <v>264</v>
      </c>
      <c r="DA971" s="6">
        <f>1</f>
        <v>1</v>
      </c>
      <c r="DC971" s="4" t="s">
        <v>277</v>
      </c>
      <c r="DD971" s="4" t="s">
        <v>241</v>
      </c>
      <c r="DF971" s="4" t="s">
        <v>277</v>
      </c>
      <c r="DG971" s="6">
        <f>93</f>
        <v>93</v>
      </c>
      <c r="DI971" s="4" t="s">
        <v>241</v>
      </c>
      <c r="DJ971" s="4" t="s">
        <v>241</v>
      </c>
      <c r="DK971" s="4" t="s">
        <v>241</v>
      </c>
      <c r="DL971" s="4" t="s">
        <v>241</v>
      </c>
      <c r="DP971" s="4" t="s">
        <v>241</v>
      </c>
      <c r="DQ971" s="4" t="s">
        <v>241</v>
      </c>
      <c r="DR971" s="4" t="s">
        <v>241</v>
      </c>
      <c r="DS971" s="4" t="s">
        <v>241</v>
      </c>
      <c r="DV971" s="4" t="s">
        <v>278</v>
      </c>
      <c r="DW971" s="4" t="s">
        <v>505</v>
      </c>
      <c r="HO971" s="4" t="s">
        <v>267</v>
      </c>
    </row>
    <row r="972" spans="1:223" ht="19.5" customHeight="1" x14ac:dyDescent="0.4">
      <c r="A972" s="4">
        <v>1</v>
      </c>
      <c r="B972" s="4" t="s">
        <v>239</v>
      </c>
      <c r="C972" s="4">
        <v>2646</v>
      </c>
      <c r="D972" s="4">
        <v>1</v>
      </c>
      <c r="E972" s="4">
        <v>1</v>
      </c>
      <c r="F972" s="4" t="s">
        <v>268</v>
      </c>
      <c r="G972" s="4" t="s">
        <v>241</v>
      </c>
      <c r="H972" s="4" t="s">
        <v>241</v>
      </c>
      <c r="I972" s="4" t="s">
        <v>272</v>
      </c>
      <c r="J972" s="4" t="s">
        <v>274</v>
      </c>
      <c r="K972" s="4" t="s">
        <v>251</v>
      </c>
      <c r="L972" s="4" t="s">
        <v>269</v>
      </c>
      <c r="M972" s="5" t="s">
        <v>1435</v>
      </c>
      <c r="N972" s="6">
        <f>90</f>
        <v>90</v>
      </c>
      <c r="O972" s="4" t="s">
        <v>265</v>
      </c>
      <c r="P972" s="6">
        <f>1</f>
        <v>1</v>
      </c>
      <c r="Q972" s="6">
        <f>0</f>
        <v>0</v>
      </c>
      <c r="S972" s="6">
        <f>0</f>
        <v>0</v>
      </c>
      <c r="T972" s="6">
        <f>1</f>
        <v>1</v>
      </c>
      <c r="U972" s="5" t="s">
        <v>245</v>
      </c>
      <c r="V972" s="4" t="s">
        <v>270</v>
      </c>
      <c r="W972" s="4" t="s">
        <v>271</v>
      </c>
      <c r="X972" s="4" t="s">
        <v>273</v>
      </c>
      <c r="Y972" s="4" t="s">
        <v>241</v>
      </c>
      <c r="AB972" s="4" t="s">
        <v>241</v>
      </c>
      <c r="AD972" s="5" t="s">
        <v>241</v>
      </c>
      <c r="AG972" s="5" t="s">
        <v>246</v>
      </c>
      <c r="AH972" s="4" t="s">
        <v>241</v>
      </c>
      <c r="AI972" s="4" t="s">
        <v>247</v>
      </c>
      <c r="AJ972" s="4" t="s">
        <v>248</v>
      </c>
      <c r="AZ972" s="4" t="s">
        <v>249</v>
      </c>
      <c r="BA972" s="4" t="s">
        <v>241</v>
      </c>
      <c r="BB972" s="4" t="s">
        <v>250</v>
      </c>
      <c r="BC972" s="4" t="s">
        <v>241</v>
      </c>
      <c r="BD972" s="4" t="s">
        <v>252</v>
      </c>
      <c r="BE972" s="4" t="s">
        <v>241</v>
      </c>
      <c r="BI972" s="4" t="s">
        <v>253</v>
      </c>
      <c r="BJ972" s="5" t="s">
        <v>246</v>
      </c>
      <c r="BK972" s="4" t="s">
        <v>254</v>
      </c>
      <c r="BL972" s="4" t="s">
        <v>255</v>
      </c>
      <c r="BM972" s="4" t="s">
        <v>241</v>
      </c>
      <c r="BN972" s="6">
        <f>0</f>
        <v>0</v>
      </c>
      <c r="BO972" s="6">
        <f>0</f>
        <v>0</v>
      </c>
      <c r="BP972" s="4" t="s">
        <v>256</v>
      </c>
      <c r="BQ972" s="4" t="s">
        <v>257</v>
      </c>
      <c r="CE972" s="4" t="s">
        <v>241</v>
      </c>
      <c r="CF972" s="4" t="s">
        <v>241</v>
      </c>
      <c r="CJ972" s="4" t="s">
        <v>276</v>
      </c>
      <c r="CK972" s="4" t="s">
        <v>259</v>
      </c>
      <c r="CL972" s="4" t="s">
        <v>241</v>
      </c>
      <c r="CO972" s="5" t="s">
        <v>260</v>
      </c>
      <c r="CP972" s="4" t="s">
        <v>241</v>
      </c>
      <c r="CQ972" s="4" t="s">
        <v>261</v>
      </c>
      <c r="CR972" s="4" t="s">
        <v>241</v>
      </c>
      <c r="CS972" s="4" t="s">
        <v>241</v>
      </c>
      <c r="CT972" s="4">
        <v>0</v>
      </c>
      <c r="CU972" s="4" t="s">
        <v>262</v>
      </c>
      <c r="CV972" s="4" t="s">
        <v>263</v>
      </c>
      <c r="CW972" s="4" t="s">
        <v>263</v>
      </c>
      <c r="CX972" s="4" t="s">
        <v>264</v>
      </c>
      <c r="DA972" s="6">
        <f>1</f>
        <v>1</v>
      </c>
      <c r="DC972" s="4" t="s">
        <v>277</v>
      </c>
      <c r="DD972" s="4" t="s">
        <v>241</v>
      </c>
      <c r="DF972" s="4" t="s">
        <v>277</v>
      </c>
      <c r="DG972" s="6">
        <f>90</f>
        <v>90</v>
      </c>
      <c r="DI972" s="4" t="s">
        <v>241</v>
      </c>
      <c r="DJ972" s="4" t="s">
        <v>241</v>
      </c>
      <c r="DK972" s="4" t="s">
        <v>241</v>
      </c>
      <c r="DL972" s="4" t="s">
        <v>241</v>
      </c>
      <c r="DP972" s="4" t="s">
        <v>241</v>
      </c>
      <c r="DQ972" s="4" t="s">
        <v>241</v>
      </c>
      <c r="DR972" s="4" t="s">
        <v>241</v>
      </c>
      <c r="DS972" s="4" t="s">
        <v>241</v>
      </c>
      <c r="DV972" s="4" t="s">
        <v>278</v>
      </c>
      <c r="DW972" s="4" t="s">
        <v>513</v>
      </c>
      <c r="HO972" s="4" t="s">
        <v>267</v>
      </c>
    </row>
    <row r="973" spans="1:223" ht="19.5" customHeight="1" x14ac:dyDescent="0.4">
      <c r="A973" s="4">
        <v>1</v>
      </c>
      <c r="B973" s="4" t="s">
        <v>239</v>
      </c>
      <c r="C973" s="4">
        <v>2647</v>
      </c>
      <c r="D973" s="4">
        <v>1</v>
      </c>
      <c r="E973" s="4">
        <v>1</v>
      </c>
      <c r="F973" s="4" t="s">
        <v>268</v>
      </c>
      <c r="G973" s="4" t="s">
        <v>241</v>
      </c>
      <c r="H973" s="4" t="s">
        <v>241</v>
      </c>
      <c r="I973" s="4" t="s">
        <v>272</v>
      </c>
      <c r="J973" s="4" t="s">
        <v>274</v>
      </c>
      <c r="K973" s="4" t="s">
        <v>251</v>
      </c>
      <c r="L973" s="4" t="s">
        <v>269</v>
      </c>
      <c r="M973" s="5" t="s">
        <v>1431</v>
      </c>
      <c r="N973" s="6">
        <f>650</f>
        <v>650</v>
      </c>
      <c r="O973" s="4" t="s">
        <v>265</v>
      </c>
      <c r="P973" s="6">
        <f>1</f>
        <v>1</v>
      </c>
      <c r="Q973" s="6">
        <f>0</f>
        <v>0</v>
      </c>
      <c r="S973" s="6">
        <f>0</f>
        <v>0</v>
      </c>
      <c r="T973" s="6">
        <f>1</f>
        <v>1</v>
      </c>
      <c r="U973" s="5" t="s">
        <v>245</v>
      </c>
      <c r="V973" s="4" t="s">
        <v>270</v>
      </c>
      <c r="W973" s="4" t="s">
        <v>271</v>
      </c>
      <c r="X973" s="4" t="s">
        <v>273</v>
      </c>
      <c r="Y973" s="4" t="s">
        <v>241</v>
      </c>
      <c r="AB973" s="4" t="s">
        <v>241</v>
      </c>
      <c r="AD973" s="5" t="s">
        <v>241</v>
      </c>
      <c r="AG973" s="5" t="s">
        <v>246</v>
      </c>
      <c r="AH973" s="4" t="s">
        <v>241</v>
      </c>
      <c r="AI973" s="4" t="s">
        <v>247</v>
      </c>
      <c r="AJ973" s="4" t="s">
        <v>248</v>
      </c>
      <c r="AZ973" s="4" t="s">
        <v>249</v>
      </c>
      <c r="BA973" s="4" t="s">
        <v>241</v>
      </c>
      <c r="BB973" s="4" t="s">
        <v>250</v>
      </c>
      <c r="BC973" s="4" t="s">
        <v>241</v>
      </c>
      <c r="BD973" s="4" t="s">
        <v>252</v>
      </c>
      <c r="BE973" s="4" t="s">
        <v>241</v>
      </c>
      <c r="BI973" s="4" t="s">
        <v>253</v>
      </c>
      <c r="BJ973" s="5" t="s">
        <v>246</v>
      </c>
      <c r="BK973" s="4" t="s">
        <v>254</v>
      </c>
      <c r="BL973" s="4" t="s">
        <v>255</v>
      </c>
      <c r="BM973" s="4" t="s">
        <v>241</v>
      </c>
      <c r="BN973" s="6">
        <f>0</f>
        <v>0</v>
      </c>
      <c r="BO973" s="6">
        <f>0</f>
        <v>0</v>
      </c>
      <c r="BP973" s="4" t="s">
        <v>256</v>
      </c>
      <c r="BQ973" s="4" t="s">
        <v>257</v>
      </c>
      <c r="CE973" s="4" t="s">
        <v>241</v>
      </c>
      <c r="CF973" s="4" t="s">
        <v>241</v>
      </c>
      <c r="CJ973" s="4" t="s">
        <v>276</v>
      </c>
      <c r="CK973" s="4" t="s">
        <v>259</v>
      </c>
      <c r="CL973" s="4" t="s">
        <v>241</v>
      </c>
      <c r="CO973" s="5" t="s">
        <v>260</v>
      </c>
      <c r="CP973" s="4" t="s">
        <v>241</v>
      </c>
      <c r="CQ973" s="4" t="s">
        <v>261</v>
      </c>
      <c r="CR973" s="4" t="s">
        <v>241</v>
      </c>
      <c r="CS973" s="4" t="s">
        <v>241</v>
      </c>
      <c r="CT973" s="4">
        <v>0</v>
      </c>
      <c r="CU973" s="4" t="s">
        <v>262</v>
      </c>
      <c r="CV973" s="4" t="s">
        <v>263</v>
      </c>
      <c r="CW973" s="4" t="s">
        <v>263</v>
      </c>
      <c r="CX973" s="4" t="s">
        <v>264</v>
      </c>
      <c r="DA973" s="6">
        <f>1</f>
        <v>1</v>
      </c>
      <c r="DC973" s="4" t="s">
        <v>277</v>
      </c>
      <c r="DD973" s="4" t="s">
        <v>241</v>
      </c>
      <c r="DF973" s="4" t="s">
        <v>277</v>
      </c>
      <c r="DG973" s="6">
        <f>650</f>
        <v>650</v>
      </c>
      <c r="DI973" s="4" t="s">
        <v>241</v>
      </c>
      <c r="DJ973" s="4" t="s">
        <v>241</v>
      </c>
      <c r="DK973" s="4" t="s">
        <v>241</v>
      </c>
      <c r="DL973" s="4" t="s">
        <v>241</v>
      </c>
      <c r="DP973" s="4" t="s">
        <v>241</v>
      </c>
      <c r="DQ973" s="4" t="s">
        <v>241</v>
      </c>
      <c r="DR973" s="4" t="s">
        <v>241</v>
      </c>
      <c r="DS973" s="4" t="s">
        <v>241</v>
      </c>
      <c r="DV973" s="4" t="s">
        <v>278</v>
      </c>
      <c r="DW973" s="4" t="s">
        <v>515</v>
      </c>
      <c r="HO973" s="4" t="s">
        <v>267</v>
      </c>
    </row>
    <row r="974" spans="1:223" ht="19.5" customHeight="1" x14ac:dyDescent="0.4">
      <c r="A974" s="4">
        <v>1</v>
      </c>
      <c r="B974" s="4" t="s">
        <v>239</v>
      </c>
      <c r="C974" s="4">
        <v>2648</v>
      </c>
      <c r="D974" s="4">
        <v>1</v>
      </c>
      <c r="E974" s="4">
        <v>1</v>
      </c>
      <c r="F974" s="4" t="s">
        <v>268</v>
      </c>
      <c r="G974" s="4" t="s">
        <v>241</v>
      </c>
      <c r="H974" s="4" t="s">
        <v>241</v>
      </c>
      <c r="I974" s="4" t="s">
        <v>272</v>
      </c>
      <c r="J974" s="4" t="s">
        <v>274</v>
      </c>
      <c r="K974" s="4" t="s">
        <v>251</v>
      </c>
      <c r="L974" s="4" t="s">
        <v>269</v>
      </c>
      <c r="M974" s="5" t="s">
        <v>1429</v>
      </c>
      <c r="N974" s="6">
        <f>1430</f>
        <v>1430</v>
      </c>
      <c r="O974" s="4" t="s">
        <v>265</v>
      </c>
      <c r="P974" s="6">
        <f>1</f>
        <v>1</v>
      </c>
      <c r="Q974" s="6">
        <f>0</f>
        <v>0</v>
      </c>
      <c r="S974" s="6">
        <f>0</f>
        <v>0</v>
      </c>
      <c r="T974" s="6">
        <f>1</f>
        <v>1</v>
      </c>
      <c r="U974" s="5" t="s">
        <v>245</v>
      </c>
      <c r="V974" s="4" t="s">
        <v>270</v>
      </c>
      <c r="W974" s="4" t="s">
        <v>271</v>
      </c>
      <c r="X974" s="4" t="s">
        <v>273</v>
      </c>
      <c r="Y974" s="4" t="s">
        <v>241</v>
      </c>
      <c r="AB974" s="4" t="s">
        <v>241</v>
      </c>
      <c r="AD974" s="5" t="s">
        <v>241</v>
      </c>
      <c r="AG974" s="5" t="s">
        <v>246</v>
      </c>
      <c r="AH974" s="4" t="s">
        <v>241</v>
      </c>
      <c r="AI974" s="4" t="s">
        <v>247</v>
      </c>
      <c r="AJ974" s="4" t="s">
        <v>248</v>
      </c>
      <c r="AZ974" s="4" t="s">
        <v>249</v>
      </c>
      <c r="BA974" s="4" t="s">
        <v>241</v>
      </c>
      <c r="BB974" s="4" t="s">
        <v>250</v>
      </c>
      <c r="BC974" s="4" t="s">
        <v>241</v>
      </c>
      <c r="BD974" s="4" t="s">
        <v>252</v>
      </c>
      <c r="BE974" s="4" t="s">
        <v>241</v>
      </c>
      <c r="BI974" s="4" t="s">
        <v>253</v>
      </c>
      <c r="BJ974" s="5" t="s">
        <v>246</v>
      </c>
      <c r="BK974" s="4" t="s">
        <v>254</v>
      </c>
      <c r="BL974" s="4" t="s">
        <v>255</v>
      </c>
      <c r="BM974" s="4" t="s">
        <v>241</v>
      </c>
      <c r="BN974" s="6">
        <f>0</f>
        <v>0</v>
      </c>
      <c r="BO974" s="6">
        <f>0</f>
        <v>0</v>
      </c>
      <c r="BP974" s="4" t="s">
        <v>256</v>
      </c>
      <c r="BQ974" s="4" t="s">
        <v>257</v>
      </c>
      <c r="CE974" s="4" t="s">
        <v>241</v>
      </c>
      <c r="CF974" s="4" t="s">
        <v>241</v>
      </c>
      <c r="CJ974" s="4" t="s">
        <v>276</v>
      </c>
      <c r="CK974" s="4" t="s">
        <v>259</v>
      </c>
      <c r="CL974" s="4" t="s">
        <v>241</v>
      </c>
      <c r="CO974" s="5" t="s">
        <v>260</v>
      </c>
      <c r="CP974" s="4" t="s">
        <v>241</v>
      </c>
      <c r="CQ974" s="4" t="s">
        <v>261</v>
      </c>
      <c r="CR974" s="4" t="s">
        <v>241</v>
      </c>
      <c r="CS974" s="4" t="s">
        <v>241</v>
      </c>
      <c r="CT974" s="4">
        <v>0</v>
      </c>
      <c r="CU974" s="4" t="s">
        <v>262</v>
      </c>
      <c r="CV974" s="4" t="s">
        <v>263</v>
      </c>
      <c r="CW974" s="4" t="s">
        <v>263</v>
      </c>
      <c r="CX974" s="4" t="s">
        <v>264</v>
      </c>
      <c r="DA974" s="6">
        <f>1</f>
        <v>1</v>
      </c>
      <c r="DC974" s="4" t="s">
        <v>277</v>
      </c>
      <c r="DD974" s="4" t="s">
        <v>241</v>
      </c>
      <c r="DF974" s="4" t="s">
        <v>277</v>
      </c>
      <c r="DG974" s="6">
        <f>1430</f>
        <v>1430</v>
      </c>
      <c r="DI974" s="4" t="s">
        <v>241</v>
      </c>
      <c r="DJ974" s="4" t="s">
        <v>241</v>
      </c>
      <c r="DK974" s="4" t="s">
        <v>241</v>
      </c>
      <c r="DL974" s="4" t="s">
        <v>241</v>
      </c>
      <c r="DP974" s="4" t="s">
        <v>241</v>
      </c>
      <c r="DQ974" s="4" t="s">
        <v>241</v>
      </c>
      <c r="DR974" s="4" t="s">
        <v>241</v>
      </c>
      <c r="DS974" s="4" t="s">
        <v>241</v>
      </c>
      <c r="DV974" s="4" t="s">
        <v>278</v>
      </c>
      <c r="DW974" s="4" t="s">
        <v>519</v>
      </c>
      <c r="HO974" s="4" t="s">
        <v>267</v>
      </c>
    </row>
    <row r="975" spans="1:223" ht="19.5" customHeight="1" x14ac:dyDescent="0.4">
      <c r="A975" s="4">
        <v>1</v>
      </c>
      <c r="B975" s="4" t="s">
        <v>239</v>
      </c>
      <c r="C975" s="4">
        <v>2649</v>
      </c>
      <c r="D975" s="4">
        <v>1</v>
      </c>
      <c r="E975" s="4">
        <v>1</v>
      </c>
      <c r="F975" s="4" t="s">
        <v>268</v>
      </c>
      <c r="G975" s="4" t="s">
        <v>241</v>
      </c>
      <c r="H975" s="4" t="s">
        <v>241</v>
      </c>
      <c r="I975" s="4" t="s">
        <v>272</v>
      </c>
      <c r="J975" s="4" t="s">
        <v>274</v>
      </c>
      <c r="K975" s="4" t="s">
        <v>251</v>
      </c>
      <c r="L975" s="4" t="s">
        <v>269</v>
      </c>
      <c r="M975" s="5" t="s">
        <v>1812</v>
      </c>
      <c r="N975" s="6">
        <f>266</f>
        <v>266</v>
      </c>
      <c r="O975" s="4" t="s">
        <v>265</v>
      </c>
      <c r="P975" s="6">
        <f>1</f>
        <v>1</v>
      </c>
      <c r="Q975" s="6">
        <f>0</f>
        <v>0</v>
      </c>
      <c r="S975" s="6">
        <f>0</f>
        <v>0</v>
      </c>
      <c r="T975" s="6">
        <f>1</f>
        <v>1</v>
      </c>
      <c r="U975" s="5" t="s">
        <v>245</v>
      </c>
      <c r="V975" s="4" t="s">
        <v>270</v>
      </c>
      <c r="W975" s="4" t="s">
        <v>271</v>
      </c>
      <c r="X975" s="4" t="s">
        <v>273</v>
      </c>
      <c r="Y975" s="4" t="s">
        <v>241</v>
      </c>
      <c r="AB975" s="4" t="s">
        <v>241</v>
      </c>
      <c r="AD975" s="5" t="s">
        <v>241</v>
      </c>
      <c r="AG975" s="5" t="s">
        <v>246</v>
      </c>
      <c r="AH975" s="4" t="s">
        <v>241</v>
      </c>
      <c r="AI975" s="4" t="s">
        <v>247</v>
      </c>
      <c r="AJ975" s="4" t="s">
        <v>248</v>
      </c>
      <c r="AZ975" s="4" t="s">
        <v>249</v>
      </c>
      <c r="BA975" s="4" t="s">
        <v>241</v>
      </c>
      <c r="BB975" s="4" t="s">
        <v>250</v>
      </c>
      <c r="BC975" s="4" t="s">
        <v>241</v>
      </c>
      <c r="BD975" s="4" t="s">
        <v>252</v>
      </c>
      <c r="BE975" s="4" t="s">
        <v>241</v>
      </c>
      <c r="BI975" s="4" t="s">
        <v>253</v>
      </c>
      <c r="BJ975" s="5" t="s">
        <v>246</v>
      </c>
      <c r="BK975" s="4" t="s">
        <v>254</v>
      </c>
      <c r="BL975" s="4" t="s">
        <v>255</v>
      </c>
      <c r="BM975" s="4" t="s">
        <v>241</v>
      </c>
      <c r="BN975" s="6">
        <f>0</f>
        <v>0</v>
      </c>
      <c r="BO975" s="6">
        <f>0</f>
        <v>0</v>
      </c>
      <c r="BP975" s="4" t="s">
        <v>256</v>
      </c>
      <c r="BQ975" s="4" t="s">
        <v>257</v>
      </c>
      <c r="CE975" s="4" t="s">
        <v>241</v>
      </c>
      <c r="CF975" s="4" t="s">
        <v>241</v>
      </c>
      <c r="CJ975" s="4" t="s">
        <v>276</v>
      </c>
      <c r="CK975" s="4" t="s">
        <v>259</v>
      </c>
      <c r="CL975" s="4" t="s">
        <v>241</v>
      </c>
      <c r="CO975" s="5" t="s">
        <v>260</v>
      </c>
      <c r="CP975" s="4" t="s">
        <v>241</v>
      </c>
      <c r="CQ975" s="4" t="s">
        <v>261</v>
      </c>
      <c r="CR975" s="4" t="s">
        <v>241</v>
      </c>
      <c r="CS975" s="4" t="s">
        <v>241</v>
      </c>
      <c r="CT975" s="4">
        <v>0</v>
      </c>
      <c r="CU975" s="4" t="s">
        <v>262</v>
      </c>
      <c r="CV975" s="4" t="s">
        <v>263</v>
      </c>
      <c r="CW975" s="4" t="s">
        <v>263</v>
      </c>
      <c r="CX975" s="4" t="s">
        <v>264</v>
      </c>
      <c r="DA975" s="6">
        <f>1</f>
        <v>1</v>
      </c>
      <c r="DC975" s="4" t="s">
        <v>277</v>
      </c>
      <c r="DD975" s="4" t="s">
        <v>241</v>
      </c>
      <c r="DF975" s="4" t="s">
        <v>277</v>
      </c>
      <c r="DG975" s="6">
        <f>266</f>
        <v>266</v>
      </c>
      <c r="DI975" s="4" t="s">
        <v>241</v>
      </c>
      <c r="DJ975" s="4" t="s">
        <v>241</v>
      </c>
      <c r="DK975" s="4" t="s">
        <v>241</v>
      </c>
      <c r="DL975" s="4" t="s">
        <v>241</v>
      </c>
      <c r="DP975" s="4" t="s">
        <v>241</v>
      </c>
      <c r="DQ975" s="4" t="s">
        <v>241</v>
      </c>
      <c r="DR975" s="4" t="s">
        <v>241</v>
      </c>
      <c r="DS975" s="4" t="s">
        <v>241</v>
      </c>
      <c r="DV975" s="4" t="s">
        <v>278</v>
      </c>
      <c r="DW975" s="4" t="s">
        <v>521</v>
      </c>
      <c r="HO975" s="4" t="s">
        <v>267</v>
      </c>
    </row>
    <row r="976" spans="1:223" ht="19.5" customHeight="1" x14ac:dyDescent="0.4">
      <c r="A976" s="4">
        <v>1</v>
      </c>
      <c r="B976" s="4" t="s">
        <v>239</v>
      </c>
      <c r="C976" s="4">
        <v>2650</v>
      </c>
      <c r="D976" s="4">
        <v>1</v>
      </c>
      <c r="E976" s="4">
        <v>1</v>
      </c>
      <c r="F976" s="4" t="s">
        <v>268</v>
      </c>
      <c r="G976" s="4" t="s">
        <v>241</v>
      </c>
      <c r="H976" s="4" t="s">
        <v>241</v>
      </c>
      <c r="I976" s="4" t="s">
        <v>272</v>
      </c>
      <c r="J976" s="4" t="s">
        <v>274</v>
      </c>
      <c r="K976" s="4" t="s">
        <v>251</v>
      </c>
      <c r="L976" s="4" t="s">
        <v>269</v>
      </c>
      <c r="M976" s="5" t="s">
        <v>1813</v>
      </c>
      <c r="N976" s="6">
        <f>51</f>
        <v>51</v>
      </c>
      <c r="O976" s="4" t="s">
        <v>265</v>
      </c>
      <c r="P976" s="6">
        <f>1</f>
        <v>1</v>
      </c>
      <c r="Q976" s="6">
        <f>0</f>
        <v>0</v>
      </c>
      <c r="S976" s="6">
        <f>0</f>
        <v>0</v>
      </c>
      <c r="T976" s="6">
        <f>1</f>
        <v>1</v>
      </c>
      <c r="U976" s="5" t="s">
        <v>245</v>
      </c>
      <c r="V976" s="4" t="s">
        <v>270</v>
      </c>
      <c r="W976" s="4" t="s">
        <v>271</v>
      </c>
      <c r="X976" s="4" t="s">
        <v>273</v>
      </c>
      <c r="Y976" s="4" t="s">
        <v>241</v>
      </c>
      <c r="AB976" s="4" t="s">
        <v>241</v>
      </c>
      <c r="AD976" s="5" t="s">
        <v>241</v>
      </c>
      <c r="AG976" s="5" t="s">
        <v>246</v>
      </c>
      <c r="AH976" s="4" t="s">
        <v>241</v>
      </c>
      <c r="AI976" s="4" t="s">
        <v>247</v>
      </c>
      <c r="AJ976" s="4" t="s">
        <v>248</v>
      </c>
      <c r="AZ976" s="4" t="s">
        <v>249</v>
      </c>
      <c r="BA976" s="4" t="s">
        <v>241</v>
      </c>
      <c r="BB976" s="4" t="s">
        <v>250</v>
      </c>
      <c r="BC976" s="4" t="s">
        <v>241</v>
      </c>
      <c r="BD976" s="4" t="s">
        <v>252</v>
      </c>
      <c r="BE976" s="4" t="s">
        <v>241</v>
      </c>
      <c r="BI976" s="4" t="s">
        <v>253</v>
      </c>
      <c r="BJ976" s="5" t="s">
        <v>246</v>
      </c>
      <c r="BK976" s="4" t="s">
        <v>254</v>
      </c>
      <c r="BL976" s="4" t="s">
        <v>255</v>
      </c>
      <c r="BM976" s="4" t="s">
        <v>241</v>
      </c>
      <c r="BN976" s="6">
        <f>0</f>
        <v>0</v>
      </c>
      <c r="BO976" s="6">
        <f>0</f>
        <v>0</v>
      </c>
      <c r="BP976" s="4" t="s">
        <v>256</v>
      </c>
      <c r="BQ976" s="4" t="s">
        <v>257</v>
      </c>
      <c r="CE976" s="4" t="s">
        <v>241</v>
      </c>
      <c r="CF976" s="4" t="s">
        <v>241</v>
      </c>
      <c r="CJ976" s="4" t="s">
        <v>276</v>
      </c>
      <c r="CK976" s="4" t="s">
        <v>259</v>
      </c>
      <c r="CL976" s="4" t="s">
        <v>241</v>
      </c>
      <c r="CO976" s="5" t="s">
        <v>260</v>
      </c>
      <c r="CP976" s="4" t="s">
        <v>241</v>
      </c>
      <c r="CQ976" s="4" t="s">
        <v>261</v>
      </c>
      <c r="CR976" s="4" t="s">
        <v>241</v>
      </c>
      <c r="CS976" s="4" t="s">
        <v>241</v>
      </c>
      <c r="CT976" s="4">
        <v>0</v>
      </c>
      <c r="CU976" s="4" t="s">
        <v>262</v>
      </c>
      <c r="CV976" s="4" t="s">
        <v>263</v>
      </c>
      <c r="CW976" s="4" t="s">
        <v>263</v>
      </c>
      <c r="CX976" s="4" t="s">
        <v>264</v>
      </c>
      <c r="DA976" s="6">
        <f>1</f>
        <v>1</v>
      </c>
      <c r="DC976" s="4" t="s">
        <v>277</v>
      </c>
      <c r="DD976" s="4" t="s">
        <v>241</v>
      </c>
      <c r="DF976" s="4" t="s">
        <v>277</v>
      </c>
      <c r="DG976" s="6">
        <f>51</f>
        <v>51</v>
      </c>
      <c r="DI976" s="4" t="s">
        <v>241</v>
      </c>
      <c r="DJ976" s="4" t="s">
        <v>241</v>
      </c>
      <c r="DK976" s="4" t="s">
        <v>241</v>
      </c>
      <c r="DL976" s="4" t="s">
        <v>241</v>
      </c>
      <c r="DP976" s="4" t="s">
        <v>241</v>
      </c>
      <c r="DQ976" s="4" t="s">
        <v>241</v>
      </c>
      <c r="DR976" s="4" t="s">
        <v>241</v>
      </c>
      <c r="DS976" s="4" t="s">
        <v>241</v>
      </c>
      <c r="DV976" s="4" t="s">
        <v>278</v>
      </c>
      <c r="DW976" s="4" t="s">
        <v>527</v>
      </c>
      <c r="HO976" s="4" t="s">
        <v>267</v>
      </c>
    </row>
    <row r="977" spans="1:223" ht="19.5" customHeight="1" x14ac:dyDescent="0.4">
      <c r="A977" s="4">
        <v>1</v>
      </c>
      <c r="B977" s="4" t="s">
        <v>239</v>
      </c>
      <c r="C977" s="4">
        <v>2651</v>
      </c>
      <c r="D977" s="4">
        <v>1</v>
      </c>
      <c r="E977" s="4">
        <v>1</v>
      </c>
      <c r="F977" s="4" t="s">
        <v>268</v>
      </c>
      <c r="G977" s="4" t="s">
        <v>241</v>
      </c>
      <c r="H977" s="4" t="s">
        <v>241</v>
      </c>
      <c r="I977" s="4" t="s">
        <v>272</v>
      </c>
      <c r="J977" s="4" t="s">
        <v>274</v>
      </c>
      <c r="K977" s="4" t="s">
        <v>251</v>
      </c>
      <c r="L977" s="4" t="s">
        <v>269</v>
      </c>
      <c r="M977" s="5" t="s">
        <v>1410</v>
      </c>
      <c r="N977" s="6">
        <f>92</f>
        <v>92</v>
      </c>
      <c r="O977" s="4" t="s">
        <v>265</v>
      </c>
      <c r="P977" s="6">
        <f>1</f>
        <v>1</v>
      </c>
      <c r="Q977" s="6">
        <f>0</f>
        <v>0</v>
      </c>
      <c r="S977" s="6">
        <f>0</f>
        <v>0</v>
      </c>
      <c r="T977" s="6">
        <f>1</f>
        <v>1</v>
      </c>
      <c r="U977" s="5" t="s">
        <v>245</v>
      </c>
      <c r="V977" s="4" t="s">
        <v>270</v>
      </c>
      <c r="W977" s="4" t="s">
        <v>271</v>
      </c>
      <c r="X977" s="4" t="s">
        <v>273</v>
      </c>
      <c r="Y977" s="4" t="s">
        <v>241</v>
      </c>
      <c r="AB977" s="4" t="s">
        <v>241</v>
      </c>
      <c r="AD977" s="5" t="s">
        <v>241</v>
      </c>
      <c r="AG977" s="5" t="s">
        <v>246</v>
      </c>
      <c r="AH977" s="4" t="s">
        <v>241</v>
      </c>
      <c r="AI977" s="4" t="s">
        <v>247</v>
      </c>
      <c r="AJ977" s="4" t="s">
        <v>248</v>
      </c>
      <c r="AZ977" s="4" t="s">
        <v>249</v>
      </c>
      <c r="BA977" s="4" t="s">
        <v>241</v>
      </c>
      <c r="BB977" s="4" t="s">
        <v>250</v>
      </c>
      <c r="BC977" s="4" t="s">
        <v>241</v>
      </c>
      <c r="BD977" s="4" t="s">
        <v>252</v>
      </c>
      <c r="BE977" s="4" t="s">
        <v>241</v>
      </c>
      <c r="BI977" s="4" t="s">
        <v>253</v>
      </c>
      <c r="BJ977" s="5" t="s">
        <v>246</v>
      </c>
      <c r="BK977" s="4" t="s">
        <v>254</v>
      </c>
      <c r="BL977" s="4" t="s">
        <v>255</v>
      </c>
      <c r="BM977" s="4" t="s">
        <v>241</v>
      </c>
      <c r="BN977" s="6">
        <f>0</f>
        <v>0</v>
      </c>
      <c r="BO977" s="6">
        <f>0</f>
        <v>0</v>
      </c>
      <c r="BP977" s="4" t="s">
        <v>256</v>
      </c>
      <c r="BQ977" s="4" t="s">
        <v>257</v>
      </c>
      <c r="CE977" s="4" t="s">
        <v>241</v>
      </c>
      <c r="CF977" s="4" t="s">
        <v>241</v>
      </c>
      <c r="CJ977" s="4" t="s">
        <v>276</v>
      </c>
      <c r="CK977" s="4" t="s">
        <v>259</v>
      </c>
      <c r="CL977" s="4" t="s">
        <v>241</v>
      </c>
      <c r="CO977" s="5" t="s">
        <v>260</v>
      </c>
      <c r="CP977" s="4" t="s">
        <v>241</v>
      </c>
      <c r="CQ977" s="4" t="s">
        <v>261</v>
      </c>
      <c r="CR977" s="4" t="s">
        <v>241</v>
      </c>
      <c r="CS977" s="4" t="s">
        <v>241</v>
      </c>
      <c r="CT977" s="4">
        <v>0</v>
      </c>
      <c r="CU977" s="4" t="s">
        <v>262</v>
      </c>
      <c r="CV977" s="4" t="s">
        <v>263</v>
      </c>
      <c r="CW977" s="4" t="s">
        <v>263</v>
      </c>
      <c r="CX977" s="4" t="s">
        <v>264</v>
      </c>
      <c r="DA977" s="6">
        <f>1</f>
        <v>1</v>
      </c>
      <c r="DC977" s="4" t="s">
        <v>277</v>
      </c>
      <c r="DD977" s="4" t="s">
        <v>241</v>
      </c>
      <c r="DF977" s="4" t="s">
        <v>277</v>
      </c>
      <c r="DG977" s="6">
        <f>92</f>
        <v>92</v>
      </c>
      <c r="DI977" s="4" t="s">
        <v>241</v>
      </c>
      <c r="DJ977" s="4" t="s">
        <v>241</v>
      </c>
      <c r="DK977" s="4" t="s">
        <v>241</v>
      </c>
      <c r="DL977" s="4" t="s">
        <v>241</v>
      </c>
      <c r="DP977" s="4" t="s">
        <v>241</v>
      </c>
      <c r="DQ977" s="4" t="s">
        <v>241</v>
      </c>
      <c r="DR977" s="4" t="s">
        <v>241</v>
      </c>
      <c r="DS977" s="4" t="s">
        <v>241</v>
      </c>
      <c r="DV977" s="4" t="s">
        <v>278</v>
      </c>
      <c r="DW977" s="4" t="s">
        <v>529</v>
      </c>
      <c r="HO977" s="4" t="s">
        <v>267</v>
      </c>
    </row>
    <row r="978" spans="1:223" ht="19.5" customHeight="1" x14ac:dyDescent="0.4">
      <c r="A978" s="4">
        <v>1</v>
      </c>
      <c r="B978" s="4" t="s">
        <v>239</v>
      </c>
      <c r="C978" s="4">
        <v>2652</v>
      </c>
      <c r="D978" s="4">
        <v>1</v>
      </c>
      <c r="E978" s="4">
        <v>1</v>
      </c>
      <c r="F978" s="4" t="s">
        <v>268</v>
      </c>
      <c r="G978" s="4" t="s">
        <v>241</v>
      </c>
      <c r="H978" s="4" t="s">
        <v>241</v>
      </c>
      <c r="I978" s="4" t="s">
        <v>272</v>
      </c>
      <c r="J978" s="4" t="s">
        <v>274</v>
      </c>
      <c r="K978" s="4" t="s">
        <v>251</v>
      </c>
      <c r="L978" s="4" t="s">
        <v>269</v>
      </c>
      <c r="M978" s="5" t="s">
        <v>1407</v>
      </c>
      <c r="N978" s="6">
        <f>135</f>
        <v>135</v>
      </c>
      <c r="O978" s="4" t="s">
        <v>265</v>
      </c>
      <c r="P978" s="6">
        <f>1</f>
        <v>1</v>
      </c>
      <c r="Q978" s="6">
        <f>0</f>
        <v>0</v>
      </c>
      <c r="S978" s="6">
        <f>0</f>
        <v>0</v>
      </c>
      <c r="T978" s="6">
        <f>1</f>
        <v>1</v>
      </c>
      <c r="U978" s="5" t="s">
        <v>245</v>
      </c>
      <c r="V978" s="4" t="s">
        <v>270</v>
      </c>
      <c r="W978" s="4" t="s">
        <v>271</v>
      </c>
      <c r="X978" s="4" t="s">
        <v>273</v>
      </c>
      <c r="Y978" s="4" t="s">
        <v>241</v>
      </c>
      <c r="AB978" s="4" t="s">
        <v>241</v>
      </c>
      <c r="AD978" s="5" t="s">
        <v>241</v>
      </c>
      <c r="AG978" s="5" t="s">
        <v>246</v>
      </c>
      <c r="AH978" s="4" t="s">
        <v>241</v>
      </c>
      <c r="AI978" s="4" t="s">
        <v>247</v>
      </c>
      <c r="AJ978" s="4" t="s">
        <v>248</v>
      </c>
      <c r="AZ978" s="4" t="s">
        <v>249</v>
      </c>
      <c r="BA978" s="4" t="s">
        <v>241</v>
      </c>
      <c r="BB978" s="4" t="s">
        <v>250</v>
      </c>
      <c r="BC978" s="4" t="s">
        <v>241</v>
      </c>
      <c r="BD978" s="4" t="s">
        <v>252</v>
      </c>
      <c r="BE978" s="4" t="s">
        <v>241</v>
      </c>
      <c r="BI978" s="4" t="s">
        <v>253</v>
      </c>
      <c r="BJ978" s="5" t="s">
        <v>246</v>
      </c>
      <c r="BK978" s="4" t="s">
        <v>254</v>
      </c>
      <c r="BL978" s="4" t="s">
        <v>255</v>
      </c>
      <c r="BM978" s="4" t="s">
        <v>241</v>
      </c>
      <c r="BN978" s="6">
        <f>0</f>
        <v>0</v>
      </c>
      <c r="BO978" s="6">
        <f>0</f>
        <v>0</v>
      </c>
      <c r="BP978" s="4" t="s">
        <v>256</v>
      </c>
      <c r="BQ978" s="4" t="s">
        <v>257</v>
      </c>
      <c r="CE978" s="4" t="s">
        <v>241</v>
      </c>
      <c r="CF978" s="4" t="s">
        <v>241</v>
      </c>
      <c r="CJ978" s="4" t="s">
        <v>276</v>
      </c>
      <c r="CK978" s="4" t="s">
        <v>259</v>
      </c>
      <c r="CL978" s="4" t="s">
        <v>241</v>
      </c>
      <c r="CO978" s="5" t="s">
        <v>260</v>
      </c>
      <c r="CP978" s="4" t="s">
        <v>241</v>
      </c>
      <c r="CQ978" s="4" t="s">
        <v>261</v>
      </c>
      <c r="CR978" s="4" t="s">
        <v>241</v>
      </c>
      <c r="CS978" s="4" t="s">
        <v>241</v>
      </c>
      <c r="CT978" s="4">
        <v>0</v>
      </c>
      <c r="CU978" s="4" t="s">
        <v>262</v>
      </c>
      <c r="CV978" s="4" t="s">
        <v>263</v>
      </c>
      <c r="CW978" s="4" t="s">
        <v>263</v>
      </c>
      <c r="CX978" s="4" t="s">
        <v>264</v>
      </c>
      <c r="DA978" s="6">
        <f>1</f>
        <v>1</v>
      </c>
      <c r="DC978" s="4" t="s">
        <v>277</v>
      </c>
      <c r="DD978" s="4" t="s">
        <v>241</v>
      </c>
      <c r="DF978" s="4" t="s">
        <v>277</v>
      </c>
      <c r="DG978" s="6">
        <f>135</f>
        <v>135</v>
      </c>
      <c r="DI978" s="4" t="s">
        <v>241</v>
      </c>
      <c r="DJ978" s="4" t="s">
        <v>241</v>
      </c>
      <c r="DK978" s="4" t="s">
        <v>241</v>
      </c>
      <c r="DL978" s="4" t="s">
        <v>241</v>
      </c>
      <c r="DP978" s="4" t="s">
        <v>241</v>
      </c>
      <c r="DQ978" s="4" t="s">
        <v>241</v>
      </c>
      <c r="DR978" s="4" t="s">
        <v>241</v>
      </c>
      <c r="DS978" s="4" t="s">
        <v>241</v>
      </c>
      <c r="DV978" s="4" t="s">
        <v>278</v>
      </c>
      <c r="DW978" s="4" t="s">
        <v>535</v>
      </c>
      <c r="HO978" s="4" t="s">
        <v>267</v>
      </c>
    </row>
    <row r="979" spans="1:223" ht="19.5" customHeight="1" x14ac:dyDescent="0.4">
      <c r="A979" s="4">
        <v>1</v>
      </c>
      <c r="B979" s="4" t="s">
        <v>239</v>
      </c>
      <c r="C979" s="4">
        <v>2653</v>
      </c>
      <c r="D979" s="4">
        <v>1</v>
      </c>
      <c r="E979" s="4">
        <v>1</v>
      </c>
      <c r="F979" s="4" t="s">
        <v>268</v>
      </c>
      <c r="G979" s="4" t="s">
        <v>241</v>
      </c>
      <c r="H979" s="4" t="s">
        <v>241</v>
      </c>
      <c r="I979" s="4" t="s">
        <v>272</v>
      </c>
      <c r="J979" s="4" t="s">
        <v>274</v>
      </c>
      <c r="K979" s="4" t="s">
        <v>251</v>
      </c>
      <c r="L979" s="4" t="s">
        <v>269</v>
      </c>
      <c r="M979" s="5" t="s">
        <v>1402</v>
      </c>
      <c r="N979" s="6">
        <f>727</f>
        <v>727</v>
      </c>
      <c r="O979" s="4" t="s">
        <v>265</v>
      </c>
      <c r="P979" s="6">
        <f>1</f>
        <v>1</v>
      </c>
      <c r="Q979" s="6">
        <f>0</f>
        <v>0</v>
      </c>
      <c r="S979" s="6">
        <f>0</f>
        <v>0</v>
      </c>
      <c r="T979" s="6">
        <f>1</f>
        <v>1</v>
      </c>
      <c r="U979" s="5" t="s">
        <v>245</v>
      </c>
      <c r="V979" s="4" t="s">
        <v>270</v>
      </c>
      <c r="W979" s="4" t="s">
        <v>271</v>
      </c>
      <c r="X979" s="4" t="s">
        <v>273</v>
      </c>
      <c r="Y979" s="4" t="s">
        <v>241</v>
      </c>
      <c r="AB979" s="4" t="s">
        <v>241</v>
      </c>
      <c r="AD979" s="5" t="s">
        <v>241</v>
      </c>
      <c r="AG979" s="5" t="s">
        <v>246</v>
      </c>
      <c r="AH979" s="4" t="s">
        <v>241</v>
      </c>
      <c r="AI979" s="4" t="s">
        <v>247</v>
      </c>
      <c r="AJ979" s="4" t="s">
        <v>248</v>
      </c>
      <c r="AZ979" s="4" t="s">
        <v>249</v>
      </c>
      <c r="BA979" s="4" t="s">
        <v>241</v>
      </c>
      <c r="BB979" s="4" t="s">
        <v>250</v>
      </c>
      <c r="BC979" s="4" t="s">
        <v>241</v>
      </c>
      <c r="BD979" s="4" t="s">
        <v>252</v>
      </c>
      <c r="BE979" s="4" t="s">
        <v>241</v>
      </c>
      <c r="BI979" s="4" t="s">
        <v>253</v>
      </c>
      <c r="BJ979" s="5" t="s">
        <v>246</v>
      </c>
      <c r="BK979" s="4" t="s">
        <v>254</v>
      </c>
      <c r="BL979" s="4" t="s">
        <v>255</v>
      </c>
      <c r="BM979" s="4" t="s">
        <v>241</v>
      </c>
      <c r="BN979" s="6">
        <f>0</f>
        <v>0</v>
      </c>
      <c r="BO979" s="6">
        <f>0</f>
        <v>0</v>
      </c>
      <c r="BP979" s="4" t="s">
        <v>256</v>
      </c>
      <c r="BQ979" s="4" t="s">
        <v>257</v>
      </c>
      <c r="CE979" s="4" t="s">
        <v>241</v>
      </c>
      <c r="CF979" s="4" t="s">
        <v>241</v>
      </c>
      <c r="CJ979" s="4" t="s">
        <v>276</v>
      </c>
      <c r="CK979" s="4" t="s">
        <v>259</v>
      </c>
      <c r="CL979" s="4" t="s">
        <v>241</v>
      </c>
      <c r="CO979" s="5" t="s">
        <v>260</v>
      </c>
      <c r="CP979" s="4" t="s">
        <v>241</v>
      </c>
      <c r="CQ979" s="4" t="s">
        <v>261</v>
      </c>
      <c r="CR979" s="4" t="s">
        <v>241</v>
      </c>
      <c r="CS979" s="4" t="s">
        <v>241</v>
      </c>
      <c r="CT979" s="4">
        <v>0</v>
      </c>
      <c r="CU979" s="4" t="s">
        <v>262</v>
      </c>
      <c r="CV979" s="4" t="s">
        <v>263</v>
      </c>
      <c r="CW979" s="4" t="s">
        <v>263</v>
      </c>
      <c r="CX979" s="4" t="s">
        <v>264</v>
      </c>
      <c r="DA979" s="6">
        <f>1</f>
        <v>1</v>
      </c>
      <c r="DC979" s="4" t="s">
        <v>277</v>
      </c>
      <c r="DD979" s="4" t="s">
        <v>241</v>
      </c>
      <c r="DF979" s="4" t="s">
        <v>277</v>
      </c>
      <c r="DG979" s="6">
        <f>727</f>
        <v>727</v>
      </c>
      <c r="DI979" s="4" t="s">
        <v>241</v>
      </c>
      <c r="DJ979" s="4" t="s">
        <v>241</v>
      </c>
      <c r="DK979" s="4" t="s">
        <v>241</v>
      </c>
      <c r="DL979" s="4" t="s">
        <v>241</v>
      </c>
      <c r="DP979" s="4" t="s">
        <v>241</v>
      </c>
      <c r="DQ979" s="4" t="s">
        <v>241</v>
      </c>
      <c r="DR979" s="4" t="s">
        <v>241</v>
      </c>
      <c r="DS979" s="4" t="s">
        <v>241</v>
      </c>
      <c r="DV979" s="4" t="s">
        <v>278</v>
      </c>
      <c r="DW979" s="4" t="s">
        <v>537</v>
      </c>
      <c r="HO979" s="4" t="s">
        <v>267</v>
      </c>
    </row>
    <row r="980" spans="1:223" ht="19.5" customHeight="1" x14ac:dyDescent="0.4">
      <c r="A980" s="4">
        <v>1</v>
      </c>
      <c r="B980" s="4" t="s">
        <v>239</v>
      </c>
      <c r="C980" s="4">
        <v>2654</v>
      </c>
      <c r="D980" s="4">
        <v>1</v>
      </c>
      <c r="E980" s="4">
        <v>1</v>
      </c>
      <c r="F980" s="4" t="s">
        <v>268</v>
      </c>
      <c r="G980" s="4" t="s">
        <v>241</v>
      </c>
      <c r="H980" s="4" t="s">
        <v>241</v>
      </c>
      <c r="I980" s="4" t="s">
        <v>272</v>
      </c>
      <c r="J980" s="4" t="s">
        <v>274</v>
      </c>
      <c r="K980" s="4" t="s">
        <v>251</v>
      </c>
      <c r="L980" s="4" t="s">
        <v>269</v>
      </c>
      <c r="M980" s="5" t="s">
        <v>1397</v>
      </c>
      <c r="N980" s="6">
        <f>579</f>
        <v>579</v>
      </c>
      <c r="O980" s="4" t="s">
        <v>265</v>
      </c>
      <c r="P980" s="6">
        <f>1</f>
        <v>1</v>
      </c>
      <c r="Q980" s="6">
        <f>0</f>
        <v>0</v>
      </c>
      <c r="S980" s="6">
        <f>0</f>
        <v>0</v>
      </c>
      <c r="T980" s="6">
        <f>1</f>
        <v>1</v>
      </c>
      <c r="U980" s="5" t="s">
        <v>245</v>
      </c>
      <c r="V980" s="4" t="s">
        <v>270</v>
      </c>
      <c r="W980" s="4" t="s">
        <v>271</v>
      </c>
      <c r="X980" s="4" t="s">
        <v>273</v>
      </c>
      <c r="Y980" s="4" t="s">
        <v>241</v>
      </c>
      <c r="AB980" s="4" t="s">
        <v>241</v>
      </c>
      <c r="AD980" s="5" t="s">
        <v>241</v>
      </c>
      <c r="AG980" s="5" t="s">
        <v>246</v>
      </c>
      <c r="AH980" s="4" t="s">
        <v>241</v>
      </c>
      <c r="AI980" s="4" t="s">
        <v>247</v>
      </c>
      <c r="AJ980" s="4" t="s">
        <v>248</v>
      </c>
      <c r="AZ980" s="4" t="s">
        <v>249</v>
      </c>
      <c r="BA980" s="4" t="s">
        <v>241</v>
      </c>
      <c r="BB980" s="4" t="s">
        <v>250</v>
      </c>
      <c r="BC980" s="4" t="s">
        <v>241</v>
      </c>
      <c r="BD980" s="4" t="s">
        <v>252</v>
      </c>
      <c r="BE980" s="4" t="s">
        <v>241</v>
      </c>
      <c r="BI980" s="4" t="s">
        <v>253</v>
      </c>
      <c r="BJ980" s="5" t="s">
        <v>246</v>
      </c>
      <c r="BK980" s="4" t="s">
        <v>254</v>
      </c>
      <c r="BL980" s="4" t="s">
        <v>255</v>
      </c>
      <c r="BM980" s="4" t="s">
        <v>241</v>
      </c>
      <c r="BN980" s="6">
        <f>0</f>
        <v>0</v>
      </c>
      <c r="BO980" s="6">
        <f>0</f>
        <v>0</v>
      </c>
      <c r="BP980" s="4" t="s">
        <v>256</v>
      </c>
      <c r="BQ980" s="4" t="s">
        <v>257</v>
      </c>
      <c r="CE980" s="4" t="s">
        <v>241</v>
      </c>
      <c r="CF980" s="4" t="s">
        <v>241</v>
      </c>
      <c r="CJ980" s="4" t="s">
        <v>276</v>
      </c>
      <c r="CK980" s="4" t="s">
        <v>259</v>
      </c>
      <c r="CL980" s="4" t="s">
        <v>241</v>
      </c>
      <c r="CO980" s="5" t="s">
        <v>260</v>
      </c>
      <c r="CP980" s="4" t="s">
        <v>241</v>
      </c>
      <c r="CQ980" s="4" t="s">
        <v>261</v>
      </c>
      <c r="CR980" s="4" t="s">
        <v>241</v>
      </c>
      <c r="CS980" s="4" t="s">
        <v>241</v>
      </c>
      <c r="CT980" s="4">
        <v>0</v>
      </c>
      <c r="CU980" s="4" t="s">
        <v>262</v>
      </c>
      <c r="CV980" s="4" t="s">
        <v>263</v>
      </c>
      <c r="CW980" s="4" t="s">
        <v>263</v>
      </c>
      <c r="CX980" s="4" t="s">
        <v>264</v>
      </c>
      <c r="DA980" s="6">
        <f>1</f>
        <v>1</v>
      </c>
      <c r="DC980" s="4" t="s">
        <v>277</v>
      </c>
      <c r="DD980" s="4" t="s">
        <v>241</v>
      </c>
      <c r="DF980" s="4" t="s">
        <v>277</v>
      </c>
      <c r="DG980" s="6">
        <f>579</f>
        <v>579</v>
      </c>
      <c r="DI980" s="4" t="s">
        <v>241</v>
      </c>
      <c r="DJ980" s="4" t="s">
        <v>241</v>
      </c>
      <c r="DK980" s="4" t="s">
        <v>241</v>
      </c>
      <c r="DL980" s="4" t="s">
        <v>241</v>
      </c>
      <c r="DP980" s="4" t="s">
        <v>241</v>
      </c>
      <c r="DQ980" s="4" t="s">
        <v>241</v>
      </c>
      <c r="DR980" s="4" t="s">
        <v>241</v>
      </c>
      <c r="DS980" s="4" t="s">
        <v>241</v>
      </c>
      <c r="DV980" s="4" t="s">
        <v>278</v>
      </c>
      <c r="DW980" s="4" t="s">
        <v>549</v>
      </c>
      <c r="HO980" s="4" t="s">
        <v>267</v>
      </c>
    </row>
    <row r="981" spans="1:223" ht="19.5" customHeight="1" x14ac:dyDescent="0.4">
      <c r="A981" s="4">
        <v>1</v>
      </c>
      <c r="B981" s="4" t="s">
        <v>239</v>
      </c>
      <c r="C981" s="4">
        <v>2655</v>
      </c>
      <c r="D981" s="4">
        <v>1</v>
      </c>
      <c r="E981" s="4">
        <v>1</v>
      </c>
      <c r="F981" s="4" t="s">
        <v>268</v>
      </c>
      <c r="G981" s="4" t="s">
        <v>241</v>
      </c>
      <c r="H981" s="4" t="s">
        <v>241</v>
      </c>
      <c r="I981" s="4" t="s">
        <v>272</v>
      </c>
      <c r="J981" s="4" t="s">
        <v>274</v>
      </c>
      <c r="K981" s="4" t="s">
        <v>251</v>
      </c>
      <c r="L981" s="4" t="s">
        <v>269</v>
      </c>
      <c r="M981" s="5" t="s">
        <v>1394</v>
      </c>
      <c r="N981" s="6">
        <f>66</f>
        <v>66</v>
      </c>
      <c r="O981" s="4" t="s">
        <v>265</v>
      </c>
      <c r="P981" s="6">
        <f>1</f>
        <v>1</v>
      </c>
      <c r="Q981" s="6">
        <f>0</f>
        <v>0</v>
      </c>
      <c r="S981" s="6">
        <f>0</f>
        <v>0</v>
      </c>
      <c r="T981" s="6">
        <f>1</f>
        <v>1</v>
      </c>
      <c r="U981" s="5" t="s">
        <v>245</v>
      </c>
      <c r="V981" s="4" t="s">
        <v>270</v>
      </c>
      <c r="W981" s="4" t="s">
        <v>271</v>
      </c>
      <c r="X981" s="4" t="s">
        <v>273</v>
      </c>
      <c r="Y981" s="4" t="s">
        <v>241</v>
      </c>
      <c r="AB981" s="4" t="s">
        <v>241</v>
      </c>
      <c r="AD981" s="5" t="s">
        <v>241</v>
      </c>
      <c r="AG981" s="5" t="s">
        <v>246</v>
      </c>
      <c r="AH981" s="4" t="s">
        <v>241</v>
      </c>
      <c r="AI981" s="4" t="s">
        <v>247</v>
      </c>
      <c r="AJ981" s="4" t="s">
        <v>248</v>
      </c>
      <c r="AZ981" s="4" t="s">
        <v>249</v>
      </c>
      <c r="BA981" s="4" t="s">
        <v>241</v>
      </c>
      <c r="BB981" s="4" t="s">
        <v>250</v>
      </c>
      <c r="BC981" s="4" t="s">
        <v>241</v>
      </c>
      <c r="BD981" s="4" t="s">
        <v>252</v>
      </c>
      <c r="BE981" s="4" t="s">
        <v>241</v>
      </c>
      <c r="BI981" s="4" t="s">
        <v>253</v>
      </c>
      <c r="BJ981" s="5" t="s">
        <v>246</v>
      </c>
      <c r="BK981" s="4" t="s">
        <v>254</v>
      </c>
      <c r="BL981" s="4" t="s">
        <v>255</v>
      </c>
      <c r="BM981" s="4" t="s">
        <v>241</v>
      </c>
      <c r="BN981" s="6">
        <f>0</f>
        <v>0</v>
      </c>
      <c r="BO981" s="6">
        <f>0</f>
        <v>0</v>
      </c>
      <c r="BP981" s="4" t="s">
        <v>256</v>
      </c>
      <c r="BQ981" s="4" t="s">
        <v>257</v>
      </c>
      <c r="CE981" s="4" t="s">
        <v>241</v>
      </c>
      <c r="CF981" s="4" t="s">
        <v>241</v>
      </c>
      <c r="CJ981" s="4" t="s">
        <v>276</v>
      </c>
      <c r="CK981" s="4" t="s">
        <v>259</v>
      </c>
      <c r="CL981" s="4" t="s">
        <v>241</v>
      </c>
      <c r="CO981" s="5" t="s">
        <v>260</v>
      </c>
      <c r="CP981" s="4" t="s">
        <v>241</v>
      </c>
      <c r="CQ981" s="4" t="s">
        <v>261</v>
      </c>
      <c r="CR981" s="4" t="s">
        <v>241</v>
      </c>
      <c r="CS981" s="4" t="s">
        <v>241</v>
      </c>
      <c r="CT981" s="4">
        <v>0</v>
      </c>
      <c r="CU981" s="4" t="s">
        <v>262</v>
      </c>
      <c r="CV981" s="4" t="s">
        <v>263</v>
      </c>
      <c r="CW981" s="4" t="s">
        <v>263</v>
      </c>
      <c r="CX981" s="4" t="s">
        <v>264</v>
      </c>
      <c r="DA981" s="6">
        <f>1</f>
        <v>1</v>
      </c>
      <c r="DC981" s="4" t="s">
        <v>277</v>
      </c>
      <c r="DD981" s="4" t="s">
        <v>241</v>
      </c>
      <c r="DF981" s="4" t="s">
        <v>277</v>
      </c>
      <c r="DG981" s="6">
        <f>66</f>
        <v>66</v>
      </c>
      <c r="DI981" s="4" t="s">
        <v>241</v>
      </c>
      <c r="DJ981" s="4" t="s">
        <v>241</v>
      </c>
      <c r="DK981" s="4" t="s">
        <v>241</v>
      </c>
      <c r="DL981" s="4" t="s">
        <v>241</v>
      </c>
      <c r="DP981" s="4" t="s">
        <v>241</v>
      </c>
      <c r="DQ981" s="4" t="s">
        <v>241</v>
      </c>
      <c r="DR981" s="4" t="s">
        <v>241</v>
      </c>
      <c r="DS981" s="4" t="s">
        <v>241</v>
      </c>
      <c r="DV981" s="4" t="s">
        <v>278</v>
      </c>
      <c r="DW981" s="4" t="s">
        <v>551</v>
      </c>
      <c r="HO981" s="4" t="s">
        <v>267</v>
      </c>
    </row>
    <row r="982" spans="1:223" ht="19.5" customHeight="1" x14ac:dyDescent="0.4">
      <c r="A982" s="4">
        <v>1</v>
      </c>
      <c r="B982" s="4" t="s">
        <v>239</v>
      </c>
      <c r="C982" s="4">
        <v>2656</v>
      </c>
      <c r="D982" s="4">
        <v>1</v>
      </c>
      <c r="E982" s="4">
        <v>1</v>
      </c>
      <c r="F982" s="4" t="s">
        <v>268</v>
      </c>
      <c r="G982" s="4" t="s">
        <v>241</v>
      </c>
      <c r="H982" s="4" t="s">
        <v>241</v>
      </c>
      <c r="I982" s="4" t="s">
        <v>272</v>
      </c>
      <c r="J982" s="4" t="s">
        <v>274</v>
      </c>
      <c r="K982" s="4" t="s">
        <v>251</v>
      </c>
      <c r="L982" s="4" t="s">
        <v>269</v>
      </c>
      <c r="M982" s="5" t="s">
        <v>1386</v>
      </c>
      <c r="N982" s="6">
        <f>118</f>
        <v>118</v>
      </c>
      <c r="O982" s="4" t="s">
        <v>265</v>
      </c>
      <c r="P982" s="6">
        <f>1</f>
        <v>1</v>
      </c>
      <c r="Q982" s="6">
        <f>0</f>
        <v>0</v>
      </c>
      <c r="S982" s="6">
        <f>0</f>
        <v>0</v>
      </c>
      <c r="T982" s="6">
        <f>1</f>
        <v>1</v>
      </c>
      <c r="U982" s="5" t="s">
        <v>245</v>
      </c>
      <c r="V982" s="4" t="s">
        <v>270</v>
      </c>
      <c r="W982" s="4" t="s">
        <v>271</v>
      </c>
      <c r="X982" s="4" t="s">
        <v>273</v>
      </c>
      <c r="Y982" s="4" t="s">
        <v>241</v>
      </c>
      <c r="AB982" s="4" t="s">
        <v>241</v>
      </c>
      <c r="AD982" s="5" t="s">
        <v>241</v>
      </c>
      <c r="AG982" s="5" t="s">
        <v>246</v>
      </c>
      <c r="AH982" s="4" t="s">
        <v>241</v>
      </c>
      <c r="AI982" s="4" t="s">
        <v>247</v>
      </c>
      <c r="AJ982" s="4" t="s">
        <v>248</v>
      </c>
      <c r="AZ982" s="4" t="s">
        <v>249</v>
      </c>
      <c r="BA982" s="4" t="s">
        <v>241</v>
      </c>
      <c r="BB982" s="4" t="s">
        <v>250</v>
      </c>
      <c r="BC982" s="4" t="s">
        <v>241</v>
      </c>
      <c r="BD982" s="4" t="s">
        <v>252</v>
      </c>
      <c r="BE982" s="4" t="s">
        <v>241</v>
      </c>
      <c r="BI982" s="4" t="s">
        <v>253</v>
      </c>
      <c r="BJ982" s="5" t="s">
        <v>246</v>
      </c>
      <c r="BK982" s="4" t="s">
        <v>254</v>
      </c>
      <c r="BL982" s="4" t="s">
        <v>255</v>
      </c>
      <c r="BM982" s="4" t="s">
        <v>241</v>
      </c>
      <c r="BN982" s="6">
        <f>0</f>
        <v>0</v>
      </c>
      <c r="BO982" s="6">
        <f>0</f>
        <v>0</v>
      </c>
      <c r="BP982" s="4" t="s">
        <v>256</v>
      </c>
      <c r="BQ982" s="4" t="s">
        <v>257</v>
      </c>
      <c r="CE982" s="4" t="s">
        <v>241</v>
      </c>
      <c r="CF982" s="4" t="s">
        <v>241</v>
      </c>
      <c r="CJ982" s="4" t="s">
        <v>276</v>
      </c>
      <c r="CK982" s="4" t="s">
        <v>259</v>
      </c>
      <c r="CL982" s="4" t="s">
        <v>241</v>
      </c>
      <c r="CO982" s="5" t="s">
        <v>260</v>
      </c>
      <c r="CP982" s="4" t="s">
        <v>241</v>
      </c>
      <c r="CQ982" s="4" t="s">
        <v>261</v>
      </c>
      <c r="CR982" s="4" t="s">
        <v>241</v>
      </c>
      <c r="CS982" s="4" t="s">
        <v>241</v>
      </c>
      <c r="CT982" s="4">
        <v>0</v>
      </c>
      <c r="CU982" s="4" t="s">
        <v>262</v>
      </c>
      <c r="CV982" s="4" t="s">
        <v>263</v>
      </c>
      <c r="CW982" s="4" t="s">
        <v>263</v>
      </c>
      <c r="CX982" s="4" t="s">
        <v>264</v>
      </c>
      <c r="DA982" s="6">
        <f>1</f>
        <v>1</v>
      </c>
      <c r="DC982" s="4" t="s">
        <v>277</v>
      </c>
      <c r="DD982" s="4" t="s">
        <v>241</v>
      </c>
      <c r="DF982" s="4" t="s">
        <v>277</v>
      </c>
      <c r="DG982" s="6">
        <f>118</f>
        <v>118</v>
      </c>
      <c r="DI982" s="4" t="s">
        <v>241</v>
      </c>
      <c r="DJ982" s="4" t="s">
        <v>241</v>
      </c>
      <c r="DK982" s="4" t="s">
        <v>241</v>
      </c>
      <c r="DL982" s="4" t="s">
        <v>241</v>
      </c>
      <c r="DP982" s="4" t="s">
        <v>241</v>
      </c>
      <c r="DQ982" s="4" t="s">
        <v>241</v>
      </c>
      <c r="DR982" s="4" t="s">
        <v>241</v>
      </c>
      <c r="DS982" s="4" t="s">
        <v>241</v>
      </c>
      <c r="DV982" s="4" t="s">
        <v>278</v>
      </c>
      <c r="DW982" s="4" t="s">
        <v>555</v>
      </c>
      <c r="HO982" s="4" t="s">
        <v>267</v>
      </c>
    </row>
    <row r="983" spans="1:223" ht="19.5" customHeight="1" x14ac:dyDescent="0.4">
      <c r="A983" s="4">
        <v>1</v>
      </c>
      <c r="B983" s="4" t="s">
        <v>239</v>
      </c>
      <c r="C983" s="4">
        <v>2657</v>
      </c>
      <c r="D983" s="4">
        <v>1</v>
      </c>
      <c r="E983" s="4">
        <v>1</v>
      </c>
      <c r="F983" s="4" t="s">
        <v>268</v>
      </c>
      <c r="G983" s="4" t="s">
        <v>241</v>
      </c>
      <c r="H983" s="4" t="s">
        <v>241</v>
      </c>
      <c r="I983" s="4" t="s">
        <v>272</v>
      </c>
      <c r="J983" s="4" t="s">
        <v>274</v>
      </c>
      <c r="K983" s="4" t="s">
        <v>251</v>
      </c>
      <c r="L983" s="4" t="s">
        <v>269</v>
      </c>
      <c r="M983" s="5" t="s">
        <v>1382</v>
      </c>
      <c r="N983" s="6">
        <f>12031</f>
        <v>12031</v>
      </c>
      <c r="O983" s="4" t="s">
        <v>265</v>
      </c>
      <c r="P983" s="6">
        <f>1</f>
        <v>1</v>
      </c>
      <c r="Q983" s="6">
        <f>0</f>
        <v>0</v>
      </c>
      <c r="S983" s="6">
        <f>0</f>
        <v>0</v>
      </c>
      <c r="T983" s="6">
        <f>1</f>
        <v>1</v>
      </c>
      <c r="U983" s="5" t="s">
        <v>245</v>
      </c>
      <c r="V983" s="4" t="s">
        <v>270</v>
      </c>
      <c r="W983" s="4" t="s">
        <v>271</v>
      </c>
      <c r="X983" s="4" t="s">
        <v>273</v>
      </c>
      <c r="Y983" s="4" t="s">
        <v>241</v>
      </c>
      <c r="AB983" s="4" t="s">
        <v>241</v>
      </c>
      <c r="AD983" s="5" t="s">
        <v>241</v>
      </c>
      <c r="AG983" s="5" t="s">
        <v>246</v>
      </c>
      <c r="AH983" s="4" t="s">
        <v>241</v>
      </c>
      <c r="AI983" s="4" t="s">
        <v>247</v>
      </c>
      <c r="AJ983" s="4" t="s">
        <v>248</v>
      </c>
      <c r="AZ983" s="4" t="s">
        <v>249</v>
      </c>
      <c r="BA983" s="4" t="s">
        <v>241</v>
      </c>
      <c r="BB983" s="4" t="s">
        <v>250</v>
      </c>
      <c r="BC983" s="4" t="s">
        <v>241</v>
      </c>
      <c r="BD983" s="4" t="s">
        <v>252</v>
      </c>
      <c r="BE983" s="4" t="s">
        <v>241</v>
      </c>
      <c r="BI983" s="4" t="s">
        <v>253</v>
      </c>
      <c r="BJ983" s="5" t="s">
        <v>246</v>
      </c>
      <c r="BK983" s="4" t="s">
        <v>254</v>
      </c>
      <c r="BL983" s="4" t="s">
        <v>255</v>
      </c>
      <c r="BM983" s="4" t="s">
        <v>241</v>
      </c>
      <c r="BN983" s="6">
        <f>0</f>
        <v>0</v>
      </c>
      <c r="BO983" s="6">
        <f>0</f>
        <v>0</v>
      </c>
      <c r="BP983" s="4" t="s">
        <v>256</v>
      </c>
      <c r="BQ983" s="4" t="s">
        <v>257</v>
      </c>
      <c r="CE983" s="4" t="s">
        <v>241</v>
      </c>
      <c r="CF983" s="4" t="s">
        <v>241</v>
      </c>
      <c r="CJ983" s="4" t="s">
        <v>276</v>
      </c>
      <c r="CK983" s="4" t="s">
        <v>259</v>
      </c>
      <c r="CL983" s="4" t="s">
        <v>241</v>
      </c>
      <c r="CO983" s="5" t="s">
        <v>260</v>
      </c>
      <c r="CP983" s="4" t="s">
        <v>241</v>
      </c>
      <c r="CQ983" s="4" t="s">
        <v>261</v>
      </c>
      <c r="CR983" s="4" t="s">
        <v>241</v>
      </c>
      <c r="CS983" s="4" t="s">
        <v>241</v>
      </c>
      <c r="CT983" s="4">
        <v>0</v>
      </c>
      <c r="CU983" s="4" t="s">
        <v>262</v>
      </c>
      <c r="CV983" s="4" t="s">
        <v>263</v>
      </c>
      <c r="CW983" s="4" t="s">
        <v>263</v>
      </c>
      <c r="CX983" s="4" t="s">
        <v>264</v>
      </c>
      <c r="DA983" s="6">
        <f>1</f>
        <v>1</v>
      </c>
      <c r="DC983" s="4" t="s">
        <v>277</v>
      </c>
      <c r="DD983" s="4" t="s">
        <v>241</v>
      </c>
      <c r="DF983" s="4" t="s">
        <v>277</v>
      </c>
      <c r="DG983" s="6">
        <f>12031</f>
        <v>12031</v>
      </c>
      <c r="DI983" s="4" t="s">
        <v>241</v>
      </c>
      <c r="DJ983" s="4" t="s">
        <v>241</v>
      </c>
      <c r="DK983" s="4" t="s">
        <v>241</v>
      </c>
      <c r="DL983" s="4" t="s">
        <v>241</v>
      </c>
      <c r="DP983" s="4" t="s">
        <v>241</v>
      </c>
      <c r="DQ983" s="4" t="s">
        <v>241</v>
      </c>
      <c r="DR983" s="4" t="s">
        <v>241</v>
      </c>
      <c r="DS983" s="4" t="s">
        <v>241</v>
      </c>
      <c r="DV983" s="4" t="s">
        <v>278</v>
      </c>
      <c r="DW983" s="4" t="s">
        <v>557</v>
      </c>
      <c r="HO983" s="4" t="s">
        <v>267</v>
      </c>
    </row>
    <row r="984" spans="1:223" ht="19.5" customHeight="1" x14ac:dyDescent="0.4">
      <c r="A984" s="4">
        <v>1</v>
      </c>
      <c r="B984" s="4" t="s">
        <v>239</v>
      </c>
      <c r="C984" s="4">
        <v>2658</v>
      </c>
      <c r="D984" s="4">
        <v>1</v>
      </c>
      <c r="E984" s="4">
        <v>1</v>
      </c>
      <c r="F984" s="4" t="s">
        <v>268</v>
      </c>
      <c r="G984" s="4" t="s">
        <v>241</v>
      </c>
      <c r="H984" s="4" t="s">
        <v>241</v>
      </c>
      <c r="I984" s="4" t="s">
        <v>272</v>
      </c>
      <c r="J984" s="4" t="s">
        <v>274</v>
      </c>
      <c r="K984" s="4" t="s">
        <v>251</v>
      </c>
      <c r="L984" s="4" t="s">
        <v>269</v>
      </c>
      <c r="M984" s="5" t="s">
        <v>1374</v>
      </c>
      <c r="N984" s="6">
        <f>8337</f>
        <v>8337</v>
      </c>
      <c r="O984" s="4" t="s">
        <v>265</v>
      </c>
      <c r="P984" s="6">
        <f>1</f>
        <v>1</v>
      </c>
      <c r="Q984" s="6">
        <f>0</f>
        <v>0</v>
      </c>
      <c r="S984" s="6">
        <f>0</f>
        <v>0</v>
      </c>
      <c r="T984" s="6">
        <f>1</f>
        <v>1</v>
      </c>
      <c r="U984" s="5" t="s">
        <v>245</v>
      </c>
      <c r="V984" s="4" t="s">
        <v>270</v>
      </c>
      <c r="W984" s="4" t="s">
        <v>271</v>
      </c>
      <c r="X984" s="4" t="s">
        <v>273</v>
      </c>
      <c r="Y984" s="4" t="s">
        <v>241</v>
      </c>
      <c r="AB984" s="4" t="s">
        <v>241</v>
      </c>
      <c r="AD984" s="5" t="s">
        <v>241</v>
      </c>
      <c r="AG984" s="5" t="s">
        <v>246</v>
      </c>
      <c r="AH984" s="4" t="s">
        <v>241</v>
      </c>
      <c r="AI984" s="4" t="s">
        <v>247</v>
      </c>
      <c r="AJ984" s="4" t="s">
        <v>248</v>
      </c>
      <c r="AZ984" s="4" t="s">
        <v>249</v>
      </c>
      <c r="BA984" s="4" t="s">
        <v>241</v>
      </c>
      <c r="BB984" s="4" t="s">
        <v>250</v>
      </c>
      <c r="BC984" s="4" t="s">
        <v>241</v>
      </c>
      <c r="BD984" s="4" t="s">
        <v>252</v>
      </c>
      <c r="BE984" s="4" t="s">
        <v>241</v>
      </c>
      <c r="BI984" s="4" t="s">
        <v>253</v>
      </c>
      <c r="BJ984" s="5" t="s">
        <v>246</v>
      </c>
      <c r="BK984" s="4" t="s">
        <v>254</v>
      </c>
      <c r="BL984" s="4" t="s">
        <v>255</v>
      </c>
      <c r="BM984" s="4" t="s">
        <v>241</v>
      </c>
      <c r="BN984" s="6">
        <f>0</f>
        <v>0</v>
      </c>
      <c r="BO984" s="6">
        <f>0</f>
        <v>0</v>
      </c>
      <c r="BP984" s="4" t="s">
        <v>256</v>
      </c>
      <c r="BQ984" s="4" t="s">
        <v>257</v>
      </c>
      <c r="CE984" s="4" t="s">
        <v>241</v>
      </c>
      <c r="CF984" s="4" t="s">
        <v>241</v>
      </c>
      <c r="CJ984" s="4" t="s">
        <v>276</v>
      </c>
      <c r="CK984" s="4" t="s">
        <v>259</v>
      </c>
      <c r="CL984" s="4" t="s">
        <v>241</v>
      </c>
      <c r="CO984" s="5" t="s">
        <v>260</v>
      </c>
      <c r="CP984" s="4" t="s">
        <v>241</v>
      </c>
      <c r="CQ984" s="4" t="s">
        <v>261</v>
      </c>
      <c r="CR984" s="4" t="s">
        <v>241</v>
      </c>
      <c r="CS984" s="4" t="s">
        <v>241</v>
      </c>
      <c r="CT984" s="4">
        <v>0</v>
      </c>
      <c r="CU984" s="4" t="s">
        <v>262</v>
      </c>
      <c r="CV984" s="4" t="s">
        <v>263</v>
      </c>
      <c r="CW984" s="4" t="s">
        <v>263</v>
      </c>
      <c r="CX984" s="4" t="s">
        <v>264</v>
      </c>
      <c r="DA984" s="6">
        <f>1</f>
        <v>1</v>
      </c>
      <c r="DC984" s="4" t="s">
        <v>277</v>
      </c>
      <c r="DD984" s="4" t="s">
        <v>241</v>
      </c>
      <c r="DF984" s="4" t="s">
        <v>277</v>
      </c>
      <c r="DG984" s="6">
        <f>8337</f>
        <v>8337</v>
      </c>
      <c r="DI984" s="4" t="s">
        <v>241</v>
      </c>
      <c r="DJ984" s="4" t="s">
        <v>241</v>
      </c>
      <c r="DK984" s="4" t="s">
        <v>241</v>
      </c>
      <c r="DL984" s="4" t="s">
        <v>241</v>
      </c>
      <c r="DP984" s="4" t="s">
        <v>241</v>
      </c>
      <c r="DQ984" s="4" t="s">
        <v>241</v>
      </c>
      <c r="DR984" s="4" t="s">
        <v>241</v>
      </c>
      <c r="DS984" s="4" t="s">
        <v>241</v>
      </c>
      <c r="DV984" s="4" t="s">
        <v>278</v>
      </c>
      <c r="DW984" s="4" t="s">
        <v>563</v>
      </c>
      <c r="HO984" s="4" t="s">
        <v>267</v>
      </c>
    </row>
    <row r="985" spans="1:223" ht="19.5" customHeight="1" x14ac:dyDescent="0.4">
      <c r="A985" s="4">
        <v>1</v>
      </c>
      <c r="B985" s="4" t="s">
        <v>239</v>
      </c>
      <c r="C985" s="4">
        <v>2659</v>
      </c>
      <c r="D985" s="4">
        <v>1</v>
      </c>
      <c r="E985" s="4">
        <v>1</v>
      </c>
      <c r="F985" s="4" t="s">
        <v>268</v>
      </c>
      <c r="G985" s="4" t="s">
        <v>241</v>
      </c>
      <c r="H985" s="4" t="s">
        <v>241</v>
      </c>
      <c r="I985" s="4" t="s">
        <v>272</v>
      </c>
      <c r="J985" s="4" t="s">
        <v>274</v>
      </c>
      <c r="K985" s="4" t="s">
        <v>251</v>
      </c>
      <c r="L985" s="4" t="s">
        <v>269</v>
      </c>
      <c r="M985" s="5" t="s">
        <v>2684</v>
      </c>
      <c r="N985" s="6">
        <f>4226</f>
        <v>4226</v>
      </c>
      <c r="O985" s="4" t="s">
        <v>265</v>
      </c>
      <c r="P985" s="6">
        <f>1</f>
        <v>1</v>
      </c>
      <c r="Q985" s="6">
        <f>0</f>
        <v>0</v>
      </c>
      <c r="S985" s="6">
        <f>0</f>
        <v>0</v>
      </c>
      <c r="T985" s="6">
        <f>1</f>
        <v>1</v>
      </c>
      <c r="U985" s="5" t="s">
        <v>245</v>
      </c>
      <c r="V985" s="4" t="s">
        <v>270</v>
      </c>
      <c r="W985" s="4" t="s">
        <v>271</v>
      </c>
      <c r="X985" s="4" t="s">
        <v>273</v>
      </c>
      <c r="Y985" s="4" t="s">
        <v>241</v>
      </c>
      <c r="AB985" s="4" t="s">
        <v>241</v>
      </c>
      <c r="AD985" s="5" t="s">
        <v>241</v>
      </c>
      <c r="AG985" s="5" t="s">
        <v>246</v>
      </c>
      <c r="AH985" s="4" t="s">
        <v>241</v>
      </c>
      <c r="AI985" s="4" t="s">
        <v>247</v>
      </c>
      <c r="AJ985" s="4" t="s">
        <v>248</v>
      </c>
      <c r="AZ985" s="4" t="s">
        <v>249</v>
      </c>
      <c r="BA985" s="4" t="s">
        <v>241</v>
      </c>
      <c r="BB985" s="4" t="s">
        <v>250</v>
      </c>
      <c r="BC985" s="4" t="s">
        <v>241</v>
      </c>
      <c r="BD985" s="4" t="s">
        <v>252</v>
      </c>
      <c r="BE985" s="4" t="s">
        <v>241</v>
      </c>
      <c r="BI985" s="4" t="s">
        <v>253</v>
      </c>
      <c r="BJ985" s="5" t="s">
        <v>246</v>
      </c>
      <c r="BK985" s="4" t="s">
        <v>254</v>
      </c>
      <c r="BL985" s="4" t="s">
        <v>255</v>
      </c>
      <c r="BM985" s="4" t="s">
        <v>241</v>
      </c>
      <c r="BN985" s="6">
        <f>0</f>
        <v>0</v>
      </c>
      <c r="BO985" s="6">
        <f>0</f>
        <v>0</v>
      </c>
      <c r="BP985" s="4" t="s">
        <v>256</v>
      </c>
      <c r="BQ985" s="4" t="s">
        <v>257</v>
      </c>
      <c r="CE985" s="4" t="s">
        <v>241</v>
      </c>
      <c r="CF985" s="4" t="s">
        <v>241</v>
      </c>
      <c r="CJ985" s="4" t="s">
        <v>276</v>
      </c>
      <c r="CK985" s="4" t="s">
        <v>259</v>
      </c>
      <c r="CL985" s="4" t="s">
        <v>241</v>
      </c>
      <c r="CO985" s="5" t="s">
        <v>260</v>
      </c>
      <c r="CP985" s="4" t="s">
        <v>241</v>
      </c>
      <c r="CQ985" s="4" t="s">
        <v>261</v>
      </c>
      <c r="CR985" s="4" t="s">
        <v>241</v>
      </c>
      <c r="CS985" s="4" t="s">
        <v>241</v>
      </c>
      <c r="CT985" s="4">
        <v>0</v>
      </c>
      <c r="CU985" s="4" t="s">
        <v>262</v>
      </c>
      <c r="CV985" s="4" t="s">
        <v>263</v>
      </c>
      <c r="CW985" s="4" t="s">
        <v>263</v>
      </c>
      <c r="CX985" s="4" t="s">
        <v>264</v>
      </c>
      <c r="DA985" s="6">
        <f>1</f>
        <v>1</v>
      </c>
      <c r="DC985" s="4" t="s">
        <v>277</v>
      </c>
      <c r="DD985" s="4" t="s">
        <v>241</v>
      </c>
      <c r="DF985" s="4" t="s">
        <v>277</v>
      </c>
      <c r="DG985" s="6">
        <f>4226</f>
        <v>4226</v>
      </c>
      <c r="DI985" s="4" t="s">
        <v>241</v>
      </c>
      <c r="DJ985" s="4" t="s">
        <v>241</v>
      </c>
      <c r="DK985" s="4" t="s">
        <v>241</v>
      </c>
      <c r="DL985" s="4" t="s">
        <v>241</v>
      </c>
      <c r="DP985" s="4" t="s">
        <v>241</v>
      </c>
      <c r="DQ985" s="4" t="s">
        <v>241</v>
      </c>
      <c r="DR985" s="4" t="s">
        <v>241</v>
      </c>
      <c r="DS985" s="4" t="s">
        <v>241</v>
      </c>
      <c r="DV985" s="4" t="s">
        <v>278</v>
      </c>
      <c r="DW985" s="4" t="s">
        <v>565</v>
      </c>
      <c r="HO985" s="4" t="s">
        <v>267</v>
      </c>
    </row>
    <row r="986" spans="1:223" ht="19.5" customHeight="1" x14ac:dyDescent="0.4">
      <c r="A986" s="4">
        <v>1</v>
      </c>
      <c r="B986" s="4" t="s">
        <v>239</v>
      </c>
      <c r="C986" s="4">
        <v>2660</v>
      </c>
      <c r="D986" s="4">
        <v>1</v>
      </c>
      <c r="E986" s="4">
        <v>1</v>
      </c>
      <c r="F986" s="4" t="s">
        <v>268</v>
      </c>
      <c r="G986" s="4" t="s">
        <v>241</v>
      </c>
      <c r="H986" s="4" t="s">
        <v>241</v>
      </c>
      <c r="I986" s="4" t="s">
        <v>272</v>
      </c>
      <c r="J986" s="4" t="s">
        <v>274</v>
      </c>
      <c r="K986" s="4" t="s">
        <v>251</v>
      </c>
      <c r="L986" s="4" t="s">
        <v>269</v>
      </c>
      <c r="M986" s="5" t="s">
        <v>1366</v>
      </c>
      <c r="N986" s="6">
        <f>1929</f>
        <v>1929</v>
      </c>
      <c r="O986" s="4" t="s">
        <v>265</v>
      </c>
      <c r="P986" s="6">
        <f>1</f>
        <v>1</v>
      </c>
      <c r="Q986" s="6">
        <f>0</f>
        <v>0</v>
      </c>
      <c r="S986" s="6">
        <f>0</f>
        <v>0</v>
      </c>
      <c r="T986" s="6">
        <f>1</f>
        <v>1</v>
      </c>
      <c r="U986" s="5" t="s">
        <v>245</v>
      </c>
      <c r="V986" s="4" t="s">
        <v>270</v>
      </c>
      <c r="W986" s="4" t="s">
        <v>271</v>
      </c>
      <c r="X986" s="4" t="s">
        <v>273</v>
      </c>
      <c r="Y986" s="4" t="s">
        <v>241</v>
      </c>
      <c r="AB986" s="4" t="s">
        <v>241</v>
      </c>
      <c r="AD986" s="5" t="s">
        <v>241</v>
      </c>
      <c r="AG986" s="5" t="s">
        <v>246</v>
      </c>
      <c r="AH986" s="4" t="s">
        <v>241</v>
      </c>
      <c r="AI986" s="4" t="s">
        <v>247</v>
      </c>
      <c r="AJ986" s="4" t="s">
        <v>248</v>
      </c>
      <c r="AZ986" s="4" t="s">
        <v>249</v>
      </c>
      <c r="BA986" s="4" t="s">
        <v>241</v>
      </c>
      <c r="BB986" s="4" t="s">
        <v>250</v>
      </c>
      <c r="BC986" s="4" t="s">
        <v>241</v>
      </c>
      <c r="BD986" s="4" t="s">
        <v>252</v>
      </c>
      <c r="BE986" s="4" t="s">
        <v>241</v>
      </c>
      <c r="BI986" s="4" t="s">
        <v>253</v>
      </c>
      <c r="BJ986" s="5" t="s">
        <v>246</v>
      </c>
      <c r="BK986" s="4" t="s">
        <v>254</v>
      </c>
      <c r="BL986" s="4" t="s">
        <v>255</v>
      </c>
      <c r="BM986" s="4" t="s">
        <v>241</v>
      </c>
      <c r="BN986" s="6">
        <f>0</f>
        <v>0</v>
      </c>
      <c r="BO986" s="6">
        <f>0</f>
        <v>0</v>
      </c>
      <c r="BP986" s="4" t="s">
        <v>256</v>
      </c>
      <c r="BQ986" s="4" t="s">
        <v>257</v>
      </c>
      <c r="CE986" s="4" t="s">
        <v>241</v>
      </c>
      <c r="CF986" s="4" t="s">
        <v>241</v>
      </c>
      <c r="CJ986" s="4" t="s">
        <v>276</v>
      </c>
      <c r="CK986" s="4" t="s">
        <v>259</v>
      </c>
      <c r="CL986" s="4" t="s">
        <v>241</v>
      </c>
      <c r="CO986" s="5" t="s">
        <v>260</v>
      </c>
      <c r="CP986" s="4" t="s">
        <v>241</v>
      </c>
      <c r="CQ986" s="4" t="s">
        <v>261</v>
      </c>
      <c r="CR986" s="4" t="s">
        <v>241</v>
      </c>
      <c r="CS986" s="4" t="s">
        <v>241</v>
      </c>
      <c r="CT986" s="4">
        <v>0</v>
      </c>
      <c r="CU986" s="4" t="s">
        <v>262</v>
      </c>
      <c r="CV986" s="4" t="s">
        <v>263</v>
      </c>
      <c r="CW986" s="4" t="s">
        <v>263</v>
      </c>
      <c r="CX986" s="4" t="s">
        <v>264</v>
      </c>
      <c r="DA986" s="6">
        <f>1</f>
        <v>1</v>
      </c>
      <c r="DC986" s="4" t="s">
        <v>277</v>
      </c>
      <c r="DD986" s="4" t="s">
        <v>241</v>
      </c>
      <c r="DF986" s="4" t="s">
        <v>277</v>
      </c>
      <c r="DG986" s="6">
        <f>1929</f>
        <v>1929</v>
      </c>
      <c r="DI986" s="4" t="s">
        <v>241</v>
      </c>
      <c r="DJ986" s="4" t="s">
        <v>241</v>
      </c>
      <c r="DK986" s="4" t="s">
        <v>241</v>
      </c>
      <c r="DL986" s="4" t="s">
        <v>241</v>
      </c>
      <c r="DP986" s="4" t="s">
        <v>241</v>
      </c>
      <c r="DQ986" s="4" t="s">
        <v>241</v>
      </c>
      <c r="DR986" s="4" t="s">
        <v>241</v>
      </c>
      <c r="DS986" s="4" t="s">
        <v>241</v>
      </c>
      <c r="DV986" s="4" t="s">
        <v>278</v>
      </c>
      <c r="DW986" s="4" t="s">
        <v>567</v>
      </c>
      <c r="HO986" s="4" t="s">
        <v>267</v>
      </c>
    </row>
    <row r="987" spans="1:223" ht="19.5" customHeight="1" x14ac:dyDescent="0.4">
      <c r="A987" s="4">
        <v>1</v>
      </c>
      <c r="B987" s="4" t="s">
        <v>239</v>
      </c>
      <c r="C987" s="4">
        <v>2661</v>
      </c>
      <c r="D987" s="4">
        <v>1</v>
      </c>
      <c r="E987" s="4">
        <v>1</v>
      </c>
      <c r="F987" s="4" t="s">
        <v>268</v>
      </c>
      <c r="G987" s="4" t="s">
        <v>241</v>
      </c>
      <c r="H987" s="4" t="s">
        <v>241</v>
      </c>
      <c r="I987" s="4" t="s">
        <v>272</v>
      </c>
      <c r="J987" s="4" t="s">
        <v>274</v>
      </c>
      <c r="K987" s="4" t="s">
        <v>251</v>
      </c>
      <c r="L987" s="4" t="s">
        <v>269</v>
      </c>
      <c r="M987" s="5" t="s">
        <v>1363</v>
      </c>
      <c r="N987" s="6">
        <f>1137</f>
        <v>1137</v>
      </c>
      <c r="O987" s="4" t="s">
        <v>265</v>
      </c>
      <c r="P987" s="6">
        <f>1</f>
        <v>1</v>
      </c>
      <c r="Q987" s="6">
        <f>0</f>
        <v>0</v>
      </c>
      <c r="S987" s="6">
        <f>0</f>
        <v>0</v>
      </c>
      <c r="T987" s="6">
        <f>1</f>
        <v>1</v>
      </c>
      <c r="U987" s="5" t="s">
        <v>245</v>
      </c>
      <c r="V987" s="4" t="s">
        <v>270</v>
      </c>
      <c r="W987" s="4" t="s">
        <v>271</v>
      </c>
      <c r="X987" s="4" t="s">
        <v>273</v>
      </c>
      <c r="Y987" s="4" t="s">
        <v>241</v>
      </c>
      <c r="AB987" s="4" t="s">
        <v>241</v>
      </c>
      <c r="AD987" s="5" t="s">
        <v>241</v>
      </c>
      <c r="AG987" s="5" t="s">
        <v>246</v>
      </c>
      <c r="AH987" s="4" t="s">
        <v>241</v>
      </c>
      <c r="AI987" s="4" t="s">
        <v>247</v>
      </c>
      <c r="AJ987" s="4" t="s">
        <v>248</v>
      </c>
      <c r="AZ987" s="4" t="s">
        <v>249</v>
      </c>
      <c r="BA987" s="4" t="s">
        <v>241</v>
      </c>
      <c r="BB987" s="4" t="s">
        <v>250</v>
      </c>
      <c r="BC987" s="4" t="s">
        <v>241</v>
      </c>
      <c r="BD987" s="4" t="s">
        <v>252</v>
      </c>
      <c r="BE987" s="4" t="s">
        <v>241</v>
      </c>
      <c r="BI987" s="4" t="s">
        <v>253</v>
      </c>
      <c r="BJ987" s="5" t="s">
        <v>246</v>
      </c>
      <c r="BK987" s="4" t="s">
        <v>254</v>
      </c>
      <c r="BL987" s="4" t="s">
        <v>255</v>
      </c>
      <c r="BM987" s="4" t="s">
        <v>241</v>
      </c>
      <c r="BN987" s="6">
        <f>0</f>
        <v>0</v>
      </c>
      <c r="BO987" s="6">
        <f>0</f>
        <v>0</v>
      </c>
      <c r="BP987" s="4" t="s">
        <v>256</v>
      </c>
      <c r="BQ987" s="4" t="s">
        <v>257</v>
      </c>
      <c r="CE987" s="4" t="s">
        <v>241</v>
      </c>
      <c r="CF987" s="4" t="s">
        <v>241</v>
      </c>
      <c r="CJ987" s="4" t="s">
        <v>276</v>
      </c>
      <c r="CK987" s="4" t="s">
        <v>259</v>
      </c>
      <c r="CL987" s="4" t="s">
        <v>241</v>
      </c>
      <c r="CO987" s="5" t="s">
        <v>260</v>
      </c>
      <c r="CP987" s="4" t="s">
        <v>241</v>
      </c>
      <c r="CQ987" s="4" t="s">
        <v>261</v>
      </c>
      <c r="CR987" s="4" t="s">
        <v>241</v>
      </c>
      <c r="CS987" s="4" t="s">
        <v>241</v>
      </c>
      <c r="CT987" s="4">
        <v>0</v>
      </c>
      <c r="CU987" s="4" t="s">
        <v>262</v>
      </c>
      <c r="CV987" s="4" t="s">
        <v>263</v>
      </c>
      <c r="CW987" s="4" t="s">
        <v>263</v>
      </c>
      <c r="CX987" s="4" t="s">
        <v>264</v>
      </c>
      <c r="DA987" s="6">
        <f>1</f>
        <v>1</v>
      </c>
      <c r="DC987" s="4" t="s">
        <v>277</v>
      </c>
      <c r="DD987" s="4" t="s">
        <v>241</v>
      </c>
      <c r="DF987" s="4" t="s">
        <v>277</v>
      </c>
      <c r="DG987" s="6">
        <f>1137</f>
        <v>1137</v>
      </c>
      <c r="DI987" s="4" t="s">
        <v>241</v>
      </c>
      <c r="DJ987" s="4" t="s">
        <v>241</v>
      </c>
      <c r="DK987" s="4" t="s">
        <v>241</v>
      </c>
      <c r="DL987" s="4" t="s">
        <v>241</v>
      </c>
      <c r="DP987" s="4" t="s">
        <v>241</v>
      </c>
      <c r="DQ987" s="4" t="s">
        <v>241</v>
      </c>
      <c r="DR987" s="4" t="s">
        <v>241</v>
      </c>
      <c r="DS987" s="4" t="s">
        <v>241</v>
      </c>
      <c r="DV987" s="4" t="s">
        <v>278</v>
      </c>
      <c r="DW987" s="4" t="s">
        <v>571</v>
      </c>
      <c r="HO987" s="4" t="s">
        <v>267</v>
      </c>
    </row>
    <row r="988" spans="1:223" ht="19.5" customHeight="1" x14ac:dyDescent="0.4">
      <c r="A988" s="4">
        <v>1</v>
      </c>
      <c r="B988" s="4" t="s">
        <v>239</v>
      </c>
      <c r="C988" s="4">
        <v>2662</v>
      </c>
      <c r="D988" s="4">
        <v>1</v>
      </c>
      <c r="E988" s="4">
        <v>1</v>
      </c>
      <c r="F988" s="4" t="s">
        <v>268</v>
      </c>
      <c r="G988" s="4" t="s">
        <v>241</v>
      </c>
      <c r="H988" s="4" t="s">
        <v>241</v>
      </c>
      <c r="I988" s="4" t="s">
        <v>272</v>
      </c>
      <c r="J988" s="4" t="s">
        <v>274</v>
      </c>
      <c r="K988" s="4" t="s">
        <v>251</v>
      </c>
      <c r="L988" s="4" t="s">
        <v>269</v>
      </c>
      <c r="M988" s="5" t="s">
        <v>1359</v>
      </c>
      <c r="N988" s="6">
        <f>1167</f>
        <v>1167</v>
      </c>
      <c r="O988" s="4" t="s">
        <v>265</v>
      </c>
      <c r="P988" s="6">
        <f>1</f>
        <v>1</v>
      </c>
      <c r="Q988" s="6">
        <f>0</f>
        <v>0</v>
      </c>
      <c r="S988" s="6">
        <f>0</f>
        <v>0</v>
      </c>
      <c r="T988" s="6">
        <f>1</f>
        <v>1</v>
      </c>
      <c r="U988" s="5" t="s">
        <v>245</v>
      </c>
      <c r="V988" s="4" t="s">
        <v>270</v>
      </c>
      <c r="W988" s="4" t="s">
        <v>271</v>
      </c>
      <c r="X988" s="4" t="s">
        <v>273</v>
      </c>
      <c r="Y988" s="4" t="s">
        <v>241</v>
      </c>
      <c r="AB988" s="4" t="s">
        <v>241</v>
      </c>
      <c r="AD988" s="5" t="s">
        <v>241</v>
      </c>
      <c r="AG988" s="5" t="s">
        <v>246</v>
      </c>
      <c r="AH988" s="4" t="s">
        <v>241</v>
      </c>
      <c r="AI988" s="4" t="s">
        <v>247</v>
      </c>
      <c r="AJ988" s="4" t="s">
        <v>248</v>
      </c>
      <c r="AZ988" s="4" t="s">
        <v>249</v>
      </c>
      <c r="BA988" s="4" t="s">
        <v>241</v>
      </c>
      <c r="BB988" s="4" t="s">
        <v>250</v>
      </c>
      <c r="BC988" s="4" t="s">
        <v>241</v>
      </c>
      <c r="BD988" s="4" t="s">
        <v>252</v>
      </c>
      <c r="BE988" s="4" t="s">
        <v>241</v>
      </c>
      <c r="BI988" s="4" t="s">
        <v>253</v>
      </c>
      <c r="BJ988" s="5" t="s">
        <v>246</v>
      </c>
      <c r="BK988" s="4" t="s">
        <v>254</v>
      </c>
      <c r="BL988" s="4" t="s">
        <v>255</v>
      </c>
      <c r="BM988" s="4" t="s">
        <v>241</v>
      </c>
      <c r="BN988" s="6">
        <f>0</f>
        <v>0</v>
      </c>
      <c r="BO988" s="6">
        <f>0</f>
        <v>0</v>
      </c>
      <c r="BP988" s="4" t="s">
        <v>256</v>
      </c>
      <c r="BQ988" s="4" t="s">
        <v>257</v>
      </c>
      <c r="CE988" s="4" t="s">
        <v>241</v>
      </c>
      <c r="CF988" s="4" t="s">
        <v>241</v>
      </c>
      <c r="CJ988" s="4" t="s">
        <v>276</v>
      </c>
      <c r="CK988" s="4" t="s">
        <v>259</v>
      </c>
      <c r="CL988" s="4" t="s">
        <v>241</v>
      </c>
      <c r="CO988" s="5" t="s">
        <v>260</v>
      </c>
      <c r="CP988" s="4" t="s">
        <v>241</v>
      </c>
      <c r="CQ988" s="4" t="s">
        <v>261</v>
      </c>
      <c r="CR988" s="4" t="s">
        <v>241</v>
      </c>
      <c r="CS988" s="4" t="s">
        <v>241</v>
      </c>
      <c r="CT988" s="4">
        <v>0</v>
      </c>
      <c r="CU988" s="4" t="s">
        <v>262</v>
      </c>
      <c r="CV988" s="4" t="s">
        <v>263</v>
      </c>
      <c r="CW988" s="4" t="s">
        <v>263</v>
      </c>
      <c r="CX988" s="4" t="s">
        <v>264</v>
      </c>
      <c r="DA988" s="6">
        <f>1</f>
        <v>1</v>
      </c>
      <c r="DC988" s="4" t="s">
        <v>277</v>
      </c>
      <c r="DD988" s="4" t="s">
        <v>241</v>
      </c>
      <c r="DF988" s="4" t="s">
        <v>277</v>
      </c>
      <c r="DG988" s="6">
        <f>1167</f>
        <v>1167</v>
      </c>
      <c r="DI988" s="4" t="s">
        <v>241</v>
      </c>
      <c r="DJ988" s="4" t="s">
        <v>241</v>
      </c>
      <c r="DK988" s="4" t="s">
        <v>241</v>
      </c>
      <c r="DL988" s="4" t="s">
        <v>241</v>
      </c>
      <c r="DP988" s="4" t="s">
        <v>241</v>
      </c>
      <c r="DQ988" s="4" t="s">
        <v>241</v>
      </c>
      <c r="DR988" s="4" t="s">
        <v>241</v>
      </c>
      <c r="DS988" s="4" t="s">
        <v>241</v>
      </c>
      <c r="DV988" s="4" t="s">
        <v>278</v>
      </c>
      <c r="DW988" s="4" t="s">
        <v>577</v>
      </c>
      <c r="HO988" s="4" t="s">
        <v>267</v>
      </c>
    </row>
    <row r="989" spans="1:223" ht="19.5" customHeight="1" x14ac:dyDescent="0.4">
      <c r="A989" s="4">
        <v>1</v>
      </c>
      <c r="B989" s="4" t="s">
        <v>239</v>
      </c>
      <c r="C989" s="4">
        <v>2663</v>
      </c>
      <c r="D989" s="4">
        <v>1</v>
      </c>
      <c r="E989" s="4">
        <v>1</v>
      </c>
      <c r="F989" s="4" t="s">
        <v>268</v>
      </c>
      <c r="G989" s="4" t="s">
        <v>241</v>
      </c>
      <c r="H989" s="4" t="s">
        <v>241</v>
      </c>
      <c r="I989" s="4" t="s">
        <v>272</v>
      </c>
      <c r="J989" s="4" t="s">
        <v>274</v>
      </c>
      <c r="K989" s="4" t="s">
        <v>251</v>
      </c>
      <c r="L989" s="4" t="s">
        <v>269</v>
      </c>
      <c r="M989" s="5" t="s">
        <v>1355</v>
      </c>
      <c r="N989" s="6">
        <f>618</f>
        <v>618</v>
      </c>
      <c r="O989" s="4" t="s">
        <v>265</v>
      </c>
      <c r="P989" s="6">
        <f>1</f>
        <v>1</v>
      </c>
      <c r="Q989" s="6">
        <f>0</f>
        <v>0</v>
      </c>
      <c r="S989" s="6">
        <f>0</f>
        <v>0</v>
      </c>
      <c r="T989" s="6">
        <f>1</f>
        <v>1</v>
      </c>
      <c r="U989" s="5" t="s">
        <v>245</v>
      </c>
      <c r="V989" s="4" t="s">
        <v>270</v>
      </c>
      <c r="W989" s="4" t="s">
        <v>271</v>
      </c>
      <c r="X989" s="4" t="s">
        <v>273</v>
      </c>
      <c r="Y989" s="4" t="s">
        <v>241</v>
      </c>
      <c r="AB989" s="4" t="s">
        <v>241</v>
      </c>
      <c r="AD989" s="5" t="s">
        <v>241</v>
      </c>
      <c r="AG989" s="5" t="s">
        <v>246</v>
      </c>
      <c r="AH989" s="4" t="s">
        <v>241</v>
      </c>
      <c r="AI989" s="4" t="s">
        <v>247</v>
      </c>
      <c r="AJ989" s="4" t="s">
        <v>248</v>
      </c>
      <c r="AZ989" s="4" t="s">
        <v>249</v>
      </c>
      <c r="BA989" s="4" t="s">
        <v>241</v>
      </c>
      <c r="BB989" s="4" t="s">
        <v>250</v>
      </c>
      <c r="BC989" s="4" t="s">
        <v>241</v>
      </c>
      <c r="BD989" s="4" t="s">
        <v>252</v>
      </c>
      <c r="BE989" s="4" t="s">
        <v>241</v>
      </c>
      <c r="BI989" s="4" t="s">
        <v>253</v>
      </c>
      <c r="BJ989" s="5" t="s">
        <v>246</v>
      </c>
      <c r="BK989" s="4" t="s">
        <v>254</v>
      </c>
      <c r="BL989" s="4" t="s">
        <v>255</v>
      </c>
      <c r="BM989" s="4" t="s">
        <v>241</v>
      </c>
      <c r="BN989" s="6">
        <f>0</f>
        <v>0</v>
      </c>
      <c r="BO989" s="6">
        <f>0</f>
        <v>0</v>
      </c>
      <c r="BP989" s="4" t="s">
        <v>256</v>
      </c>
      <c r="BQ989" s="4" t="s">
        <v>257</v>
      </c>
      <c r="CE989" s="4" t="s">
        <v>241</v>
      </c>
      <c r="CF989" s="4" t="s">
        <v>241</v>
      </c>
      <c r="CJ989" s="4" t="s">
        <v>276</v>
      </c>
      <c r="CK989" s="4" t="s">
        <v>259</v>
      </c>
      <c r="CL989" s="4" t="s">
        <v>241</v>
      </c>
      <c r="CO989" s="5" t="s">
        <v>260</v>
      </c>
      <c r="CP989" s="4" t="s">
        <v>241</v>
      </c>
      <c r="CQ989" s="4" t="s">
        <v>261</v>
      </c>
      <c r="CR989" s="4" t="s">
        <v>241</v>
      </c>
      <c r="CS989" s="4" t="s">
        <v>241</v>
      </c>
      <c r="CT989" s="4">
        <v>0</v>
      </c>
      <c r="CU989" s="4" t="s">
        <v>262</v>
      </c>
      <c r="CV989" s="4" t="s">
        <v>263</v>
      </c>
      <c r="CW989" s="4" t="s">
        <v>263</v>
      </c>
      <c r="CX989" s="4" t="s">
        <v>264</v>
      </c>
      <c r="DA989" s="6">
        <f>1</f>
        <v>1</v>
      </c>
      <c r="DC989" s="4" t="s">
        <v>277</v>
      </c>
      <c r="DD989" s="4" t="s">
        <v>241</v>
      </c>
      <c r="DF989" s="4" t="s">
        <v>277</v>
      </c>
      <c r="DG989" s="6">
        <f>618</f>
        <v>618</v>
      </c>
      <c r="DI989" s="4" t="s">
        <v>241</v>
      </c>
      <c r="DJ989" s="4" t="s">
        <v>241</v>
      </c>
      <c r="DK989" s="4" t="s">
        <v>241</v>
      </c>
      <c r="DL989" s="4" t="s">
        <v>241</v>
      </c>
      <c r="DP989" s="4" t="s">
        <v>241</v>
      </c>
      <c r="DQ989" s="4" t="s">
        <v>241</v>
      </c>
      <c r="DR989" s="4" t="s">
        <v>241</v>
      </c>
      <c r="DS989" s="4" t="s">
        <v>241</v>
      </c>
      <c r="DV989" s="4" t="s">
        <v>278</v>
      </c>
      <c r="DW989" s="4" t="s">
        <v>581</v>
      </c>
      <c r="HO989" s="4" t="s">
        <v>267</v>
      </c>
    </row>
    <row r="990" spans="1:223" ht="19.5" customHeight="1" x14ac:dyDescent="0.4">
      <c r="A990" s="4">
        <v>1</v>
      </c>
      <c r="B990" s="4" t="s">
        <v>239</v>
      </c>
      <c r="C990" s="4">
        <v>2664</v>
      </c>
      <c r="D990" s="4">
        <v>1</v>
      </c>
      <c r="E990" s="4">
        <v>1</v>
      </c>
      <c r="F990" s="4" t="s">
        <v>268</v>
      </c>
      <c r="G990" s="4" t="s">
        <v>241</v>
      </c>
      <c r="H990" s="4" t="s">
        <v>241</v>
      </c>
      <c r="I990" s="4" t="s">
        <v>272</v>
      </c>
      <c r="J990" s="4" t="s">
        <v>274</v>
      </c>
      <c r="K990" s="4" t="s">
        <v>251</v>
      </c>
      <c r="L990" s="4" t="s">
        <v>269</v>
      </c>
      <c r="M990" s="5" t="s">
        <v>1351</v>
      </c>
      <c r="N990" s="6">
        <f>2463</f>
        <v>2463</v>
      </c>
      <c r="O990" s="4" t="s">
        <v>265</v>
      </c>
      <c r="P990" s="6">
        <f>1</f>
        <v>1</v>
      </c>
      <c r="Q990" s="6">
        <f>0</f>
        <v>0</v>
      </c>
      <c r="S990" s="6">
        <f>0</f>
        <v>0</v>
      </c>
      <c r="T990" s="6">
        <f>1</f>
        <v>1</v>
      </c>
      <c r="U990" s="5" t="s">
        <v>245</v>
      </c>
      <c r="V990" s="4" t="s">
        <v>270</v>
      </c>
      <c r="W990" s="4" t="s">
        <v>271</v>
      </c>
      <c r="X990" s="4" t="s">
        <v>273</v>
      </c>
      <c r="Y990" s="4" t="s">
        <v>241</v>
      </c>
      <c r="AB990" s="4" t="s">
        <v>241</v>
      </c>
      <c r="AD990" s="5" t="s">
        <v>241</v>
      </c>
      <c r="AG990" s="5" t="s">
        <v>246</v>
      </c>
      <c r="AH990" s="4" t="s">
        <v>241</v>
      </c>
      <c r="AI990" s="4" t="s">
        <v>247</v>
      </c>
      <c r="AJ990" s="4" t="s">
        <v>248</v>
      </c>
      <c r="AZ990" s="4" t="s">
        <v>249</v>
      </c>
      <c r="BA990" s="4" t="s">
        <v>241</v>
      </c>
      <c r="BB990" s="4" t="s">
        <v>250</v>
      </c>
      <c r="BC990" s="4" t="s">
        <v>241</v>
      </c>
      <c r="BD990" s="4" t="s">
        <v>252</v>
      </c>
      <c r="BE990" s="4" t="s">
        <v>241</v>
      </c>
      <c r="BI990" s="4" t="s">
        <v>253</v>
      </c>
      <c r="BJ990" s="5" t="s">
        <v>246</v>
      </c>
      <c r="BK990" s="4" t="s">
        <v>254</v>
      </c>
      <c r="BL990" s="4" t="s">
        <v>255</v>
      </c>
      <c r="BM990" s="4" t="s">
        <v>241</v>
      </c>
      <c r="BN990" s="6">
        <f>0</f>
        <v>0</v>
      </c>
      <c r="BO990" s="6">
        <f>0</f>
        <v>0</v>
      </c>
      <c r="BP990" s="4" t="s">
        <v>256</v>
      </c>
      <c r="BQ990" s="4" t="s">
        <v>257</v>
      </c>
      <c r="CE990" s="4" t="s">
        <v>241</v>
      </c>
      <c r="CF990" s="4" t="s">
        <v>241</v>
      </c>
      <c r="CJ990" s="4" t="s">
        <v>276</v>
      </c>
      <c r="CK990" s="4" t="s">
        <v>259</v>
      </c>
      <c r="CL990" s="4" t="s">
        <v>241</v>
      </c>
      <c r="CO990" s="5" t="s">
        <v>260</v>
      </c>
      <c r="CP990" s="4" t="s">
        <v>241</v>
      </c>
      <c r="CQ990" s="4" t="s">
        <v>261</v>
      </c>
      <c r="CR990" s="4" t="s">
        <v>241</v>
      </c>
      <c r="CS990" s="4" t="s">
        <v>241</v>
      </c>
      <c r="CT990" s="4">
        <v>0</v>
      </c>
      <c r="CU990" s="4" t="s">
        <v>262</v>
      </c>
      <c r="CV990" s="4" t="s">
        <v>263</v>
      </c>
      <c r="CW990" s="4" t="s">
        <v>263</v>
      </c>
      <c r="CX990" s="4" t="s">
        <v>264</v>
      </c>
      <c r="DA990" s="6">
        <f>1</f>
        <v>1</v>
      </c>
      <c r="DC990" s="4" t="s">
        <v>277</v>
      </c>
      <c r="DD990" s="4" t="s">
        <v>241</v>
      </c>
      <c r="DF990" s="4" t="s">
        <v>277</v>
      </c>
      <c r="DG990" s="6">
        <f>2463</f>
        <v>2463</v>
      </c>
      <c r="DI990" s="4" t="s">
        <v>241</v>
      </c>
      <c r="DJ990" s="4" t="s">
        <v>241</v>
      </c>
      <c r="DK990" s="4" t="s">
        <v>241</v>
      </c>
      <c r="DL990" s="4" t="s">
        <v>241</v>
      </c>
      <c r="DP990" s="4" t="s">
        <v>241</v>
      </c>
      <c r="DQ990" s="4" t="s">
        <v>241</v>
      </c>
      <c r="DR990" s="4" t="s">
        <v>241</v>
      </c>
      <c r="DS990" s="4" t="s">
        <v>241</v>
      </c>
      <c r="DV990" s="4" t="s">
        <v>278</v>
      </c>
      <c r="DW990" s="4" t="s">
        <v>1352</v>
      </c>
      <c r="HO990" s="4" t="s">
        <v>267</v>
      </c>
    </row>
    <row r="991" spans="1:223" ht="19.5" customHeight="1" x14ac:dyDescent="0.4">
      <c r="A991" s="4">
        <v>1</v>
      </c>
      <c r="B991" s="4" t="s">
        <v>239</v>
      </c>
      <c r="C991" s="4">
        <v>2665</v>
      </c>
      <c r="D991" s="4">
        <v>1</v>
      </c>
      <c r="E991" s="4">
        <v>1</v>
      </c>
      <c r="F991" s="4" t="s">
        <v>268</v>
      </c>
      <c r="G991" s="4" t="s">
        <v>241</v>
      </c>
      <c r="H991" s="4" t="s">
        <v>241</v>
      </c>
      <c r="I991" s="4" t="s">
        <v>272</v>
      </c>
      <c r="J991" s="4" t="s">
        <v>274</v>
      </c>
      <c r="K991" s="4" t="s">
        <v>251</v>
      </c>
      <c r="L991" s="4" t="s">
        <v>269</v>
      </c>
      <c r="M991" s="5" t="s">
        <v>1347</v>
      </c>
      <c r="N991" s="6">
        <f>2910</f>
        <v>2910</v>
      </c>
      <c r="O991" s="4" t="s">
        <v>265</v>
      </c>
      <c r="P991" s="6">
        <f>1</f>
        <v>1</v>
      </c>
      <c r="Q991" s="6">
        <f>0</f>
        <v>0</v>
      </c>
      <c r="S991" s="6">
        <f>0</f>
        <v>0</v>
      </c>
      <c r="T991" s="6">
        <f>1</f>
        <v>1</v>
      </c>
      <c r="U991" s="5" t="s">
        <v>245</v>
      </c>
      <c r="V991" s="4" t="s">
        <v>270</v>
      </c>
      <c r="W991" s="4" t="s">
        <v>271</v>
      </c>
      <c r="X991" s="4" t="s">
        <v>273</v>
      </c>
      <c r="Y991" s="4" t="s">
        <v>241</v>
      </c>
      <c r="AB991" s="4" t="s">
        <v>241</v>
      </c>
      <c r="AD991" s="5" t="s">
        <v>241</v>
      </c>
      <c r="AG991" s="5" t="s">
        <v>246</v>
      </c>
      <c r="AH991" s="4" t="s">
        <v>241</v>
      </c>
      <c r="AI991" s="4" t="s">
        <v>247</v>
      </c>
      <c r="AJ991" s="4" t="s">
        <v>248</v>
      </c>
      <c r="AZ991" s="4" t="s">
        <v>249</v>
      </c>
      <c r="BA991" s="4" t="s">
        <v>241</v>
      </c>
      <c r="BB991" s="4" t="s">
        <v>250</v>
      </c>
      <c r="BC991" s="4" t="s">
        <v>241</v>
      </c>
      <c r="BD991" s="4" t="s">
        <v>252</v>
      </c>
      <c r="BE991" s="4" t="s">
        <v>241</v>
      </c>
      <c r="BI991" s="4" t="s">
        <v>253</v>
      </c>
      <c r="BJ991" s="5" t="s">
        <v>246</v>
      </c>
      <c r="BK991" s="4" t="s">
        <v>254</v>
      </c>
      <c r="BL991" s="4" t="s">
        <v>255</v>
      </c>
      <c r="BM991" s="4" t="s">
        <v>241</v>
      </c>
      <c r="BN991" s="6">
        <f>0</f>
        <v>0</v>
      </c>
      <c r="BO991" s="6">
        <f>0</f>
        <v>0</v>
      </c>
      <c r="BP991" s="4" t="s">
        <v>256</v>
      </c>
      <c r="BQ991" s="4" t="s">
        <v>257</v>
      </c>
      <c r="CE991" s="4" t="s">
        <v>241</v>
      </c>
      <c r="CF991" s="4" t="s">
        <v>241</v>
      </c>
      <c r="CJ991" s="4" t="s">
        <v>276</v>
      </c>
      <c r="CK991" s="4" t="s">
        <v>259</v>
      </c>
      <c r="CL991" s="4" t="s">
        <v>241</v>
      </c>
      <c r="CO991" s="5" t="s">
        <v>260</v>
      </c>
      <c r="CP991" s="4" t="s">
        <v>241</v>
      </c>
      <c r="CQ991" s="4" t="s">
        <v>261</v>
      </c>
      <c r="CR991" s="4" t="s">
        <v>241</v>
      </c>
      <c r="CS991" s="4" t="s">
        <v>241</v>
      </c>
      <c r="CT991" s="4">
        <v>0</v>
      </c>
      <c r="CU991" s="4" t="s">
        <v>262</v>
      </c>
      <c r="CV991" s="4" t="s">
        <v>263</v>
      </c>
      <c r="CW991" s="4" t="s">
        <v>263</v>
      </c>
      <c r="CX991" s="4" t="s">
        <v>264</v>
      </c>
      <c r="DA991" s="6">
        <f>1</f>
        <v>1</v>
      </c>
      <c r="DC991" s="4" t="s">
        <v>277</v>
      </c>
      <c r="DD991" s="4" t="s">
        <v>241</v>
      </c>
      <c r="DF991" s="4" t="s">
        <v>277</v>
      </c>
      <c r="DG991" s="6">
        <f>2910</f>
        <v>2910</v>
      </c>
      <c r="DI991" s="4" t="s">
        <v>241</v>
      </c>
      <c r="DJ991" s="4" t="s">
        <v>241</v>
      </c>
      <c r="DK991" s="4" t="s">
        <v>241</v>
      </c>
      <c r="DL991" s="4" t="s">
        <v>241</v>
      </c>
      <c r="DP991" s="4" t="s">
        <v>241</v>
      </c>
      <c r="DQ991" s="4" t="s">
        <v>241</v>
      </c>
      <c r="DR991" s="4" t="s">
        <v>241</v>
      </c>
      <c r="DS991" s="4" t="s">
        <v>241</v>
      </c>
      <c r="DV991" s="4" t="s">
        <v>278</v>
      </c>
      <c r="DW991" s="4" t="s">
        <v>587</v>
      </c>
      <c r="HO991" s="4" t="s">
        <v>267</v>
      </c>
    </row>
    <row r="992" spans="1:223" ht="19.5" customHeight="1" x14ac:dyDescent="0.4">
      <c r="A992" s="4">
        <v>1</v>
      </c>
      <c r="B992" s="4" t="s">
        <v>239</v>
      </c>
      <c r="C992" s="4">
        <v>2666</v>
      </c>
      <c r="D992" s="4">
        <v>1</v>
      </c>
      <c r="E992" s="4">
        <v>1</v>
      </c>
      <c r="F992" s="4" t="s">
        <v>268</v>
      </c>
      <c r="G992" s="4" t="s">
        <v>241</v>
      </c>
      <c r="H992" s="4" t="s">
        <v>241</v>
      </c>
      <c r="I992" s="4" t="s">
        <v>272</v>
      </c>
      <c r="J992" s="4" t="s">
        <v>274</v>
      </c>
      <c r="K992" s="4" t="s">
        <v>251</v>
      </c>
      <c r="L992" s="4" t="s">
        <v>269</v>
      </c>
      <c r="M992" s="5" t="s">
        <v>1335</v>
      </c>
      <c r="N992" s="6">
        <f>42</f>
        <v>42</v>
      </c>
      <c r="O992" s="4" t="s">
        <v>265</v>
      </c>
      <c r="P992" s="6">
        <f>1</f>
        <v>1</v>
      </c>
      <c r="Q992" s="6">
        <f>0</f>
        <v>0</v>
      </c>
      <c r="S992" s="6">
        <f>0</f>
        <v>0</v>
      </c>
      <c r="T992" s="6">
        <f>1</f>
        <v>1</v>
      </c>
      <c r="U992" s="5" t="s">
        <v>245</v>
      </c>
      <c r="V992" s="4" t="s">
        <v>270</v>
      </c>
      <c r="W992" s="4" t="s">
        <v>271</v>
      </c>
      <c r="X992" s="4" t="s">
        <v>273</v>
      </c>
      <c r="Y992" s="4" t="s">
        <v>241</v>
      </c>
      <c r="AB992" s="4" t="s">
        <v>241</v>
      </c>
      <c r="AD992" s="5" t="s">
        <v>241</v>
      </c>
      <c r="AG992" s="5" t="s">
        <v>246</v>
      </c>
      <c r="AH992" s="4" t="s">
        <v>241</v>
      </c>
      <c r="AI992" s="4" t="s">
        <v>247</v>
      </c>
      <c r="AJ992" s="4" t="s">
        <v>248</v>
      </c>
      <c r="AZ992" s="4" t="s">
        <v>249</v>
      </c>
      <c r="BA992" s="4" t="s">
        <v>241</v>
      </c>
      <c r="BB992" s="4" t="s">
        <v>250</v>
      </c>
      <c r="BC992" s="4" t="s">
        <v>241</v>
      </c>
      <c r="BD992" s="4" t="s">
        <v>252</v>
      </c>
      <c r="BE992" s="4" t="s">
        <v>241</v>
      </c>
      <c r="BI992" s="4" t="s">
        <v>253</v>
      </c>
      <c r="BJ992" s="5" t="s">
        <v>246</v>
      </c>
      <c r="BK992" s="4" t="s">
        <v>254</v>
      </c>
      <c r="BL992" s="4" t="s">
        <v>255</v>
      </c>
      <c r="BM992" s="4" t="s">
        <v>241</v>
      </c>
      <c r="BN992" s="6">
        <f>0</f>
        <v>0</v>
      </c>
      <c r="BO992" s="6">
        <f>0</f>
        <v>0</v>
      </c>
      <c r="BP992" s="4" t="s">
        <v>256</v>
      </c>
      <c r="BQ992" s="4" t="s">
        <v>257</v>
      </c>
      <c r="CE992" s="4" t="s">
        <v>241</v>
      </c>
      <c r="CF992" s="4" t="s">
        <v>241</v>
      </c>
      <c r="CJ992" s="4" t="s">
        <v>276</v>
      </c>
      <c r="CK992" s="4" t="s">
        <v>259</v>
      </c>
      <c r="CL992" s="4" t="s">
        <v>241</v>
      </c>
      <c r="CO992" s="5" t="s">
        <v>260</v>
      </c>
      <c r="CP992" s="4" t="s">
        <v>241</v>
      </c>
      <c r="CQ992" s="4" t="s">
        <v>261</v>
      </c>
      <c r="CR992" s="4" t="s">
        <v>241</v>
      </c>
      <c r="CS992" s="4" t="s">
        <v>241</v>
      </c>
      <c r="CT992" s="4">
        <v>0</v>
      </c>
      <c r="CU992" s="4" t="s">
        <v>262</v>
      </c>
      <c r="CV992" s="4" t="s">
        <v>263</v>
      </c>
      <c r="CW992" s="4" t="s">
        <v>263</v>
      </c>
      <c r="CX992" s="4" t="s">
        <v>264</v>
      </c>
      <c r="DA992" s="6">
        <f>1</f>
        <v>1</v>
      </c>
      <c r="DC992" s="4" t="s">
        <v>277</v>
      </c>
      <c r="DD992" s="4" t="s">
        <v>241</v>
      </c>
      <c r="DF992" s="4" t="s">
        <v>277</v>
      </c>
      <c r="DG992" s="6">
        <f>42</f>
        <v>42</v>
      </c>
      <c r="DI992" s="4" t="s">
        <v>241</v>
      </c>
      <c r="DJ992" s="4" t="s">
        <v>241</v>
      </c>
      <c r="DK992" s="4" t="s">
        <v>241</v>
      </c>
      <c r="DL992" s="4" t="s">
        <v>241</v>
      </c>
      <c r="DP992" s="4" t="s">
        <v>241</v>
      </c>
      <c r="DQ992" s="4" t="s">
        <v>241</v>
      </c>
      <c r="DR992" s="4" t="s">
        <v>241</v>
      </c>
      <c r="DS992" s="4" t="s">
        <v>241</v>
      </c>
      <c r="DV992" s="4" t="s">
        <v>278</v>
      </c>
      <c r="DW992" s="4" t="s">
        <v>589</v>
      </c>
      <c r="HO992" s="4" t="s">
        <v>267</v>
      </c>
    </row>
    <row r="993" spans="1:223" ht="19.5" customHeight="1" x14ac:dyDescent="0.4">
      <c r="A993" s="4">
        <v>1</v>
      </c>
      <c r="B993" s="4" t="s">
        <v>239</v>
      </c>
      <c r="C993" s="4">
        <v>2667</v>
      </c>
      <c r="D993" s="4">
        <v>1</v>
      </c>
      <c r="E993" s="4">
        <v>1</v>
      </c>
      <c r="F993" s="4" t="s">
        <v>268</v>
      </c>
      <c r="G993" s="4" t="s">
        <v>241</v>
      </c>
      <c r="H993" s="4" t="s">
        <v>241</v>
      </c>
      <c r="I993" s="4" t="s">
        <v>272</v>
      </c>
      <c r="J993" s="4" t="s">
        <v>274</v>
      </c>
      <c r="K993" s="4" t="s">
        <v>251</v>
      </c>
      <c r="L993" s="4" t="s">
        <v>269</v>
      </c>
      <c r="M993" s="5" t="s">
        <v>1332</v>
      </c>
      <c r="N993" s="6">
        <f>713</f>
        <v>713</v>
      </c>
      <c r="O993" s="4" t="s">
        <v>265</v>
      </c>
      <c r="P993" s="6">
        <f>1</f>
        <v>1</v>
      </c>
      <c r="Q993" s="6">
        <f>0</f>
        <v>0</v>
      </c>
      <c r="S993" s="6">
        <f>0</f>
        <v>0</v>
      </c>
      <c r="T993" s="6">
        <f>1</f>
        <v>1</v>
      </c>
      <c r="U993" s="5" t="s">
        <v>245</v>
      </c>
      <c r="V993" s="4" t="s">
        <v>270</v>
      </c>
      <c r="W993" s="4" t="s">
        <v>271</v>
      </c>
      <c r="X993" s="4" t="s">
        <v>273</v>
      </c>
      <c r="Y993" s="4" t="s">
        <v>241</v>
      </c>
      <c r="AB993" s="4" t="s">
        <v>241</v>
      </c>
      <c r="AD993" s="5" t="s">
        <v>241</v>
      </c>
      <c r="AG993" s="5" t="s">
        <v>246</v>
      </c>
      <c r="AH993" s="4" t="s">
        <v>241</v>
      </c>
      <c r="AI993" s="4" t="s">
        <v>247</v>
      </c>
      <c r="AJ993" s="4" t="s">
        <v>248</v>
      </c>
      <c r="AZ993" s="4" t="s">
        <v>249</v>
      </c>
      <c r="BA993" s="4" t="s">
        <v>241</v>
      </c>
      <c r="BB993" s="4" t="s">
        <v>250</v>
      </c>
      <c r="BC993" s="4" t="s">
        <v>241</v>
      </c>
      <c r="BD993" s="4" t="s">
        <v>252</v>
      </c>
      <c r="BE993" s="4" t="s">
        <v>241</v>
      </c>
      <c r="BI993" s="4" t="s">
        <v>253</v>
      </c>
      <c r="BJ993" s="5" t="s">
        <v>246</v>
      </c>
      <c r="BK993" s="4" t="s">
        <v>254</v>
      </c>
      <c r="BL993" s="4" t="s">
        <v>255</v>
      </c>
      <c r="BM993" s="4" t="s">
        <v>241</v>
      </c>
      <c r="BN993" s="6">
        <f>0</f>
        <v>0</v>
      </c>
      <c r="BO993" s="6">
        <f>0</f>
        <v>0</v>
      </c>
      <c r="BP993" s="4" t="s">
        <v>256</v>
      </c>
      <c r="BQ993" s="4" t="s">
        <v>257</v>
      </c>
      <c r="CE993" s="4" t="s">
        <v>241</v>
      </c>
      <c r="CF993" s="4" t="s">
        <v>241</v>
      </c>
      <c r="CJ993" s="4" t="s">
        <v>276</v>
      </c>
      <c r="CK993" s="4" t="s">
        <v>259</v>
      </c>
      <c r="CL993" s="4" t="s">
        <v>241</v>
      </c>
      <c r="CO993" s="5" t="s">
        <v>260</v>
      </c>
      <c r="CP993" s="4" t="s">
        <v>241</v>
      </c>
      <c r="CQ993" s="4" t="s">
        <v>261</v>
      </c>
      <c r="CR993" s="4" t="s">
        <v>241</v>
      </c>
      <c r="CS993" s="4" t="s">
        <v>241</v>
      </c>
      <c r="CT993" s="4">
        <v>0</v>
      </c>
      <c r="CU993" s="4" t="s">
        <v>262</v>
      </c>
      <c r="CV993" s="4" t="s">
        <v>263</v>
      </c>
      <c r="CW993" s="4" t="s">
        <v>263</v>
      </c>
      <c r="CX993" s="4" t="s">
        <v>264</v>
      </c>
      <c r="DA993" s="6">
        <f>1</f>
        <v>1</v>
      </c>
      <c r="DC993" s="4" t="s">
        <v>277</v>
      </c>
      <c r="DD993" s="4" t="s">
        <v>241</v>
      </c>
      <c r="DF993" s="4" t="s">
        <v>277</v>
      </c>
      <c r="DG993" s="6">
        <f>713</f>
        <v>713</v>
      </c>
      <c r="DI993" s="4" t="s">
        <v>241</v>
      </c>
      <c r="DJ993" s="4" t="s">
        <v>241</v>
      </c>
      <c r="DK993" s="4" t="s">
        <v>241</v>
      </c>
      <c r="DL993" s="4" t="s">
        <v>241</v>
      </c>
      <c r="DP993" s="4" t="s">
        <v>241</v>
      </c>
      <c r="DQ993" s="4" t="s">
        <v>241</v>
      </c>
      <c r="DR993" s="4" t="s">
        <v>241</v>
      </c>
      <c r="DS993" s="4" t="s">
        <v>241</v>
      </c>
      <c r="DV993" s="4" t="s">
        <v>278</v>
      </c>
      <c r="DW993" s="4" t="s">
        <v>593</v>
      </c>
      <c r="HO993" s="4" t="s">
        <v>267</v>
      </c>
    </row>
    <row r="994" spans="1:223" ht="19.5" customHeight="1" x14ac:dyDescent="0.4">
      <c r="A994" s="4">
        <v>1</v>
      </c>
      <c r="B994" s="4" t="s">
        <v>239</v>
      </c>
      <c r="C994" s="4">
        <v>2668</v>
      </c>
      <c r="D994" s="4">
        <v>1</v>
      </c>
      <c r="E994" s="4">
        <v>1</v>
      </c>
      <c r="F994" s="4" t="s">
        <v>268</v>
      </c>
      <c r="G994" s="4" t="s">
        <v>241</v>
      </c>
      <c r="H994" s="4" t="s">
        <v>241</v>
      </c>
      <c r="I994" s="4" t="s">
        <v>272</v>
      </c>
      <c r="J994" s="4" t="s">
        <v>274</v>
      </c>
      <c r="K994" s="4" t="s">
        <v>251</v>
      </c>
      <c r="L994" s="4" t="s">
        <v>269</v>
      </c>
      <c r="M994" s="5" t="s">
        <v>1329</v>
      </c>
      <c r="N994" s="6">
        <f>1923</f>
        <v>1923</v>
      </c>
      <c r="O994" s="4" t="s">
        <v>265</v>
      </c>
      <c r="P994" s="6">
        <f>1</f>
        <v>1</v>
      </c>
      <c r="Q994" s="6">
        <f>0</f>
        <v>0</v>
      </c>
      <c r="S994" s="6">
        <f>0</f>
        <v>0</v>
      </c>
      <c r="T994" s="6">
        <f>1</f>
        <v>1</v>
      </c>
      <c r="U994" s="5" t="s">
        <v>245</v>
      </c>
      <c r="V994" s="4" t="s">
        <v>270</v>
      </c>
      <c r="W994" s="4" t="s">
        <v>271</v>
      </c>
      <c r="X994" s="4" t="s">
        <v>273</v>
      </c>
      <c r="Y994" s="4" t="s">
        <v>241</v>
      </c>
      <c r="AB994" s="4" t="s">
        <v>241</v>
      </c>
      <c r="AD994" s="5" t="s">
        <v>241</v>
      </c>
      <c r="AG994" s="5" t="s">
        <v>246</v>
      </c>
      <c r="AH994" s="4" t="s">
        <v>241</v>
      </c>
      <c r="AI994" s="4" t="s">
        <v>247</v>
      </c>
      <c r="AJ994" s="4" t="s">
        <v>248</v>
      </c>
      <c r="AZ994" s="4" t="s">
        <v>249</v>
      </c>
      <c r="BA994" s="4" t="s">
        <v>241</v>
      </c>
      <c r="BB994" s="4" t="s">
        <v>250</v>
      </c>
      <c r="BC994" s="4" t="s">
        <v>241</v>
      </c>
      <c r="BD994" s="4" t="s">
        <v>252</v>
      </c>
      <c r="BE994" s="4" t="s">
        <v>241</v>
      </c>
      <c r="BI994" s="4" t="s">
        <v>253</v>
      </c>
      <c r="BJ994" s="5" t="s">
        <v>246</v>
      </c>
      <c r="BK994" s="4" t="s">
        <v>254</v>
      </c>
      <c r="BL994" s="4" t="s">
        <v>255</v>
      </c>
      <c r="BM994" s="4" t="s">
        <v>241</v>
      </c>
      <c r="BN994" s="6">
        <f>0</f>
        <v>0</v>
      </c>
      <c r="BO994" s="6">
        <f>0</f>
        <v>0</v>
      </c>
      <c r="BP994" s="4" t="s">
        <v>256</v>
      </c>
      <c r="BQ994" s="4" t="s">
        <v>257</v>
      </c>
      <c r="CE994" s="4" t="s">
        <v>241</v>
      </c>
      <c r="CF994" s="4" t="s">
        <v>241</v>
      </c>
      <c r="CJ994" s="4" t="s">
        <v>276</v>
      </c>
      <c r="CK994" s="4" t="s">
        <v>259</v>
      </c>
      <c r="CL994" s="4" t="s">
        <v>241</v>
      </c>
      <c r="CO994" s="5" t="s">
        <v>260</v>
      </c>
      <c r="CP994" s="4" t="s">
        <v>241</v>
      </c>
      <c r="CQ994" s="4" t="s">
        <v>261</v>
      </c>
      <c r="CR994" s="4" t="s">
        <v>241</v>
      </c>
      <c r="CS994" s="4" t="s">
        <v>241</v>
      </c>
      <c r="CT994" s="4">
        <v>0</v>
      </c>
      <c r="CU994" s="4" t="s">
        <v>262</v>
      </c>
      <c r="CV994" s="4" t="s">
        <v>263</v>
      </c>
      <c r="CW994" s="4" t="s">
        <v>263</v>
      </c>
      <c r="CX994" s="4" t="s">
        <v>264</v>
      </c>
      <c r="DA994" s="6">
        <f>1</f>
        <v>1</v>
      </c>
      <c r="DC994" s="4" t="s">
        <v>277</v>
      </c>
      <c r="DD994" s="4" t="s">
        <v>241</v>
      </c>
      <c r="DF994" s="4" t="s">
        <v>277</v>
      </c>
      <c r="DG994" s="6">
        <f>1923</f>
        <v>1923</v>
      </c>
      <c r="DI994" s="4" t="s">
        <v>241</v>
      </c>
      <c r="DJ994" s="4" t="s">
        <v>241</v>
      </c>
      <c r="DK994" s="4" t="s">
        <v>241</v>
      </c>
      <c r="DL994" s="4" t="s">
        <v>241</v>
      </c>
      <c r="DP994" s="4" t="s">
        <v>241</v>
      </c>
      <c r="DQ994" s="4" t="s">
        <v>241</v>
      </c>
      <c r="DR994" s="4" t="s">
        <v>241</v>
      </c>
      <c r="DS994" s="4" t="s">
        <v>241</v>
      </c>
      <c r="DV994" s="4" t="s">
        <v>278</v>
      </c>
      <c r="DW994" s="4" t="s">
        <v>778</v>
      </c>
      <c r="HO994" s="4" t="s">
        <v>267</v>
      </c>
    </row>
    <row r="995" spans="1:223" ht="19.5" customHeight="1" x14ac:dyDescent="0.4">
      <c r="A995" s="4">
        <v>1</v>
      </c>
      <c r="B995" s="4" t="s">
        <v>239</v>
      </c>
      <c r="C995" s="4">
        <v>2669</v>
      </c>
      <c r="D995" s="4">
        <v>1</v>
      </c>
      <c r="E995" s="4">
        <v>1</v>
      </c>
      <c r="F995" s="4" t="s">
        <v>268</v>
      </c>
      <c r="G995" s="4" t="s">
        <v>241</v>
      </c>
      <c r="H995" s="4" t="s">
        <v>241</v>
      </c>
      <c r="I995" s="4" t="s">
        <v>272</v>
      </c>
      <c r="J995" s="4" t="s">
        <v>274</v>
      </c>
      <c r="K995" s="4" t="s">
        <v>251</v>
      </c>
      <c r="L995" s="4" t="s">
        <v>269</v>
      </c>
      <c r="M995" s="5" t="s">
        <v>1326</v>
      </c>
      <c r="N995" s="6">
        <f>1768</f>
        <v>1768</v>
      </c>
      <c r="O995" s="4" t="s">
        <v>265</v>
      </c>
      <c r="P995" s="6">
        <f>1</f>
        <v>1</v>
      </c>
      <c r="Q995" s="6">
        <f>0</f>
        <v>0</v>
      </c>
      <c r="S995" s="6">
        <f>0</f>
        <v>0</v>
      </c>
      <c r="T995" s="6">
        <f>1</f>
        <v>1</v>
      </c>
      <c r="U995" s="5" t="s">
        <v>245</v>
      </c>
      <c r="V995" s="4" t="s">
        <v>270</v>
      </c>
      <c r="W995" s="4" t="s">
        <v>271</v>
      </c>
      <c r="X995" s="4" t="s">
        <v>273</v>
      </c>
      <c r="Y995" s="4" t="s">
        <v>241</v>
      </c>
      <c r="AB995" s="4" t="s">
        <v>241</v>
      </c>
      <c r="AD995" s="5" t="s">
        <v>241</v>
      </c>
      <c r="AG995" s="5" t="s">
        <v>246</v>
      </c>
      <c r="AH995" s="4" t="s">
        <v>241</v>
      </c>
      <c r="AI995" s="4" t="s">
        <v>247</v>
      </c>
      <c r="AJ995" s="4" t="s">
        <v>248</v>
      </c>
      <c r="AZ995" s="4" t="s">
        <v>249</v>
      </c>
      <c r="BA995" s="4" t="s">
        <v>241</v>
      </c>
      <c r="BB995" s="4" t="s">
        <v>250</v>
      </c>
      <c r="BC995" s="4" t="s">
        <v>241</v>
      </c>
      <c r="BD995" s="4" t="s">
        <v>252</v>
      </c>
      <c r="BE995" s="4" t="s">
        <v>241</v>
      </c>
      <c r="BI995" s="4" t="s">
        <v>253</v>
      </c>
      <c r="BJ995" s="5" t="s">
        <v>246</v>
      </c>
      <c r="BK995" s="4" t="s">
        <v>254</v>
      </c>
      <c r="BL995" s="4" t="s">
        <v>255</v>
      </c>
      <c r="BM995" s="4" t="s">
        <v>241</v>
      </c>
      <c r="BN995" s="6">
        <f>0</f>
        <v>0</v>
      </c>
      <c r="BO995" s="6">
        <f>0</f>
        <v>0</v>
      </c>
      <c r="BP995" s="4" t="s">
        <v>256</v>
      </c>
      <c r="BQ995" s="4" t="s">
        <v>257</v>
      </c>
      <c r="CE995" s="4" t="s">
        <v>241</v>
      </c>
      <c r="CF995" s="4" t="s">
        <v>241</v>
      </c>
      <c r="CJ995" s="4" t="s">
        <v>276</v>
      </c>
      <c r="CK995" s="4" t="s">
        <v>259</v>
      </c>
      <c r="CL995" s="4" t="s">
        <v>241</v>
      </c>
      <c r="CO995" s="5" t="s">
        <v>260</v>
      </c>
      <c r="CP995" s="4" t="s">
        <v>241</v>
      </c>
      <c r="CQ995" s="4" t="s">
        <v>261</v>
      </c>
      <c r="CR995" s="4" t="s">
        <v>241</v>
      </c>
      <c r="CS995" s="4" t="s">
        <v>241</v>
      </c>
      <c r="CT995" s="4">
        <v>0</v>
      </c>
      <c r="CU995" s="4" t="s">
        <v>262</v>
      </c>
      <c r="CV995" s="4" t="s">
        <v>263</v>
      </c>
      <c r="CW995" s="4" t="s">
        <v>263</v>
      </c>
      <c r="CX995" s="4" t="s">
        <v>264</v>
      </c>
      <c r="DA995" s="6">
        <f>1</f>
        <v>1</v>
      </c>
      <c r="DC995" s="4" t="s">
        <v>277</v>
      </c>
      <c r="DD995" s="4" t="s">
        <v>241</v>
      </c>
      <c r="DF995" s="4" t="s">
        <v>277</v>
      </c>
      <c r="DG995" s="6">
        <f>1768</f>
        <v>1768</v>
      </c>
      <c r="DI995" s="4" t="s">
        <v>241</v>
      </c>
      <c r="DJ995" s="4" t="s">
        <v>241</v>
      </c>
      <c r="DK995" s="4" t="s">
        <v>241</v>
      </c>
      <c r="DL995" s="4" t="s">
        <v>241</v>
      </c>
      <c r="DP995" s="4" t="s">
        <v>241</v>
      </c>
      <c r="DQ995" s="4" t="s">
        <v>241</v>
      </c>
      <c r="DR995" s="4" t="s">
        <v>241</v>
      </c>
      <c r="DS995" s="4" t="s">
        <v>241</v>
      </c>
      <c r="DV995" s="4" t="s">
        <v>278</v>
      </c>
      <c r="DW995" s="4" t="s">
        <v>601</v>
      </c>
      <c r="HO995" s="4" t="s">
        <v>267</v>
      </c>
    </row>
    <row r="996" spans="1:223" ht="19.5" customHeight="1" x14ac:dyDescent="0.4">
      <c r="A996" s="4">
        <v>1</v>
      </c>
      <c r="B996" s="4" t="s">
        <v>239</v>
      </c>
      <c r="C996" s="4">
        <v>2670</v>
      </c>
      <c r="D996" s="4">
        <v>1</v>
      </c>
      <c r="E996" s="4">
        <v>1</v>
      </c>
      <c r="F996" s="4" t="s">
        <v>268</v>
      </c>
      <c r="G996" s="4" t="s">
        <v>241</v>
      </c>
      <c r="H996" s="4" t="s">
        <v>241</v>
      </c>
      <c r="I996" s="4" t="s">
        <v>272</v>
      </c>
      <c r="J996" s="4" t="s">
        <v>274</v>
      </c>
      <c r="K996" s="4" t="s">
        <v>251</v>
      </c>
      <c r="L996" s="4" t="s">
        <v>269</v>
      </c>
      <c r="M996" s="5" t="s">
        <v>1324</v>
      </c>
      <c r="N996" s="6">
        <f>714</f>
        <v>714</v>
      </c>
      <c r="O996" s="4" t="s">
        <v>265</v>
      </c>
      <c r="P996" s="6">
        <f>1</f>
        <v>1</v>
      </c>
      <c r="Q996" s="6">
        <f>0</f>
        <v>0</v>
      </c>
      <c r="S996" s="6">
        <f>0</f>
        <v>0</v>
      </c>
      <c r="T996" s="6">
        <f>1</f>
        <v>1</v>
      </c>
      <c r="U996" s="5" t="s">
        <v>245</v>
      </c>
      <c r="V996" s="4" t="s">
        <v>270</v>
      </c>
      <c r="W996" s="4" t="s">
        <v>271</v>
      </c>
      <c r="X996" s="4" t="s">
        <v>273</v>
      </c>
      <c r="Y996" s="4" t="s">
        <v>241</v>
      </c>
      <c r="AB996" s="4" t="s">
        <v>241</v>
      </c>
      <c r="AD996" s="5" t="s">
        <v>241</v>
      </c>
      <c r="AG996" s="5" t="s">
        <v>246</v>
      </c>
      <c r="AH996" s="4" t="s">
        <v>241</v>
      </c>
      <c r="AI996" s="4" t="s">
        <v>247</v>
      </c>
      <c r="AJ996" s="4" t="s">
        <v>248</v>
      </c>
      <c r="AZ996" s="4" t="s">
        <v>249</v>
      </c>
      <c r="BA996" s="4" t="s">
        <v>241</v>
      </c>
      <c r="BB996" s="4" t="s">
        <v>250</v>
      </c>
      <c r="BC996" s="4" t="s">
        <v>241</v>
      </c>
      <c r="BD996" s="4" t="s">
        <v>252</v>
      </c>
      <c r="BE996" s="4" t="s">
        <v>241</v>
      </c>
      <c r="BI996" s="4" t="s">
        <v>253</v>
      </c>
      <c r="BJ996" s="5" t="s">
        <v>246</v>
      </c>
      <c r="BK996" s="4" t="s">
        <v>254</v>
      </c>
      <c r="BL996" s="4" t="s">
        <v>255</v>
      </c>
      <c r="BM996" s="4" t="s">
        <v>241</v>
      </c>
      <c r="BN996" s="6">
        <f>0</f>
        <v>0</v>
      </c>
      <c r="BO996" s="6">
        <f>0</f>
        <v>0</v>
      </c>
      <c r="BP996" s="4" t="s">
        <v>256</v>
      </c>
      <c r="BQ996" s="4" t="s">
        <v>257</v>
      </c>
      <c r="CE996" s="4" t="s">
        <v>241</v>
      </c>
      <c r="CF996" s="4" t="s">
        <v>241</v>
      </c>
      <c r="CJ996" s="4" t="s">
        <v>276</v>
      </c>
      <c r="CK996" s="4" t="s">
        <v>259</v>
      </c>
      <c r="CL996" s="4" t="s">
        <v>241</v>
      </c>
      <c r="CO996" s="5" t="s">
        <v>260</v>
      </c>
      <c r="CP996" s="4" t="s">
        <v>241</v>
      </c>
      <c r="CQ996" s="4" t="s">
        <v>261</v>
      </c>
      <c r="CR996" s="4" t="s">
        <v>241</v>
      </c>
      <c r="CS996" s="4" t="s">
        <v>241</v>
      </c>
      <c r="CT996" s="4">
        <v>0</v>
      </c>
      <c r="CU996" s="4" t="s">
        <v>262</v>
      </c>
      <c r="CV996" s="4" t="s">
        <v>263</v>
      </c>
      <c r="CW996" s="4" t="s">
        <v>263</v>
      </c>
      <c r="CX996" s="4" t="s">
        <v>264</v>
      </c>
      <c r="DA996" s="6">
        <f>1</f>
        <v>1</v>
      </c>
      <c r="DC996" s="4" t="s">
        <v>277</v>
      </c>
      <c r="DD996" s="4" t="s">
        <v>241</v>
      </c>
      <c r="DF996" s="4" t="s">
        <v>277</v>
      </c>
      <c r="DG996" s="6">
        <f>714</f>
        <v>714</v>
      </c>
      <c r="DI996" s="4" t="s">
        <v>241</v>
      </c>
      <c r="DJ996" s="4" t="s">
        <v>241</v>
      </c>
      <c r="DK996" s="4" t="s">
        <v>241</v>
      </c>
      <c r="DL996" s="4" t="s">
        <v>241</v>
      </c>
      <c r="DP996" s="4" t="s">
        <v>241</v>
      </c>
      <c r="DQ996" s="4" t="s">
        <v>241</v>
      </c>
      <c r="DR996" s="4" t="s">
        <v>241</v>
      </c>
      <c r="DS996" s="4" t="s">
        <v>241</v>
      </c>
      <c r="DV996" s="4" t="s">
        <v>278</v>
      </c>
      <c r="DW996" s="4" t="s">
        <v>607</v>
      </c>
      <c r="HO996" s="4" t="s">
        <v>267</v>
      </c>
    </row>
    <row r="997" spans="1:223" ht="19.5" customHeight="1" x14ac:dyDescent="0.4">
      <c r="A997" s="4">
        <v>1</v>
      </c>
      <c r="B997" s="4" t="s">
        <v>239</v>
      </c>
      <c r="C997" s="4">
        <v>2671</v>
      </c>
      <c r="D997" s="4">
        <v>1</v>
      </c>
      <c r="E997" s="4">
        <v>1</v>
      </c>
      <c r="F997" s="4" t="s">
        <v>268</v>
      </c>
      <c r="G997" s="4" t="s">
        <v>241</v>
      </c>
      <c r="H997" s="4" t="s">
        <v>241</v>
      </c>
      <c r="I997" s="4" t="s">
        <v>272</v>
      </c>
      <c r="J997" s="4" t="s">
        <v>274</v>
      </c>
      <c r="K997" s="4" t="s">
        <v>251</v>
      </c>
      <c r="L997" s="4" t="s">
        <v>269</v>
      </c>
      <c r="M997" s="5" t="s">
        <v>1323</v>
      </c>
      <c r="N997" s="6">
        <f>7175</f>
        <v>7175</v>
      </c>
      <c r="O997" s="4" t="s">
        <v>265</v>
      </c>
      <c r="P997" s="6">
        <f>1</f>
        <v>1</v>
      </c>
      <c r="Q997" s="6">
        <f>0</f>
        <v>0</v>
      </c>
      <c r="S997" s="6">
        <f>0</f>
        <v>0</v>
      </c>
      <c r="T997" s="6">
        <f>1</f>
        <v>1</v>
      </c>
      <c r="U997" s="5" t="s">
        <v>245</v>
      </c>
      <c r="V997" s="4" t="s">
        <v>270</v>
      </c>
      <c r="W997" s="4" t="s">
        <v>271</v>
      </c>
      <c r="X997" s="4" t="s">
        <v>273</v>
      </c>
      <c r="Y997" s="4" t="s">
        <v>241</v>
      </c>
      <c r="AB997" s="4" t="s">
        <v>241</v>
      </c>
      <c r="AD997" s="5" t="s">
        <v>241</v>
      </c>
      <c r="AG997" s="5" t="s">
        <v>246</v>
      </c>
      <c r="AH997" s="4" t="s">
        <v>241</v>
      </c>
      <c r="AI997" s="4" t="s">
        <v>247</v>
      </c>
      <c r="AJ997" s="4" t="s">
        <v>248</v>
      </c>
      <c r="AZ997" s="4" t="s">
        <v>249</v>
      </c>
      <c r="BA997" s="4" t="s">
        <v>241</v>
      </c>
      <c r="BB997" s="4" t="s">
        <v>250</v>
      </c>
      <c r="BC997" s="4" t="s">
        <v>241</v>
      </c>
      <c r="BD997" s="4" t="s">
        <v>252</v>
      </c>
      <c r="BE997" s="4" t="s">
        <v>241</v>
      </c>
      <c r="BI997" s="4" t="s">
        <v>253</v>
      </c>
      <c r="BJ997" s="5" t="s">
        <v>246</v>
      </c>
      <c r="BK997" s="4" t="s">
        <v>254</v>
      </c>
      <c r="BL997" s="4" t="s">
        <v>255</v>
      </c>
      <c r="BM997" s="4" t="s">
        <v>241</v>
      </c>
      <c r="BN997" s="6">
        <f>0</f>
        <v>0</v>
      </c>
      <c r="BO997" s="6">
        <f>0</f>
        <v>0</v>
      </c>
      <c r="BP997" s="4" t="s">
        <v>256</v>
      </c>
      <c r="BQ997" s="4" t="s">
        <v>257</v>
      </c>
      <c r="CE997" s="4" t="s">
        <v>241</v>
      </c>
      <c r="CF997" s="4" t="s">
        <v>241</v>
      </c>
      <c r="CJ997" s="4" t="s">
        <v>276</v>
      </c>
      <c r="CK997" s="4" t="s">
        <v>259</v>
      </c>
      <c r="CL997" s="4" t="s">
        <v>241</v>
      </c>
      <c r="CO997" s="5" t="s">
        <v>260</v>
      </c>
      <c r="CP997" s="4" t="s">
        <v>241</v>
      </c>
      <c r="CQ997" s="4" t="s">
        <v>261</v>
      </c>
      <c r="CR997" s="4" t="s">
        <v>241</v>
      </c>
      <c r="CS997" s="4" t="s">
        <v>241</v>
      </c>
      <c r="CT997" s="4">
        <v>0</v>
      </c>
      <c r="CU997" s="4" t="s">
        <v>262</v>
      </c>
      <c r="CV997" s="4" t="s">
        <v>263</v>
      </c>
      <c r="CW997" s="4" t="s">
        <v>263</v>
      </c>
      <c r="CX997" s="4" t="s">
        <v>264</v>
      </c>
      <c r="DA997" s="6">
        <f>1</f>
        <v>1</v>
      </c>
      <c r="DC997" s="4" t="s">
        <v>277</v>
      </c>
      <c r="DD997" s="4" t="s">
        <v>241</v>
      </c>
      <c r="DF997" s="4" t="s">
        <v>277</v>
      </c>
      <c r="DG997" s="6">
        <f>7175</f>
        <v>7175</v>
      </c>
      <c r="DI997" s="4" t="s">
        <v>241</v>
      </c>
      <c r="DJ997" s="4" t="s">
        <v>241</v>
      </c>
      <c r="DK997" s="4" t="s">
        <v>241</v>
      </c>
      <c r="DL997" s="4" t="s">
        <v>241</v>
      </c>
      <c r="DP997" s="4" t="s">
        <v>241</v>
      </c>
      <c r="DQ997" s="4" t="s">
        <v>241</v>
      </c>
      <c r="DR997" s="4" t="s">
        <v>241</v>
      </c>
      <c r="DS997" s="4" t="s">
        <v>241</v>
      </c>
      <c r="DV997" s="4" t="s">
        <v>278</v>
      </c>
      <c r="DW997" s="4" t="s">
        <v>611</v>
      </c>
      <c r="HO997" s="4" t="s">
        <v>267</v>
      </c>
    </row>
    <row r="998" spans="1:223" ht="19.5" customHeight="1" x14ac:dyDescent="0.4">
      <c r="A998" s="4">
        <v>1</v>
      </c>
      <c r="B998" s="4" t="s">
        <v>239</v>
      </c>
      <c r="C998" s="4">
        <v>2672</v>
      </c>
      <c r="D998" s="4">
        <v>1</v>
      </c>
      <c r="E998" s="4">
        <v>1</v>
      </c>
      <c r="F998" s="4" t="s">
        <v>268</v>
      </c>
      <c r="G998" s="4" t="s">
        <v>241</v>
      </c>
      <c r="H998" s="4" t="s">
        <v>241</v>
      </c>
      <c r="I998" s="4" t="s">
        <v>272</v>
      </c>
      <c r="J998" s="4" t="s">
        <v>274</v>
      </c>
      <c r="K998" s="4" t="s">
        <v>251</v>
      </c>
      <c r="L998" s="4" t="s">
        <v>269</v>
      </c>
      <c r="M998" s="5" t="s">
        <v>1319</v>
      </c>
      <c r="N998" s="6">
        <f>830</f>
        <v>830</v>
      </c>
      <c r="O998" s="4" t="s">
        <v>265</v>
      </c>
      <c r="P998" s="6">
        <f>1</f>
        <v>1</v>
      </c>
      <c r="Q998" s="6">
        <f>0</f>
        <v>0</v>
      </c>
      <c r="S998" s="6">
        <f>0</f>
        <v>0</v>
      </c>
      <c r="T998" s="6">
        <f>1</f>
        <v>1</v>
      </c>
      <c r="U998" s="5" t="s">
        <v>245</v>
      </c>
      <c r="V998" s="4" t="s">
        <v>270</v>
      </c>
      <c r="W998" s="4" t="s">
        <v>271</v>
      </c>
      <c r="X998" s="4" t="s">
        <v>273</v>
      </c>
      <c r="Y998" s="4" t="s">
        <v>241</v>
      </c>
      <c r="AB998" s="4" t="s">
        <v>241</v>
      </c>
      <c r="AD998" s="5" t="s">
        <v>241</v>
      </c>
      <c r="AG998" s="5" t="s">
        <v>246</v>
      </c>
      <c r="AH998" s="4" t="s">
        <v>241</v>
      </c>
      <c r="AI998" s="4" t="s">
        <v>247</v>
      </c>
      <c r="AJ998" s="4" t="s">
        <v>248</v>
      </c>
      <c r="AZ998" s="4" t="s">
        <v>249</v>
      </c>
      <c r="BA998" s="4" t="s">
        <v>241</v>
      </c>
      <c r="BB998" s="4" t="s">
        <v>250</v>
      </c>
      <c r="BC998" s="4" t="s">
        <v>241</v>
      </c>
      <c r="BD998" s="4" t="s">
        <v>252</v>
      </c>
      <c r="BE998" s="4" t="s">
        <v>241</v>
      </c>
      <c r="BI998" s="4" t="s">
        <v>253</v>
      </c>
      <c r="BJ998" s="5" t="s">
        <v>246</v>
      </c>
      <c r="BK998" s="4" t="s">
        <v>254</v>
      </c>
      <c r="BL998" s="4" t="s">
        <v>255</v>
      </c>
      <c r="BM998" s="4" t="s">
        <v>241</v>
      </c>
      <c r="BN998" s="6">
        <f>0</f>
        <v>0</v>
      </c>
      <c r="BO998" s="6">
        <f>0</f>
        <v>0</v>
      </c>
      <c r="BP998" s="4" t="s">
        <v>256</v>
      </c>
      <c r="BQ998" s="4" t="s">
        <v>257</v>
      </c>
      <c r="CE998" s="4" t="s">
        <v>241</v>
      </c>
      <c r="CF998" s="4" t="s">
        <v>241</v>
      </c>
      <c r="CJ998" s="4" t="s">
        <v>276</v>
      </c>
      <c r="CK998" s="4" t="s">
        <v>259</v>
      </c>
      <c r="CL998" s="4" t="s">
        <v>241</v>
      </c>
      <c r="CO998" s="5" t="s">
        <v>260</v>
      </c>
      <c r="CP998" s="4" t="s">
        <v>241</v>
      </c>
      <c r="CQ998" s="4" t="s">
        <v>261</v>
      </c>
      <c r="CR998" s="4" t="s">
        <v>241</v>
      </c>
      <c r="CS998" s="4" t="s">
        <v>241</v>
      </c>
      <c r="CT998" s="4">
        <v>0</v>
      </c>
      <c r="CU998" s="4" t="s">
        <v>262</v>
      </c>
      <c r="CV998" s="4" t="s">
        <v>263</v>
      </c>
      <c r="CW998" s="4" t="s">
        <v>263</v>
      </c>
      <c r="CX998" s="4" t="s">
        <v>264</v>
      </c>
      <c r="DA998" s="6">
        <f>1</f>
        <v>1</v>
      </c>
      <c r="DC998" s="4" t="s">
        <v>277</v>
      </c>
      <c r="DD998" s="4" t="s">
        <v>241</v>
      </c>
      <c r="DF998" s="4" t="s">
        <v>277</v>
      </c>
      <c r="DG998" s="6">
        <f>830</f>
        <v>830</v>
      </c>
      <c r="DI998" s="4" t="s">
        <v>241</v>
      </c>
      <c r="DJ998" s="4" t="s">
        <v>241</v>
      </c>
      <c r="DK998" s="4" t="s">
        <v>241</v>
      </c>
      <c r="DL998" s="4" t="s">
        <v>241</v>
      </c>
      <c r="DP998" s="4" t="s">
        <v>241</v>
      </c>
      <c r="DQ998" s="4" t="s">
        <v>241</v>
      </c>
      <c r="DR998" s="4" t="s">
        <v>241</v>
      </c>
      <c r="DS998" s="4" t="s">
        <v>241</v>
      </c>
      <c r="DV998" s="4" t="s">
        <v>278</v>
      </c>
      <c r="DW998" s="4" t="s">
        <v>617</v>
      </c>
      <c r="HO998" s="4" t="s">
        <v>267</v>
      </c>
    </row>
    <row r="999" spans="1:223" ht="19.5" customHeight="1" x14ac:dyDescent="0.4">
      <c r="A999" s="4">
        <v>1</v>
      </c>
      <c r="B999" s="4" t="s">
        <v>239</v>
      </c>
      <c r="C999" s="4">
        <v>2673</v>
      </c>
      <c r="D999" s="4">
        <v>1</v>
      </c>
      <c r="E999" s="4">
        <v>1</v>
      </c>
      <c r="F999" s="4" t="s">
        <v>268</v>
      </c>
      <c r="G999" s="4" t="s">
        <v>241</v>
      </c>
      <c r="H999" s="4" t="s">
        <v>241</v>
      </c>
      <c r="I999" s="4" t="s">
        <v>272</v>
      </c>
      <c r="J999" s="4" t="s">
        <v>274</v>
      </c>
      <c r="K999" s="4" t="s">
        <v>251</v>
      </c>
      <c r="L999" s="4" t="s">
        <v>269</v>
      </c>
      <c r="M999" s="5" t="s">
        <v>1315</v>
      </c>
      <c r="N999" s="6">
        <f>259</f>
        <v>259</v>
      </c>
      <c r="O999" s="4" t="s">
        <v>265</v>
      </c>
      <c r="P999" s="6">
        <f>1</f>
        <v>1</v>
      </c>
      <c r="Q999" s="6">
        <f>0</f>
        <v>0</v>
      </c>
      <c r="S999" s="6">
        <f>0</f>
        <v>0</v>
      </c>
      <c r="T999" s="6">
        <f>1</f>
        <v>1</v>
      </c>
      <c r="U999" s="5" t="s">
        <v>245</v>
      </c>
      <c r="V999" s="4" t="s">
        <v>270</v>
      </c>
      <c r="W999" s="4" t="s">
        <v>271</v>
      </c>
      <c r="X999" s="4" t="s">
        <v>273</v>
      </c>
      <c r="Y999" s="4" t="s">
        <v>241</v>
      </c>
      <c r="AB999" s="4" t="s">
        <v>241</v>
      </c>
      <c r="AD999" s="5" t="s">
        <v>241</v>
      </c>
      <c r="AG999" s="5" t="s">
        <v>246</v>
      </c>
      <c r="AH999" s="4" t="s">
        <v>241</v>
      </c>
      <c r="AI999" s="4" t="s">
        <v>247</v>
      </c>
      <c r="AJ999" s="4" t="s">
        <v>248</v>
      </c>
      <c r="AZ999" s="4" t="s">
        <v>249</v>
      </c>
      <c r="BA999" s="4" t="s">
        <v>241</v>
      </c>
      <c r="BB999" s="4" t="s">
        <v>250</v>
      </c>
      <c r="BC999" s="4" t="s">
        <v>241</v>
      </c>
      <c r="BD999" s="4" t="s">
        <v>252</v>
      </c>
      <c r="BE999" s="4" t="s">
        <v>241</v>
      </c>
      <c r="BI999" s="4" t="s">
        <v>253</v>
      </c>
      <c r="BJ999" s="5" t="s">
        <v>246</v>
      </c>
      <c r="BK999" s="4" t="s">
        <v>254</v>
      </c>
      <c r="BL999" s="4" t="s">
        <v>255</v>
      </c>
      <c r="BM999" s="4" t="s">
        <v>241</v>
      </c>
      <c r="BN999" s="6">
        <f>0</f>
        <v>0</v>
      </c>
      <c r="BO999" s="6">
        <f>0</f>
        <v>0</v>
      </c>
      <c r="BP999" s="4" t="s">
        <v>256</v>
      </c>
      <c r="BQ999" s="4" t="s">
        <v>257</v>
      </c>
      <c r="CE999" s="4" t="s">
        <v>241</v>
      </c>
      <c r="CF999" s="4" t="s">
        <v>241</v>
      </c>
      <c r="CJ999" s="4" t="s">
        <v>276</v>
      </c>
      <c r="CK999" s="4" t="s">
        <v>259</v>
      </c>
      <c r="CL999" s="4" t="s">
        <v>241</v>
      </c>
      <c r="CO999" s="5" t="s">
        <v>260</v>
      </c>
      <c r="CP999" s="4" t="s">
        <v>241</v>
      </c>
      <c r="CQ999" s="4" t="s">
        <v>261</v>
      </c>
      <c r="CR999" s="4" t="s">
        <v>241</v>
      </c>
      <c r="CS999" s="4" t="s">
        <v>241</v>
      </c>
      <c r="CT999" s="4">
        <v>0</v>
      </c>
      <c r="CU999" s="4" t="s">
        <v>262</v>
      </c>
      <c r="CV999" s="4" t="s">
        <v>263</v>
      </c>
      <c r="CW999" s="4" t="s">
        <v>263</v>
      </c>
      <c r="CX999" s="4" t="s">
        <v>264</v>
      </c>
      <c r="DA999" s="6">
        <f>1</f>
        <v>1</v>
      </c>
      <c r="DC999" s="4" t="s">
        <v>277</v>
      </c>
      <c r="DD999" s="4" t="s">
        <v>241</v>
      </c>
      <c r="DF999" s="4" t="s">
        <v>277</v>
      </c>
      <c r="DG999" s="6">
        <f>259</f>
        <v>259</v>
      </c>
      <c r="DI999" s="4" t="s">
        <v>241</v>
      </c>
      <c r="DJ999" s="4" t="s">
        <v>241</v>
      </c>
      <c r="DK999" s="4" t="s">
        <v>241</v>
      </c>
      <c r="DL999" s="4" t="s">
        <v>241</v>
      </c>
      <c r="DP999" s="4" t="s">
        <v>241</v>
      </c>
      <c r="DQ999" s="4" t="s">
        <v>241</v>
      </c>
      <c r="DR999" s="4" t="s">
        <v>241</v>
      </c>
      <c r="DS999" s="4" t="s">
        <v>241</v>
      </c>
      <c r="DV999" s="4" t="s">
        <v>278</v>
      </c>
      <c r="DW999" s="4" t="s">
        <v>621</v>
      </c>
      <c r="HO999" s="4" t="s">
        <v>267</v>
      </c>
    </row>
    <row r="1000" spans="1:223" ht="19.5" customHeight="1" x14ac:dyDescent="0.4">
      <c r="A1000" s="4">
        <v>1</v>
      </c>
      <c r="B1000" s="4" t="s">
        <v>239</v>
      </c>
      <c r="C1000" s="4">
        <v>2674</v>
      </c>
      <c r="D1000" s="4">
        <v>1</v>
      </c>
      <c r="E1000" s="4">
        <v>1</v>
      </c>
      <c r="F1000" s="4" t="s">
        <v>268</v>
      </c>
      <c r="G1000" s="4" t="s">
        <v>241</v>
      </c>
      <c r="H1000" s="4" t="s">
        <v>241</v>
      </c>
      <c r="I1000" s="4" t="s">
        <v>272</v>
      </c>
      <c r="J1000" s="4" t="s">
        <v>274</v>
      </c>
      <c r="K1000" s="4" t="s">
        <v>251</v>
      </c>
      <c r="L1000" s="4" t="s">
        <v>269</v>
      </c>
      <c r="M1000" s="5" t="s">
        <v>1310</v>
      </c>
      <c r="N1000" s="6">
        <f>60</f>
        <v>60</v>
      </c>
      <c r="O1000" s="4" t="s">
        <v>265</v>
      </c>
      <c r="P1000" s="6">
        <f>1</f>
        <v>1</v>
      </c>
      <c r="Q1000" s="6">
        <f>0</f>
        <v>0</v>
      </c>
      <c r="S1000" s="6">
        <f>0</f>
        <v>0</v>
      </c>
      <c r="T1000" s="6">
        <f>1</f>
        <v>1</v>
      </c>
      <c r="U1000" s="5" t="s">
        <v>245</v>
      </c>
      <c r="V1000" s="4" t="s">
        <v>270</v>
      </c>
      <c r="W1000" s="4" t="s">
        <v>271</v>
      </c>
      <c r="X1000" s="4" t="s">
        <v>273</v>
      </c>
      <c r="Y1000" s="4" t="s">
        <v>241</v>
      </c>
      <c r="AB1000" s="4" t="s">
        <v>241</v>
      </c>
      <c r="AD1000" s="5" t="s">
        <v>241</v>
      </c>
      <c r="AG1000" s="5" t="s">
        <v>246</v>
      </c>
      <c r="AH1000" s="4" t="s">
        <v>241</v>
      </c>
      <c r="AI1000" s="4" t="s">
        <v>247</v>
      </c>
      <c r="AJ1000" s="4" t="s">
        <v>248</v>
      </c>
      <c r="AZ1000" s="4" t="s">
        <v>249</v>
      </c>
      <c r="BA1000" s="4" t="s">
        <v>241</v>
      </c>
      <c r="BB1000" s="4" t="s">
        <v>250</v>
      </c>
      <c r="BC1000" s="4" t="s">
        <v>241</v>
      </c>
      <c r="BD1000" s="4" t="s">
        <v>252</v>
      </c>
      <c r="BE1000" s="4" t="s">
        <v>241</v>
      </c>
      <c r="BI1000" s="4" t="s">
        <v>253</v>
      </c>
      <c r="BJ1000" s="5" t="s">
        <v>246</v>
      </c>
      <c r="BK1000" s="4" t="s">
        <v>254</v>
      </c>
      <c r="BL1000" s="4" t="s">
        <v>255</v>
      </c>
      <c r="BM1000" s="4" t="s">
        <v>241</v>
      </c>
      <c r="BN1000" s="6">
        <f>0</f>
        <v>0</v>
      </c>
      <c r="BO1000" s="6">
        <f>0</f>
        <v>0</v>
      </c>
      <c r="BP1000" s="4" t="s">
        <v>256</v>
      </c>
      <c r="BQ1000" s="4" t="s">
        <v>257</v>
      </c>
      <c r="CE1000" s="4" t="s">
        <v>241</v>
      </c>
      <c r="CF1000" s="4" t="s">
        <v>241</v>
      </c>
      <c r="CJ1000" s="4" t="s">
        <v>276</v>
      </c>
      <c r="CK1000" s="4" t="s">
        <v>259</v>
      </c>
      <c r="CL1000" s="4" t="s">
        <v>241</v>
      </c>
      <c r="CO1000" s="5" t="s">
        <v>260</v>
      </c>
      <c r="CP1000" s="4" t="s">
        <v>241</v>
      </c>
      <c r="CQ1000" s="4" t="s">
        <v>261</v>
      </c>
      <c r="CR1000" s="4" t="s">
        <v>241</v>
      </c>
      <c r="CS1000" s="4" t="s">
        <v>241</v>
      </c>
      <c r="CT1000" s="4">
        <v>0</v>
      </c>
      <c r="CU1000" s="4" t="s">
        <v>262</v>
      </c>
      <c r="CV1000" s="4" t="s">
        <v>263</v>
      </c>
      <c r="CW1000" s="4" t="s">
        <v>263</v>
      </c>
      <c r="CX1000" s="4" t="s">
        <v>264</v>
      </c>
      <c r="DA1000" s="6">
        <f>1</f>
        <v>1</v>
      </c>
      <c r="DC1000" s="4" t="s">
        <v>277</v>
      </c>
      <c r="DD1000" s="4" t="s">
        <v>241</v>
      </c>
      <c r="DF1000" s="4" t="s">
        <v>277</v>
      </c>
      <c r="DG1000" s="6">
        <f>60</f>
        <v>60</v>
      </c>
      <c r="DI1000" s="4" t="s">
        <v>241</v>
      </c>
      <c r="DJ1000" s="4" t="s">
        <v>241</v>
      </c>
      <c r="DK1000" s="4" t="s">
        <v>241</v>
      </c>
      <c r="DL1000" s="4" t="s">
        <v>241</v>
      </c>
      <c r="DP1000" s="4" t="s">
        <v>241</v>
      </c>
      <c r="DQ1000" s="4" t="s">
        <v>241</v>
      </c>
      <c r="DR1000" s="4" t="s">
        <v>241</v>
      </c>
      <c r="DS1000" s="4" t="s">
        <v>241</v>
      </c>
      <c r="DV1000" s="4" t="s">
        <v>278</v>
      </c>
      <c r="DW1000" s="4" t="s">
        <v>625</v>
      </c>
      <c r="HO1000" s="4" t="s">
        <v>267</v>
      </c>
    </row>
    <row r="1001" spans="1:223" ht="19.5" customHeight="1" x14ac:dyDescent="0.4">
      <c r="A1001" s="4">
        <v>1</v>
      </c>
      <c r="B1001" s="4" t="s">
        <v>239</v>
      </c>
      <c r="C1001" s="4">
        <v>2675</v>
      </c>
      <c r="D1001" s="4">
        <v>1</v>
      </c>
      <c r="E1001" s="4">
        <v>1</v>
      </c>
      <c r="F1001" s="4" t="s">
        <v>268</v>
      </c>
      <c r="G1001" s="4" t="s">
        <v>241</v>
      </c>
      <c r="H1001" s="4" t="s">
        <v>241</v>
      </c>
      <c r="I1001" s="4" t="s">
        <v>272</v>
      </c>
      <c r="J1001" s="4" t="s">
        <v>274</v>
      </c>
      <c r="K1001" s="4" t="s">
        <v>251</v>
      </c>
      <c r="L1001" s="4" t="s">
        <v>269</v>
      </c>
      <c r="M1001" s="5" t="s">
        <v>1308</v>
      </c>
      <c r="N1001" s="6">
        <f>6305</f>
        <v>6305</v>
      </c>
      <c r="O1001" s="4" t="s">
        <v>265</v>
      </c>
      <c r="P1001" s="6">
        <f>1</f>
        <v>1</v>
      </c>
      <c r="Q1001" s="6">
        <f>0</f>
        <v>0</v>
      </c>
      <c r="S1001" s="6">
        <f>0</f>
        <v>0</v>
      </c>
      <c r="T1001" s="6">
        <f>1</f>
        <v>1</v>
      </c>
      <c r="U1001" s="5" t="s">
        <v>245</v>
      </c>
      <c r="V1001" s="4" t="s">
        <v>270</v>
      </c>
      <c r="W1001" s="4" t="s">
        <v>271</v>
      </c>
      <c r="X1001" s="4" t="s">
        <v>273</v>
      </c>
      <c r="Y1001" s="4" t="s">
        <v>241</v>
      </c>
      <c r="AB1001" s="4" t="s">
        <v>241</v>
      </c>
      <c r="AD1001" s="5" t="s">
        <v>241</v>
      </c>
      <c r="AG1001" s="5" t="s">
        <v>246</v>
      </c>
      <c r="AH1001" s="4" t="s">
        <v>241</v>
      </c>
      <c r="AI1001" s="4" t="s">
        <v>247</v>
      </c>
      <c r="AJ1001" s="4" t="s">
        <v>248</v>
      </c>
      <c r="AZ1001" s="4" t="s">
        <v>249</v>
      </c>
      <c r="BA1001" s="4" t="s">
        <v>241</v>
      </c>
      <c r="BB1001" s="4" t="s">
        <v>250</v>
      </c>
      <c r="BC1001" s="4" t="s">
        <v>241</v>
      </c>
      <c r="BD1001" s="4" t="s">
        <v>252</v>
      </c>
      <c r="BE1001" s="4" t="s">
        <v>241</v>
      </c>
      <c r="BI1001" s="4" t="s">
        <v>253</v>
      </c>
      <c r="BJ1001" s="5" t="s">
        <v>246</v>
      </c>
      <c r="BK1001" s="4" t="s">
        <v>254</v>
      </c>
      <c r="BL1001" s="4" t="s">
        <v>255</v>
      </c>
      <c r="BM1001" s="4" t="s">
        <v>241</v>
      </c>
      <c r="BN1001" s="6">
        <f>0</f>
        <v>0</v>
      </c>
      <c r="BO1001" s="6">
        <f>0</f>
        <v>0</v>
      </c>
      <c r="BP1001" s="4" t="s">
        <v>256</v>
      </c>
      <c r="BQ1001" s="4" t="s">
        <v>257</v>
      </c>
      <c r="CE1001" s="4" t="s">
        <v>241</v>
      </c>
      <c r="CF1001" s="4" t="s">
        <v>241</v>
      </c>
      <c r="CJ1001" s="4" t="s">
        <v>276</v>
      </c>
      <c r="CK1001" s="4" t="s">
        <v>259</v>
      </c>
      <c r="CL1001" s="4" t="s">
        <v>241</v>
      </c>
      <c r="CO1001" s="5" t="s">
        <v>260</v>
      </c>
      <c r="CP1001" s="4" t="s">
        <v>241</v>
      </c>
      <c r="CQ1001" s="4" t="s">
        <v>261</v>
      </c>
      <c r="CR1001" s="4" t="s">
        <v>241</v>
      </c>
      <c r="CS1001" s="4" t="s">
        <v>241</v>
      </c>
      <c r="CT1001" s="4">
        <v>0</v>
      </c>
      <c r="CU1001" s="4" t="s">
        <v>262</v>
      </c>
      <c r="CV1001" s="4" t="s">
        <v>263</v>
      </c>
      <c r="CW1001" s="4" t="s">
        <v>263</v>
      </c>
      <c r="CX1001" s="4" t="s">
        <v>264</v>
      </c>
      <c r="DA1001" s="6">
        <f>1</f>
        <v>1</v>
      </c>
      <c r="DC1001" s="4" t="s">
        <v>277</v>
      </c>
      <c r="DD1001" s="4" t="s">
        <v>241</v>
      </c>
      <c r="DF1001" s="4" t="s">
        <v>277</v>
      </c>
      <c r="DG1001" s="6">
        <f>6305</f>
        <v>6305</v>
      </c>
      <c r="DI1001" s="4" t="s">
        <v>241</v>
      </c>
      <c r="DJ1001" s="4" t="s">
        <v>241</v>
      </c>
      <c r="DK1001" s="4" t="s">
        <v>241</v>
      </c>
      <c r="DL1001" s="4" t="s">
        <v>241</v>
      </c>
      <c r="DP1001" s="4" t="s">
        <v>241</v>
      </c>
      <c r="DQ1001" s="4" t="s">
        <v>241</v>
      </c>
      <c r="DR1001" s="4" t="s">
        <v>241</v>
      </c>
      <c r="DS1001" s="4" t="s">
        <v>241</v>
      </c>
      <c r="DV1001" s="4" t="s">
        <v>278</v>
      </c>
      <c r="DW1001" s="4" t="s">
        <v>627</v>
      </c>
      <c r="HO1001" s="4" t="s">
        <v>267</v>
      </c>
    </row>
    <row r="1002" spans="1:223" ht="19.5" customHeight="1" x14ac:dyDescent="0.4">
      <c r="A1002" s="4">
        <v>1</v>
      </c>
      <c r="B1002" s="4" t="s">
        <v>239</v>
      </c>
      <c r="C1002" s="4">
        <v>2676</v>
      </c>
      <c r="D1002" s="4">
        <v>1</v>
      </c>
      <c r="E1002" s="4">
        <v>1</v>
      </c>
      <c r="F1002" s="4" t="s">
        <v>268</v>
      </c>
      <c r="G1002" s="4" t="s">
        <v>241</v>
      </c>
      <c r="H1002" s="4" t="s">
        <v>241</v>
      </c>
      <c r="I1002" s="4" t="s">
        <v>272</v>
      </c>
      <c r="J1002" s="4" t="s">
        <v>274</v>
      </c>
      <c r="K1002" s="4" t="s">
        <v>251</v>
      </c>
      <c r="L1002" s="4" t="s">
        <v>269</v>
      </c>
      <c r="M1002" s="5" t="s">
        <v>1304</v>
      </c>
      <c r="N1002" s="6">
        <f>4.56</f>
        <v>4.5599999999999996</v>
      </c>
      <c r="O1002" s="4" t="s">
        <v>265</v>
      </c>
      <c r="P1002" s="6">
        <f>1</f>
        <v>1</v>
      </c>
      <c r="Q1002" s="6">
        <f>0</f>
        <v>0</v>
      </c>
      <c r="S1002" s="6">
        <f>0</f>
        <v>0</v>
      </c>
      <c r="T1002" s="6">
        <f>1</f>
        <v>1</v>
      </c>
      <c r="U1002" s="5" t="s">
        <v>245</v>
      </c>
      <c r="V1002" s="4" t="s">
        <v>270</v>
      </c>
      <c r="W1002" s="4" t="s">
        <v>271</v>
      </c>
      <c r="X1002" s="4" t="s">
        <v>273</v>
      </c>
      <c r="Y1002" s="4" t="s">
        <v>241</v>
      </c>
      <c r="AB1002" s="4" t="s">
        <v>241</v>
      </c>
      <c r="AD1002" s="5" t="s">
        <v>241</v>
      </c>
      <c r="AG1002" s="5" t="s">
        <v>246</v>
      </c>
      <c r="AH1002" s="4" t="s">
        <v>241</v>
      </c>
      <c r="AI1002" s="4" t="s">
        <v>247</v>
      </c>
      <c r="AJ1002" s="4" t="s">
        <v>248</v>
      </c>
      <c r="AZ1002" s="4" t="s">
        <v>249</v>
      </c>
      <c r="BA1002" s="4" t="s">
        <v>241</v>
      </c>
      <c r="BB1002" s="4" t="s">
        <v>250</v>
      </c>
      <c r="BC1002" s="4" t="s">
        <v>241</v>
      </c>
      <c r="BD1002" s="4" t="s">
        <v>252</v>
      </c>
      <c r="BE1002" s="4" t="s">
        <v>241</v>
      </c>
      <c r="BI1002" s="4" t="s">
        <v>253</v>
      </c>
      <c r="BJ1002" s="5" t="s">
        <v>246</v>
      </c>
      <c r="BK1002" s="4" t="s">
        <v>254</v>
      </c>
      <c r="BL1002" s="4" t="s">
        <v>255</v>
      </c>
      <c r="BM1002" s="4" t="s">
        <v>241</v>
      </c>
      <c r="BN1002" s="6">
        <f>0</f>
        <v>0</v>
      </c>
      <c r="BO1002" s="6">
        <f>0</f>
        <v>0</v>
      </c>
      <c r="BP1002" s="4" t="s">
        <v>256</v>
      </c>
      <c r="BQ1002" s="4" t="s">
        <v>257</v>
      </c>
      <c r="CE1002" s="4" t="s">
        <v>241</v>
      </c>
      <c r="CF1002" s="4" t="s">
        <v>241</v>
      </c>
      <c r="CJ1002" s="4" t="s">
        <v>276</v>
      </c>
      <c r="CK1002" s="4" t="s">
        <v>259</v>
      </c>
      <c r="CL1002" s="4" t="s">
        <v>241</v>
      </c>
      <c r="CO1002" s="5" t="s">
        <v>260</v>
      </c>
      <c r="CP1002" s="4" t="s">
        <v>241</v>
      </c>
      <c r="CQ1002" s="4" t="s">
        <v>261</v>
      </c>
      <c r="CR1002" s="4" t="s">
        <v>241</v>
      </c>
      <c r="CS1002" s="4" t="s">
        <v>241</v>
      </c>
      <c r="CT1002" s="4">
        <v>0</v>
      </c>
      <c r="CU1002" s="4" t="s">
        <v>262</v>
      </c>
      <c r="CV1002" s="4" t="s">
        <v>263</v>
      </c>
      <c r="CW1002" s="4" t="s">
        <v>263</v>
      </c>
      <c r="CX1002" s="4" t="s">
        <v>264</v>
      </c>
      <c r="DA1002" s="6">
        <f>1</f>
        <v>1</v>
      </c>
      <c r="DC1002" s="4" t="s">
        <v>277</v>
      </c>
      <c r="DD1002" s="4" t="s">
        <v>241</v>
      </c>
      <c r="DF1002" s="4" t="s">
        <v>277</v>
      </c>
      <c r="DG1002" s="6">
        <f>4.56</f>
        <v>4.5599999999999996</v>
      </c>
      <c r="DI1002" s="4" t="s">
        <v>241</v>
      </c>
      <c r="DJ1002" s="4" t="s">
        <v>241</v>
      </c>
      <c r="DK1002" s="4" t="s">
        <v>241</v>
      </c>
      <c r="DL1002" s="4" t="s">
        <v>241</v>
      </c>
      <c r="DP1002" s="4" t="s">
        <v>241</v>
      </c>
      <c r="DQ1002" s="4" t="s">
        <v>241</v>
      </c>
      <c r="DR1002" s="4" t="s">
        <v>241</v>
      </c>
      <c r="DS1002" s="4" t="s">
        <v>241</v>
      </c>
      <c r="DV1002" s="4" t="s">
        <v>278</v>
      </c>
      <c r="DW1002" s="4" t="s">
        <v>632</v>
      </c>
      <c r="HO1002" s="4" t="s">
        <v>267</v>
      </c>
    </row>
    <row r="1003" spans="1:223" ht="19.5" customHeight="1" x14ac:dyDescent="0.4">
      <c r="A1003" s="4">
        <v>1</v>
      </c>
      <c r="B1003" s="4" t="s">
        <v>239</v>
      </c>
      <c r="C1003" s="4">
        <v>2677</v>
      </c>
      <c r="D1003" s="4">
        <v>1</v>
      </c>
      <c r="E1003" s="4">
        <v>1</v>
      </c>
      <c r="F1003" s="4" t="s">
        <v>268</v>
      </c>
      <c r="G1003" s="4" t="s">
        <v>241</v>
      </c>
      <c r="H1003" s="4" t="s">
        <v>241</v>
      </c>
      <c r="I1003" s="4" t="s">
        <v>272</v>
      </c>
      <c r="J1003" s="4" t="s">
        <v>274</v>
      </c>
      <c r="K1003" s="4" t="s">
        <v>251</v>
      </c>
      <c r="L1003" s="4" t="s">
        <v>269</v>
      </c>
      <c r="M1003" s="5" t="s">
        <v>1299</v>
      </c>
      <c r="N1003" s="6">
        <f>15</f>
        <v>15</v>
      </c>
      <c r="O1003" s="4" t="s">
        <v>265</v>
      </c>
      <c r="P1003" s="6">
        <f>1</f>
        <v>1</v>
      </c>
      <c r="Q1003" s="6">
        <f>0</f>
        <v>0</v>
      </c>
      <c r="S1003" s="6">
        <f>0</f>
        <v>0</v>
      </c>
      <c r="T1003" s="6">
        <f>1</f>
        <v>1</v>
      </c>
      <c r="U1003" s="5" t="s">
        <v>245</v>
      </c>
      <c r="V1003" s="4" t="s">
        <v>270</v>
      </c>
      <c r="W1003" s="4" t="s">
        <v>271</v>
      </c>
      <c r="X1003" s="4" t="s">
        <v>273</v>
      </c>
      <c r="Y1003" s="4" t="s">
        <v>241</v>
      </c>
      <c r="AB1003" s="4" t="s">
        <v>241</v>
      </c>
      <c r="AD1003" s="5" t="s">
        <v>241</v>
      </c>
      <c r="AG1003" s="5" t="s">
        <v>246</v>
      </c>
      <c r="AH1003" s="4" t="s">
        <v>241</v>
      </c>
      <c r="AI1003" s="4" t="s">
        <v>247</v>
      </c>
      <c r="AJ1003" s="4" t="s">
        <v>248</v>
      </c>
      <c r="AZ1003" s="4" t="s">
        <v>249</v>
      </c>
      <c r="BA1003" s="4" t="s">
        <v>241</v>
      </c>
      <c r="BB1003" s="4" t="s">
        <v>250</v>
      </c>
      <c r="BC1003" s="4" t="s">
        <v>241</v>
      </c>
      <c r="BD1003" s="4" t="s">
        <v>252</v>
      </c>
      <c r="BE1003" s="4" t="s">
        <v>241</v>
      </c>
      <c r="BI1003" s="4" t="s">
        <v>253</v>
      </c>
      <c r="BJ1003" s="5" t="s">
        <v>246</v>
      </c>
      <c r="BK1003" s="4" t="s">
        <v>254</v>
      </c>
      <c r="BL1003" s="4" t="s">
        <v>255</v>
      </c>
      <c r="BM1003" s="4" t="s">
        <v>241</v>
      </c>
      <c r="BN1003" s="6">
        <f>0</f>
        <v>0</v>
      </c>
      <c r="BO1003" s="6">
        <f>0</f>
        <v>0</v>
      </c>
      <c r="BP1003" s="4" t="s">
        <v>256</v>
      </c>
      <c r="BQ1003" s="4" t="s">
        <v>257</v>
      </c>
      <c r="CE1003" s="4" t="s">
        <v>241</v>
      </c>
      <c r="CF1003" s="4" t="s">
        <v>241</v>
      </c>
      <c r="CJ1003" s="4" t="s">
        <v>276</v>
      </c>
      <c r="CK1003" s="4" t="s">
        <v>259</v>
      </c>
      <c r="CL1003" s="4" t="s">
        <v>241</v>
      </c>
      <c r="CO1003" s="5" t="s">
        <v>260</v>
      </c>
      <c r="CP1003" s="4" t="s">
        <v>241</v>
      </c>
      <c r="CQ1003" s="4" t="s">
        <v>261</v>
      </c>
      <c r="CR1003" s="4" t="s">
        <v>241</v>
      </c>
      <c r="CS1003" s="4" t="s">
        <v>241</v>
      </c>
      <c r="CT1003" s="4">
        <v>0</v>
      </c>
      <c r="CU1003" s="4" t="s">
        <v>262</v>
      </c>
      <c r="CV1003" s="4" t="s">
        <v>263</v>
      </c>
      <c r="CW1003" s="4" t="s">
        <v>263</v>
      </c>
      <c r="CX1003" s="4" t="s">
        <v>264</v>
      </c>
      <c r="DA1003" s="6">
        <f>1</f>
        <v>1</v>
      </c>
      <c r="DC1003" s="4" t="s">
        <v>277</v>
      </c>
      <c r="DD1003" s="4" t="s">
        <v>241</v>
      </c>
      <c r="DF1003" s="4" t="s">
        <v>277</v>
      </c>
      <c r="DG1003" s="6">
        <f>15</f>
        <v>15</v>
      </c>
      <c r="DI1003" s="4" t="s">
        <v>241</v>
      </c>
      <c r="DJ1003" s="4" t="s">
        <v>241</v>
      </c>
      <c r="DK1003" s="4" t="s">
        <v>241</v>
      </c>
      <c r="DL1003" s="4" t="s">
        <v>241</v>
      </c>
      <c r="DP1003" s="4" t="s">
        <v>241</v>
      </c>
      <c r="DQ1003" s="4" t="s">
        <v>241</v>
      </c>
      <c r="DR1003" s="4" t="s">
        <v>241</v>
      </c>
      <c r="DS1003" s="4" t="s">
        <v>241</v>
      </c>
      <c r="DV1003" s="4" t="s">
        <v>278</v>
      </c>
      <c r="DW1003" s="4" t="s">
        <v>1300</v>
      </c>
      <c r="HO1003" s="4" t="s">
        <v>267</v>
      </c>
    </row>
    <row r="1004" spans="1:223" ht="19.5" customHeight="1" x14ac:dyDescent="0.4">
      <c r="A1004" s="4">
        <v>1</v>
      </c>
      <c r="B1004" s="4" t="s">
        <v>239</v>
      </c>
      <c r="C1004" s="4">
        <v>2678</v>
      </c>
      <c r="D1004" s="4">
        <v>1</v>
      </c>
      <c r="E1004" s="4">
        <v>1</v>
      </c>
      <c r="F1004" s="4" t="s">
        <v>268</v>
      </c>
      <c r="G1004" s="4" t="s">
        <v>241</v>
      </c>
      <c r="H1004" s="4" t="s">
        <v>241</v>
      </c>
      <c r="I1004" s="4" t="s">
        <v>272</v>
      </c>
      <c r="J1004" s="4" t="s">
        <v>274</v>
      </c>
      <c r="K1004" s="4" t="s">
        <v>251</v>
      </c>
      <c r="L1004" s="4" t="s">
        <v>269</v>
      </c>
      <c r="M1004" s="5" t="s">
        <v>1293</v>
      </c>
      <c r="N1004" s="6">
        <f>664</f>
        <v>664</v>
      </c>
      <c r="O1004" s="4" t="s">
        <v>265</v>
      </c>
      <c r="P1004" s="6">
        <f>1</f>
        <v>1</v>
      </c>
      <c r="Q1004" s="6">
        <f>0</f>
        <v>0</v>
      </c>
      <c r="S1004" s="6">
        <f>0</f>
        <v>0</v>
      </c>
      <c r="T1004" s="6">
        <f>1</f>
        <v>1</v>
      </c>
      <c r="U1004" s="5" t="s">
        <v>245</v>
      </c>
      <c r="V1004" s="4" t="s">
        <v>270</v>
      </c>
      <c r="W1004" s="4" t="s">
        <v>271</v>
      </c>
      <c r="X1004" s="4" t="s">
        <v>273</v>
      </c>
      <c r="Y1004" s="4" t="s">
        <v>241</v>
      </c>
      <c r="AB1004" s="4" t="s">
        <v>241</v>
      </c>
      <c r="AD1004" s="5" t="s">
        <v>241</v>
      </c>
      <c r="AG1004" s="5" t="s">
        <v>246</v>
      </c>
      <c r="AH1004" s="4" t="s">
        <v>241</v>
      </c>
      <c r="AI1004" s="4" t="s">
        <v>247</v>
      </c>
      <c r="AJ1004" s="4" t="s">
        <v>248</v>
      </c>
      <c r="AZ1004" s="4" t="s">
        <v>249</v>
      </c>
      <c r="BA1004" s="4" t="s">
        <v>241</v>
      </c>
      <c r="BB1004" s="4" t="s">
        <v>250</v>
      </c>
      <c r="BC1004" s="4" t="s">
        <v>241</v>
      </c>
      <c r="BD1004" s="4" t="s">
        <v>252</v>
      </c>
      <c r="BE1004" s="4" t="s">
        <v>241</v>
      </c>
      <c r="BI1004" s="4" t="s">
        <v>253</v>
      </c>
      <c r="BJ1004" s="5" t="s">
        <v>246</v>
      </c>
      <c r="BK1004" s="4" t="s">
        <v>254</v>
      </c>
      <c r="BL1004" s="4" t="s">
        <v>255</v>
      </c>
      <c r="BM1004" s="4" t="s">
        <v>241</v>
      </c>
      <c r="BN1004" s="6">
        <f>0</f>
        <v>0</v>
      </c>
      <c r="BO1004" s="6">
        <f>0</f>
        <v>0</v>
      </c>
      <c r="BP1004" s="4" t="s">
        <v>256</v>
      </c>
      <c r="BQ1004" s="4" t="s">
        <v>257</v>
      </c>
      <c r="CE1004" s="4" t="s">
        <v>241</v>
      </c>
      <c r="CF1004" s="4" t="s">
        <v>241</v>
      </c>
      <c r="CJ1004" s="4" t="s">
        <v>276</v>
      </c>
      <c r="CK1004" s="4" t="s">
        <v>259</v>
      </c>
      <c r="CL1004" s="4" t="s">
        <v>241</v>
      </c>
      <c r="CO1004" s="5" t="s">
        <v>260</v>
      </c>
      <c r="CP1004" s="4" t="s">
        <v>241</v>
      </c>
      <c r="CQ1004" s="4" t="s">
        <v>261</v>
      </c>
      <c r="CR1004" s="4" t="s">
        <v>241</v>
      </c>
      <c r="CS1004" s="4" t="s">
        <v>241</v>
      </c>
      <c r="CT1004" s="4">
        <v>0</v>
      </c>
      <c r="CU1004" s="4" t="s">
        <v>262</v>
      </c>
      <c r="CV1004" s="4" t="s">
        <v>263</v>
      </c>
      <c r="CW1004" s="4" t="s">
        <v>263</v>
      </c>
      <c r="CX1004" s="4" t="s">
        <v>264</v>
      </c>
      <c r="DA1004" s="6">
        <f>1</f>
        <v>1</v>
      </c>
      <c r="DC1004" s="4" t="s">
        <v>277</v>
      </c>
      <c r="DD1004" s="4" t="s">
        <v>241</v>
      </c>
      <c r="DF1004" s="4" t="s">
        <v>277</v>
      </c>
      <c r="DG1004" s="6">
        <f>664</f>
        <v>664</v>
      </c>
      <c r="DI1004" s="4" t="s">
        <v>241</v>
      </c>
      <c r="DJ1004" s="4" t="s">
        <v>241</v>
      </c>
      <c r="DK1004" s="4" t="s">
        <v>241</v>
      </c>
      <c r="DL1004" s="4" t="s">
        <v>241</v>
      </c>
      <c r="DP1004" s="4" t="s">
        <v>241</v>
      </c>
      <c r="DQ1004" s="4" t="s">
        <v>241</v>
      </c>
      <c r="DR1004" s="4" t="s">
        <v>241</v>
      </c>
      <c r="DS1004" s="4" t="s">
        <v>241</v>
      </c>
      <c r="DV1004" s="4" t="s">
        <v>278</v>
      </c>
      <c r="DW1004" s="4" t="s">
        <v>1294</v>
      </c>
      <c r="HO1004" s="4" t="s">
        <v>267</v>
      </c>
    </row>
    <row r="1005" spans="1:223" ht="19.5" customHeight="1" x14ac:dyDescent="0.4">
      <c r="A1005" s="4">
        <v>1</v>
      </c>
      <c r="B1005" s="4" t="s">
        <v>239</v>
      </c>
      <c r="C1005" s="4">
        <v>2679</v>
      </c>
      <c r="D1005" s="4">
        <v>1</v>
      </c>
      <c r="E1005" s="4">
        <v>1</v>
      </c>
      <c r="F1005" s="4" t="s">
        <v>268</v>
      </c>
      <c r="G1005" s="4" t="s">
        <v>241</v>
      </c>
      <c r="H1005" s="4" t="s">
        <v>241</v>
      </c>
      <c r="I1005" s="4" t="s">
        <v>272</v>
      </c>
      <c r="J1005" s="4" t="s">
        <v>274</v>
      </c>
      <c r="K1005" s="4" t="s">
        <v>251</v>
      </c>
      <c r="L1005" s="4" t="s">
        <v>269</v>
      </c>
      <c r="M1005" s="5" t="s">
        <v>1290</v>
      </c>
      <c r="N1005" s="6">
        <f>1103</f>
        <v>1103</v>
      </c>
      <c r="O1005" s="4" t="s">
        <v>265</v>
      </c>
      <c r="P1005" s="6">
        <f>1</f>
        <v>1</v>
      </c>
      <c r="Q1005" s="6">
        <f>0</f>
        <v>0</v>
      </c>
      <c r="S1005" s="6">
        <f>0</f>
        <v>0</v>
      </c>
      <c r="T1005" s="6">
        <f>1</f>
        <v>1</v>
      </c>
      <c r="U1005" s="5" t="s">
        <v>245</v>
      </c>
      <c r="V1005" s="4" t="s">
        <v>270</v>
      </c>
      <c r="W1005" s="4" t="s">
        <v>271</v>
      </c>
      <c r="X1005" s="4" t="s">
        <v>273</v>
      </c>
      <c r="Y1005" s="4" t="s">
        <v>241</v>
      </c>
      <c r="AB1005" s="4" t="s">
        <v>241</v>
      </c>
      <c r="AD1005" s="5" t="s">
        <v>241</v>
      </c>
      <c r="AG1005" s="5" t="s">
        <v>246</v>
      </c>
      <c r="AH1005" s="4" t="s">
        <v>241</v>
      </c>
      <c r="AI1005" s="4" t="s">
        <v>247</v>
      </c>
      <c r="AJ1005" s="4" t="s">
        <v>248</v>
      </c>
      <c r="AZ1005" s="4" t="s">
        <v>249</v>
      </c>
      <c r="BA1005" s="4" t="s">
        <v>241</v>
      </c>
      <c r="BB1005" s="4" t="s">
        <v>250</v>
      </c>
      <c r="BC1005" s="4" t="s">
        <v>241</v>
      </c>
      <c r="BD1005" s="4" t="s">
        <v>252</v>
      </c>
      <c r="BE1005" s="4" t="s">
        <v>241</v>
      </c>
      <c r="BI1005" s="4" t="s">
        <v>253</v>
      </c>
      <c r="BJ1005" s="5" t="s">
        <v>246</v>
      </c>
      <c r="BK1005" s="4" t="s">
        <v>254</v>
      </c>
      <c r="BL1005" s="4" t="s">
        <v>255</v>
      </c>
      <c r="BM1005" s="4" t="s">
        <v>241</v>
      </c>
      <c r="BN1005" s="6">
        <f>0</f>
        <v>0</v>
      </c>
      <c r="BO1005" s="6">
        <f>0</f>
        <v>0</v>
      </c>
      <c r="BP1005" s="4" t="s">
        <v>256</v>
      </c>
      <c r="BQ1005" s="4" t="s">
        <v>257</v>
      </c>
      <c r="CE1005" s="4" t="s">
        <v>241</v>
      </c>
      <c r="CF1005" s="4" t="s">
        <v>241</v>
      </c>
      <c r="CJ1005" s="4" t="s">
        <v>276</v>
      </c>
      <c r="CK1005" s="4" t="s">
        <v>259</v>
      </c>
      <c r="CL1005" s="4" t="s">
        <v>241</v>
      </c>
      <c r="CO1005" s="5" t="s">
        <v>260</v>
      </c>
      <c r="CP1005" s="4" t="s">
        <v>241</v>
      </c>
      <c r="CQ1005" s="4" t="s">
        <v>261</v>
      </c>
      <c r="CR1005" s="4" t="s">
        <v>241</v>
      </c>
      <c r="CS1005" s="4" t="s">
        <v>241</v>
      </c>
      <c r="CT1005" s="4">
        <v>0</v>
      </c>
      <c r="CU1005" s="4" t="s">
        <v>262</v>
      </c>
      <c r="CV1005" s="4" t="s">
        <v>263</v>
      </c>
      <c r="CW1005" s="4" t="s">
        <v>263</v>
      </c>
      <c r="CX1005" s="4" t="s">
        <v>264</v>
      </c>
      <c r="DA1005" s="6">
        <f>1</f>
        <v>1</v>
      </c>
      <c r="DC1005" s="4" t="s">
        <v>277</v>
      </c>
      <c r="DD1005" s="4" t="s">
        <v>241</v>
      </c>
      <c r="DF1005" s="4" t="s">
        <v>277</v>
      </c>
      <c r="DG1005" s="6">
        <f>1103</f>
        <v>1103</v>
      </c>
      <c r="DI1005" s="4" t="s">
        <v>241</v>
      </c>
      <c r="DJ1005" s="4" t="s">
        <v>241</v>
      </c>
      <c r="DK1005" s="4" t="s">
        <v>241</v>
      </c>
      <c r="DL1005" s="4" t="s">
        <v>241</v>
      </c>
      <c r="DP1005" s="4" t="s">
        <v>241</v>
      </c>
      <c r="DQ1005" s="4" t="s">
        <v>241</v>
      </c>
      <c r="DR1005" s="4" t="s">
        <v>241</v>
      </c>
      <c r="DS1005" s="4" t="s">
        <v>241</v>
      </c>
      <c r="DV1005" s="4" t="s">
        <v>278</v>
      </c>
      <c r="DW1005" s="4" t="s">
        <v>638</v>
      </c>
      <c r="HO1005" s="4" t="s">
        <v>267</v>
      </c>
    </row>
    <row r="1006" spans="1:223" ht="19.5" customHeight="1" x14ac:dyDescent="0.4">
      <c r="A1006" s="4">
        <v>1</v>
      </c>
      <c r="B1006" s="4" t="s">
        <v>239</v>
      </c>
      <c r="C1006" s="4">
        <v>2680</v>
      </c>
      <c r="D1006" s="4">
        <v>1</v>
      </c>
      <c r="E1006" s="4">
        <v>1</v>
      </c>
      <c r="F1006" s="4" t="s">
        <v>268</v>
      </c>
      <c r="G1006" s="4" t="s">
        <v>241</v>
      </c>
      <c r="H1006" s="4" t="s">
        <v>241</v>
      </c>
      <c r="I1006" s="4" t="s">
        <v>272</v>
      </c>
      <c r="J1006" s="4" t="s">
        <v>274</v>
      </c>
      <c r="K1006" s="4" t="s">
        <v>251</v>
      </c>
      <c r="L1006" s="4" t="s">
        <v>269</v>
      </c>
      <c r="M1006" s="5" t="s">
        <v>1287</v>
      </c>
      <c r="N1006" s="6">
        <f>3180</f>
        <v>3180</v>
      </c>
      <c r="O1006" s="4" t="s">
        <v>265</v>
      </c>
      <c r="P1006" s="6">
        <f>1</f>
        <v>1</v>
      </c>
      <c r="Q1006" s="6">
        <f>0</f>
        <v>0</v>
      </c>
      <c r="S1006" s="6">
        <f>0</f>
        <v>0</v>
      </c>
      <c r="T1006" s="6">
        <f>1</f>
        <v>1</v>
      </c>
      <c r="U1006" s="5" t="s">
        <v>245</v>
      </c>
      <c r="V1006" s="4" t="s">
        <v>270</v>
      </c>
      <c r="W1006" s="4" t="s">
        <v>271</v>
      </c>
      <c r="X1006" s="4" t="s">
        <v>273</v>
      </c>
      <c r="Y1006" s="4" t="s">
        <v>241</v>
      </c>
      <c r="AB1006" s="4" t="s">
        <v>241</v>
      </c>
      <c r="AD1006" s="5" t="s">
        <v>241</v>
      </c>
      <c r="AG1006" s="5" t="s">
        <v>246</v>
      </c>
      <c r="AH1006" s="4" t="s">
        <v>241</v>
      </c>
      <c r="AI1006" s="4" t="s">
        <v>247</v>
      </c>
      <c r="AJ1006" s="4" t="s">
        <v>248</v>
      </c>
      <c r="AZ1006" s="4" t="s">
        <v>249</v>
      </c>
      <c r="BA1006" s="4" t="s">
        <v>241</v>
      </c>
      <c r="BB1006" s="4" t="s">
        <v>250</v>
      </c>
      <c r="BC1006" s="4" t="s">
        <v>241</v>
      </c>
      <c r="BD1006" s="4" t="s">
        <v>252</v>
      </c>
      <c r="BE1006" s="4" t="s">
        <v>241</v>
      </c>
      <c r="BI1006" s="4" t="s">
        <v>253</v>
      </c>
      <c r="BJ1006" s="5" t="s">
        <v>246</v>
      </c>
      <c r="BK1006" s="4" t="s">
        <v>254</v>
      </c>
      <c r="BL1006" s="4" t="s">
        <v>255</v>
      </c>
      <c r="BM1006" s="4" t="s">
        <v>241</v>
      </c>
      <c r="BN1006" s="6">
        <f>0</f>
        <v>0</v>
      </c>
      <c r="BO1006" s="6">
        <f>0</f>
        <v>0</v>
      </c>
      <c r="BP1006" s="4" t="s">
        <v>256</v>
      </c>
      <c r="BQ1006" s="4" t="s">
        <v>257</v>
      </c>
      <c r="CE1006" s="4" t="s">
        <v>241</v>
      </c>
      <c r="CF1006" s="4" t="s">
        <v>241</v>
      </c>
      <c r="CJ1006" s="4" t="s">
        <v>276</v>
      </c>
      <c r="CK1006" s="4" t="s">
        <v>259</v>
      </c>
      <c r="CL1006" s="4" t="s">
        <v>241</v>
      </c>
      <c r="CO1006" s="5" t="s">
        <v>260</v>
      </c>
      <c r="CP1006" s="4" t="s">
        <v>241</v>
      </c>
      <c r="CQ1006" s="4" t="s">
        <v>261</v>
      </c>
      <c r="CR1006" s="4" t="s">
        <v>241</v>
      </c>
      <c r="CS1006" s="4" t="s">
        <v>241</v>
      </c>
      <c r="CT1006" s="4">
        <v>0</v>
      </c>
      <c r="CU1006" s="4" t="s">
        <v>262</v>
      </c>
      <c r="CV1006" s="4" t="s">
        <v>263</v>
      </c>
      <c r="CW1006" s="4" t="s">
        <v>263</v>
      </c>
      <c r="CX1006" s="4" t="s">
        <v>264</v>
      </c>
      <c r="DA1006" s="6">
        <f>1</f>
        <v>1</v>
      </c>
      <c r="DC1006" s="4" t="s">
        <v>277</v>
      </c>
      <c r="DD1006" s="4" t="s">
        <v>241</v>
      </c>
      <c r="DF1006" s="4" t="s">
        <v>277</v>
      </c>
      <c r="DG1006" s="6">
        <f>3180</f>
        <v>3180</v>
      </c>
      <c r="DI1006" s="4" t="s">
        <v>241</v>
      </c>
      <c r="DJ1006" s="4" t="s">
        <v>241</v>
      </c>
      <c r="DK1006" s="4" t="s">
        <v>241</v>
      </c>
      <c r="DL1006" s="4" t="s">
        <v>241</v>
      </c>
      <c r="DP1006" s="4" t="s">
        <v>241</v>
      </c>
      <c r="DQ1006" s="4" t="s">
        <v>241</v>
      </c>
      <c r="DR1006" s="4" t="s">
        <v>241</v>
      </c>
      <c r="DS1006" s="4" t="s">
        <v>241</v>
      </c>
      <c r="DV1006" s="4" t="s">
        <v>278</v>
      </c>
      <c r="DW1006" s="4" t="s">
        <v>1288</v>
      </c>
      <c r="HO1006" s="4" t="s">
        <v>267</v>
      </c>
    </row>
    <row r="1007" spans="1:223" ht="19.5" customHeight="1" x14ac:dyDescent="0.4">
      <c r="A1007" s="4">
        <v>1</v>
      </c>
      <c r="B1007" s="4" t="s">
        <v>239</v>
      </c>
      <c r="C1007" s="4">
        <v>2681</v>
      </c>
      <c r="D1007" s="4">
        <v>1</v>
      </c>
      <c r="E1007" s="4">
        <v>1</v>
      </c>
      <c r="F1007" s="4" t="s">
        <v>268</v>
      </c>
      <c r="G1007" s="4" t="s">
        <v>241</v>
      </c>
      <c r="H1007" s="4" t="s">
        <v>241</v>
      </c>
      <c r="I1007" s="4" t="s">
        <v>272</v>
      </c>
      <c r="J1007" s="4" t="s">
        <v>274</v>
      </c>
      <c r="K1007" s="4" t="s">
        <v>251</v>
      </c>
      <c r="L1007" s="4" t="s">
        <v>269</v>
      </c>
      <c r="M1007" s="5" t="s">
        <v>1284</v>
      </c>
      <c r="N1007" s="6">
        <f>3488</f>
        <v>3488</v>
      </c>
      <c r="O1007" s="4" t="s">
        <v>265</v>
      </c>
      <c r="P1007" s="6">
        <f>1</f>
        <v>1</v>
      </c>
      <c r="Q1007" s="6">
        <f>0</f>
        <v>0</v>
      </c>
      <c r="S1007" s="6">
        <f>0</f>
        <v>0</v>
      </c>
      <c r="T1007" s="6">
        <f>1</f>
        <v>1</v>
      </c>
      <c r="U1007" s="5" t="s">
        <v>245</v>
      </c>
      <c r="V1007" s="4" t="s">
        <v>270</v>
      </c>
      <c r="W1007" s="4" t="s">
        <v>271</v>
      </c>
      <c r="X1007" s="4" t="s">
        <v>273</v>
      </c>
      <c r="Y1007" s="4" t="s">
        <v>241</v>
      </c>
      <c r="AB1007" s="4" t="s">
        <v>241</v>
      </c>
      <c r="AD1007" s="5" t="s">
        <v>241</v>
      </c>
      <c r="AG1007" s="5" t="s">
        <v>246</v>
      </c>
      <c r="AH1007" s="4" t="s">
        <v>241</v>
      </c>
      <c r="AI1007" s="4" t="s">
        <v>247</v>
      </c>
      <c r="AJ1007" s="4" t="s">
        <v>248</v>
      </c>
      <c r="AZ1007" s="4" t="s">
        <v>249</v>
      </c>
      <c r="BA1007" s="4" t="s">
        <v>241</v>
      </c>
      <c r="BB1007" s="4" t="s">
        <v>250</v>
      </c>
      <c r="BC1007" s="4" t="s">
        <v>241</v>
      </c>
      <c r="BD1007" s="4" t="s">
        <v>252</v>
      </c>
      <c r="BE1007" s="4" t="s">
        <v>241</v>
      </c>
      <c r="BI1007" s="4" t="s">
        <v>253</v>
      </c>
      <c r="BJ1007" s="5" t="s">
        <v>246</v>
      </c>
      <c r="BK1007" s="4" t="s">
        <v>254</v>
      </c>
      <c r="BL1007" s="4" t="s">
        <v>255</v>
      </c>
      <c r="BM1007" s="4" t="s">
        <v>241</v>
      </c>
      <c r="BN1007" s="6">
        <f>0</f>
        <v>0</v>
      </c>
      <c r="BO1007" s="6">
        <f>0</f>
        <v>0</v>
      </c>
      <c r="BP1007" s="4" t="s">
        <v>256</v>
      </c>
      <c r="BQ1007" s="4" t="s">
        <v>257</v>
      </c>
      <c r="CE1007" s="4" t="s">
        <v>241</v>
      </c>
      <c r="CF1007" s="4" t="s">
        <v>241</v>
      </c>
      <c r="CJ1007" s="4" t="s">
        <v>276</v>
      </c>
      <c r="CK1007" s="4" t="s">
        <v>259</v>
      </c>
      <c r="CL1007" s="4" t="s">
        <v>241</v>
      </c>
      <c r="CO1007" s="5" t="s">
        <v>260</v>
      </c>
      <c r="CP1007" s="4" t="s">
        <v>241</v>
      </c>
      <c r="CQ1007" s="4" t="s">
        <v>261</v>
      </c>
      <c r="CR1007" s="4" t="s">
        <v>241</v>
      </c>
      <c r="CS1007" s="4" t="s">
        <v>241</v>
      </c>
      <c r="CT1007" s="4">
        <v>0</v>
      </c>
      <c r="CU1007" s="4" t="s">
        <v>262</v>
      </c>
      <c r="CV1007" s="4" t="s">
        <v>263</v>
      </c>
      <c r="CW1007" s="4" t="s">
        <v>263</v>
      </c>
      <c r="CX1007" s="4" t="s">
        <v>264</v>
      </c>
      <c r="DA1007" s="6">
        <f>1</f>
        <v>1</v>
      </c>
      <c r="DC1007" s="4" t="s">
        <v>277</v>
      </c>
      <c r="DD1007" s="4" t="s">
        <v>241</v>
      </c>
      <c r="DF1007" s="4" t="s">
        <v>277</v>
      </c>
      <c r="DG1007" s="6">
        <f>3488</f>
        <v>3488</v>
      </c>
      <c r="DI1007" s="4" t="s">
        <v>241</v>
      </c>
      <c r="DJ1007" s="4" t="s">
        <v>241</v>
      </c>
      <c r="DK1007" s="4" t="s">
        <v>241</v>
      </c>
      <c r="DL1007" s="4" t="s">
        <v>241</v>
      </c>
      <c r="DP1007" s="4" t="s">
        <v>241</v>
      </c>
      <c r="DQ1007" s="4" t="s">
        <v>241</v>
      </c>
      <c r="DR1007" s="4" t="s">
        <v>241</v>
      </c>
      <c r="DS1007" s="4" t="s">
        <v>241</v>
      </c>
      <c r="DV1007" s="4" t="s">
        <v>278</v>
      </c>
      <c r="DW1007" s="4" t="s">
        <v>1285</v>
      </c>
      <c r="HO1007" s="4" t="s">
        <v>267</v>
      </c>
    </row>
    <row r="1008" spans="1:223" ht="19.5" customHeight="1" x14ac:dyDescent="0.4">
      <c r="A1008" s="4">
        <v>1</v>
      </c>
      <c r="B1008" s="4" t="s">
        <v>239</v>
      </c>
      <c r="C1008" s="4">
        <v>2682</v>
      </c>
      <c r="D1008" s="4">
        <v>1</v>
      </c>
      <c r="E1008" s="4">
        <v>1</v>
      </c>
      <c r="F1008" s="4" t="s">
        <v>268</v>
      </c>
      <c r="G1008" s="4" t="s">
        <v>241</v>
      </c>
      <c r="H1008" s="4" t="s">
        <v>241</v>
      </c>
      <c r="I1008" s="4" t="s">
        <v>272</v>
      </c>
      <c r="J1008" s="4" t="s">
        <v>274</v>
      </c>
      <c r="K1008" s="4" t="s">
        <v>251</v>
      </c>
      <c r="L1008" s="4" t="s">
        <v>269</v>
      </c>
      <c r="M1008" s="5" t="s">
        <v>1277</v>
      </c>
      <c r="N1008" s="6">
        <f>3571</f>
        <v>3571</v>
      </c>
      <c r="O1008" s="4" t="s">
        <v>265</v>
      </c>
      <c r="P1008" s="6">
        <f>1</f>
        <v>1</v>
      </c>
      <c r="Q1008" s="6">
        <f>0</f>
        <v>0</v>
      </c>
      <c r="S1008" s="6">
        <f>0</f>
        <v>0</v>
      </c>
      <c r="T1008" s="6">
        <f>1</f>
        <v>1</v>
      </c>
      <c r="U1008" s="5" t="s">
        <v>245</v>
      </c>
      <c r="V1008" s="4" t="s">
        <v>270</v>
      </c>
      <c r="W1008" s="4" t="s">
        <v>271</v>
      </c>
      <c r="X1008" s="4" t="s">
        <v>273</v>
      </c>
      <c r="Y1008" s="4" t="s">
        <v>241</v>
      </c>
      <c r="AB1008" s="4" t="s">
        <v>241</v>
      </c>
      <c r="AD1008" s="5" t="s">
        <v>241</v>
      </c>
      <c r="AG1008" s="5" t="s">
        <v>246</v>
      </c>
      <c r="AH1008" s="4" t="s">
        <v>241</v>
      </c>
      <c r="AI1008" s="4" t="s">
        <v>247</v>
      </c>
      <c r="AJ1008" s="4" t="s">
        <v>248</v>
      </c>
      <c r="AZ1008" s="4" t="s">
        <v>249</v>
      </c>
      <c r="BA1008" s="4" t="s">
        <v>241</v>
      </c>
      <c r="BB1008" s="4" t="s">
        <v>250</v>
      </c>
      <c r="BC1008" s="4" t="s">
        <v>241</v>
      </c>
      <c r="BD1008" s="4" t="s">
        <v>252</v>
      </c>
      <c r="BE1008" s="4" t="s">
        <v>241</v>
      </c>
      <c r="BI1008" s="4" t="s">
        <v>253</v>
      </c>
      <c r="BJ1008" s="5" t="s">
        <v>246</v>
      </c>
      <c r="BK1008" s="4" t="s">
        <v>254</v>
      </c>
      <c r="BL1008" s="4" t="s">
        <v>255</v>
      </c>
      <c r="BM1008" s="4" t="s">
        <v>241</v>
      </c>
      <c r="BN1008" s="6">
        <f>0</f>
        <v>0</v>
      </c>
      <c r="BO1008" s="6">
        <f>0</f>
        <v>0</v>
      </c>
      <c r="BP1008" s="4" t="s">
        <v>256</v>
      </c>
      <c r="BQ1008" s="4" t="s">
        <v>257</v>
      </c>
      <c r="CE1008" s="4" t="s">
        <v>241</v>
      </c>
      <c r="CF1008" s="4" t="s">
        <v>241</v>
      </c>
      <c r="CJ1008" s="4" t="s">
        <v>276</v>
      </c>
      <c r="CK1008" s="4" t="s">
        <v>259</v>
      </c>
      <c r="CL1008" s="4" t="s">
        <v>241</v>
      </c>
      <c r="CO1008" s="5" t="s">
        <v>260</v>
      </c>
      <c r="CP1008" s="4" t="s">
        <v>241</v>
      </c>
      <c r="CQ1008" s="4" t="s">
        <v>261</v>
      </c>
      <c r="CR1008" s="4" t="s">
        <v>241</v>
      </c>
      <c r="CS1008" s="4" t="s">
        <v>241</v>
      </c>
      <c r="CT1008" s="4">
        <v>0</v>
      </c>
      <c r="CU1008" s="4" t="s">
        <v>262</v>
      </c>
      <c r="CV1008" s="4" t="s">
        <v>263</v>
      </c>
      <c r="CW1008" s="4" t="s">
        <v>263</v>
      </c>
      <c r="CX1008" s="4" t="s">
        <v>264</v>
      </c>
      <c r="DA1008" s="6">
        <f>1</f>
        <v>1</v>
      </c>
      <c r="DC1008" s="4" t="s">
        <v>277</v>
      </c>
      <c r="DD1008" s="4" t="s">
        <v>241</v>
      </c>
      <c r="DF1008" s="4" t="s">
        <v>277</v>
      </c>
      <c r="DG1008" s="6">
        <f>3571</f>
        <v>3571</v>
      </c>
      <c r="DI1008" s="4" t="s">
        <v>241</v>
      </c>
      <c r="DJ1008" s="4" t="s">
        <v>241</v>
      </c>
      <c r="DK1008" s="4" t="s">
        <v>241</v>
      </c>
      <c r="DL1008" s="4" t="s">
        <v>241</v>
      </c>
      <c r="DP1008" s="4" t="s">
        <v>241</v>
      </c>
      <c r="DQ1008" s="4" t="s">
        <v>241</v>
      </c>
      <c r="DR1008" s="4" t="s">
        <v>241</v>
      </c>
      <c r="DS1008" s="4" t="s">
        <v>241</v>
      </c>
      <c r="DV1008" s="4" t="s">
        <v>278</v>
      </c>
      <c r="DW1008" s="4" t="s">
        <v>774</v>
      </c>
      <c r="HO1008" s="4" t="s">
        <v>267</v>
      </c>
    </row>
    <row r="1009" spans="1:223" ht="19.5" customHeight="1" x14ac:dyDescent="0.4">
      <c r="A1009" s="4">
        <v>1</v>
      </c>
      <c r="B1009" s="4" t="s">
        <v>239</v>
      </c>
      <c r="C1009" s="4">
        <v>2683</v>
      </c>
      <c r="D1009" s="4">
        <v>1</v>
      </c>
      <c r="E1009" s="4">
        <v>1</v>
      </c>
      <c r="F1009" s="4" t="s">
        <v>268</v>
      </c>
      <c r="G1009" s="4" t="s">
        <v>241</v>
      </c>
      <c r="H1009" s="4" t="s">
        <v>241</v>
      </c>
      <c r="I1009" s="4" t="s">
        <v>272</v>
      </c>
      <c r="J1009" s="4" t="s">
        <v>274</v>
      </c>
      <c r="K1009" s="4" t="s">
        <v>251</v>
      </c>
      <c r="L1009" s="4" t="s">
        <v>269</v>
      </c>
      <c r="M1009" s="5" t="s">
        <v>972</v>
      </c>
      <c r="N1009" s="6">
        <f>125</f>
        <v>125</v>
      </c>
      <c r="O1009" s="4" t="s">
        <v>265</v>
      </c>
      <c r="P1009" s="6">
        <f>1</f>
        <v>1</v>
      </c>
      <c r="Q1009" s="6">
        <f>0</f>
        <v>0</v>
      </c>
      <c r="S1009" s="6">
        <f>0</f>
        <v>0</v>
      </c>
      <c r="T1009" s="6">
        <f>1</f>
        <v>1</v>
      </c>
      <c r="U1009" s="5" t="s">
        <v>245</v>
      </c>
      <c r="V1009" s="4" t="s">
        <v>270</v>
      </c>
      <c r="W1009" s="4" t="s">
        <v>271</v>
      </c>
      <c r="X1009" s="4" t="s">
        <v>273</v>
      </c>
      <c r="Y1009" s="4" t="s">
        <v>241</v>
      </c>
      <c r="AB1009" s="4" t="s">
        <v>241</v>
      </c>
      <c r="AD1009" s="5" t="s">
        <v>241</v>
      </c>
      <c r="AG1009" s="5" t="s">
        <v>246</v>
      </c>
      <c r="AH1009" s="4" t="s">
        <v>241</v>
      </c>
      <c r="AI1009" s="4" t="s">
        <v>247</v>
      </c>
      <c r="AJ1009" s="4" t="s">
        <v>248</v>
      </c>
      <c r="AZ1009" s="4" t="s">
        <v>249</v>
      </c>
      <c r="BA1009" s="4" t="s">
        <v>241</v>
      </c>
      <c r="BB1009" s="4" t="s">
        <v>250</v>
      </c>
      <c r="BC1009" s="4" t="s">
        <v>241</v>
      </c>
      <c r="BD1009" s="4" t="s">
        <v>252</v>
      </c>
      <c r="BE1009" s="4" t="s">
        <v>241</v>
      </c>
      <c r="BI1009" s="4" t="s">
        <v>253</v>
      </c>
      <c r="BJ1009" s="5" t="s">
        <v>246</v>
      </c>
      <c r="BK1009" s="4" t="s">
        <v>254</v>
      </c>
      <c r="BL1009" s="4" t="s">
        <v>255</v>
      </c>
      <c r="BM1009" s="4" t="s">
        <v>241</v>
      </c>
      <c r="BN1009" s="6">
        <f>0</f>
        <v>0</v>
      </c>
      <c r="BO1009" s="6">
        <f>0</f>
        <v>0</v>
      </c>
      <c r="BP1009" s="4" t="s">
        <v>256</v>
      </c>
      <c r="BQ1009" s="4" t="s">
        <v>257</v>
      </c>
      <c r="CE1009" s="4" t="s">
        <v>241</v>
      </c>
      <c r="CF1009" s="4" t="s">
        <v>241</v>
      </c>
      <c r="CJ1009" s="4" t="s">
        <v>276</v>
      </c>
      <c r="CK1009" s="4" t="s">
        <v>259</v>
      </c>
      <c r="CL1009" s="4" t="s">
        <v>241</v>
      </c>
      <c r="CO1009" s="5" t="s">
        <v>260</v>
      </c>
      <c r="CP1009" s="4" t="s">
        <v>241</v>
      </c>
      <c r="CQ1009" s="4" t="s">
        <v>261</v>
      </c>
      <c r="CR1009" s="4" t="s">
        <v>241</v>
      </c>
      <c r="CS1009" s="4" t="s">
        <v>241</v>
      </c>
      <c r="CT1009" s="4">
        <v>0</v>
      </c>
      <c r="CU1009" s="4" t="s">
        <v>262</v>
      </c>
      <c r="CV1009" s="4" t="s">
        <v>263</v>
      </c>
      <c r="CW1009" s="4" t="s">
        <v>263</v>
      </c>
      <c r="CX1009" s="4" t="s">
        <v>264</v>
      </c>
      <c r="DA1009" s="6">
        <f>1</f>
        <v>1</v>
      </c>
      <c r="DC1009" s="4" t="s">
        <v>277</v>
      </c>
      <c r="DD1009" s="4" t="s">
        <v>241</v>
      </c>
      <c r="DF1009" s="4" t="s">
        <v>277</v>
      </c>
      <c r="DG1009" s="6">
        <f>125</f>
        <v>125</v>
      </c>
      <c r="DI1009" s="4" t="s">
        <v>241</v>
      </c>
      <c r="DJ1009" s="4" t="s">
        <v>241</v>
      </c>
      <c r="DK1009" s="4" t="s">
        <v>241</v>
      </c>
      <c r="DL1009" s="4" t="s">
        <v>241</v>
      </c>
      <c r="DP1009" s="4" t="s">
        <v>241</v>
      </c>
      <c r="DQ1009" s="4" t="s">
        <v>241</v>
      </c>
      <c r="DR1009" s="4" t="s">
        <v>241</v>
      </c>
      <c r="DS1009" s="4" t="s">
        <v>241</v>
      </c>
      <c r="DV1009" s="4" t="s">
        <v>278</v>
      </c>
      <c r="DW1009" s="4" t="s">
        <v>866</v>
      </c>
      <c r="HO1009" s="4" t="s">
        <v>267</v>
      </c>
    </row>
    <row r="1010" spans="1:223" ht="19.5" customHeight="1" x14ac:dyDescent="0.4">
      <c r="A1010" s="4">
        <v>1</v>
      </c>
      <c r="B1010" s="4" t="s">
        <v>239</v>
      </c>
      <c r="C1010" s="4">
        <v>2684</v>
      </c>
      <c r="D1010" s="4">
        <v>1</v>
      </c>
      <c r="E1010" s="4">
        <v>1</v>
      </c>
      <c r="F1010" s="4" t="s">
        <v>268</v>
      </c>
      <c r="G1010" s="4" t="s">
        <v>241</v>
      </c>
      <c r="H1010" s="4" t="s">
        <v>241</v>
      </c>
      <c r="I1010" s="4" t="s">
        <v>272</v>
      </c>
      <c r="J1010" s="4" t="s">
        <v>274</v>
      </c>
      <c r="K1010" s="4" t="s">
        <v>251</v>
      </c>
      <c r="L1010" s="4" t="s">
        <v>269</v>
      </c>
      <c r="M1010" s="5" t="s">
        <v>1271</v>
      </c>
      <c r="N1010" s="6">
        <f>675</f>
        <v>675</v>
      </c>
      <c r="O1010" s="4" t="s">
        <v>265</v>
      </c>
      <c r="P1010" s="6">
        <f>1</f>
        <v>1</v>
      </c>
      <c r="Q1010" s="6">
        <f>0</f>
        <v>0</v>
      </c>
      <c r="S1010" s="6">
        <f>0</f>
        <v>0</v>
      </c>
      <c r="T1010" s="6">
        <f>1</f>
        <v>1</v>
      </c>
      <c r="U1010" s="5" t="s">
        <v>245</v>
      </c>
      <c r="V1010" s="4" t="s">
        <v>270</v>
      </c>
      <c r="W1010" s="4" t="s">
        <v>271</v>
      </c>
      <c r="X1010" s="4" t="s">
        <v>273</v>
      </c>
      <c r="Y1010" s="4" t="s">
        <v>241</v>
      </c>
      <c r="AB1010" s="4" t="s">
        <v>241</v>
      </c>
      <c r="AD1010" s="5" t="s">
        <v>241</v>
      </c>
      <c r="AG1010" s="5" t="s">
        <v>246</v>
      </c>
      <c r="AH1010" s="4" t="s">
        <v>241</v>
      </c>
      <c r="AI1010" s="4" t="s">
        <v>247</v>
      </c>
      <c r="AJ1010" s="4" t="s">
        <v>248</v>
      </c>
      <c r="AZ1010" s="4" t="s">
        <v>249</v>
      </c>
      <c r="BA1010" s="4" t="s">
        <v>241</v>
      </c>
      <c r="BB1010" s="4" t="s">
        <v>250</v>
      </c>
      <c r="BC1010" s="4" t="s">
        <v>241</v>
      </c>
      <c r="BD1010" s="4" t="s">
        <v>252</v>
      </c>
      <c r="BE1010" s="4" t="s">
        <v>241</v>
      </c>
      <c r="BI1010" s="4" t="s">
        <v>253</v>
      </c>
      <c r="BJ1010" s="5" t="s">
        <v>246</v>
      </c>
      <c r="BK1010" s="4" t="s">
        <v>254</v>
      </c>
      <c r="BL1010" s="4" t="s">
        <v>255</v>
      </c>
      <c r="BM1010" s="4" t="s">
        <v>241</v>
      </c>
      <c r="BN1010" s="6">
        <f>0</f>
        <v>0</v>
      </c>
      <c r="BO1010" s="6">
        <f>0</f>
        <v>0</v>
      </c>
      <c r="BP1010" s="4" t="s">
        <v>256</v>
      </c>
      <c r="BQ1010" s="4" t="s">
        <v>257</v>
      </c>
      <c r="CE1010" s="4" t="s">
        <v>241</v>
      </c>
      <c r="CF1010" s="4" t="s">
        <v>241</v>
      </c>
      <c r="CJ1010" s="4" t="s">
        <v>276</v>
      </c>
      <c r="CK1010" s="4" t="s">
        <v>259</v>
      </c>
      <c r="CL1010" s="4" t="s">
        <v>241</v>
      </c>
      <c r="CO1010" s="5" t="s">
        <v>260</v>
      </c>
      <c r="CP1010" s="4" t="s">
        <v>241</v>
      </c>
      <c r="CQ1010" s="4" t="s">
        <v>261</v>
      </c>
      <c r="CR1010" s="4" t="s">
        <v>241</v>
      </c>
      <c r="CS1010" s="4" t="s">
        <v>241</v>
      </c>
      <c r="CT1010" s="4">
        <v>0</v>
      </c>
      <c r="CU1010" s="4" t="s">
        <v>262</v>
      </c>
      <c r="CV1010" s="4" t="s">
        <v>263</v>
      </c>
      <c r="CW1010" s="4" t="s">
        <v>263</v>
      </c>
      <c r="CX1010" s="4" t="s">
        <v>264</v>
      </c>
      <c r="DA1010" s="6">
        <f>1</f>
        <v>1</v>
      </c>
      <c r="DC1010" s="4" t="s">
        <v>277</v>
      </c>
      <c r="DD1010" s="4" t="s">
        <v>241</v>
      </c>
      <c r="DF1010" s="4" t="s">
        <v>277</v>
      </c>
      <c r="DG1010" s="6">
        <f>675</f>
        <v>675</v>
      </c>
      <c r="DI1010" s="4" t="s">
        <v>241</v>
      </c>
      <c r="DJ1010" s="4" t="s">
        <v>241</v>
      </c>
      <c r="DK1010" s="4" t="s">
        <v>241</v>
      </c>
      <c r="DL1010" s="4" t="s">
        <v>241</v>
      </c>
      <c r="DP1010" s="4" t="s">
        <v>241</v>
      </c>
      <c r="DQ1010" s="4" t="s">
        <v>241</v>
      </c>
      <c r="DR1010" s="4" t="s">
        <v>241</v>
      </c>
      <c r="DS1010" s="4" t="s">
        <v>241</v>
      </c>
      <c r="DV1010" s="4" t="s">
        <v>278</v>
      </c>
      <c r="DW1010" s="4" t="s">
        <v>1272</v>
      </c>
      <c r="HO1010" s="4" t="s">
        <v>267</v>
      </c>
    </row>
    <row r="1011" spans="1:223" ht="19.5" customHeight="1" x14ac:dyDescent="0.4">
      <c r="A1011" s="4">
        <v>1</v>
      </c>
      <c r="B1011" s="4" t="s">
        <v>239</v>
      </c>
      <c r="C1011" s="4">
        <v>2685</v>
      </c>
      <c r="D1011" s="4">
        <v>1</v>
      </c>
      <c r="E1011" s="4">
        <v>1</v>
      </c>
      <c r="F1011" s="4" t="s">
        <v>268</v>
      </c>
      <c r="G1011" s="4" t="s">
        <v>241</v>
      </c>
      <c r="H1011" s="4" t="s">
        <v>241</v>
      </c>
      <c r="I1011" s="4" t="s">
        <v>272</v>
      </c>
      <c r="J1011" s="4" t="s">
        <v>274</v>
      </c>
      <c r="K1011" s="4" t="s">
        <v>251</v>
      </c>
      <c r="L1011" s="4" t="s">
        <v>269</v>
      </c>
      <c r="M1011" s="5" t="s">
        <v>1266</v>
      </c>
      <c r="N1011" s="6">
        <f>3590</f>
        <v>3590</v>
      </c>
      <c r="O1011" s="4" t="s">
        <v>265</v>
      </c>
      <c r="P1011" s="6">
        <f>1</f>
        <v>1</v>
      </c>
      <c r="Q1011" s="6">
        <f>0</f>
        <v>0</v>
      </c>
      <c r="S1011" s="6">
        <f>0</f>
        <v>0</v>
      </c>
      <c r="T1011" s="6">
        <f>1</f>
        <v>1</v>
      </c>
      <c r="U1011" s="5" t="s">
        <v>245</v>
      </c>
      <c r="V1011" s="4" t="s">
        <v>270</v>
      </c>
      <c r="W1011" s="4" t="s">
        <v>271</v>
      </c>
      <c r="X1011" s="4" t="s">
        <v>273</v>
      </c>
      <c r="Y1011" s="4" t="s">
        <v>241</v>
      </c>
      <c r="AB1011" s="4" t="s">
        <v>241</v>
      </c>
      <c r="AD1011" s="5" t="s">
        <v>241</v>
      </c>
      <c r="AG1011" s="5" t="s">
        <v>246</v>
      </c>
      <c r="AH1011" s="4" t="s">
        <v>241</v>
      </c>
      <c r="AI1011" s="4" t="s">
        <v>247</v>
      </c>
      <c r="AJ1011" s="4" t="s">
        <v>248</v>
      </c>
      <c r="AZ1011" s="4" t="s">
        <v>249</v>
      </c>
      <c r="BA1011" s="4" t="s">
        <v>241</v>
      </c>
      <c r="BB1011" s="4" t="s">
        <v>250</v>
      </c>
      <c r="BC1011" s="4" t="s">
        <v>241</v>
      </c>
      <c r="BD1011" s="4" t="s">
        <v>252</v>
      </c>
      <c r="BE1011" s="4" t="s">
        <v>241</v>
      </c>
      <c r="BI1011" s="4" t="s">
        <v>253</v>
      </c>
      <c r="BJ1011" s="5" t="s">
        <v>246</v>
      </c>
      <c r="BK1011" s="4" t="s">
        <v>254</v>
      </c>
      <c r="BL1011" s="4" t="s">
        <v>255</v>
      </c>
      <c r="BM1011" s="4" t="s">
        <v>241</v>
      </c>
      <c r="BN1011" s="6">
        <f>0</f>
        <v>0</v>
      </c>
      <c r="BO1011" s="6">
        <f>0</f>
        <v>0</v>
      </c>
      <c r="BP1011" s="4" t="s">
        <v>256</v>
      </c>
      <c r="BQ1011" s="4" t="s">
        <v>257</v>
      </c>
      <c r="CE1011" s="4" t="s">
        <v>241</v>
      </c>
      <c r="CF1011" s="4" t="s">
        <v>241</v>
      </c>
      <c r="CJ1011" s="4" t="s">
        <v>276</v>
      </c>
      <c r="CK1011" s="4" t="s">
        <v>259</v>
      </c>
      <c r="CL1011" s="4" t="s">
        <v>241</v>
      </c>
      <c r="CO1011" s="5" t="s">
        <v>260</v>
      </c>
      <c r="CP1011" s="4" t="s">
        <v>241</v>
      </c>
      <c r="CQ1011" s="4" t="s">
        <v>261</v>
      </c>
      <c r="CR1011" s="4" t="s">
        <v>241</v>
      </c>
      <c r="CS1011" s="4" t="s">
        <v>241</v>
      </c>
      <c r="CT1011" s="4">
        <v>0</v>
      </c>
      <c r="CU1011" s="4" t="s">
        <v>262</v>
      </c>
      <c r="CV1011" s="4" t="s">
        <v>263</v>
      </c>
      <c r="CW1011" s="4" t="s">
        <v>263</v>
      </c>
      <c r="CX1011" s="4" t="s">
        <v>264</v>
      </c>
      <c r="DA1011" s="6">
        <f>1</f>
        <v>1</v>
      </c>
      <c r="DC1011" s="4" t="s">
        <v>277</v>
      </c>
      <c r="DD1011" s="4" t="s">
        <v>241</v>
      </c>
      <c r="DF1011" s="4" t="s">
        <v>277</v>
      </c>
      <c r="DG1011" s="6">
        <f>3590</f>
        <v>3590</v>
      </c>
      <c r="DI1011" s="4" t="s">
        <v>241</v>
      </c>
      <c r="DJ1011" s="4" t="s">
        <v>241</v>
      </c>
      <c r="DK1011" s="4" t="s">
        <v>241</v>
      </c>
      <c r="DL1011" s="4" t="s">
        <v>241</v>
      </c>
      <c r="DP1011" s="4" t="s">
        <v>241</v>
      </c>
      <c r="DQ1011" s="4" t="s">
        <v>241</v>
      </c>
      <c r="DR1011" s="4" t="s">
        <v>241</v>
      </c>
      <c r="DS1011" s="4" t="s">
        <v>241</v>
      </c>
      <c r="DV1011" s="4" t="s">
        <v>278</v>
      </c>
      <c r="DW1011" s="4" t="s">
        <v>652</v>
      </c>
      <c r="HO1011" s="4" t="s">
        <v>267</v>
      </c>
    </row>
    <row r="1012" spans="1:223" ht="19.5" customHeight="1" x14ac:dyDescent="0.4">
      <c r="A1012" s="4">
        <v>1</v>
      </c>
      <c r="B1012" s="4" t="s">
        <v>239</v>
      </c>
      <c r="C1012" s="4">
        <v>2686</v>
      </c>
      <c r="D1012" s="4">
        <v>1</v>
      </c>
      <c r="E1012" s="4">
        <v>1</v>
      </c>
      <c r="F1012" s="4" t="s">
        <v>268</v>
      </c>
      <c r="G1012" s="4" t="s">
        <v>241</v>
      </c>
      <c r="H1012" s="4" t="s">
        <v>241</v>
      </c>
      <c r="I1012" s="4" t="s">
        <v>272</v>
      </c>
      <c r="J1012" s="4" t="s">
        <v>274</v>
      </c>
      <c r="K1012" s="4" t="s">
        <v>251</v>
      </c>
      <c r="L1012" s="4" t="s">
        <v>269</v>
      </c>
      <c r="M1012" s="5" t="s">
        <v>1264</v>
      </c>
      <c r="N1012" s="6">
        <f>173</f>
        <v>173</v>
      </c>
      <c r="O1012" s="4" t="s">
        <v>265</v>
      </c>
      <c r="P1012" s="6">
        <f>1</f>
        <v>1</v>
      </c>
      <c r="Q1012" s="6">
        <f>0</f>
        <v>0</v>
      </c>
      <c r="S1012" s="6">
        <f>0</f>
        <v>0</v>
      </c>
      <c r="T1012" s="6">
        <f>1</f>
        <v>1</v>
      </c>
      <c r="U1012" s="5" t="s">
        <v>245</v>
      </c>
      <c r="V1012" s="4" t="s">
        <v>270</v>
      </c>
      <c r="W1012" s="4" t="s">
        <v>271</v>
      </c>
      <c r="X1012" s="4" t="s">
        <v>273</v>
      </c>
      <c r="Y1012" s="4" t="s">
        <v>241</v>
      </c>
      <c r="AB1012" s="4" t="s">
        <v>241</v>
      </c>
      <c r="AD1012" s="5" t="s">
        <v>241</v>
      </c>
      <c r="AG1012" s="5" t="s">
        <v>246</v>
      </c>
      <c r="AH1012" s="4" t="s">
        <v>241</v>
      </c>
      <c r="AI1012" s="4" t="s">
        <v>247</v>
      </c>
      <c r="AJ1012" s="4" t="s">
        <v>248</v>
      </c>
      <c r="AZ1012" s="4" t="s">
        <v>249</v>
      </c>
      <c r="BA1012" s="4" t="s">
        <v>241</v>
      </c>
      <c r="BB1012" s="4" t="s">
        <v>250</v>
      </c>
      <c r="BC1012" s="4" t="s">
        <v>241</v>
      </c>
      <c r="BD1012" s="4" t="s">
        <v>252</v>
      </c>
      <c r="BE1012" s="4" t="s">
        <v>241</v>
      </c>
      <c r="BI1012" s="4" t="s">
        <v>253</v>
      </c>
      <c r="BJ1012" s="5" t="s">
        <v>246</v>
      </c>
      <c r="BK1012" s="4" t="s">
        <v>254</v>
      </c>
      <c r="BL1012" s="4" t="s">
        <v>255</v>
      </c>
      <c r="BM1012" s="4" t="s">
        <v>241</v>
      </c>
      <c r="BN1012" s="6">
        <f>0</f>
        <v>0</v>
      </c>
      <c r="BO1012" s="6">
        <f>0</f>
        <v>0</v>
      </c>
      <c r="BP1012" s="4" t="s">
        <v>256</v>
      </c>
      <c r="BQ1012" s="4" t="s">
        <v>257</v>
      </c>
      <c r="CE1012" s="4" t="s">
        <v>241</v>
      </c>
      <c r="CF1012" s="4" t="s">
        <v>241</v>
      </c>
      <c r="CJ1012" s="4" t="s">
        <v>276</v>
      </c>
      <c r="CK1012" s="4" t="s">
        <v>259</v>
      </c>
      <c r="CL1012" s="4" t="s">
        <v>241</v>
      </c>
      <c r="CO1012" s="5" t="s">
        <v>260</v>
      </c>
      <c r="CP1012" s="4" t="s">
        <v>241</v>
      </c>
      <c r="CQ1012" s="4" t="s">
        <v>261</v>
      </c>
      <c r="CR1012" s="4" t="s">
        <v>241</v>
      </c>
      <c r="CS1012" s="4" t="s">
        <v>241</v>
      </c>
      <c r="CT1012" s="4">
        <v>0</v>
      </c>
      <c r="CU1012" s="4" t="s">
        <v>262</v>
      </c>
      <c r="CV1012" s="4" t="s">
        <v>263</v>
      </c>
      <c r="CW1012" s="4" t="s">
        <v>263</v>
      </c>
      <c r="CX1012" s="4" t="s">
        <v>264</v>
      </c>
      <c r="DA1012" s="6">
        <f>1</f>
        <v>1</v>
      </c>
      <c r="DC1012" s="4" t="s">
        <v>277</v>
      </c>
      <c r="DD1012" s="4" t="s">
        <v>241</v>
      </c>
      <c r="DF1012" s="4" t="s">
        <v>277</v>
      </c>
      <c r="DG1012" s="6">
        <f>173</f>
        <v>173</v>
      </c>
      <c r="DI1012" s="4" t="s">
        <v>241</v>
      </c>
      <c r="DJ1012" s="4" t="s">
        <v>241</v>
      </c>
      <c r="DK1012" s="4" t="s">
        <v>241</v>
      </c>
      <c r="DL1012" s="4" t="s">
        <v>241</v>
      </c>
      <c r="DP1012" s="4" t="s">
        <v>241</v>
      </c>
      <c r="DQ1012" s="4" t="s">
        <v>241</v>
      </c>
      <c r="DR1012" s="4" t="s">
        <v>241</v>
      </c>
      <c r="DS1012" s="4" t="s">
        <v>241</v>
      </c>
      <c r="DV1012" s="4" t="s">
        <v>278</v>
      </c>
      <c r="DW1012" s="4" t="s">
        <v>660</v>
      </c>
      <c r="HO1012" s="4" t="s">
        <v>267</v>
      </c>
    </row>
    <row r="1013" spans="1:223" ht="19.5" customHeight="1" x14ac:dyDescent="0.4">
      <c r="A1013" s="4">
        <v>1</v>
      </c>
      <c r="B1013" s="4" t="s">
        <v>239</v>
      </c>
      <c r="C1013" s="4">
        <v>2687</v>
      </c>
      <c r="D1013" s="4">
        <v>1</v>
      </c>
      <c r="E1013" s="4">
        <v>1</v>
      </c>
      <c r="F1013" s="4" t="s">
        <v>268</v>
      </c>
      <c r="G1013" s="4" t="s">
        <v>241</v>
      </c>
      <c r="H1013" s="4" t="s">
        <v>241</v>
      </c>
      <c r="I1013" s="4" t="s">
        <v>272</v>
      </c>
      <c r="J1013" s="4" t="s">
        <v>274</v>
      </c>
      <c r="K1013" s="4" t="s">
        <v>251</v>
      </c>
      <c r="L1013" s="4" t="s">
        <v>269</v>
      </c>
      <c r="M1013" s="5" t="s">
        <v>1258</v>
      </c>
      <c r="N1013" s="6">
        <f>4.82</f>
        <v>4.82</v>
      </c>
      <c r="O1013" s="4" t="s">
        <v>265</v>
      </c>
      <c r="P1013" s="6">
        <f>1</f>
        <v>1</v>
      </c>
      <c r="Q1013" s="6">
        <f>0</f>
        <v>0</v>
      </c>
      <c r="S1013" s="6">
        <f>0</f>
        <v>0</v>
      </c>
      <c r="T1013" s="6">
        <f>1</f>
        <v>1</v>
      </c>
      <c r="U1013" s="5" t="s">
        <v>245</v>
      </c>
      <c r="V1013" s="4" t="s">
        <v>270</v>
      </c>
      <c r="W1013" s="4" t="s">
        <v>271</v>
      </c>
      <c r="X1013" s="4" t="s">
        <v>273</v>
      </c>
      <c r="Y1013" s="4" t="s">
        <v>241</v>
      </c>
      <c r="AB1013" s="4" t="s">
        <v>241</v>
      </c>
      <c r="AD1013" s="5" t="s">
        <v>241</v>
      </c>
      <c r="AG1013" s="5" t="s">
        <v>246</v>
      </c>
      <c r="AH1013" s="4" t="s">
        <v>241</v>
      </c>
      <c r="AI1013" s="4" t="s">
        <v>247</v>
      </c>
      <c r="AJ1013" s="4" t="s">
        <v>248</v>
      </c>
      <c r="AZ1013" s="4" t="s">
        <v>249</v>
      </c>
      <c r="BA1013" s="4" t="s">
        <v>241</v>
      </c>
      <c r="BB1013" s="4" t="s">
        <v>250</v>
      </c>
      <c r="BC1013" s="4" t="s">
        <v>241</v>
      </c>
      <c r="BD1013" s="4" t="s">
        <v>252</v>
      </c>
      <c r="BE1013" s="4" t="s">
        <v>241</v>
      </c>
      <c r="BI1013" s="4" t="s">
        <v>253</v>
      </c>
      <c r="BJ1013" s="5" t="s">
        <v>246</v>
      </c>
      <c r="BK1013" s="4" t="s">
        <v>254</v>
      </c>
      <c r="BL1013" s="4" t="s">
        <v>255</v>
      </c>
      <c r="BM1013" s="4" t="s">
        <v>241</v>
      </c>
      <c r="BN1013" s="6">
        <f>0</f>
        <v>0</v>
      </c>
      <c r="BO1013" s="6">
        <f>0</f>
        <v>0</v>
      </c>
      <c r="BP1013" s="4" t="s">
        <v>256</v>
      </c>
      <c r="BQ1013" s="4" t="s">
        <v>257</v>
      </c>
      <c r="CE1013" s="4" t="s">
        <v>241</v>
      </c>
      <c r="CF1013" s="4" t="s">
        <v>241</v>
      </c>
      <c r="CJ1013" s="4" t="s">
        <v>276</v>
      </c>
      <c r="CK1013" s="4" t="s">
        <v>259</v>
      </c>
      <c r="CL1013" s="4" t="s">
        <v>241</v>
      </c>
      <c r="CO1013" s="5" t="s">
        <v>260</v>
      </c>
      <c r="CP1013" s="4" t="s">
        <v>241</v>
      </c>
      <c r="CQ1013" s="4" t="s">
        <v>261</v>
      </c>
      <c r="CR1013" s="4" t="s">
        <v>241</v>
      </c>
      <c r="CS1013" s="4" t="s">
        <v>241</v>
      </c>
      <c r="CT1013" s="4">
        <v>0</v>
      </c>
      <c r="CU1013" s="4" t="s">
        <v>262</v>
      </c>
      <c r="CV1013" s="4" t="s">
        <v>263</v>
      </c>
      <c r="CW1013" s="4" t="s">
        <v>263</v>
      </c>
      <c r="CX1013" s="4" t="s">
        <v>264</v>
      </c>
      <c r="DA1013" s="6">
        <f>1</f>
        <v>1</v>
      </c>
      <c r="DC1013" s="4" t="s">
        <v>277</v>
      </c>
      <c r="DD1013" s="4" t="s">
        <v>241</v>
      </c>
      <c r="DF1013" s="4" t="s">
        <v>277</v>
      </c>
      <c r="DG1013" s="6">
        <f>4.82</f>
        <v>4.82</v>
      </c>
      <c r="DI1013" s="4" t="s">
        <v>241</v>
      </c>
      <c r="DJ1013" s="4" t="s">
        <v>241</v>
      </c>
      <c r="DK1013" s="4" t="s">
        <v>241</v>
      </c>
      <c r="DL1013" s="4" t="s">
        <v>241</v>
      </c>
      <c r="DP1013" s="4" t="s">
        <v>241</v>
      </c>
      <c r="DQ1013" s="4" t="s">
        <v>241</v>
      </c>
      <c r="DR1013" s="4" t="s">
        <v>241</v>
      </c>
      <c r="DS1013" s="4" t="s">
        <v>241</v>
      </c>
      <c r="DV1013" s="4" t="s">
        <v>278</v>
      </c>
      <c r="DW1013" s="4" t="s">
        <v>1259</v>
      </c>
      <c r="HO1013" s="4" t="s">
        <v>267</v>
      </c>
    </row>
    <row r="1014" spans="1:223" ht="19.5" customHeight="1" x14ac:dyDescent="0.4">
      <c r="A1014" s="4">
        <v>1</v>
      </c>
      <c r="B1014" s="4" t="s">
        <v>239</v>
      </c>
      <c r="C1014" s="4">
        <v>2688</v>
      </c>
      <c r="D1014" s="4">
        <v>1</v>
      </c>
      <c r="E1014" s="4">
        <v>1</v>
      </c>
      <c r="F1014" s="4" t="s">
        <v>268</v>
      </c>
      <c r="G1014" s="4" t="s">
        <v>241</v>
      </c>
      <c r="H1014" s="4" t="s">
        <v>241</v>
      </c>
      <c r="I1014" s="4" t="s">
        <v>272</v>
      </c>
      <c r="J1014" s="4" t="s">
        <v>274</v>
      </c>
      <c r="K1014" s="4" t="s">
        <v>251</v>
      </c>
      <c r="L1014" s="4" t="s">
        <v>269</v>
      </c>
      <c r="M1014" s="5" t="s">
        <v>1253</v>
      </c>
      <c r="N1014" s="6">
        <f>7472</f>
        <v>7472</v>
      </c>
      <c r="O1014" s="4" t="s">
        <v>265</v>
      </c>
      <c r="P1014" s="6">
        <f>1</f>
        <v>1</v>
      </c>
      <c r="Q1014" s="6">
        <f>0</f>
        <v>0</v>
      </c>
      <c r="S1014" s="6">
        <f>0</f>
        <v>0</v>
      </c>
      <c r="T1014" s="6">
        <f>1</f>
        <v>1</v>
      </c>
      <c r="U1014" s="5" t="s">
        <v>245</v>
      </c>
      <c r="V1014" s="4" t="s">
        <v>270</v>
      </c>
      <c r="W1014" s="4" t="s">
        <v>271</v>
      </c>
      <c r="X1014" s="4" t="s">
        <v>273</v>
      </c>
      <c r="Y1014" s="4" t="s">
        <v>241</v>
      </c>
      <c r="AB1014" s="4" t="s">
        <v>241</v>
      </c>
      <c r="AD1014" s="5" t="s">
        <v>241</v>
      </c>
      <c r="AG1014" s="5" t="s">
        <v>246</v>
      </c>
      <c r="AH1014" s="4" t="s">
        <v>241</v>
      </c>
      <c r="AI1014" s="4" t="s">
        <v>247</v>
      </c>
      <c r="AJ1014" s="4" t="s">
        <v>248</v>
      </c>
      <c r="AZ1014" s="4" t="s">
        <v>249</v>
      </c>
      <c r="BA1014" s="4" t="s">
        <v>241</v>
      </c>
      <c r="BB1014" s="4" t="s">
        <v>250</v>
      </c>
      <c r="BC1014" s="4" t="s">
        <v>241</v>
      </c>
      <c r="BD1014" s="4" t="s">
        <v>252</v>
      </c>
      <c r="BE1014" s="4" t="s">
        <v>241</v>
      </c>
      <c r="BI1014" s="4" t="s">
        <v>253</v>
      </c>
      <c r="BJ1014" s="5" t="s">
        <v>246</v>
      </c>
      <c r="BK1014" s="4" t="s">
        <v>254</v>
      </c>
      <c r="BL1014" s="4" t="s">
        <v>255</v>
      </c>
      <c r="BM1014" s="4" t="s">
        <v>241</v>
      </c>
      <c r="BN1014" s="6">
        <f>0</f>
        <v>0</v>
      </c>
      <c r="BO1014" s="6">
        <f>0</f>
        <v>0</v>
      </c>
      <c r="BP1014" s="4" t="s">
        <v>256</v>
      </c>
      <c r="BQ1014" s="4" t="s">
        <v>257</v>
      </c>
      <c r="CE1014" s="4" t="s">
        <v>241</v>
      </c>
      <c r="CF1014" s="4" t="s">
        <v>241</v>
      </c>
      <c r="CJ1014" s="4" t="s">
        <v>276</v>
      </c>
      <c r="CK1014" s="4" t="s">
        <v>259</v>
      </c>
      <c r="CL1014" s="4" t="s">
        <v>241</v>
      </c>
      <c r="CO1014" s="5" t="s">
        <v>260</v>
      </c>
      <c r="CP1014" s="4" t="s">
        <v>241</v>
      </c>
      <c r="CQ1014" s="4" t="s">
        <v>261</v>
      </c>
      <c r="CR1014" s="4" t="s">
        <v>241</v>
      </c>
      <c r="CS1014" s="4" t="s">
        <v>241</v>
      </c>
      <c r="CT1014" s="4">
        <v>0</v>
      </c>
      <c r="CU1014" s="4" t="s">
        <v>262</v>
      </c>
      <c r="CV1014" s="4" t="s">
        <v>263</v>
      </c>
      <c r="CW1014" s="4" t="s">
        <v>263</v>
      </c>
      <c r="CX1014" s="4" t="s">
        <v>264</v>
      </c>
      <c r="DA1014" s="6">
        <f>1</f>
        <v>1</v>
      </c>
      <c r="DC1014" s="4" t="s">
        <v>277</v>
      </c>
      <c r="DD1014" s="4" t="s">
        <v>241</v>
      </c>
      <c r="DF1014" s="4" t="s">
        <v>277</v>
      </c>
      <c r="DG1014" s="6">
        <f>7472</f>
        <v>7472</v>
      </c>
      <c r="DI1014" s="4" t="s">
        <v>241</v>
      </c>
      <c r="DJ1014" s="4" t="s">
        <v>241</v>
      </c>
      <c r="DK1014" s="4" t="s">
        <v>241</v>
      </c>
      <c r="DL1014" s="4" t="s">
        <v>241</v>
      </c>
      <c r="DP1014" s="4" t="s">
        <v>241</v>
      </c>
      <c r="DQ1014" s="4" t="s">
        <v>241</v>
      </c>
      <c r="DR1014" s="4" t="s">
        <v>241</v>
      </c>
      <c r="DS1014" s="4" t="s">
        <v>241</v>
      </c>
      <c r="DV1014" s="4" t="s">
        <v>278</v>
      </c>
      <c r="DW1014" s="4" t="s">
        <v>1254</v>
      </c>
      <c r="HO1014" s="4" t="s">
        <v>267</v>
      </c>
    </row>
    <row r="1015" spans="1:223" ht="19.5" customHeight="1" x14ac:dyDescent="0.4">
      <c r="A1015" s="4">
        <v>1</v>
      </c>
      <c r="B1015" s="4" t="s">
        <v>239</v>
      </c>
      <c r="C1015" s="4">
        <v>2689</v>
      </c>
      <c r="D1015" s="4">
        <v>1</v>
      </c>
      <c r="E1015" s="4">
        <v>1</v>
      </c>
      <c r="F1015" s="4" t="s">
        <v>268</v>
      </c>
      <c r="G1015" s="4" t="s">
        <v>241</v>
      </c>
      <c r="H1015" s="4" t="s">
        <v>241</v>
      </c>
      <c r="I1015" s="4" t="s">
        <v>272</v>
      </c>
      <c r="J1015" s="4" t="s">
        <v>274</v>
      </c>
      <c r="K1015" s="4" t="s">
        <v>251</v>
      </c>
      <c r="L1015" s="4" t="s">
        <v>269</v>
      </c>
      <c r="M1015" s="5" t="s">
        <v>1247</v>
      </c>
      <c r="N1015" s="6">
        <f>2079</f>
        <v>2079</v>
      </c>
      <c r="O1015" s="4" t="s">
        <v>265</v>
      </c>
      <c r="P1015" s="6">
        <f>1</f>
        <v>1</v>
      </c>
      <c r="Q1015" s="6">
        <f>0</f>
        <v>0</v>
      </c>
      <c r="S1015" s="6">
        <f>0</f>
        <v>0</v>
      </c>
      <c r="T1015" s="6">
        <f>1</f>
        <v>1</v>
      </c>
      <c r="U1015" s="5" t="s">
        <v>245</v>
      </c>
      <c r="V1015" s="4" t="s">
        <v>270</v>
      </c>
      <c r="W1015" s="4" t="s">
        <v>271</v>
      </c>
      <c r="X1015" s="4" t="s">
        <v>273</v>
      </c>
      <c r="Y1015" s="4" t="s">
        <v>241</v>
      </c>
      <c r="AB1015" s="4" t="s">
        <v>241</v>
      </c>
      <c r="AD1015" s="5" t="s">
        <v>241</v>
      </c>
      <c r="AG1015" s="5" t="s">
        <v>246</v>
      </c>
      <c r="AH1015" s="4" t="s">
        <v>241</v>
      </c>
      <c r="AI1015" s="4" t="s">
        <v>247</v>
      </c>
      <c r="AJ1015" s="4" t="s">
        <v>248</v>
      </c>
      <c r="AZ1015" s="4" t="s">
        <v>249</v>
      </c>
      <c r="BA1015" s="4" t="s">
        <v>241</v>
      </c>
      <c r="BB1015" s="4" t="s">
        <v>250</v>
      </c>
      <c r="BC1015" s="4" t="s">
        <v>241</v>
      </c>
      <c r="BD1015" s="4" t="s">
        <v>252</v>
      </c>
      <c r="BE1015" s="4" t="s">
        <v>241</v>
      </c>
      <c r="BI1015" s="4" t="s">
        <v>253</v>
      </c>
      <c r="BJ1015" s="5" t="s">
        <v>246</v>
      </c>
      <c r="BK1015" s="4" t="s">
        <v>254</v>
      </c>
      <c r="BL1015" s="4" t="s">
        <v>255</v>
      </c>
      <c r="BM1015" s="4" t="s">
        <v>241</v>
      </c>
      <c r="BN1015" s="6">
        <f>0</f>
        <v>0</v>
      </c>
      <c r="BO1015" s="6">
        <f>0</f>
        <v>0</v>
      </c>
      <c r="BP1015" s="4" t="s">
        <v>256</v>
      </c>
      <c r="BQ1015" s="4" t="s">
        <v>257</v>
      </c>
      <c r="CE1015" s="4" t="s">
        <v>241</v>
      </c>
      <c r="CF1015" s="4" t="s">
        <v>241</v>
      </c>
      <c r="CJ1015" s="4" t="s">
        <v>276</v>
      </c>
      <c r="CK1015" s="4" t="s">
        <v>259</v>
      </c>
      <c r="CL1015" s="4" t="s">
        <v>241</v>
      </c>
      <c r="CO1015" s="5" t="s">
        <v>260</v>
      </c>
      <c r="CP1015" s="4" t="s">
        <v>241</v>
      </c>
      <c r="CQ1015" s="4" t="s">
        <v>261</v>
      </c>
      <c r="CR1015" s="4" t="s">
        <v>241</v>
      </c>
      <c r="CS1015" s="4" t="s">
        <v>241</v>
      </c>
      <c r="CT1015" s="4">
        <v>0</v>
      </c>
      <c r="CU1015" s="4" t="s">
        <v>262</v>
      </c>
      <c r="CV1015" s="4" t="s">
        <v>263</v>
      </c>
      <c r="CW1015" s="4" t="s">
        <v>263</v>
      </c>
      <c r="CX1015" s="4" t="s">
        <v>264</v>
      </c>
      <c r="DA1015" s="6">
        <f>1</f>
        <v>1</v>
      </c>
      <c r="DC1015" s="4" t="s">
        <v>277</v>
      </c>
      <c r="DD1015" s="4" t="s">
        <v>241</v>
      </c>
      <c r="DF1015" s="4" t="s">
        <v>277</v>
      </c>
      <c r="DG1015" s="6">
        <f>2079</f>
        <v>2079</v>
      </c>
      <c r="DI1015" s="4" t="s">
        <v>241</v>
      </c>
      <c r="DJ1015" s="4" t="s">
        <v>241</v>
      </c>
      <c r="DK1015" s="4" t="s">
        <v>241</v>
      </c>
      <c r="DL1015" s="4" t="s">
        <v>241</v>
      </c>
      <c r="DP1015" s="4" t="s">
        <v>241</v>
      </c>
      <c r="DQ1015" s="4" t="s">
        <v>241</v>
      </c>
      <c r="DR1015" s="4" t="s">
        <v>241</v>
      </c>
      <c r="DS1015" s="4" t="s">
        <v>241</v>
      </c>
      <c r="DV1015" s="4" t="s">
        <v>278</v>
      </c>
      <c r="DW1015" s="4" t="s">
        <v>1248</v>
      </c>
      <c r="HO1015" s="4" t="s">
        <v>267</v>
      </c>
    </row>
    <row r="1016" spans="1:223" ht="19.5" customHeight="1" x14ac:dyDescent="0.4">
      <c r="A1016" s="4">
        <v>1</v>
      </c>
      <c r="B1016" s="4" t="s">
        <v>239</v>
      </c>
      <c r="C1016" s="4">
        <v>2690</v>
      </c>
      <c r="D1016" s="4">
        <v>1</v>
      </c>
      <c r="E1016" s="4">
        <v>1</v>
      </c>
      <c r="F1016" s="4" t="s">
        <v>268</v>
      </c>
      <c r="G1016" s="4" t="s">
        <v>241</v>
      </c>
      <c r="H1016" s="4" t="s">
        <v>241</v>
      </c>
      <c r="I1016" s="4" t="s">
        <v>272</v>
      </c>
      <c r="J1016" s="4" t="s">
        <v>274</v>
      </c>
      <c r="K1016" s="4" t="s">
        <v>251</v>
      </c>
      <c r="L1016" s="4" t="s">
        <v>269</v>
      </c>
      <c r="M1016" s="5" t="s">
        <v>1241</v>
      </c>
      <c r="N1016" s="6">
        <f>671</f>
        <v>671</v>
      </c>
      <c r="O1016" s="4" t="s">
        <v>265</v>
      </c>
      <c r="P1016" s="6">
        <f>1</f>
        <v>1</v>
      </c>
      <c r="Q1016" s="6">
        <f>0</f>
        <v>0</v>
      </c>
      <c r="S1016" s="6">
        <f>0</f>
        <v>0</v>
      </c>
      <c r="T1016" s="6">
        <f>1</f>
        <v>1</v>
      </c>
      <c r="U1016" s="5" t="s">
        <v>245</v>
      </c>
      <c r="V1016" s="4" t="s">
        <v>270</v>
      </c>
      <c r="W1016" s="4" t="s">
        <v>271</v>
      </c>
      <c r="X1016" s="4" t="s">
        <v>273</v>
      </c>
      <c r="Y1016" s="4" t="s">
        <v>241</v>
      </c>
      <c r="AB1016" s="4" t="s">
        <v>241</v>
      </c>
      <c r="AD1016" s="5" t="s">
        <v>241</v>
      </c>
      <c r="AG1016" s="5" t="s">
        <v>246</v>
      </c>
      <c r="AH1016" s="4" t="s">
        <v>241</v>
      </c>
      <c r="AI1016" s="4" t="s">
        <v>247</v>
      </c>
      <c r="AJ1016" s="4" t="s">
        <v>248</v>
      </c>
      <c r="AZ1016" s="4" t="s">
        <v>249</v>
      </c>
      <c r="BA1016" s="4" t="s">
        <v>241</v>
      </c>
      <c r="BB1016" s="4" t="s">
        <v>250</v>
      </c>
      <c r="BC1016" s="4" t="s">
        <v>241</v>
      </c>
      <c r="BD1016" s="4" t="s">
        <v>252</v>
      </c>
      <c r="BE1016" s="4" t="s">
        <v>241</v>
      </c>
      <c r="BI1016" s="4" t="s">
        <v>253</v>
      </c>
      <c r="BJ1016" s="5" t="s">
        <v>246</v>
      </c>
      <c r="BK1016" s="4" t="s">
        <v>254</v>
      </c>
      <c r="BL1016" s="4" t="s">
        <v>255</v>
      </c>
      <c r="BM1016" s="4" t="s">
        <v>241</v>
      </c>
      <c r="BN1016" s="6">
        <f>0</f>
        <v>0</v>
      </c>
      <c r="BO1016" s="6">
        <f>0</f>
        <v>0</v>
      </c>
      <c r="BP1016" s="4" t="s">
        <v>256</v>
      </c>
      <c r="BQ1016" s="4" t="s">
        <v>257</v>
      </c>
      <c r="CE1016" s="4" t="s">
        <v>241</v>
      </c>
      <c r="CF1016" s="4" t="s">
        <v>241</v>
      </c>
      <c r="CJ1016" s="4" t="s">
        <v>276</v>
      </c>
      <c r="CK1016" s="4" t="s">
        <v>259</v>
      </c>
      <c r="CL1016" s="4" t="s">
        <v>241</v>
      </c>
      <c r="CO1016" s="5" t="s">
        <v>260</v>
      </c>
      <c r="CP1016" s="4" t="s">
        <v>241</v>
      </c>
      <c r="CQ1016" s="4" t="s">
        <v>261</v>
      </c>
      <c r="CR1016" s="4" t="s">
        <v>241</v>
      </c>
      <c r="CS1016" s="4" t="s">
        <v>241</v>
      </c>
      <c r="CT1016" s="4">
        <v>0</v>
      </c>
      <c r="CU1016" s="4" t="s">
        <v>262</v>
      </c>
      <c r="CV1016" s="4" t="s">
        <v>263</v>
      </c>
      <c r="CW1016" s="4" t="s">
        <v>263</v>
      </c>
      <c r="CX1016" s="4" t="s">
        <v>264</v>
      </c>
      <c r="DA1016" s="6">
        <f>1</f>
        <v>1</v>
      </c>
      <c r="DC1016" s="4" t="s">
        <v>277</v>
      </c>
      <c r="DD1016" s="4" t="s">
        <v>241</v>
      </c>
      <c r="DF1016" s="4" t="s">
        <v>277</v>
      </c>
      <c r="DG1016" s="6">
        <f>671</f>
        <v>671</v>
      </c>
      <c r="DI1016" s="4" t="s">
        <v>241</v>
      </c>
      <c r="DJ1016" s="4" t="s">
        <v>241</v>
      </c>
      <c r="DK1016" s="4" t="s">
        <v>241</v>
      </c>
      <c r="DL1016" s="4" t="s">
        <v>241</v>
      </c>
      <c r="DP1016" s="4" t="s">
        <v>241</v>
      </c>
      <c r="DQ1016" s="4" t="s">
        <v>241</v>
      </c>
      <c r="DR1016" s="4" t="s">
        <v>241</v>
      </c>
      <c r="DS1016" s="4" t="s">
        <v>241</v>
      </c>
      <c r="DV1016" s="4" t="s">
        <v>278</v>
      </c>
      <c r="DW1016" s="4" t="s">
        <v>1242</v>
      </c>
      <c r="HO1016" s="4" t="s">
        <v>267</v>
      </c>
    </row>
    <row r="1017" spans="1:223" ht="19.5" customHeight="1" x14ac:dyDescent="0.4">
      <c r="A1017" s="4">
        <v>1</v>
      </c>
      <c r="B1017" s="4" t="s">
        <v>239</v>
      </c>
      <c r="C1017" s="4">
        <v>2691</v>
      </c>
      <c r="D1017" s="4">
        <v>1</v>
      </c>
      <c r="E1017" s="4">
        <v>1</v>
      </c>
      <c r="F1017" s="4" t="s">
        <v>268</v>
      </c>
      <c r="G1017" s="4" t="s">
        <v>241</v>
      </c>
      <c r="H1017" s="4" t="s">
        <v>241</v>
      </c>
      <c r="I1017" s="4" t="s">
        <v>272</v>
      </c>
      <c r="J1017" s="4" t="s">
        <v>274</v>
      </c>
      <c r="K1017" s="4" t="s">
        <v>251</v>
      </c>
      <c r="L1017" s="4" t="s">
        <v>269</v>
      </c>
      <c r="M1017" s="5" t="s">
        <v>1237</v>
      </c>
      <c r="N1017" s="6">
        <f>1796</f>
        <v>1796</v>
      </c>
      <c r="O1017" s="4" t="s">
        <v>265</v>
      </c>
      <c r="P1017" s="6">
        <f>1</f>
        <v>1</v>
      </c>
      <c r="Q1017" s="6">
        <f>0</f>
        <v>0</v>
      </c>
      <c r="S1017" s="6">
        <f>0</f>
        <v>0</v>
      </c>
      <c r="T1017" s="6">
        <f>1</f>
        <v>1</v>
      </c>
      <c r="U1017" s="5" t="s">
        <v>245</v>
      </c>
      <c r="V1017" s="4" t="s">
        <v>270</v>
      </c>
      <c r="W1017" s="4" t="s">
        <v>271</v>
      </c>
      <c r="X1017" s="4" t="s">
        <v>273</v>
      </c>
      <c r="Y1017" s="4" t="s">
        <v>241</v>
      </c>
      <c r="AB1017" s="4" t="s">
        <v>241</v>
      </c>
      <c r="AD1017" s="5" t="s">
        <v>241</v>
      </c>
      <c r="AG1017" s="5" t="s">
        <v>246</v>
      </c>
      <c r="AH1017" s="4" t="s">
        <v>241</v>
      </c>
      <c r="AI1017" s="4" t="s">
        <v>247</v>
      </c>
      <c r="AJ1017" s="4" t="s">
        <v>248</v>
      </c>
      <c r="AZ1017" s="4" t="s">
        <v>249</v>
      </c>
      <c r="BA1017" s="4" t="s">
        <v>241</v>
      </c>
      <c r="BB1017" s="4" t="s">
        <v>250</v>
      </c>
      <c r="BC1017" s="4" t="s">
        <v>241</v>
      </c>
      <c r="BD1017" s="4" t="s">
        <v>252</v>
      </c>
      <c r="BE1017" s="4" t="s">
        <v>241</v>
      </c>
      <c r="BI1017" s="4" t="s">
        <v>253</v>
      </c>
      <c r="BJ1017" s="5" t="s">
        <v>246</v>
      </c>
      <c r="BK1017" s="4" t="s">
        <v>254</v>
      </c>
      <c r="BL1017" s="4" t="s">
        <v>255</v>
      </c>
      <c r="BM1017" s="4" t="s">
        <v>241</v>
      </c>
      <c r="BN1017" s="6">
        <f>0</f>
        <v>0</v>
      </c>
      <c r="BO1017" s="6">
        <f>0</f>
        <v>0</v>
      </c>
      <c r="BP1017" s="4" t="s">
        <v>256</v>
      </c>
      <c r="BQ1017" s="4" t="s">
        <v>257</v>
      </c>
      <c r="CE1017" s="4" t="s">
        <v>241</v>
      </c>
      <c r="CF1017" s="4" t="s">
        <v>241</v>
      </c>
      <c r="CJ1017" s="4" t="s">
        <v>276</v>
      </c>
      <c r="CK1017" s="4" t="s">
        <v>259</v>
      </c>
      <c r="CL1017" s="4" t="s">
        <v>241</v>
      </c>
      <c r="CO1017" s="5" t="s">
        <v>260</v>
      </c>
      <c r="CP1017" s="4" t="s">
        <v>241</v>
      </c>
      <c r="CQ1017" s="4" t="s">
        <v>261</v>
      </c>
      <c r="CR1017" s="4" t="s">
        <v>241</v>
      </c>
      <c r="CS1017" s="4" t="s">
        <v>241</v>
      </c>
      <c r="CT1017" s="4">
        <v>0</v>
      </c>
      <c r="CU1017" s="4" t="s">
        <v>262</v>
      </c>
      <c r="CV1017" s="4" t="s">
        <v>263</v>
      </c>
      <c r="CW1017" s="4" t="s">
        <v>263</v>
      </c>
      <c r="CX1017" s="4" t="s">
        <v>264</v>
      </c>
      <c r="DA1017" s="6">
        <f>1</f>
        <v>1</v>
      </c>
      <c r="DC1017" s="4" t="s">
        <v>277</v>
      </c>
      <c r="DD1017" s="4" t="s">
        <v>241</v>
      </c>
      <c r="DF1017" s="4" t="s">
        <v>277</v>
      </c>
      <c r="DG1017" s="6">
        <f>1796</f>
        <v>1796</v>
      </c>
      <c r="DI1017" s="4" t="s">
        <v>241</v>
      </c>
      <c r="DJ1017" s="4" t="s">
        <v>241</v>
      </c>
      <c r="DK1017" s="4" t="s">
        <v>241</v>
      </c>
      <c r="DL1017" s="4" t="s">
        <v>241</v>
      </c>
      <c r="DP1017" s="4" t="s">
        <v>241</v>
      </c>
      <c r="DQ1017" s="4" t="s">
        <v>241</v>
      </c>
      <c r="DR1017" s="4" t="s">
        <v>241</v>
      </c>
      <c r="DS1017" s="4" t="s">
        <v>241</v>
      </c>
      <c r="DV1017" s="4" t="s">
        <v>278</v>
      </c>
      <c r="DW1017" s="4" t="s">
        <v>1238</v>
      </c>
      <c r="HO1017" s="4" t="s">
        <v>267</v>
      </c>
    </row>
    <row r="1018" spans="1:223" ht="19.5" customHeight="1" x14ac:dyDescent="0.4">
      <c r="A1018" s="4">
        <v>1</v>
      </c>
      <c r="B1018" s="4" t="s">
        <v>239</v>
      </c>
      <c r="C1018" s="4">
        <v>2692</v>
      </c>
      <c r="D1018" s="4">
        <v>1</v>
      </c>
      <c r="E1018" s="4">
        <v>1</v>
      </c>
      <c r="F1018" s="4" t="s">
        <v>268</v>
      </c>
      <c r="G1018" s="4" t="s">
        <v>241</v>
      </c>
      <c r="H1018" s="4" t="s">
        <v>241</v>
      </c>
      <c r="I1018" s="4" t="s">
        <v>272</v>
      </c>
      <c r="J1018" s="4" t="s">
        <v>274</v>
      </c>
      <c r="K1018" s="4" t="s">
        <v>251</v>
      </c>
      <c r="L1018" s="4" t="s">
        <v>269</v>
      </c>
      <c r="M1018" s="5" t="s">
        <v>1233</v>
      </c>
      <c r="N1018" s="6">
        <f>1808</f>
        <v>1808</v>
      </c>
      <c r="O1018" s="4" t="s">
        <v>265</v>
      </c>
      <c r="P1018" s="6">
        <f>1</f>
        <v>1</v>
      </c>
      <c r="Q1018" s="6">
        <f>0</f>
        <v>0</v>
      </c>
      <c r="S1018" s="6">
        <f>0</f>
        <v>0</v>
      </c>
      <c r="T1018" s="6">
        <f>1</f>
        <v>1</v>
      </c>
      <c r="U1018" s="5" t="s">
        <v>245</v>
      </c>
      <c r="V1018" s="4" t="s">
        <v>270</v>
      </c>
      <c r="W1018" s="4" t="s">
        <v>271</v>
      </c>
      <c r="X1018" s="4" t="s">
        <v>273</v>
      </c>
      <c r="Y1018" s="4" t="s">
        <v>241</v>
      </c>
      <c r="AB1018" s="4" t="s">
        <v>241</v>
      </c>
      <c r="AD1018" s="5" t="s">
        <v>241</v>
      </c>
      <c r="AG1018" s="5" t="s">
        <v>246</v>
      </c>
      <c r="AH1018" s="4" t="s">
        <v>241</v>
      </c>
      <c r="AI1018" s="4" t="s">
        <v>247</v>
      </c>
      <c r="AJ1018" s="4" t="s">
        <v>248</v>
      </c>
      <c r="AZ1018" s="4" t="s">
        <v>249</v>
      </c>
      <c r="BA1018" s="4" t="s">
        <v>241</v>
      </c>
      <c r="BB1018" s="4" t="s">
        <v>250</v>
      </c>
      <c r="BC1018" s="4" t="s">
        <v>241</v>
      </c>
      <c r="BD1018" s="4" t="s">
        <v>252</v>
      </c>
      <c r="BE1018" s="4" t="s">
        <v>241</v>
      </c>
      <c r="BI1018" s="4" t="s">
        <v>253</v>
      </c>
      <c r="BJ1018" s="5" t="s">
        <v>246</v>
      </c>
      <c r="BK1018" s="4" t="s">
        <v>254</v>
      </c>
      <c r="BL1018" s="4" t="s">
        <v>255</v>
      </c>
      <c r="BM1018" s="4" t="s">
        <v>241</v>
      </c>
      <c r="BN1018" s="6">
        <f>0</f>
        <v>0</v>
      </c>
      <c r="BO1018" s="6">
        <f>0</f>
        <v>0</v>
      </c>
      <c r="BP1018" s="4" t="s">
        <v>256</v>
      </c>
      <c r="BQ1018" s="4" t="s">
        <v>257</v>
      </c>
      <c r="CE1018" s="4" t="s">
        <v>241</v>
      </c>
      <c r="CF1018" s="4" t="s">
        <v>241</v>
      </c>
      <c r="CJ1018" s="4" t="s">
        <v>276</v>
      </c>
      <c r="CK1018" s="4" t="s">
        <v>259</v>
      </c>
      <c r="CL1018" s="4" t="s">
        <v>241</v>
      </c>
      <c r="CO1018" s="5" t="s">
        <v>260</v>
      </c>
      <c r="CP1018" s="4" t="s">
        <v>241</v>
      </c>
      <c r="CQ1018" s="4" t="s">
        <v>261</v>
      </c>
      <c r="CR1018" s="4" t="s">
        <v>241</v>
      </c>
      <c r="CS1018" s="4" t="s">
        <v>241</v>
      </c>
      <c r="CT1018" s="4">
        <v>0</v>
      </c>
      <c r="CU1018" s="4" t="s">
        <v>262</v>
      </c>
      <c r="CV1018" s="4" t="s">
        <v>263</v>
      </c>
      <c r="CW1018" s="4" t="s">
        <v>263</v>
      </c>
      <c r="CX1018" s="4" t="s">
        <v>264</v>
      </c>
      <c r="DA1018" s="6">
        <f>1</f>
        <v>1</v>
      </c>
      <c r="DC1018" s="4" t="s">
        <v>277</v>
      </c>
      <c r="DD1018" s="4" t="s">
        <v>241</v>
      </c>
      <c r="DF1018" s="4" t="s">
        <v>277</v>
      </c>
      <c r="DG1018" s="6">
        <f>1808</f>
        <v>1808</v>
      </c>
      <c r="DI1018" s="4" t="s">
        <v>241</v>
      </c>
      <c r="DJ1018" s="4" t="s">
        <v>241</v>
      </c>
      <c r="DK1018" s="4" t="s">
        <v>241</v>
      </c>
      <c r="DL1018" s="4" t="s">
        <v>241</v>
      </c>
      <c r="DP1018" s="4" t="s">
        <v>241</v>
      </c>
      <c r="DQ1018" s="4" t="s">
        <v>241</v>
      </c>
      <c r="DR1018" s="4" t="s">
        <v>241</v>
      </c>
      <c r="DS1018" s="4" t="s">
        <v>241</v>
      </c>
      <c r="DV1018" s="4" t="s">
        <v>278</v>
      </c>
      <c r="DW1018" s="4" t="s">
        <v>1234</v>
      </c>
      <c r="HO1018" s="4" t="s">
        <v>267</v>
      </c>
    </row>
    <row r="1019" spans="1:223" ht="19.5" customHeight="1" x14ac:dyDescent="0.4">
      <c r="A1019" s="4">
        <v>1</v>
      </c>
      <c r="B1019" s="4" t="s">
        <v>239</v>
      </c>
      <c r="C1019" s="4">
        <v>2693</v>
      </c>
      <c r="D1019" s="4">
        <v>1</v>
      </c>
      <c r="E1019" s="4">
        <v>1</v>
      </c>
      <c r="F1019" s="4" t="s">
        <v>268</v>
      </c>
      <c r="G1019" s="4" t="s">
        <v>241</v>
      </c>
      <c r="H1019" s="4" t="s">
        <v>241</v>
      </c>
      <c r="I1019" s="4" t="s">
        <v>272</v>
      </c>
      <c r="J1019" s="4" t="s">
        <v>274</v>
      </c>
      <c r="K1019" s="4" t="s">
        <v>251</v>
      </c>
      <c r="L1019" s="4" t="s">
        <v>269</v>
      </c>
      <c r="M1019" s="5" t="s">
        <v>1231</v>
      </c>
      <c r="N1019" s="6">
        <f>2433</f>
        <v>2433</v>
      </c>
      <c r="O1019" s="4" t="s">
        <v>265</v>
      </c>
      <c r="P1019" s="6">
        <f>1</f>
        <v>1</v>
      </c>
      <c r="Q1019" s="6">
        <f>0</f>
        <v>0</v>
      </c>
      <c r="S1019" s="6">
        <f>0</f>
        <v>0</v>
      </c>
      <c r="T1019" s="6">
        <f>1</f>
        <v>1</v>
      </c>
      <c r="U1019" s="5" t="s">
        <v>245</v>
      </c>
      <c r="V1019" s="4" t="s">
        <v>270</v>
      </c>
      <c r="W1019" s="4" t="s">
        <v>271</v>
      </c>
      <c r="X1019" s="4" t="s">
        <v>273</v>
      </c>
      <c r="Y1019" s="4" t="s">
        <v>241</v>
      </c>
      <c r="AB1019" s="4" t="s">
        <v>241</v>
      </c>
      <c r="AD1019" s="5" t="s">
        <v>241</v>
      </c>
      <c r="AG1019" s="5" t="s">
        <v>246</v>
      </c>
      <c r="AH1019" s="4" t="s">
        <v>241</v>
      </c>
      <c r="AI1019" s="4" t="s">
        <v>247</v>
      </c>
      <c r="AJ1019" s="4" t="s">
        <v>248</v>
      </c>
      <c r="AZ1019" s="4" t="s">
        <v>249</v>
      </c>
      <c r="BA1019" s="4" t="s">
        <v>241</v>
      </c>
      <c r="BB1019" s="4" t="s">
        <v>250</v>
      </c>
      <c r="BC1019" s="4" t="s">
        <v>241</v>
      </c>
      <c r="BD1019" s="4" t="s">
        <v>252</v>
      </c>
      <c r="BE1019" s="4" t="s">
        <v>241</v>
      </c>
      <c r="BI1019" s="4" t="s">
        <v>253</v>
      </c>
      <c r="BJ1019" s="5" t="s">
        <v>246</v>
      </c>
      <c r="BK1019" s="4" t="s">
        <v>254</v>
      </c>
      <c r="BL1019" s="4" t="s">
        <v>255</v>
      </c>
      <c r="BM1019" s="4" t="s">
        <v>241</v>
      </c>
      <c r="BN1019" s="6">
        <f>0</f>
        <v>0</v>
      </c>
      <c r="BO1019" s="6">
        <f>0</f>
        <v>0</v>
      </c>
      <c r="BP1019" s="4" t="s">
        <v>256</v>
      </c>
      <c r="BQ1019" s="4" t="s">
        <v>257</v>
      </c>
      <c r="CE1019" s="4" t="s">
        <v>241</v>
      </c>
      <c r="CF1019" s="4" t="s">
        <v>241</v>
      </c>
      <c r="CJ1019" s="4" t="s">
        <v>276</v>
      </c>
      <c r="CK1019" s="4" t="s">
        <v>259</v>
      </c>
      <c r="CL1019" s="4" t="s">
        <v>241</v>
      </c>
      <c r="CO1019" s="5" t="s">
        <v>260</v>
      </c>
      <c r="CP1019" s="4" t="s">
        <v>241</v>
      </c>
      <c r="CQ1019" s="4" t="s">
        <v>261</v>
      </c>
      <c r="CR1019" s="4" t="s">
        <v>241</v>
      </c>
      <c r="CS1019" s="4" t="s">
        <v>241</v>
      </c>
      <c r="CT1019" s="4">
        <v>0</v>
      </c>
      <c r="CU1019" s="4" t="s">
        <v>262</v>
      </c>
      <c r="CV1019" s="4" t="s">
        <v>263</v>
      </c>
      <c r="CW1019" s="4" t="s">
        <v>263</v>
      </c>
      <c r="CX1019" s="4" t="s">
        <v>264</v>
      </c>
      <c r="DA1019" s="6">
        <f>1</f>
        <v>1</v>
      </c>
      <c r="DC1019" s="4" t="s">
        <v>277</v>
      </c>
      <c r="DD1019" s="4" t="s">
        <v>241</v>
      </c>
      <c r="DF1019" s="4" t="s">
        <v>277</v>
      </c>
      <c r="DG1019" s="6">
        <f>2433</f>
        <v>2433</v>
      </c>
      <c r="DI1019" s="4" t="s">
        <v>241</v>
      </c>
      <c r="DJ1019" s="4" t="s">
        <v>241</v>
      </c>
      <c r="DK1019" s="4" t="s">
        <v>241</v>
      </c>
      <c r="DL1019" s="4" t="s">
        <v>241</v>
      </c>
      <c r="DP1019" s="4" t="s">
        <v>241</v>
      </c>
      <c r="DQ1019" s="4" t="s">
        <v>241</v>
      </c>
      <c r="DR1019" s="4" t="s">
        <v>241</v>
      </c>
      <c r="DS1019" s="4" t="s">
        <v>241</v>
      </c>
      <c r="DV1019" s="4" t="s">
        <v>278</v>
      </c>
      <c r="DW1019" s="4" t="s">
        <v>595</v>
      </c>
      <c r="HO1019" s="4" t="s">
        <v>267</v>
      </c>
    </row>
    <row r="1020" spans="1:223" ht="19.5" customHeight="1" x14ac:dyDescent="0.4">
      <c r="A1020" s="4">
        <v>1</v>
      </c>
      <c r="B1020" s="4" t="s">
        <v>239</v>
      </c>
      <c r="C1020" s="4">
        <v>2694</v>
      </c>
      <c r="D1020" s="4">
        <v>1</v>
      </c>
      <c r="E1020" s="4">
        <v>1</v>
      </c>
      <c r="F1020" s="4" t="s">
        <v>268</v>
      </c>
      <c r="G1020" s="4" t="s">
        <v>241</v>
      </c>
      <c r="H1020" s="4" t="s">
        <v>241</v>
      </c>
      <c r="I1020" s="4" t="s">
        <v>272</v>
      </c>
      <c r="J1020" s="4" t="s">
        <v>274</v>
      </c>
      <c r="K1020" s="4" t="s">
        <v>251</v>
      </c>
      <c r="L1020" s="4" t="s">
        <v>269</v>
      </c>
      <c r="M1020" s="5" t="s">
        <v>1227</v>
      </c>
      <c r="N1020" s="6">
        <f>1451</f>
        <v>1451</v>
      </c>
      <c r="O1020" s="4" t="s">
        <v>265</v>
      </c>
      <c r="P1020" s="6">
        <f>1</f>
        <v>1</v>
      </c>
      <c r="Q1020" s="6">
        <f>0</f>
        <v>0</v>
      </c>
      <c r="S1020" s="6">
        <f>0</f>
        <v>0</v>
      </c>
      <c r="T1020" s="6">
        <f>1</f>
        <v>1</v>
      </c>
      <c r="U1020" s="5" t="s">
        <v>245</v>
      </c>
      <c r="V1020" s="4" t="s">
        <v>270</v>
      </c>
      <c r="W1020" s="4" t="s">
        <v>271</v>
      </c>
      <c r="X1020" s="4" t="s">
        <v>273</v>
      </c>
      <c r="Y1020" s="4" t="s">
        <v>241</v>
      </c>
      <c r="AB1020" s="4" t="s">
        <v>241</v>
      </c>
      <c r="AD1020" s="5" t="s">
        <v>241</v>
      </c>
      <c r="AG1020" s="5" t="s">
        <v>246</v>
      </c>
      <c r="AH1020" s="4" t="s">
        <v>241</v>
      </c>
      <c r="AI1020" s="4" t="s">
        <v>247</v>
      </c>
      <c r="AJ1020" s="4" t="s">
        <v>248</v>
      </c>
      <c r="AZ1020" s="4" t="s">
        <v>249</v>
      </c>
      <c r="BA1020" s="4" t="s">
        <v>241</v>
      </c>
      <c r="BB1020" s="4" t="s">
        <v>250</v>
      </c>
      <c r="BC1020" s="4" t="s">
        <v>241</v>
      </c>
      <c r="BD1020" s="4" t="s">
        <v>252</v>
      </c>
      <c r="BE1020" s="4" t="s">
        <v>241</v>
      </c>
      <c r="BI1020" s="4" t="s">
        <v>253</v>
      </c>
      <c r="BJ1020" s="5" t="s">
        <v>246</v>
      </c>
      <c r="BK1020" s="4" t="s">
        <v>254</v>
      </c>
      <c r="BL1020" s="4" t="s">
        <v>255</v>
      </c>
      <c r="BM1020" s="4" t="s">
        <v>241</v>
      </c>
      <c r="BN1020" s="6">
        <f>0</f>
        <v>0</v>
      </c>
      <c r="BO1020" s="6">
        <f>0</f>
        <v>0</v>
      </c>
      <c r="BP1020" s="4" t="s">
        <v>256</v>
      </c>
      <c r="BQ1020" s="4" t="s">
        <v>257</v>
      </c>
      <c r="CE1020" s="4" t="s">
        <v>241</v>
      </c>
      <c r="CF1020" s="4" t="s">
        <v>241</v>
      </c>
      <c r="CJ1020" s="4" t="s">
        <v>276</v>
      </c>
      <c r="CK1020" s="4" t="s">
        <v>259</v>
      </c>
      <c r="CL1020" s="4" t="s">
        <v>241</v>
      </c>
      <c r="CO1020" s="5" t="s">
        <v>260</v>
      </c>
      <c r="CP1020" s="4" t="s">
        <v>241</v>
      </c>
      <c r="CQ1020" s="4" t="s">
        <v>261</v>
      </c>
      <c r="CR1020" s="4" t="s">
        <v>241</v>
      </c>
      <c r="CS1020" s="4" t="s">
        <v>241</v>
      </c>
      <c r="CT1020" s="4">
        <v>0</v>
      </c>
      <c r="CU1020" s="4" t="s">
        <v>262</v>
      </c>
      <c r="CV1020" s="4" t="s">
        <v>263</v>
      </c>
      <c r="CW1020" s="4" t="s">
        <v>263</v>
      </c>
      <c r="CX1020" s="4" t="s">
        <v>264</v>
      </c>
      <c r="DA1020" s="6">
        <f>1</f>
        <v>1</v>
      </c>
      <c r="DC1020" s="4" t="s">
        <v>277</v>
      </c>
      <c r="DD1020" s="4" t="s">
        <v>241</v>
      </c>
      <c r="DF1020" s="4" t="s">
        <v>277</v>
      </c>
      <c r="DG1020" s="6">
        <f>1451</f>
        <v>1451</v>
      </c>
      <c r="DI1020" s="4" t="s">
        <v>241</v>
      </c>
      <c r="DJ1020" s="4" t="s">
        <v>241</v>
      </c>
      <c r="DK1020" s="4" t="s">
        <v>241</v>
      </c>
      <c r="DL1020" s="4" t="s">
        <v>241</v>
      </c>
      <c r="DP1020" s="4" t="s">
        <v>241</v>
      </c>
      <c r="DQ1020" s="4" t="s">
        <v>241</v>
      </c>
      <c r="DR1020" s="4" t="s">
        <v>241</v>
      </c>
      <c r="DS1020" s="4" t="s">
        <v>241</v>
      </c>
      <c r="DV1020" s="4" t="s">
        <v>278</v>
      </c>
      <c r="DW1020" s="4" t="s">
        <v>1228</v>
      </c>
      <c r="HO1020" s="4" t="s">
        <v>267</v>
      </c>
    </row>
    <row r="1021" spans="1:223" ht="19.5" customHeight="1" x14ac:dyDescent="0.4">
      <c r="A1021" s="4">
        <v>1</v>
      </c>
      <c r="B1021" s="4" t="s">
        <v>239</v>
      </c>
      <c r="C1021" s="4">
        <v>2695</v>
      </c>
      <c r="D1021" s="4">
        <v>1</v>
      </c>
      <c r="E1021" s="4">
        <v>1</v>
      </c>
      <c r="F1021" s="4" t="s">
        <v>268</v>
      </c>
      <c r="G1021" s="4" t="s">
        <v>241</v>
      </c>
      <c r="H1021" s="4" t="s">
        <v>241</v>
      </c>
      <c r="I1021" s="4" t="s">
        <v>272</v>
      </c>
      <c r="J1021" s="4" t="s">
        <v>274</v>
      </c>
      <c r="K1021" s="4" t="s">
        <v>251</v>
      </c>
      <c r="L1021" s="4" t="s">
        <v>269</v>
      </c>
      <c r="M1021" s="5" t="s">
        <v>1222</v>
      </c>
      <c r="N1021" s="6">
        <f>198</f>
        <v>198</v>
      </c>
      <c r="O1021" s="4" t="s">
        <v>265</v>
      </c>
      <c r="P1021" s="6">
        <f>1</f>
        <v>1</v>
      </c>
      <c r="Q1021" s="6">
        <f>0</f>
        <v>0</v>
      </c>
      <c r="S1021" s="6">
        <f>0</f>
        <v>0</v>
      </c>
      <c r="T1021" s="6">
        <f>1</f>
        <v>1</v>
      </c>
      <c r="U1021" s="5" t="s">
        <v>245</v>
      </c>
      <c r="V1021" s="4" t="s">
        <v>270</v>
      </c>
      <c r="W1021" s="4" t="s">
        <v>271</v>
      </c>
      <c r="X1021" s="4" t="s">
        <v>273</v>
      </c>
      <c r="Y1021" s="4" t="s">
        <v>241</v>
      </c>
      <c r="AB1021" s="4" t="s">
        <v>241</v>
      </c>
      <c r="AD1021" s="5" t="s">
        <v>241</v>
      </c>
      <c r="AG1021" s="5" t="s">
        <v>246</v>
      </c>
      <c r="AH1021" s="4" t="s">
        <v>241</v>
      </c>
      <c r="AI1021" s="4" t="s">
        <v>247</v>
      </c>
      <c r="AJ1021" s="4" t="s">
        <v>248</v>
      </c>
      <c r="AZ1021" s="4" t="s">
        <v>249</v>
      </c>
      <c r="BA1021" s="4" t="s">
        <v>241</v>
      </c>
      <c r="BB1021" s="4" t="s">
        <v>250</v>
      </c>
      <c r="BC1021" s="4" t="s">
        <v>241</v>
      </c>
      <c r="BD1021" s="4" t="s">
        <v>252</v>
      </c>
      <c r="BE1021" s="4" t="s">
        <v>241</v>
      </c>
      <c r="BI1021" s="4" t="s">
        <v>253</v>
      </c>
      <c r="BJ1021" s="5" t="s">
        <v>246</v>
      </c>
      <c r="BK1021" s="4" t="s">
        <v>254</v>
      </c>
      <c r="BL1021" s="4" t="s">
        <v>255</v>
      </c>
      <c r="BM1021" s="4" t="s">
        <v>241</v>
      </c>
      <c r="BN1021" s="6">
        <f>0</f>
        <v>0</v>
      </c>
      <c r="BO1021" s="6">
        <f>0</f>
        <v>0</v>
      </c>
      <c r="BP1021" s="4" t="s">
        <v>256</v>
      </c>
      <c r="BQ1021" s="4" t="s">
        <v>257</v>
      </c>
      <c r="CE1021" s="4" t="s">
        <v>241</v>
      </c>
      <c r="CF1021" s="4" t="s">
        <v>241</v>
      </c>
      <c r="CJ1021" s="4" t="s">
        <v>276</v>
      </c>
      <c r="CK1021" s="4" t="s">
        <v>259</v>
      </c>
      <c r="CL1021" s="4" t="s">
        <v>241</v>
      </c>
      <c r="CO1021" s="5" t="s">
        <v>260</v>
      </c>
      <c r="CP1021" s="4" t="s">
        <v>241</v>
      </c>
      <c r="CQ1021" s="4" t="s">
        <v>261</v>
      </c>
      <c r="CR1021" s="4" t="s">
        <v>241</v>
      </c>
      <c r="CS1021" s="4" t="s">
        <v>241</v>
      </c>
      <c r="CT1021" s="4">
        <v>0</v>
      </c>
      <c r="CU1021" s="4" t="s">
        <v>262</v>
      </c>
      <c r="CV1021" s="4" t="s">
        <v>263</v>
      </c>
      <c r="CW1021" s="4" t="s">
        <v>263</v>
      </c>
      <c r="CX1021" s="4" t="s">
        <v>264</v>
      </c>
      <c r="DA1021" s="6">
        <f>1</f>
        <v>1</v>
      </c>
      <c r="DC1021" s="4" t="s">
        <v>277</v>
      </c>
      <c r="DD1021" s="4" t="s">
        <v>241</v>
      </c>
      <c r="DF1021" s="4" t="s">
        <v>277</v>
      </c>
      <c r="DG1021" s="6">
        <f>198</f>
        <v>198</v>
      </c>
      <c r="DI1021" s="4" t="s">
        <v>241</v>
      </c>
      <c r="DJ1021" s="4" t="s">
        <v>241</v>
      </c>
      <c r="DK1021" s="4" t="s">
        <v>241</v>
      </c>
      <c r="DL1021" s="4" t="s">
        <v>241</v>
      </c>
      <c r="DP1021" s="4" t="s">
        <v>241</v>
      </c>
      <c r="DQ1021" s="4" t="s">
        <v>241</v>
      </c>
      <c r="DR1021" s="4" t="s">
        <v>241</v>
      </c>
      <c r="DS1021" s="4" t="s">
        <v>241</v>
      </c>
      <c r="DV1021" s="4" t="s">
        <v>278</v>
      </c>
      <c r="DW1021" s="4" t="s">
        <v>1223</v>
      </c>
      <c r="HO1021" s="4" t="s">
        <v>267</v>
      </c>
    </row>
    <row r="1022" spans="1:223" ht="19.5" customHeight="1" x14ac:dyDescent="0.4">
      <c r="A1022" s="4">
        <v>1</v>
      </c>
      <c r="B1022" s="4" t="s">
        <v>239</v>
      </c>
      <c r="C1022" s="4">
        <v>2696</v>
      </c>
      <c r="D1022" s="4">
        <v>1</v>
      </c>
      <c r="E1022" s="4">
        <v>1</v>
      </c>
      <c r="F1022" s="4" t="s">
        <v>268</v>
      </c>
      <c r="G1022" s="4" t="s">
        <v>241</v>
      </c>
      <c r="H1022" s="4" t="s">
        <v>241</v>
      </c>
      <c r="I1022" s="4" t="s">
        <v>272</v>
      </c>
      <c r="J1022" s="4" t="s">
        <v>274</v>
      </c>
      <c r="K1022" s="4" t="s">
        <v>251</v>
      </c>
      <c r="L1022" s="4" t="s">
        <v>269</v>
      </c>
      <c r="M1022" s="5" t="s">
        <v>1217</v>
      </c>
      <c r="N1022" s="6">
        <f>5.63</f>
        <v>5.63</v>
      </c>
      <c r="O1022" s="4" t="s">
        <v>265</v>
      </c>
      <c r="P1022" s="6">
        <f>1</f>
        <v>1</v>
      </c>
      <c r="Q1022" s="6">
        <f>0</f>
        <v>0</v>
      </c>
      <c r="S1022" s="6">
        <f>0</f>
        <v>0</v>
      </c>
      <c r="T1022" s="6">
        <f>1</f>
        <v>1</v>
      </c>
      <c r="U1022" s="5" t="s">
        <v>245</v>
      </c>
      <c r="V1022" s="4" t="s">
        <v>270</v>
      </c>
      <c r="W1022" s="4" t="s">
        <v>271</v>
      </c>
      <c r="X1022" s="4" t="s">
        <v>273</v>
      </c>
      <c r="Y1022" s="4" t="s">
        <v>241</v>
      </c>
      <c r="AB1022" s="4" t="s">
        <v>241</v>
      </c>
      <c r="AD1022" s="5" t="s">
        <v>241</v>
      </c>
      <c r="AG1022" s="5" t="s">
        <v>246</v>
      </c>
      <c r="AH1022" s="4" t="s">
        <v>241</v>
      </c>
      <c r="AI1022" s="4" t="s">
        <v>247</v>
      </c>
      <c r="AJ1022" s="4" t="s">
        <v>248</v>
      </c>
      <c r="AZ1022" s="4" t="s">
        <v>249</v>
      </c>
      <c r="BA1022" s="4" t="s">
        <v>241</v>
      </c>
      <c r="BB1022" s="4" t="s">
        <v>250</v>
      </c>
      <c r="BC1022" s="4" t="s">
        <v>241</v>
      </c>
      <c r="BD1022" s="4" t="s">
        <v>252</v>
      </c>
      <c r="BE1022" s="4" t="s">
        <v>241</v>
      </c>
      <c r="BI1022" s="4" t="s">
        <v>253</v>
      </c>
      <c r="BJ1022" s="5" t="s">
        <v>246</v>
      </c>
      <c r="BK1022" s="4" t="s">
        <v>254</v>
      </c>
      <c r="BL1022" s="4" t="s">
        <v>255</v>
      </c>
      <c r="BM1022" s="4" t="s">
        <v>241</v>
      </c>
      <c r="BN1022" s="6">
        <f>0</f>
        <v>0</v>
      </c>
      <c r="BO1022" s="6">
        <f>0</f>
        <v>0</v>
      </c>
      <c r="BP1022" s="4" t="s">
        <v>256</v>
      </c>
      <c r="BQ1022" s="4" t="s">
        <v>257</v>
      </c>
      <c r="CE1022" s="4" t="s">
        <v>241</v>
      </c>
      <c r="CF1022" s="4" t="s">
        <v>241</v>
      </c>
      <c r="CJ1022" s="4" t="s">
        <v>276</v>
      </c>
      <c r="CK1022" s="4" t="s">
        <v>259</v>
      </c>
      <c r="CL1022" s="4" t="s">
        <v>241</v>
      </c>
      <c r="CO1022" s="5" t="s">
        <v>260</v>
      </c>
      <c r="CP1022" s="4" t="s">
        <v>241</v>
      </c>
      <c r="CQ1022" s="4" t="s">
        <v>261</v>
      </c>
      <c r="CR1022" s="4" t="s">
        <v>241</v>
      </c>
      <c r="CS1022" s="4" t="s">
        <v>241</v>
      </c>
      <c r="CT1022" s="4">
        <v>0</v>
      </c>
      <c r="CU1022" s="4" t="s">
        <v>262</v>
      </c>
      <c r="CV1022" s="4" t="s">
        <v>263</v>
      </c>
      <c r="CW1022" s="4" t="s">
        <v>263</v>
      </c>
      <c r="CX1022" s="4" t="s">
        <v>264</v>
      </c>
      <c r="DA1022" s="6">
        <f>1</f>
        <v>1</v>
      </c>
      <c r="DC1022" s="4" t="s">
        <v>277</v>
      </c>
      <c r="DD1022" s="4" t="s">
        <v>241</v>
      </c>
      <c r="DF1022" s="4" t="s">
        <v>277</v>
      </c>
      <c r="DG1022" s="6">
        <f>5.63</f>
        <v>5.63</v>
      </c>
      <c r="DI1022" s="4" t="s">
        <v>241</v>
      </c>
      <c r="DJ1022" s="4" t="s">
        <v>241</v>
      </c>
      <c r="DK1022" s="4" t="s">
        <v>241</v>
      </c>
      <c r="DL1022" s="4" t="s">
        <v>241</v>
      </c>
      <c r="DP1022" s="4" t="s">
        <v>241</v>
      </c>
      <c r="DQ1022" s="4" t="s">
        <v>241</v>
      </c>
      <c r="DR1022" s="4" t="s">
        <v>241</v>
      </c>
      <c r="DS1022" s="4" t="s">
        <v>241</v>
      </c>
      <c r="DV1022" s="4" t="s">
        <v>278</v>
      </c>
      <c r="DW1022" s="4" t="s">
        <v>1218</v>
      </c>
      <c r="HO1022" s="4" t="s">
        <v>267</v>
      </c>
    </row>
    <row r="1023" spans="1:223" ht="19.5" customHeight="1" x14ac:dyDescent="0.4">
      <c r="A1023" s="4">
        <v>1</v>
      </c>
      <c r="B1023" s="4" t="s">
        <v>239</v>
      </c>
      <c r="C1023" s="4">
        <v>2697</v>
      </c>
      <c r="D1023" s="4">
        <v>1</v>
      </c>
      <c r="E1023" s="4">
        <v>1</v>
      </c>
      <c r="F1023" s="4" t="s">
        <v>268</v>
      </c>
      <c r="G1023" s="4" t="s">
        <v>241</v>
      </c>
      <c r="H1023" s="4" t="s">
        <v>241</v>
      </c>
      <c r="I1023" s="4" t="s">
        <v>272</v>
      </c>
      <c r="J1023" s="4" t="s">
        <v>274</v>
      </c>
      <c r="K1023" s="4" t="s">
        <v>251</v>
      </c>
      <c r="L1023" s="4" t="s">
        <v>269</v>
      </c>
      <c r="M1023" s="5" t="s">
        <v>1212</v>
      </c>
      <c r="N1023" s="6">
        <f>7.12</f>
        <v>7.12</v>
      </c>
      <c r="O1023" s="4" t="s">
        <v>265</v>
      </c>
      <c r="P1023" s="6">
        <f>1</f>
        <v>1</v>
      </c>
      <c r="Q1023" s="6">
        <f>0</f>
        <v>0</v>
      </c>
      <c r="S1023" s="6">
        <f>0</f>
        <v>0</v>
      </c>
      <c r="T1023" s="6">
        <f>1</f>
        <v>1</v>
      </c>
      <c r="U1023" s="5" t="s">
        <v>245</v>
      </c>
      <c r="V1023" s="4" t="s">
        <v>270</v>
      </c>
      <c r="W1023" s="4" t="s">
        <v>271</v>
      </c>
      <c r="X1023" s="4" t="s">
        <v>273</v>
      </c>
      <c r="Y1023" s="4" t="s">
        <v>241</v>
      </c>
      <c r="AB1023" s="4" t="s">
        <v>241</v>
      </c>
      <c r="AD1023" s="5" t="s">
        <v>241</v>
      </c>
      <c r="AG1023" s="5" t="s">
        <v>246</v>
      </c>
      <c r="AH1023" s="4" t="s">
        <v>241</v>
      </c>
      <c r="AI1023" s="4" t="s">
        <v>247</v>
      </c>
      <c r="AJ1023" s="4" t="s">
        <v>248</v>
      </c>
      <c r="AZ1023" s="4" t="s">
        <v>249</v>
      </c>
      <c r="BA1023" s="4" t="s">
        <v>241</v>
      </c>
      <c r="BB1023" s="4" t="s">
        <v>250</v>
      </c>
      <c r="BC1023" s="4" t="s">
        <v>241</v>
      </c>
      <c r="BD1023" s="4" t="s">
        <v>252</v>
      </c>
      <c r="BE1023" s="4" t="s">
        <v>241</v>
      </c>
      <c r="BI1023" s="4" t="s">
        <v>253</v>
      </c>
      <c r="BJ1023" s="5" t="s">
        <v>246</v>
      </c>
      <c r="BK1023" s="4" t="s">
        <v>254</v>
      </c>
      <c r="BL1023" s="4" t="s">
        <v>255</v>
      </c>
      <c r="BM1023" s="4" t="s">
        <v>241</v>
      </c>
      <c r="BN1023" s="6">
        <f>0</f>
        <v>0</v>
      </c>
      <c r="BO1023" s="6">
        <f>0</f>
        <v>0</v>
      </c>
      <c r="BP1023" s="4" t="s">
        <v>256</v>
      </c>
      <c r="BQ1023" s="4" t="s">
        <v>257</v>
      </c>
      <c r="CE1023" s="4" t="s">
        <v>241</v>
      </c>
      <c r="CF1023" s="4" t="s">
        <v>241</v>
      </c>
      <c r="CJ1023" s="4" t="s">
        <v>276</v>
      </c>
      <c r="CK1023" s="4" t="s">
        <v>259</v>
      </c>
      <c r="CL1023" s="4" t="s">
        <v>241</v>
      </c>
      <c r="CO1023" s="5" t="s">
        <v>260</v>
      </c>
      <c r="CP1023" s="4" t="s">
        <v>241</v>
      </c>
      <c r="CQ1023" s="4" t="s">
        <v>261</v>
      </c>
      <c r="CR1023" s="4" t="s">
        <v>241</v>
      </c>
      <c r="CS1023" s="4" t="s">
        <v>241</v>
      </c>
      <c r="CT1023" s="4">
        <v>0</v>
      </c>
      <c r="CU1023" s="4" t="s">
        <v>262</v>
      </c>
      <c r="CV1023" s="4" t="s">
        <v>263</v>
      </c>
      <c r="CW1023" s="4" t="s">
        <v>263</v>
      </c>
      <c r="CX1023" s="4" t="s">
        <v>264</v>
      </c>
      <c r="DA1023" s="6">
        <f>1</f>
        <v>1</v>
      </c>
      <c r="DC1023" s="4" t="s">
        <v>277</v>
      </c>
      <c r="DD1023" s="4" t="s">
        <v>241</v>
      </c>
      <c r="DF1023" s="4" t="s">
        <v>277</v>
      </c>
      <c r="DG1023" s="6">
        <f>7.12</f>
        <v>7.12</v>
      </c>
      <c r="DI1023" s="4" t="s">
        <v>241</v>
      </c>
      <c r="DJ1023" s="4" t="s">
        <v>241</v>
      </c>
      <c r="DK1023" s="4" t="s">
        <v>241</v>
      </c>
      <c r="DL1023" s="4" t="s">
        <v>241</v>
      </c>
      <c r="DP1023" s="4" t="s">
        <v>241</v>
      </c>
      <c r="DQ1023" s="4" t="s">
        <v>241</v>
      </c>
      <c r="DR1023" s="4" t="s">
        <v>241</v>
      </c>
      <c r="DS1023" s="4" t="s">
        <v>241</v>
      </c>
      <c r="DV1023" s="4" t="s">
        <v>278</v>
      </c>
      <c r="DW1023" s="4" t="s">
        <v>1213</v>
      </c>
      <c r="HO1023" s="4" t="s">
        <v>267</v>
      </c>
    </row>
    <row r="1024" spans="1:223" ht="19.5" customHeight="1" x14ac:dyDescent="0.4">
      <c r="A1024" s="4">
        <v>1</v>
      </c>
      <c r="B1024" s="4" t="s">
        <v>239</v>
      </c>
      <c r="C1024" s="4">
        <v>2698</v>
      </c>
      <c r="D1024" s="4">
        <v>1</v>
      </c>
      <c r="E1024" s="4">
        <v>1</v>
      </c>
      <c r="F1024" s="4" t="s">
        <v>268</v>
      </c>
      <c r="G1024" s="4" t="s">
        <v>241</v>
      </c>
      <c r="H1024" s="4" t="s">
        <v>241</v>
      </c>
      <c r="I1024" s="4" t="s">
        <v>272</v>
      </c>
      <c r="J1024" s="4" t="s">
        <v>274</v>
      </c>
      <c r="K1024" s="4" t="s">
        <v>251</v>
      </c>
      <c r="L1024" s="4" t="s">
        <v>269</v>
      </c>
      <c r="M1024" s="5" t="s">
        <v>1192</v>
      </c>
      <c r="N1024" s="6">
        <f>3.76</f>
        <v>3.76</v>
      </c>
      <c r="O1024" s="4" t="s">
        <v>265</v>
      </c>
      <c r="P1024" s="6">
        <f>1</f>
        <v>1</v>
      </c>
      <c r="Q1024" s="6">
        <f>0</f>
        <v>0</v>
      </c>
      <c r="S1024" s="6">
        <f>0</f>
        <v>0</v>
      </c>
      <c r="T1024" s="6">
        <f>1</f>
        <v>1</v>
      </c>
      <c r="U1024" s="5" t="s">
        <v>245</v>
      </c>
      <c r="V1024" s="4" t="s">
        <v>270</v>
      </c>
      <c r="W1024" s="4" t="s">
        <v>271</v>
      </c>
      <c r="X1024" s="4" t="s">
        <v>273</v>
      </c>
      <c r="Y1024" s="4" t="s">
        <v>241</v>
      </c>
      <c r="AB1024" s="4" t="s">
        <v>241</v>
      </c>
      <c r="AD1024" s="5" t="s">
        <v>241</v>
      </c>
      <c r="AG1024" s="5" t="s">
        <v>246</v>
      </c>
      <c r="AH1024" s="4" t="s">
        <v>241</v>
      </c>
      <c r="AI1024" s="4" t="s">
        <v>247</v>
      </c>
      <c r="AJ1024" s="4" t="s">
        <v>248</v>
      </c>
      <c r="AZ1024" s="4" t="s">
        <v>249</v>
      </c>
      <c r="BA1024" s="4" t="s">
        <v>241</v>
      </c>
      <c r="BB1024" s="4" t="s">
        <v>250</v>
      </c>
      <c r="BC1024" s="4" t="s">
        <v>241</v>
      </c>
      <c r="BD1024" s="4" t="s">
        <v>252</v>
      </c>
      <c r="BE1024" s="4" t="s">
        <v>241</v>
      </c>
      <c r="BI1024" s="4" t="s">
        <v>253</v>
      </c>
      <c r="BJ1024" s="5" t="s">
        <v>246</v>
      </c>
      <c r="BK1024" s="4" t="s">
        <v>254</v>
      </c>
      <c r="BL1024" s="4" t="s">
        <v>255</v>
      </c>
      <c r="BM1024" s="4" t="s">
        <v>241</v>
      </c>
      <c r="BN1024" s="6">
        <f>0</f>
        <v>0</v>
      </c>
      <c r="BO1024" s="6">
        <f>0</f>
        <v>0</v>
      </c>
      <c r="BP1024" s="4" t="s">
        <v>256</v>
      </c>
      <c r="BQ1024" s="4" t="s">
        <v>257</v>
      </c>
      <c r="CE1024" s="4" t="s">
        <v>241</v>
      </c>
      <c r="CF1024" s="4" t="s">
        <v>241</v>
      </c>
      <c r="CJ1024" s="4" t="s">
        <v>276</v>
      </c>
      <c r="CK1024" s="4" t="s">
        <v>259</v>
      </c>
      <c r="CL1024" s="4" t="s">
        <v>241</v>
      </c>
      <c r="CO1024" s="5" t="s">
        <v>260</v>
      </c>
      <c r="CP1024" s="4" t="s">
        <v>241</v>
      </c>
      <c r="CQ1024" s="4" t="s">
        <v>261</v>
      </c>
      <c r="CR1024" s="4" t="s">
        <v>241</v>
      </c>
      <c r="CS1024" s="4" t="s">
        <v>241</v>
      </c>
      <c r="CT1024" s="4">
        <v>0</v>
      </c>
      <c r="CU1024" s="4" t="s">
        <v>262</v>
      </c>
      <c r="CV1024" s="4" t="s">
        <v>263</v>
      </c>
      <c r="CW1024" s="4" t="s">
        <v>263</v>
      </c>
      <c r="CX1024" s="4" t="s">
        <v>264</v>
      </c>
      <c r="DA1024" s="6">
        <f>1</f>
        <v>1</v>
      </c>
      <c r="DC1024" s="4" t="s">
        <v>277</v>
      </c>
      <c r="DD1024" s="4" t="s">
        <v>241</v>
      </c>
      <c r="DF1024" s="4" t="s">
        <v>277</v>
      </c>
      <c r="DG1024" s="6">
        <f>3.76</f>
        <v>3.76</v>
      </c>
      <c r="DI1024" s="4" t="s">
        <v>241</v>
      </c>
      <c r="DJ1024" s="4" t="s">
        <v>241</v>
      </c>
      <c r="DK1024" s="4" t="s">
        <v>241</v>
      </c>
      <c r="DL1024" s="4" t="s">
        <v>241</v>
      </c>
      <c r="DP1024" s="4" t="s">
        <v>241</v>
      </c>
      <c r="DQ1024" s="4" t="s">
        <v>241</v>
      </c>
      <c r="DR1024" s="4" t="s">
        <v>241</v>
      </c>
      <c r="DS1024" s="4" t="s">
        <v>241</v>
      </c>
      <c r="DV1024" s="4" t="s">
        <v>278</v>
      </c>
      <c r="DW1024" s="4" t="s">
        <v>681</v>
      </c>
      <c r="HO1024" s="4" t="s">
        <v>267</v>
      </c>
    </row>
    <row r="1025" spans="1:223" ht="19.5" customHeight="1" x14ac:dyDescent="0.4">
      <c r="A1025" s="4">
        <v>1</v>
      </c>
      <c r="B1025" s="4" t="s">
        <v>239</v>
      </c>
      <c r="C1025" s="4">
        <v>2699</v>
      </c>
      <c r="D1025" s="4">
        <v>1</v>
      </c>
      <c r="E1025" s="4">
        <v>1</v>
      </c>
      <c r="F1025" s="4" t="s">
        <v>268</v>
      </c>
      <c r="G1025" s="4" t="s">
        <v>241</v>
      </c>
      <c r="H1025" s="4" t="s">
        <v>241</v>
      </c>
      <c r="I1025" s="4" t="s">
        <v>272</v>
      </c>
      <c r="J1025" s="4" t="s">
        <v>274</v>
      </c>
      <c r="K1025" s="4" t="s">
        <v>251</v>
      </c>
      <c r="L1025" s="4" t="s">
        <v>269</v>
      </c>
      <c r="M1025" s="5" t="s">
        <v>1186</v>
      </c>
      <c r="N1025" s="6">
        <f>1879</f>
        <v>1879</v>
      </c>
      <c r="O1025" s="4" t="s">
        <v>265</v>
      </c>
      <c r="P1025" s="6">
        <f>1</f>
        <v>1</v>
      </c>
      <c r="Q1025" s="6">
        <f>0</f>
        <v>0</v>
      </c>
      <c r="S1025" s="6">
        <f>0</f>
        <v>0</v>
      </c>
      <c r="T1025" s="6">
        <f>1</f>
        <v>1</v>
      </c>
      <c r="U1025" s="5" t="s">
        <v>245</v>
      </c>
      <c r="V1025" s="4" t="s">
        <v>270</v>
      </c>
      <c r="W1025" s="4" t="s">
        <v>271</v>
      </c>
      <c r="X1025" s="4" t="s">
        <v>273</v>
      </c>
      <c r="Y1025" s="4" t="s">
        <v>241</v>
      </c>
      <c r="AB1025" s="4" t="s">
        <v>241</v>
      </c>
      <c r="AD1025" s="5" t="s">
        <v>241</v>
      </c>
      <c r="AG1025" s="5" t="s">
        <v>246</v>
      </c>
      <c r="AH1025" s="4" t="s">
        <v>241</v>
      </c>
      <c r="AI1025" s="4" t="s">
        <v>247</v>
      </c>
      <c r="AJ1025" s="4" t="s">
        <v>248</v>
      </c>
      <c r="AZ1025" s="4" t="s">
        <v>249</v>
      </c>
      <c r="BA1025" s="4" t="s">
        <v>241</v>
      </c>
      <c r="BB1025" s="4" t="s">
        <v>250</v>
      </c>
      <c r="BC1025" s="4" t="s">
        <v>241</v>
      </c>
      <c r="BD1025" s="4" t="s">
        <v>252</v>
      </c>
      <c r="BE1025" s="4" t="s">
        <v>241</v>
      </c>
      <c r="BI1025" s="4" t="s">
        <v>253</v>
      </c>
      <c r="BJ1025" s="5" t="s">
        <v>246</v>
      </c>
      <c r="BK1025" s="4" t="s">
        <v>254</v>
      </c>
      <c r="BL1025" s="4" t="s">
        <v>255</v>
      </c>
      <c r="BM1025" s="4" t="s">
        <v>241</v>
      </c>
      <c r="BN1025" s="6">
        <f>0</f>
        <v>0</v>
      </c>
      <c r="BO1025" s="6">
        <f>0</f>
        <v>0</v>
      </c>
      <c r="BP1025" s="4" t="s">
        <v>256</v>
      </c>
      <c r="BQ1025" s="4" t="s">
        <v>257</v>
      </c>
      <c r="CE1025" s="4" t="s">
        <v>241</v>
      </c>
      <c r="CF1025" s="4" t="s">
        <v>241</v>
      </c>
      <c r="CJ1025" s="4" t="s">
        <v>276</v>
      </c>
      <c r="CK1025" s="4" t="s">
        <v>259</v>
      </c>
      <c r="CL1025" s="4" t="s">
        <v>241</v>
      </c>
      <c r="CO1025" s="5" t="s">
        <v>260</v>
      </c>
      <c r="CP1025" s="4" t="s">
        <v>241</v>
      </c>
      <c r="CQ1025" s="4" t="s">
        <v>261</v>
      </c>
      <c r="CR1025" s="4" t="s">
        <v>241</v>
      </c>
      <c r="CS1025" s="4" t="s">
        <v>241</v>
      </c>
      <c r="CT1025" s="4">
        <v>0</v>
      </c>
      <c r="CU1025" s="4" t="s">
        <v>262</v>
      </c>
      <c r="CV1025" s="4" t="s">
        <v>263</v>
      </c>
      <c r="CW1025" s="4" t="s">
        <v>263</v>
      </c>
      <c r="CX1025" s="4" t="s">
        <v>264</v>
      </c>
      <c r="DA1025" s="6">
        <f>1</f>
        <v>1</v>
      </c>
      <c r="DC1025" s="4" t="s">
        <v>277</v>
      </c>
      <c r="DD1025" s="4" t="s">
        <v>241</v>
      </c>
      <c r="DF1025" s="4" t="s">
        <v>277</v>
      </c>
      <c r="DG1025" s="6">
        <f>1879</f>
        <v>1879</v>
      </c>
      <c r="DI1025" s="4" t="s">
        <v>241</v>
      </c>
      <c r="DJ1025" s="4" t="s">
        <v>241</v>
      </c>
      <c r="DK1025" s="4" t="s">
        <v>241</v>
      </c>
      <c r="DL1025" s="4" t="s">
        <v>241</v>
      </c>
      <c r="DP1025" s="4" t="s">
        <v>241</v>
      </c>
      <c r="DQ1025" s="4" t="s">
        <v>241</v>
      </c>
      <c r="DR1025" s="4" t="s">
        <v>241</v>
      </c>
      <c r="DS1025" s="4" t="s">
        <v>241</v>
      </c>
      <c r="DV1025" s="4" t="s">
        <v>278</v>
      </c>
      <c r="DW1025" s="4" t="s">
        <v>1187</v>
      </c>
      <c r="HO1025" s="4" t="s">
        <v>267</v>
      </c>
    </row>
    <row r="1026" spans="1:223" ht="19.5" customHeight="1" x14ac:dyDescent="0.4">
      <c r="A1026" s="4">
        <v>1</v>
      </c>
      <c r="B1026" s="4" t="s">
        <v>239</v>
      </c>
      <c r="C1026" s="4">
        <v>2700</v>
      </c>
      <c r="D1026" s="4">
        <v>1</v>
      </c>
      <c r="E1026" s="4">
        <v>1</v>
      </c>
      <c r="F1026" s="4" t="s">
        <v>268</v>
      </c>
      <c r="G1026" s="4" t="s">
        <v>241</v>
      </c>
      <c r="H1026" s="4" t="s">
        <v>241</v>
      </c>
      <c r="I1026" s="4" t="s">
        <v>272</v>
      </c>
      <c r="J1026" s="4" t="s">
        <v>274</v>
      </c>
      <c r="K1026" s="4" t="s">
        <v>251</v>
      </c>
      <c r="L1026" s="4" t="s">
        <v>269</v>
      </c>
      <c r="M1026" s="5" t="s">
        <v>1181</v>
      </c>
      <c r="N1026" s="6">
        <f>1227</f>
        <v>1227</v>
      </c>
      <c r="O1026" s="4" t="s">
        <v>265</v>
      </c>
      <c r="P1026" s="6">
        <f>1</f>
        <v>1</v>
      </c>
      <c r="Q1026" s="6">
        <f>0</f>
        <v>0</v>
      </c>
      <c r="S1026" s="6">
        <f>0</f>
        <v>0</v>
      </c>
      <c r="T1026" s="6">
        <f>1</f>
        <v>1</v>
      </c>
      <c r="U1026" s="5" t="s">
        <v>245</v>
      </c>
      <c r="V1026" s="4" t="s">
        <v>270</v>
      </c>
      <c r="W1026" s="4" t="s">
        <v>271</v>
      </c>
      <c r="X1026" s="4" t="s">
        <v>273</v>
      </c>
      <c r="Y1026" s="4" t="s">
        <v>241</v>
      </c>
      <c r="AB1026" s="4" t="s">
        <v>241</v>
      </c>
      <c r="AD1026" s="5" t="s">
        <v>241</v>
      </c>
      <c r="AG1026" s="5" t="s">
        <v>246</v>
      </c>
      <c r="AH1026" s="4" t="s">
        <v>241</v>
      </c>
      <c r="AI1026" s="4" t="s">
        <v>247</v>
      </c>
      <c r="AJ1026" s="4" t="s">
        <v>248</v>
      </c>
      <c r="AZ1026" s="4" t="s">
        <v>249</v>
      </c>
      <c r="BA1026" s="4" t="s">
        <v>241</v>
      </c>
      <c r="BB1026" s="4" t="s">
        <v>250</v>
      </c>
      <c r="BC1026" s="4" t="s">
        <v>241</v>
      </c>
      <c r="BD1026" s="4" t="s">
        <v>252</v>
      </c>
      <c r="BE1026" s="4" t="s">
        <v>241</v>
      </c>
      <c r="BI1026" s="4" t="s">
        <v>253</v>
      </c>
      <c r="BJ1026" s="5" t="s">
        <v>246</v>
      </c>
      <c r="BK1026" s="4" t="s">
        <v>254</v>
      </c>
      <c r="BL1026" s="4" t="s">
        <v>255</v>
      </c>
      <c r="BM1026" s="4" t="s">
        <v>241</v>
      </c>
      <c r="BN1026" s="6">
        <f>0</f>
        <v>0</v>
      </c>
      <c r="BO1026" s="6">
        <f>0</f>
        <v>0</v>
      </c>
      <c r="BP1026" s="4" t="s">
        <v>256</v>
      </c>
      <c r="BQ1026" s="4" t="s">
        <v>257</v>
      </c>
      <c r="CE1026" s="4" t="s">
        <v>241</v>
      </c>
      <c r="CF1026" s="4" t="s">
        <v>241</v>
      </c>
      <c r="CJ1026" s="4" t="s">
        <v>276</v>
      </c>
      <c r="CK1026" s="4" t="s">
        <v>259</v>
      </c>
      <c r="CL1026" s="4" t="s">
        <v>241</v>
      </c>
      <c r="CO1026" s="5" t="s">
        <v>260</v>
      </c>
      <c r="CP1026" s="4" t="s">
        <v>241</v>
      </c>
      <c r="CQ1026" s="4" t="s">
        <v>261</v>
      </c>
      <c r="CR1026" s="4" t="s">
        <v>241</v>
      </c>
      <c r="CS1026" s="4" t="s">
        <v>241</v>
      </c>
      <c r="CT1026" s="4">
        <v>0</v>
      </c>
      <c r="CU1026" s="4" t="s">
        <v>262</v>
      </c>
      <c r="CV1026" s="4" t="s">
        <v>263</v>
      </c>
      <c r="CW1026" s="4" t="s">
        <v>263</v>
      </c>
      <c r="CX1026" s="4" t="s">
        <v>264</v>
      </c>
      <c r="DA1026" s="6">
        <f>1</f>
        <v>1</v>
      </c>
      <c r="DC1026" s="4" t="s">
        <v>277</v>
      </c>
      <c r="DD1026" s="4" t="s">
        <v>241</v>
      </c>
      <c r="DF1026" s="4" t="s">
        <v>277</v>
      </c>
      <c r="DG1026" s="6">
        <f>1227</f>
        <v>1227</v>
      </c>
      <c r="DI1026" s="4" t="s">
        <v>241</v>
      </c>
      <c r="DJ1026" s="4" t="s">
        <v>241</v>
      </c>
      <c r="DK1026" s="4" t="s">
        <v>241</v>
      </c>
      <c r="DL1026" s="4" t="s">
        <v>241</v>
      </c>
      <c r="DP1026" s="4" t="s">
        <v>241</v>
      </c>
      <c r="DQ1026" s="4" t="s">
        <v>241</v>
      </c>
      <c r="DR1026" s="4" t="s">
        <v>241</v>
      </c>
      <c r="DS1026" s="4" t="s">
        <v>241</v>
      </c>
      <c r="DV1026" s="4" t="s">
        <v>278</v>
      </c>
      <c r="DW1026" s="4" t="s">
        <v>1182</v>
      </c>
      <c r="HO1026" s="4" t="s">
        <v>267</v>
      </c>
    </row>
    <row r="1027" spans="1:223" ht="19.5" customHeight="1" x14ac:dyDescent="0.4">
      <c r="A1027" s="4">
        <v>1</v>
      </c>
      <c r="B1027" s="4" t="s">
        <v>239</v>
      </c>
      <c r="C1027" s="4">
        <v>2701</v>
      </c>
      <c r="D1027" s="4">
        <v>1</v>
      </c>
      <c r="E1027" s="4">
        <v>1</v>
      </c>
      <c r="F1027" s="4" t="s">
        <v>268</v>
      </c>
      <c r="G1027" s="4" t="s">
        <v>241</v>
      </c>
      <c r="H1027" s="4" t="s">
        <v>241</v>
      </c>
      <c r="I1027" s="4" t="s">
        <v>272</v>
      </c>
      <c r="J1027" s="4" t="s">
        <v>274</v>
      </c>
      <c r="K1027" s="4" t="s">
        <v>251</v>
      </c>
      <c r="L1027" s="4" t="s">
        <v>269</v>
      </c>
      <c r="M1027" s="5" t="s">
        <v>1178</v>
      </c>
      <c r="N1027" s="6">
        <f>165</f>
        <v>165</v>
      </c>
      <c r="O1027" s="4" t="s">
        <v>265</v>
      </c>
      <c r="P1027" s="6">
        <f>1</f>
        <v>1</v>
      </c>
      <c r="Q1027" s="6">
        <f>0</f>
        <v>0</v>
      </c>
      <c r="S1027" s="6">
        <f>0</f>
        <v>0</v>
      </c>
      <c r="T1027" s="6">
        <f>1</f>
        <v>1</v>
      </c>
      <c r="U1027" s="5" t="s">
        <v>245</v>
      </c>
      <c r="V1027" s="4" t="s">
        <v>270</v>
      </c>
      <c r="W1027" s="4" t="s">
        <v>271</v>
      </c>
      <c r="X1027" s="4" t="s">
        <v>273</v>
      </c>
      <c r="Y1027" s="4" t="s">
        <v>241</v>
      </c>
      <c r="AB1027" s="4" t="s">
        <v>241</v>
      </c>
      <c r="AD1027" s="5" t="s">
        <v>241</v>
      </c>
      <c r="AG1027" s="5" t="s">
        <v>246</v>
      </c>
      <c r="AH1027" s="4" t="s">
        <v>241</v>
      </c>
      <c r="AI1027" s="4" t="s">
        <v>247</v>
      </c>
      <c r="AJ1027" s="4" t="s">
        <v>248</v>
      </c>
      <c r="AZ1027" s="4" t="s">
        <v>249</v>
      </c>
      <c r="BA1027" s="4" t="s">
        <v>241</v>
      </c>
      <c r="BB1027" s="4" t="s">
        <v>250</v>
      </c>
      <c r="BC1027" s="4" t="s">
        <v>241</v>
      </c>
      <c r="BD1027" s="4" t="s">
        <v>252</v>
      </c>
      <c r="BE1027" s="4" t="s">
        <v>241</v>
      </c>
      <c r="BI1027" s="4" t="s">
        <v>253</v>
      </c>
      <c r="BJ1027" s="5" t="s">
        <v>246</v>
      </c>
      <c r="BK1027" s="4" t="s">
        <v>254</v>
      </c>
      <c r="BL1027" s="4" t="s">
        <v>255</v>
      </c>
      <c r="BM1027" s="4" t="s">
        <v>241</v>
      </c>
      <c r="BN1027" s="6">
        <f>0</f>
        <v>0</v>
      </c>
      <c r="BO1027" s="6">
        <f>0</f>
        <v>0</v>
      </c>
      <c r="BP1027" s="4" t="s">
        <v>256</v>
      </c>
      <c r="BQ1027" s="4" t="s">
        <v>257</v>
      </c>
      <c r="CE1027" s="4" t="s">
        <v>241</v>
      </c>
      <c r="CF1027" s="4" t="s">
        <v>241</v>
      </c>
      <c r="CJ1027" s="4" t="s">
        <v>276</v>
      </c>
      <c r="CK1027" s="4" t="s">
        <v>259</v>
      </c>
      <c r="CL1027" s="4" t="s">
        <v>241</v>
      </c>
      <c r="CO1027" s="5" t="s">
        <v>260</v>
      </c>
      <c r="CP1027" s="4" t="s">
        <v>241</v>
      </c>
      <c r="CQ1027" s="4" t="s">
        <v>261</v>
      </c>
      <c r="CR1027" s="4" t="s">
        <v>241</v>
      </c>
      <c r="CS1027" s="4" t="s">
        <v>241</v>
      </c>
      <c r="CT1027" s="4">
        <v>0</v>
      </c>
      <c r="CU1027" s="4" t="s">
        <v>262</v>
      </c>
      <c r="CV1027" s="4" t="s">
        <v>263</v>
      </c>
      <c r="CW1027" s="4" t="s">
        <v>263</v>
      </c>
      <c r="CX1027" s="4" t="s">
        <v>264</v>
      </c>
      <c r="DA1027" s="6">
        <f>1</f>
        <v>1</v>
      </c>
      <c r="DC1027" s="4" t="s">
        <v>277</v>
      </c>
      <c r="DD1027" s="4" t="s">
        <v>241</v>
      </c>
      <c r="DF1027" s="4" t="s">
        <v>277</v>
      </c>
      <c r="DG1027" s="6">
        <f>165</f>
        <v>165</v>
      </c>
      <c r="DI1027" s="4" t="s">
        <v>241</v>
      </c>
      <c r="DJ1027" s="4" t="s">
        <v>241</v>
      </c>
      <c r="DK1027" s="4" t="s">
        <v>241</v>
      </c>
      <c r="DL1027" s="4" t="s">
        <v>241</v>
      </c>
      <c r="DP1027" s="4" t="s">
        <v>241</v>
      </c>
      <c r="DQ1027" s="4" t="s">
        <v>241</v>
      </c>
      <c r="DR1027" s="4" t="s">
        <v>241</v>
      </c>
      <c r="DS1027" s="4" t="s">
        <v>241</v>
      </c>
      <c r="DV1027" s="4" t="s">
        <v>278</v>
      </c>
      <c r="DW1027" s="4" t="s">
        <v>694</v>
      </c>
      <c r="HO1027" s="4" t="s">
        <v>267</v>
      </c>
    </row>
    <row r="1028" spans="1:223" ht="19.5" customHeight="1" x14ac:dyDescent="0.4">
      <c r="A1028" s="4">
        <v>1</v>
      </c>
      <c r="B1028" s="4" t="s">
        <v>239</v>
      </c>
      <c r="C1028" s="4">
        <v>2702</v>
      </c>
      <c r="D1028" s="4">
        <v>1</v>
      </c>
      <c r="E1028" s="4">
        <v>1</v>
      </c>
      <c r="F1028" s="4" t="s">
        <v>268</v>
      </c>
      <c r="G1028" s="4" t="s">
        <v>241</v>
      </c>
      <c r="H1028" s="4" t="s">
        <v>241</v>
      </c>
      <c r="I1028" s="4" t="s">
        <v>272</v>
      </c>
      <c r="J1028" s="4" t="s">
        <v>274</v>
      </c>
      <c r="K1028" s="4" t="s">
        <v>251</v>
      </c>
      <c r="L1028" s="4" t="s">
        <v>269</v>
      </c>
      <c r="M1028" s="5" t="s">
        <v>1176</v>
      </c>
      <c r="N1028" s="6">
        <f>31</f>
        <v>31</v>
      </c>
      <c r="O1028" s="4" t="s">
        <v>265</v>
      </c>
      <c r="P1028" s="6">
        <f>1</f>
        <v>1</v>
      </c>
      <c r="Q1028" s="6">
        <f>0</f>
        <v>0</v>
      </c>
      <c r="S1028" s="6">
        <f>0</f>
        <v>0</v>
      </c>
      <c r="T1028" s="6">
        <f>1</f>
        <v>1</v>
      </c>
      <c r="U1028" s="5" t="s">
        <v>245</v>
      </c>
      <c r="V1028" s="4" t="s">
        <v>270</v>
      </c>
      <c r="W1028" s="4" t="s">
        <v>271</v>
      </c>
      <c r="X1028" s="4" t="s">
        <v>273</v>
      </c>
      <c r="Y1028" s="4" t="s">
        <v>241</v>
      </c>
      <c r="AB1028" s="4" t="s">
        <v>241</v>
      </c>
      <c r="AD1028" s="5" t="s">
        <v>241</v>
      </c>
      <c r="AG1028" s="5" t="s">
        <v>246</v>
      </c>
      <c r="AH1028" s="4" t="s">
        <v>241</v>
      </c>
      <c r="AI1028" s="4" t="s">
        <v>247</v>
      </c>
      <c r="AJ1028" s="4" t="s">
        <v>248</v>
      </c>
      <c r="AZ1028" s="4" t="s">
        <v>249</v>
      </c>
      <c r="BA1028" s="4" t="s">
        <v>241</v>
      </c>
      <c r="BB1028" s="4" t="s">
        <v>250</v>
      </c>
      <c r="BC1028" s="4" t="s">
        <v>241</v>
      </c>
      <c r="BD1028" s="4" t="s">
        <v>252</v>
      </c>
      <c r="BE1028" s="4" t="s">
        <v>241</v>
      </c>
      <c r="BI1028" s="4" t="s">
        <v>253</v>
      </c>
      <c r="BJ1028" s="5" t="s">
        <v>246</v>
      </c>
      <c r="BK1028" s="4" t="s">
        <v>254</v>
      </c>
      <c r="BL1028" s="4" t="s">
        <v>255</v>
      </c>
      <c r="BM1028" s="4" t="s">
        <v>241</v>
      </c>
      <c r="BN1028" s="6">
        <f>0</f>
        <v>0</v>
      </c>
      <c r="BO1028" s="6">
        <f>0</f>
        <v>0</v>
      </c>
      <c r="BP1028" s="4" t="s">
        <v>256</v>
      </c>
      <c r="BQ1028" s="4" t="s">
        <v>257</v>
      </c>
      <c r="CE1028" s="4" t="s">
        <v>241</v>
      </c>
      <c r="CF1028" s="4" t="s">
        <v>241</v>
      </c>
      <c r="CJ1028" s="4" t="s">
        <v>276</v>
      </c>
      <c r="CK1028" s="4" t="s">
        <v>259</v>
      </c>
      <c r="CL1028" s="4" t="s">
        <v>241</v>
      </c>
      <c r="CO1028" s="5" t="s">
        <v>260</v>
      </c>
      <c r="CP1028" s="4" t="s">
        <v>241</v>
      </c>
      <c r="CQ1028" s="4" t="s">
        <v>261</v>
      </c>
      <c r="CR1028" s="4" t="s">
        <v>241</v>
      </c>
      <c r="CS1028" s="4" t="s">
        <v>241</v>
      </c>
      <c r="CT1028" s="4">
        <v>0</v>
      </c>
      <c r="CU1028" s="4" t="s">
        <v>262</v>
      </c>
      <c r="CV1028" s="4" t="s">
        <v>263</v>
      </c>
      <c r="CW1028" s="4" t="s">
        <v>263</v>
      </c>
      <c r="CX1028" s="4" t="s">
        <v>264</v>
      </c>
      <c r="DA1028" s="6">
        <f>1</f>
        <v>1</v>
      </c>
      <c r="DC1028" s="4" t="s">
        <v>277</v>
      </c>
      <c r="DD1028" s="4" t="s">
        <v>241</v>
      </c>
      <c r="DF1028" s="4" t="s">
        <v>277</v>
      </c>
      <c r="DG1028" s="6">
        <f>31</f>
        <v>31</v>
      </c>
      <c r="DI1028" s="4" t="s">
        <v>241</v>
      </c>
      <c r="DJ1028" s="4" t="s">
        <v>241</v>
      </c>
      <c r="DK1028" s="4" t="s">
        <v>241</v>
      </c>
      <c r="DL1028" s="4" t="s">
        <v>241</v>
      </c>
      <c r="DP1028" s="4" t="s">
        <v>241</v>
      </c>
      <c r="DQ1028" s="4" t="s">
        <v>241</v>
      </c>
      <c r="DR1028" s="4" t="s">
        <v>241</v>
      </c>
      <c r="DS1028" s="4" t="s">
        <v>241</v>
      </c>
      <c r="DV1028" s="4" t="s">
        <v>278</v>
      </c>
      <c r="DW1028" s="4" t="s">
        <v>700</v>
      </c>
      <c r="HO1028" s="4" t="s">
        <v>267</v>
      </c>
    </row>
    <row r="1029" spans="1:223" ht="19.5" customHeight="1" x14ac:dyDescent="0.4">
      <c r="A1029" s="4">
        <v>1</v>
      </c>
      <c r="B1029" s="4" t="s">
        <v>239</v>
      </c>
      <c r="C1029" s="4">
        <v>2703</v>
      </c>
      <c r="D1029" s="4">
        <v>1</v>
      </c>
      <c r="E1029" s="4">
        <v>1</v>
      </c>
      <c r="F1029" s="4" t="s">
        <v>268</v>
      </c>
      <c r="G1029" s="4" t="s">
        <v>241</v>
      </c>
      <c r="H1029" s="4" t="s">
        <v>241</v>
      </c>
      <c r="I1029" s="4" t="s">
        <v>272</v>
      </c>
      <c r="J1029" s="4" t="s">
        <v>274</v>
      </c>
      <c r="K1029" s="4" t="s">
        <v>251</v>
      </c>
      <c r="L1029" s="4" t="s">
        <v>269</v>
      </c>
      <c r="M1029" s="5" t="s">
        <v>1173</v>
      </c>
      <c r="N1029" s="6">
        <f>673</f>
        <v>673</v>
      </c>
      <c r="O1029" s="4" t="s">
        <v>265</v>
      </c>
      <c r="P1029" s="6">
        <f>1</f>
        <v>1</v>
      </c>
      <c r="Q1029" s="6">
        <f>0</f>
        <v>0</v>
      </c>
      <c r="S1029" s="6">
        <f>0</f>
        <v>0</v>
      </c>
      <c r="T1029" s="6">
        <f>1</f>
        <v>1</v>
      </c>
      <c r="U1029" s="5" t="s">
        <v>245</v>
      </c>
      <c r="V1029" s="4" t="s">
        <v>270</v>
      </c>
      <c r="W1029" s="4" t="s">
        <v>271</v>
      </c>
      <c r="X1029" s="4" t="s">
        <v>273</v>
      </c>
      <c r="Y1029" s="4" t="s">
        <v>241</v>
      </c>
      <c r="AB1029" s="4" t="s">
        <v>241</v>
      </c>
      <c r="AD1029" s="5" t="s">
        <v>241</v>
      </c>
      <c r="AG1029" s="5" t="s">
        <v>246</v>
      </c>
      <c r="AH1029" s="4" t="s">
        <v>241</v>
      </c>
      <c r="AI1029" s="4" t="s">
        <v>247</v>
      </c>
      <c r="AJ1029" s="4" t="s">
        <v>248</v>
      </c>
      <c r="AZ1029" s="4" t="s">
        <v>249</v>
      </c>
      <c r="BA1029" s="4" t="s">
        <v>241</v>
      </c>
      <c r="BB1029" s="4" t="s">
        <v>250</v>
      </c>
      <c r="BC1029" s="4" t="s">
        <v>241</v>
      </c>
      <c r="BD1029" s="4" t="s">
        <v>252</v>
      </c>
      <c r="BE1029" s="4" t="s">
        <v>241</v>
      </c>
      <c r="BI1029" s="4" t="s">
        <v>253</v>
      </c>
      <c r="BJ1029" s="5" t="s">
        <v>246</v>
      </c>
      <c r="BK1029" s="4" t="s">
        <v>254</v>
      </c>
      <c r="BL1029" s="4" t="s">
        <v>255</v>
      </c>
      <c r="BM1029" s="4" t="s">
        <v>241</v>
      </c>
      <c r="BN1029" s="6">
        <f>0</f>
        <v>0</v>
      </c>
      <c r="BO1029" s="6">
        <f>0</f>
        <v>0</v>
      </c>
      <c r="BP1029" s="4" t="s">
        <v>256</v>
      </c>
      <c r="BQ1029" s="4" t="s">
        <v>257</v>
      </c>
      <c r="CE1029" s="4" t="s">
        <v>241</v>
      </c>
      <c r="CF1029" s="4" t="s">
        <v>241</v>
      </c>
      <c r="CJ1029" s="4" t="s">
        <v>276</v>
      </c>
      <c r="CK1029" s="4" t="s">
        <v>259</v>
      </c>
      <c r="CL1029" s="4" t="s">
        <v>241</v>
      </c>
      <c r="CO1029" s="5" t="s">
        <v>260</v>
      </c>
      <c r="CP1029" s="4" t="s">
        <v>241</v>
      </c>
      <c r="CQ1029" s="4" t="s">
        <v>261</v>
      </c>
      <c r="CR1029" s="4" t="s">
        <v>241</v>
      </c>
      <c r="CS1029" s="4" t="s">
        <v>241</v>
      </c>
      <c r="CT1029" s="4">
        <v>0</v>
      </c>
      <c r="CU1029" s="4" t="s">
        <v>262</v>
      </c>
      <c r="CV1029" s="4" t="s">
        <v>263</v>
      </c>
      <c r="CW1029" s="4" t="s">
        <v>263</v>
      </c>
      <c r="CX1029" s="4" t="s">
        <v>264</v>
      </c>
      <c r="DA1029" s="6">
        <f>1</f>
        <v>1</v>
      </c>
      <c r="DC1029" s="4" t="s">
        <v>277</v>
      </c>
      <c r="DD1029" s="4" t="s">
        <v>241</v>
      </c>
      <c r="DF1029" s="4" t="s">
        <v>277</v>
      </c>
      <c r="DG1029" s="6">
        <f>673</f>
        <v>673</v>
      </c>
      <c r="DI1029" s="4" t="s">
        <v>241</v>
      </c>
      <c r="DJ1029" s="4" t="s">
        <v>241</v>
      </c>
      <c r="DK1029" s="4" t="s">
        <v>241</v>
      </c>
      <c r="DL1029" s="4" t="s">
        <v>241</v>
      </c>
      <c r="DP1029" s="4" t="s">
        <v>241</v>
      </c>
      <c r="DQ1029" s="4" t="s">
        <v>241</v>
      </c>
      <c r="DR1029" s="4" t="s">
        <v>241</v>
      </c>
      <c r="DS1029" s="4" t="s">
        <v>241</v>
      </c>
      <c r="DV1029" s="4" t="s">
        <v>278</v>
      </c>
      <c r="DW1029" s="4" t="s">
        <v>702</v>
      </c>
      <c r="HO1029" s="4" t="s">
        <v>267</v>
      </c>
    </row>
    <row r="1030" spans="1:223" ht="19.5" customHeight="1" x14ac:dyDescent="0.4">
      <c r="A1030" s="4">
        <v>1</v>
      </c>
      <c r="B1030" s="4" t="s">
        <v>239</v>
      </c>
      <c r="C1030" s="4">
        <v>2704</v>
      </c>
      <c r="D1030" s="4">
        <v>1</v>
      </c>
      <c r="E1030" s="4">
        <v>1</v>
      </c>
      <c r="F1030" s="4" t="s">
        <v>268</v>
      </c>
      <c r="G1030" s="4" t="s">
        <v>241</v>
      </c>
      <c r="H1030" s="4" t="s">
        <v>241</v>
      </c>
      <c r="I1030" s="4" t="s">
        <v>272</v>
      </c>
      <c r="J1030" s="4" t="s">
        <v>274</v>
      </c>
      <c r="K1030" s="4" t="s">
        <v>251</v>
      </c>
      <c r="L1030" s="4" t="s">
        <v>269</v>
      </c>
      <c r="M1030" s="5" t="s">
        <v>1170</v>
      </c>
      <c r="N1030" s="6">
        <f>841</f>
        <v>841</v>
      </c>
      <c r="O1030" s="4" t="s">
        <v>265</v>
      </c>
      <c r="P1030" s="6">
        <f>1</f>
        <v>1</v>
      </c>
      <c r="Q1030" s="6">
        <f>0</f>
        <v>0</v>
      </c>
      <c r="S1030" s="6">
        <f>0</f>
        <v>0</v>
      </c>
      <c r="T1030" s="6">
        <f>1</f>
        <v>1</v>
      </c>
      <c r="U1030" s="5" t="s">
        <v>245</v>
      </c>
      <c r="V1030" s="4" t="s">
        <v>270</v>
      </c>
      <c r="W1030" s="4" t="s">
        <v>271</v>
      </c>
      <c r="X1030" s="4" t="s">
        <v>273</v>
      </c>
      <c r="Y1030" s="4" t="s">
        <v>241</v>
      </c>
      <c r="AB1030" s="4" t="s">
        <v>241</v>
      </c>
      <c r="AD1030" s="5" t="s">
        <v>241</v>
      </c>
      <c r="AG1030" s="5" t="s">
        <v>246</v>
      </c>
      <c r="AH1030" s="4" t="s">
        <v>241</v>
      </c>
      <c r="AI1030" s="4" t="s">
        <v>247</v>
      </c>
      <c r="AJ1030" s="4" t="s">
        <v>248</v>
      </c>
      <c r="AZ1030" s="4" t="s">
        <v>249</v>
      </c>
      <c r="BA1030" s="4" t="s">
        <v>241</v>
      </c>
      <c r="BB1030" s="4" t="s">
        <v>250</v>
      </c>
      <c r="BC1030" s="4" t="s">
        <v>241</v>
      </c>
      <c r="BD1030" s="4" t="s">
        <v>252</v>
      </c>
      <c r="BE1030" s="4" t="s">
        <v>241</v>
      </c>
      <c r="BI1030" s="4" t="s">
        <v>253</v>
      </c>
      <c r="BJ1030" s="5" t="s">
        <v>246</v>
      </c>
      <c r="BK1030" s="4" t="s">
        <v>254</v>
      </c>
      <c r="BL1030" s="4" t="s">
        <v>255</v>
      </c>
      <c r="BM1030" s="4" t="s">
        <v>241</v>
      </c>
      <c r="BN1030" s="6">
        <f>0</f>
        <v>0</v>
      </c>
      <c r="BO1030" s="6">
        <f>0</f>
        <v>0</v>
      </c>
      <c r="BP1030" s="4" t="s">
        <v>256</v>
      </c>
      <c r="BQ1030" s="4" t="s">
        <v>257</v>
      </c>
      <c r="CE1030" s="4" t="s">
        <v>241</v>
      </c>
      <c r="CF1030" s="4" t="s">
        <v>241</v>
      </c>
      <c r="CJ1030" s="4" t="s">
        <v>276</v>
      </c>
      <c r="CK1030" s="4" t="s">
        <v>259</v>
      </c>
      <c r="CL1030" s="4" t="s">
        <v>241</v>
      </c>
      <c r="CO1030" s="5" t="s">
        <v>260</v>
      </c>
      <c r="CP1030" s="4" t="s">
        <v>241</v>
      </c>
      <c r="CQ1030" s="4" t="s">
        <v>261</v>
      </c>
      <c r="CR1030" s="4" t="s">
        <v>241</v>
      </c>
      <c r="CS1030" s="4" t="s">
        <v>241</v>
      </c>
      <c r="CT1030" s="4">
        <v>0</v>
      </c>
      <c r="CU1030" s="4" t="s">
        <v>262</v>
      </c>
      <c r="CV1030" s="4" t="s">
        <v>263</v>
      </c>
      <c r="CW1030" s="4" t="s">
        <v>263</v>
      </c>
      <c r="CX1030" s="4" t="s">
        <v>264</v>
      </c>
      <c r="DA1030" s="6">
        <f>1</f>
        <v>1</v>
      </c>
      <c r="DC1030" s="4" t="s">
        <v>277</v>
      </c>
      <c r="DD1030" s="4" t="s">
        <v>241</v>
      </c>
      <c r="DF1030" s="4" t="s">
        <v>277</v>
      </c>
      <c r="DG1030" s="6">
        <f>841</f>
        <v>841</v>
      </c>
      <c r="DI1030" s="4" t="s">
        <v>241</v>
      </c>
      <c r="DJ1030" s="4" t="s">
        <v>241</v>
      </c>
      <c r="DK1030" s="4" t="s">
        <v>241</v>
      </c>
      <c r="DL1030" s="4" t="s">
        <v>241</v>
      </c>
      <c r="DP1030" s="4" t="s">
        <v>241</v>
      </c>
      <c r="DQ1030" s="4" t="s">
        <v>241</v>
      </c>
      <c r="DR1030" s="4" t="s">
        <v>241</v>
      </c>
      <c r="DS1030" s="4" t="s">
        <v>241</v>
      </c>
      <c r="DV1030" s="4" t="s">
        <v>278</v>
      </c>
      <c r="DW1030" s="4" t="s">
        <v>706</v>
      </c>
      <c r="HO1030" s="4" t="s">
        <v>267</v>
      </c>
    </row>
    <row r="1031" spans="1:223" ht="19.5" customHeight="1" x14ac:dyDescent="0.4">
      <c r="A1031" s="4">
        <v>1</v>
      </c>
      <c r="B1031" s="4" t="s">
        <v>239</v>
      </c>
      <c r="C1031" s="4">
        <v>2705</v>
      </c>
      <c r="D1031" s="4">
        <v>1</v>
      </c>
      <c r="E1031" s="4">
        <v>1</v>
      </c>
      <c r="F1031" s="4" t="s">
        <v>268</v>
      </c>
      <c r="G1031" s="4" t="s">
        <v>241</v>
      </c>
      <c r="H1031" s="4" t="s">
        <v>241</v>
      </c>
      <c r="I1031" s="4" t="s">
        <v>272</v>
      </c>
      <c r="J1031" s="4" t="s">
        <v>274</v>
      </c>
      <c r="K1031" s="4" t="s">
        <v>251</v>
      </c>
      <c r="L1031" s="4" t="s">
        <v>269</v>
      </c>
      <c r="M1031" s="5" t="s">
        <v>1167</v>
      </c>
      <c r="N1031" s="6">
        <f>793</f>
        <v>793</v>
      </c>
      <c r="O1031" s="4" t="s">
        <v>265</v>
      </c>
      <c r="P1031" s="6">
        <f>1</f>
        <v>1</v>
      </c>
      <c r="Q1031" s="6">
        <f>0</f>
        <v>0</v>
      </c>
      <c r="S1031" s="6">
        <f>0</f>
        <v>0</v>
      </c>
      <c r="T1031" s="6">
        <f>1</f>
        <v>1</v>
      </c>
      <c r="U1031" s="5" t="s">
        <v>245</v>
      </c>
      <c r="V1031" s="4" t="s">
        <v>270</v>
      </c>
      <c r="W1031" s="4" t="s">
        <v>271</v>
      </c>
      <c r="X1031" s="4" t="s">
        <v>273</v>
      </c>
      <c r="Y1031" s="4" t="s">
        <v>241</v>
      </c>
      <c r="AB1031" s="4" t="s">
        <v>241</v>
      </c>
      <c r="AD1031" s="5" t="s">
        <v>241</v>
      </c>
      <c r="AG1031" s="5" t="s">
        <v>246</v>
      </c>
      <c r="AH1031" s="4" t="s">
        <v>241</v>
      </c>
      <c r="AI1031" s="4" t="s">
        <v>247</v>
      </c>
      <c r="AJ1031" s="4" t="s">
        <v>248</v>
      </c>
      <c r="AZ1031" s="4" t="s">
        <v>249</v>
      </c>
      <c r="BA1031" s="4" t="s">
        <v>241</v>
      </c>
      <c r="BB1031" s="4" t="s">
        <v>250</v>
      </c>
      <c r="BC1031" s="4" t="s">
        <v>241</v>
      </c>
      <c r="BD1031" s="4" t="s">
        <v>252</v>
      </c>
      <c r="BE1031" s="4" t="s">
        <v>241</v>
      </c>
      <c r="BI1031" s="4" t="s">
        <v>253</v>
      </c>
      <c r="BJ1031" s="5" t="s">
        <v>246</v>
      </c>
      <c r="BK1031" s="4" t="s">
        <v>254</v>
      </c>
      <c r="BL1031" s="4" t="s">
        <v>255</v>
      </c>
      <c r="BM1031" s="4" t="s">
        <v>241</v>
      </c>
      <c r="BN1031" s="6">
        <f>0</f>
        <v>0</v>
      </c>
      <c r="BO1031" s="6">
        <f>0</f>
        <v>0</v>
      </c>
      <c r="BP1031" s="4" t="s">
        <v>256</v>
      </c>
      <c r="BQ1031" s="4" t="s">
        <v>257</v>
      </c>
      <c r="CE1031" s="4" t="s">
        <v>241</v>
      </c>
      <c r="CF1031" s="4" t="s">
        <v>241</v>
      </c>
      <c r="CJ1031" s="4" t="s">
        <v>276</v>
      </c>
      <c r="CK1031" s="4" t="s">
        <v>259</v>
      </c>
      <c r="CL1031" s="4" t="s">
        <v>241</v>
      </c>
      <c r="CO1031" s="5" t="s">
        <v>260</v>
      </c>
      <c r="CP1031" s="4" t="s">
        <v>241</v>
      </c>
      <c r="CQ1031" s="4" t="s">
        <v>261</v>
      </c>
      <c r="CR1031" s="4" t="s">
        <v>241</v>
      </c>
      <c r="CS1031" s="4" t="s">
        <v>241</v>
      </c>
      <c r="CT1031" s="4">
        <v>0</v>
      </c>
      <c r="CU1031" s="4" t="s">
        <v>262</v>
      </c>
      <c r="CV1031" s="4" t="s">
        <v>263</v>
      </c>
      <c r="CW1031" s="4" t="s">
        <v>263</v>
      </c>
      <c r="CX1031" s="4" t="s">
        <v>264</v>
      </c>
      <c r="DA1031" s="6">
        <f>1</f>
        <v>1</v>
      </c>
      <c r="DC1031" s="4" t="s">
        <v>277</v>
      </c>
      <c r="DD1031" s="4" t="s">
        <v>241</v>
      </c>
      <c r="DF1031" s="4" t="s">
        <v>277</v>
      </c>
      <c r="DG1031" s="6">
        <f>793</f>
        <v>793</v>
      </c>
      <c r="DI1031" s="4" t="s">
        <v>241</v>
      </c>
      <c r="DJ1031" s="4" t="s">
        <v>241</v>
      </c>
      <c r="DK1031" s="4" t="s">
        <v>241</v>
      </c>
      <c r="DL1031" s="4" t="s">
        <v>241</v>
      </c>
      <c r="DP1031" s="4" t="s">
        <v>241</v>
      </c>
      <c r="DQ1031" s="4" t="s">
        <v>241</v>
      </c>
      <c r="DR1031" s="4" t="s">
        <v>241</v>
      </c>
      <c r="DS1031" s="4" t="s">
        <v>241</v>
      </c>
      <c r="DV1031" s="4" t="s">
        <v>278</v>
      </c>
      <c r="DW1031" s="4" t="s">
        <v>710</v>
      </c>
      <c r="HO1031" s="4" t="s">
        <v>267</v>
      </c>
    </row>
    <row r="1032" spans="1:223" ht="19.5" customHeight="1" x14ac:dyDescent="0.4">
      <c r="A1032" s="4">
        <v>1</v>
      </c>
      <c r="B1032" s="4" t="s">
        <v>239</v>
      </c>
      <c r="C1032" s="4">
        <v>2706</v>
      </c>
      <c r="D1032" s="4">
        <v>1</v>
      </c>
      <c r="E1032" s="4">
        <v>1</v>
      </c>
      <c r="F1032" s="4" t="s">
        <v>268</v>
      </c>
      <c r="G1032" s="4" t="s">
        <v>241</v>
      </c>
      <c r="H1032" s="4" t="s">
        <v>241</v>
      </c>
      <c r="I1032" s="4" t="s">
        <v>272</v>
      </c>
      <c r="J1032" s="4" t="s">
        <v>274</v>
      </c>
      <c r="K1032" s="4" t="s">
        <v>251</v>
      </c>
      <c r="L1032" s="4" t="s">
        <v>269</v>
      </c>
      <c r="M1032" s="5" t="s">
        <v>1161</v>
      </c>
      <c r="N1032" s="6">
        <f>2460</f>
        <v>2460</v>
      </c>
      <c r="O1032" s="4" t="s">
        <v>265</v>
      </c>
      <c r="P1032" s="6">
        <f>1</f>
        <v>1</v>
      </c>
      <c r="Q1032" s="6">
        <f>0</f>
        <v>0</v>
      </c>
      <c r="S1032" s="6">
        <f>0</f>
        <v>0</v>
      </c>
      <c r="T1032" s="6">
        <f>1</f>
        <v>1</v>
      </c>
      <c r="U1032" s="5" t="s">
        <v>245</v>
      </c>
      <c r="V1032" s="4" t="s">
        <v>270</v>
      </c>
      <c r="W1032" s="4" t="s">
        <v>271</v>
      </c>
      <c r="X1032" s="4" t="s">
        <v>273</v>
      </c>
      <c r="Y1032" s="4" t="s">
        <v>241</v>
      </c>
      <c r="AB1032" s="4" t="s">
        <v>241</v>
      </c>
      <c r="AD1032" s="5" t="s">
        <v>241</v>
      </c>
      <c r="AG1032" s="5" t="s">
        <v>246</v>
      </c>
      <c r="AH1032" s="4" t="s">
        <v>241</v>
      </c>
      <c r="AI1032" s="4" t="s">
        <v>247</v>
      </c>
      <c r="AJ1032" s="4" t="s">
        <v>248</v>
      </c>
      <c r="AZ1032" s="4" t="s">
        <v>249</v>
      </c>
      <c r="BA1032" s="4" t="s">
        <v>241</v>
      </c>
      <c r="BB1032" s="4" t="s">
        <v>250</v>
      </c>
      <c r="BC1032" s="4" t="s">
        <v>241</v>
      </c>
      <c r="BD1032" s="4" t="s">
        <v>252</v>
      </c>
      <c r="BE1032" s="4" t="s">
        <v>241</v>
      </c>
      <c r="BI1032" s="4" t="s">
        <v>253</v>
      </c>
      <c r="BJ1032" s="5" t="s">
        <v>246</v>
      </c>
      <c r="BK1032" s="4" t="s">
        <v>254</v>
      </c>
      <c r="BL1032" s="4" t="s">
        <v>255</v>
      </c>
      <c r="BM1032" s="4" t="s">
        <v>241</v>
      </c>
      <c r="BN1032" s="6">
        <f>0</f>
        <v>0</v>
      </c>
      <c r="BO1032" s="6">
        <f>0</f>
        <v>0</v>
      </c>
      <c r="BP1032" s="4" t="s">
        <v>256</v>
      </c>
      <c r="BQ1032" s="4" t="s">
        <v>257</v>
      </c>
      <c r="CE1032" s="4" t="s">
        <v>241</v>
      </c>
      <c r="CF1032" s="4" t="s">
        <v>241</v>
      </c>
      <c r="CJ1032" s="4" t="s">
        <v>276</v>
      </c>
      <c r="CK1032" s="4" t="s">
        <v>259</v>
      </c>
      <c r="CL1032" s="4" t="s">
        <v>241</v>
      </c>
      <c r="CO1032" s="5" t="s">
        <v>260</v>
      </c>
      <c r="CP1032" s="4" t="s">
        <v>241</v>
      </c>
      <c r="CQ1032" s="4" t="s">
        <v>261</v>
      </c>
      <c r="CR1032" s="4" t="s">
        <v>241</v>
      </c>
      <c r="CS1032" s="4" t="s">
        <v>241</v>
      </c>
      <c r="CT1032" s="4">
        <v>0</v>
      </c>
      <c r="CU1032" s="4" t="s">
        <v>262</v>
      </c>
      <c r="CV1032" s="4" t="s">
        <v>263</v>
      </c>
      <c r="CW1032" s="4" t="s">
        <v>263</v>
      </c>
      <c r="CX1032" s="4" t="s">
        <v>264</v>
      </c>
      <c r="DA1032" s="6">
        <f>1</f>
        <v>1</v>
      </c>
      <c r="DC1032" s="4" t="s">
        <v>277</v>
      </c>
      <c r="DD1032" s="4" t="s">
        <v>241</v>
      </c>
      <c r="DF1032" s="4" t="s">
        <v>277</v>
      </c>
      <c r="DG1032" s="6">
        <f>2460</f>
        <v>2460</v>
      </c>
      <c r="DI1032" s="4" t="s">
        <v>241</v>
      </c>
      <c r="DJ1032" s="4" t="s">
        <v>241</v>
      </c>
      <c r="DK1032" s="4" t="s">
        <v>241</v>
      </c>
      <c r="DL1032" s="4" t="s">
        <v>241</v>
      </c>
      <c r="DP1032" s="4" t="s">
        <v>241</v>
      </c>
      <c r="DQ1032" s="4" t="s">
        <v>241</v>
      </c>
      <c r="DR1032" s="4" t="s">
        <v>241</v>
      </c>
      <c r="DS1032" s="4" t="s">
        <v>241</v>
      </c>
      <c r="DV1032" s="4" t="s">
        <v>278</v>
      </c>
      <c r="DW1032" s="4" t="s">
        <v>714</v>
      </c>
      <c r="HO1032" s="4" t="s">
        <v>267</v>
      </c>
    </row>
    <row r="1033" spans="1:223" ht="19.5" customHeight="1" x14ac:dyDescent="0.4">
      <c r="A1033" s="4">
        <v>1</v>
      </c>
      <c r="B1033" s="4" t="s">
        <v>239</v>
      </c>
      <c r="C1033" s="4">
        <v>2707</v>
      </c>
      <c r="D1033" s="4">
        <v>1</v>
      </c>
      <c r="E1033" s="4">
        <v>1</v>
      </c>
      <c r="F1033" s="4" t="s">
        <v>268</v>
      </c>
      <c r="G1033" s="4" t="s">
        <v>241</v>
      </c>
      <c r="H1033" s="4" t="s">
        <v>241</v>
      </c>
      <c r="I1033" s="4" t="s">
        <v>272</v>
      </c>
      <c r="J1033" s="4" t="s">
        <v>274</v>
      </c>
      <c r="K1033" s="4" t="s">
        <v>251</v>
      </c>
      <c r="L1033" s="4" t="s">
        <v>269</v>
      </c>
      <c r="M1033" s="5" t="s">
        <v>1156</v>
      </c>
      <c r="N1033" s="6">
        <f>3251</f>
        <v>3251</v>
      </c>
      <c r="O1033" s="4" t="s">
        <v>265</v>
      </c>
      <c r="P1033" s="6">
        <f>1</f>
        <v>1</v>
      </c>
      <c r="Q1033" s="6">
        <f>0</f>
        <v>0</v>
      </c>
      <c r="S1033" s="6">
        <f>0</f>
        <v>0</v>
      </c>
      <c r="T1033" s="6">
        <f>1</f>
        <v>1</v>
      </c>
      <c r="U1033" s="5" t="s">
        <v>245</v>
      </c>
      <c r="V1033" s="4" t="s">
        <v>270</v>
      </c>
      <c r="W1033" s="4" t="s">
        <v>271</v>
      </c>
      <c r="X1033" s="4" t="s">
        <v>273</v>
      </c>
      <c r="Y1033" s="4" t="s">
        <v>241</v>
      </c>
      <c r="AB1033" s="4" t="s">
        <v>241</v>
      </c>
      <c r="AD1033" s="5" t="s">
        <v>241</v>
      </c>
      <c r="AG1033" s="5" t="s">
        <v>246</v>
      </c>
      <c r="AH1033" s="4" t="s">
        <v>241</v>
      </c>
      <c r="AI1033" s="4" t="s">
        <v>247</v>
      </c>
      <c r="AJ1033" s="4" t="s">
        <v>248</v>
      </c>
      <c r="AZ1033" s="4" t="s">
        <v>249</v>
      </c>
      <c r="BA1033" s="4" t="s">
        <v>241</v>
      </c>
      <c r="BB1033" s="4" t="s">
        <v>250</v>
      </c>
      <c r="BC1033" s="4" t="s">
        <v>241</v>
      </c>
      <c r="BD1033" s="4" t="s">
        <v>252</v>
      </c>
      <c r="BE1033" s="4" t="s">
        <v>241</v>
      </c>
      <c r="BI1033" s="4" t="s">
        <v>253</v>
      </c>
      <c r="BJ1033" s="5" t="s">
        <v>246</v>
      </c>
      <c r="BK1033" s="4" t="s">
        <v>254</v>
      </c>
      <c r="BL1033" s="4" t="s">
        <v>255</v>
      </c>
      <c r="BM1033" s="4" t="s">
        <v>241</v>
      </c>
      <c r="BN1033" s="6">
        <f>0</f>
        <v>0</v>
      </c>
      <c r="BO1033" s="6">
        <f>0</f>
        <v>0</v>
      </c>
      <c r="BP1033" s="4" t="s">
        <v>256</v>
      </c>
      <c r="BQ1033" s="4" t="s">
        <v>257</v>
      </c>
      <c r="CE1033" s="4" t="s">
        <v>241</v>
      </c>
      <c r="CF1033" s="4" t="s">
        <v>241</v>
      </c>
      <c r="CJ1033" s="4" t="s">
        <v>276</v>
      </c>
      <c r="CK1033" s="4" t="s">
        <v>259</v>
      </c>
      <c r="CL1033" s="4" t="s">
        <v>241</v>
      </c>
      <c r="CO1033" s="5" t="s">
        <v>260</v>
      </c>
      <c r="CP1033" s="4" t="s">
        <v>241</v>
      </c>
      <c r="CQ1033" s="4" t="s">
        <v>261</v>
      </c>
      <c r="CR1033" s="4" t="s">
        <v>241</v>
      </c>
      <c r="CS1033" s="4" t="s">
        <v>241</v>
      </c>
      <c r="CT1033" s="4">
        <v>0</v>
      </c>
      <c r="CU1033" s="4" t="s">
        <v>262</v>
      </c>
      <c r="CV1033" s="4" t="s">
        <v>263</v>
      </c>
      <c r="CW1033" s="4" t="s">
        <v>263</v>
      </c>
      <c r="CX1033" s="4" t="s">
        <v>264</v>
      </c>
      <c r="DA1033" s="6">
        <f>1</f>
        <v>1</v>
      </c>
      <c r="DC1033" s="4" t="s">
        <v>277</v>
      </c>
      <c r="DD1033" s="4" t="s">
        <v>241</v>
      </c>
      <c r="DF1033" s="4" t="s">
        <v>277</v>
      </c>
      <c r="DG1033" s="6">
        <f>3251</f>
        <v>3251</v>
      </c>
      <c r="DI1033" s="4" t="s">
        <v>241</v>
      </c>
      <c r="DJ1033" s="4" t="s">
        <v>241</v>
      </c>
      <c r="DK1033" s="4" t="s">
        <v>241</v>
      </c>
      <c r="DL1033" s="4" t="s">
        <v>241</v>
      </c>
      <c r="DP1033" s="4" t="s">
        <v>241</v>
      </c>
      <c r="DQ1033" s="4" t="s">
        <v>241</v>
      </c>
      <c r="DR1033" s="4" t="s">
        <v>241</v>
      </c>
      <c r="DS1033" s="4" t="s">
        <v>241</v>
      </c>
      <c r="DV1033" s="4" t="s">
        <v>278</v>
      </c>
      <c r="DW1033" s="4" t="s">
        <v>1157</v>
      </c>
      <c r="HO1033" s="4" t="s">
        <v>267</v>
      </c>
    </row>
    <row r="1034" spans="1:223" ht="19.5" customHeight="1" x14ac:dyDescent="0.4">
      <c r="A1034" s="4">
        <v>1</v>
      </c>
      <c r="B1034" s="4" t="s">
        <v>239</v>
      </c>
      <c r="C1034" s="4">
        <v>2708</v>
      </c>
      <c r="D1034" s="4">
        <v>1</v>
      </c>
      <c r="E1034" s="4">
        <v>1</v>
      </c>
      <c r="F1034" s="4" t="s">
        <v>268</v>
      </c>
      <c r="G1034" s="4" t="s">
        <v>241</v>
      </c>
      <c r="H1034" s="4" t="s">
        <v>241</v>
      </c>
      <c r="I1034" s="4" t="s">
        <v>272</v>
      </c>
      <c r="J1034" s="4" t="s">
        <v>274</v>
      </c>
      <c r="K1034" s="4" t="s">
        <v>251</v>
      </c>
      <c r="L1034" s="4" t="s">
        <v>269</v>
      </c>
      <c r="M1034" s="5" t="s">
        <v>1153</v>
      </c>
      <c r="N1034" s="6">
        <f>1034</f>
        <v>1034</v>
      </c>
      <c r="O1034" s="4" t="s">
        <v>265</v>
      </c>
      <c r="P1034" s="6">
        <f>1</f>
        <v>1</v>
      </c>
      <c r="Q1034" s="6">
        <f>0</f>
        <v>0</v>
      </c>
      <c r="S1034" s="6">
        <f>0</f>
        <v>0</v>
      </c>
      <c r="T1034" s="6">
        <f>1</f>
        <v>1</v>
      </c>
      <c r="U1034" s="5" t="s">
        <v>245</v>
      </c>
      <c r="V1034" s="4" t="s">
        <v>270</v>
      </c>
      <c r="W1034" s="4" t="s">
        <v>271</v>
      </c>
      <c r="X1034" s="4" t="s">
        <v>273</v>
      </c>
      <c r="Y1034" s="4" t="s">
        <v>241</v>
      </c>
      <c r="AB1034" s="4" t="s">
        <v>241</v>
      </c>
      <c r="AD1034" s="5" t="s">
        <v>241</v>
      </c>
      <c r="AG1034" s="5" t="s">
        <v>246</v>
      </c>
      <c r="AH1034" s="4" t="s">
        <v>241</v>
      </c>
      <c r="AI1034" s="4" t="s">
        <v>247</v>
      </c>
      <c r="AJ1034" s="4" t="s">
        <v>248</v>
      </c>
      <c r="AZ1034" s="4" t="s">
        <v>249</v>
      </c>
      <c r="BA1034" s="4" t="s">
        <v>241</v>
      </c>
      <c r="BB1034" s="4" t="s">
        <v>250</v>
      </c>
      <c r="BC1034" s="4" t="s">
        <v>241</v>
      </c>
      <c r="BD1034" s="4" t="s">
        <v>252</v>
      </c>
      <c r="BE1034" s="4" t="s">
        <v>241</v>
      </c>
      <c r="BI1034" s="4" t="s">
        <v>253</v>
      </c>
      <c r="BJ1034" s="5" t="s">
        <v>246</v>
      </c>
      <c r="BK1034" s="4" t="s">
        <v>254</v>
      </c>
      <c r="BL1034" s="4" t="s">
        <v>255</v>
      </c>
      <c r="BM1034" s="4" t="s">
        <v>241</v>
      </c>
      <c r="BN1034" s="6">
        <f>0</f>
        <v>0</v>
      </c>
      <c r="BO1034" s="6">
        <f>0</f>
        <v>0</v>
      </c>
      <c r="BP1034" s="4" t="s">
        <v>256</v>
      </c>
      <c r="BQ1034" s="4" t="s">
        <v>257</v>
      </c>
      <c r="CE1034" s="4" t="s">
        <v>241</v>
      </c>
      <c r="CF1034" s="4" t="s">
        <v>241</v>
      </c>
      <c r="CJ1034" s="4" t="s">
        <v>276</v>
      </c>
      <c r="CK1034" s="4" t="s">
        <v>259</v>
      </c>
      <c r="CL1034" s="4" t="s">
        <v>241</v>
      </c>
      <c r="CO1034" s="5" t="s">
        <v>260</v>
      </c>
      <c r="CP1034" s="4" t="s">
        <v>241</v>
      </c>
      <c r="CQ1034" s="4" t="s">
        <v>261</v>
      </c>
      <c r="CR1034" s="4" t="s">
        <v>241</v>
      </c>
      <c r="CS1034" s="4" t="s">
        <v>241</v>
      </c>
      <c r="CT1034" s="4">
        <v>0</v>
      </c>
      <c r="CU1034" s="4" t="s">
        <v>262</v>
      </c>
      <c r="CV1034" s="4" t="s">
        <v>263</v>
      </c>
      <c r="CW1034" s="4" t="s">
        <v>263</v>
      </c>
      <c r="CX1034" s="4" t="s">
        <v>264</v>
      </c>
      <c r="DA1034" s="6">
        <f>1</f>
        <v>1</v>
      </c>
      <c r="DC1034" s="4" t="s">
        <v>277</v>
      </c>
      <c r="DD1034" s="4" t="s">
        <v>241</v>
      </c>
      <c r="DF1034" s="4" t="s">
        <v>277</v>
      </c>
      <c r="DG1034" s="6">
        <f>1034</f>
        <v>1034</v>
      </c>
      <c r="DI1034" s="4" t="s">
        <v>241</v>
      </c>
      <c r="DJ1034" s="4" t="s">
        <v>241</v>
      </c>
      <c r="DK1034" s="4" t="s">
        <v>241</v>
      </c>
      <c r="DL1034" s="4" t="s">
        <v>241</v>
      </c>
      <c r="DP1034" s="4" t="s">
        <v>241</v>
      </c>
      <c r="DQ1034" s="4" t="s">
        <v>241</v>
      </c>
      <c r="DR1034" s="4" t="s">
        <v>241</v>
      </c>
      <c r="DS1034" s="4" t="s">
        <v>241</v>
      </c>
      <c r="DV1034" s="4" t="s">
        <v>278</v>
      </c>
      <c r="DW1034" s="4" t="s">
        <v>721</v>
      </c>
      <c r="HO1034" s="4" t="s">
        <v>267</v>
      </c>
    </row>
    <row r="1035" spans="1:223" ht="19.5" customHeight="1" x14ac:dyDescent="0.4">
      <c r="A1035" s="4">
        <v>1</v>
      </c>
      <c r="B1035" s="4" t="s">
        <v>239</v>
      </c>
      <c r="C1035" s="4">
        <v>2709</v>
      </c>
      <c r="D1035" s="4">
        <v>1</v>
      </c>
      <c r="E1035" s="4">
        <v>1</v>
      </c>
      <c r="F1035" s="4" t="s">
        <v>268</v>
      </c>
      <c r="G1035" s="4" t="s">
        <v>241</v>
      </c>
      <c r="H1035" s="4" t="s">
        <v>241</v>
      </c>
      <c r="I1035" s="4" t="s">
        <v>272</v>
      </c>
      <c r="J1035" s="4" t="s">
        <v>274</v>
      </c>
      <c r="K1035" s="4" t="s">
        <v>251</v>
      </c>
      <c r="L1035" s="4" t="s">
        <v>269</v>
      </c>
      <c r="M1035" s="5" t="s">
        <v>1148</v>
      </c>
      <c r="N1035" s="6">
        <f>476</f>
        <v>476</v>
      </c>
      <c r="O1035" s="4" t="s">
        <v>265</v>
      </c>
      <c r="P1035" s="6">
        <f>1</f>
        <v>1</v>
      </c>
      <c r="Q1035" s="6">
        <f>0</f>
        <v>0</v>
      </c>
      <c r="S1035" s="6">
        <f>0</f>
        <v>0</v>
      </c>
      <c r="T1035" s="6">
        <f>1</f>
        <v>1</v>
      </c>
      <c r="U1035" s="5" t="s">
        <v>245</v>
      </c>
      <c r="V1035" s="4" t="s">
        <v>270</v>
      </c>
      <c r="W1035" s="4" t="s">
        <v>271</v>
      </c>
      <c r="X1035" s="4" t="s">
        <v>273</v>
      </c>
      <c r="Y1035" s="4" t="s">
        <v>241</v>
      </c>
      <c r="AB1035" s="4" t="s">
        <v>241</v>
      </c>
      <c r="AD1035" s="5" t="s">
        <v>241</v>
      </c>
      <c r="AG1035" s="5" t="s">
        <v>246</v>
      </c>
      <c r="AH1035" s="4" t="s">
        <v>241</v>
      </c>
      <c r="AI1035" s="4" t="s">
        <v>247</v>
      </c>
      <c r="AJ1035" s="4" t="s">
        <v>248</v>
      </c>
      <c r="AZ1035" s="4" t="s">
        <v>249</v>
      </c>
      <c r="BA1035" s="4" t="s">
        <v>241</v>
      </c>
      <c r="BB1035" s="4" t="s">
        <v>250</v>
      </c>
      <c r="BC1035" s="4" t="s">
        <v>241</v>
      </c>
      <c r="BD1035" s="4" t="s">
        <v>252</v>
      </c>
      <c r="BE1035" s="4" t="s">
        <v>241</v>
      </c>
      <c r="BI1035" s="4" t="s">
        <v>253</v>
      </c>
      <c r="BJ1035" s="5" t="s">
        <v>246</v>
      </c>
      <c r="BK1035" s="4" t="s">
        <v>254</v>
      </c>
      <c r="BL1035" s="4" t="s">
        <v>255</v>
      </c>
      <c r="BM1035" s="4" t="s">
        <v>241</v>
      </c>
      <c r="BN1035" s="6">
        <f>0</f>
        <v>0</v>
      </c>
      <c r="BO1035" s="6">
        <f>0</f>
        <v>0</v>
      </c>
      <c r="BP1035" s="4" t="s">
        <v>256</v>
      </c>
      <c r="BQ1035" s="4" t="s">
        <v>257</v>
      </c>
      <c r="CE1035" s="4" t="s">
        <v>241</v>
      </c>
      <c r="CF1035" s="4" t="s">
        <v>241</v>
      </c>
      <c r="CJ1035" s="4" t="s">
        <v>276</v>
      </c>
      <c r="CK1035" s="4" t="s">
        <v>259</v>
      </c>
      <c r="CL1035" s="4" t="s">
        <v>241</v>
      </c>
      <c r="CO1035" s="5" t="s">
        <v>260</v>
      </c>
      <c r="CP1035" s="4" t="s">
        <v>241</v>
      </c>
      <c r="CQ1035" s="4" t="s">
        <v>261</v>
      </c>
      <c r="CR1035" s="4" t="s">
        <v>241</v>
      </c>
      <c r="CS1035" s="4" t="s">
        <v>241</v>
      </c>
      <c r="CT1035" s="4">
        <v>0</v>
      </c>
      <c r="CU1035" s="4" t="s">
        <v>262</v>
      </c>
      <c r="CV1035" s="4" t="s">
        <v>263</v>
      </c>
      <c r="CW1035" s="4" t="s">
        <v>263</v>
      </c>
      <c r="CX1035" s="4" t="s">
        <v>264</v>
      </c>
      <c r="DA1035" s="6">
        <f>1</f>
        <v>1</v>
      </c>
      <c r="DC1035" s="4" t="s">
        <v>277</v>
      </c>
      <c r="DD1035" s="4" t="s">
        <v>241</v>
      </c>
      <c r="DF1035" s="4" t="s">
        <v>277</v>
      </c>
      <c r="DG1035" s="6">
        <f>476</f>
        <v>476</v>
      </c>
      <c r="DI1035" s="4" t="s">
        <v>241</v>
      </c>
      <c r="DJ1035" s="4" t="s">
        <v>241</v>
      </c>
      <c r="DK1035" s="4" t="s">
        <v>241</v>
      </c>
      <c r="DL1035" s="4" t="s">
        <v>241</v>
      </c>
      <c r="DP1035" s="4" t="s">
        <v>241</v>
      </c>
      <c r="DQ1035" s="4" t="s">
        <v>241</v>
      </c>
      <c r="DR1035" s="4" t="s">
        <v>241</v>
      </c>
      <c r="DS1035" s="4" t="s">
        <v>241</v>
      </c>
      <c r="DV1035" s="4" t="s">
        <v>278</v>
      </c>
      <c r="DW1035" s="4" t="s">
        <v>725</v>
      </c>
      <c r="HO1035" s="4" t="s">
        <v>267</v>
      </c>
    </row>
    <row r="1036" spans="1:223" ht="19.5" customHeight="1" x14ac:dyDescent="0.4">
      <c r="A1036" s="4">
        <v>1</v>
      </c>
      <c r="B1036" s="4" t="s">
        <v>239</v>
      </c>
      <c r="C1036" s="4">
        <v>2710</v>
      </c>
      <c r="D1036" s="4">
        <v>1</v>
      </c>
      <c r="E1036" s="4">
        <v>1</v>
      </c>
      <c r="F1036" s="4" t="s">
        <v>268</v>
      </c>
      <c r="G1036" s="4" t="s">
        <v>241</v>
      </c>
      <c r="H1036" s="4" t="s">
        <v>241</v>
      </c>
      <c r="I1036" s="4" t="s">
        <v>272</v>
      </c>
      <c r="J1036" s="4" t="s">
        <v>274</v>
      </c>
      <c r="K1036" s="4" t="s">
        <v>251</v>
      </c>
      <c r="L1036" s="4" t="s">
        <v>269</v>
      </c>
      <c r="M1036" s="5" t="s">
        <v>1144</v>
      </c>
      <c r="N1036" s="6">
        <f>244</f>
        <v>244</v>
      </c>
      <c r="O1036" s="4" t="s">
        <v>265</v>
      </c>
      <c r="P1036" s="6">
        <f>1</f>
        <v>1</v>
      </c>
      <c r="Q1036" s="6">
        <f>0</f>
        <v>0</v>
      </c>
      <c r="S1036" s="6">
        <f>0</f>
        <v>0</v>
      </c>
      <c r="T1036" s="6">
        <f>1</f>
        <v>1</v>
      </c>
      <c r="U1036" s="5" t="s">
        <v>245</v>
      </c>
      <c r="V1036" s="4" t="s">
        <v>270</v>
      </c>
      <c r="W1036" s="4" t="s">
        <v>271</v>
      </c>
      <c r="X1036" s="4" t="s">
        <v>273</v>
      </c>
      <c r="Y1036" s="4" t="s">
        <v>241</v>
      </c>
      <c r="AB1036" s="4" t="s">
        <v>241</v>
      </c>
      <c r="AD1036" s="5" t="s">
        <v>241</v>
      </c>
      <c r="AG1036" s="5" t="s">
        <v>246</v>
      </c>
      <c r="AH1036" s="4" t="s">
        <v>241</v>
      </c>
      <c r="AI1036" s="4" t="s">
        <v>247</v>
      </c>
      <c r="AJ1036" s="4" t="s">
        <v>248</v>
      </c>
      <c r="AZ1036" s="4" t="s">
        <v>249</v>
      </c>
      <c r="BA1036" s="4" t="s">
        <v>241</v>
      </c>
      <c r="BB1036" s="4" t="s">
        <v>250</v>
      </c>
      <c r="BC1036" s="4" t="s">
        <v>241</v>
      </c>
      <c r="BD1036" s="4" t="s">
        <v>252</v>
      </c>
      <c r="BE1036" s="4" t="s">
        <v>241</v>
      </c>
      <c r="BI1036" s="4" t="s">
        <v>253</v>
      </c>
      <c r="BJ1036" s="5" t="s">
        <v>246</v>
      </c>
      <c r="BK1036" s="4" t="s">
        <v>254</v>
      </c>
      <c r="BL1036" s="4" t="s">
        <v>255</v>
      </c>
      <c r="BM1036" s="4" t="s">
        <v>241</v>
      </c>
      <c r="BN1036" s="6">
        <f>0</f>
        <v>0</v>
      </c>
      <c r="BO1036" s="6">
        <f>0</f>
        <v>0</v>
      </c>
      <c r="BP1036" s="4" t="s">
        <v>256</v>
      </c>
      <c r="BQ1036" s="4" t="s">
        <v>257</v>
      </c>
      <c r="CE1036" s="4" t="s">
        <v>241</v>
      </c>
      <c r="CF1036" s="4" t="s">
        <v>241</v>
      </c>
      <c r="CJ1036" s="4" t="s">
        <v>276</v>
      </c>
      <c r="CK1036" s="4" t="s">
        <v>259</v>
      </c>
      <c r="CL1036" s="4" t="s">
        <v>241</v>
      </c>
      <c r="CO1036" s="5" t="s">
        <v>260</v>
      </c>
      <c r="CP1036" s="4" t="s">
        <v>241</v>
      </c>
      <c r="CQ1036" s="4" t="s">
        <v>261</v>
      </c>
      <c r="CR1036" s="4" t="s">
        <v>241</v>
      </c>
      <c r="CS1036" s="4" t="s">
        <v>241</v>
      </c>
      <c r="CT1036" s="4">
        <v>0</v>
      </c>
      <c r="CU1036" s="4" t="s">
        <v>262</v>
      </c>
      <c r="CV1036" s="4" t="s">
        <v>263</v>
      </c>
      <c r="CW1036" s="4" t="s">
        <v>263</v>
      </c>
      <c r="CX1036" s="4" t="s">
        <v>264</v>
      </c>
      <c r="DA1036" s="6">
        <f>1</f>
        <v>1</v>
      </c>
      <c r="DC1036" s="4" t="s">
        <v>277</v>
      </c>
      <c r="DD1036" s="4" t="s">
        <v>241</v>
      </c>
      <c r="DF1036" s="4" t="s">
        <v>277</v>
      </c>
      <c r="DG1036" s="6">
        <f>244</f>
        <v>244</v>
      </c>
      <c r="DI1036" s="4" t="s">
        <v>241</v>
      </c>
      <c r="DJ1036" s="4" t="s">
        <v>241</v>
      </c>
      <c r="DK1036" s="4" t="s">
        <v>241</v>
      </c>
      <c r="DL1036" s="4" t="s">
        <v>241</v>
      </c>
      <c r="DP1036" s="4" t="s">
        <v>241</v>
      </c>
      <c r="DQ1036" s="4" t="s">
        <v>241</v>
      </c>
      <c r="DR1036" s="4" t="s">
        <v>241</v>
      </c>
      <c r="DS1036" s="4" t="s">
        <v>241</v>
      </c>
      <c r="DV1036" s="4" t="s">
        <v>278</v>
      </c>
      <c r="DW1036" s="4" t="s">
        <v>731</v>
      </c>
      <c r="HO1036" s="4" t="s">
        <v>267</v>
      </c>
    </row>
    <row r="1037" spans="1:223" ht="19.5" customHeight="1" x14ac:dyDescent="0.4">
      <c r="A1037" s="4">
        <v>1</v>
      </c>
      <c r="B1037" s="4" t="s">
        <v>239</v>
      </c>
      <c r="C1037" s="4">
        <v>2711</v>
      </c>
      <c r="D1037" s="4">
        <v>1</v>
      </c>
      <c r="E1037" s="4">
        <v>1</v>
      </c>
      <c r="F1037" s="4" t="s">
        <v>268</v>
      </c>
      <c r="G1037" s="4" t="s">
        <v>241</v>
      </c>
      <c r="H1037" s="4" t="s">
        <v>241</v>
      </c>
      <c r="I1037" s="4" t="s">
        <v>272</v>
      </c>
      <c r="J1037" s="4" t="s">
        <v>274</v>
      </c>
      <c r="K1037" s="4" t="s">
        <v>251</v>
      </c>
      <c r="L1037" s="4" t="s">
        <v>269</v>
      </c>
      <c r="M1037" s="5" t="s">
        <v>1141</v>
      </c>
      <c r="N1037" s="6">
        <f>19</f>
        <v>19</v>
      </c>
      <c r="O1037" s="4" t="s">
        <v>265</v>
      </c>
      <c r="P1037" s="6">
        <f>1</f>
        <v>1</v>
      </c>
      <c r="Q1037" s="6">
        <f>0</f>
        <v>0</v>
      </c>
      <c r="S1037" s="6">
        <f>0</f>
        <v>0</v>
      </c>
      <c r="T1037" s="6">
        <f>1</f>
        <v>1</v>
      </c>
      <c r="U1037" s="5" t="s">
        <v>245</v>
      </c>
      <c r="V1037" s="4" t="s">
        <v>270</v>
      </c>
      <c r="W1037" s="4" t="s">
        <v>271</v>
      </c>
      <c r="X1037" s="4" t="s">
        <v>273</v>
      </c>
      <c r="Y1037" s="4" t="s">
        <v>241</v>
      </c>
      <c r="AB1037" s="4" t="s">
        <v>241</v>
      </c>
      <c r="AD1037" s="5" t="s">
        <v>241</v>
      </c>
      <c r="AG1037" s="5" t="s">
        <v>246</v>
      </c>
      <c r="AH1037" s="4" t="s">
        <v>241</v>
      </c>
      <c r="AI1037" s="4" t="s">
        <v>247</v>
      </c>
      <c r="AJ1037" s="4" t="s">
        <v>248</v>
      </c>
      <c r="AZ1037" s="4" t="s">
        <v>249</v>
      </c>
      <c r="BA1037" s="4" t="s">
        <v>241</v>
      </c>
      <c r="BB1037" s="4" t="s">
        <v>250</v>
      </c>
      <c r="BC1037" s="4" t="s">
        <v>241</v>
      </c>
      <c r="BD1037" s="4" t="s">
        <v>252</v>
      </c>
      <c r="BE1037" s="4" t="s">
        <v>241</v>
      </c>
      <c r="BI1037" s="4" t="s">
        <v>253</v>
      </c>
      <c r="BJ1037" s="5" t="s">
        <v>246</v>
      </c>
      <c r="BK1037" s="4" t="s">
        <v>254</v>
      </c>
      <c r="BL1037" s="4" t="s">
        <v>255</v>
      </c>
      <c r="BM1037" s="4" t="s">
        <v>241</v>
      </c>
      <c r="BN1037" s="6">
        <f>0</f>
        <v>0</v>
      </c>
      <c r="BO1037" s="6">
        <f>0</f>
        <v>0</v>
      </c>
      <c r="BP1037" s="4" t="s">
        <v>256</v>
      </c>
      <c r="BQ1037" s="4" t="s">
        <v>257</v>
      </c>
      <c r="CE1037" s="4" t="s">
        <v>241</v>
      </c>
      <c r="CF1037" s="4" t="s">
        <v>241</v>
      </c>
      <c r="CJ1037" s="4" t="s">
        <v>276</v>
      </c>
      <c r="CK1037" s="4" t="s">
        <v>259</v>
      </c>
      <c r="CL1037" s="4" t="s">
        <v>241</v>
      </c>
      <c r="CO1037" s="5" t="s">
        <v>260</v>
      </c>
      <c r="CP1037" s="4" t="s">
        <v>241</v>
      </c>
      <c r="CQ1037" s="4" t="s">
        <v>261</v>
      </c>
      <c r="CR1037" s="4" t="s">
        <v>241</v>
      </c>
      <c r="CS1037" s="4" t="s">
        <v>241</v>
      </c>
      <c r="CT1037" s="4">
        <v>0</v>
      </c>
      <c r="CU1037" s="4" t="s">
        <v>262</v>
      </c>
      <c r="CV1037" s="4" t="s">
        <v>263</v>
      </c>
      <c r="CW1037" s="4" t="s">
        <v>263</v>
      </c>
      <c r="CX1037" s="4" t="s">
        <v>264</v>
      </c>
      <c r="DA1037" s="6">
        <f>1</f>
        <v>1</v>
      </c>
      <c r="DC1037" s="4" t="s">
        <v>277</v>
      </c>
      <c r="DD1037" s="4" t="s">
        <v>241</v>
      </c>
      <c r="DF1037" s="4" t="s">
        <v>277</v>
      </c>
      <c r="DG1037" s="6">
        <f>19</f>
        <v>19</v>
      </c>
      <c r="DI1037" s="4" t="s">
        <v>241</v>
      </c>
      <c r="DJ1037" s="4" t="s">
        <v>241</v>
      </c>
      <c r="DK1037" s="4" t="s">
        <v>241</v>
      </c>
      <c r="DL1037" s="4" t="s">
        <v>241</v>
      </c>
      <c r="DP1037" s="4" t="s">
        <v>241</v>
      </c>
      <c r="DQ1037" s="4" t="s">
        <v>241</v>
      </c>
      <c r="DR1037" s="4" t="s">
        <v>241</v>
      </c>
      <c r="DS1037" s="4" t="s">
        <v>241</v>
      </c>
      <c r="DV1037" s="4" t="s">
        <v>278</v>
      </c>
      <c r="DW1037" s="4" t="s">
        <v>1142</v>
      </c>
      <c r="HO1037" s="4" t="s">
        <v>267</v>
      </c>
    </row>
    <row r="1038" spans="1:223" ht="19.5" customHeight="1" x14ac:dyDescent="0.4">
      <c r="A1038" s="4">
        <v>1</v>
      </c>
      <c r="B1038" s="4" t="s">
        <v>239</v>
      </c>
      <c r="C1038" s="4">
        <v>2712</v>
      </c>
      <c r="D1038" s="4">
        <v>1</v>
      </c>
      <c r="E1038" s="4">
        <v>1</v>
      </c>
      <c r="F1038" s="4" t="s">
        <v>268</v>
      </c>
      <c r="G1038" s="4" t="s">
        <v>241</v>
      </c>
      <c r="H1038" s="4" t="s">
        <v>241</v>
      </c>
      <c r="I1038" s="4" t="s">
        <v>272</v>
      </c>
      <c r="J1038" s="4" t="s">
        <v>274</v>
      </c>
      <c r="K1038" s="4" t="s">
        <v>251</v>
      </c>
      <c r="L1038" s="4" t="s">
        <v>269</v>
      </c>
      <c r="M1038" s="5" t="s">
        <v>1136</v>
      </c>
      <c r="N1038" s="6">
        <f>708</f>
        <v>708</v>
      </c>
      <c r="O1038" s="4" t="s">
        <v>265</v>
      </c>
      <c r="P1038" s="6">
        <f>1</f>
        <v>1</v>
      </c>
      <c r="Q1038" s="6">
        <f>0</f>
        <v>0</v>
      </c>
      <c r="S1038" s="6">
        <f>0</f>
        <v>0</v>
      </c>
      <c r="T1038" s="6">
        <f>1</f>
        <v>1</v>
      </c>
      <c r="U1038" s="5" t="s">
        <v>245</v>
      </c>
      <c r="V1038" s="4" t="s">
        <v>270</v>
      </c>
      <c r="W1038" s="4" t="s">
        <v>271</v>
      </c>
      <c r="X1038" s="4" t="s">
        <v>273</v>
      </c>
      <c r="Y1038" s="4" t="s">
        <v>241</v>
      </c>
      <c r="AB1038" s="4" t="s">
        <v>241</v>
      </c>
      <c r="AD1038" s="5" t="s">
        <v>241</v>
      </c>
      <c r="AG1038" s="5" t="s">
        <v>246</v>
      </c>
      <c r="AH1038" s="4" t="s">
        <v>241</v>
      </c>
      <c r="AI1038" s="4" t="s">
        <v>247</v>
      </c>
      <c r="AJ1038" s="4" t="s">
        <v>248</v>
      </c>
      <c r="AZ1038" s="4" t="s">
        <v>249</v>
      </c>
      <c r="BA1038" s="4" t="s">
        <v>241</v>
      </c>
      <c r="BB1038" s="4" t="s">
        <v>250</v>
      </c>
      <c r="BC1038" s="4" t="s">
        <v>241</v>
      </c>
      <c r="BD1038" s="4" t="s">
        <v>252</v>
      </c>
      <c r="BE1038" s="4" t="s">
        <v>241</v>
      </c>
      <c r="BI1038" s="4" t="s">
        <v>253</v>
      </c>
      <c r="BJ1038" s="5" t="s">
        <v>246</v>
      </c>
      <c r="BK1038" s="4" t="s">
        <v>254</v>
      </c>
      <c r="BL1038" s="4" t="s">
        <v>255</v>
      </c>
      <c r="BM1038" s="4" t="s">
        <v>241</v>
      </c>
      <c r="BN1038" s="6">
        <f>0</f>
        <v>0</v>
      </c>
      <c r="BO1038" s="6">
        <f>0</f>
        <v>0</v>
      </c>
      <c r="BP1038" s="4" t="s">
        <v>256</v>
      </c>
      <c r="BQ1038" s="4" t="s">
        <v>257</v>
      </c>
      <c r="CE1038" s="4" t="s">
        <v>241</v>
      </c>
      <c r="CF1038" s="4" t="s">
        <v>241</v>
      </c>
      <c r="CJ1038" s="4" t="s">
        <v>276</v>
      </c>
      <c r="CK1038" s="4" t="s">
        <v>259</v>
      </c>
      <c r="CL1038" s="4" t="s">
        <v>241</v>
      </c>
      <c r="CO1038" s="5" t="s">
        <v>260</v>
      </c>
      <c r="CP1038" s="4" t="s">
        <v>241</v>
      </c>
      <c r="CQ1038" s="4" t="s">
        <v>261</v>
      </c>
      <c r="CR1038" s="4" t="s">
        <v>241</v>
      </c>
      <c r="CS1038" s="4" t="s">
        <v>241</v>
      </c>
      <c r="CT1038" s="4">
        <v>0</v>
      </c>
      <c r="CU1038" s="4" t="s">
        <v>262</v>
      </c>
      <c r="CV1038" s="4" t="s">
        <v>263</v>
      </c>
      <c r="CW1038" s="4" t="s">
        <v>263</v>
      </c>
      <c r="CX1038" s="4" t="s">
        <v>264</v>
      </c>
      <c r="DA1038" s="6">
        <f>1</f>
        <v>1</v>
      </c>
      <c r="DC1038" s="4" t="s">
        <v>277</v>
      </c>
      <c r="DD1038" s="4" t="s">
        <v>241</v>
      </c>
      <c r="DF1038" s="4" t="s">
        <v>277</v>
      </c>
      <c r="DG1038" s="6">
        <f>708</f>
        <v>708</v>
      </c>
      <c r="DI1038" s="4" t="s">
        <v>241</v>
      </c>
      <c r="DJ1038" s="4" t="s">
        <v>241</v>
      </c>
      <c r="DK1038" s="4" t="s">
        <v>241</v>
      </c>
      <c r="DL1038" s="4" t="s">
        <v>241</v>
      </c>
      <c r="DP1038" s="4" t="s">
        <v>241</v>
      </c>
      <c r="DQ1038" s="4" t="s">
        <v>241</v>
      </c>
      <c r="DR1038" s="4" t="s">
        <v>241</v>
      </c>
      <c r="DS1038" s="4" t="s">
        <v>241</v>
      </c>
      <c r="DV1038" s="4" t="s">
        <v>278</v>
      </c>
      <c r="DW1038" s="4" t="s">
        <v>739</v>
      </c>
      <c r="HO1038" s="4" t="s">
        <v>267</v>
      </c>
    </row>
    <row r="1039" spans="1:223" ht="19.5" customHeight="1" x14ac:dyDescent="0.4">
      <c r="A1039" s="4">
        <v>1</v>
      </c>
      <c r="B1039" s="4" t="s">
        <v>239</v>
      </c>
      <c r="C1039" s="4">
        <v>2713</v>
      </c>
      <c r="D1039" s="4">
        <v>1</v>
      </c>
      <c r="E1039" s="4">
        <v>1</v>
      </c>
      <c r="F1039" s="4" t="s">
        <v>268</v>
      </c>
      <c r="G1039" s="4" t="s">
        <v>241</v>
      </c>
      <c r="H1039" s="4" t="s">
        <v>241</v>
      </c>
      <c r="I1039" s="4" t="s">
        <v>272</v>
      </c>
      <c r="J1039" s="4" t="s">
        <v>274</v>
      </c>
      <c r="K1039" s="4" t="s">
        <v>251</v>
      </c>
      <c r="L1039" s="4" t="s">
        <v>269</v>
      </c>
      <c r="M1039" s="5" t="s">
        <v>1135</v>
      </c>
      <c r="N1039" s="6">
        <f>103</f>
        <v>103</v>
      </c>
      <c r="O1039" s="4" t="s">
        <v>265</v>
      </c>
      <c r="P1039" s="6">
        <f>1</f>
        <v>1</v>
      </c>
      <c r="Q1039" s="6">
        <f>0</f>
        <v>0</v>
      </c>
      <c r="S1039" s="6">
        <f>0</f>
        <v>0</v>
      </c>
      <c r="T1039" s="6">
        <f>1</f>
        <v>1</v>
      </c>
      <c r="U1039" s="5" t="s">
        <v>245</v>
      </c>
      <c r="V1039" s="4" t="s">
        <v>270</v>
      </c>
      <c r="W1039" s="4" t="s">
        <v>271</v>
      </c>
      <c r="X1039" s="4" t="s">
        <v>273</v>
      </c>
      <c r="Y1039" s="4" t="s">
        <v>241</v>
      </c>
      <c r="AB1039" s="4" t="s">
        <v>241</v>
      </c>
      <c r="AD1039" s="5" t="s">
        <v>241</v>
      </c>
      <c r="AG1039" s="5" t="s">
        <v>246</v>
      </c>
      <c r="AH1039" s="4" t="s">
        <v>241</v>
      </c>
      <c r="AI1039" s="4" t="s">
        <v>247</v>
      </c>
      <c r="AJ1039" s="4" t="s">
        <v>248</v>
      </c>
      <c r="AZ1039" s="4" t="s">
        <v>249</v>
      </c>
      <c r="BA1039" s="4" t="s">
        <v>241</v>
      </c>
      <c r="BB1039" s="4" t="s">
        <v>250</v>
      </c>
      <c r="BC1039" s="4" t="s">
        <v>241</v>
      </c>
      <c r="BD1039" s="4" t="s">
        <v>252</v>
      </c>
      <c r="BE1039" s="4" t="s">
        <v>241</v>
      </c>
      <c r="BI1039" s="4" t="s">
        <v>253</v>
      </c>
      <c r="BJ1039" s="5" t="s">
        <v>246</v>
      </c>
      <c r="BK1039" s="4" t="s">
        <v>254</v>
      </c>
      <c r="BL1039" s="4" t="s">
        <v>255</v>
      </c>
      <c r="BM1039" s="4" t="s">
        <v>241</v>
      </c>
      <c r="BN1039" s="6">
        <f>0</f>
        <v>0</v>
      </c>
      <c r="BO1039" s="6">
        <f>0</f>
        <v>0</v>
      </c>
      <c r="BP1039" s="4" t="s">
        <v>256</v>
      </c>
      <c r="BQ1039" s="4" t="s">
        <v>257</v>
      </c>
      <c r="CE1039" s="4" t="s">
        <v>241</v>
      </c>
      <c r="CF1039" s="4" t="s">
        <v>241</v>
      </c>
      <c r="CJ1039" s="4" t="s">
        <v>276</v>
      </c>
      <c r="CK1039" s="4" t="s">
        <v>259</v>
      </c>
      <c r="CL1039" s="4" t="s">
        <v>241</v>
      </c>
      <c r="CO1039" s="5" t="s">
        <v>260</v>
      </c>
      <c r="CP1039" s="4" t="s">
        <v>241</v>
      </c>
      <c r="CQ1039" s="4" t="s">
        <v>261</v>
      </c>
      <c r="CR1039" s="4" t="s">
        <v>241</v>
      </c>
      <c r="CS1039" s="4" t="s">
        <v>241</v>
      </c>
      <c r="CT1039" s="4">
        <v>0</v>
      </c>
      <c r="CU1039" s="4" t="s">
        <v>262</v>
      </c>
      <c r="CV1039" s="4" t="s">
        <v>263</v>
      </c>
      <c r="CW1039" s="4" t="s">
        <v>263</v>
      </c>
      <c r="CX1039" s="4" t="s">
        <v>264</v>
      </c>
      <c r="DA1039" s="6">
        <f>1</f>
        <v>1</v>
      </c>
      <c r="DC1039" s="4" t="s">
        <v>277</v>
      </c>
      <c r="DD1039" s="4" t="s">
        <v>241</v>
      </c>
      <c r="DF1039" s="4" t="s">
        <v>277</v>
      </c>
      <c r="DG1039" s="6">
        <f>103</f>
        <v>103</v>
      </c>
      <c r="DI1039" s="4" t="s">
        <v>241</v>
      </c>
      <c r="DJ1039" s="4" t="s">
        <v>241</v>
      </c>
      <c r="DK1039" s="4" t="s">
        <v>241</v>
      </c>
      <c r="DL1039" s="4" t="s">
        <v>241</v>
      </c>
      <c r="DP1039" s="4" t="s">
        <v>241</v>
      </c>
      <c r="DQ1039" s="4" t="s">
        <v>241</v>
      </c>
      <c r="DR1039" s="4" t="s">
        <v>241</v>
      </c>
      <c r="DS1039" s="4" t="s">
        <v>241</v>
      </c>
      <c r="DV1039" s="4" t="s">
        <v>278</v>
      </c>
      <c r="DW1039" s="4" t="s">
        <v>743</v>
      </c>
      <c r="HO1039" s="4" t="s">
        <v>267</v>
      </c>
    </row>
    <row r="1040" spans="1:223" ht="19.5" customHeight="1" x14ac:dyDescent="0.4">
      <c r="A1040" s="4">
        <v>1</v>
      </c>
      <c r="B1040" s="4" t="s">
        <v>239</v>
      </c>
      <c r="C1040" s="4">
        <v>2714</v>
      </c>
      <c r="D1040" s="4">
        <v>1</v>
      </c>
      <c r="E1040" s="4">
        <v>1</v>
      </c>
      <c r="F1040" s="4" t="s">
        <v>268</v>
      </c>
      <c r="G1040" s="4" t="s">
        <v>241</v>
      </c>
      <c r="H1040" s="4" t="s">
        <v>241</v>
      </c>
      <c r="I1040" s="4" t="s">
        <v>272</v>
      </c>
      <c r="J1040" s="4" t="s">
        <v>274</v>
      </c>
      <c r="K1040" s="4" t="s">
        <v>251</v>
      </c>
      <c r="L1040" s="4" t="s">
        <v>269</v>
      </c>
      <c r="M1040" s="5" t="s">
        <v>1127</v>
      </c>
      <c r="N1040" s="6">
        <f>680</f>
        <v>680</v>
      </c>
      <c r="O1040" s="4" t="s">
        <v>265</v>
      </c>
      <c r="P1040" s="6">
        <f>1</f>
        <v>1</v>
      </c>
      <c r="Q1040" s="6">
        <f>0</f>
        <v>0</v>
      </c>
      <c r="S1040" s="6">
        <f>0</f>
        <v>0</v>
      </c>
      <c r="T1040" s="6">
        <f>1</f>
        <v>1</v>
      </c>
      <c r="U1040" s="5" t="s">
        <v>245</v>
      </c>
      <c r="V1040" s="4" t="s">
        <v>270</v>
      </c>
      <c r="W1040" s="4" t="s">
        <v>271</v>
      </c>
      <c r="X1040" s="4" t="s">
        <v>273</v>
      </c>
      <c r="Y1040" s="4" t="s">
        <v>241</v>
      </c>
      <c r="AB1040" s="4" t="s">
        <v>241</v>
      </c>
      <c r="AD1040" s="5" t="s">
        <v>241</v>
      </c>
      <c r="AG1040" s="5" t="s">
        <v>246</v>
      </c>
      <c r="AH1040" s="4" t="s">
        <v>241</v>
      </c>
      <c r="AI1040" s="4" t="s">
        <v>247</v>
      </c>
      <c r="AJ1040" s="4" t="s">
        <v>248</v>
      </c>
      <c r="AZ1040" s="4" t="s">
        <v>249</v>
      </c>
      <c r="BA1040" s="4" t="s">
        <v>241</v>
      </c>
      <c r="BB1040" s="4" t="s">
        <v>250</v>
      </c>
      <c r="BC1040" s="4" t="s">
        <v>241</v>
      </c>
      <c r="BD1040" s="4" t="s">
        <v>252</v>
      </c>
      <c r="BE1040" s="4" t="s">
        <v>241</v>
      </c>
      <c r="BI1040" s="4" t="s">
        <v>253</v>
      </c>
      <c r="BJ1040" s="5" t="s">
        <v>246</v>
      </c>
      <c r="BK1040" s="4" t="s">
        <v>254</v>
      </c>
      <c r="BL1040" s="4" t="s">
        <v>255</v>
      </c>
      <c r="BM1040" s="4" t="s">
        <v>241</v>
      </c>
      <c r="BN1040" s="6">
        <f>0</f>
        <v>0</v>
      </c>
      <c r="BO1040" s="6">
        <f>0</f>
        <v>0</v>
      </c>
      <c r="BP1040" s="4" t="s">
        <v>256</v>
      </c>
      <c r="BQ1040" s="4" t="s">
        <v>257</v>
      </c>
      <c r="CE1040" s="4" t="s">
        <v>241</v>
      </c>
      <c r="CF1040" s="4" t="s">
        <v>241</v>
      </c>
      <c r="CJ1040" s="4" t="s">
        <v>276</v>
      </c>
      <c r="CK1040" s="4" t="s">
        <v>259</v>
      </c>
      <c r="CL1040" s="4" t="s">
        <v>241</v>
      </c>
      <c r="CO1040" s="5" t="s">
        <v>260</v>
      </c>
      <c r="CP1040" s="4" t="s">
        <v>241</v>
      </c>
      <c r="CQ1040" s="4" t="s">
        <v>261</v>
      </c>
      <c r="CR1040" s="4" t="s">
        <v>241</v>
      </c>
      <c r="CS1040" s="4" t="s">
        <v>241</v>
      </c>
      <c r="CT1040" s="4">
        <v>0</v>
      </c>
      <c r="CU1040" s="4" t="s">
        <v>262</v>
      </c>
      <c r="CV1040" s="4" t="s">
        <v>263</v>
      </c>
      <c r="CW1040" s="4" t="s">
        <v>263</v>
      </c>
      <c r="CX1040" s="4" t="s">
        <v>264</v>
      </c>
      <c r="DA1040" s="6">
        <f>1</f>
        <v>1</v>
      </c>
      <c r="DC1040" s="4" t="s">
        <v>277</v>
      </c>
      <c r="DD1040" s="4" t="s">
        <v>241</v>
      </c>
      <c r="DF1040" s="4" t="s">
        <v>277</v>
      </c>
      <c r="DG1040" s="6">
        <f>680</f>
        <v>680</v>
      </c>
      <c r="DI1040" s="4" t="s">
        <v>241</v>
      </c>
      <c r="DJ1040" s="4" t="s">
        <v>241</v>
      </c>
      <c r="DK1040" s="4" t="s">
        <v>241</v>
      </c>
      <c r="DL1040" s="4" t="s">
        <v>241</v>
      </c>
      <c r="DP1040" s="4" t="s">
        <v>241</v>
      </c>
      <c r="DQ1040" s="4" t="s">
        <v>241</v>
      </c>
      <c r="DR1040" s="4" t="s">
        <v>241</v>
      </c>
      <c r="DS1040" s="4" t="s">
        <v>241</v>
      </c>
      <c r="DV1040" s="4" t="s">
        <v>278</v>
      </c>
      <c r="DW1040" s="4" t="s">
        <v>747</v>
      </c>
      <c r="HO1040" s="4" t="s">
        <v>267</v>
      </c>
    </row>
    <row r="1041" spans="1:223" ht="19.5" customHeight="1" x14ac:dyDescent="0.4">
      <c r="A1041" s="4">
        <v>1</v>
      </c>
      <c r="B1041" s="4" t="s">
        <v>239</v>
      </c>
      <c r="C1041" s="4">
        <v>2715</v>
      </c>
      <c r="D1041" s="4">
        <v>1</v>
      </c>
      <c r="E1041" s="4">
        <v>1</v>
      </c>
      <c r="F1041" s="4" t="s">
        <v>268</v>
      </c>
      <c r="G1041" s="4" t="s">
        <v>241</v>
      </c>
      <c r="H1041" s="4" t="s">
        <v>241</v>
      </c>
      <c r="I1041" s="4" t="s">
        <v>272</v>
      </c>
      <c r="J1041" s="4" t="s">
        <v>274</v>
      </c>
      <c r="K1041" s="4" t="s">
        <v>251</v>
      </c>
      <c r="L1041" s="4" t="s">
        <v>269</v>
      </c>
      <c r="M1041" s="5" t="s">
        <v>1122</v>
      </c>
      <c r="N1041" s="6">
        <f>465</f>
        <v>465</v>
      </c>
      <c r="O1041" s="4" t="s">
        <v>265</v>
      </c>
      <c r="P1041" s="6">
        <f>1</f>
        <v>1</v>
      </c>
      <c r="Q1041" s="6">
        <f>0</f>
        <v>0</v>
      </c>
      <c r="S1041" s="6">
        <f>0</f>
        <v>0</v>
      </c>
      <c r="T1041" s="6">
        <f>1</f>
        <v>1</v>
      </c>
      <c r="U1041" s="5" t="s">
        <v>245</v>
      </c>
      <c r="V1041" s="4" t="s">
        <v>270</v>
      </c>
      <c r="W1041" s="4" t="s">
        <v>271</v>
      </c>
      <c r="X1041" s="4" t="s">
        <v>273</v>
      </c>
      <c r="Y1041" s="4" t="s">
        <v>241</v>
      </c>
      <c r="AB1041" s="4" t="s">
        <v>241</v>
      </c>
      <c r="AD1041" s="5" t="s">
        <v>241</v>
      </c>
      <c r="AG1041" s="5" t="s">
        <v>246</v>
      </c>
      <c r="AH1041" s="4" t="s">
        <v>241</v>
      </c>
      <c r="AI1041" s="4" t="s">
        <v>247</v>
      </c>
      <c r="AJ1041" s="4" t="s">
        <v>248</v>
      </c>
      <c r="AZ1041" s="4" t="s">
        <v>249</v>
      </c>
      <c r="BA1041" s="4" t="s">
        <v>241</v>
      </c>
      <c r="BB1041" s="4" t="s">
        <v>250</v>
      </c>
      <c r="BC1041" s="4" t="s">
        <v>241</v>
      </c>
      <c r="BD1041" s="4" t="s">
        <v>252</v>
      </c>
      <c r="BE1041" s="4" t="s">
        <v>241</v>
      </c>
      <c r="BI1041" s="4" t="s">
        <v>253</v>
      </c>
      <c r="BJ1041" s="5" t="s">
        <v>246</v>
      </c>
      <c r="BK1041" s="4" t="s">
        <v>254</v>
      </c>
      <c r="BL1041" s="4" t="s">
        <v>255</v>
      </c>
      <c r="BM1041" s="4" t="s">
        <v>241</v>
      </c>
      <c r="BN1041" s="6">
        <f>0</f>
        <v>0</v>
      </c>
      <c r="BO1041" s="6">
        <f>0</f>
        <v>0</v>
      </c>
      <c r="BP1041" s="4" t="s">
        <v>256</v>
      </c>
      <c r="BQ1041" s="4" t="s">
        <v>257</v>
      </c>
      <c r="CE1041" s="4" t="s">
        <v>241</v>
      </c>
      <c r="CF1041" s="4" t="s">
        <v>241</v>
      </c>
      <c r="CJ1041" s="4" t="s">
        <v>276</v>
      </c>
      <c r="CK1041" s="4" t="s">
        <v>259</v>
      </c>
      <c r="CL1041" s="4" t="s">
        <v>241</v>
      </c>
      <c r="CO1041" s="5" t="s">
        <v>260</v>
      </c>
      <c r="CP1041" s="4" t="s">
        <v>241</v>
      </c>
      <c r="CQ1041" s="4" t="s">
        <v>261</v>
      </c>
      <c r="CR1041" s="4" t="s">
        <v>241</v>
      </c>
      <c r="CS1041" s="4" t="s">
        <v>241</v>
      </c>
      <c r="CT1041" s="4">
        <v>0</v>
      </c>
      <c r="CU1041" s="4" t="s">
        <v>262</v>
      </c>
      <c r="CV1041" s="4" t="s">
        <v>263</v>
      </c>
      <c r="CW1041" s="4" t="s">
        <v>263</v>
      </c>
      <c r="CX1041" s="4" t="s">
        <v>264</v>
      </c>
      <c r="DA1041" s="6">
        <f>1</f>
        <v>1</v>
      </c>
      <c r="DC1041" s="4" t="s">
        <v>277</v>
      </c>
      <c r="DD1041" s="4" t="s">
        <v>241</v>
      </c>
      <c r="DF1041" s="4" t="s">
        <v>277</v>
      </c>
      <c r="DG1041" s="6">
        <f>465</f>
        <v>465</v>
      </c>
      <c r="DI1041" s="4" t="s">
        <v>241</v>
      </c>
      <c r="DJ1041" s="4" t="s">
        <v>241</v>
      </c>
      <c r="DK1041" s="4" t="s">
        <v>241</v>
      </c>
      <c r="DL1041" s="4" t="s">
        <v>241</v>
      </c>
      <c r="DP1041" s="4" t="s">
        <v>241</v>
      </c>
      <c r="DQ1041" s="4" t="s">
        <v>241</v>
      </c>
      <c r="DR1041" s="4" t="s">
        <v>241</v>
      </c>
      <c r="DS1041" s="4" t="s">
        <v>241</v>
      </c>
      <c r="DV1041" s="4" t="s">
        <v>278</v>
      </c>
      <c r="DW1041" s="4" t="s">
        <v>750</v>
      </c>
      <c r="HO1041" s="4" t="s">
        <v>267</v>
      </c>
    </row>
    <row r="1042" spans="1:223" ht="19.5" customHeight="1" x14ac:dyDescent="0.4">
      <c r="A1042" s="4">
        <v>1</v>
      </c>
      <c r="B1042" s="4" t="s">
        <v>239</v>
      </c>
      <c r="C1042" s="4">
        <v>2716</v>
      </c>
      <c r="D1042" s="4">
        <v>1</v>
      </c>
      <c r="E1042" s="4">
        <v>1</v>
      </c>
      <c r="F1042" s="4" t="s">
        <v>268</v>
      </c>
      <c r="G1042" s="4" t="s">
        <v>241</v>
      </c>
      <c r="H1042" s="4" t="s">
        <v>241</v>
      </c>
      <c r="I1042" s="4" t="s">
        <v>272</v>
      </c>
      <c r="J1042" s="4" t="s">
        <v>274</v>
      </c>
      <c r="K1042" s="4" t="s">
        <v>251</v>
      </c>
      <c r="L1042" s="4" t="s">
        <v>269</v>
      </c>
      <c r="M1042" s="5" t="s">
        <v>1118</v>
      </c>
      <c r="N1042" s="6">
        <f>783</f>
        <v>783</v>
      </c>
      <c r="O1042" s="4" t="s">
        <v>265</v>
      </c>
      <c r="P1042" s="6">
        <f>1</f>
        <v>1</v>
      </c>
      <c r="Q1042" s="6">
        <f>0</f>
        <v>0</v>
      </c>
      <c r="S1042" s="6">
        <f>0</f>
        <v>0</v>
      </c>
      <c r="T1042" s="6">
        <f>1</f>
        <v>1</v>
      </c>
      <c r="U1042" s="5" t="s">
        <v>245</v>
      </c>
      <c r="V1042" s="4" t="s">
        <v>270</v>
      </c>
      <c r="W1042" s="4" t="s">
        <v>271</v>
      </c>
      <c r="X1042" s="4" t="s">
        <v>273</v>
      </c>
      <c r="Y1042" s="4" t="s">
        <v>241</v>
      </c>
      <c r="AB1042" s="4" t="s">
        <v>241</v>
      </c>
      <c r="AD1042" s="5" t="s">
        <v>241</v>
      </c>
      <c r="AG1042" s="5" t="s">
        <v>246</v>
      </c>
      <c r="AH1042" s="4" t="s">
        <v>241</v>
      </c>
      <c r="AI1042" s="4" t="s">
        <v>247</v>
      </c>
      <c r="AJ1042" s="4" t="s">
        <v>248</v>
      </c>
      <c r="AZ1042" s="4" t="s">
        <v>249</v>
      </c>
      <c r="BA1042" s="4" t="s">
        <v>241</v>
      </c>
      <c r="BB1042" s="4" t="s">
        <v>250</v>
      </c>
      <c r="BC1042" s="4" t="s">
        <v>241</v>
      </c>
      <c r="BD1042" s="4" t="s">
        <v>252</v>
      </c>
      <c r="BE1042" s="4" t="s">
        <v>241</v>
      </c>
      <c r="BI1042" s="4" t="s">
        <v>253</v>
      </c>
      <c r="BJ1042" s="5" t="s">
        <v>246</v>
      </c>
      <c r="BK1042" s="4" t="s">
        <v>254</v>
      </c>
      <c r="BL1042" s="4" t="s">
        <v>255</v>
      </c>
      <c r="BM1042" s="4" t="s">
        <v>241</v>
      </c>
      <c r="BN1042" s="6">
        <f>0</f>
        <v>0</v>
      </c>
      <c r="BO1042" s="6">
        <f>0</f>
        <v>0</v>
      </c>
      <c r="BP1042" s="4" t="s">
        <v>256</v>
      </c>
      <c r="BQ1042" s="4" t="s">
        <v>257</v>
      </c>
      <c r="CE1042" s="4" t="s">
        <v>241</v>
      </c>
      <c r="CF1042" s="4" t="s">
        <v>241</v>
      </c>
      <c r="CJ1042" s="4" t="s">
        <v>276</v>
      </c>
      <c r="CK1042" s="4" t="s">
        <v>259</v>
      </c>
      <c r="CL1042" s="4" t="s">
        <v>241</v>
      </c>
      <c r="CO1042" s="5" t="s">
        <v>260</v>
      </c>
      <c r="CP1042" s="4" t="s">
        <v>241</v>
      </c>
      <c r="CQ1042" s="4" t="s">
        <v>261</v>
      </c>
      <c r="CR1042" s="4" t="s">
        <v>241</v>
      </c>
      <c r="CS1042" s="4" t="s">
        <v>241</v>
      </c>
      <c r="CT1042" s="4">
        <v>0</v>
      </c>
      <c r="CU1042" s="4" t="s">
        <v>262</v>
      </c>
      <c r="CV1042" s="4" t="s">
        <v>263</v>
      </c>
      <c r="CW1042" s="4" t="s">
        <v>263</v>
      </c>
      <c r="CX1042" s="4" t="s">
        <v>264</v>
      </c>
      <c r="DA1042" s="6">
        <f>1</f>
        <v>1</v>
      </c>
      <c r="DC1042" s="4" t="s">
        <v>277</v>
      </c>
      <c r="DD1042" s="4" t="s">
        <v>241</v>
      </c>
      <c r="DF1042" s="4" t="s">
        <v>277</v>
      </c>
      <c r="DG1042" s="6">
        <f>783</f>
        <v>783</v>
      </c>
      <c r="DI1042" s="4" t="s">
        <v>241</v>
      </c>
      <c r="DJ1042" s="4" t="s">
        <v>241</v>
      </c>
      <c r="DK1042" s="4" t="s">
        <v>241</v>
      </c>
      <c r="DL1042" s="4" t="s">
        <v>241</v>
      </c>
      <c r="DP1042" s="4" t="s">
        <v>241</v>
      </c>
      <c r="DQ1042" s="4" t="s">
        <v>241</v>
      </c>
      <c r="DR1042" s="4" t="s">
        <v>241</v>
      </c>
      <c r="DS1042" s="4" t="s">
        <v>241</v>
      </c>
      <c r="DV1042" s="4" t="s">
        <v>278</v>
      </c>
      <c r="DW1042" s="4" t="s">
        <v>758</v>
      </c>
      <c r="HO1042" s="4" t="s">
        <v>267</v>
      </c>
    </row>
    <row r="1043" spans="1:223" ht="19.5" customHeight="1" x14ac:dyDescent="0.4">
      <c r="A1043" s="4">
        <v>1</v>
      </c>
      <c r="B1043" s="4" t="s">
        <v>239</v>
      </c>
      <c r="C1043" s="4">
        <v>2717</v>
      </c>
      <c r="D1043" s="4">
        <v>1</v>
      </c>
      <c r="E1043" s="4">
        <v>1</v>
      </c>
      <c r="F1043" s="4" t="s">
        <v>268</v>
      </c>
      <c r="G1043" s="4" t="s">
        <v>241</v>
      </c>
      <c r="H1043" s="4" t="s">
        <v>241</v>
      </c>
      <c r="I1043" s="4" t="s">
        <v>272</v>
      </c>
      <c r="J1043" s="4" t="s">
        <v>274</v>
      </c>
      <c r="K1043" s="4" t="s">
        <v>251</v>
      </c>
      <c r="L1043" s="4" t="s">
        <v>269</v>
      </c>
      <c r="M1043" s="5" t="s">
        <v>1113</v>
      </c>
      <c r="N1043" s="6">
        <f>217</f>
        <v>217</v>
      </c>
      <c r="O1043" s="4" t="s">
        <v>265</v>
      </c>
      <c r="P1043" s="6">
        <f>1</f>
        <v>1</v>
      </c>
      <c r="Q1043" s="6">
        <f>0</f>
        <v>0</v>
      </c>
      <c r="S1043" s="6">
        <f>0</f>
        <v>0</v>
      </c>
      <c r="T1043" s="6">
        <f>1</f>
        <v>1</v>
      </c>
      <c r="U1043" s="5" t="s">
        <v>245</v>
      </c>
      <c r="V1043" s="4" t="s">
        <v>270</v>
      </c>
      <c r="W1043" s="4" t="s">
        <v>271</v>
      </c>
      <c r="X1043" s="4" t="s">
        <v>273</v>
      </c>
      <c r="Y1043" s="4" t="s">
        <v>241</v>
      </c>
      <c r="AB1043" s="4" t="s">
        <v>241</v>
      </c>
      <c r="AD1043" s="5" t="s">
        <v>241</v>
      </c>
      <c r="AG1043" s="5" t="s">
        <v>246</v>
      </c>
      <c r="AH1043" s="4" t="s">
        <v>241</v>
      </c>
      <c r="AI1043" s="4" t="s">
        <v>247</v>
      </c>
      <c r="AJ1043" s="4" t="s">
        <v>248</v>
      </c>
      <c r="AZ1043" s="4" t="s">
        <v>249</v>
      </c>
      <c r="BA1043" s="4" t="s">
        <v>241</v>
      </c>
      <c r="BB1043" s="4" t="s">
        <v>250</v>
      </c>
      <c r="BC1043" s="4" t="s">
        <v>241</v>
      </c>
      <c r="BD1043" s="4" t="s">
        <v>252</v>
      </c>
      <c r="BE1043" s="4" t="s">
        <v>241</v>
      </c>
      <c r="BI1043" s="4" t="s">
        <v>253</v>
      </c>
      <c r="BJ1043" s="5" t="s">
        <v>246</v>
      </c>
      <c r="BK1043" s="4" t="s">
        <v>254</v>
      </c>
      <c r="BL1043" s="4" t="s">
        <v>255</v>
      </c>
      <c r="BM1043" s="4" t="s">
        <v>241</v>
      </c>
      <c r="BN1043" s="6">
        <f>0</f>
        <v>0</v>
      </c>
      <c r="BO1043" s="6">
        <f>0</f>
        <v>0</v>
      </c>
      <c r="BP1043" s="4" t="s">
        <v>256</v>
      </c>
      <c r="BQ1043" s="4" t="s">
        <v>257</v>
      </c>
      <c r="CE1043" s="4" t="s">
        <v>241</v>
      </c>
      <c r="CF1043" s="4" t="s">
        <v>241</v>
      </c>
      <c r="CJ1043" s="4" t="s">
        <v>276</v>
      </c>
      <c r="CK1043" s="4" t="s">
        <v>259</v>
      </c>
      <c r="CL1043" s="4" t="s">
        <v>241</v>
      </c>
      <c r="CO1043" s="5" t="s">
        <v>260</v>
      </c>
      <c r="CP1043" s="4" t="s">
        <v>241</v>
      </c>
      <c r="CQ1043" s="4" t="s">
        <v>261</v>
      </c>
      <c r="CR1043" s="4" t="s">
        <v>241</v>
      </c>
      <c r="CS1043" s="4" t="s">
        <v>241</v>
      </c>
      <c r="CT1043" s="4">
        <v>0</v>
      </c>
      <c r="CU1043" s="4" t="s">
        <v>262</v>
      </c>
      <c r="CV1043" s="4" t="s">
        <v>263</v>
      </c>
      <c r="CW1043" s="4" t="s">
        <v>263</v>
      </c>
      <c r="CX1043" s="4" t="s">
        <v>264</v>
      </c>
      <c r="DA1043" s="6">
        <f>1</f>
        <v>1</v>
      </c>
      <c r="DC1043" s="4" t="s">
        <v>277</v>
      </c>
      <c r="DD1043" s="4" t="s">
        <v>241</v>
      </c>
      <c r="DF1043" s="4" t="s">
        <v>277</v>
      </c>
      <c r="DG1043" s="6">
        <f>217</f>
        <v>217</v>
      </c>
      <c r="DI1043" s="4" t="s">
        <v>241</v>
      </c>
      <c r="DJ1043" s="4" t="s">
        <v>241</v>
      </c>
      <c r="DK1043" s="4" t="s">
        <v>241</v>
      </c>
      <c r="DL1043" s="4" t="s">
        <v>241</v>
      </c>
      <c r="DP1043" s="4" t="s">
        <v>241</v>
      </c>
      <c r="DQ1043" s="4" t="s">
        <v>241</v>
      </c>
      <c r="DR1043" s="4" t="s">
        <v>241</v>
      </c>
      <c r="DS1043" s="4" t="s">
        <v>241</v>
      </c>
      <c r="DV1043" s="4" t="s">
        <v>278</v>
      </c>
      <c r="DW1043" s="4" t="s">
        <v>768</v>
      </c>
      <c r="HO1043" s="4" t="s">
        <v>267</v>
      </c>
    </row>
    <row r="1044" spans="1:223" ht="19.5" customHeight="1" x14ac:dyDescent="0.4">
      <c r="A1044" s="4">
        <v>1</v>
      </c>
      <c r="B1044" s="4" t="s">
        <v>239</v>
      </c>
      <c r="C1044" s="4">
        <v>2718</v>
      </c>
      <c r="D1044" s="4">
        <v>1</v>
      </c>
      <c r="E1044" s="4">
        <v>1</v>
      </c>
      <c r="F1044" s="4" t="s">
        <v>268</v>
      </c>
      <c r="G1044" s="4" t="s">
        <v>241</v>
      </c>
      <c r="H1044" s="4" t="s">
        <v>241</v>
      </c>
      <c r="I1044" s="4" t="s">
        <v>272</v>
      </c>
      <c r="J1044" s="4" t="s">
        <v>274</v>
      </c>
      <c r="K1044" s="4" t="s">
        <v>251</v>
      </c>
      <c r="L1044" s="4" t="s">
        <v>269</v>
      </c>
      <c r="M1044" s="5" t="s">
        <v>1109</v>
      </c>
      <c r="N1044" s="6">
        <f>111</f>
        <v>111</v>
      </c>
      <c r="O1044" s="4" t="s">
        <v>265</v>
      </c>
      <c r="P1044" s="6">
        <f>1</f>
        <v>1</v>
      </c>
      <c r="Q1044" s="6">
        <f>0</f>
        <v>0</v>
      </c>
      <c r="S1044" s="6">
        <f>0</f>
        <v>0</v>
      </c>
      <c r="T1044" s="6">
        <f>1</f>
        <v>1</v>
      </c>
      <c r="U1044" s="5" t="s">
        <v>245</v>
      </c>
      <c r="V1044" s="4" t="s">
        <v>270</v>
      </c>
      <c r="W1044" s="4" t="s">
        <v>271</v>
      </c>
      <c r="X1044" s="4" t="s">
        <v>273</v>
      </c>
      <c r="Y1044" s="4" t="s">
        <v>241</v>
      </c>
      <c r="AB1044" s="4" t="s">
        <v>241</v>
      </c>
      <c r="AD1044" s="5" t="s">
        <v>241</v>
      </c>
      <c r="AG1044" s="5" t="s">
        <v>246</v>
      </c>
      <c r="AH1044" s="4" t="s">
        <v>241</v>
      </c>
      <c r="AI1044" s="4" t="s">
        <v>247</v>
      </c>
      <c r="AJ1044" s="4" t="s">
        <v>248</v>
      </c>
      <c r="AZ1044" s="4" t="s">
        <v>249</v>
      </c>
      <c r="BA1044" s="4" t="s">
        <v>241</v>
      </c>
      <c r="BB1044" s="4" t="s">
        <v>250</v>
      </c>
      <c r="BC1044" s="4" t="s">
        <v>241</v>
      </c>
      <c r="BD1044" s="4" t="s">
        <v>252</v>
      </c>
      <c r="BE1044" s="4" t="s">
        <v>241</v>
      </c>
      <c r="BI1044" s="4" t="s">
        <v>253</v>
      </c>
      <c r="BJ1044" s="5" t="s">
        <v>246</v>
      </c>
      <c r="BK1044" s="4" t="s">
        <v>254</v>
      </c>
      <c r="BL1044" s="4" t="s">
        <v>255</v>
      </c>
      <c r="BM1044" s="4" t="s">
        <v>241</v>
      </c>
      <c r="BN1044" s="6">
        <f>0</f>
        <v>0</v>
      </c>
      <c r="BO1044" s="6">
        <f>0</f>
        <v>0</v>
      </c>
      <c r="BP1044" s="4" t="s">
        <v>256</v>
      </c>
      <c r="BQ1044" s="4" t="s">
        <v>257</v>
      </c>
      <c r="CE1044" s="4" t="s">
        <v>241</v>
      </c>
      <c r="CF1044" s="4" t="s">
        <v>241</v>
      </c>
      <c r="CJ1044" s="4" t="s">
        <v>276</v>
      </c>
      <c r="CK1044" s="4" t="s">
        <v>259</v>
      </c>
      <c r="CL1044" s="4" t="s">
        <v>241</v>
      </c>
      <c r="CO1044" s="5" t="s">
        <v>260</v>
      </c>
      <c r="CP1044" s="4" t="s">
        <v>241</v>
      </c>
      <c r="CQ1044" s="4" t="s">
        <v>261</v>
      </c>
      <c r="CR1044" s="4" t="s">
        <v>241</v>
      </c>
      <c r="CS1044" s="4" t="s">
        <v>241</v>
      </c>
      <c r="CT1044" s="4">
        <v>0</v>
      </c>
      <c r="CU1044" s="4" t="s">
        <v>262</v>
      </c>
      <c r="CV1044" s="4" t="s">
        <v>263</v>
      </c>
      <c r="CW1044" s="4" t="s">
        <v>263</v>
      </c>
      <c r="CX1044" s="4" t="s">
        <v>264</v>
      </c>
      <c r="DA1044" s="6">
        <f>1</f>
        <v>1</v>
      </c>
      <c r="DC1044" s="4" t="s">
        <v>277</v>
      </c>
      <c r="DD1044" s="4" t="s">
        <v>241</v>
      </c>
      <c r="DF1044" s="4" t="s">
        <v>277</v>
      </c>
      <c r="DG1044" s="6">
        <f>111</f>
        <v>111</v>
      </c>
      <c r="DI1044" s="4" t="s">
        <v>241</v>
      </c>
      <c r="DJ1044" s="4" t="s">
        <v>241</v>
      </c>
      <c r="DK1044" s="4" t="s">
        <v>241</v>
      </c>
      <c r="DL1044" s="4" t="s">
        <v>241</v>
      </c>
      <c r="DP1044" s="4" t="s">
        <v>241</v>
      </c>
      <c r="DQ1044" s="4" t="s">
        <v>241</v>
      </c>
      <c r="DR1044" s="4" t="s">
        <v>241</v>
      </c>
      <c r="DS1044" s="4" t="s">
        <v>241</v>
      </c>
      <c r="DV1044" s="4" t="s">
        <v>278</v>
      </c>
      <c r="DW1044" s="4" t="s">
        <v>664</v>
      </c>
      <c r="HO1044" s="4" t="s">
        <v>267</v>
      </c>
    </row>
    <row r="1045" spans="1:223" ht="19.5" customHeight="1" x14ac:dyDescent="0.4">
      <c r="A1045" s="4">
        <v>1</v>
      </c>
      <c r="B1045" s="4" t="s">
        <v>239</v>
      </c>
      <c r="C1045" s="4">
        <v>2719</v>
      </c>
      <c r="D1045" s="4">
        <v>1</v>
      </c>
      <c r="E1045" s="4">
        <v>1</v>
      </c>
      <c r="F1045" s="4" t="s">
        <v>268</v>
      </c>
      <c r="G1045" s="4" t="s">
        <v>241</v>
      </c>
      <c r="H1045" s="4" t="s">
        <v>241</v>
      </c>
      <c r="I1045" s="4" t="s">
        <v>272</v>
      </c>
      <c r="J1045" s="4" t="s">
        <v>274</v>
      </c>
      <c r="K1045" s="4" t="s">
        <v>251</v>
      </c>
      <c r="L1045" s="4" t="s">
        <v>269</v>
      </c>
      <c r="M1045" s="5" t="s">
        <v>1104</v>
      </c>
      <c r="N1045" s="6">
        <f>128</f>
        <v>128</v>
      </c>
      <c r="O1045" s="4" t="s">
        <v>265</v>
      </c>
      <c r="P1045" s="6">
        <f>1</f>
        <v>1</v>
      </c>
      <c r="Q1045" s="6">
        <f>0</f>
        <v>0</v>
      </c>
      <c r="S1045" s="6">
        <f>0</f>
        <v>0</v>
      </c>
      <c r="T1045" s="6">
        <f>1</f>
        <v>1</v>
      </c>
      <c r="U1045" s="5" t="s">
        <v>245</v>
      </c>
      <c r="V1045" s="4" t="s">
        <v>270</v>
      </c>
      <c r="W1045" s="4" t="s">
        <v>271</v>
      </c>
      <c r="X1045" s="4" t="s">
        <v>273</v>
      </c>
      <c r="Y1045" s="4" t="s">
        <v>241</v>
      </c>
      <c r="AB1045" s="4" t="s">
        <v>241</v>
      </c>
      <c r="AD1045" s="5" t="s">
        <v>241</v>
      </c>
      <c r="AG1045" s="5" t="s">
        <v>246</v>
      </c>
      <c r="AH1045" s="4" t="s">
        <v>241</v>
      </c>
      <c r="AI1045" s="4" t="s">
        <v>247</v>
      </c>
      <c r="AJ1045" s="4" t="s">
        <v>248</v>
      </c>
      <c r="AZ1045" s="4" t="s">
        <v>249</v>
      </c>
      <c r="BA1045" s="4" t="s">
        <v>241</v>
      </c>
      <c r="BB1045" s="4" t="s">
        <v>250</v>
      </c>
      <c r="BC1045" s="4" t="s">
        <v>241</v>
      </c>
      <c r="BD1045" s="4" t="s">
        <v>252</v>
      </c>
      <c r="BE1045" s="4" t="s">
        <v>241</v>
      </c>
      <c r="BI1045" s="4" t="s">
        <v>253</v>
      </c>
      <c r="BJ1045" s="5" t="s">
        <v>246</v>
      </c>
      <c r="BK1045" s="4" t="s">
        <v>254</v>
      </c>
      <c r="BL1045" s="4" t="s">
        <v>255</v>
      </c>
      <c r="BM1045" s="4" t="s">
        <v>241</v>
      </c>
      <c r="BN1045" s="6">
        <f>0</f>
        <v>0</v>
      </c>
      <c r="BO1045" s="6">
        <f>0</f>
        <v>0</v>
      </c>
      <c r="BP1045" s="4" t="s">
        <v>256</v>
      </c>
      <c r="BQ1045" s="4" t="s">
        <v>257</v>
      </c>
      <c r="CE1045" s="4" t="s">
        <v>241</v>
      </c>
      <c r="CF1045" s="4" t="s">
        <v>241</v>
      </c>
      <c r="CJ1045" s="4" t="s">
        <v>276</v>
      </c>
      <c r="CK1045" s="4" t="s">
        <v>259</v>
      </c>
      <c r="CL1045" s="4" t="s">
        <v>241</v>
      </c>
      <c r="CO1045" s="5" t="s">
        <v>260</v>
      </c>
      <c r="CP1045" s="4" t="s">
        <v>241</v>
      </c>
      <c r="CQ1045" s="4" t="s">
        <v>261</v>
      </c>
      <c r="CR1045" s="4" t="s">
        <v>241</v>
      </c>
      <c r="CS1045" s="4" t="s">
        <v>241</v>
      </c>
      <c r="CT1045" s="4">
        <v>0</v>
      </c>
      <c r="CU1045" s="4" t="s">
        <v>262</v>
      </c>
      <c r="CV1045" s="4" t="s">
        <v>263</v>
      </c>
      <c r="CW1045" s="4" t="s">
        <v>263</v>
      </c>
      <c r="CX1045" s="4" t="s">
        <v>264</v>
      </c>
      <c r="DA1045" s="6">
        <f>1</f>
        <v>1</v>
      </c>
      <c r="DC1045" s="4" t="s">
        <v>277</v>
      </c>
      <c r="DD1045" s="4" t="s">
        <v>241</v>
      </c>
      <c r="DF1045" s="4" t="s">
        <v>277</v>
      </c>
      <c r="DG1045" s="6">
        <f>128</f>
        <v>128</v>
      </c>
      <c r="DI1045" s="4" t="s">
        <v>241</v>
      </c>
      <c r="DJ1045" s="4" t="s">
        <v>241</v>
      </c>
      <c r="DK1045" s="4" t="s">
        <v>241</v>
      </c>
      <c r="DL1045" s="4" t="s">
        <v>241</v>
      </c>
      <c r="DP1045" s="4" t="s">
        <v>241</v>
      </c>
      <c r="DQ1045" s="4" t="s">
        <v>241</v>
      </c>
      <c r="DR1045" s="4" t="s">
        <v>241</v>
      </c>
      <c r="DS1045" s="4" t="s">
        <v>241</v>
      </c>
      <c r="DV1045" s="4" t="s">
        <v>278</v>
      </c>
      <c r="DW1045" s="4" t="s">
        <v>780</v>
      </c>
      <c r="HO1045" s="4" t="s">
        <v>267</v>
      </c>
    </row>
    <row r="1046" spans="1:223" ht="19.5" customHeight="1" x14ac:dyDescent="0.4">
      <c r="A1046" s="4">
        <v>1</v>
      </c>
      <c r="B1046" s="4" t="s">
        <v>239</v>
      </c>
      <c r="C1046" s="4">
        <v>2720</v>
      </c>
      <c r="D1046" s="4">
        <v>1</v>
      </c>
      <c r="E1046" s="4">
        <v>1</v>
      </c>
      <c r="F1046" s="4" t="s">
        <v>268</v>
      </c>
      <c r="G1046" s="4" t="s">
        <v>241</v>
      </c>
      <c r="H1046" s="4" t="s">
        <v>241</v>
      </c>
      <c r="I1046" s="4" t="s">
        <v>272</v>
      </c>
      <c r="J1046" s="4" t="s">
        <v>274</v>
      </c>
      <c r="K1046" s="4" t="s">
        <v>251</v>
      </c>
      <c r="L1046" s="4" t="s">
        <v>269</v>
      </c>
      <c r="M1046" s="5" t="s">
        <v>1099</v>
      </c>
      <c r="N1046" s="6">
        <f>34</f>
        <v>34</v>
      </c>
      <c r="O1046" s="4" t="s">
        <v>265</v>
      </c>
      <c r="P1046" s="6">
        <f>1</f>
        <v>1</v>
      </c>
      <c r="Q1046" s="6">
        <f>0</f>
        <v>0</v>
      </c>
      <c r="S1046" s="6">
        <f>0</f>
        <v>0</v>
      </c>
      <c r="T1046" s="6">
        <f>1</f>
        <v>1</v>
      </c>
      <c r="U1046" s="5" t="s">
        <v>245</v>
      </c>
      <c r="V1046" s="4" t="s">
        <v>270</v>
      </c>
      <c r="W1046" s="4" t="s">
        <v>271</v>
      </c>
      <c r="X1046" s="4" t="s">
        <v>273</v>
      </c>
      <c r="Y1046" s="4" t="s">
        <v>241</v>
      </c>
      <c r="AB1046" s="4" t="s">
        <v>241</v>
      </c>
      <c r="AD1046" s="5" t="s">
        <v>241</v>
      </c>
      <c r="AG1046" s="5" t="s">
        <v>246</v>
      </c>
      <c r="AH1046" s="4" t="s">
        <v>241</v>
      </c>
      <c r="AI1046" s="4" t="s">
        <v>247</v>
      </c>
      <c r="AJ1046" s="4" t="s">
        <v>248</v>
      </c>
      <c r="AZ1046" s="4" t="s">
        <v>249</v>
      </c>
      <c r="BA1046" s="4" t="s">
        <v>241</v>
      </c>
      <c r="BB1046" s="4" t="s">
        <v>250</v>
      </c>
      <c r="BC1046" s="4" t="s">
        <v>241</v>
      </c>
      <c r="BD1046" s="4" t="s">
        <v>252</v>
      </c>
      <c r="BE1046" s="4" t="s">
        <v>241</v>
      </c>
      <c r="BI1046" s="4" t="s">
        <v>253</v>
      </c>
      <c r="BJ1046" s="5" t="s">
        <v>246</v>
      </c>
      <c r="BK1046" s="4" t="s">
        <v>254</v>
      </c>
      <c r="BL1046" s="4" t="s">
        <v>255</v>
      </c>
      <c r="BM1046" s="4" t="s">
        <v>241</v>
      </c>
      <c r="BN1046" s="6">
        <f>0</f>
        <v>0</v>
      </c>
      <c r="BO1046" s="6">
        <f>0</f>
        <v>0</v>
      </c>
      <c r="BP1046" s="4" t="s">
        <v>256</v>
      </c>
      <c r="BQ1046" s="4" t="s">
        <v>257</v>
      </c>
      <c r="CE1046" s="4" t="s">
        <v>241</v>
      </c>
      <c r="CF1046" s="4" t="s">
        <v>241</v>
      </c>
      <c r="CJ1046" s="4" t="s">
        <v>276</v>
      </c>
      <c r="CK1046" s="4" t="s">
        <v>259</v>
      </c>
      <c r="CL1046" s="4" t="s">
        <v>241</v>
      </c>
      <c r="CO1046" s="5" t="s">
        <v>260</v>
      </c>
      <c r="CP1046" s="4" t="s">
        <v>241</v>
      </c>
      <c r="CQ1046" s="4" t="s">
        <v>261</v>
      </c>
      <c r="CR1046" s="4" t="s">
        <v>241</v>
      </c>
      <c r="CS1046" s="4" t="s">
        <v>241</v>
      </c>
      <c r="CT1046" s="4">
        <v>0</v>
      </c>
      <c r="CU1046" s="4" t="s">
        <v>262</v>
      </c>
      <c r="CV1046" s="4" t="s">
        <v>263</v>
      </c>
      <c r="CW1046" s="4" t="s">
        <v>263</v>
      </c>
      <c r="CX1046" s="4" t="s">
        <v>264</v>
      </c>
      <c r="DA1046" s="6">
        <f>1</f>
        <v>1</v>
      </c>
      <c r="DC1046" s="4" t="s">
        <v>277</v>
      </c>
      <c r="DD1046" s="4" t="s">
        <v>241</v>
      </c>
      <c r="DF1046" s="4" t="s">
        <v>277</v>
      </c>
      <c r="DG1046" s="6">
        <f>34</f>
        <v>34</v>
      </c>
      <c r="DI1046" s="4" t="s">
        <v>241</v>
      </c>
      <c r="DJ1046" s="4" t="s">
        <v>241</v>
      </c>
      <c r="DK1046" s="4" t="s">
        <v>241</v>
      </c>
      <c r="DL1046" s="4" t="s">
        <v>241</v>
      </c>
      <c r="DP1046" s="4" t="s">
        <v>241</v>
      </c>
      <c r="DQ1046" s="4" t="s">
        <v>241</v>
      </c>
      <c r="DR1046" s="4" t="s">
        <v>241</v>
      </c>
      <c r="DS1046" s="4" t="s">
        <v>241</v>
      </c>
      <c r="DV1046" s="4" t="s">
        <v>278</v>
      </c>
      <c r="DW1046" s="4" t="s">
        <v>782</v>
      </c>
      <c r="HO1046" s="4" t="s">
        <v>267</v>
      </c>
    </row>
    <row r="1047" spans="1:223" ht="19.5" customHeight="1" x14ac:dyDescent="0.4">
      <c r="A1047" s="4">
        <v>1</v>
      </c>
      <c r="B1047" s="4" t="s">
        <v>239</v>
      </c>
      <c r="C1047" s="4">
        <v>2721</v>
      </c>
      <c r="D1047" s="4">
        <v>1</v>
      </c>
      <c r="E1047" s="4">
        <v>1</v>
      </c>
      <c r="F1047" s="4" t="s">
        <v>268</v>
      </c>
      <c r="G1047" s="4" t="s">
        <v>241</v>
      </c>
      <c r="H1047" s="4" t="s">
        <v>241</v>
      </c>
      <c r="I1047" s="4" t="s">
        <v>272</v>
      </c>
      <c r="J1047" s="4" t="s">
        <v>274</v>
      </c>
      <c r="K1047" s="4" t="s">
        <v>251</v>
      </c>
      <c r="L1047" s="4" t="s">
        <v>269</v>
      </c>
      <c r="M1047" s="5" t="s">
        <v>1096</v>
      </c>
      <c r="N1047" s="6">
        <f>328</f>
        <v>328</v>
      </c>
      <c r="O1047" s="4" t="s">
        <v>265</v>
      </c>
      <c r="P1047" s="6">
        <f>1</f>
        <v>1</v>
      </c>
      <c r="Q1047" s="6">
        <f>0</f>
        <v>0</v>
      </c>
      <c r="S1047" s="6">
        <f>0</f>
        <v>0</v>
      </c>
      <c r="T1047" s="6">
        <f>1</f>
        <v>1</v>
      </c>
      <c r="U1047" s="5" t="s">
        <v>245</v>
      </c>
      <c r="V1047" s="4" t="s">
        <v>270</v>
      </c>
      <c r="W1047" s="4" t="s">
        <v>271</v>
      </c>
      <c r="X1047" s="4" t="s">
        <v>273</v>
      </c>
      <c r="Y1047" s="4" t="s">
        <v>241</v>
      </c>
      <c r="AB1047" s="4" t="s">
        <v>241</v>
      </c>
      <c r="AD1047" s="5" t="s">
        <v>241</v>
      </c>
      <c r="AG1047" s="5" t="s">
        <v>246</v>
      </c>
      <c r="AH1047" s="4" t="s">
        <v>241</v>
      </c>
      <c r="AI1047" s="4" t="s">
        <v>247</v>
      </c>
      <c r="AJ1047" s="4" t="s">
        <v>248</v>
      </c>
      <c r="AZ1047" s="4" t="s">
        <v>249</v>
      </c>
      <c r="BA1047" s="4" t="s">
        <v>241</v>
      </c>
      <c r="BB1047" s="4" t="s">
        <v>250</v>
      </c>
      <c r="BC1047" s="4" t="s">
        <v>241</v>
      </c>
      <c r="BD1047" s="4" t="s">
        <v>252</v>
      </c>
      <c r="BE1047" s="4" t="s">
        <v>241</v>
      </c>
      <c r="BI1047" s="4" t="s">
        <v>253</v>
      </c>
      <c r="BJ1047" s="5" t="s">
        <v>246</v>
      </c>
      <c r="BK1047" s="4" t="s">
        <v>254</v>
      </c>
      <c r="BL1047" s="4" t="s">
        <v>255</v>
      </c>
      <c r="BM1047" s="4" t="s">
        <v>241</v>
      </c>
      <c r="BN1047" s="6">
        <f>0</f>
        <v>0</v>
      </c>
      <c r="BO1047" s="6">
        <f>0</f>
        <v>0</v>
      </c>
      <c r="BP1047" s="4" t="s">
        <v>256</v>
      </c>
      <c r="BQ1047" s="4" t="s">
        <v>257</v>
      </c>
      <c r="CE1047" s="4" t="s">
        <v>241</v>
      </c>
      <c r="CF1047" s="4" t="s">
        <v>241</v>
      </c>
      <c r="CJ1047" s="4" t="s">
        <v>276</v>
      </c>
      <c r="CK1047" s="4" t="s">
        <v>259</v>
      </c>
      <c r="CL1047" s="4" t="s">
        <v>241</v>
      </c>
      <c r="CO1047" s="5" t="s">
        <v>260</v>
      </c>
      <c r="CP1047" s="4" t="s">
        <v>241</v>
      </c>
      <c r="CQ1047" s="4" t="s">
        <v>261</v>
      </c>
      <c r="CR1047" s="4" t="s">
        <v>241</v>
      </c>
      <c r="CS1047" s="4" t="s">
        <v>241</v>
      </c>
      <c r="CT1047" s="4">
        <v>0</v>
      </c>
      <c r="CU1047" s="4" t="s">
        <v>262</v>
      </c>
      <c r="CV1047" s="4" t="s">
        <v>263</v>
      </c>
      <c r="CW1047" s="4" t="s">
        <v>263</v>
      </c>
      <c r="CX1047" s="4" t="s">
        <v>264</v>
      </c>
      <c r="DA1047" s="6">
        <f>1</f>
        <v>1</v>
      </c>
      <c r="DC1047" s="4" t="s">
        <v>277</v>
      </c>
      <c r="DD1047" s="4" t="s">
        <v>241</v>
      </c>
      <c r="DF1047" s="4" t="s">
        <v>277</v>
      </c>
      <c r="DG1047" s="6">
        <f>328</f>
        <v>328</v>
      </c>
      <c r="DI1047" s="4" t="s">
        <v>241</v>
      </c>
      <c r="DJ1047" s="4" t="s">
        <v>241</v>
      </c>
      <c r="DK1047" s="4" t="s">
        <v>241</v>
      </c>
      <c r="DL1047" s="4" t="s">
        <v>241</v>
      </c>
      <c r="DP1047" s="4" t="s">
        <v>241</v>
      </c>
      <c r="DQ1047" s="4" t="s">
        <v>241</v>
      </c>
      <c r="DR1047" s="4" t="s">
        <v>241</v>
      </c>
      <c r="DS1047" s="4" t="s">
        <v>241</v>
      </c>
      <c r="DV1047" s="4" t="s">
        <v>278</v>
      </c>
      <c r="DW1047" s="4" t="s">
        <v>786</v>
      </c>
      <c r="HO1047" s="4" t="s">
        <v>267</v>
      </c>
    </row>
    <row r="1048" spans="1:223" ht="19.5" customHeight="1" x14ac:dyDescent="0.4">
      <c r="A1048" s="4">
        <v>1</v>
      </c>
      <c r="B1048" s="4" t="s">
        <v>239</v>
      </c>
      <c r="C1048" s="4">
        <v>2722</v>
      </c>
      <c r="D1048" s="4">
        <v>1</v>
      </c>
      <c r="E1048" s="4">
        <v>1</v>
      </c>
      <c r="F1048" s="4" t="s">
        <v>268</v>
      </c>
      <c r="G1048" s="4" t="s">
        <v>241</v>
      </c>
      <c r="H1048" s="4" t="s">
        <v>241</v>
      </c>
      <c r="I1048" s="4" t="s">
        <v>272</v>
      </c>
      <c r="J1048" s="4" t="s">
        <v>274</v>
      </c>
      <c r="K1048" s="4" t="s">
        <v>251</v>
      </c>
      <c r="L1048" s="4" t="s">
        <v>269</v>
      </c>
      <c r="M1048" s="5" t="s">
        <v>1091</v>
      </c>
      <c r="N1048" s="6">
        <f>99</f>
        <v>99</v>
      </c>
      <c r="O1048" s="4" t="s">
        <v>265</v>
      </c>
      <c r="P1048" s="6">
        <f>1</f>
        <v>1</v>
      </c>
      <c r="Q1048" s="6">
        <f>0</f>
        <v>0</v>
      </c>
      <c r="S1048" s="6">
        <f>0</f>
        <v>0</v>
      </c>
      <c r="T1048" s="6">
        <f>1</f>
        <v>1</v>
      </c>
      <c r="U1048" s="5" t="s">
        <v>245</v>
      </c>
      <c r="V1048" s="4" t="s">
        <v>270</v>
      </c>
      <c r="W1048" s="4" t="s">
        <v>271</v>
      </c>
      <c r="X1048" s="4" t="s">
        <v>273</v>
      </c>
      <c r="Y1048" s="4" t="s">
        <v>241</v>
      </c>
      <c r="AB1048" s="4" t="s">
        <v>241</v>
      </c>
      <c r="AD1048" s="5" t="s">
        <v>241</v>
      </c>
      <c r="AG1048" s="5" t="s">
        <v>246</v>
      </c>
      <c r="AH1048" s="4" t="s">
        <v>241</v>
      </c>
      <c r="AI1048" s="4" t="s">
        <v>247</v>
      </c>
      <c r="AJ1048" s="4" t="s">
        <v>248</v>
      </c>
      <c r="AZ1048" s="4" t="s">
        <v>249</v>
      </c>
      <c r="BA1048" s="4" t="s">
        <v>241</v>
      </c>
      <c r="BB1048" s="4" t="s">
        <v>250</v>
      </c>
      <c r="BC1048" s="4" t="s">
        <v>241</v>
      </c>
      <c r="BD1048" s="4" t="s">
        <v>252</v>
      </c>
      <c r="BE1048" s="4" t="s">
        <v>241</v>
      </c>
      <c r="BI1048" s="4" t="s">
        <v>253</v>
      </c>
      <c r="BJ1048" s="5" t="s">
        <v>246</v>
      </c>
      <c r="BK1048" s="4" t="s">
        <v>254</v>
      </c>
      <c r="BL1048" s="4" t="s">
        <v>255</v>
      </c>
      <c r="BM1048" s="4" t="s">
        <v>241</v>
      </c>
      <c r="BN1048" s="6">
        <f>0</f>
        <v>0</v>
      </c>
      <c r="BO1048" s="6">
        <f>0</f>
        <v>0</v>
      </c>
      <c r="BP1048" s="4" t="s">
        <v>256</v>
      </c>
      <c r="BQ1048" s="4" t="s">
        <v>257</v>
      </c>
      <c r="CE1048" s="4" t="s">
        <v>241</v>
      </c>
      <c r="CF1048" s="4" t="s">
        <v>241</v>
      </c>
      <c r="CJ1048" s="4" t="s">
        <v>276</v>
      </c>
      <c r="CK1048" s="4" t="s">
        <v>259</v>
      </c>
      <c r="CL1048" s="4" t="s">
        <v>241</v>
      </c>
      <c r="CO1048" s="5" t="s">
        <v>260</v>
      </c>
      <c r="CP1048" s="4" t="s">
        <v>241</v>
      </c>
      <c r="CQ1048" s="4" t="s">
        <v>261</v>
      </c>
      <c r="CR1048" s="4" t="s">
        <v>241</v>
      </c>
      <c r="CS1048" s="4" t="s">
        <v>241</v>
      </c>
      <c r="CT1048" s="4">
        <v>0</v>
      </c>
      <c r="CU1048" s="4" t="s">
        <v>262</v>
      </c>
      <c r="CV1048" s="4" t="s">
        <v>263</v>
      </c>
      <c r="CW1048" s="4" t="s">
        <v>263</v>
      </c>
      <c r="CX1048" s="4" t="s">
        <v>264</v>
      </c>
      <c r="DA1048" s="6">
        <f>1</f>
        <v>1</v>
      </c>
      <c r="DC1048" s="4" t="s">
        <v>277</v>
      </c>
      <c r="DD1048" s="4" t="s">
        <v>241</v>
      </c>
      <c r="DF1048" s="4" t="s">
        <v>277</v>
      </c>
      <c r="DG1048" s="6">
        <f>99</f>
        <v>99</v>
      </c>
      <c r="DI1048" s="4" t="s">
        <v>241</v>
      </c>
      <c r="DJ1048" s="4" t="s">
        <v>241</v>
      </c>
      <c r="DK1048" s="4" t="s">
        <v>241</v>
      </c>
      <c r="DL1048" s="4" t="s">
        <v>241</v>
      </c>
      <c r="DP1048" s="4" t="s">
        <v>241</v>
      </c>
      <c r="DQ1048" s="4" t="s">
        <v>241</v>
      </c>
      <c r="DR1048" s="4" t="s">
        <v>241</v>
      </c>
      <c r="DS1048" s="4" t="s">
        <v>241</v>
      </c>
      <c r="DV1048" s="4" t="s">
        <v>278</v>
      </c>
      <c r="DW1048" s="4" t="s">
        <v>674</v>
      </c>
      <c r="HO1048" s="4" t="s">
        <v>267</v>
      </c>
    </row>
    <row r="1049" spans="1:223" ht="19.5" customHeight="1" x14ac:dyDescent="0.4">
      <c r="A1049" s="4">
        <v>1</v>
      </c>
      <c r="B1049" s="4" t="s">
        <v>239</v>
      </c>
      <c r="C1049" s="4">
        <v>2723</v>
      </c>
      <c r="D1049" s="4">
        <v>1</v>
      </c>
      <c r="E1049" s="4">
        <v>1</v>
      </c>
      <c r="F1049" s="4" t="s">
        <v>268</v>
      </c>
      <c r="G1049" s="4" t="s">
        <v>241</v>
      </c>
      <c r="H1049" s="4" t="s">
        <v>241</v>
      </c>
      <c r="I1049" s="4" t="s">
        <v>272</v>
      </c>
      <c r="J1049" s="4" t="s">
        <v>274</v>
      </c>
      <c r="K1049" s="4" t="s">
        <v>251</v>
      </c>
      <c r="L1049" s="4" t="s">
        <v>269</v>
      </c>
      <c r="M1049" s="5" t="s">
        <v>2512</v>
      </c>
      <c r="N1049" s="6">
        <f>847</f>
        <v>847</v>
      </c>
      <c r="O1049" s="4" t="s">
        <v>265</v>
      </c>
      <c r="P1049" s="6">
        <f>1</f>
        <v>1</v>
      </c>
      <c r="Q1049" s="6">
        <f>0</f>
        <v>0</v>
      </c>
      <c r="S1049" s="6">
        <f>0</f>
        <v>0</v>
      </c>
      <c r="T1049" s="6">
        <f>1</f>
        <v>1</v>
      </c>
      <c r="U1049" s="5" t="s">
        <v>245</v>
      </c>
      <c r="V1049" s="4" t="s">
        <v>270</v>
      </c>
      <c r="W1049" s="4" t="s">
        <v>271</v>
      </c>
      <c r="X1049" s="4" t="s">
        <v>273</v>
      </c>
      <c r="Y1049" s="4" t="s">
        <v>241</v>
      </c>
      <c r="AB1049" s="4" t="s">
        <v>241</v>
      </c>
      <c r="AD1049" s="5" t="s">
        <v>241</v>
      </c>
      <c r="AG1049" s="5" t="s">
        <v>246</v>
      </c>
      <c r="AH1049" s="4" t="s">
        <v>241</v>
      </c>
      <c r="AI1049" s="4" t="s">
        <v>247</v>
      </c>
      <c r="AJ1049" s="4" t="s">
        <v>248</v>
      </c>
      <c r="AZ1049" s="4" t="s">
        <v>249</v>
      </c>
      <c r="BA1049" s="4" t="s">
        <v>241</v>
      </c>
      <c r="BB1049" s="4" t="s">
        <v>250</v>
      </c>
      <c r="BC1049" s="4" t="s">
        <v>241</v>
      </c>
      <c r="BD1049" s="4" t="s">
        <v>252</v>
      </c>
      <c r="BE1049" s="4" t="s">
        <v>241</v>
      </c>
      <c r="BI1049" s="4" t="s">
        <v>253</v>
      </c>
      <c r="BJ1049" s="5" t="s">
        <v>246</v>
      </c>
      <c r="BK1049" s="4" t="s">
        <v>254</v>
      </c>
      <c r="BL1049" s="4" t="s">
        <v>255</v>
      </c>
      <c r="BM1049" s="4" t="s">
        <v>241</v>
      </c>
      <c r="BN1049" s="6">
        <f>0</f>
        <v>0</v>
      </c>
      <c r="BO1049" s="6">
        <f>0</f>
        <v>0</v>
      </c>
      <c r="BP1049" s="4" t="s">
        <v>256</v>
      </c>
      <c r="BQ1049" s="4" t="s">
        <v>257</v>
      </c>
      <c r="CE1049" s="4" t="s">
        <v>241</v>
      </c>
      <c r="CF1049" s="4" t="s">
        <v>241</v>
      </c>
      <c r="CJ1049" s="4" t="s">
        <v>276</v>
      </c>
      <c r="CK1049" s="4" t="s">
        <v>259</v>
      </c>
      <c r="CL1049" s="4" t="s">
        <v>241</v>
      </c>
      <c r="CO1049" s="5" t="s">
        <v>260</v>
      </c>
      <c r="CP1049" s="4" t="s">
        <v>241</v>
      </c>
      <c r="CQ1049" s="4" t="s">
        <v>261</v>
      </c>
      <c r="CR1049" s="4" t="s">
        <v>241</v>
      </c>
      <c r="CS1049" s="4" t="s">
        <v>241</v>
      </c>
      <c r="CT1049" s="4">
        <v>0</v>
      </c>
      <c r="CU1049" s="4" t="s">
        <v>262</v>
      </c>
      <c r="CV1049" s="4" t="s">
        <v>263</v>
      </c>
      <c r="CW1049" s="4" t="s">
        <v>263</v>
      </c>
      <c r="CX1049" s="4" t="s">
        <v>264</v>
      </c>
      <c r="DA1049" s="6">
        <f>1</f>
        <v>1</v>
      </c>
      <c r="DC1049" s="4" t="s">
        <v>277</v>
      </c>
      <c r="DD1049" s="4" t="s">
        <v>241</v>
      </c>
      <c r="DF1049" s="4" t="s">
        <v>277</v>
      </c>
      <c r="DG1049" s="6">
        <f>847</f>
        <v>847</v>
      </c>
      <c r="DI1049" s="4" t="s">
        <v>241</v>
      </c>
      <c r="DJ1049" s="4" t="s">
        <v>241</v>
      </c>
      <c r="DK1049" s="4" t="s">
        <v>241</v>
      </c>
      <c r="DL1049" s="4" t="s">
        <v>241</v>
      </c>
      <c r="DP1049" s="4" t="s">
        <v>241</v>
      </c>
      <c r="DQ1049" s="4" t="s">
        <v>241</v>
      </c>
      <c r="DR1049" s="4" t="s">
        <v>241</v>
      </c>
      <c r="DS1049" s="4" t="s">
        <v>241</v>
      </c>
      <c r="DV1049" s="4" t="s">
        <v>278</v>
      </c>
      <c r="DW1049" s="4" t="s">
        <v>798</v>
      </c>
      <c r="HO1049" s="4" t="s">
        <v>267</v>
      </c>
    </row>
    <row r="1050" spans="1:223" ht="19.5" customHeight="1" x14ac:dyDescent="0.4">
      <c r="A1050" s="4">
        <v>1</v>
      </c>
      <c r="B1050" s="4" t="s">
        <v>239</v>
      </c>
      <c r="C1050" s="4">
        <v>2724</v>
      </c>
      <c r="D1050" s="4">
        <v>1</v>
      </c>
      <c r="E1050" s="4">
        <v>1</v>
      </c>
      <c r="F1050" s="4" t="s">
        <v>268</v>
      </c>
      <c r="G1050" s="4" t="s">
        <v>241</v>
      </c>
      <c r="H1050" s="4" t="s">
        <v>241</v>
      </c>
      <c r="I1050" s="4" t="s">
        <v>272</v>
      </c>
      <c r="J1050" s="4" t="s">
        <v>274</v>
      </c>
      <c r="K1050" s="4" t="s">
        <v>251</v>
      </c>
      <c r="L1050" s="4" t="s">
        <v>269</v>
      </c>
      <c r="M1050" s="5" t="s">
        <v>1086</v>
      </c>
      <c r="N1050" s="6">
        <f>1032</f>
        <v>1032</v>
      </c>
      <c r="O1050" s="4" t="s">
        <v>265</v>
      </c>
      <c r="P1050" s="6">
        <f>1</f>
        <v>1</v>
      </c>
      <c r="Q1050" s="6">
        <f>0</f>
        <v>0</v>
      </c>
      <c r="S1050" s="6">
        <f>0</f>
        <v>0</v>
      </c>
      <c r="T1050" s="6">
        <f>1</f>
        <v>1</v>
      </c>
      <c r="U1050" s="5" t="s">
        <v>245</v>
      </c>
      <c r="V1050" s="4" t="s">
        <v>270</v>
      </c>
      <c r="W1050" s="4" t="s">
        <v>271</v>
      </c>
      <c r="X1050" s="4" t="s">
        <v>273</v>
      </c>
      <c r="Y1050" s="4" t="s">
        <v>241</v>
      </c>
      <c r="AB1050" s="4" t="s">
        <v>241</v>
      </c>
      <c r="AD1050" s="5" t="s">
        <v>241</v>
      </c>
      <c r="AG1050" s="5" t="s">
        <v>246</v>
      </c>
      <c r="AH1050" s="4" t="s">
        <v>241</v>
      </c>
      <c r="AI1050" s="4" t="s">
        <v>247</v>
      </c>
      <c r="AJ1050" s="4" t="s">
        <v>248</v>
      </c>
      <c r="AZ1050" s="4" t="s">
        <v>249</v>
      </c>
      <c r="BA1050" s="4" t="s">
        <v>241</v>
      </c>
      <c r="BB1050" s="4" t="s">
        <v>250</v>
      </c>
      <c r="BC1050" s="4" t="s">
        <v>241</v>
      </c>
      <c r="BD1050" s="4" t="s">
        <v>252</v>
      </c>
      <c r="BE1050" s="4" t="s">
        <v>241</v>
      </c>
      <c r="BI1050" s="4" t="s">
        <v>253</v>
      </c>
      <c r="BJ1050" s="5" t="s">
        <v>246</v>
      </c>
      <c r="BK1050" s="4" t="s">
        <v>254</v>
      </c>
      <c r="BL1050" s="4" t="s">
        <v>255</v>
      </c>
      <c r="BM1050" s="4" t="s">
        <v>241</v>
      </c>
      <c r="BN1050" s="6">
        <f>0</f>
        <v>0</v>
      </c>
      <c r="BO1050" s="6">
        <f>0</f>
        <v>0</v>
      </c>
      <c r="BP1050" s="4" t="s">
        <v>256</v>
      </c>
      <c r="BQ1050" s="4" t="s">
        <v>257</v>
      </c>
      <c r="CE1050" s="4" t="s">
        <v>241</v>
      </c>
      <c r="CF1050" s="4" t="s">
        <v>241</v>
      </c>
      <c r="CJ1050" s="4" t="s">
        <v>276</v>
      </c>
      <c r="CK1050" s="4" t="s">
        <v>259</v>
      </c>
      <c r="CL1050" s="4" t="s">
        <v>241</v>
      </c>
      <c r="CO1050" s="5" t="s">
        <v>260</v>
      </c>
      <c r="CP1050" s="4" t="s">
        <v>241</v>
      </c>
      <c r="CQ1050" s="4" t="s">
        <v>261</v>
      </c>
      <c r="CR1050" s="4" t="s">
        <v>241</v>
      </c>
      <c r="CS1050" s="4" t="s">
        <v>241</v>
      </c>
      <c r="CT1050" s="4">
        <v>0</v>
      </c>
      <c r="CU1050" s="4" t="s">
        <v>262</v>
      </c>
      <c r="CV1050" s="4" t="s">
        <v>263</v>
      </c>
      <c r="CW1050" s="4" t="s">
        <v>263</v>
      </c>
      <c r="CX1050" s="4" t="s">
        <v>264</v>
      </c>
      <c r="DA1050" s="6">
        <f>1</f>
        <v>1</v>
      </c>
      <c r="DC1050" s="4" t="s">
        <v>277</v>
      </c>
      <c r="DD1050" s="4" t="s">
        <v>241</v>
      </c>
      <c r="DF1050" s="4" t="s">
        <v>277</v>
      </c>
      <c r="DG1050" s="6">
        <f>1032</f>
        <v>1032</v>
      </c>
      <c r="DI1050" s="4" t="s">
        <v>241</v>
      </c>
      <c r="DJ1050" s="4" t="s">
        <v>241</v>
      </c>
      <c r="DK1050" s="4" t="s">
        <v>241</v>
      </c>
      <c r="DL1050" s="4" t="s">
        <v>241</v>
      </c>
      <c r="DP1050" s="4" t="s">
        <v>241</v>
      </c>
      <c r="DQ1050" s="4" t="s">
        <v>241</v>
      </c>
      <c r="DR1050" s="4" t="s">
        <v>241</v>
      </c>
      <c r="DS1050" s="4" t="s">
        <v>241</v>
      </c>
      <c r="DV1050" s="4" t="s">
        <v>278</v>
      </c>
      <c r="DW1050" s="4" t="s">
        <v>802</v>
      </c>
      <c r="HO1050" s="4" t="s">
        <v>267</v>
      </c>
    </row>
    <row r="1051" spans="1:223" ht="19.5" customHeight="1" x14ac:dyDescent="0.4">
      <c r="A1051" s="4">
        <v>1</v>
      </c>
      <c r="B1051" s="4" t="s">
        <v>239</v>
      </c>
      <c r="C1051" s="4">
        <v>2725</v>
      </c>
      <c r="D1051" s="4">
        <v>1</v>
      </c>
      <c r="E1051" s="4">
        <v>1</v>
      </c>
      <c r="F1051" s="4" t="s">
        <v>268</v>
      </c>
      <c r="G1051" s="4" t="s">
        <v>241</v>
      </c>
      <c r="H1051" s="4" t="s">
        <v>241</v>
      </c>
      <c r="I1051" s="4" t="s">
        <v>272</v>
      </c>
      <c r="J1051" s="4" t="s">
        <v>274</v>
      </c>
      <c r="K1051" s="4" t="s">
        <v>251</v>
      </c>
      <c r="L1051" s="4" t="s">
        <v>269</v>
      </c>
      <c r="M1051" s="5" t="s">
        <v>1081</v>
      </c>
      <c r="N1051" s="6">
        <f>2130</f>
        <v>2130</v>
      </c>
      <c r="O1051" s="4" t="s">
        <v>265</v>
      </c>
      <c r="P1051" s="6">
        <f>1</f>
        <v>1</v>
      </c>
      <c r="Q1051" s="6">
        <f>0</f>
        <v>0</v>
      </c>
      <c r="S1051" s="6">
        <f>0</f>
        <v>0</v>
      </c>
      <c r="T1051" s="6">
        <f>1</f>
        <v>1</v>
      </c>
      <c r="U1051" s="5" t="s">
        <v>245</v>
      </c>
      <c r="V1051" s="4" t="s">
        <v>270</v>
      </c>
      <c r="W1051" s="4" t="s">
        <v>271</v>
      </c>
      <c r="X1051" s="4" t="s">
        <v>273</v>
      </c>
      <c r="Y1051" s="4" t="s">
        <v>241</v>
      </c>
      <c r="AB1051" s="4" t="s">
        <v>241</v>
      </c>
      <c r="AD1051" s="5" t="s">
        <v>241</v>
      </c>
      <c r="AG1051" s="5" t="s">
        <v>246</v>
      </c>
      <c r="AH1051" s="4" t="s">
        <v>241</v>
      </c>
      <c r="AI1051" s="4" t="s">
        <v>247</v>
      </c>
      <c r="AJ1051" s="4" t="s">
        <v>248</v>
      </c>
      <c r="AZ1051" s="4" t="s">
        <v>249</v>
      </c>
      <c r="BA1051" s="4" t="s">
        <v>241</v>
      </c>
      <c r="BB1051" s="4" t="s">
        <v>250</v>
      </c>
      <c r="BC1051" s="4" t="s">
        <v>241</v>
      </c>
      <c r="BD1051" s="4" t="s">
        <v>252</v>
      </c>
      <c r="BE1051" s="4" t="s">
        <v>241</v>
      </c>
      <c r="BI1051" s="4" t="s">
        <v>253</v>
      </c>
      <c r="BJ1051" s="5" t="s">
        <v>246</v>
      </c>
      <c r="BK1051" s="4" t="s">
        <v>254</v>
      </c>
      <c r="BL1051" s="4" t="s">
        <v>255</v>
      </c>
      <c r="BM1051" s="4" t="s">
        <v>241</v>
      </c>
      <c r="BN1051" s="6">
        <f>0</f>
        <v>0</v>
      </c>
      <c r="BO1051" s="6">
        <f>0</f>
        <v>0</v>
      </c>
      <c r="BP1051" s="4" t="s">
        <v>256</v>
      </c>
      <c r="BQ1051" s="4" t="s">
        <v>257</v>
      </c>
      <c r="CE1051" s="4" t="s">
        <v>241</v>
      </c>
      <c r="CF1051" s="4" t="s">
        <v>241</v>
      </c>
      <c r="CJ1051" s="4" t="s">
        <v>276</v>
      </c>
      <c r="CK1051" s="4" t="s">
        <v>259</v>
      </c>
      <c r="CL1051" s="4" t="s">
        <v>241</v>
      </c>
      <c r="CO1051" s="5" t="s">
        <v>260</v>
      </c>
      <c r="CP1051" s="4" t="s">
        <v>241</v>
      </c>
      <c r="CQ1051" s="4" t="s">
        <v>261</v>
      </c>
      <c r="CR1051" s="4" t="s">
        <v>241</v>
      </c>
      <c r="CS1051" s="4" t="s">
        <v>241</v>
      </c>
      <c r="CT1051" s="4">
        <v>0</v>
      </c>
      <c r="CU1051" s="4" t="s">
        <v>262</v>
      </c>
      <c r="CV1051" s="4" t="s">
        <v>263</v>
      </c>
      <c r="CW1051" s="4" t="s">
        <v>263</v>
      </c>
      <c r="CX1051" s="4" t="s">
        <v>264</v>
      </c>
      <c r="DA1051" s="6">
        <f>1</f>
        <v>1</v>
      </c>
      <c r="DC1051" s="4" t="s">
        <v>277</v>
      </c>
      <c r="DD1051" s="4" t="s">
        <v>241</v>
      </c>
      <c r="DF1051" s="4" t="s">
        <v>277</v>
      </c>
      <c r="DG1051" s="6">
        <f>2130</f>
        <v>2130</v>
      </c>
      <c r="DI1051" s="4" t="s">
        <v>241</v>
      </c>
      <c r="DJ1051" s="4" t="s">
        <v>241</v>
      </c>
      <c r="DK1051" s="4" t="s">
        <v>241</v>
      </c>
      <c r="DL1051" s="4" t="s">
        <v>241</v>
      </c>
      <c r="DP1051" s="4" t="s">
        <v>241</v>
      </c>
      <c r="DQ1051" s="4" t="s">
        <v>241</v>
      </c>
      <c r="DR1051" s="4" t="s">
        <v>241</v>
      </c>
      <c r="DS1051" s="4" t="s">
        <v>241</v>
      </c>
      <c r="DV1051" s="4" t="s">
        <v>278</v>
      </c>
      <c r="DW1051" s="4" t="s">
        <v>808</v>
      </c>
      <c r="HO1051" s="4" t="s">
        <v>267</v>
      </c>
    </row>
    <row r="1052" spans="1:223" ht="19.5" customHeight="1" x14ac:dyDescent="0.4">
      <c r="A1052" s="4">
        <v>1</v>
      </c>
      <c r="B1052" s="4" t="s">
        <v>239</v>
      </c>
      <c r="C1052" s="4">
        <v>2726</v>
      </c>
      <c r="D1052" s="4">
        <v>1</v>
      </c>
      <c r="E1052" s="4">
        <v>1</v>
      </c>
      <c r="F1052" s="4" t="s">
        <v>268</v>
      </c>
      <c r="G1052" s="4" t="s">
        <v>241</v>
      </c>
      <c r="H1052" s="4" t="s">
        <v>241</v>
      </c>
      <c r="I1052" s="4" t="s">
        <v>272</v>
      </c>
      <c r="J1052" s="4" t="s">
        <v>274</v>
      </c>
      <c r="K1052" s="4" t="s">
        <v>251</v>
      </c>
      <c r="L1052" s="4" t="s">
        <v>269</v>
      </c>
      <c r="M1052" s="5" t="s">
        <v>1076</v>
      </c>
      <c r="N1052" s="6">
        <f>831</f>
        <v>831</v>
      </c>
      <c r="O1052" s="4" t="s">
        <v>265</v>
      </c>
      <c r="P1052" s="6">
        <f>1</f>
        <v>1</v>
      </c>
      <c r="Q1052" s="6">
        <f>0</f>
        <v>0</v>
      </c>
      <c r="S1052" s="6">
        <f>0</f>
        <v>0</v>
      </c>
      <c r="T1052" s="6">
        <f>1</f>
        <v>1</v>
      </c>
      <c r="U1052" s="5" t="s">
        <v>245</v>
      </c>
      <c r="V1052" s="4" t="s">
        <v>270</v>
      </c>
      <c r="W1052" s="4" t="s">
        <v>271</v>
      </c>
      <c r="X1052" s="4" t="s">
        <v>273</v>
      </c>
      <c r="Y1052" s="4" t="s">
        <v>241</v>
      </c>
      <c r="AB1052" s="4" t="s">
        <v>241</v>
      </c>
      <c r="AD1052" s="5" t="s">
        <v>241</v>
      </c>
      <c r="AG1052" s="5" t="s">
        <v>246</v>
      </c>
      <c r="AH1052" s="4" t="s">
        <v>241</v>
      </c>
      <c r="AI1052" s="4" t="s">
        <v>247</v>
      </c>
      <c r="AJ1052" s="4" t="s">
        <v>248</v>
      </c>
      <c r="AZ1052" s="4" t="s">
        <v>249</v>
      </c>
      <c r="BA1052" s="4" t="s">
        <v>241</v>
      </c>
      <c r="BB1052" s="4" t="s">
        <v>250</v>
      </c>
      <c r="BC1052" s="4" t="s">
        <v>241</v>
      </c>
      <c r="BD1052" s="4" t="s">
        <v>252</v>
      </c>
      <c r="BE1052" s="4" t="s">
        <v>241</v>
      </c>
      <c r="BI1052" s="4" t="s">
        <v>253</v>
      </c>
      <c r="BJ1052" s="5" t="s">
        <v>246</v>
      </c>
      <c r="BK1052" s="4" t="s">
        <v>254</v>
      </c>
      <c r="BL1052" s="4" t="s">
        <v>255</v>
      </c>
      <c r="BM1052" s="4" t="s">
        <v>241</v>
      </c>
      <c r="BN1052" s="6">
        <f>0</f>
        <v>0</v>
      </c>
      <c r="BO1052" s="6">
        <f>0</f>
        <v>0</v>
      </c>
      <c r="BP1052" s="4" t="s">
        <v>256</v>
      </c>
      <c r="BQ1052" s="4" t="s">
        <v>257</v>
      </c>
      <c r="CE1052" s="4" t="s">
        <v>241</v>
      </c>
      <c r="CF1052" s="4" t="s">
        <v>241</v>
      </c>
      <c r="CJ1052" s="4" t="s">
        <v>276</v>
      </c>
      <c r="CK1052" s="4" t="s">
        <v>259</v>
      </c>
      <c r="CL1052" s="4" t="s">
        <v>241</v>
      </c>
      <c r="CO1052" s="5" t="s">
        <v>260</v>
      </c>
      <c r="CP1052" s="4" t="s">
        <v>241</v>
      </c>
      <c r="CQ1052" s="4" t="s">
        <v>261</v>
      </c>
      <c r="CR1052" s="4" t="s">
        <v>241</v>
      </c>
      <c r="CS1052" s="4" t="s">
        <v>241</v>
      </c>
      <c r="CT1052" s="4">
        <v>0</v>
      </c>
      <c r="CU1052" s="4" t="s">
        <v>262</v>
      </c>
      <c r="CV1052" s="4" t="s">
        <v>263</v>
      </c>
      <c r="CW1052" s="4" t="s">
        <v>263</v>
      </c>
      <c r="CX1052" s="4" t="s">
        <v>264</v>
      </c>
      <c r="DA1052" s="6">
        <f>1</f>
        <v>1</v>
      </c>
      <c r="DC1052" s="4" t="s">
        <v>277</v>
      </c>
      <c r="DD1052" s="4" t="s">
        <v>241</v>
      </c>
      <c r="DF1052" s="4" t="s">
        <v>277</v>
      </c>
      <c r="DG1052" s="6">
        <f>831</f>
        <v>831</v>
      </c>
      <c r="DI1052" s="4" t="s">
        <v>241</v>
      </c>
      <c r="DJ1052" s="4" t="s">
        <v>241</v>
      </c>
      <c r="DK1052" s="4" t="s">
        <v>241</v>
      </c>
      <c r="DL1052" s="4" t="s">
        <v>241</v>
      </c>
      <c r="DP1052" s="4" t="s">
        <v>241</v>
      </c>
      <c r="DQ1052" s="4" t="s">
        <v>241</v>
      </c>
      <c r="DR1052" s="4" t="s">
        <v>241</v>
      </c>
      <c r="DS1052" s="4" t="s">
        <v>241</v>
      </c>
      <c r="DV1052" s="4" t="s">
        <v>278</v>
      </c>
      <c r="DW1052" s="4" t="s">
        <v>812</v>
      </c>
      <c r="HO1052" s="4" t="s">
        <v>267</v>
      </c>
    </row>
    <row r="1053" spans="1:223" ht="19.5" customHeight="1" x14ac:dyDescent="0.4">
      <c r="A1053" s="4">
        <v>1</v>
      </c>
      <c r="B1053" s="4" t="s">
        <v>239</v>
      </c>
      <c r="C1053" s="4">
        <v>2727</v>
      </c>
      <c r="D1053" s="4">
        <v>1</v>
      </c>
      <c r="E1053" s="4">
        <v>1</v>
      </c>
      <c r="F1053" s="4" t="s">
        <v>268</v>
      </c>
      <c r="G1053" s="4" t="s">
        <v>241</v>
      </c>
      <c r="H1053" s="4" t="s">
        <v>241</v>
      </c>
      <c r="I1053" s="4" t="s">
        <v>272</v>
      </c>
      <c r="J1053" s="4" t="s">
        <v>274</v>
      </c>
      <c r="K1053" s="4" t="s">
        <v>251</v>
      </c>
      <c r="L1053" s="4" t="s">
        <v>269</v>
      </c>
      <c r="M1053" s="5" t="s">
        <v>1072</v>
      </c>
      <c r="N1053" s="6">
        <f>2149</f>
        <v>2149</v>
      </c>
      <c r="O1053" s="4" t="s">
        <v>265</v>
      </c>
      <c r="P1053" s="6">
        <f>1</f>
        <v>1</v>
      </c>
      <c r="Q1053" s="6">
        <f>0</f>
        <v>0</v>
      </c>
      <c r="S1053" s="6">
        <f>0</f>
        <v>0</v>
      </c>
      <c r="T1053" s="6">
        <f>1</f>
        <v>1</v>
      </c>
      <c r="U1053" s="5" t="s">
        <v>245</v>
      </c>
      <c r="V1053" s="4" t="s">
        <v>270</v>
      </c>
      <c r="W1053" s="4" t="s">
        <v>271</v>
      </c>
      <c r="X1053" s="4" t="s">
        <v>273</v>
      </c>
      <c r="Y1053" s="4" t="s">
        <v>241</v>
      </c>
      <c r="AB1053" s="4" t="s">
        <v>241</v>
      </c>
      <c r="AD1053" s="5" t="s">
        <v>241</v>
      </c>
      <c r="AG1053" s="5" t="s">
        <v>246</v>
      </c>
      <c r="AH1053" s="4" t="s">
        <v>241</v>
      </c>
      <c r="AI1053" s="4" t="s">
        <v>247</v>
      </c>
      <c r="AJ1053" s="4" t="s">
        <v>248</v>
      </c>
      <c r="AZ1053" s="4" t="s">
        <v>249</v>
      </c>
      <c r="BA1053" s="4" t="s">
        <v>241</v>
      </c>
      <c r="BB1053" s="4" t="s">
        <v>250</v>
      </c>
      <c r="BC1053" s="4" t="s">
        <v>241</v>
      </c>
      <c r="BD1053" s="4" t="s">
        <v>252</v>
      </c>
      <c r="BE1053" s="4" t="s">
        <v>241</v>
      </c>
      <c r="BI1053" s="4" t="s">
        <v>253</v>
      </c>
      <c r="BJ1053" s="5" t="s">
        <v>246</v>
      </c>
      <c r="BK1053" s="4" t="s">
        <v>254</v>
      </c>
      <c r="BL1053" s="4" t="s">
        <v>255</v>
      </c>
      <c r="BM1053" s="4" t="s">
        <v>241</v>
      </c>
      <c r="BN1053" s="6">
        <f>0</f>
        <v>0</v>
      </c>
      <c r="BO1053" s="6">
        <f>0</f>
        <v>0</v>
      </c>
      <c r="BP1053" s="4" t="s">
        <v>256</v>
      </c>
      <c r="BQ1053" s="4" t="s">
        <v>257</v>
      </c>
      <c r="CE1053" s="4" t="s">
        <v>241</v>
      </c>
      <c r="CF1053" s="4" t="s">
        <v>241</v>
      </c>
      <c r="CJ1053" s="4" t="s">
        <v>276</v>
      </c>
      <c r="CK1053" s="4" t="s">
        <v>259</v>
      </c>
      <c r="CL1053" s="4" t="s">
        <v>241</v>
      </c>
      <c r="CO1053" s="5" t="s">
        <v>260</v>
      </c>
      <c r="CP1053" s="4" t="s">
        <v>241</v>
      </c>
      <c r="CQ1053" s="4" t="s">
        <v>261</v>
      </c>
      <c r="CR1053" s="4" t="s">
        <v>241</v>
      </c>
      <c r="CS1053" s="4" t="s">
        <v>241</v>
      </c>
      <c r="CT1053" s="4">
        <v>0</v>
      </c>
      <c r="CU1053" s="4" t="s">
        <v>262</v>
      </c>
      <c r="CV1053" s="4" t="s">
        <v>263</v>
      </c>
      <c r="CW1053" s="4" t="s">
        <v>263</v>
      </c>
      <c r="CX1053" s="4" t="s">
        <v>264</v>
      </c>
      <c r="DA1053" s="6">
        <f>1</f>
        <v>1</v>
      </c>
      <c r="DC1053" s="4" t="s">
        <v>277</v>
      </c>
      <c r="DD1053" s="4" t="s">
        <v>241</v>
      </c>
      <c r="DF1053" s="4" t="s">
        <v>277</v>
      </c>
      <c r="DG1053" s="6">
        <f>2149</f>
        <v>2149</v>
      </c>
      <c r="DI1053" s="4" t="s">
        <v>241</v>
      </c>
      <c r="DJ1053" s="4" t="s">
        <v>241</v>
      </c>
      <c r="DK1053" s="4" t="s">
        <v>241</v>
      </c>
      <c r="DL1053" s="4" t="s">
        <v>241</v>
      </c>
      <c r="DP1053" s="4" t="s">
        <v>241</v>
      </c>
      <c r="DQ1053" s="4" t="s">
        <v>241</v>
      </c>
      <c r="DR1053" s="4" t="s">
        <v>241</v>
      </c>
      <c r="DS1053" s="4" t="s">
        <v>241</v>
      </c>
      <c r="DV1053" s="4" t="s">
        <v>278</v>
      </c>
      <c r="DW1053" s="4" t="s">
        <v>683</v>
      </c>
      <c r="HO1053" s="4" t="s">
        <v>267</v>
      </c>
    </row>
    <row r="1054" spans="1:223" ht="19.5" customHeight="1" x14ac:dyDescent="0.4">
      <c r="A1054" s="4">
        <v>1</v>
      </c>
      <c r="B1054" s="4" t="s">
        <v>239</v>
      </c>
      <c r="C1054" s="4">
        <v>2728</v>
      </c>
      <c r="D1054" s="4">
        <v>1</v>
      </c>
      <c r="E1054" s="4">
        <v>1</v>
      </c>
      <c r="F1054" s="4" t="s">
        <v>268</v>
      </c>
      <c r="G1054" s="4" t="s">
        <v>241</v>
      </c>
      <c r="H1054" s="4" t="s">
        <v>241</v>
      </c>
      <c r="I1054" s="4" t="s">
        <v>272</v>
      </c>
      <c r="J1054" s="4" t="s">
        <v>274</v>
      </c>
      <c r="K1054" s="4" t="s">
        <v>251</v>
      </c>
      <c r="L1054" s="4" t="s">
        <v>269</v>
      </c>
      <c r="M1054" s="5" t="s">
        <v>1067</v>
      </c>
      <c r="N1054" s="6">
        <f>7492</f>
        <v>7492</v>
      </c>
      <c r="O1054" s="4" t="s">
        <v>265</v>
      </c>
      <c r="P1054" s="6">
        <f>1</f>
        <v>1</v>
      </c>
      <c r="Q1054" s="6">
        <f>0</f>
        <v>0</v>
      </c>
      <c r="S1054" s="6">
        <f>0</f>
        <v>0</v>
      </c>
      <c r="T1054" s="6">
        <f>1</f>
        <v>1</v>
      </c>
      <c r="U1054" s="5" t="s">
        <v>245</v>
      </c>
      <c r="V1054" s="4" t="s">
        <v>270</v>
      </c>
      <c r="W1054" s="4" t="s">
        <v>271</v>
      </c>
      <c r="X1054" s="4" t="s">
        <v>273</v>
      </c>
      <c r="Y1054" s="4" t="s">
        <v>241</v>
      </c>
      <c r="AB1054" s="4" t="s">
        <v>241</v>
      </c>
      <c r="AD1054" s="5" t="s">
        <v>241</v>
      </c>
      <c r="AG1054" s="5" t="s">
        <v>246</v>
      </c>
      <c r="AH1054" s="4" t="s">
        <v>241</v>
      </c>
      <c r="AI1054" s="4" t="s">
        <v>247</v>
      </c>
      <c r="AJ1054" s="4" t="s">
        <v>248</v>
      </c>
      <c r="AZ1054" s="4" t="s">
        <v>249</v>
      </c>
      <c r="BA1054" s="4" t="s">
        <v>241</v>
      </c>
      <c r="BB1054" s="4" t="s">
        <v>250</v>
      </c>
      <c r="BC1054" s="4" t="s">
        <v>241</v>
      </c>
      <c r="BD1054" s="4" t="s">
        <v>252</v>
      </c>
      <c r="BE1054" s="4" t="s">
        <v>241</v>
      </c>
      <c r="BI1054" s="4" t="s">
        <v>253</v>
      </c>
      <c r="BJ1054" s="5" t="s">
        <v>246</v>
      </c>
      <c r="BK1054" s="4" t="s">
        <v>254</v>
      </c>
      <c r="BL1054" s="4" t="s">
        <v>255</v>
      </c>
      <c r="BM1054" s="4" t="s">
        <v>241</v>
      </c>
      <c r="BN1054" s="6">
        <f>0</f>
        <v>0</v>
      </c>
      <c r="BO1054" s="6">
        <f>0</f>
        <v>0</v>
      </c>
      <c r="BP1054" s="4" t="s">
        <v>256</v>
      </c>
      <c r="BQ1054" s="4" t="s">
        <v>257</v>
      </c>
      <c r="CE1054" s="4" t="s">
        <v>241</v>
      </c>
      <c r="CF1054" s="4" t="s">
        <v>241</v>
      </c>
      <c r="CJ1054" s="4" t="s">
        <v>276</v>
      </c>
      <c r="CK1054" s="4" t="s">
        <v>259</v>
      </c>
      <c r="CL1054" s="4" t="s">
        <v>241</v>
      </c>
      <c r="CO1054" s="5" t="s">
        <v>260</v>
      </c>
      <c r="CP1054" s="4" t="s">
        <v>241</v>
      </c>
      <c r="CQ1054" s="4" t="s">
        <v>261</v>
      </c>
      <c r="CR1054" s="4" t="s">
        <v>241</v>
      </c>
      <c r="CS1054" s="4" t="s">
        <v>241</v>
      </c>
      <c r="CT1054" s="4">
        <v>0</v>
      </c>
      <c r="CU1054" s="4" t="s">
        <v>262</v>
      </c>
      <c r="CV1054" s="4" t="s">
        <v>263</v>
      </c>
      <c r="CW1054" s="4" t="s">
        <v>263</v>
      </c>
      <c r="CX1054" s="4" t="s">
        <v>264</v>
      </c>
      <c r="DA1054" s="6">
        <f>1</f>
        <v>1</v>
      </c>
      <c r="DC1054" s="4" t="s">
        <v>277</v>
      </c>
      <c r="DD1054" s="4" t="s">
        <v>241</v>
      </c>
      <c r="DF1054" s="4" t="s">
        <v>277</v>
      </c>
      <c r="DG1054" s="6">
        <f>7492</f>
        <v>7492</v>
      </c>
      <c r="DI1054" s="4" t="s">
        <v>241</v>
      </c>
      <c r="DJ1054" s="4" t="s">
        <v>241</v>
      </c>
      <c r="DK1054" s="4" t="s">
        <v>241</v>
      </c>
      <c r="DL1054" s="4" t="s">
        <v>241</v>
      </c>
      <c r="DP1054" s="4" t="s">
        <v>241</v>
      </c>
      <c r="DQ1054" s="4" t="s">
        <v>241</v>
      </c>
      <c r="DR1054" s="4" t="s">
        <v>241</v>
      </c>
      <c r="DS1054" s="4" t="s">
        <v>241</v>
      </c>
      <c r="DV1054" s="4" t="s">
        <v>278</v>
      </c>
      <c r="DW1054" s="4" t="s">
        <v>685</v>
      </c>
      <c r="HO1054" s="4" t="s">
        <v>267</v>
      </c>
    </row>
    <row r="1055" spans="1:223" ht="19.5" customHeight="1" x14ac:dyDescent="0.4">
      <c r="A1055" s="4">
        <v>1</v>
      </c>
      <c r="B1055" s="4" t="s">
        <v>239</v>
      </c>
      <c r="C1055" s="4">
        <v>2729</v>
      </c>
      <c r="D1055" s="4">
        <v>1</v>
      </c>
      <c r="E1055" s="4">
        <v>1</v>
      </c>
      <c r="F1055" s="4" t="s">
        <v>268</v>
      </c>
      <c r="G1055" s="4" t="s">
        <v>241</v>
      </c>
      <c r="H1055" s="4" t="s">
        <v>241</v>
      </c>
      <c r="I1055" s="4" t="s">
        <v>272</v>
      </c>
      <c r="J1055" s="4" t="s">
        <v>274</v>
      </c>
      <c r="K1055" s="4" t="s">
        <v>251</v>
      </c>
      <c r="L1055" s="4" t="s">
        <v>269</v>
      </c>
      <c r="M1055" s="5" t="s">
        <v>1280</v>
      </c>
      <c r="N1055" s="6">
        <f>383</f>
        <v>383</v>
      </c>
      <c r="O1055" s="4" t="s">
        <v>265</v>
      </c>
      <c r="P1055" s="6">
        <f>1</f>
        <v>1</v>
      </c>
      <c r="Q1055" s="6">
        <f>0</f>
        <v>0</v>
      </c>
      <c r="S1055" s="6">
        <f>0</f>
        <v>0</v>
      </c>
      <c r="T1055" s="6">
        <f>1</f>
        <v>1</v>
      </c>
      <c r="U1055" s="5" t="s">
        <v>245</v>
      </c>
      <c r="V1055" s="4" t="s">
        <v>270</v>
      </c>
      <c r="W1055" s="4" t="s">
        <v>271</v>
      </c>
      <c r="X1055" s="4" t="s">
        <v>273</v>
      </c>
      <c r="Y1055" s="4" t="s">
        <v>241</v>
      </c>
      <c r="AB1055" s="4" t="s">
        <v>241</v>
      </c>
      <c r="AD1055" s="5" t="s">
        <v>241</v>
      </c>
      <c r="AG1055" s="5" t="s">
        <v>246</v>
      </c>
      <c r="AH1055" s="4" t="s">
        <v>241</v>
      </c>
      <c r="AI1055" s="4" t="s">
        <v>247</v>
      </c>
      <c r="AJ1055" s="4" t="s">
        <v>248</v>
      </c>
      <c r="AZ1055" s="4" t="s">
        <v>249</v>
      </c>
      <c r="BA1055" s="4" t="s">
        <v>241</v>
      </c>
      <c r="BB1055" s="4" t="s">
        <v>250</v>
      </c>
      <c r="BC1055" s="4" t="s">
        <v>241</v>
      </c>
      <c r="BD1055" s="4" t="s">
        <v>252</v>
      </c>
      <c r="BE1055" s="4" t="s">
        <v>241</v>
      </c>
      <c r="BI1055" s="4" t="s">
        <v>253</v>
      </c>
      <c r="BJ1055" s="5" t="s">
        <v>246</v>
      </c>
      <c r="BK1055" s="4" t="s">
        <v>254</v>
      </c>
      <c r="BL1055" s="4" t="s">
        <v>255</v>
      </c>
      <c r="BM1055" s="4" t="s">
        <v>241</v>
      </c>
      <c r="BN1055" s="6">
        <f>0</f>
        <v>0</v>
      </c>
      <c r="BO1055" s="6">
        <f>0</f>
        <v>0</v>
      </c>
      <c r="BP1055" s="4" t="s">
        <v>256</v>
      </c>
      <c r="BQ1055" s="4" t="s">
        <v>257</v>
      </c>
      <c r="CE1055" s="4" t="s">
        <v>241</v>
      </c>
      <c r="CF1055" s="4" t="s">
        <v>241</v>
      </c>
      <c r="CJ1055" s="4" t="s">
        <v>276</v>
      </c>
      <c r="CK1055" s="4" t="s">
        <v>259</v>
      </c>
      <c r="CL1055" s="4" t="s">
        <v>241</v>
      </c>
      <c r="CO1055" s="5" t="s">
        <v>260</v>
      </c>
      <c r="CP1055" s="4" t="s">
        <v>241</v>
      </c>
      <c r="CQ1055" s="4" t="s">
        <v>261</v>
      </c>
      <c r="CR1055" s="4" t="s">
        <v>241</v>
      </c>
      <c r="CS1055" s="4" t="s">
        <v>241</v>
      </c>
      <c r="CT1055" s="4">
        <v>0</v>
      </c>
      <c r="CU1055" s="4" t="s">
        <v>262</v>
      </c>
      <c r="CV1055" s="4" t="s">
        <v>263</v>
      </c>
      <c r="CW1055" s="4" t="s">
        <v>263</v>
      </c>
      <c r="CX1055" s="4" t="s">
        <v>264</v>
      </c>
      <c r="DA1055" s="6">
        <f>1</f>
        <v>1</v>
      </c>
      <c r="DC1055" s="4" t="s">
        <v>277</v>
      </c>
      <c r="DD1055" s="4" t="s">
        <v>241</v>
      </c>
      <c r="DF1055" s="4" t="s">
        <v>277</v>
      </c>
      <c r="DG1055" s="6">
        <f>383</f>
        <v>383</v>
      </c>
      <c r="DI1055" s="4" t="s">
        <v>241</v>
      </c>
      <c r="DJ1055" s="4" t="s">
        <v>241</v>
      </c>
      <c r="DK1055" s="4" t="s">
        <v>241</v>
      </c>
      <c r="DL1055" s="4" t="s">
        <v>241</v>
      </c>
      <c r="DP1055" s="4" t="s">
        <v>241</v>
      </c>
      <c r="DQ1055" s="4" t="s">
        <v>241</v>
      </c>
      <c r="DR1055" s="4" t="s">
        <v>241</v>
      </c>
      <c r="DS1055" s="4" t="s">
        <v>241</v>
      </c>
      <c r="DV1055" s="4" t="s">
        <v>278</v>
      </c>
      <c r="DW1055" s="4" t="s">
        <v>698</v>
      </c>
      <c r="HO1055" s="4" t="s">
        <v>267</v>
      </c>
    </row>
    <row r="1056" spans="1:223" ht="19.5" customHeight="1" x14ac:dyDescent="0.4">
      <c r="A1056" s="4">
        <v>1</v>
      </c>
      <c r="B1056" s="4" t="s">
        <v>239</v>
      </c>
      <c r="C1056" s="4">
        <v>2730</v>
      </c>
      <c r="D1056" s="4">
        <v>1</v>
      </c>
      <c r="E1056" s="4">
        <v>1</v>
      </c>
      <c r="F1056" s="4" t="s">
        <v>268</v>
      </c>
      <c r="G1056" s="4" t="s">
        <v>241</v>
      </c>
      <c r="H1056" s="4" t="s">
        <v>241</v>
      </c>
      <c r="I1056" s="4" t="s">
        <v>272</v>
      </c>
      <c r="J1056" s="4" t="s">
        <v>274</v>
      </c>
      <c r="K1056" s="4" t="s">
        <v>251</v>
      </c>
      <c r="L1056" s="4" t="s">
        <v>269</v>
      </c>
      <c r="M1056" s="5" t="s">
        <v>1058</v>
      </c>
      <c r="N1056" s="6">
        <f>302</f>
        <v>302</v>
      </c>
      <c r="O1056" s="4" t="s">
        <v>265</v>
      </c>
      <c r="P1056" s="6">
        <f>1</f>
        <v>1</v>
      </c>
      <c r="Q1056" s="6">
        <f>0</f>
        <v>0</v>
      </c>
      <c r="S1056" s="6">
        <f>0</f>
        <v>0</v>
      </c>
      <c r="T1056" s="6">
        <f>1</f>
        <v>1</v>
      </c>
      <c r="U1056" s="5" t="s">
        <v>245</v>
      </c>
      <c r="V1056" s="4" t="s">
        <v>270</v>
      </c>
      <c r="W1056" s="4" t="s">
        <v>271</v>
      </c>
      <c r="X1056" s="4" t="s">
        <v>273</v>
      </c>
      <c r="Y1056" s="4" t="s">
        <v>241</v>
      </c>
      <c r="AB1056" s="4" t="s">
        <v>241</v>
      </c>
      <c r="AD1056" s="5" t="s">
        <v>241</v>
      </c>
      <c r="AG1056" s="5" t="s">
        <v>246</v>
      </c>
      <c r="AH1056" s="4" t="s">
        <v>241</v>
      </c>
      <c r="AI1056" s="4" t="s">
        <v>247</v>
      </c>
      <c r="AJ1056" s="4" t="s">
        <v>248</v>
      </c>
      <c r="AZ1056" s="4" t="s">
        <v>249</v>
      </c>
      <c r="BA1056" s="4" t="s">
        <v>241</v>
      </c>
      <c r="BB1056" s="4" t="s">
        <v>250</v>
      </c>
      <c r="BC1056" s="4" t="s">
        <v>241</v>
      </c>
      <c r="BD1056" s="4" t="s">
        <v>252</v>
      </c>
      <c r="BE1056" s="4" t="s">
        <v>241</v>
      </c>
      <c r="BI1056" s="4" t="s">
        <v>253</v>
      </c>
      <c r="BJ1056" s="5" t="s">
        <v>246</v>
      </c>
      <c r="BK1056" s="4" t="s">
        <v>254</v>
      </c>
      <c r="BL1056" s="4" t="s">
        <v>255</v>
      </c>
      <c r="BM1056" s="4" t="s">
        <v>241</v>
      </c>
      <c r="BN1056" s="6">
        <f>0</f>
        <v>0</v>
      </c>
      <c r="BO1056" s="6">
        <f>0</f>
        <v>0</v>
      </c>
      <c r="BP1056" s="4" t="s">
        <v>256</v>
      </c>
      <c r="BQ1056" s="4" t="s">
        <v>257</v>
      </c>
      <c r="CE1056" s="4" t="s">
        <v>241</v>
      </c>
      <c r="CF1056" s="4" t="s">
        <v>241</v>
      </c>
      <c r="CJ1056" s="4" t="s">
        <v>276</v>
      </c>
      <c r="CK1056" s="4" t="s">
        <v>259</v>
      </c>
      <c r="CL1056" s="4" t="s">
        <v>241</v>
      </c>
      <c r="CO1056" s="5" t="s">
        <v>260</v>
      </c>
      <c r="CP1056" s="4" t="s">
        <v>241</v>
      </c>
      <c r="CQ1056" s="4" t="s">
        <v>261</v>
      </c>
      <c r="CR1056" s="4" t="s">
        <v>241</v>
      </c>
      <c r="CS1056" s="4" t="s">
        <v>241</v>
      </c>
      <c r="CT1056" s="4">
        <v>0</v>
      </c>
      <c r="CU1056" s="4" t="s">
        <v>262</v>
      </c>
      <c r="CV1056" s="4" t="s">
        <v>263</v>
      </c>
      <c r="CW1056" s="4" t="s">
        <v>263</v>
      </c>
      <c r="CX1056" s="4" t="s">
        <v>264</v>
      </c>
      <c r="DA1056" s="6">
        <f>1</f>
        <v>1</v>
      </c>
      <c r="DC1056" s="4" t="s">
        <v>277</v>
      </c>
      <c r="DD1056" s="4" t="s">
        <v>241</v>
      </c>
      <c r="DF1056" s="4" t="s">
        <v>277</v>
      </c>
      <c r="DG1056" s="6">
        <f>302</f>
        <v>302</v>
      </c>
      <c r="DI1056" s="4" t="s">
        <v>241</v>
      </c>
      <c r="DJ1056" s="4" t="s">
        <v>241</v>
      </c>
      <c r="DK1056" s="4" t="s">
        <v>241</v>
      </c>
      <c r="DL1056" s="4" t="s">
        <v>241</v>
      </c>
      <c r="DP1056" s="4" t="s">
        <v>241</v>
      </c>
      <c r="DQ1056" s="4" t="s">
        <v>241</v>
      </c>
      <c r="DR1056" s="4" t="s">
        <v>241</v>
      </c>
      <c r="DS1056" s="4" t="s">
        <v>241</v>
      </c>
      <c r="DV1056" s="4" t="s">
        <v>278</v>
      </c>
      <c r="DW1056" s="4" t="s">
        <v>1059</v>
      </c>
      <c r="HO1056" s="4" t="s">
        <v>267</v>
      </c>
    </row>
    <row r="1057" spans="1:223" ht="19.5" customHeight="1" x14ac:dyDescent="0.4">
      <c r="A1057" s="4">
        <v>1</v>
      </c>
      <c r="B1057" s="4" t="s">
        <v>239</v>
      </c>
      <c r="C1057" s="4">
        <v>2731</v>
      </c>
      <c r="D1057" s="4">
        <v>1</v>
      </c>
      <c r="E1057" s="4">
        <v>1</v>
      </c>
      <c r="F1057" s="4" t="s">
        <v>268</v>
      </c>
      <c r="G1057" s="4" t="s">
        <v>241</v>
      </c>
      <c r="H1057" s="4" t="s">
        <v>241</v>
      </c>
      <c r="I1057" s="4" t="s">
        <v>272</v>
      </c>
      <c r="J1057" s="4" t="s">
        <v>274</v>
      </c>
      <c r="K1057" s="4" t="s">
        <v>251</v>
      </c>
      <c r="L1057" s="4" t="s">
        <v>269</v>
      </c>
      <c r="M1057" s="5" t="s">
        <v>1055</v>
      </c>
      <c r="N1057" s="6">
        <f>216</f>
        <v>216</v>
      </c>
      <c r="O1057" s="4" t="s">
        <v>265</v>
      </c>
      <c r="P1057" s="6">
        <f>1</f>
        <v>1</v>
      </c>
      <c r="Q1057" s="6">
        <f>0</f>
        <v>0</v>
      </c>
      <c r="S1057" s="6">
        <f>0</f>
        <v>0</v>
      </c>
      <c r="T1057" s="6">
        <f>1</f>
        <v>1</v>
      </c>
      <c r="U1057" s="5" t="s">
        <v>245</v>
      </c>
      <c r="V1057" s="4" t="s">
        <v>270</v>
      </c>
      <c r="W1057" s="4" t="s">
        <v>271</v>
      </c>
      <c r="X1057" s="4" t="s">
        <v>273</v>
      </c>
      <c r="Y1057" s="4" t="s">
        <v>241</v>
      </c>
      <c r="AB1057" s="4" t="s">
        <v>241</v>
      </c>
      <c r="AD1057" s="5" t="s">
        <v>241</v>
      </c>
      <c r="AG1057" s="5" t="s">
        <v>246</v>
      </c>
      <c r="AH1057" s="4" t="s">
        <v>241</v>
      </c>
      <c r="AI1057" s="4" t="s">
        <v>247</v>
      </c>
      <c r="AJ1057" s="4" t="s">
        <v>248</v>
      </c>
      <c r="AZ1057" s="4" t="s">
        <v>249</v>
      </c>
      <c r="BA1057" s="4" t="s">
        <v>241</v>
      </c>
      <c r="BB1057" s="4" t="s">
        <v>250</v>
      </c>
      <c r="BC1057" s="4" t="s">
        <v>241</v>
      </c>
      <c r="BD1057" s="4" t="s">
        <v>252</v>
      </c>
      <c r="BE1057" s="4" t="s">
        <v>241</v>
      </c>
      <c r="BI1057" s="4" t="s">
        <v>253</v>
      </c>
      <c r="BJ1057" s="5" t="s">
        <v>246</v>
      </c>
      <c r="BK1057" s="4" t="s">
        <v>254</v>
      </c>
      <c r="BL1057" s="4" t="s">
        <v>255</v>
      </c>
      <c r="BM1057" s="4" t="s">
        <v>241</v>
      </c>
      <c r="BN1057" s="6">
        <f>0</f>
        <v>0</v>
      </c>
      <c r="BO1057" s="6">
        <f>0</f>
        <v>0</v>
      </c>
      <c r="BP1057" s="4" t="s">
        <v>256</v>
      </c>
      <c r="BQ1057" s="4" t="s">
        <v>257</v>
      </c>
      <c r="CE1057" s="4" t="s">
        <v>241</v>
      </c>
      <c r="CF1057" s="4" t="s">
        <v>241</v>
      </c>
      <c r="CJ1057" s="4" t="s">
        <v>276</v>
      </c>
      <c r="CK1057" s="4" t="s">
        <v>259</v>
      </c>
      <c r="CL1057" s="4" t="s">
        <v>241</v>
      </c>
      <c r="CO1057" s="5" t="s">
        <v>260</v>
      </c>
      <c r="CP1057" s="4" t="s">
        <v>241</v>
      </c>
      <c r="CQ1057" s="4" t="s">
        <v>261</v>
      </c>
      <c r="CR1057" s="4" t="s">
        <v>241</v>
      </c>
      <c r="CS1057" s="4" t="s">
        <v>241</v>
      </c>
      <c r="CT1057" s="4">
        <v>0</v>
      </c>
      <c r="CU1057" s="4" t="s">
        <v>262</v>
      </c>
      <c r="CV1057" s="4" t="s">
        <v>263</v>
      </c>
      <c r="CW1057" s="4" t="s">
        <v>263</v>
      </c>
      <c r="CX1057" s="4" t="s">
        <v>264</v>
      </c>
      <c r="DA1057" s="6">
        <f>1</f>
        <v>1</v>
      </c>
      <c r="DC1057" s="4" t="s">
        <v>277</v>
      </c>
      <c r="DD1057" s="4" t="s">
        <v>241</v>
      </c>
      <c r="DF1057" s="4" t="s">
        <v>277</v>
      </c>
      <c r="DG1057" s="6">
        <f>216</f>
        <v>216</v>
      </c>
      <c r="DI1057" s="4" t="s">
        <v>241</v>
      </c>
      <c r="DJ1057" s="4" t="s">
        <v>241</v>
      </c>
      <c r="DK1057" s="4" t="s">
        <v>241</v>
      </c>
      <c r="DL1057" s="4" t="s">
        <v>241</v>
      </c>
      <c r="DP1057" s="4" t="s">
        <v>241</v>
      </c>
      <c r="DQ1057" s="4" t="s">
        <v>241</v>
      </c>
      <c r="DR1057" s="4" t="s">
        <v>241</v>
      </c>
      <c r="DS1057" s="4" t="s">
        <v>241</v>
      </c>
      <c r="DV1057" s="4" t="s">
        <v>278</v>
      </c>
      <c r="DW1057" s="4" t="s">
        <v>1056</v>
      </c>
      <c r="HO1057" s="4" t="s">
        <v>267</v>
      </c>
    </row>
    <row r="1058" spans="1:223" ht="19.5" customHeight="1" x14ac:dyDescent="0.4">
      <c r="A1058" s="4">
        <v>1</v>
      </c>
      <c r="B1058" s="4" t="s">
        <v>239</v>
      </c>
      <c r="C1058" s="4">
        <v>2732</v>
      </c>
      <c r="D1058" s="4">
        <v>1</v>
      </c>
      <c r="E1058" s="4">
        <v>1</v>
      </c>
      <c r="F1058" s="4" t="s">
        <v>268</v>
      </c>
      <c r="G1058" s="4" t="s">
        <v>241</v>
      </c>
      <c r="H1058" s="4" t="s">
        <v>241</v>
      </c>
      <c r="I1058" s="4" t="s">
        <v>272</v>
      </c>
      <c r="J1058" s="4" t="s">
        <v>274</v>
      </c>
      <c r="K1058" s="4" t="s">
        <v>251</v>
      </c>
      <c r="L1058" s="4" t="s">
        <v>269</v>
      </c>
      <c r="M1058" s="5" t="s">
        <v>1049</v>
      </c>
      <c r="N1058" s="6">
        <f>1118</f>
        <v>1118</v>
      </c>
      <c r="O1058" s="4" t="s">
        <v>265</v>
      </c>
      <c r="P1058" s="6">
        <f>1</f>
        <v>1</v>
      </c>
      <c r="Q1058" s="6">
        <f>0</f>
        <v>0</v>
      </c>
      <c r="S1058" s="6">
        <f>0</f>
        <v>0</v>
      </c>
      <c r="T1058" s="6">
        <f>1</f>
        <v>1</v>
      </c>
      <c r="U1058" s="5" t="s">
        <v>245</v>
      </c>
      <c r="V1058" s="4" t="s">
        <v>270</v>
      </c>
      <c r="W1058" s="4" t="s">
        <v>271</v>
      </c>
      <c r="X1058" s="4" t="s">
        <v>273</v>
      </c>
      <c r="Y1058" s="4" t="s">
        <v>241</v>
      </c>
      <c r="AB1058" s="4" t="s">
        <v>241</v>
      </c>
      <c r="AD1058" s="5" t="s">
        <v>241</v>
      </c>
      <c r="AG1058" s="5" t="s">
        <v>246</v>
      </c>
      <c r="AH1058" s="4" t="s">
        <v>241</v>
      </c>
      <c r="AI1058" s="4" t="s">
        <v>247</v>
      </c>
      <c r="AJ1058" s="4" t="s">
        <v>248</v>
      </c>
      <c r="AZ1058" s="4" t="s">
        <v>249</v>
      </c>
      <c r="BA1058" s="4" t="s">
        <v>241</v>
      </c>
      <c r="BB1058" s="4" t="s">
        <v>250</v>
      </c>
      <c r="BC1058" s="4" t="s">
        <v>241</v>
      </c>
      <c r="BD1058" s="4" t="s">
        <v>252</v>
      </c>
      <c r="BE1058" s="4" t="s">
        <v>241</v>
      </c>
      <c r="BI1058" s="4" t="s">
        <v>253</v>
      </c>
      <c r="BJ1058" s="5" t="s">
        <v>246</v>
      </c>
      <c r="BK1058" s="4" t="s">
        <v>254</v>
      </c>
      <c r="BL1058" s="4" t="s">
        <v>255</v>
      </c>
      <c r="BM1058" s="4" t="s">
        <v>241</v>
      </c>
      <c r="BN1058" s="6">
        <f>0</f>
        <v>0</v>
      </c>
      <c r="BO1058" s="6">
        <f>0</f>
        <v>0</v>
      </c>
      <c r="BP1058" s="4" t="s">
        <v>256</v>
      </c>
      <c r="BQ1058" s="4" t="s">
        <v>257</v>
      </c>
      <c r="CE1058" s="4" t="s">
        <v>241</v>
      </c>
      <c r="CF1058" s="4" t="s">
        <v>241</v>
      </c>
      <c r="CJ1058" s="4" t="s">
        <v>276</v>
      </c>
      <c r="CK1058" s="4" t="s">
        <v>259</v>
      </c>
      <c r="CL1058" s="4" t="s">
        <v>241</v>
      </c>
      <c r="CO1058" s="5" t="s">
        <v>260</v>
      </c>
      <c r="CP1058" s="4" t="s">
        <v>241</v>
      </c>
      <c r="CQ1058" s="4" t="s">
        <v>261</v>
      </c>
      <c r="CR1058" s="4" t="s">
        <v>241</v>
      </c>
      <c r="CS1058" s="4" t="s">
        <v>241</v>
      </c>
      <c r="CT1058" s="4">
        <v>0</v>
      </c>
      <c r="CU1058" s="4" t="s">
        <v>262</v>
      </c>
      <c r="CV1058" s="4" t="s">
        <v>263</v>
      </c>
      <c r="CW1058" s="4" t="s">
        <v>263</v>
      </c>
      <c r="CX1058" s="4" t="s">
        <v>264</v>
      </c>
      <c r="DA1058" s="6">
        <f>1</f>
        <v>1</v>
      </c>
      <c r="DC1058" s="4" t="s">
        <v>277</v>
      </c>
      <c r="DD1058" s="4" t="s">
        <v>241</v>
      </c>
      <c r="DF1058" s="4" t="s">
        <v>277</v>
      </c>
      <c r="DG1058" s="6">
        <f>1118</f>
        <v>1118</v>
      </c>
      <c r="DI1058" s="4" t="s">
        <v>241</v>
      </c>
      <c r="DJ1058" s="4" t="s">
        <v>241</v>
      </c>
      <c r="DK1058" s="4" t="s">
        <v>241</v>
      </c>
      <c r="DL1058" s="4" t="s">
        <v>241</v>
      </c>
      <c r="DP1058" s="4" t="s">
        <v>241</v>
      </c>
      <c r="DQ1058" s="4" t="s">
        <v>241</v>
      </c>
      <c r="DR1058" s="4" t="s">
        <v>241</v>
      </c>
      <c r="DS1058" s="4" t="s">
        <v>241</v>
      </c>
      <c r="DV1058" s="4" t="s">
        <v>278</v>
      </c>
      <c r="DW1058" s="4" t="s">
        <v>1050</v>
      </c>
      <c r="HO1058" s="4" t="s">
        <v>267</v>
      </c>
    </row>
    <row r="1059" spans="1:223" ht="19.5" customHeight="1" x14ac:dyDescent="0.4">
      <c r="A1059" s="4">
        <v>1</v>
      </c>
      <c r="B1059" s="4" t="s">
        <v>239</v>
      </c>
      <c r="C1059" s="4">
        <v>2733</v>
      </c>
      <c r="D1059" s="4">
        <v>1</v>
      </c>
      <c r="E1059" s="4">
        <v>1</v>
      </c>
      <c r="F1059" s="4" t="s">
        <v>268</v>
      </c>
      <c r="G1059" s="4" t="s">
        <v>241</v>
      </c>
      <c r="H1059" s="4" t="s">
        <v>241</v>
      </c>
      <c r="I1059" s="4" t="s">
        <v>272</v>
      </c>
      <c r="J1059" s="4" t="s">
        <v>274</v>
      </c>
      <c r="K1059" s="4" t="s">
        <v>251</v>
      </c>
      <c r="L1059" s="4" t="s">
        <v>269</v>
      </c>
      <c r="M1059" s="5" t="s">
        <v>1042</v>
      </c>
      <c r="N1059" s="6">
        <f>1321</f>
        <v>1321</v>
      </c>
      <c r="O1059" s="4" t="s">
        <v>265</v>
      </c>
      <c r="P1059" s="6">
        <f>1</f>
        <v>1</v>
      </c>
      <c r="Q1059" s="6">
        <f>0</f>
        <v>0</v>
      </c>
      <c r="S1059" s="6">
        <f>0</f>
        <v>0</v>
      </c>
      <c r="T1059" s="6">
        <f>1</f>
        <v>1</v>
      </c>
      <c r="U1059" s="5" t="s">
        <v>245</v>
      </c>
      <c r="V1059" s="4" t="s">
        <v>270</v>
      </c>
      <c r="W1059" s="4" t="s">
        <v>271</v>
      </c>
      <c r="X1059" s="4" t="s">
        <v>273</v>
      </c>
      <c r="Y1059" s="4" t="s">
        <v>241</v>
      </c>
      <c r="AB1059" s="4" t="s">
        <v>241</v>
      </c>
      <c r="AD1059" s="5" t="s">
        <v>241</v>
      </c>
      <c r="AG1059" s="5" t="s">
        <v>246</v>
      </c>
      <c r="AH1059" s="4" t="s">
        <v>241</v>
      </c>
      <c r="AI1059" s="4" t="s">
        <v>247</v>
      </c>
      <c r="AJ1059" s="4" t="s">
        <v>248</v>
      </c>
      <c r="AZ1059" s="4" t="s">
        <v>249</v>
      </c>
      <c r="BA1059" s="4" t="s">
        <v>241</v>
      </c>
      <c r="BB1059" s="4" t="s">
        <v>250</v>
      </c>
      <c r="BC1059" s="4" t="s">
        <v>241</v>
      </c>
      <c r="BD1059" s="4" t="s">
        <v>252</v>
      </c>
      <c r="BE1059" s="4" t="s">
        <v>241</v>
      </c>
      <c r="BI1059" s="4" t="s">
        <v>253</v>
      </c>
      <c r="BJ1059" s="5" t="s">
        <v>246</v>
      </c>
      <c r="BK1059" s="4" t="s">
        <v>254</v>
      </c>
      <c r="BL1059" s="4" t="s">
        <v>255</v>
      </c>
      <c r="BM1059" s="4" t="s">
        <v>241</v>
      </c>
      <c r="BN1059" s="6">
        <f>0</f>
        <v>0</v>
      </c>
      <c r="BO1059" s="6">
        <f>0</f>
        <v>0</v>
      </c>
      <c r="BP1059" s="4" t="s">
        <v>256</v>
      </c>
      <c r="BQ1059" s="4" t="s">
        <v>257</v>
      </c>
      <c r="CE1059" s="4" t="s">
        <v>241</v>
      </c>
      <c r="CF1059" s="4" t="s">
        <v>241</v>
      </c>
      <c r="CJ1059" s="4" t="s">
        <v>276</v>
      </c>
      <c r="CK1059" s="4" t="s">
        <v>259</v>
      </c>
      <c r="CL1059" s="4" t="s">
        <v>241</v>
      </c>
      <c r="CO1059" s="5" t="s">
        <v>260</v>
      </c>
      <c r="CP1059" s="4" t="s">
        <v>241</v>
      </c>
      <c r="CQ1059" s="4" t="s">
        <v>261</v>
      </c>
      <c r="CR1059" s="4" t="s">
        <v>241</v>
      </c>
      <c r="CS1059" s="4" t="s">
        <v>241</v>
      </c>
      <c r="CT1059" s="4">
        <v>0</v>
      </c>
      <c r="CU1059" s="4" t="s">
        <v>262</v>
      </c>
      <c r="CV1059" s="4" t="s">
        <v>263</v>
      </c>
      <c r="CW1059" s="4" t="s">
        <v>263</v>
      </c>
      <c r="CX1059" s="4" t="s">
        <v>264</v>
      </c>
      <c r="DA1059" s="6">
        <f>1</f>
        <v>1</v>
      </c>
      <c r="DC1059" s="4" t="s">
        <v>277</v>
      </c>
      <c r="DD1059" s="4" t="s">
        <v>241</v>
      </c>
      <c r="DF1059" s="4" t="s">
        <v>277</v>
      </c>
      <c r="DG1059" s="6">
        <f>1321</f>
        <v>1321</v>
      </c>
      <c r="DI1059" s="4" t="s">
        <v>241</v>
      </c>
      <c r="DJ1059" s="4" t="s">
        <v>241</v>
      </c>
      <c r="DK1059" s="4" t="s">
        <v>241</v>
      </c>
      <c r="DL1059" s="4" t="s">
        <v>241</v>
      </c>
      <c r="DP1059" s="4" t="s">
        <v>241</v>
      </c>
      <c r="DQ1059" s="4" t="s">
        <v>241</v>
      </c>
      <c r="DR1059" s="4" t="s">
        <v>241</v>
      </c>
      <c r="DS1059" s="4" t="s">
        <v>241</v>
      </c>
      <c r="DV1059" s="4" t="s">
        <v>278</v>
      </c>
      <c r="DW1059" s="4" t="s">
        <v>1043</v>
      </c>
      <c r="HO1059" s="4" t="s">
        <v>267</v>
      </c>
    </row>
    <row r="1060" spans="1:223" ht="19.5" customHeight="1" x14ac:dyDescent="0.4">
      <c r="A1060" s="4">
        <v>1</v>
      </c>
      <c r="B1060" s="4" t="s">
        <v>239</v>
      </c>
      <c r="C1060" s="4">
        <v>2734</v>
      </c>
      <c r="D1060" s="4">
        <v>1</v>
      </c>
      <c r="E1060" s="4">
        <v>1</v>
      </c>
      <c r="F1060" s="4" t="s">
        <v>268</v>
      </c>
      <c r="G1060" s="4" t="s">
        <v>241</v>
      </c>
      <c r="H1060" s="4" t="s">
        <v>241</v>
      </c>
      <c r="I1060" s="4" t="s">
        <v>272</v>
      </c>
      <c r="J1060" s="4" t="s">
        <v>274</v>
      </c>
      <c r="K1060" s="4" t="s">
        <v>251</v>
      </c>
      <c r="L1060" s="4" t="s">
        <v>269</v>
      </c>
      <c r="M1060" s="5" t="s">
        <v>1036</v>
      </c>
      <c r="N1060" s="6">
        <f>1098</f>
        <v>1098</v>
      </c>
      <c r="O1060" s="4" t="s">
        <v>265</v>
      </c>
      <c r="P1060" s="6">
        <f>1</f>
        <v>1</v>
      </c>
      <c r="Q1060" s="6">
        <f>0</f>
        <v>0</v>
      </c>
      <c r="S1060" s="6">
        <f>0</f>
        <v>0</v>
      </c>
      <c r="T1060" s="6">
        <f>1</f>
        <v>1</v>
      </c>
      <c r="U1060" s="5" t="s">
        <v>245</v>
      </c>
      <c r="V1060" s="4" t="s">
        <v>270</v>
      </c>
      <c r="W1060" s="4" t="s">
        <v>271</v>
      </c>
      <c r="X1060" s="4" t="s">
        <v>273</v>
      </c>
      <c r="Y1060" s="4" t="s">
        <v>241</v>
      </c>
      <c r="AB1060" s="4" t="s">
        <v>241</v>
      </c>
      <c r="AD1060" s="5" t="s">
        <v>241</v>
      </c>
      <c r="AG1060" s="5" t="s">
        <v>246</v>
      </c>
      <c r="AH1060" s="4" t="s">
        <v>241</v>
      </c>
      <c r="AI1060" s="4" t="s">
        <v>247</v>
      </c>
      <c r="AJ1060" s="4" t="s">
        <v>248</v>
      </c>
      <c r="AZ1060" s="4" t="s">
        <v>249</v>
      </c>
      <c r="BA1060" s="4" t="s">
        <v>241</v>
      </c>
      <c r="BB1060" s="4" t="s">
        <v>250</v>
      </c>
      <c r="BC1060" s="4" t="s">
        <v>241</v>
      </c>
      <c r="BD1060" s="4" t="s">
        <v>252</v>
      </c>
      <c r="BE1060" s="4" t="s">
        <v>241</v>
      </c>
      <c r="BI1060" s="4" t="s">
        <v>253</v>
      </c>
      <c r="BJ1060" s="5" t="s">
        <v>246</v>
      </c>
      <c r="BK1060" s="4" t="s">
        <v>254</v>
      </c>
      <c r="BL1060" s="4" t="s">
        <v>255</v>
      </c>
      <c r="BM1060" s="4" t="s">
        <v>241</v>
      </c>
      <c r="BN1060" s="6">
        <f>0</f>
        <v>0</v>
      </c>
      <c r="BO1060" s="6">
        <f>0</f>
        <v>0</v>
      </c>
      <c r="BP1060" s="4" t="s">
        <v>256</v>
      </c>
      <c r="BQ1060" s="4" t="s">
        <v>257</v>
      </c>
      <c r="CE1060" s="4" t="s">
        <v>241</v>
      </c>
      <c r="CF1060" s="4" t="s">
        <v>241</v>
      </c>
      <c r="CJ1060" s="4" t="s">
        <v>276</v>
      </c>
      <c r="CK1060" s="4" t="s">
        <v>259</v>
      </c>
      <c r="CL1060" s="4" t="s">
        <v>241</v>
      </c>
      <c r="CO1060" s="5" t="s">
        <v>260</v>
      </c>
      <c r="CP1060" s="4" t="s">
        <v>241</v>
      </c>
      <c r="CQ1060" s="4" t="s">
        <v>261</v>
      </c>
      <c r="CR1060" s="4" t="s">
        <v>241</v>
      </c>
      <c r="CS1060" s="4" t="s">
        <v>241</v>
      </c>
      <c r="CT1060" s="4">
        <v>0</v>
      </c>
      <c r="CU1060" s="4" t="s">
        <v>262</v>
      </c>
      <c r="CV1060" s="4" t="s">
        <v>263</v>
      </c>
      <c r="CW1060" s="4" t="s">
        <v>263</v>
      </c>
      <c r="CX1060" s="4" t="s">
        <v>264</v>
      </c>
      <c r="DA1060" s="6">
        <f>1</f>
        <v>1</v>
      </c>
      <c r="DC1060" s="4" t="s">
        <v>277</v>
      </c>
      <c r="DD1060" s="4" t="s">
        <v>241</v>
      </c>
      <c r="DF1060" s="4" t="s">
        <v>277</v>
      </c>
      <c r="DG1060" s="6">
        <f>1098</f>
        <v>1098</v>
      </c>
      <c r="DI1060" s="4" t="s">
        <v>241</v>
      </c>
      <c r="DJ1060" s="4" t="s">
        <v>241</v>
      </c>
      <c r="DK1060" s="4" t="s">
        <v>241</v>
      </c>
      <c r="DL1060" s="4" t="s">
        <v>241</v>
      </c>
      <c r="DP1060" s="4" t="s">
        <v>241</v>
      </c>
      <c r="DQ1060" s="4" t="s">
        <v>241</v>
      </c>
      <c r="DR1060" s="4" t="s">
        <v>241</v>
      </c>
      <c r="DS1060" s="4" t="s">
        <v>241</v>
      </c>
      <c r="DV1060" s="4" t="s">
        <v>278</v>
      </c>
      <c r="DW1060" s="4" t="s">
        <v>1037</v>
      </c>
      <c r="HO1060" s="4" t="s">
        <v>267</v>
      </c>
    </row>
    <row r="1061" spans="1:223" ht="19.5" customHeight="1" x14ac:dyDescent="0.4">
      <c r="A1061" s="4">
        <v>1</v>
      </c>
      <c r="B1061" s="4" t="s">
        <v>239</v>
      </c>
      <c r="C1061" s="4">
        <v>2735</v>
      </c>
      <c r="D1061" s="4">
        <v>1</v>
      </c>
      <c r="E1061" s="4">
        <v>1</v>
      </c>
      <c r="F1061" s="4" t="s">
        <v>268</v>
      </c>
      <c r="G1061" s="4" t="s">
        <v>241</v>
      </c>
      <c r="H1061" s="4" t="s">
        <v>241</v>
      </c>
      <c r="I1061" s="4" t="s">
        <v>272</v>
      </c>
      <c r="J1061" s="4" t="s">
        <v>274</v>
      </c>
      <c r="K1061" s="4" t="s">
        <v>251</v>
      </c>
      <c r="L1061" s="4" t="s">
        <v>269</v>
      </c>
      <c r="M1061" s="5" t="s">
        <v>1033</v>
      </c>
      <c r="N1061" s="6">
        <f>454</f>
        <v>454</v>
      </c>
      <c r="O1061" s="4" t="s">
        <v>265</v>
      </c>
      <c r="P1061" s="6">
        <f>1</f>
        <v>1</v>
      </c>
      <c r="Q1061" s="6">
        <f>0</f>
        <v>0</v>
      </c>
      <c r="S1061" s="6">
        <f>0</f>
        <v>0</v>
      </c>
      <c r="T1061" s="6">
        <f>1</f>
        <v>1</v>
      </c>
      <c r="U1061" s="5" t="s">
        <v>245</v>
      </c>
      <c r="V1061" s="4" t="s">
        <v>270</v>
      </c>
      <c r="W1061" s="4" t="s">
        <v>271</v>
      </c>
      <c r="X1061" s="4" t="s">
        <v>273</v>
      </c>
      <c r="Y1061" s="4" t="s">
        <v>241</v>
      </c>
      <c r="AB1061" s="4" t="s">
        <v>241</v>
      </c>
      <c r="AD1061" s="5" t="s">
        <v>241</v>
      </c>
      <c r="AG1061" s="5" t="s">
        <v>246</v>
      </c>
      <c r="AH1061" s="4" t="s">
        <v>241</v>
      </c>
      <c r="AI1061" s="4" t="s">
        <v>247</v>
      </c>
      <c r="AJ1061" s="4" t="s">
        <v>248</v>
      </c>
      <c r="AZ1061" s="4" t="s">
        <v>249</v>
      </c>
      <c r="BA1061" s="4" t="s">
        <v>241</v>
      </c>
      <c r="BB1061" s="4" t="s">
        <v>250</v>
      </c>
      <c r="BC1061" s="4" t="s">
        <v>241</v>
      </c>
      <c r="BD1061" s="4" t="s">
        <v>252</v>
      </c>
      <c r="BE1061" s="4" t="s">
        <v>241</v>
      </c>
      <c r="BI1061" s="4" t="s">
        <v>253</v>
      </c>
      <c r="BJ1061" s="5" t="s">
        <v>246</v>
      </c>
      <c r="BK1061" s="4" t="s">
        <v>254</v>
      </c>
      <c r="BL1061" s="4" t="s">
        <v>255</v>
      </c>
      <c r="BM1061" s="4" t="s">
        <v>241</v>
      </c>
      <c r="BN1061" s="6">
        <f>0</f>
        <v>0</v>
      </c>
      <c r="BO1061" s="6">
        <f>0</f>
        <v>0</v>
      </c>
      <c r="BP1061" s="4" t="s">
        <v>256</v>
      </c>
      <c r="BQ1061" s="4" t="s">
        <v>257</v>
      </c>
      <c r="CE1061" s="4" t="s">
        <v>241</v>
      </c>
      <c r="CF1061" s="4" t="s">
        <v>241</v>
      </c>
      <c r="CJ1061" s="4" t="s">
        <v>276</v>
      </c>
      <c r="CK1061" s="4" t="s">
        <v>259</v>
      </c>
      <c r="CL1061" s="4" t="s">
        <v>241</v>
      </c>
      <c r="CO1061" s="5" t="s">
        <v>260</v>
      </c>
      <c r="CP1061" s="4" t="s">
        <v>241</v>
      </c>
      <c r="CQ1061" s="4" t="s">
        <v>261</v>
      </c>
      <c r="CR1061" s="4" t="s">
        <v>241</v>
      </c>
      <c r="CS1061" s="4" t="s">
        <v>241</v>
      </c>
      <c r="CT1061" s="4">
        <v>0</v>
      </c>
      <c r="CU1061" s="4" t="s">
        <v>262</v>
      </c>
      <c r="CV1061" s="4" t="s">
        <v>263</v>
      </c>
      <c r="CW1061" s="4" t="s">
        <v>263</v>
      </c>
      <c r="CX1061" s="4" t="s">
        <v>264</v>
      </c>
      <c r="DA1061" s="6">
        <f>1</f>
        <v>1</v>
      </c>
      <c r="DC1061" s="4" t="s">
        <v>277</v>
      </c>
      <c r="DD1061" s="4" t="s">
        <v>241</v>
      </c>
      <c r="DF1061" s="4" t="s">
        <v>277</v>
      </c>
      <c r="DG1061" s="6">
        <f>454</f>
        <v>454</v>
      </c>
      <c r="DI1061" s="4" t="s">
        <v>241</v>
      </c>
      <c r="DJ1061" s="4" t="s">
        <v>241</v>
      </c>
      <c r="DK1061" s="4" t="s">
        <v>241</v>
      </c>
      <c r="DL1061" s="4" t="s">
        <v>241</v>
      </c>
      <c r="DP1061" s="4" t="s">
        <v>241</v>
      </c>
      <c r="DQ1061" s="4" t="s">
        <v>241</v>
      </c>
      <c r="DR1061" s="4" t="s">
        <v>241</v>
      </c>
      <c r="DS1061" s="4" t="s">
        <v>241</v>
      </c>
      <c r="DV1061" s="4" t="s">
        <v>278</v>
      </c>
      <c r="DW1061" s="4" t="s">
        <v>1034</v>
      </c>
      <c r="HO1061" s="4" t="s">
        <v>267</v>
      </c>
    </row>
    <row r="1062" spans="1:223" ht="19.5" customHeight="1" x14ac:dyDescent="0.4">
      <c r="A1062" s="4">
        <v>1</v>
      </c>
      <c r="B1062" s="4" t="s">
        <v>239</v>
      </c>
      <c r="C1062" s="4">
        <v>2736</v>
      </c>
      <c r="D1062" s="4">
        <v>1</v>
      </c>
      <c r="E1062" s="4">
        <v>1</v>
      </c>
      <c r="F1062" s="4" t="s">
        <v>268</v>
      </c>
      <c r="G1062" s="4" t="s">
        <v>241</v>
      </c>
      <c r="H1062" s="4" t="s">
        <v>241</v>
      </c>
      <c r="I1062" s="4" t="s">
        <v>272</v>
      </c>
      <c r="J1062" s="4" t="s">
        <v>274</v>
      </c>
      <c r="K1062" s="4" t="s">
        <v>251</v>
      </c>
      <c r="L1062" s="4" t="s">
        <v>269</v>
      </c>
      <c r="M1062" s="5" t="s">
        <v>1196</v>
      </c>
      <c r="N1062" s="6">
        <f>130</f>
        <v>130</v>
      </c>
      <c r="O1062" s="4" t="s">
        <v>265</v>
      </c>
      <c r="P1062" s="6">
        <f>1</f>
        <v>1</v>
      </c>
      <c r="Q1062" s="6">
        <f>0</f>
        <v>0</v>
      </c>
      <c r="S1062" s="6">
        <f>0</f>
        <v>0</v>
      </c>
      <c r="T1062" s="6">
        <f>1</f>
        <v>1</v>
      </c>
      <c r="U1062" s="5" t="s">
        <v>245</v>
      </c>
      <c r="V1062" s="4" t="s">
        <v>270</v>
      </c>
      <c r="W1062" s="4" t="s">
        <v>271</v>
      </c>
      <c r="X1062" s="4" t="s">
        <v>273</v>
      </c>
      <c r="Y1062" s="4" t="s">
        <v>241</v>
      </c>
      <c r="AB1062" s="4" t="s">
        <v>241</v>
      </c>
      <c r="AD1062" s="5" t="s">
        <v>241</v>
      </c>
      <c r="AG1062" s="5" t="s">
        <v>246</v>
      </c>
      <c r="AH1062" s="4" t="s">
        <v>241</v>
      </c>
      <c r="AI1062" s="4" t="s">
        <v>247</v>
      </c>
      <c r="AJ1062" s="4" t="s">
        <v>248</v>
      </c>
      <c r="AZ1062" s="4" t="s">
        <v>249</v>
      </c>
      <c r="BA1062" s="4" t="s">
        <v>241</v>
      </c>
      <c r="BB1062" s="4" t="s">
        <v>250</v>
      </c>
      <c r="BC1062" s="4" t="s">
        <v>241</v>
      </c>
      <c r="BD1062" s="4" t="s">
        <v>252</v>
      </c>
      <c r="BE1062" s="4" t="s">
        <v>241</v>
      </c>
      <c r="BI1062" s="4" t="s">
        <v>253</v>
      </c>
      <c r="BJ1062" s="5" t="s">
        <v>246</v>
      </c>
      <c r="BK1062" s="4" t="s">
        <v>254</v>
      </c>
      <c r="BL1062" s="4" t="s">
        <v>255</v>
      </c>
      <c r="BM1062" s="4" t="s">
        <v>241</v>
      </c>
      <c r="BN1062" s="6">
        <f>0</f>
        <v>0</v>
      </c>
      <c r="BO1062" s="6">
        <f>0</f>
        <v>0</v>
      </c>
      <c r="BP1062" s="4" t="s">
        <v>256</v>
      </c>
      <c r="BQ1062" s="4" t="s">
        <v>257</v>
      </c>
      <c r="CE1062" s="4" t="s">
        <v>241</v>
      </c>
      <c r="CF1062" s="4" t="s">
        <v>241</v>
      </c>
      <c r="CJ1062" s="4" t="s">
        <v>276</v>
      </c>
      <c r="CK1062" s="4" t="s">
        <v>259</v>
      </c>
      <c r="CL1062" s="4" t="s">
        <v>241</v>
      </c>
      <c r="CO1062" s="5" t="s">
        <v>260</v>
      </c>
      <c r="CP1062" s="4" t="s">
        <v>241</v>
      </c>
      <c r="CQ1062" s="4" t="s">
        <v>261</v>
      </c>
      <c r="CR1062" s="4" t="s">
        <v>241</v>
      </c>
      <c r="CS1062" s="4" t="s">
        <v>241</v>
      </c>
      <c r="CT1062" s="4">
        <v>0</v>
      </c>
      <c r="CU1062" s="4" t="s">
        <v>262</v>
      </c>
      <c r="CV1062" s="4" t="s">
        <v>263</v>
      </c>
      <c r="CW1062" s="4" t="s">
        <v>263</v>
      </c>
      <c r="CX1062" s="4" t="s">
        <v>264</v>
      </c>
      <c r="DA1062" s="6">
        <f>1</f>
        <v>1</v>
      </c>
      <c r="DC1062" s="4" t="s">
        <v>277</v>
      </c>
      <c r="DD1062" s="4" t="s">
        <v>241</v>
      </c>
      <c r="DF1062" s="4" t="s">
        <v>277</v>
      </c>
      <c r="DG1062" s="6">
        <f>130</f>
        <v>130</v>
      </c>
      <c r="DI1062" s="4" t="s">
        <v>241</v>
      </c>
      <c r="DJ1062" s="4" t="s">
        <v>241</v>
      </c>
      <c r="DK1062" s="4" t="s">
        <v>241</v>
      </c>
      <c r="DL1062" s="4" t="s">
        <v>241</v>
      </c>
      <c r="DP1062" s="4" t="s">
        <v>241</v>
      </c>
      <c r="DQ1062" s="4" t="s">
        <v>241</v>
      </c>
      <c r="DR1062" s="4" t="s">
        <v>241</v>
      </c>
      <c r="DS1062" s="4" t="s">
        <v>241</v>
      </c>
      <c r="DV1062" s="4" t="s">
        <v>278</v>
      </c>
      <c r="DW1062" s="4" t="s">
        <v>1197</v>
      </c>
      <c r="HO1062" s="4" t="s">
        <v>267</v>
      </c>
    </row>
    <row r="1063" spans="1:223" ht="19.5" customHeight="1" x14ac:dyDescent="0.4">
      <c r="A1063" s="4">
        <v>1</v>
      </c>
      <c r="B1063" s="4" t="s">
        <v>239</v>
      </c>
      <c r="C1063" s="4">
        <v>2737</v>
      </c>
      <c r="D1063" s="4">
        <v>1</v>
      </c>
      <c r="E1063" s="4">
        <v>1</v>
      </c>
      <c r="F1063" s="4" t="s">
        <v>268</v>
      </c>
      <c r="G1063" s="4" t="s">
        <v>241</v>
      </c>
      <c r="H1063" s="4" t="s">
        <v>241</v>
      </c>
      <c r="I1063" s="4" t="s">
        <v>272</v>
      </c>
      <c r="J1063" s="4" t="s">
        <v>274</v>
      </c>
      <c r="K1063" s="4" t="s">
        <v>251</v>
      </c>
      <c r="L1063" s="4" t="s">
        <v>269</v>
      </c>
      <c r="M1063" s="5" t="s">
        <v>1028</v>
      </c>
      <c r="N1063" s="6">
        <f>16</f>
        <v>16</v>
      </c>
      <c r="O1063" s="4" t="s">
        <v>265</v>
      </c>
      <c r="P1063" s="6">
        <f>1</f>
        <v>1</v>
      </c>
      <c r="Q1063" s="6">
        <f>0</f>
        <v>0</v>
      </c>
      <c r="S1063" s="6">
        <f>0</f>
        <v>0</v>
      </c>
      <c r="T1063" s="6">
        <f>1</f>
        <v>1</v>
      </c>
      <c r="U1063" s="5" t="s">
        <v>245</v>
      </c>
      <c r="V1063" s="4" t="s">
        <v>270</v>
      </c>
      <c r="W1063" s="4" t="s">
        <v>271</v>
      </c>
      <c r="X1063" s="4" t="s">
        <v>273</v>
      </c>
      <c r="Y1063" s="4" t="s">
        <v>241</v>
      </c>
      <c r="AB1063" s="4" t="s">
        <v>241</v>
      </c>
      <c r="AD1063" s="5" t="s">
        <v>241</v>
      </c>
      <c r="AG1063" s="5" t="s">
        <v>246</v>
      </c>
      <c r="AH1063" s="4" t="s">
        <v>241</v>
      </c>
      <c r="AI1063" s="4" t="s">
        <v>247</v>
      </c>
      <c r="AJ1063" s="4" t="s">
        <v>248</v>
      </c>
      <c r="AZ1063" s="4" t="s">
        <v>249</v>
      </c>
      <c r="BA1063" s="4" t="s">
        <v>241</v>
      </c>
      <c r="BB1063" s="4" t="s">
        <v>250</v>
      </c>
      <c r="BC1063" s="4" t="s">
        <v>241</v>
      </c>
      <c r="BD1063" s="4" t="s">
        <v>252</v>
      </c>
      <c r="BE1063" s="4" t="s">
        <v>241</v>
      </c>
      <c r="BI1063" s="4" t="s">
        <v>253</v>
      </c>
      <c r="BJ1063" s="5" t="s">
        <v>246</v>
      </c>
      <c r="BK1063" s="4" t="s">
        <v>254</v>
      </c>
      <c r="BL1063" s="4" t="s">
        <v>255</v>
      </c>
      <c r="BM1063" s="4" t="s">
        <v>241</v>
      </c>
      <c r="BN1063" s="6">
        <f>0</f>
        <v>0</v>
      </c>
      <c r="BO1063" s="6">
        <f>0</f>
        <v>0</v>
      </c>
      <c r="BP1063" s="4" t="s">
        <v>256</v>
      </c>
      <c r="BQ1063" s="4" t="s">
        <v>257</v>
      </c>
      <c r="CE1063" s="4" t="s">
        <v>241</v>
      </c>
      <c r="CF1063" s="4" t="s">
        <v>241</v>
      </c>
      <c r="CJ1063" s="4" t="s">
        <v>276</v>
      </c>
      <c r="CK1063" s="4" t="s">
        <v>259</v>
      </c>
      <c r="CL1063" s="4" t="s">
        <v>241</v>
      </c>
      <c r="CO1063" s="5" t="s">
        <v>260</v>
      </c>
      <c r="CP1063" s="4" t="s">
        <v>241</v>
      </c>
      <c r="CQ1063" s="4" t="s">
        <v>261</v>
      </c>
      <c r="CR1063" s="4" t="s">
        <v>241</v>
      </c>
      <c r="CS1063" s="4" t="s">
        <v>241</v>
      </c>
      <c r="CT1063" s="4">
        <v>0</v>
      </c>
      <c r="CU1063" s="4" t="s">
        <v>262</v>
      </c>
      <c r="CV1063" s="4" t="s">
        <v>263</v>
      </c>
      <c r="CW1063" s="4" t="s">
        <v>263</v>
      </c>
      <c r="CX1063" s="4" t="s">
        <v>264</v>
      </c>
      <c r="DA1063" s="6">
        <f>1</f>
        <v>1</v>
      </c>
      <c r="DC1063" s="4" t="s">
        <v>277</v>
      </c>
      <c r="DD1063" s="4" t="s">
        <v>241</v>
      </c>
      <c r="DF1063" s="4" t="s">
        <v>277</v>
      </c>
      <c r="DG1063" s="6">
        <f>16</f>
        <v>16</v>
      </c>
      <c r="DI1063" s="4" t="s">
        <v>241</v>
      </c>
      <c r="DJ1063" s="4" t="s">
        <v>241</v>
      </c>
      <c r="DK1063" s="4" t="s">
        <v>241</v>
      </c>
      <c r="DL1063" s="4" t="s">
        <v>241</v>
      </c>
      <c r="DP1063" s="4" t="s">
        <v>241</v>
      </c>
      <c r="DQ1063" s="4" t="s">
        <v>241</v>
      </c>
      <c r="DR1063" s="4" t="s">
        <v>241</v>
      </c>
      <c r="DS1063" s="4" t="s">
        <v>241</v>
      </c>
      <c r="DV1063" s="4" t="s">
        <v>278</v>
      </c>
      <c r="DW1063" s="4" t="s">
        <v>1029</v>
      </c>
      <c r="HO1063" s="4" t="s">
        <v>267</v>
      </c>
    </row>
    <row r="1064" spans="1:223" ht="19.5" customHeight="1" x14ac:dyDescent="0.4">
      <c r="A1064" s="4">
        <v>1</v>
      </c>
      <c r="B1064" s="4" t="s">
        <v>239</v>
      </c>
      <c r="C1064" s="4">
        <v>2738</v>
      </c>
      <c r="D1064" s="4">
        <v>1</v>
      </c>
      <c r="E1064" s="4">
        <v>1</v>
      </c>
      <c r="F1064" s="4" t="s">
        <v>268</v>
      </c>
      <c r="G1064" s="4" t="s">
        <v>241</v>
      </c>
      <c r="H1064" s="4" t="s">
        <v>241</v>
      </c>
      <c r="I1064" s="4" t="s">
        <v>272</v>
      </c>
      <c r="J1064" s="4" t="s">
        <v>274</v>
      </c>
      <c r="K1064" s="4" t="s">
        <v>251</v>
      </c>
      <c r="L1064" s="4" t="s">
        <v>269</v>
      </c>
      <c r="M1064" s="5" t="s">
        <v>1369</v>
      </c>
      <c r="N1064" s="6">
        <f>68</f>
        <v>68</v>
      </c>
      <c r="O1064" s="4" t="s">
        <v>265</v>
      </c>
      <c r="P1064" s="6">
        <f>1</f>
        <v>1</v>
      </c>
      <c r="Q1064" s="6">
        <f>0</f>
        <v>0</v>
      </c>
      <c r="S1064" s="6">
        <f>0</f>
        <v>0</v>
      </c>
      <c r="T1064" s="6">
        <f>1</f>
        <v>1</v>
      </c>
      <c r="U1064" s="5" t="s">
        <v>245</v>
      </c>
      <c r="V1064" s="4" t="s">
        <v>270</v>
      </c>
      <c r="W1064" s="4" t="s">
        <v>271</v>
      </c>
      <c r="X1064" s="4" t="s">
        <v>273</v>
      </c>
      <c r="Y1064" s="4" t="s">
        <v>241</v>
      </c>
      <c r="AB1064" s="4" t="s">
        <v>241</v>
      </c>
      <c r="AD1064" s="5" t="s">
        <v>241</v>
      </c>
      <c r="AG1064" s="5" t="s">
        <v>246</v>
      </c>
      <c r="AH1064" s="4" t="s">
        <v>241</v>
      </c>
      <c r="AI1064" s="4" t="s">
        <v>247</v>
      </c>
      <c r="AJ1064" s="4" t="s">
        <v>248</v>
      </c>
      <c r="AZ1064" s="4" t="s">
        <v>249</v>
      </c>
      <c r="BA1064" s="4" t="s">
        <v>241</v>
      </c>
      <c r="BB1064" s="4" t="s">
        <v>250</v>
      </c>
      <c r="BC1064" s="4" t="s">
        <v>241</v>
      </c>
      <c r="BD1064" s="4" t="s">
        <v>252</v>
      </c>
      <c r="BE1064" s="4" t="s">
        <v>241</v>
      </c>
      <c r="BI1064" s="4" t="s">
        <v>253</v>
      </c>
      <c r="BJ1064" s="5" t="s">
        <v>246</v>
      </c>
      <c r="BK1064" s="4" t="s">
        <v>254</v>
      </c>
      <c r="BL1064" s="4" t="s">
        <v>255</v>
      </c>
      <c r="BM1064" s="4" t="s">
        <v>241</v>
      </c>
      <c r="BN1064" s="6">
        <f>0</f>
        <v>0</v>
      </c>
      <c r="BO1064" s="6">
        <f>0</f>
        <v>0</v>
      </c>
      <c r="BP1064" s="4" t="s">
        <v>256</v>
      </c>
      <c r="BQ1064" s="4" t="s">
        <v>257</v>
      </c>
      <c r="CE1064" s="4" t="s">
        <v>241</v>
      </c>
      <c r="CF1064" s="4" t="s">
        <v>241</v>
      </c>
      <c r="CJ1064" s="4" t="s">
        <v>276</v>
      </c>
      <c r="CK1064" s="4" t="s">
        <v>259</v>
      </c>
      <c r="CL1064" s="4" t="s">
        <v>241</v>
      </c>
      <c r="CO1064" s="5" t="s">
        <v>260</v>
      </c>
      <c r="CP1064" s="4" t="s">
        <v>241</v>
      </c>
      <c r="CQ1064" s="4" t="s">
        <v>261</v>
      </c>
      <c r="CR1064" s="4" t="s">
        <v>241</v>
      </c>
      <c r="CS1064" s="4" t="s">
        <v>241</v>
      </c>
      <c r="CT1064" s="4">
        <v>0</v>
      </c>
      <c r="CU1064" s="4" t="s">
        <v>262</v>
      </c>
      <c r="CV1064" s="4" t="s">
        <v>263</v>
      </c>
      <c r="CW1064" s="4" t="s">
        <v>263</v>
      </c>
      <c r="CX1064" s="4" t="s">
        <v>264</v>
      </c>
      <c r="DA1064" s="6">
        <f>1</f>
        <v>1</v>
      </c>
      <c r="DC1064" s="4" t="s">
        <v>277</v>
      </c>
      <c r="DD1064" s="4" t="s">
        <v>241</v>
      </c>
      <c r="DF1064" s="4" t="s">
        <v>277</v>
      </c>
      <c r="DG1064" s="6">
        <f>68</f>
        <v>68</v>
      </c>
      <c r="DI1064" s="4" t="s">
        <v>241</v>
      </c>
      <c r="DJ1064" s="4" t="s">
        <v>241</v>
      </c>
      <c r="DK1064" s="4" t="s">
        <v>241</v>
      </c>
      <c r="DL1064" s="4" t="s">
        <v>241</v>
      </c>
      <c r="DP1064" s="4" t="s">
        <v>241</v>
      </c>
      <c r="DQ1064" s="4" t="s">
        <v>241</v>
      </c>
      <c r="DR1064" s="4" t="s">
        <v>241</v>
      </c>
      <c r="DS1064" s="4" t="s">
        <v>241</v>
      </c>
      <c r="DV1064" s="4" t="s">
        <v>278</v>
      </c>
      <c r="DW1064" s="4" t="s">
        <v>838</v>
      </c>
      <c r="HO1064" s="4" t="s">
        <v>267</v>
      </c>
    </row>
    <row r="1065" spans="1:223" ht="19.5" customHeight="1" x14ac:dyDescent="0.4">
      <c r="A1065" s="4">
        <v>1</v>
      </c>
      <c r="B1065" s="4" t="s">
        <v>239</v>
      </c>
      <c r="C1065" s="4">
        <v>2739</v>
      </c>
      <c r="D1065" s="4">
        <v>1</v>
      </c>
      <c r="E1065" s="4">
        <v>1</v>
      </c>
      <c r="F1065" s="4" t="s">
        <v>268</v>
      </c>
      <c r="G1065" s="4" t="s">
        <v>241</v>
      </c>
      <c r="H1065" s="4" t="s">
        <v>241</v>
      </c>
      <c r="I1065" s="4" t="s">
        <v>272</v>
      </c>
      <c r="J1065" s="4" t="s">
        <v>274</v>
      </c>
      <c r="K1065" s="4" t="s">
        <v>251</v>
      </c>
      <c r="L1065" s="4" t="s">
        <v>269</v>
      </c>
      <c r="M1065" s="5" t="s">
        <v>2629</v>
      </c>
      <c r="N1065" s="6">
        <f>2551</f>
        <v>2551</v>
      </c>
      <c r="O1065" s="4" t="s">
        <v>265</v>
      </c>
      <c r="P1065" s="6">
        <f>1</f>
        <v>1</v>
      </c>
      <c r="Q1065" s="6">
        <f>0</f>
        <v>0</v>
      </c>
      <c r="S1065" s="6">
        <f>0</f>
        <v>0</v>
      </c>
      <c r="T1065" s="6">
        <f>1</f>
        <v>1</v>
      </c>
      <c r="U1065" s="5" t="s">
        <v>245</v>
      </c>
      <c r="V1065" s="4" t="s">
        <v>270</v>
      </c>
      <c r="W1065" s="4" t="s">
        <v>271</v>
      </c>
      <c r="X1065" s="4" t="s">
        <v>273</v>
      </c>
      <c r="Y1065" s="4" t="s">
        <v>241</v>
      </c>
      <c r="AB1065" s="4" t="s">
        <v>241</v>
      </c>
      <c r="AD1065" s="5" t="s">
        <v>241</v>
      </c>
      <c r="AG1065" s="5" t="s">
        <v>246</v>
      </c>
      <c r="AH1065" s="4" t="s">
        <v>241</v>
      </c>
      <c r="AI1065" s="4" t="s">
        <v>247</v>
      </c>
      <c r="AJ1065" s="4" t="s">
        <v>248</v>
      </c>
      <c r="AZ1065" s="4" t="s">
        <v>249</v>
      </c>
      <c r="BA1065" s="4" t="s">
        <v>241</v>
      </c>
      <c r="BB1065" s="4" t="s">
        <v>250</v>
      </c>
      <c r="BC1065" s="4" t="s">
        <v>241</v>
      </c>
      <c r="BD1065" s="4" t="s">
        <v>252</v>
      </c>
      <c r="BE1065" s="4" t="s">
        <v>241</v>
      </c>
      <c r="BI1065" s="4" t="s">
        <v>253</v>
      </c>
      <c r="BJ1065" s="5" t="s">
        <v>246</v>
      </c>
      <c r="BK1065" s="4" t="s">
        <v>254</v>
      </c>
      <c r="BL1065" s="4" t="s">
        <v>255</v>
      </c>
      <c r="BM1065" s="4" t="s">
        <v>241</v>
      </c>
      <c r="BN1065" s="6">
        <f>0</f>
        <v>0</v>
      </c>
      <c r="BO1065" s="6">
        <f>0</f>
        <v>0</v>
      </c>
      <c r="BP1065" s="4" t="s">
        <v>256</v>
      </c>
      <c r="BQ1065" s="4" t="s">
        <v>257</v>
      </c>
      <c r="CE1065" s="4" t="s">
        <v>241</v>
      </c>
      <c r="CF1065" s="4" t="s">
        <v>241</v>
      </c>
      <c r="CJ1065" s="4" t="s">
        <v>276</v>
      </c>
      <c r="CK1065" s="4" t="s">
        <v>259</v>
      </c>
      <c r="CL1065" s="4" t="s">
        <v>241</v>
      </c>
      <c r="CO1065" s="5" t="s">
        <v>260</v>
      </c>
      <c r="CP1065" s="4" t="s">
        <v>241</v>
      </c>
      <c r="CQ1065" s="4" t="s">
        <v>261</v>
      </c>
      <c r="CR1065" s="4" t="s">
        <v>241</v>
      </c>
      <c r="CS1065" s="4" t="s">
        <v>241</v>
      </c>
      <c r="CT1065" s="4">
        <v>0</v>
      </c>
      <c r="CU1065" s="4" t="s">
        <v>262</v>
      </c>
      <c r="CV1065" s="4" t="s">
        <v>263</v>
      </c>
      <c r="CW1065" s="4" t="s">
        <v>263</v>
      </c>
      <c r="CX1065" s="4" t="s">
        <v>264</v>
      </c>
      <c r="DA1065" s="6">
        <f>1</f>
        <v>1</v>
      </c>
      <c r="DC1065" s="4" t="s">
        <v>277</v>
      </c>
      <c r="DD1065" s="4" t="s">
        <v>241</v>
      </c>
      <c r="DF1065" s="4" t="s">
        <v>277</v>
      </c>
      <c r="DG1065" s="6">
        <f>2551</f>
        <v>2551</v>
      </c>
      <c r="DI1065" s="4" t="s">
        <v>241</v>
      </c>
      <c r="DJ1065" s="4" t="s">
        <v>241</v>
      </c>
      <c r="DK1065" s="4" t="s">
        <v>241</v>
      </c>
      <c r="DL1065" s="4" t="s">
        <v>241</v>
      </c>
      <c r="DP1065" s="4" t="s">
        <v>241</v>
      </c>
      <c r="DQ1065" s="4" t="s">
        <v>241</v>
      </c>
      <c r="DR1065" s="4" t="s">
        <v>241</v>
      </c>
      <c r="DS1065" s="4" t="s">
        <v>241</v>
      </c>
      <c r="DV1065" s="4" t="s">
        <v>278</v>
      </c>
      <c r="DW1065" s="4" t="s">
        <v>2630</v>
      </c>
      <c r="HO1065" s="4" t="s">
        <v>267</v>
      </c>
    </row>
    <row r="1066" spans="1:223" ht="19.5" customHeight="1" x14ac:dyDescent="0.4">
      <c r="A1066" s="4">
        <v>1</v>
      </c>
      <c r="B1066" s="4" t="s">
        <v>239</v>
      </c>
      <c r="C1066" s="4">
        <v>2740</v>
      </c>
      <c r="D1066" s="4">
        <v>1</v>
      </c>
      <c r="E1066" s="4">
        <v>1</v>
      </c>
      <c r="F1066" s="4" t="s">
        <v>268</v>
      </c>
      <c r="G1066" s="4" t="s">
        <v>241</v>
      </c>
      <c r="H1066" s="4" t="s">
        <v>241</v>
      </c>
      <c r="I1066" s="4" t="s">
        <v>272</v>
      </c>
      <c r="J1066" s="4" t="s">
        <v>274</v>
      </c>
      <c r="K1066" s="4" t="s">
        <v>251</v>
      </c>
      <c r="L1066" s="4" t="s">
        <v>269</v>
      </c>
      <c r="M1066" s="5" t="s">
        <v>1389</v>
      </c>
      <c r="N1066" s="6">
        <f>421</f>
        <v>421</v>
      </c>
      <c r="O1066" s="4" t="s">
        <v>265</v>
      </c>
      <c r="P1066" s="6">
        <f>1</f>
        <v>1</v>
      </c>
      <c r="Q1066" s="6">
        <f>0</f>
        <v>0</v>
      </c>
      <c r="S1066" s="6">
        <f>0</f>
        <v>0</v>
      </c>
      <c r="T1066" s="6">
        <f>1</f>
        <v>1</v>
      </c>
      <c r="U1066" s="5" t="s">
        <v>245</v>
      </c>
      <c r="V1066" s="4" t="s">
        <v>270</v>
      </c>
      <c r="W1066" s="4" t="s">
        <v>271</v>
      </c>
      <c r="X1066" s="4" t="s">
        <v>273</v>
      </c>
      <c r="Y1066" s="4" t="s">
        <v>241</v>
      </c>
      <c r="AB1066" s="4" t="s">
        <v>241</v>
      </c>
      <c r="AD1066" s="5" t="s">
        <v>241</v>
      </c>
      <c r="AG1066" s="5" t="s">
        <v>246</v>
      </c>
      <c r="AH1066" s="4" t="s">
        <v>241</v>
      </c>
      <c r="AI1066" s="4" t="s">
        <v>247</v>
      </c>
      <c r="AJ1066" s="4" t="s">
        <v>248</v>
      </c>
      <c r="AZ1066" s="4" t="s">
        <v>249</v>
      </c>
      <c r="BA1066" s="4" t="s">
        <v>241</v>
      </c>
      <c r="BB1066" s="4" t="s">
        <v>250</v>
      </c>
      <c r="BC1066" s="4" t="s">
        <v>241</v>
      </c>
      <c r="BD1066" s="4" t="s">
        <v>252</v>
      </c>
      <c r="BE1066" s="4" t="s">
        <v>241</v>
      </c>
      <c r="BI1066" s="4" t="s">
        <v>253</v>
      </c>
      <c r="BJ1066" s="5" t="s">
        <v>246</v>
      </c>
      <c r="BK1066" s="4" t="s">
        <v>254</v>
      </c>
      <c r="BL1066" s="4" t="s">
        <v>255</v>
      </c>
      <c r="BM1066" s="4" t="s">
        <v>241</v>
      </c>
      <c r="BN1066" s="6">
        <f>0</f>
        <v>0</v>
      </c>
      <c r="BO1066" s="6">
        <f>0</f>
        <v>0</v>
      </c>
      <c r="BP1066" s="4" t="s">
        <v>256</v>
      </c>
      <c r="BQ1066" s="4" t="s">
        <v>257</v>
      </c>
      <c r="CE1066" s="4" t="s">
        <v>241</v>
      </c>
      <c r="CF1066" s="4" t="s">
        <v>241</v>
      </c>
      <c r="CJ1066" s="4" t="s">
        <v>276</v>
      </c>
      <c r="CK1066" s="4" t="s">
        <v>259</v>
      </c>
      <c r="CL1066" s="4" t="s">
        <v>241</v>
      </c>
      <c r="CO1066" s="5" t="s">
        <v>260</v>
      </c>
      <c r="CP1066" s="4" t="s">
        <v>241</v>
      </c>
      <c r="CQ1066" s="4" t="s">
        <v>261</v>
      </c>
      <c r="CR1066" s="4" t="s">
        <v>241</v>
      </c>
      <c r="CS1066" s="4" t="s">
        <v>241</v>
      </c>
      <c r="CT1066" s="4">
        <v>0</v>
      </c>
      <c r="CU1066" s="4" t="s">
        <v>262</v>
      </c>
      <c r="CV1066" s="4" t="s">
        <v>263</v>
      </c>
      <c r="CW1066" s="4" t="s">
        <v>263</v>
      </c>
      <c r="CX1066" s="4" t="s">
        <v>264</v>
      </c>
      <c r="DA1066" s="6">
        <f>1</f>
        <v>1</v>
      </c>
      <c r="DC1066" s="4" t="s">
        <v>277</v>
      </c>
      <c r="DD1066" s="4" t="s">
        <v>241</v>
      </c>
      <c r="DF1066" s="4" t="s">
        <v>277</v>
      </c>
      <c r="DG1066" s="6">
        <f>421</f>
        <v>421</v>
      </c>
      <c r="DI1066" s="4" t="s">
        <v>241</v>
      </c>
      <c r="DJ1066" s="4" t="s">
        <v>241</v>
      </c>
      <c r="DK1066" s="4" t="s">
        <v>241</v>
      </c>
      <c r="DL1066" s="4" t="s">
        <v>241</v>
      </c>
      <c r="DP1066" s="4" t="s">
        <v>241</v>
      </c>
      <c r="DQ1066" s="4" t="s">
        <v>241</v>
      </c>
      <c r="DR1066" s="4" t="s">
        <v>241</v>
      </c>
      <c r="DS1066" s="4" t="s">
        <v>241</v>
      </c>
      <c r="DV1066" s="4" t="s">
        <v>278</v>
      </c>
      <c r="DW1066" s="4" t="s">
        <v>1390</v>
      </c>
      <c r="HO1066" s="4" t="s">
        <v>267</v>
      </c>
    </row>
    <row r="1067" spans="1:223" ht="19.5" customHeight="1" x14ac:dyDescent="0.4">
      <c r="A1067" s="4">
        <v>1</v>
      </c>
      <c r="B1067" s="4" t="s">
        <v>239</v>
      </c>
      <c r="C1067" s="4">
        <v>2741</v>
      </c>
      <c r="D1067" s="4">
        <v>1</v>
      </c>
      <c r="E1067" s="4">
        <v>1</v>
      </c>
      <c r="F1067" s="4" t="s">
        <v>268</v>
      </c>
      <c r="G1067" s="4" t="s">
        <v>241</v>
      </c>
      <c r="H1067" s="4" t="s">
        <v>241</v>
      </c>
      <c r="I1067" s="4" t="s">
        <v>272</v>
      </c>
      <c r="J1067" s="4" t="s">
        <v>274</v>
      </c>
      <c r="K1067" s="4" t="s">
        <v>251</v>
      </c>
      <c r="L1067" s="4" t="s">
        <v>269</v>
      </c>
      <c r="M1067" s="5" t="s">
        <v>1377</v>
      </c>
      <c r="N1067" s="6">
        <f>1091</f>
        <v>1091</v>
      </c>
      <c r="O1067" s="4" t="s">
        <v>265</v>
      </c>
      <c r="P1067" s="6">
        <f>1</f>
        <v>1</v>
      </c>
      <c r="Q1067" s="6">
        <f>0</f>
        <v>0</v>
      </c>
      <c r="S1067" s="6">
        <f>0</f>
        <v>0</v>
      </c>
      <c r="T1067" s="6">
        <f>1</f>
        <v>1</v>
      </c>
      <c r="U1067" s="5" t="s">
        <v>245</v>
      </c>
      <c r="V1067" s="4" t="s">
        <v>270</v>
      </c>
      <c r="W1067" s="4" t="s">
        <v>271</v>
      </c>
      <c r="X1067" s="4" t="s">
        <v>273</v>
      </c>
      <c r="Y1067" s="4" t="s">
        <v>241</v>
      </c>
      <c r="AB1067" s="4" t="s">
        <v>241</v>
      </c>
      <c r="AD1067" s="5" t="s">
        <v>241</v>
      </c>
      <c r="AG1067" s="5" t="s">
        <v>246</v>
      </c>
      <c r="AH1067" s="4" t="s">
        <v>241</v>
      </c>
      <c r="AI1067" s="4" t="s">
        <v>247</v>
      </c>
      <c r="AJ1067" s="4" t="s">
        <v>248</v>
      </c>
      <c r="AZ1067" s="4" t="s">
        <v>249</v>
      </c>
      <c r="BA1067" s="4" t="s">
        <v>241</v>
      </c>
      <c r="BB1067" s="4" t="s">
        <v>250</v>
      </c>
      <c r="BC1067" s="4" t="s">
        <v>241</v>
      </c>
      <c r="BD1067" s="4" t="s">
        <v>252</v>
      </c>
      <c r="BE1067" s="4" t="s">
        <v>241</v>
      </c>
      <c r="BI1067" s="4" t="s">
        <v>253</v>
      </c>
      <c r="BJ1067" s="5" t="s">
        <v>246</v>
      </c>
      <c r="BK1067" s="4" t="s">
        <v>254</v>
      </c>
      <c r="BL1067" s="4" t="s">
        <v>255</v>
      </c>
      <c r="BM1067" s="4" t="s">
        <v>241</v>
      </c>
      <c r="BN1067" s="6">
        <f>0</f>
        <v>0</v>
      </c>
      <c r="BO1067" s="6">
        <f>0</f>
        <v>0</v>
      </c>
      <c r="BP1067" s="4" t="s">
        <v>256</v>
      </c>
      <c r="BQ1067" s="4" t="s">
        <v>257</v>
      </c>
      <c r="CE1067" s="4" t="s">
        <v>241</v>
      </c>
      <c r="CF1067" s="4" t="s">
        <v>241</v>
      </c>
      <c r="CJ1067" s="4" t="s">
        <v>276</v>
      </c>
      <c r="CK1067" s="4" t="s">
        <v>259</v>
      </c>
      <c r="CL1067" s="4" t="s">
        <v>241</v>
      </c>
      <c r="CO1067" s="5" t="s">
        <v>260</v>
      </c>
      <c r="CP1067" s="4" t="s">
        <v>241</v>
      </c>
      <c r="CQ1067" s="4" t="s">
        <v>261</v>
      </c>
      <c r="CR1067" s="4" t="s">
        <v>241</v>
      </c>
      <c r="CS1067" s="4" t="s">
        <v>241</v>
      </c>
      <c r="CT1067" s="4">
        <v>0</v>
      </c>
      <c r="CU1067" s="4" t="s">
        <v>262</v>
      </c>
      <c r="CV1067" s="4" t="s">
        <v>263</v>
      </c>
      <c r="CW1067" s="4" t="s">
        <v>263</v>
      </c>
      <c r="CX1067" s="4" t="s">
        <v>264</v>
      </c>
      <c r="DA1067" s="6">
        <f>1</f>
        <v>1</v>
      </c>
      <c r="DC1067" s="4" t="s">
        <v>277</v>
      </c>
      <c r="DD1067" s="4" t="s">
        <v>241</v>
      </c>
      <c r="DF1067" s="4" t="s">
        <v>277</v>
      </c>
      <c r="DG1067" s="6">
        <f>1091</f>
        <v>1091</v>
      </c>
      <c r="DI1067" s="4" t="s">
        <v>241</v>
      </c>
      <c r="DJ1067" s="4" t="s">
        <v>241</v>
      </c>
      <c r="DK1067" s="4" t="s">
        <v>241</v>
      </c>
      <c r="DL1067" s="4" t="s">
        <v>241</v>
      </c>
      <c r="DP1067" s="4" t="s">
        <v>241</v>
      </c>
      <c r="DQ1067" s="4" t="s">
        <v>241</v>
      </c>
      <c r="DR1067" s="4" t="s">
        <v>241</v>
      </c>
      <c r="DS1067" s="4" t="s">
        <v>241</v>
      </c>
      <c r="DV1067" s="4" t="s">
        <v>278</v>
      </c>
      <c r="DW1067" s="4" t="s">
        <v>1378</v>
      </c>
      <c r="HO1067" s="4" t="s">
        <v>267</v>
      </c>
    </row>
    <row r="1068" spans="1:223" ht="19.5" customHeight="1" x14ac:dyDescent="0.4">
      <c r="A1068" s="4">
        <v>1</v>
      </c>
      <c r="B1068" s="4" t="s">
        <v>239</v>
      </c>
      <c r="C1068" s="4">
        <v>2742</v>
      </c>
      <c r="D1068" s="4">
        <v>1</v>
      </c>
      <c r="E1068" s="4">
        <v>1</v>
      </c>
      <c r="F1068" s="4" t="s">
        <v>268</v>
      </c>
      <c r="G1068" s="4" t="s">
        <v>241</v>
      </c>
      <c r="H1068" s="4" t="s">
        <v>241</v>
      </c>
      <c r="I1068" s="4" t="s">
        <v>272</v>
      </c>
      <c r="J1068" s="4" t="s">
        <v>274</v>
      </c>
      <c r="K1068" s="4" t="s">
        <v>251</v>
      </c>
      <c r="L1068" s="4" t="s">
        <v>269</v>
      </c>
      <c r="M1068" s="5" t="s">
        <v>1414</v>
      </c>
      <c r="N1068" s="6">
        <f>855</f>
        <v>855</v>
      </c>
      <c r="O1068" s="4" t="s">
        <v>265</v>
      </c>
      <c r="P1068" s="6">
        <f>1</f>
        <v>1</v>
      </c>
      <c r="Q1068" s="6">
        <f>0</f>
        <v>0</v>
      </c>
      <c r="S1068" s="6">
        <f>0</f>
        <v>0</v>
      </c>
      <c r="T1068" s="6">
        <f>1</f>
        <v>1</v>
      </c>
      <c r="U1068" s="5" t="s">
        <v>245</v>
      </c>
      <c r="V1068" s="4" t="s">
        <v>270</v>
      </c>
      <c r="W1068" s="4" t="s">
        <v>271</v>
      </c>
      <c r="X1068" s="4" t="s">
        <v>273</v>
      </c>
      <c r="Y1068" s="4" t="s">
        <v>241</v>
      </c>
      <c r="AB1068" s="4" t="s">
        <v>241</v>
      </c>
      <c r="AD1068" s="5" t="s">
        <v>241</v>
      </c>
      <c r="AG1068" s="5" t="s">
        <v>246</v>
      </c>
      <c r="AH1068" s="4" t="s">
        <v>241</v>
      </c>
      <c r="AI1068" s="4" t="s">
        <v>247</v>
      </c>
      <c r="AJ1068" s="4" t="s">
        <v>248</v>
      </c>
      <c r="AZ1068" s="4" t="s">
        <v>249</v>
      </c>
      <c r="BA1068" s="4" t="s">
        <v>241</v>
      </c>
      <c r="BB1068" s="4" t="s">
        <v>250</v>
      </c>
      <c r="BC1068" s="4" t="s">
        <v>241</v>
      </c>
      <c r="BD1068" s="4" t="s">
        <v>252</v>
      </c>
      <c r="BE1068" s="4" t="s">
        <v>241</v>
      </c>
      <c r="BI1068" s="4" t="s">
        <v>253</v>
      </c>
      <c r="BJ1068" s="5" t="s">
        <v>246</v>
      </c>
      <c r="BK1068" s="4" t="s">
        <v>254</v>
      </c>
      <c r="BL1068" s="4" t="s">
        <v>255</v>
      </c>
      <c r="BM1068" s="4" t="s">
        <v>241</v>
      </c>
      <c r="BN1068" s="6">
        <f>0</f>
        <v>0</v>
      </c>
      <c r="BO1068" s="6">
        <f>0</f>
        <v>0</v>
      </c>
      <c r="BP1068" s="4" t="s">
        <v>256</v>
      </c>
      <c r="BQ1068" s="4" t="s">
        <v>257</v>
      </c>
      <c r="CE1068" s="4" t="s">
        <v>241</v>
      </c>
      <c r="CF1068" s="4" t="s">
        <v>241</v>
      </c>
      <c r="CJ1068" s="4" t="s">
        <v>276</v>
      </c>
      <c r="CK1068" s="4" t="s">
        <v>259</v>
      </c>
      <c r="CL1068" s="4" t="s">
        <v>241</v>
      </c>
      <c r="CO1068" s="5" t="s">
        <v>260</v>
      </c>
      <c r="CP1068" s="4" t="s">
        <v>241</v>
      </c>
      <c r="CQ1068" s="4" t="s">
        <v>261</v>
      </c>
      <c r="CR1068" s="4" t="s">
        <v>241</v>
      </c>
      <c r="CS1068" s="4" t="s">
        <v>241</v>
      </c>
      <c r="CT1068" s="4">
        <v>0</v>
      </c>
      <c r="CU1068" s="4" t="s">
        <v>262</v>
      </c>
      <c r="CV1068" s="4" t="s">
        <v>263</v>
      </c>
      <c r="CW1068" s="4" t="s">
        <v>263</v>
      </c>
      <c r="CX1068" s="4" t="s">
        <v>264</v>
      </c>
      <c r="DA1068" s="6">
        <f>1</f>
        <v>1</v>
      </c>
      <c r="DC1068" s="4" t="s">
        <v>277</v>
      </c>
      <c r="DD1068" s="4" t="s">
        <v>241</v>
      </c>
      <c r="DF1068" s="4" t="s">
        <v>277</v>
      </c>
      <c r="DG1068" s="6">
        <f>855</f>
        <v>855</v>
      </c>
      <c r="DI1068" s="4" t="s">
        <v>241</v>
      </c>
      <c r="DJ1068" s="4" t="s">
        <v>241</v>
      </c>
      <c r="DK1068" s="4" t="s">
        <v>241</v>
      </c>
      <c r="DL1068" s="4" t="s">
        <v>241</v>
      </c>
      <c r="DP1068" s="4" t="s">
        <v>241</v>
      </c>
      <c r="DQ1068" s="4" t="s">
        <v>241</v>
      </c>
      <c r="DR1068" s="4" t="s">
        <v>241</v>
      </c>
      <c r="DS1068" s="4" t="s">
        <v>241</v>
      </c>
      <c r="DV1068" s="4" t="s">
        <v>278</v>
      </c>
      <c r="DW1068" s="4" t="s">
        <v>1415</v>
      </c>
      <c r="HO1068" s="4" t="s">
        <v>267</v>
      </c>
    </row>
    <row r="1069" spans="1:223" ht="19.5" customHeight="1" x14ac:dyDescent="0.4">
      <c r="A1069" s="4">
        <v>1</v>
      </c>
      <c r="B1069" s="4" t="s">
        <v>239</v>
      </c>
      <c r="C1069" s="4">
        <v>2743</v>
      </c>
      <c r="D1069" s="4">
        <v>1</v>
      </c>
      <c r="E1069" s="4">
        <v>1</v>
      </c>
      <c r="F1069" s="4" t="s">
        <v>268</v>
      </c>
      <c r="G1069" s="4" t="s">
        <v>241</v>
      </c>
      <c r="H1069" s="4" t="s">
        <v>241</v>
      </c>
      <c r="I1069" s="4" t="s">
        <v>272</v>
      </c>
      <c r="J1069" s="4" t="s">
        <v>274</v>
      </c>
      <c r="K1069" s="4" t="s">
        <v>251</v>
      </c>
      <c r="L1069" s="4" t="s">
        <v>269</v>
      </c>
      <c r="M1069" s="5" t="s">
        <v>1399</v>
      </c>
      <c r="N1069" s="6">
        <f>546</f>
        <v>546</v>
      </c>
      <c r="O1069" s="4" t="s">
        <v>265</v>
      </c>
      <c r="P1069" s="6">
        <f>1</f>
        <v>1</v>
      </c>
      <c r="Q1069" s="6">
        <f>0</f>
        <v>0</v>
      </c>
      <c r="S1069" s="6">
        <f>0</f>
        <v>0</v>
      </c>
      <c r="T1069" s="6">
        <f>1</f>
        <v>1</v>
      </c>
      <c r="U1069" s="5" t="s">
        <v>245</v>
      </c>
      <c r="V1069" s="4" t="s">
        <v>270</v>
      </c>
      <c r="W1069" s="4" t="s">
        <v>271</v>
      </c>
      <c r="X1069" s="4" t="s">
        <v>273</v>
      </c>
      <c r="Y1069" s="4" t="s">
        <v>241</v>
      </c>
      <c r="AB1069" s="4" t="s">
        <v>241</v>
      </c>
      <c r="AD1069" s="5" t="s">
        <v>241</v>
      </c>
      <c r="AG1069" s="5" t="s">
        <v>246</v>
      </c>
      <c r="AH1069" s="4" t="s">
        <v>241</v>
      </c>
      <c r="AI1069" s="4" t="s">
        <v>247</v>
      </c>
      <c r="AJ1069" s="4" t="s">
        <v>248</v>
      </c>
      <c r="AZ1069" s="4" t="s">
        <v>249</v>
      </c>
      <c r="BA1069" s="4" t="s">
        <v>241</v>
      </c>
      <c r="BB1069" s="4" t="s">
        <v>250</v>
      </c>
      <c r="BC1069" s="4" t="s">
        <v>241</v>
      </c>
      <c r="BD1069" s="4" t="s">
        <v>252</v>
      </c>
      <c r="BE1069" s="4" t="s">
        <v>241</v>
      </c>
      <c r="BI1069" s="4" t="s">
        <v>253</v>
      </c>
      <c r="BJ1069" s="5" t="s">
        <v>246</v>
      </c>
      <c r="BK1069" s="4" t="s">
        <v>254</v>
      </c>
      <c r="BL1069" s="4" t="s">
        <v>255</v>
      </c>
      <c r="BM1069" s="4" t="s">
        <v>241</v>
      </c>
      <c r="BN1069" s="6">
        <f>0</f>
        <v>0</v>
      </c>
      <c r="BO1069" s="6">
        <f>0</f>
        <v>0</v>
      </c>
      <c r="BP1069" s="4" t="s">
        <v>256</v>
      </c>
      <c r="BQ1069" s="4" t="s">
        <v>257</v>
      </c>
      <c r="CE1069" s="4" t="s">
        <v>241</v>
      </c>
      <c r="CF1069" s="4" t="s">
        <v>241</v>
      </c>
      <c r="CJ1069" s="4" t="s">
        <v>276</v>
      </c>
      <c r="CK1069" s="4" t="s">
        <v>259</v>
      </c>
      <c r="CL1069" s="4" t="s">
        <v>241</v>
      </c>
      <c r="CO1069" s="5" t="s">
        <v>260</v>
      </c>
      <c r="CP1069" s="4" t="s">
        <v>241</v>
      </c>
      <c r="CQ1069" s="4" t="s">
        <v>261</v>
      </c>
      <c r="CR1069" s="4" t="s">
        <v>241</v>
      </c>
      <c r="CS1069" s="4" t="s">
        <v>241</v>
      </c>
      <c r="CT1069" s="4">
        <v>0</v>
      </c>
      <c r="CU1069" s="4" t="s">
        <v>262</v>
      </c>
      <c r="CV1069" s="4" t="s">
        <v>263</v>
      </c>
      <c r="CW1069" s="4" t="s">
        <v>263</v>
      </c>
      <c r="CX1069" s="4" t="s">
        <v>264</v>
      </c>
      <c r="DA1069" s="6">
        <f>1</f>
        <v>1</v>
      </c>
      <c r="DC1069" s="4" t="s">
        <v>277</v>
      </c>
      <c r="DD1069" s="4" t="s">
        <v>241</v>
      </c>
      <c r="DF1069" s="4" t="s">
        <v>277</v>
      </c>
      <c r="DG1069" s="6">
        <f>546</f>
        <v>546</v>
      </c>
      <c r="DI1069" s="4" t="s">
        <v>241</v>
      </c>
      <c r="DJ1069" s="4" t="s">
        <v>241</v>
      </c>
      <c r="DK1069" s="4" t="s">
        <v>241</v>
      </c>
      <c r="DL1069" s="4" t="s">
        <v>241</v>
      </c>
      <c r="DP1069" s="4" t="s">
        <v>241</v>
      </c>
      <c r="DQ1069" s="4" t="s">
        <v>241</v>
      </c>
      <c r="DR1069" s="4" t="s">
        <v>241</v>
      </c>
      <c r="DS1069" s="4" t="s">
        <v>241</v>
      </c>
      <c r="DV1069" s="4" t="s">
        <v>278</v>
      </c>
      <c r="DW1069" s="4" t="s">
        <v>1400</v>
      </c>
      <c r="HO1069" s="4" t="s">
        <v>267</v>
      </c>
    </row>
    <row r="1070" spans="1:223" ht="19.5" customHeight="1" x14ac:dyDescent="0.4">
      <c r="A1070" s="4">
        <v>1</v>
      </c>
      <c r="B1070" s="4" t="s">
        <v>239</v>
      </c>
      <c r="C1070" s="4">
        <v>2744</v>
      </c>
      <c r="D1070" s="4">
        <v>1</v>
      </c>
      <c r="E1070" s="4">
        <v>1</v>
      </c>
      <c r="F1070" s="4" t="s">
        <v>268</v>
      </c>
      <c r="G1070" s="4" t="s">
        <v>241</v>
      </c>
      <c r="H1070" s="4" t="s">
        <v>241</v>
      </c>
      <c r="I1070" s="4" t="s">
        <v>272</v>
      </c>
      <c r="J1070" s="4" t="s">
        <v>274</v>
      </c>
      <c r="K1070" s="4" t="s">
        <v>251</v>
      </c>
      <c r="L1070" s="4" t="s">
        <v>269</v>
      </c>
      <c r="M1070" s="5" t="s">
        <v>1339</v>
      </c>
      <c r="N1070" s="6">
        <f>367</f>
        <v>367</v>
      </c>
      <c r="O1070" s="4" t="s">
        <v>265</v>
      </c>
      <c r="P1070" s="6">
        <f>1</f>
        <v>1</v>
      </c>
      <c r="Q1070" s="6">
        <f>0</f>
        <v>0</v>
      </c>
      <c r="S1070" s="6">
        <f>0</f>
        <v>0</v>
      </c>
      <c r="T1070" s="6">
        <f>1</f>
        <v>1</v>
      </c>
      <c r="U1070" s="5" t="s">
        <v>245</v>
      </c>
      <c r="V1070" s="4" t="s">
        <v>270</v>
      </c>
      <c r="W1070" s="4" t="s">
        <v>271</v>
      </c>
      <c r="X1070" s="4" t="s">
        <v>273</v>
      </c>
      <c r="Y1070" s="4" t="s">
        <v>241</v>
      </c>
      <c r="AB1070" s="4" t="s">
        <v>241</v>
      </c>
      <c r="AD1070" s="5" t="s">
        <v>241</v>
      </c>
      <c r="AG1070" s="5" t="s">
        <v>246</v>
      </c>
      <c r="AH1070" s="4" t="s">
        <v>241</v>
      </c>
      <c r="AI1070" s="4" t="s">
        <v>247</v>
      </c>
      <c r="AJ1070" s="4" t="s">
        <v>248</v>
      </c>
      <c r="AZ1070" s="4" t="s">
        <v>249</v>
      </c>
      <c r="BA1070" s="4" t="s">
        <v>241</v>
      </c>
      <c r="BB1070" s="4" t="s">
        <v>250</v>
      </c>
      <c r="BC1070" s="4" t="s">
        <v>241</v>
      </c>
      <c r="BD1070" s="4" t="s">
        <v>252</v>
      </c>
      <c r="BE1070" s="4" t="s">
        <v>241</v>
      </c>
      <c r="BI1070" s="4" t="s">
        <v>253</v>
      </c>
      <c r="BJ1070" s="5" t="s">
        <v>246</v>
      </c>
      <c r="BK1070" s="4" t="s">
        <v>254</v>
      </c>
      <c r="BL1070" s="4" t="s">
        <v>255</v>
      </c>
      <c r="BM1070" s="4" t="s">
        <v>241</v>
      </c>
      <c r="BN1070" s="6">
        <f>0</f>
        <v>0</v>
      </c>
      <c r="BO1070" s="6">
        <f>0</f>
        <v>0</v>
      </c>
      <c r="BP1070" s="4" t="s">
        <v>256</v>
      </c>
      <c r="BQ1070" s="4" t="s">
        <v>257</v>
      </c>
      <c r="CE1070" s="4" t="s">
        <v>241</v>
      </c>
      <c r="CF1070" s="4" t="s">
        <v>241</v>
      </c>
      <c r="CJ1070" s="4" t="s">
        <v>276</v>
      </c>
      <c r="CK1070" s="4" t="s">
        <v>259</v>
      </c>
      <c r="CL1070" s="4" t="s">
        <v>241</v>
      </c>
      <c r="CO1070" s="5" t="s">
        <v>260</v>
      </c>
      <c r="CP1070" s="4" t="s">
        <v>241</v>
      </c>
      <c r="CQ1070" s="4" t="s">
        <v>261</v>
      </c>
      <c r="CR1070" s="4" t="s">
        <v>241</v>
      </c>
      <c r="CS1070" s="4" t="s">
        <v>241</v>
      </c>
      <c r="CT1070" s="4">
        <v>0</v>
      </c>
      <c r="CU1070" s="4" t="s">
        <v>262</v>
      </c>
      <c r="CV1070" s="4" t="s">
        <v>263</v>
      </c>
      <c r="CW1070" s="4" t="s">
        <v>263</v>
      </c>
      <c r="CX1070" s="4" t="s">
        <v>264</v>
      </c>
      <c r="DA1070" s="6">
        <f>1</f>
        <v>1</v>
      </c>
      <c r="DC1070" s="4" t="s">
        <v>277</v>
      </c>
      <c r="DD1070" s="4" t="s">
        <v>241</v>
      </c>
      <c r="DF1070" s="4" t="s">
        <v>277</v>
      </c>
      <c r="DG1070" s="6">
        <f>367</f>
        <v>367</v>
      </c>
      <c r="DI1070" s="4" t="s">
        <v>241</v>
      </c>
      <c r="DJ1070" s="4" t="s">
        <v>241</v>
      </c>
      <c r="DK1070" s="4" t="s">
        <v>241</v>
      </c>
      <c r="DL1070" s="4" t="s">
        <v>241</v>
      </c>
      <c r="DP1070" s="4" t="s">
        <v>241</v>
      </c>
      <c r="DQ1070" s="4" t="s">
        <v>241</v>
      </c>
      <c r="DR1070" s="4" t="s">
        <v>241</v>
      </c>
      <c r="DS1070" s="4" t="s">
        <v>241</v>
      </c>
      <c r="DV1070" s="4" t="s">
        <v>278</v>
      </c>
      <c r="DW1070" s="4" t="s">
        <v>1340</v>
      </c>
      <c r="HO1070" s="4" t="s">
        <v>267</v>
      </c>
    </row>
    <row r="1071" spans="1:223" ht="19.5" customHeight="1" x14ac:dyDescent="0.4">
      <c r="A1071" s="4">
        <v>1</v>
      </c>
      <c r="B1071" s="4" t="s">
        <v>239</v>
      </c>
      <c r="C1071" s="4">
        <v>2745</v>
      </c>
      <c r="D1071" s="4">
        <v>1</v>
      </c>
      <c r="E1071" s="4">
        <v>1</v>
      </c>
      <c r="F1071" s="4" t="s">
        <v>268</v>
      </c>
      <c r="G1071" s="4" t="s">
        <v>241</v>
      </c>
      <c r="H1071" s="4" t="s">
        <v>241</v>
      </c>
      <c r="I1071" s="4" t="s">
        <v>272</v>
      </c>
      <c r="J1071" s="4" t="s">
        <v>274</v>
      </c>
      <c r="K1071" s="4" t="s">
        <v>251</v>
      </c>
      <c r="L1071" s="4" t="s">
        <v>269</v>
      </c>
      <c r="M1071" s="5" t="s">
        <v>1425</v>
      </c>
      <c r="N1071" s="6">
        <f>321</f>
        <v>321</v>
      </c>
      <c r="O1071" s="4" t="s">
        <v>265</v>
      </c>
      <c r="P1071" s="6">
        <f>1</f>
        <v>1</v>
      </c>
      <c r="Q1071" s="6">
        <f>0</f>
        <v>0</v>
      </c>
      <c r="S1071" s="6">
        <f>0</f>
        <v>0</v>
      </c>
      <c r="T1071" s="6">
        <f>1</f>
        <v>1</v>
      </c>
      <c r="U1071" s="5" t="s">
        <v>245</v>
      </c>
      <c r="V1071" s="4" t="s">
        <v>270</v>
      </c>
      <c r="W1071" s="4" t="s">
        <v>271</v>
      </c>
      <c r="X1071" s="4" t="s">
        <v>273</v>
      </c>
      <c r="Y1071" s="4" t="s">
        <v>241</v>
      </c>
      <c r="AB1071" s="4" t="s">
        <v>241</v>
      </c>
      <c r="AD1071" s="5" t="s">
        <v>241</v>
      </c>
      <c r="AG1071" s="5" t="s">
        <v>246</v>
      </c>
      <c r="AH1071" s="4" t="s">
        <v>241</v>
      </c>
      <c r="AI1071" s="4" t="s">
        <v>247</v>
      </c>
      <c r="AJ1071" s="4" t="s">
        <v>248</v>
      </c>
      <c r="AZ1071" s="4" t="s">
        <v>249</v>
      </c>
      <c r="BA1071" s="4" t="s">
        <v>241</v>
      </c>
      <c r="BB1071" s="4" t="s">
        <v>250</v>
      </c>
      <c r="BC1071" s="4" t="s">
        <v>241</v>
      </c>
      <c r="BD1071" s="4" t="s">
        <v>252</v>
      </c>
      <c r="BE1071" s="4" t="s">
        <v>241</v>
      </c>
      <c r="BI1071" s="4" t="s">
        <v>253</v>
      </c>
      <c r="BJ1071" s="5" t="s">
        <v>246</v>
      </c>
      <c r="BK1071" s="4" t="s">
        <v>254</v>
      </c>
      <c r="BL1071" s="4" t="s">
        <v>255</v>
      </c>
      <c r="BM1071" s="4" t="s">
        <v>241</v>
      </c>
      <c r="BN1071" s="6">
        <f>0</f>
        <v>0</v>
      </c>
      <c r="BO1071" s="6">
        <f>0</f>
        <v>0</v>
      </c>
      <c r="BP1071" s="4" t="s">
        <v>256</v>
      </c>
      <c r="BQ1071" s="4" t="s">
        <v>257</v>
      </c>
      <c r="CE1071" s="4" t="s">
        <v>241</v>
      </c>
      <c r="CF1071" s="4" t="s">
        <v>241</v>
      </c>
      <c r="CJ1071" s="4" t="s">
        <v>276</v>
      </c>
      <c r="CK1071" s="4" t="s">
        <v>259</v>
      </c>
      <c r="CL1071" s="4" t="s">
        <v>241</v>
      </c>
      <c r="CO1071" s="5" t="s">
        <v>260</v>
      </c>
      <c r="CP1071" s="4" t="s">
        <v>241</v>
      </c>
      <c r="CQ1071" s="4" t="s">
        <v>261</v>
      </c>
      <c r="CR1071" s="4" t="s">
        <v>241</v>
      </c>
      <c r="CS1071" s="4" t="s">
        <v>241</v>
      </c>
      <c r="CT1071" s="4">
        <v>0</v>
      </c>
      <c r="CU1071" s="4" t="s">
        <v>262</v>
      </c>
      <c r="CV1071" s="4" t="s">
        <v>263</v>
      </c>
      <c r="CW1071" s="4" t="s">
        <v>263</v>
      </c>
      <c r="CX1071" s="4" t="s">
        <v>264</v>
      </c>
      <c r="DA1071" s="6">
        <f>1</f>
        <v>1</v>
      </c>
      <c r="DC1071" s="4" t="s">
        <v>277</v>
      </c>
      <c r="DD1071" s="4" t="s">
        <v>241</v>
      </c>
      <c r="DF1071" s="4" t="s">
        <v>277</v>
      </c>
      <c r="DG1071" s="6">
        <f>321</f>
        <v>321</v>
      </c>
      <c r="DI1071" s="4" t="s">
        <v>241</v>
      </c>
      <c r="DJ1071" s="4" t="s">
        <v>241</v>
      </c>
      <c r="DK1071" s="4" t="s">
        <v>241</v>
      </c>
      <c r="DL1071" s="4" t="s">
        <v>241</v>
      </c>
      <c r="DP1071" s="4" t="s">
        <v>241</v>
      </c>
      <c r="DQ1071" s="4" t="s">
        <v>241</v>
      </c>
      <c r="DR1071" s="4" t="s">
        <v>241</v>
      </c>
      <c r="DS1071" s="4" t="s">
        <v>241</v>
      </c>
      <c r="DV1071" s="4" t="s">
        <v>278</v>
      </c>
      <c r="DW1071" s="4" t="s">
        <v>1426</v>
      </c>
      <c r="HO1071" s="4" t="s">
        <v>267</v>
      </c>
    </row>
    <row r="1072" spans="1:223" ht="19.5" customHeight="1" x14ac:dyDescent="0.4">
      <c r="A1072" s="4">
        <v>1</v>
      </c>
      <c r="B1072" s="4" t="s">
        <v>239</v>
      </c>
      <c r="C1072" s="4">
        <v>2746</v>
      </c>
      <c r="D1072" s="4">
        <v>1</v>
      </c>
      <c r="E1072" s="4">
        <v>1</v>
      </c>
      <c r="F1072" s="4" t="s">
        <v>268</v>
      </c>
      <c r="G1072" s="4" t="s">
        <v>241</v>
      </c>
      <c r="H1072" s="4" t="s">
        <v>241</v>
      </c>
      <c r="I1072" s="4" t="s">
        <v>272</v>
      </c>
      <c r="J1072" s="4" t="s">
        <v>274</v>
      </c>
      <c r="K1072" s="4" t="s">
        <v>251</v>
      </c>
      <c r="L1072" s="4" t="s">
        <v>269</v>
      </c>
      <c r="M1072" s="5" t="s">
        <v>1423</v>
      </c>
      <c r="N1072" s="6">
        <f>455</f>
        <v>455</v>
      </c>
      <c r="O1072" s="4" t="s">
        <v>265</v>
      </c>
      <c r="P1072" s="6">
        <f>1</f>
        <v>1</v>
      </c>
      <c r="Q1072" s="6">
        <f>0</f>
        <v>0</v>
      </c>
      <c r="S1072" s="6">
        <f>0</f>
        <v>0</v>
      </c>
      <c r="T1072" s="6">
        <f>1</f>
        <v>1</v>
      </c>
      <c r="U1072" s="5" t="s">
        <v>245</v>
      </c>
      <c r="V1072" s="4" t="s">
        <v>270</v>
      </c>
      <c r="W1072" s="4" t="s">
        <v>271</v>
      </c>
      <c r="X1072" s="4" t="s">
        <v>273</v>
      </c>
      <c r="Y1072" s="4" t="s">
        <v>241</v>
      </c>
      <c r="AB1072" s="4" t="s">
        <v>241</v>
      </c>
      <c r="AD1072" s="5" t="s">
        <v>241</v>
      </c>
      <c r="AG1072" s="5" t="s">
        <v>246</v>
      </c>
      <c r="AH1072" s="4" t="s">
        <v>241</v>
      </c>
      <c r="AI1072" s="4" t="s">
        <v>247</v>
      </c>
      <c r="AJ1072" s="4" t="s">
        <v>248</v>
      </c>
      <c r="AZ1072" s="4" t="s">
        <v>249</v>
      </c>
      <c r="BA1072" s="4" t="s">
        <v>241</v>
      </c>
      <c r="BB1072" s="4" t="s">
        <v>250</v>
      </c>
      <c r="BC1072" s="4" t="s">
        <v>241</v>
      </c>
      <c r="BD1072" s="4" t="s">
        <v>252</v>
      </c>
      <c r="BE1072" s="4" t="s">
        <v>241</v>
      </c>
      <c r="BI1072" s="4" t="s">
        <v>253</v>
      </c>
      <c r="BJ1072" s="5" t="s">
        <v>246</v>
      </c>
      <c r="BK1072" s="4" t="s">
        <v>254</v>
      </c>
      <c r="BL1072" s="4" t="s">
        <v>255</v>
      </c>
      <c r="BM1072" s="4" t="s">
        <v>241</v>
      </c>
      <c r="BN1072" s="6">
        <f>0</f>
        <v>0</v>
      </c>
      <c r="BO1072" s="6">
        <f>0</f>
        <v>0</v>
      </c>
      <c r="BP1072" s="4" t="s">
        <v>256</v>
      </c>
      <c r="BQ1072" s="4" t="s">
        <v>257</v>
      </c>
      <c r="CE1072" s="4" t="s">
        <v>241</v>
      </c>
      <c r="CF1072" s="4" t="s">
        <v>241</v>
      </c>
      <c r="CJ1072" s="4" t="s">
        <v>276</v>
      </c>
      <c r="CK1072" s="4" t="s">
        <v>259</v>
      </c>
      <c r="CL1072" s="4" t="s">
        <v>241</v>
      </c>
      <c r="CO1072" s="5" t="s">
        <v>260</v>
      </c>
      <c r="CP1072" s="4" t="s">
        <v>241</v>
      </c>
      <c r="CQ1072" s="4" t="s">
        <v>261</v>
      </c>
      <c r="CR1072" s="4" t="s">
        <v>241</v>
      </c>
      <c r="CS1072" s="4" t="s">
        <v>241</v>
      </c>
      <c r="CT1072" s="4">
        <v>0</v>
      </c>
      <c r="CU1072" s="4" t="s">
        <v>262</v>
      </c>
      <c r="CV1072" s="4" t="s">
        <v>263</v>
      </c>
      <c r="CW1072" s="4" t="s">
        <v>263</v>
      </c>
      <c r="CX1072" s="4" t="s">
        <v>264</v>
      </c>
      <c r="DA1072" s="6">
        <f>1</f>
        <v>1</v>
      </c>
      <c r="DC1072" s="4" t="s">
        <v>277</v>
      </c>
      <c r="DD1072" s="4" t="s">
        <v>241</v>
      </c>
      <c r="DF1072" s="4" t="s">
        <v>277</v>
      </c>
      <c r="DG1072" s="6">
        <f>455</f>
        <v>455</v>
      </c>
      <c r="DI1072" s="4" t="s">
        <v>241</v>
      </c>
      <c r="DJ1072" s="4" t="s">
        <v>241</v>
      </c>
      <c r="DK1072" s="4" t="s">
        <v>241</v>
      </c>
      <c r="DL1072" s="4" t="s">
        <v>241</v>
      </c>
      <c r="DP1072" s="4" t="s">
        <v>241</v>
      </c>
      <c r="DQ1072" s="4" t="s">
        <v>241</v>
      </c>
      <c r="DR1072" s="4" t="s">
        <v>241</v>
      </c>
      <c r="DS1072" s="4" t="s">
        <v>241</v>
      </c>
      <c r="DV1072" s="4" t="s">
        <v>278</v>
      </c>
      <c r="DW1072" s="4" t="s">
        <v>1424</v>
      </c>
      <c r="HO1072" s="4" t="s">
        <v>267</v>
      </c>
    </row>
    <row r="1073" spans="1:223" ht="19.5" customHeight="1" x14ac:dyDescent="0.4">
      <c r="A1073" s="4">
        <v>1</v>
      </c>
      <c r="B1073" s="4" t="s">
        <v>239</v>
      </c>
      <c r="C1073" s="4">
        <v>2747</v>
      </c>
      <c r="D1073" s="4">
        <v>1</v>
      </c>
      <c r="E1073" s="4">
        <v>1</v>
      </c>
      <c r="F1073" s="4" t="s">
        <v>268</v>
      </c>
      <c r="G1073" s="4" t="s">
        <v>241</v>
      </c>
      <c r="H1073" s="4" t="s">
        <v>241</v>
      </c>
      <c r="I1073" s="4" t="s">
        <v>272</v>
      </c>
      <c r="J1073" s="4" t="s">
        <v>274</v>
      </c>
      <c r="K1073" s="4" t="s">
        <v>251</v>
      </c>
      <c r="L1073" s="4" t="s">
        <v>269</v>
      </c>
      <c r="M1073" s="5" t="s">
        <v>1010</v>
      </c>
      <c r="N1073" s="6">
        <f>730</f>
        <v>730</v>
      </c>
      <c r="O1073" s="4" t="s">
        <v>265</v>
      </c>
      <c r="P1073" s="6">
        <f>1</f>
        <v>1</v>
      </c>
      <c r="Q1073" s="6">
        <f>0</f>
        <v>0</v>
      </c>
      <c r="S1073" s="6">
        <f>0</f>
        <v>0</v>
      </c>
      <c r="T1073" s="6">
        <f>1</f>
        <v>1</v>
      </c>
      <c r="U1073" s="5" t="s">
        <v>245</v>
      </c>
      <c r="V1073" s="4" t="s">
        <v>270</v>
      </c>
      <c r="W1073" s="4" t="s">
        <v>271</v>
      </c>
      <c r="X1073" s="4" t="s">
        <v>273</v>
      </c>
      <c r="Y1073" s="4" t="s">
        <v>241</v>
      </c>
      <c r="AB1073" s="4" t="s">
        <v>241</v>
      </c>
      <c r="AD1073" s="5" t="s">
        <v>241</v>
      </c>
      <c r="AG1073" s="5" t="s">
        <v>246</v>
      </c>
      <c r="AH1073" s="4" t="s">
        <v>241</v>
      </c>
      <c r="AI1073" s="4" t="s">
        <v>247</v>
      </c>
      <c r="AJ1073" s="4" t="s">
        <v>248</v>
      </c>
      <c r="AZ1073" s="4" t="s">
        <v>249</v>
      </c>
      <c r="BA1073" s="4" t="s">
        <v>241</v>
      </c>
      <c r="BB1073" s="4" t="s">
        <v>250</v>
      </c>
      <c r="BC1073" s="4" t="s">
        <v>241</v>
      </c>
      <c r="BD1073" s="4" t="s">
        <v>252</v>
      </c>
      <c r="BE1073" s="4" t="s">
        <v>241</v>
      </c>
      <c r="BI1073" s="4" t="s">
        <v>253</v>
      </c>
      <c r="BJ1073" s="5" t="s">
        <v>246</v>
      </c>
      <c r="BK1073" s="4" t="s">
        <v>254</v>
      </c>
      <c r="BL1073" s="4" t="s">
        <v>255</v>
      </c>
      <c r="BM1073" s="4" t="s">
        <v>241</v>
      </c>
      <c r="BN1073" s="6">
        <f>0</f>
        <v>0</v>
      </c>
      <c r="BO1073" s="6">
        <f>0</f>
        <v>0</v>
      </c>
      <c r="BP1073" s="4" t="s">
        <v>256</v>
      </c>
      <c r="BQ1073" s="4" t="s">
        <v>257</v>
      </c>
      <c r="CE1073" s="4" t="s">
        <v>241</v>
      </c>
      <c r="CF1073" s="4" t="s">
        <v>241</v>
      </c>
      <c r="CJ1073" s="4" t="s">
        <v>276</v>
      </c>
      <c r="CK1073" s="4" t="s">
        <v>259</v>
      </c>
      <c r="CL1073" s="4" t="s">
        <v>241</v>
      </c>
      <c r="CO1073" s="5" t="s">
        <v>260</v>
      </c>
      <c r="CP1073" s="4" t="s">
        <v>241</v>
      </c>
      <c r="CQ1073" s="4" t="s">
        <v>261</v>
      </c>
      <c r="CR1073" s="4" t="s">
        <v>241</v>
      </c>
      <c r="CS1073" s="4" t="s">
        <v>241</v>
      </c>
      <c r="CT1073" s="4">
        <v>0</v>
      </c>
      <c r="CU1073" s="4" t="s">
        <v>262</v>
      </c>
      <c r="CV1073" s="4" t="s">
        <v>263</v>
      </c>
      <c r="CW1073" s="4" t="s">
        <v>263</v>
      </c>
      <c r="CX1073" s="4" t="s">
        <v>264</v>
      </c>
      <c r="DA1073" s="6">
        <f>1</f>
        <v>1</v>
      </c>
      <c r="DC1073" s="4" t="s">
        <v>277</v>
      </c>
      <c r="DD1073" s="4" t="s">
        <v>241</v>
      </c>
      <c r="DF1073" s="4" t="s">
        <v>277</v>
      </c>
      <c r="DG1073" s="6">
        <f>730</f>
        <v>730</v>
      </c>
      <c r="DI1073" s="4" t="s">
        <v>241</v>
      </c>
      <c r="DJ1073" s="4" t="s">
        <v>241</v>
      </c>
      <c r="DK1073" s="4" t="s">
        <v>241</v>
      </c>
      <c r="DL1073" s="4" t="s">
        <v>241</v>
      </c>
      <c r="DP1073" s="4" t="s">
        <v>241</v>
      </c>
      <c r="DQ1073" s="4" t="s">
        <v>241</v>
      </c>
      <c r="DR1073" s="4" t="s">
        <v>241</v>
      </c>
      <c r="DS1073" s="4" t="s">
        <v>241</v>
      </c>
      <c r="DV1073" s="4" t="s">
        <v>278</v>
      </c>
      <c r="DW1073" s="4" t="s">
        <v>1011</v>
      </c>
      <c r="HO1073" s="4" t="s">
        <v>267</v>
      </c>
    </row>
    <row r="1074" spans="1:223" ht="19.5" customHeight="1" x14ac:dyDescent="0.4">
      <c r="A1074" s="4">
        <v>1</v>
      </c>
      <c r="B1074" s="4" t="s">
        <v>239</v>
      </c>
      <c r="C1074" s="4">
        <v>2748</v>
      </c>
      <c r="D1074" s="4">
        <v>1</v>
      </c>
      <c r="E1074" s="4">
        <v>1</v>
      </c>
      <c r="F1074" s="4" t="s">
        <v>268</v>
      </c>
      <c r="G1074" s="4" t="s">
        <v>241</v>
      </c>
      <c r="H1074" s="4" t="s">
        <v>241</v>
      </c>
      <c r="I1074" s="4" t="s">
        <v>272</v>
      </c>
      <c r="J1074" s="4" t="s">
        <v>274</v>
      </c>
      <c r="K1074" s="4" t="s">
        <v>251</v>
      </c>
      <c r="L1074" s="4" t="s">
        <v>269</v>
      </c>
      <c r="M1074" s="5" t="s">
        <v>1420</v>
      </c>
      <c r="N1074" s="6">
        <f>43</f>
        <v>43</v>
      </c>
      <c r="O1074" s="4" t="s">
        <v>265</v>
      </c>
      <c r="P1074" s="6">
        <f>1</f>
        <v>1</v>
      </c>
      <c r="Q1074" s="6">
        <f>0</f>
        <v>0</v>
      </c>
      <c r="S1074" s="6">
        <f>0</f>
        <v>0</v>
      </c>
      <c r="T1074" s="6">
        <f>1</f>
        <v>1</v>
      </c>
      <c r="U1074" s="5" t="s">
        <v>245</v>
      </c>
      <c r="V1074" s="4" t="s">
        <v>270</v>
      </c>
      <c r="W1074" s="4" t="s">
        <v>271</v>
      </c>
      <c r="X1074" s="4" t="s">
        <v>273</v>
      </c>
      <c r="Y1074" s="4" t="s">
        <v>241</v>
      </c>
      <c r="AB1074" s="4" t="s">
        <v>241</v>
      </c>
      <c r="AD1074" s="5" t="s">
        <v>241</v>
      </c>
      <c r="AG1074" s="5" t="s">
        <v>246</v>
      </c>
      <c r="AH1074" s="4" t="s">
        <v>241</v>
      </c>
      <c r="AI1074" s="4" t="s">
        <v>247</v>
      </c>
      <c r="AJ1074" s="4" t="s">
        <v>248</v>
      </c>
      <c r="AZ1074" s="4" t="s">
        <v>249</v>
      </c>
      <c r="BA1074" s="4" t="s">
        <v>241</v>
      </c>
      <c r="BB1074" s="4" t="s">
        <v>250</v>
      </c>
      <c r="BC1074" s="4" t="s">
        <v>241</v>
      </c>
      <c r="BD1074" s="4" t="s">
        <v>252</v>
      </c>
      <c r="BE1074" s="4" t="s">
        <v>241</v>
      </c>
      <c r="BI1074" s="4" t="s">
        <v>253</v>
      </c>
      <c r="BJ1074" s="5" t="s">
        <v>246</v>
      </c>
      <c r="BK1074" s="4" t="s">
        <v>254</v>
      </c>
      <c r="BL1074" s="4" t="s">
        <v>255</v>
      </c>
      <c r="BM1074" s="4" t="s">
        <v>241</v>
      </c>
      <c r="BN1074" s="6">
        <f>0</f>
        <v>0</v>
      </c>
      <c r="BO1074" s="6">
        <f>0</f>
        <v>0</v>
      </c>
      <c r="BP1074" s="4" t="s">
        <v>256</v>
      </c>
      <c r="BQ1074" s="4" t="s">
        <v>257</v>
      </c>
      <c r="CE1074" s="4" t="s">
        <v>241</v>
      </c>
      <c r="CF1074" s="4" t="s">
        <v>241</v>
      </c>
      <c r="CJ1074" s="4" t="s">
        <v>276</v>
      </c>
      <c r="CK1074" s="4" t="s">
        <v>259</v>
      </c>
      <c r="CL1074" s="4" t="s">
        <v>241</v>
      </c>
      <c r="CO1074" s="5" t="s">
        <v>260</v>
      </c>
      <c r="CP1074" s="4" t="s">
        <v>241</v>
      </c>
      <c r="CQ1074" s="4" t="s">
        <v>261</v>
      </c>
      <c r="CR1074" s="4" t="s">
        <v>241</v>
      </c>
      <c r="CS1074" s="4" t="s">
        <v>241</v>
      </c>
      <c r="CT1074" s="4">
        <v>0</v>
      </c>
      <c r="CU1074" s="4" t="s">
        <v>262</v>
      </c>
      <c r="CV1074" s="4" t="s">
        <v>263</v>
      </c>
      <c r="CW1074" s="4" t="s">
        <v>263</v>
      </c>
      <c r="CX1074" s="4" t="s">
        <v>264</v>
      </c>
      <c r="DA1074" s="6">
        <f>1</f>
        <v>1</v>
      </c>
      <c r="DC1074" s="4" t="s">
        <v>277</v>
      </c>
      <c r="DD1074" s="4" t="s">
        <v>241</v>
      </c>
      <c r="DF1074" s="4" t="s">
        <v>277</v>
      </c>
      <c r="DG1074" s="6">
        <f>43</f>
        <v>43</v>
      </c>
      <c r="DI1074" s="4" t="s">
        <v>241</v>
      </c>
      <c r="DJ1074" s="4" t="s">
        <v>241</v>
      </c>
      <c r="DK1074" s="4" t="s">
        <v>241</v>
      </c>
      <c r="DL1074" s="4" t="s">
        <v>241</v>
      </c>
      <c r="DP1074" s="4" t="s">
        <v>241</v>
      </c>
      <c r="DQ1074" s="4" t="s">
        <v>241</v>
      </c>
      <c r="DR1074" s="4" t="s">
        <v>241</v>
      </c>
      <c r="DS1074" s="4" t="s">
        <v>241</v>
      </c>
      <c r="DV1074" s="4" t="s">
        <v>278</v>
      </c>
      <c r="DW1074" s="4" t="s">
        <v>1421</v>
      </c>
      <c r="HO1074" s="4" t="s">
        <v>267</v>
      </c>
    </row>
    <row r="1075" spans="1:223" ht="19.5" customHeight="1" x14ac:dyDescent="0.4">
      <c r="A1075" s="4">
        <v>1</v>
      </c>
      <c r="B1075" s="4" t="s">
        <v>239</v>
      </c>
      <c r="C1075" s="4">
        <v>2749</v>
      </c>
      <c r="D1075" s="4">
        <v>1</v>
      </c>
      <c r="E1075" s="4">
        <v>1</v>
      </c>
      <c r="F1075" s="4" t="s">
        <v>268</v>
      </c>
      <c r="G1075" s="4" t="s">
        <v>241</v>
      </c>
      <c r="H1075" s="4" t="s">
        <v>241</v>
      </c>
      <c r="I1075" s="4" t="s">
        <v>272</v>
      </c>
      <c r="J1075" s="4" t="s">
        <v>274</v>
      </c>
      <c r="K1075" s="4" t="s">
        <v>251</v>
      </c>
      <c r="L1075" s="4" t="s">
        <v>269</v>
      </c>
      <c r="M1075" s="5" t="s">
        <v>1450</v>
      </c>
      <c r="N1075" s="6">
        <f>583</f>
        <v>583</v>
      </c>
      <c r="O1075" s="4" t="s">
        <v>265</v>
      </c>
      <c r="P1075" s="6">
        <f>1</f>
        <v>1</v>
      </c>
      <c r="Q1075" s="6">
        <f>0</f>
        <v>0</v>
      </c>
      <c r="S1075" s="6">
        <f>0</f>
        <v>0</v>
      </c>
      <c r="T1075" s="6">
        <f>1</f>
        <v>1</v>
      </c>
      <c r="U1075" s="5" t="s">
        <v>245</v>
      </c>
      <c r="V1075" s="4" t="s">
        <v>270</v>
      </c>
      <c r="W1075" s="4" t="s">
        <v>271</v>
      </c>
      <c r="X1075" s="4" t="s">
        <v>273</v>
      </c>
      <c r="Y1075" s="4" t="s">
        <v>241</v>
      </c>
      <c r="AB1075" s="4" t="s">
        <v>241</v>
      </c>
      <c r="AD1075" s="5" t="s">
        <v>241</v>
      </c>
      <c r="AG1075" s="5" t="s">
        <v>246</v>
      </c>
      <c r="AH1075" s="4" t="s">
        <v>241</v>
      </c>
      <c r="AI1075" s="4" t="s">
        <v>247</v>
      </c>
      <c r="AJ1075" s="4" t="s">
        <v>248</v>
      </c>
      <c r="AZ1075" s="4" t="s">
        <v>249</v>
      </c>
      <c r="BA1075" s="4" t="s">
        <v>241</v>
      </c>
      <c r="BB1075" s="4" t="s">
        <v>250</v>
      </c>
      <c r="BC1075" s="4" t="s">
        <v>241</v>
      </c>
      <c r="BD1075" s="4" t="s">
        <v>252</v>
      </c>
      <c r="BE1075" s="4" t="s">
        <v>241</v>
      </c>
      <c r="BI1075" s="4" t="s">
        <v>253</v>
      </c>
      <c r="BJ1075" s="5" t="s">
        <v>246</v>
      </c>
      <c r="BK1075" s="4" t="s">
        <v>254</v>
      </c>
      <c r="BL1075" s="4" t="s">
        <v>255</v>
      </c>
      <c r="BM1075" s="4" t="s">
        <v>241</v>
      </c>
      <c r="BN1075" s="6">
        <f>0</f>
        <v>0</v>
      </c>
      <c r="BO1075" s="6">
        <f>0</f>
        <v>0</v>
      </c>
      <c r="BP1075" s="4" t="s">
        <v>256</v>
      </c>
      <c r="BQ1075" s="4" t="s">
        <v>257</v>
      </c>
      <c r="CE1075" s="4" t="s">
        <v>241</v>
      </c>
      <c r="CF1075" s="4" t="s">
        <v>241</v>
      </c>
      <c r="CJ1075" s="4" t="s">
        <v>276</v>
      </c>
      <c r="CK1075" s="4" t="s">
        <v>259</v>
      </c>
      <c r="CL1075" s="4" t="s">
        <v>241</v>
      </c>
      <c r="CO1075" s="5" t="s">
        <v>260</v>
      </c>
      <c r="CP1075" s="4" t="s">
        <v>241</v>
      </c>
      <c r="CQ1075" s="4" t="s">
        <v>261</v>
      </c>
      <c r="CR1075" s="4" t="s">
        <v>241</v>
      </c>
      <c r="CS1075" s="4" t="s">
        <v>241</v>
      </c>
      <c r="CT1075" s="4">
        <v>0</v>
      </c>
      <c r="CU1075" s="4" t="s">
        <v>262</v>
      </c>
      <c r="CV1075" s="4" t="s">
        <v>263</v>
      </c>
      <c r="CW1075" s="4" t="s">
        <v>263</v>
      </c>
      <c r="CX1075" s="4" t="s">
        <v>264</v>
      </c>
      <c r="DA1075" s="6">
        <f>1</f>
        <v>1</v>
      </c>
      <c r="DC1075" s="4" t="s">
        <v>277</v>
      </c>
      <c r="DD1075" s="4" t="s">
        <v>241</v>
      </c>
      <c r="DF1075" s="4" t="s">
        <v>277</v>
      </c>
      <c r="DG1075" s="6">
        <f>583</f>
        <v>583</v>
      </c>
      <c r="DI1075" s="4" t="s">
        <v>241</v>
      </c>
      <c r="DJ1075" s="4" t="s">
        <v>241</v>
      </c>
      <c r="DK1075" s="4" t="s">
        <v>241</v>
      </c>
      <c r="DL1075" s="4" t="s">
        <v>241</v>
      </c>
      <c r="DP1075" s="4" t="s">
        <v>241</v>
      </c>
      <c r="DQ1075" s="4" t="s">
        <v>241</v>
      </c>
      <c r="DR1075" s="4" t="s">
        <v>241</v>
      </c>
      <c r="DS1075" s="4" t="s">
        <v>241</v>
      </c>
      <c r="DV1075" s="4" t="s">
        <v>278</v>
      </c>
      <c r="DW1075" s="4" t="s">
        <v>958</v>
      </c>
      <c r="HO1075" s="4" t="s">
        <v>267</v>
      </c>
    </row>
    <row r="1076" spans="1:223" ht="19.5" customHeight="1" x14ac:dyDescent="0.4">
      <c r="A1076" s="4">
        <v>1</v>
      </c>
      <c r="B1076" s="4" t="s">
        <v>239</v>
      </c>
      <c r="C1076" s="4">
        <v>2750</v>
      </c>
      <c r="D1076" s="4">
        <v>1</v>
      </c>
      <c r="E1076" s="4">
        <v>1</v>
      </c>
      <c r="F1076" s="4" t="s">
        <v>268</v>
      </c>
      <c r="G1076" s="4" t="s">
        <v>241</v>
      </c>
      <c r="H1076" s="4" t="s">
        <v>241</v>
      </c>
      <c r="I1076" s="4" t="s">
        <v>272</v>
      </c>
      <c r="J1076" s="4" t="s">
        <v>274</v>
      </c>
      <c r="K1076" s="4" t="s">
        <v>251</v>
      </c>
      <c r="L1076" s="4" t="s">
        <v>269</v>
      </c>
      <c r="M1076" s="5" t="s">
        <v>1454</v>
      </c>
      <c r="N1076" s="6">
        <f>730</f>
        <v>730</v>
      </c>
      <c r="O1076" s="4" t="s">
        <v>265</v>
      </c>
      <c r="P1076" s="6">
        <f>1</f>
        <v>1</v>
      </c>
      <c r="Q1076" s="6">
        <f>0</f>
        <v>0</v>
      </c>
      <c r="S1076" s="6">
        <f>0</f>
        <v>0</v>
      </c>
      <c r="T1076" s="6">
        <f>1</f>
        <v>1</v>
      </c>
      <c r="U1076" s="5" t="s">
        <v>245</v>
      </c>
      <c r="V1076" s="4" t="s">
        <v>270</v>
      </c>
      <c r="W1076" s="4" t="s">
        <v>271</v>
      </c>
      <c r="X1076" s="4" t="s">
        <v>273</v>
      </c>
      <c r="Y1076" s="4" t="s">
        <v>241</v>
      </c>
      <c r="AB1076" s="4" t="s">
        <v>241</v>
      </c>
      <c r="AD1076" s="5" t="s">
        <v>241</v>
      </c>
      <c r="AG1076" s="5" t="s">
        <v>246</v>
      </c>
      <c r="AH1076" s="4" t="s">
        <v>241</v>
      </c>
      <c r="AI1076" s="4" t="s">
        <v>247</v>
      </c>
      <c r="AJ1076" s="4" t="s">
        <v>248</v>
      </c>
      <c r="AZ1076" s="4" t="s">
        <v>249</v>
      </c>
      <c r="BA1076" s="4" t="s">
        <v>241</v>
      </c>
      <c r="BB1076" s="4" t="s">
        <v>250</v>
      </c>
      <c r="BC1076" s="4" t="s">
        <v>241</v>
      </c>
      <c r="BD1076" s="4" t="s">
        <v>252</v>
      </c>
      <c r="BE1076" s="4" t="s">
        <v>241</v>
      </c>
      <c r="BI1076" s="4" t="s">
        <v>253</v>
      </c>
      <c r="BJ1076" s="5" t="s">
        <v>246</v>
      </c>
      <c r="BK1076" s="4" t="s">
        <v>254</v>
      </c>
      <c r="BL1076" s="4" t="s">
        <v>255</v>
      </c>
      <c r="BM1076" s="4" t="s">
        <v>241</v>
      </c>
      <c r="BN1076" s="6">
        <f>0</f>
        <v>0</v>
      </c>
      <c r="BO1076" s="6">
        <f>0</f>
        <v>0</v>
      </c>
      <c r="BP1076" s="4" t="s">
        <v>256</v>
      </c>
      <c r="BQ1076" s="4" t="s">
        <v>257</v>
      </c>
      <c r="CE1076" s="4" t="s">
        <v>241</v>
      </c>
      <c r="CF1076" s="4" t="s">
        <v>241</v>
      </c>
      <c r="CJ1076" s="4" t="s">
        <v>276</v>
      </c>
      <c r="CK1076" s="4" t="s">
        <v>259</v>
      </c>
      <c r="CL1076" s="4" t="s">
        <v>241</v>
      </c>
      <c r="CO1076" s="5" t="s">
        <v>260</v>
      </c>
      <c r="CP1076" s="4" t="s">
        <v>241</v>
      </c>
      <c r="CQ1076" s="4" t="s">
        <v>261</v>
      </c>
      <c r="CR1076" s="4" t="s">
        <v>241</v>
      </c>
      <c r="CS1076" s="4" t="s">
        <v>241</v>
      </c>
      <c r="CT1076" s="4">
        <v>0</v>
      </c>
      <c r="CU1076" s="4" t="s">
        <v>262</v>
      </c>
      <c r="CV1076" s="4" t="s">
        <v>263</v>
      </c>
      <c r="CW1076" s="4" t="s">
        <v>263</v>
      </c>
      <c r="CX1076" s="4" t="s">
        <v>264</v>
      </c>
      <c r="DA1076" s="6">
        <f>1</f>
        <v>1</v>
      </c>
      <c r="DC1076" s="4" t="s">
        <v>277</v>
      </c>
      <c r="DD1076" s="4" t="s">
        <v>241</v>
      </c>
      <c r="DF1076" s="4" t="s">
        <v>277</v>
      </c>
      <c r="DG1076" s="6">
        <f>730</f>
        <v>730</v>
      </c>
      <c r="DI1076" s="4" t="s">
        <v>241</v>
      </c>
      <c r="DJ1076" s="4" t="s">
        <v>241</v>
      </c>
      <c r="DK1076" s="4" t="s">
        <v>241</v>
      </c>
      <c r="DL1076" s="4" t="s">
        <v>241</v>
      </c>
      <c r="DP1076" s="4" t="s">
        <v>241</v>
      </c>
      <c r="DQ1076" s="4" t="s">
        <v>241</v>
      </c>
      <c r="DR1076" s="4" t="s">
        <v>241</v>
      </c>
      <c r="DS1076" s="4" t="s">
        <v>241</v>
      </c>
      <c r="DV1076" s="4" t="s">
        <v>278</v>
      </c>
      <c r="DW1076" s="4" t="s">
        <v>868</v>
      </c>
      <c r="HO1076" s="4" t="s">
        <v>267</v>
      </c>
    </row>
    <row r="1077" spans="1:223" ht="19.5" customHeight="1" x14ac:dyDescent="0.4">
      <c r="A1077" s="4">
        <v>1</v>
      </c>
      <c r="B1077" s="4" t="s">
        <v>239</v>
      </c>
      <c r="C1077" s="4">
        <v>2751</v>
      </c>
      <c r="D1077" s="4">
        <v>1</v>
      </c>
      <c r="E1077" s="4">
        <v>1</v>
      </c>
      <c r="F1077" s="4" t="s">
        <v>268</v>
      </c>
      <c r="G1077" s="4" t="s">
        <v>241</v>
      </c>
      <c r="H1077" s="4" t="s">
        <v>241</v>
      </c>
      <c r="I1077" s="4" t="s">
        <v>272</v>
      </c>
      <c r="J1077" s="4" t="s">
        <v>274</v>
      </c>
      <c r="K1077" s="4" t="s">
        <v>251</v>
      </c>
      <c r="L1077" s="4" t="s">
        <v>269</v>
      </c>
      <c r="M1077" s="5" t="s">
        <v>1453</v>
      </c>
      <c r="N1077" s="6">
        <f>5151</f>
        <v>5151</v>
      </c>
      <c r="O1077" s="4" t="s">
        <v>265</v>
      </c>
      <c r="P1077" s="6">
        <f>1</f>
        <v>1</v>
      </c>
      <c r="Q1077" s="6">
        <f>0</f>
        <v>0</v>
      </c>
      <c r="S1077" s="6">
        <f>0</f>
        <v>0</v>
      </c>
      <c r="T1077" s="6">
        <f>1</f>
        <v>1</v>
      </c>
      <c r="U1077" s="5" t="s">
        <v>245</v>
      </c>
      <c r="V1077" s="4" t="s">
        <v>270</v>
      </c>
      <c r="W1077" s="4" t="s">
        <v>271</v>
      </c>
      <c r="X1077" s="4" t="s">
        <v>273</v>
      </c>
      <c r="Y1077" s="4" t="s">
        <v>241</v>
      </c>
      <c r="AB1077" s="4" t="s">
        <v>241</v>
      </c>
      <c r="AD1077" s="5" t="s">
        <v>241</v>
      </c>
      <c r="AG1077" s="5" t="s">
        <v>246</v>
      </c>
      <c r="AH1077" s="4" t="s">
        <v>241</v>
      </c>
      <c r="AI1077" s="4" t="s">
        <v>247</v>
      </c>
      <c r="AJ1077" s="4" t="s">
        <v>248</v>
      </c>
      <c r="AZ1077" s="4" t="s">
        <v>249</v>
      </c>
      <c r="BA1077" s="4" t="s">
        <v>241</v>
      </c>
      <c r="BB1077" s="4" t="s">
        <v>250</v>
      </c>
      <c r="BC1077" s="4" t="s">
        <v>241</v>
      </c>
      <c r="BD1077" s="4" t="s">
        <v>252</v>
      </c>
      <c r="BE1077" s="4" t="s">
        <v>241</v>
      </c>
      <c r="BI1077" s="4" t="s">
        <v>253</v>
      </c>
      <c r="BJ1077" s="5" t="s">
        <v>246</v>
      </c>
      <c r="BK1077" s="4" t="s">
        <v>254</v>
      </c>
      <c r="BL1077" s="4" t="s">
        <v>255</v>
      </c>
      <c r="BM1077" s="4" t="s">
        <v>241</v>
      </c>
      <c r="BN1077" s="6">
        <f>0</f>
        <v>0</v>
      </c>
      <c r="BO1077" s="6">
        <f>0</f>
        <v>0</v>
      </c>
      <c r="BP1077" s="4" t="s">
        <v>256</v>
      </c>
      <c r="BQ1077" s="4" t="s">
        <v>257</v>
      </c>
      <c r="CE1077" s="4" t="s">
        <v>241</v>
      </c>
      <c r="CF1077" s="4" t="s">
        <v>241</v>
      </c>
      <c r="CJ1077" s="4" t="s">
        <v>276</v>
      </c>
      <c r="CK1077" s="4" t="s">
        <v>259</v>
      </c>
      <c r="CL1077" s="4" t="s">
        <v>241</v>
      </c>
      <c r="CO1077" s="5" t="s">
        <v>260</v>
      </c>
      <c r="CP1077" s="4" t="s">
        <v>241</v>
      </c>
      <c r="CQ1077" s="4" t="s">
        <v>261</v>
      </c>
      <c r="CR1077" s="4" t="s">
        <v>241</v>
      </c>
      <c r="CS1077" s="4" t="s">
        <v>241</v>
      </c>
      <c r="CT1077" s="4">
        <v>0</v>
      </c>
      <c r="CU1077" s="4" t="s">
        <v>262</v>
      </c>
      <c r="CV1077" s="4" t="s">
        <v>263</v>
      </c>
      <c r="CW1077" s="4" t="s">
        <v>263</v>
      </c>
      <c r="CX1077" s="4" t="s">
        <v>264</v>
      </c>
      <c r="DA1077" s="6">
        <f>1</f>
        <v>1</v>
      </c>
      <c r="DC1077" s="4" t="s">
        <v>277</v>
      </c>
      <c r="DD1077" s="4" t="s">
        <v>241</v>
      </c>
      <c r="DF1077" s="4" t="s">
        <v>277</v>
      </c>
      <c r="DG1077" s="6">
        <f>5151</f>
        <v>5151</v>
      </c>
      <c r="DI1077" s="4" t="s">
        <v>241</v>
      </c>
      <c r="DJ1077" s="4" t="s">
        <v>241</v>
      </c>
      <c r="DK1077" s="4" t="s">
        <v>241</v>
      </c>
      <c r="DL1077" s="4" t="s">
        <v>241</v>
      </c>
      <c r="DP1077" s="4" t="s">
        <v>241</v>
      </c>
      <c r="DQ1077" s="4" t="s">
        <v>241</v>
      </c>
      <c r="DR1077" s="4" t="s">
        <v>241</v>
      </c>
      <c r="DS1077" s="4" t="s">
        <v>241</v>
      </c>
      <c r="DV1077" s="4" t="s">
        <v>278</v>
      </c>
      <c r="DW1077" s="4" t="s">
        <v>870</v>
      </c>
      <c r="HO1077" s="4" t="s">
        <v>267</v>
      </c>
    </row>
    <row r="1078" spans="1:223" ht="19.5" customHeight="1" x14ac:dyDescent="0.4">
      <c r="A1078" s="4">
        <v>1</v>
      </c>
      <c r="B1078" s="4" t="s">
        <v>239</v>
      </c>
      <c r="C1078" s="4">
        <v>2752</v>
      </c>
      <c r="D1078" s="4">
        <v>1</v>
      </c>
      <c r="E1078" s="4">
        <v>1</v>
      </c>
      <c r="F1078" s="4" t="s">
        <v>268</v>
      </c>
      <c r="G1078" s="4" t="s">
        <v>241</v>
      </c>
      <c r="H1078" s="4" t="s">
        <v>241</v>
      </c>
      <c r="I1078" s="4" t="s">
        <v>272</v>
      </c>
      <c r="J1078" s="4" t="s">
        <v>274</v>
      </c>
      <c r="K1078" s="4" t="s">
        <v>251</v>
      </c>
      <c r="L1078" s="4" t="s">
        <v>269</v>
      </c>
      <c r="M1078" s="5" t="s">
        <v>1418</v>
      </c>
      <c r="N1078" s="6">
        <f>549</f>
        <v>549</v>
      </c>
      <c r="O1078" s="4" t="s">
        <v>265</v>
      </c>
      <c r="P1078" s="6">
        <f>1</f>
        <v>1</v>
      </c>
      <c r="Q1078" s="6">
        <f>0</f>
        <v>0</v>
      </c>
      <c r="S1078" s="6">
        <f>0</f>
        <v>0</v>
      </c>
      <c r="T1078" s="6">
        <f>1</f>
        <v>1</v>
      </c>
      <c r="U1078" s="5" t="s">
        <v>245</v>
      </c>
      <c r="V1078" s="4" t="s">
        <v>270</v>
      </c>
      <c r="W1078" s="4" t="s">
        <v>271</v>
      </c>
      <c r="X1078" s="4" t="s">
        <v>273</v>
      </c>
      <c r="Y1078" s="4" t="s">
        <v>241</v>
      </c>
      <c r="AB1078" s="4" t="s">
        <v>241</v>
      </c>
      <c r="AD1078" s="5" t="s">
        <v>241</v>
      </c>
      <c r="AG1078" s="5" t="s">
        <v>246</v>
      </c>
      <c r="AH1078" s="4" t="s">
        <v>241</v>
      </c>
      <c r="AI1078" s="4" t="s">
        <v>247</v>
      </c>
      <c r="AJ1078" s="4" t="s">
        <v>248</v>
      </c>
      <c r="AZ1078" s="4" t="s">
        <v>249</v>
      </c>
      <c r="BA1078" s="4" t="s">
        <v>241</v>
      </c>
      <c r="BB1078" s="4" t="s">
        <v>250</v>
      </c>
      <c r="BC1078" s="4" t="s">
        <v>241</v>
      </c>
      <c r="BD1078" s="4" t="s">
        <v>252</v>
      </c>
      <c r="BE1078" s="4" t="s">
        <v>241</v>
      </c>
      <c r="BI1078" s="4" t="s">
        <v>253</v>
      </c>
      <c r="BJ1078" s="5" t="s">
        <v>246</v>
      </c>
      <c r="BK1078" s="4" t="s">
        <v>254</v>
      </c>
      <c r="BL1078" s="4" t="s">
        <v>255</v>
      </c>
      <c r="BM1078" s="4" t="s">
        <v>241</v>
      </c>
      <c r="BN1078" s="6">
        <f>0</f>
        <v>0</v>
      </c>
      <c r="BO1078" s="6">
        <f>0</f>
        <v>0</v>
      </c>
      <c r="BP1078" s="4" t="s">
        <v>256</v>
      </c>
      <c r="BQ1078" s="4" t="s">
        <v>257</v>
      </c>
      <c r="CE1078" s="4" t="s">
        <v>241</v>
      </c>
      <c r="CF1078" s="4" t="s">
        <v>241</v>
      </c>
      <c r="CJ1078" s="4" t="s">
        <v>276</v>
      </c>
      <c r="CK1078" s="4" t="s">
        <v>259</v>
      </c>
      <c r="CL1078" s="4" t="s">
        <v>241</v>
      </c>
      <c r="CO1078" s="5" t="s">
        <v>260</v>
      </c>
      <c r="CP1078" s="4" t="s">
        <v>241</v>
      </c>
      <c r="CQ1078" s="4" t="s">
        <v>261</v>
      </c>
      <c r="CR1078" s="4" t="s">
        <v>241</v>
      </c>
      <c r="CS1078" s="4" t="s">
        <v>241</v>
      </c>
      <c r="CT1078" s="4">
        <v>0</v>
      </c>
      <c r="CU1078" s="4" t="s">
        <v>262</v>
      </c>
      <c r="CV1078" s="4" t="s">
        <v>263</v>
      </c>
      <c r="CW1078" s="4" t="s">
        <v>263</v>
      </c>
      <c r="CX1078" s="4" t="s">
        <v>264</v>
      </c>
      <c r="DA1078" s="6">
        <f>1</f>
        <v>1</v>
      </c>
      <c r="DC1078" s="4" t="s">
        <v>277</v>
      </c>
      <c r="DD1078" s="4" t="s">
        <v>241</v>
      </c>
      <c r="DF1078" s="4" t="s">
        <v>277</v>
      </c>
      <c r="DG1078" s="6">
        <f>549</f>
        <v>549</v>
      </c>
      <c r="DI1078" s="4" t="s">
        <v>241</v>
      </c>
      <c r="DJ1078" s="4" t="s">
        <v>241</v>
      </c>
      <c r="DK1078" s="4" t="s">
        <v>241</v>
      </c>
      <c r="DL1078" s="4" t="s">
        <v>241</v>
      </c>
      <c r="DP1078" s="4" t="s">
        <v>241</v>
      </c>
      <c r="DQ1078" s="4" t="s">
        <v>241</v>
      </c>
      <c r="DR1078" s="4" t="s">
        <v>241</v>
      </c>
      <c r="DS1078" s="4" t="s">
        <v>241</v>
      </c>
      <c r="DV1078" s="4" t="s">
        <v>278</v>
      </c>
      <c r="DW1078" s="4" t="s">
        <v>872</v>
      </c>
      <c r="HO1078" s="4" t="s">
        <v>267</v>
      </c>
    </row>
    <row r="1079" spans="1:223" ht="19.5" customHeight="1" x14ac:dyDescent="0.4">
      <c r="A1079" s="4">
        <v>1</v>
      </c>
      <c r="B1079" s="4" t="s">
        <v>239</v>
      </c>
      <c r="C1079" s="4">
        <v>2753</v>
      </c>
      <c r="D1079" s="4">
        <v>1</v>
      </c>
      <c r="E1079" s="4">
        <v>1</v>
      </c>
      <c r="F1079" s="4" t="s">
        <v>268</v>
      </c>
      <c r="G1079" s="4" t="s">
        <v>241</v>
      </c>
      <c r="H1079" s="4" t="s">
        <v>241</v>
      </c>
      <c r="I1079" s="4" t="s">
        <v>272</v>
      </c>
      <c r="J1079" s="4" t="s">
        <v>274</v>
      </c>
      <c r="K1079" s="4" t="s">
        <v>251</v>
      </c>
      <c r="L1079" s="4" t="s">
        <v>269</v>
      </c>
      <c r="M1079" s="5" t="s">
        <v>1464</v>
      </c>
      <c r="N1079" s="6">
        <f>995</f>
        <v>995</v>
      </c>
      <c r="O1079" s="4" t="s">
        <v>265</v>
      </c>
      <c r="P1079" s="6">
        <f>1</f>
        <v>1</v>
      </c>
      <c r="Q1079" s="6">
        <f>0</f>
        <v>0</v>
      </c>
      <c r="S1079" s="6">
        <f>0</f>
        <v>0</v>
      </c>
      <c r="T1079" s="6">
        <f>1</f>
        <v>1</v>
      </c>
      <c r="U1079" s="5" t="s">
        <v>245</v>
      </c>
      <c r="V1079" s="4" t="s">
        <v>270</v>
      </c>
      <c r="W1079" s="4" t="s">
        <v>271</v>
      </c>
      <c r="X1079" s="4" t="s">
        <v>273</v>
      </c>
      <c r="Y1079" s="4" t="s">
        <v>241</v>
      </c>
      <c r="AB1079" s="4" t="s">
        <v>241</v>
      </c>
      <c r="AD1079" s="5" t="s">
        <v>241</v>
      </c>
      <c r="AG1079" s="5" t="s">
        <v>246</v>
      </c>
      <c r="AH1079" s="4" t="s">
        <v>241</v>
      </c>
      <c r="AI1079" s="4" t="s">
        <v>247</v>
      </c>
      <c r="AJ1079" s="4" t="s">
        <v>248</v>
      </c>
      <c r="AZ1079" s="4" t="s">
        <v>249</v>
      </c>
      <c r="BA1079" s="4" t="s">
        <v>241</v>
      </c>
      <c r="BB1079" s="4" t="s">
        <v>250</v>
      </c>
      <c r="BC1079" s="4" t="s">
        <v>241</v>
      </c>
      <c r="BD1079" s="4" t="s">
        <v>252</v>
      </c>
      <c r="BE1079" s="4" t="s">
        <v>241</v>
      </c>
      <c r="BI1079" s="4" t="s">
        <v>253</v>
      </c>
      <c r="BJ1079" s="5" t="s">
        <v>246</v>
      </c>
      <c r="BK1079" s="4" t="s">
        <v>254</v>
      </c>
      <c r="BL1079" s="4" t="s">
        <v>255</v>
      </c>
      <c r="BM1079" s="4" t="s">
        <v>241</v>
      </c>
      <c r="BN1079" s="6">
        <f>0</f>
        <v>0</v>
      </c>
      <c r="BO1079" s="6">
        <f>0</f>
        <v>0</v>
      </c>
      <c r="BP1079" s="4" t="s">
        <v>256</v>
      </c>
      <c r="BQ1079" s="4" t="s">
        <v>257</v>
      </c>
      <c r="CE1079" s="4" t="s">
        <v>241</v>
      </c>
      <c r="CF1079" s="4" t="s">
        <v>241</v>
      </c>
      <c r="CJ1079" s="4" t="s">
        <v>276</v>
      </c>
      <c r="CK1079" s="4" t="s">
        <v>259</v>
      </c>
      <c r="CL1079" s="4" t="s">
        <v>241</v>
      </c>
      <c r="CO1079" s="5" t="s">
        <v>260</v>
      </c>
      <c r="CP1079" s="4" t="s">
        <v>241</v>
      </c>
      <c r="CQ1079" s="4" t="s">
        <v>261</v>
      </c>
      <c r="CR1079" s="4" t="s">
        <v>241</v>
      </c>
      <c r="CS1079" s="4" t="s">
        <v>241</v>
      </c>
      <c r="CT1079" s="4">
        <v>0</v>
      </c>
      <c r="CU1079" s="4" t="s">
        <v>262</v>
      </c>
      <c r="CV1079" s="4" t="s">
        <v>263</v>
      </c>
      <c r="CW1079" s="4" t="s">
        <v>263</v>
      </c>
      <c r="CX1079" s="4" t="s">
        <v>264</v>
      </c>
      <c r="DA1079" s="6">
        <f>1</f>
        <v>1</v>
      </c>
      <c r="DC1079" s="4" t="s">
        <v>277</v>
      </c>
      <c r="DD1079" s="4" t="s">
        <v>241</v>
      </c>
      <c r="DF1079" s="4" t="s">
        <v>277</v>
      </c>
      <c r="DG1079" s="6">
        <f>995</f>
        <v>995</v>
      </c>
      <c r="DI1079" s="4" t="s">
        <v>241</v>
      </c>
      <c r="DJ1079" s="4" t="s">
        <v>241</v>
      </c>
      <c r="DK1079" s="4" t="s">
        <v>241</v>
      </c>
      <c r="DL1079" s="4" t="s">
        <v>241</v>
      </c>
      <c r="DP1079" s="4" t="s">
        <v>241</v>
      </c>
      <c r="DQ1079" s="4" t="s">
        <v>241</v>
      </c>
      <c r="DR1079" s="4" t="s">
        <v>241</v>
      </c>
      <c r="DS1079" s="4" t="s">
        <v>241</v>
      </c>
      <c r="DV1079" s="4" t="s">
        <v>278</v>
      </c>
      <c r="DW1079" s="4" t="s">
        <v>876</v>
      </c>
      <c r="HO1079" s="4" t="s">
        <v>267</v>
      </c>
    </row>
    <row r="1080" spans="1:223" ht="19.5" customHeight="1" x14ac:dyDescent="0.4">
      <c r="A1080" s="4">
        <v>1</v>
      </c>
      <c r="B1080" s="4" t="s">
        <v>239</v>
      </c>
      <c r="C1080" s="4">
        <v>2754</v>
      </c>
      <c r="D1080" s="4">
        <v>1</v>
      </c>
      <c r="E1080" s="4">
        <v>1</v>
      </c>
      <c r="F1080" s="4" t="s">
        <v>268</v>
      </c>
      <c r="G1080" s="4" t="s">
        <v>241</v>
      </c>
      <c r="H1080" s="4" t="s">
        <v>241</v>
      </c>
      <c r="I1080" s="4" t="s">
        <v>272</v>
      </c>
      <c r="J1080" s="4" t="s">
        <v>274</v>
      </c>
      <c r="K1080" s="4" t="s">
        <v>251</v>
      </c>
      <c r="L1080" s="4" t="s">
        <v>269</v>
      </c>
      <c r="M1080" s="5" t="s">
        <v>1467</v>
      </c>
      <c r="N1080" s="6">
        <f>472</f>
        <v>472</v>
      </c>
      <c r="O1080" s="4" t="s">
        <v>265</v>
      </c>
      <c r="P1080" s="6">
        <f>1</f>
        <v>1</v>
      </c>
      <c r="Q1080" s="6">
        <f>0</f>
        <v>0</v>
      </c>
      <c r="S1080" s="6">
        <f>0</f>
        <v>0</v>
      </c>
      <c r="T1080" s="6">
        <f>1</f>
        <v>1</v>
      </c>
      <c r="U1080" s="5" t="s">
        <v>245</v>
      </c>
      <c r="V1080" s="4" t="s">
        <v>270</v>
      </c>
      <c r="W1080" s="4" t="s">
        <v>271</v>
      </c>
      <c r="X1080" s="4" t="s">
        <v>273</v>
      </c>
      <c r="Y1080" s="4" t="s">
        <v>241</v>
      </c>
      <c r="AB1080" s="4" t="s">
        <v>241</v>
      </c>
      <c r="AD1080" s="5" t="s">
        <v>241</v>
      </c>
      <c r="AG1080" s="5" t="s">
        <v>246</v>
      </c>
      <c r="AH1080" s="4" t="s">
        <v>241</v>
      </c>
      <c r="AI1080" s="4" t="s">
        <v>247</v>
      </c>
      <c r="AJ1080" s="4" t="s">
        <v>248</v>
      </c>
      <c r="AZ1080" s="4" t="s">
        <v>249</v>
      </c>
      <c r="BA1080" s="4" t="s">
        <v>241</v>
      </c>
      <c r="BB1080" s="4" t="s">
        <v>250</v>
      </c>
      <c r="BC1080" s="4" t="s">
        <v>241</v>
      </c>
      <c r="BD1080" s="4" t="s">
        <v>252</v>
      </c>
      <c r="BE1080" s="4" t="s">
        <v>241</v>
      </c>
      <c r="BI1080" s="4" t="s">
        <v>253</v>
      </c>
      <c r="BJ1080" s="5" t="s">
        <v>246</v>
      </c>
      <c r="BK1080" s="4" t="s">
        <v>254</v>
      </c>
      <c r="BL1080" s="4" t="s">
        <v>255</v>
      </c>
      <c r="BM1080" s="4" t="s">
        <v>241</v>
      </c>
      <c r="BN1080" s="6">
        <f>0</f>
        <v>0</v>
      </c>
      <c r="BO1080" s="6">
        <f>0</f>
        <v>0</v>
      </c>
      <c r="BP1080" s="4" t="s">
        <v>256</v>
      </c>
      <c r="BQ1080" s="4" t="s">
        <v>257</v>
      </c>
      <c r="CE1080" s="4" t="s">
        <v>241</v>
      </c>
      <c r="CF1080" s="4" t="s">
        <v>241</v>
      </c>
      <c r="CJ1080" s="4" t="s">
        <v>276</v>
      </c>
      <c r="CK1080" s="4" t="s">
        <v>259</v>
      </c>
      <c r="CL1080" s="4" t="s">
        <v>241</v>
      </c>
      <c r="CO1080" s="5" t="s">
        <v>260</v>
      </c>
      <c r="CP1080" s="4" t="s">
        <v>241</v>
      </c>
      <c r="CQ1080" s="4" t="s">
        <v>261</v>
      </c>
      <c r="CR1080" s="4" t="s">
        <v>241</v>
      </c>
      <c r="CS1080" s="4" t="s">
        <v>241</v>
      </c>
      <c r="CT1080" s="4">
        <v>0</v>
      </c>
      <c r="CU1080" s="4" t="s">
        <v>262</v>
      </c>
      <c r="CV1080" s="4" t="s">
        <v>263</v>
      </c>
      <c r="CW1080" s="4" t="s">
        <v>263</v>
      </c>
      <c r="CX1080" s="4" t="s">
        <v>264</v>
      </c>
      <c r="DA1080" s="6">
        <f>1</f>
        <v>1</v>
      </c>
      <c r="DC1080" s="4" t="s">
        <v>277</v>
      </c>
      <c r="DD1080" s="4" t="s">
        <v>241</v>
      </c>
      <c r="DF1080" s="4" t="s">
        <v>277</v>
      </c>
      <c r="DG1080" s="6">
        <f>472</f>
        <v>472</v>
      </c>
      <c r="DI1080" s="4" t="s">
        <v>241</v>
      </c>
      <c r="DJ1080" s="4" t="s">
        <v>241</v>
      </c>
      <c r="DK1080" s="4" t="s">
        <v>241</v>
      </c>
      <c r="DL1080" s="4" t="s">
        <v>241</v>
      </c>
      <c r="DP1080" s="4" t="s">
        <v>241</v>
      </c>
      <c r="DQ1080" s="4" t="s">
        <v>241</v>
      </c>
      <c r="DR1080" s="4" t="s">
        <v>241</v>
      </c>
      <c r="DS1080" s="4" t="s">
        <v>241</v>
      </c>
      <c r="DV1080" s="4" t="s">
        <v>278</v>
      </c>
      <c r="DW1080" s="4" t="s">
        <v>880</v>
      </c>
      <c r="HO1080" s="4" t="s">
        <v>267</v>
      </c>
    </row>
    <row r="1081" spans="1:223" ht="19.5" customHeight="1" x14ac:dyDescent="0.4">
      <c r="A1081" s="4">
        <v>1</v>
      </c>
      <c r="B1081" s="4" t="s">
        <v>239</v>
      </c>
      <c r="C1081" s="4">
        <v>2755</v>
      </c>
      <c r="D1081" s="4">
        <v>1</v>
      </c>
      <c r="E1081" s="4">
        <v>1</v>
      </c>
      <c r="F1081" s="4" t="s">
        <v>268</v>
      </c>
      <c r="G1081" s="4" t="s">
        <v>241</v>
      </c>
      <c r="H1081" s="4" t="s">
        <v>241</v>
      </c>
      <c r="I1081" s="4" t="s">
        <v>272</v>
      </c>
      <c r="J1081" s="4" t="s">
        <v>274</v>
      </c>
      <c r="K1081" s="4" t="s">
        <v>251</v>
      </c>
      <c r="L1081" s="4" t="s">
        <v>269</v>
      </c>
      <c r="M1081" s="5" t="s">
        <v>2510</v>
      </c>
      <c r="N1081" s="6">
        <f>4385</f>
        <v>4385</v>
      </c>
      <c r="O1081" s="4" t="s">
        <v>265</v>
      </c>
      <c r="P1081" s="6">
        <f>1</f>
        <v>1</v>
      </c>
      <c r="Q1081" s="6">
        <f>0</f>
        <v>0</v>
      </c>
      <c r="S1081" s="6">
        <f>0</f>
        <v>0</v>
      </c>
      <c r="T1081" s="6">
        <f>1</f>
        <v>1</v>
      </c>
      <c r="U1081" s="5" t="s">
        <v>245</v>
      </c>
      <c r="V1081" s="4" t="s">
        <v>270</v>
      </c>
      <c r="W1081" s="4" t="s">
        <v>271</v>
      </c>
      <c r="X1081" s="4" t="s">
        <v>273</v>
      </c>
      <c r="Y1081" s="4" t="s">
        <v>241</v>
      </c>
      <c r="AB1081" s="4" t="s">
        <v>241</v>
      </c>
      <c r="AD1081" s="5" t="s">
        <v>241</v>
      </c>
      <c r="AG1081" s="5" t="s">
        <v>246</v>
      </c>
      <c r="AH1081" s="4" t="s">
        <v>241</v>
      </c>
      <c r="AI1081" s="4" t="s">
        <v>247</v>
      </c>
      <c r="AJ1081" s="4" t="s">
        <v>248</v>
      </c>
      <c r="AZ1081" s="4" t="s">
        <v>249</v>
      </c>
      <c r="BA1081" s="4" t="s">
        <v>241</v>
      </c>
      <c r="BB1081" s="4" t="s">
        <v>250</v>
      </c>
      <c r="BC1081" s="4" t="s">
        <v>241</v>
      </c>
      <c r="BD1081" s="4" t="s">
        <v>252</v>
      </c>
      <c r="BE1081" s="4" t="s">
        <v>241</v>
      </c>
      <c r="BI1081" s="4" t="s">
        <v>253</v>
      </c>
      <c r="BJ1081" s="5" t="s">
        <v>246</v>
      </c>
      <c r="BK1081" s="4" t="s">
        <v>254</v>
      </c>
      <c r="BL1081" s="4" t="s">
        <v>255</v>
      </c>
      <c r="BM1081" s="4" t="s">
        <v>241</v>
      </c>
      <c r="BN1081" s="6">
        <f>0</f>
        <v>0</v>
      </c>
      <c r="BO1081" s="6">
        <f>0</f>
        <v>0</v>
      </c>
      <c r="BP1081" s="4" t="s">
        <v>256</v>
      </c>
      <c r="BQ1081" s="4" t="s">
        <v>257</v>
      </c>
      <c r="CE1081" s="4" t="s">
        <v>241</v>
      </c>
      <c r="CF1081" s="4" t="s">
        <v>241</v>
      </c>
      <c r="CJ1081" s="4" t="s">
        <v>276</v>
      </c>
      <c r="CK1081" s="4" t="s">
        <v>259</v>
      </c>
      <c r="CL1081" s="4" t="s">
        <v>241</v>
      </c>
      <c r="CO1081" s="5" t="s">
        <v>260</v>
      </c>
      <c r="CP1081" s="4" t="s">
        <v>241</v>
      </c>
      <c r="CQ1081" s="4" t="s">
        <v>261</v>
      </c>
      <c r="CR1081" s="4" t="s">
        <v>241</v>
      </c>
      <c r="CS1081" s="4" t="s">
        <v>241</v>
      </c>
      <c r="CT1081" s="4">
        <v>0</v>
      </c>
      <c r="CU1081" s="4" t="s">
        <v>262</v>
      </c>
      <c r="CV1081" s="4" t="s">
        <v>263</v>
      </c>
      <c r="CW1081" s="4" t="s">
        <v>263</v>
      </c>
      <c r="CX1081" s="4" t="s">
        <v>264</v>
      </c>
      <c r="DA1081" s="6">
        <f>1</f>
        <v>1</v>
      </c>
      <c r="DC1081" s="4" t="s">
        <v>277</v>
      </c>
      <c r="DD1081" s="4" t="s">
        <v>241</v>
      </c>
      <c r="DF1081" s="4" t="s">
        <v>277</v>
      </c>
      <c r="DG1081" s="6">
        <f>4385</f>
        <v>4385</v>
      </c>
      <c r="DI1081" s="4" t="s">
        <v>241</v>
      </c>
      <c r="DJ1081" s="4" t="s">
        <v>241</v>
      </c>
      <c r="DK1081" s="4" t="s">
        <v>241</v>
      </c>
      <c r="DL1081" s="4" t="s">
        <v>241</v>
      </c>
      <c r="DP1081" s="4" t="s">
        <v>241</v>
      </c>
      <c r="DQ1081" s="4" t="s">
        <v>241</v>
      </c>
      <c r="DR1081" s="4" t="s">
        <v>241</v>
      </c>
      <c r="DS1081" s="4" t="s">
        <v>241</v>
      </c>
      <c r="DV1081" s="4" t="s">
        <v>278</v>
      </c>
      <c r="DW1081" s="4" t="s">
        <v>884</v>
      </c>
      <c r="HO1081" s="4" t="s">
        <v>267</v>
      </c>
    </row>
    <row r="1082" spans="1:223" ht="19.5" customHeight="1" x14ac:dyDescent="0.4">
      <c r="A1082" s="4">
        <v>1</v>
      </c>
      <c r="B1082" s="4" t="s">
        <v>239</v>
      </c>
      <c r="C1082" s="4">
        <v>2756</v>
      </c>
      <c r="D1082" s="4">
        <v>1</v>
      </c>
      <c r="E1082" s="4">
        <v>1</v>
      </c>
      <c r="F1082" s="4" t="s">
        <v>268</v>
      </c>
      <c r="G1082" s="4" t="s">
        <v>241</v>
      </c>
      <c r="H1082" s="4" t="s">
        <v>241</v>
      </c>
      <c r="I1082" s="4" t="s">
        <v>272</v>
      </c>
      <c r="J1082" s="4" t="s">
        <v>274</v>
      </c>
      <c r="K1082" s="4" t="s">
        <v>251</v>
      </c>
      <c r="L1082" s="4" t="s">
        <v>269</v>
      </c>
      <c r="M1082" s="5" t="s">
        <v>1005</v>
      </c>
      <c r="N1082" s="6">
        <f>338</f>
        <v>338</v>
      </c>
      <c r="O1082" s="4" t="s">
        <v>265</v>
      </c>
      <c r="P1082" s="6">
        <f>1</f>
        <v>1</v>
      </c>
      <c r="Q1082" s="6">
        <f>0</f>
        <v>0</v>
      </c>
      <c r="S1082" s="6">
        <f>0</f>
        <v>0</v>
      </c>
      <c r="T1082" s="6">
        <f>1</f>
        <v>1</v>
      </c>
      <c r="U1082" s="5" t="s">
        <v>245</v>
      </c>
      <c r="V1082" s="4" t="s">
        <v>270</v>
      </c>
      <c r="W1082" s="4" t="s">
        <v>271</v>
      </c>
      <c r="X1082" s="4" t="s">
        <v>273</v>
      </c>
      <c r="Y1082" s="4" t="s">
        <v>241</v>
      </c>
      <c r="AB1082" s="4" t="s">
        <v>241</v>
      </c>
      <c r="AD1082" s="5" t="s">
        <v>241</v>
      </c>
      <c r="AG1082" s="5" t="s">
        <v>246</v>
      </c>
      <c r="AH1082" s="4" t="s">
        <v>241</v>
      </c>
      <c r="AI1082" s="4" t="s">
        <v>247</v>
      </c>
      <c r="AJ1082" s="4" t="s">
        <v>248</v>
      </c>
      <c r="AZ1082" s="4" t="s">
        <v>249</v>
      </c>
      <c r="BA1082" s="4" t="s">
        <v>241</v>
      </c>
      <c r="BB1082" s="4" t="s">
        <v>250</v>
      </c>
      <c r="BC1082" s="4" t="s">
        <v>241</v>
      </c>
      <c r="BD1082" s="4" t="s">
        <v>252</v>
      </c>
      <c r="BE1082" s="4" t="s">
        <v>241</v>
      </c>
      <c r="BI1082" s="4" t="s">
        <v>253</v>
      </c>
      <c r="BJ1082" s="5" t="s">
        <v>246</v>
      </c>
      <c r="BK1082" s="4" t="s">
        <v>254</v>
      </c>
      <c r="BL1082" s="4" t="s">
        <v>255</v>
      </c>
      <c r="BM1082" s="4" t="s">
        <v>241</v>
      </c>
      <c r="BN1082" s="6">
        <f>0</f>
        <v>0</v>
      </c>
      <c r="BO1082" s="6">
        <f>0</f>
        <v>0</v>
      </c>
      <c r="BP1082" s="4" t="s">
        <v>256</v>
      </c>
      <c r="BQ1082" s="4" t="s">
        <v>257</v>
      </c>
      <c r="CE1082" s="4" t="s">
        <v>241</v>
      </c>
      <c r="CF1082" s="4" t="s">
        <v>241</v>
      </c>
      <c r="CJ1082" s="4" t="s">
        <v>276</v>
      </c>
      <c r="CK1082" s="4" t="s">
        <v>259</v>
      </c>
      <c r="CL1082" s="4" t="s">
        <v>241</v>
      </c>
      <c r="CO1082" s="5" t="s">
        <v>260</v>
      </c>
      <c r="CP1082" s="4" t="s">
        <v>241</v>
      </c>
      <c r="CQ1082" s="4" t="s">
        <v>261</v>
      </c>
      <c r="CR1082" s="4" t="s">
        <v>241</v>
      </c>
      <c r="CS1082" s="4" t="s">
        <v>241</v>
      </c>
      <c r="CT1082" s="4">
        <v>0</v>
      </c>
      <c r="CU1082" s="4" t="s">
        <v>262</v>
      </c>
      <c r="CV1082" s="4" t="s">
        <v>263</v>
      </c>
      <c r="CW1082" s="4" t="s">
        <v>263</v>
      </c>
      <c r="CX1082" s="4" t="s">
        <v>264</v>
      </c>
      <c r="DA1082" s="6">
        <f>1</f>
        <v>1</v>
      </c>
      <c r="DC1082" s="4" t="s">
        <v>277</v>
      </c>
      <c r="DD1082" s="4" t="s">
        <v>241</v>
      </c>
      <c r="DF1082" s="4" t="s">
        <v>277</v>
      </c>
      <c r="DG1082" s="6">
        <f>338</f>
        <v>338</v>
      </c>
      <c r="DI1082" s="4" t="s">
        <v>241</v>
      </c>
      <c r="DJ1082" s="4" t="s">
        <v>241</v>
      </c>
      <c r="DK1082" s="4" t="s">
        <v>241</v>
      </c>
      <c r="DL1082" s="4" t="s">
        <v>241</v>
      </c>
      <c r="DP1082" s="4" t="s">
        <v>241</v>
      </c>
      <c r="DQ1082" s="4" t="s">
        <v>241</v>
      </c>
      <c r="DR1082" s="4" t="s">
        <v>241</v>
      </c>
      <c r="DS1082" s="4" t="s">
        <v>241</v>
      </c>
      <c r="DV1082" s="4" t="s">
        <v>278</v>
      </c>
      <c r="DW1082" s="4" t="s">
        <v>886</v>
      </c>
      <c r="HO1082" s="4" t="s">
        <v>267</v>
      </c>
    </row>
    <row r="1083" spans="1:223" ht="19.5" customHeight="1" x14ac:dyDescent="0.4">
      <c r="A1083" s="4">
        <v>1</v>
      </c>
      <c r="B1083" s="4" t="s">
        <v>239</v>
      </c>
      <c r="C1083" s="4">
        <v>2757</v>
      </c>
      <c r="D1083" s="4">
        <v>1</v>
      </c>
      <c r="E1083" s="4">
        <v>1</v>
      </c>
      <c r="F1083" s="4" t="s">
        <v>268</v>
      </c>
      <c r="G1083" s="4" t="s">
        <v>241</v>
      </c>
      <c r="H1083" s="4" t="s">
        <v>241</v>
      </c>
      <c r="I1083" s="4" t="s">
        <v>272</v>
      </c>
      <c r="J1083" s="4" t="s">
        <v>274</v>
      </c>
      <c r="K1083" s="4" t="s">
        <v>251</v>
      </c>
      <c r="L1083" s="4" t="s">
        <v>269</v>
      </c>
      <c r="M1083" s="5" t="s">
        <v>1473</v>
      </c>
      <c r="N1083" s="6">
        <f>1850</f>
        <v>1850</v>
      </c>
      <c r="O1083" s="4" t="s">
        <v>265</v>
      </c>
      <c r="P1083" s="6">
        <f>1</f>
        <v>1</v>
      </c>
      <c r="Q1083" s="6">
        <f>0</f>
        <v>0</v>
      </c>
      <c r="S1083" s="6">
        <f>0</f>
        <v>0</v>
      </c>
      <c r="T1083" s="6">
        <f>1</f>
        <v>1</v>
      </c>
      <c r="U1083" s="5" t="s">
        <v>245</v>
      </c>
      <c r="V1083" s="4" t="s">
        <v>270</v>
      </c>
      <c r="W1083" s="4" t="s">
        <v>271</v>
      </c>
      <c r="X1083" s="4" t="s">
        <v>273</v>
      </c>
      <c r="Y1083" s="4" t="s">
        <v>241</v>
      </c>
      <c r="AB1083" s="4" t="s">
        <v>241</v>
      </c>
      <c r="AD1083" s="5" t="s">
        <v>241</v>
      </c>
      <c r="AG1083" s="5" t="s">
        <v>246</v>
      </c>
      <c r="AH1083" s="4" t="s">
        <v>241</v>
      </c>
      <c r="AI1083" s="4" t="s">
        <v>247</v>
      </c>
      <c r="AJ1083" s="4" t="s">
        <v>248</v>
      </c>
      <c r="AZ1083" s="4" t="s">
        <v>249</v>
      </c>
      <c r="BA1083" s="4" t="s">
        <v>241</v>
      </c>
      <c r="BB1083" s="4" t="s">
        <v>250</v>
      </c>
      <c r="BC1083" s="4" t="s">
        <v>241</v>
      </c>
      <c r="BD1083" s="4" t="s">
        <v>252</v>
      </c>
      <c r="BE1083" s="4" t="s">
        <v>241</v>
      </c>
      <c r="BI1083" s="4" t="s">
        <v>253</v>
      </c>
      <c r="BJ1083" s="5" t="s">
        <v>246</v>
      </c>
      <c r="BK1083" s="4" t="s">
        <v>254</v>
      </c>
      <c r="BL1083" s="4" t="s">
        <v>255</v>
      </c>
      <c r="BM1083" s="4" t="s">
        <v>241</v>
      </c>
      <c r="BN1083" s="6">
        <f>0</f>
        <v>0</v>
      </c>
      <c r="BO1083" s="6">
        <f>0</f>
        <v>0</v>
      </c>
      <c r="BP1083" s="4" t="s">
        <v>256</v>
      </c>
      <c r="BQ1083" s="4" t="s">
        <v>257</v>
      </c>
      <c r="CE1083" s="4" t="s">
        <v>241</v>
      </c>
      <c r="CF1083" s="4" t="s">
        <v>241</v>
      </c>
      <c r="CJ1083" s="4" t="s">
        <v>276</v>
      </c>
      <c r="CK1083" s="4" t="s">
        <v>259</v>
      </c>
      <c r="CL1083" s="4" t="s">
        <v>241</v>
      </c>
      <c r="CO1083" s="5" t="s">
        <v>260</v>
      </c>
      <c r="CP1083" s="4" t="s">
        <v>241</v>
      </c>
      <c r="CQ1083" s="4" t="s">
        <v>261</v>
      </c>
      <c r="CR1083" s="4" t="s">
        <v>241</v>
      </c>
      <c r="CS1083" s="4" t="s">
        <v>241</v>
      </c>
      <c r="CT1083" s="4">
        <v>0</v>
      </c>
      <c r="CU1083" s="4" t="s">
        <v>262</v>
      </c>
      <c r="CV1083" s="4" t="s">
        <v>263</v>
      </c>
      <c r="CW1083" s="4" t="s">
        <v>263</v>
      </c>
      <c r="CX1083" s="4" t="s">
        <v>264</v>
      </c>
      <c r="DA1083" s="6">
        <f>1</f>
        <v>1</v>
      </c>
      <c r="DC1083" s="4" t="s">
        <v>277</v>
      </c>
      <c r="DD1083" s="4" t="s">
        <v>241</v>
      </c>
      <c r="DF1083" s="4" t="s">
        <v>277</v>
      </c>
      <c r="DG1083" s="6">
        <f>1850</f>
        <v>1850</v>
      </c>
      <c r="DI1083" s="4" t="s">
        <v>241</v>
      </c>
      <c r="DJ1083" s="4" t="s">
        <v>241</v>
      </c>
      <c r="DK1083" s="4" t="s">
        <v>241</v>
      </c>
      <c r="DL1083" s="4" t="s">
        <v>241</v>
      </c>
      <c r="DP1083" s="4" t="s">
        <v>241</v>
      </c>
      <c r="DQ1083" s="4" t="s">
        <v>241</v>
      </c>
      <c r="DR1083" s="4" t="s">
        <v>241</v>
      </c>
      <c r="DS1083" s="4" t="s">
        <v>241</v>
      </c>
      <c r="DV1083" s="4" t="s">
        <v>278</v>
      </c>
      <c r="DW1083" s="4" t="s">
        <v>891</v>
      </c>
      <c r="HO1083" s="4" t="s">
        <v>267</v>
      </c>
    </row>
    <row r="1084" spans="1:223" ht="19.5" customHeight="1" x14ac:dyDescent="0.4">
      <c r="A1084" s="4">
        <v>1</v>
      </c>
      <c r="B1084" s="4" t="s">
        <v>239</v>
      </c>
      <c r="C1084" s="4">
        <v>2758</v>
      </c>
      <c r="D1084" s="4">
        <v>1</v>
      </c>
      <c r="E1084" s="4">
        <v>1</v>
      </c>
      <c r="F1084" s="4" t="s">
        <v>268</v>
      </c>
      <c r="G1084" s="4" t="s">
        <v>241</v>
      </c>
      <c r="H1084" s="4" t="s">
        <v>241</v>
      </c>
      <c r="I1084" s="4" t="s">
        <v>272</v>
      </c>
      <c r="J1084" s="4" t="s">
        <v>274</v>
      </c>
      <c r="K1084" s="4" t="s">
        <v>251</v>
      </c>
      <c r="L1084" s="4" t="s">
        <v>269</v>
      </c>
      <c r="M1084" s="5" t="s">
        <v>1472</v>
      </c>
      <c r="N1084" s="6">
        <f>384</f>
        <v>384</v>
      </c>
      <c r="O1084" s="4" t="s">
        <v>265</v>
      </c>
      <c r="P1084" s="6">
        <f>1</f>
        <v>1</v>
      </c>
      <c r="Q1084" s="6">
        <f>0</f>
        <v>0</v>
      </c>
      <c r="S1084" s="6">
        <f>0</f>
        <v>0</v>
      </c>
      <c r="T1084" s="6">
        <f>1</f>
        <v>1</v>
      </c>
      <c r="U1084" s="5" t="s">
        <v>245</v>
      </c>
      <c r="V1084" s="4" t="s">
        <v>270</v>
      </c>
      <c r="W1084" s="4" t="s">
        <v>271</v>
      </c>
      <c r="X1084" s="4" t="s">
        <v>273</v>
      </c>
      <c r="Y1084" s="4" t="s">
        <v>241</v>
      </c>
      <c r="AB1084" s="4" t="s">
        <v>241</v>
      </c>
      <c r="AD1084" s="5" t="s">
        <v>241</v>
      </c>
      <c r="AG1084" s="5" t="s">
        <v>246</v>
      </c>
      <c r="AH1084" s="4" t="s">
        <v>241</v>
      </c>
      <c r="AI1084" s="4" t="s">
        <v>247</v>
      </c>
      <c r="AJ1084" s="4" t="s">
        <v>248</v>
      </c>
      <c r="AZ1084" s="4" t="s">
        <v>249</v>
      </c>
      <c r="BA1084" s="4" t="s">
        <v>241</v>
      </c>
      <c r="BB1084" s="4" t="s">
        <v>250</v>
      </c>
      <c r="BC1084" s="4" t="s">
        <v>241</v>
      </c>
      <c r="BD1084" s="4" t="s">
        <v>252</v>
      </c>
      <c r="BE1084" s="4" t="s">
        <v>241</v>
      </c>
      <c r="BI1084" s="4" t="s">
        <v>253</v>
      </c>
      <c r="BJ1084" s="5" t="s">
        <v>246</v>
      </c>
      <c r="BK1084" s="4" t="s">
        <v>254</v>
      </c>
      <c r="BL1084" s="4" t="s">
        <v>255</v>
      </c>
      <c r="BM1084" s="4" t="s">
        <v>241</v>
      </c>
      <c r="BN1084" s="6">
        <f>0</f>
        <v>0</v>
      </c>
      <c r="BO1084" s="6">
        <f>0</f>
        <v>0</v>
      </c>
      <c r="BP1084" s="4" t="s">
        <v>256</v>
      </c>
      <c r="BQ1084" s="4" t="s">
        <v>257</v>
      </c>
      <c r="CE1084" s="4" t="s">
        <v>241</v>
      </c>
      <c r="CF1084" s="4" t="s">
        <v>241</v>
      </c>
      <c r="CJ1084" s="4" t="s">
        <v>276</v>
      </c>
      <c r="CK1084" s="4" t="s">
        <v>259</v>
      </c>
      <c r="CL1084" s="4" t="s">
        <v>241</v>
      </c>
      <c r="CO1084" s="5" t="s">
        <v>260</v>
      </c>
      <c r="CP1084" s="4" t="s">
        <v>241</v>
      </c>
      <c r="CQ1084" s="4" t="s">
        <v>261</v>
      </c>
      <c r="CR1084" s="4" t="s">
        <v>241</v>
      </c>
      <c r="CS1084" s="4" t="s">
        <v>241</v>
      </c>
      <c r="CT1084" s="4">
        <v>0</v>
      </c>
      <c r="CU1084" s="4" t="s">
        <v>262</v>
      </c>
      <c r="CV1084" s="4" t="s">
        <v>263</v>
      </c>
      <c r="CW1084" s="4" t="s">
        <v>263</v>
      </c>
      <c r="CX1084" s="4" t="s">
        <v>264</v>
      </c>
      <c r="DA1084" s="6">
        <f>1</f>
        <v>1</v>
      </c>
      <c r="DC1084" s="4" t="s">
        <v>277</v>
      </c>
      <c r="DD1084" s="4" t="s">
        <v>241</v>
      </c>
      <c r="DF1084" s="4" t="s">
        <v>277</v>
      </c>
      <c r="DG1084" s="6">
        <f>384</f>
        <v>384</v>
      </c>
      <c r="DI1084" s="4" t="s">
        <v>241</v>
      </c>
      <c r="DJ1084" s="4" t="s">
        <v>241</v>
      </c>
      <c r="DK1084" s="4" t="s">
        <v>241</v>
      </c>
      <c r="DL1084" s="4" t="s">
        <v>241</v>
      </c>
      <c r="DP1084" s="4" t="s">
        <v>241</v>
      </c>
      <c r="DQ1084" s="4" t="s">
        <v>241</v>
      </c>
      <c r="DR1084" s="4" t="s">
        <v>241</v>
      </c>
      <c r="DS1084" s="4" t="s">
        <v>241</v>
      </c>
      <c r="DV1084" s="4" t="s">
        <v>278</v>
      </c>
      <c r="DW1084" s="4" t="s">
        <v>895</v>
      </c>
      <c r="HO1084" s="4" t="s">
        <v>267</v>
      </c>
    </row>
    <row r="1085" spans="1:223" ht="19.5" customHeight="1" x14ac:dyDescent="0.4">
      <c r="A1085" s="4">
        <v>1</v>
      </c>
      <c r="B1085" s="4" t="s">
        <v>239</v>
      </c>
      <c r="C1085" s="4">
        <v>2759</v>
      </c>
      <c r="D1085" s="4">
        <v>1</v>
      </c>
      <c r="E1085" s="4">
        <v>1</v>
      </c>
      <c r="F1085" s="4" t="s">
        <v>268</v>
      </c>
      <c r="G1085" s="4" t="s">
        <v>241</v>
      </c>
      <c r="H1085" s="4" t="s">
        <v>241</v>
      </c>
      <c r="I1085" s="4" t="s">
        <v>272</v>
      </c>
      <c r="J1085" s="4" t="s">
        <v>274</v>
      </c>
      <c r="K1085" s="4" t="s">
        <v>251</v>
      </c>
      <c r="L1085" s="4" t="s">
        <v>269</v>
      </c>
      <c r="M1085" s="5" t="s">
        <v>1001</v>
      </c>
      <c r="N1085" s="6">
        <f>4571</f>
        <v>4571</v>
      </c>
      <c r="O1085" s="4" t="s">
        <v>265</v>
      </c>
      <c r="P1085" s="6">
        <f>1</f>
        <v>1</v>
      </c>
      <c r="Q1085" s="6">
        <f>0</f>
        <v>0</v>
      </c>
      <c r="S1085" s="6">
        <f>0</f>
        <v>0</v>
      </c>
      <c r="T1085" s="6">
        <f>1</f>
        <v>1</v>
      </c>
      <c r="U1085" s="5" t="s">
        <v>245</v>
      </c>
      <c r="V1085" s="4" t="s">
        <v>270</v>
      </c>
      <c r="W1085" s="4" t="s">
        <v>271</v>
      </c>
      <c r="X1085" s="4" t="s">
        <v>273</v>
      </c>
      <c r="Y1085" s="4" t="s">
        <v>241</v>
      </c>
      <c r="AB1085" s="4" t="s">
        <v>241</v>
      </c>
      <c r="AD1085" s="5" t="s">
        <v>241</v>
      </c>
      <c r="AG1085" s="5" t="s">
        <v>246</v>
      </c>
      <c r="AH1085" s="4" t="s">
        <v>241</v>
      </c>
      <c r="AI1085" s="4" t="s">
        <v>247</v>
      </c>
      <c r="AJ1085" s="4" t="s">
        <v>248</v>
      </c>
      <c r="AZ1085" s="4" t="s">
        <v>249</v>
      </c>
      <c r="BA1085" s="4" t="s">
        <v>241</v>
      </c>
      <c r="BB1085" s="4" t="s">
        <v>250</v>
      </c>
      <c r="BC1085" s="4" t="s">
        <v>241</v>
      </c>
      <c r="BD1085" s="4" t="s">
        <v>252</v>
      </c>
      <c r="BE1085" s="4" t="s">
        <v>241</v>
      </c>
      <c r="BI1085" s="4" t="s">
        <v>253</v>
      </c>
      <c r="BJ1085" s="5" t="s">
        <v>246</v>
      </c>
      <c r="BK1085" s="4" t="s">
        <v>254</v>
      </c>
      <c r="BL1085" s="4" t="s">
        <v>255</v>
      </c>
      <c r="BM1085" s="4" t="s">
        <v>241</v>
      </c>
      <c r="BN1085" s="6">
        <f>0</f>
        <v>0</v>
      </c>
      <c r="BO1085" s="6">
        <f>0</f>
        <v>0</v>
      </c>
      <c r="BP1085" s="4" t="s">
        <v>256</v>
      </c>
      <c r="BQ1085" s="4" t="s">
        <v>257</v>
      </c>
      <c r="CE1085" s="4" t="s">
        <v>241</v>
      </c>
      <c r="CF1085" s="4" t="s">
        <v>241</v>
      </c>
      <c r="CJ1085" s="4" t="s">
        <v>276</v>
      </c>
      <c r="CK1085" s="4" t="s">
        <v>259</v>
      </c>
      <c r="CL1085" s="4" t="s">
        <v>241</v>
      </c>
      <c r="CO1085" s="5" t="s">
        <v>260</v>
      </c>
      <c r="CP1085" s="4" t="s">
        <v>241</v>
      </c>
      <c r="CQ1085" s="4" t="s">
        <v>261</v>
      </c>
      <c r="CR1085" s="4" t="s">
        <v>241</v>
      </c>
      <c r="CS1085" s="4" t="s">
        <v>241</v>
      </c>
      <c r="CT1085" s="4">
        <v>0</v>
      </c>
      <c r="CU1085" s="4" t="s">
        <v>262</v>
      </c>
      <c r="CV1085" s="4" t="s">
        <v>263</v>
      </c>
      <c r="CW1085" s="4" t="s">
        <v>263</v>
      </c>
      <c r="CX1085" s="4" t="s">
        <v>264</v>
      </c>
      <c r="DA1085" s="6">
        <f>1</f>
        <v>1</v>
      </c>
      <c r="DC1085" s="4" t="s">
        <v>277</v>
      </c>
      <c r="DD1085" s="4" t="s">
        <v>241</v>
      </c>
      <c r="DF1085" s="4" t="s">
        <v>277</v>
      </c>
      <c r="DG1085" s="6">
        <f>4571</f>
        <v>4571</v>
      </c>
      <c r="DI1085" s="4" t="s">
        <v>241</v>
      </c>
      <c r="DJ1085" s="4" t="s">
        <v>241</v>
      </c>
      <c r="DK1085" s="4" t="s">
        <v>241</v>
      </c>
      <c r="DL1085" s="4" t="s">
        <v>241</v>
      </c>
      <c r="DP1085" s="4" t="s">
        <v>241</v>
      </c>
      <c r="DQ1085" s="4" t="s">
        <v>241</v>
      </c>
      <c r="DR1085" s="4" t="s">
        <v>241</v>
      </c>
      <c r="DS1085" s="4" t="s">
        <v>241</v>
      </c>
      <c r="DV1085" s="4" t="s">
        <v>278</v>
      </c>
      <c r="DW1085" s="4" t="s">
        <v>897</v>
      </c>
      <c r="HO1085" s="4" t="s">
        <v>267</v>
      </c>
    </row>
    <row r="1086" spans="1:223" ht="19.5" customHeight="1" x14ac:dyDescent="0.4">
      <c r="A1086" s="4">
        <v>1</v>
      </c>
      <c r="B1086" s="4" t="s">
        <v>239</v>
      </c>
      <c r="C1086" s="4">
        <v>2760</v>
      </c>
      <c r="D1086" s="4">
        <v>1</v>
      </c>
      <c r="E1086" s="4">
        <v>1</v>
      </c>
      <c r="F1086" s="4" t="s">
        <v>268</v>
      </c>
      <c r="G1086" s="4" t="s">
        <v>241</v>
      </c>
      <c r="H1086" s="4" t="s">
        <v>241</v>
      </c>
      <c r="I1086" s="4" t="s">
        <v>272</v>
      </c>
      <c r="J1086" s="4" t="s">
        <v>274</v>
      </c>
      <c r="K1086" s="4" t="s">
        <v>251</v>
      </c>
      <c r="L1086" s="4" t="s">
        <v>269</v>
      </c>
      <c r="M1086" s="5" t="s">
        <v>1478</v>
      </c>
      <c r="N1086" s="6">
        <f>3019</f>
        <v>3019</v>
      </c>
      <c r="O1086" s="4" t="s">
        <v>265</v>
      </c>
      <c r="P1086" s="6">
        <f>1</f>
        <v>1</v>
      </c>
      <c r="Q1086" s="6">
        <f>0</f>
        <v>0</v>
      </c>
      <c r="S1086" s="6">
        <f>0</f>
        <v>0</v>
      </c>
      <c r="T1086" s="6">
        <f>1</f>
        <v>1</v>
      </c>
      <c r="U1086" s="5" t="s">
        <v>245</v>
      </c>
      <c r="V1086" s="4" t="s">
        <v>270</v>
      </c>
      <c r="W1086" s="4" t="s">
        <v>271</v>
      </c>
      <c r="X1086" s="4" t="s">
        <v>273</v>
      </c>
      <c r="Y1086" s="4" t="s">
        <v>241</v>
      </c>
      <c r="AB1086" s="4" t="s">
        <v>241</v>
      </c>
      <c r="AD1086" s="5" t="s">
        <v>241</v>
      </c>
      <c r="AG1086" s="5" t="s">
        <v>246</v>
      </c>
      <c r="AH1086" s="4" t="s">
        <v>241</v>
      </c>
      <c r="AI1086" s="4" t="s">
        <v>247</v>
      </c>
      <c r="AJ1086" s="4" t="s">
        <v>248</v>
      </c>
      <c r="AZ1086" s="4" t="s">
        <v>249</v>
      </c>
      <c r="BA1086" s="4" t="s">
        <v>241</v>
      </c>
      <c r="BB1086" s="4" t="s">
        <v>250</v>
      </c>
      <c r="BC1086" s="4" t="s">
        <v>241</v>
      </c>
      <c r="BD1086" s="4" t="s">
        <v>252</v>
      </c>
      <c r="BE1086" s="4" t="s">
        <v>241</v>
      </c>
      <c r="BI1086" s="4" t="s">
        <v>253</v>
      </c>
      <c r="BJ1086" s="5" t="s">
        <v>246</v>
      </c>
      <c r="BK1086" s="4" t="s">
        <v>254</v>
      </c>
      <c r="BL1086" s="4" t="s">
        <v>255</v>
      </c>
      <c r="BM1086" s="4" t="s">
        <v>241</v>
      </c>
      <c r="BN1086" s="6">
        <f>0</f>
        <v>0</v>
      </c>
      <c r="BO1086" s="6">
        <f>0</f>
        <v>0</v>
      </c>
      <c r="BP1086" s="4" t="s">
        <v>256</v>
      </c>
      <c r="BQ1086" s="4" t="s">
        <v>257</v>
      </c>
      <c r="CE1086" s="4" t="s">
        <v>241</v>
      </c>
      <c r="CF1086" s="4" t="s">
        <v>241</v>
      </c>
      <c r="CJ1086" s="4" t="s">
        <v>276</v>
      </c>
      <c r="CK1086" s="4" t="s">
        <v>259</v>
      </c>
      <c r="CL1086" s="4" t="s">
        <v>241</v>
      </c>
      <c r="CO1086" s="5" t="s">
        <v>260</v>
      </c>
      <c r="CP1086" s="4" t="s">
        <v>241</v>
      </c>
      <c r="CQ1086" s="4" t="s">
        <v>261</v>
      </c>
      <c r="CR1086" s="4" t="s">
        <v>241</v>
      </c>
      <c r="CS1086" s="4" t="s">
        <v>241</v>
      </c>
      <c r="CT1086" s="4">
        <v>0</v>
      </c>
      <c r="CU1086" s="4" t="s">
        <v>262</v>
      </c>
      <c r="CV1086" s="4" t="s">
        <v>263</v>
      </c>
      <c r="CW1086" s="4" t="s">
        <v>263</v>
      </c>
      <c r="CX1086" s="4" t="s">
        <v>264</v>
      </c>
      <c r="DA1086" s="6">
        <f>1</f>
        <v>1</v>
      </c>
      <c r="DC1086" s="4" t="s">
        <v>277</v>
      </c>
      <c r="DD1086" s="4" t="s">
        <v>241</v>
      </c>
      <c r="DF1086" s="4" t="s">
        <v>277</v>
      </c>
      <c r="DG1086" s="6">
        <f>3019</f>
        <v>3019</v>
      </c>
      <c r="DI1086" s="4" t="s">
        <v>241</v>
      </c>
      <c r="DJ1086" s="4" t="s">
        <v>241</v>
      </c>
      <c r="DK1086" s="4" t="s">
        <v>241</v>
      </c>
      <c r="DL1086" s="4" t="s">
        <v>241</v>
      </c>
      <c r="DP1086" s="4" t="s">
        <v>241</v>
      </c>
      <c r="DQ1086" s="4" t="s">
        <v>241</v>
      </c>
      <c r="DR1086" s="4" t="s">
        <v>241</v>
      </c>
      <c r="DS1086" s="4" t="s">
        <v>241</v>
      </c>
      <c r="DV1086" s="4" t="s">
        <v>278</v>
      </c>
      <c r="DW1086" s="4" t="s">
        <v>1479</v>
      </c>
      <c r="HO1086" s="4" t="s">
        <v>267</v>
      </c>
    </row>
    <row r="1087" spans="1:223" ht="19.5" customHeight="1" x14ac:dyDescent="0.4">
      <c r="A1087" s="4">
        <v>1</v>
      </c>
      <c r="B1087" s="4" t="s">
        <v>239</v>
      </c>
      <c r="C1087" s="4">
        <v>2761</v>
      </c>
      <c r="D1087" s="4">
        <v>1</v>
      </c>
      <c r="E1087" s="4">
        <v>1</v>
      </c>
      <c r="F1087" s="4" t="s">
        <v>268</v>
      </c>
      <c r="G1087" s="4" t="s">
        <v>241</v>
      </c>
      <c r="H1087" s="4" t="s">
        <v>241</v>
      </c>
      <c r="I1087" s="4" t="s">
        <v>272</v>
      </c>
      <c r="J1087" s="4" t="s">
        <v>274</v>
      </c>
      <c r="K1087" s="4" t="s">
        <v>251</v>
      </c>
      <c r="L1087" s="4" t="s">
        <v>269</v>
      </c>
      <c r="M1087" s="5" t="s">
        <v>996</v>
      </c>
      <c r="N1087" s="6">
        <f>2977</f>
        <v>2977</v>
      </c>
      <c r="O1087" s="4" t="s">
        <v>265</v>
      </c>
      <c r="P1087" s="6">
        <f>1</f>
        <v>1</v>
      </c>
      <c r="Q1087" s="6">
        <f>0</f>
        <v>0</v>
      </c>
      <c r="S1087" s="6">
        <f>0</f>
        <v>0</v>
      </c>
      <c r="T1087" s="6">
        <f>1</f>
        <v>1</v>
      </c>
      <c r="U1087" s="5" t="s">
        <v>245</v>
      </c>
      <c r="V1087" s="4" t="s">
        <v>270</v>
      </c>
      <c r="W1087" s="4" t="s">
        <v>271</v>
      </c>
      <c r="X1087" s="4" t="s">
        <v>273</v>
      </c>
      <c r="Y1087" s="4" t="s">
        <v>241</v>
      </c>
      <c r="AB1087" s="4" t="s">
        <v>241</v>
      </c>
      <c r="AD1087" s="5" t="s">
        <v>241</v>
      </c>
      <c r="AG1087" s="5" t="s">
        <v>246</v>
      </c>
      <c r="AH1087" s="4" t="s">
        <v>241</v>
      </c>
      <c r="AI1087" s="4" t="s">
        <v>247</v>
      </c>
      <c r="AJ1087" s="4" t="s">
        <v>248</v>
      </c>
      <c r="AZ1087" s="4" t="s">
        <v>249</v>
      </c>
      <c r="BA1087" s="4" t="s">
        <v>241</v>
      </c>
      <c r="BB1087" s="4" t="s">
        <v>250</v>
      </c>
      <c r="BC1087" s="4" t="s">
        <v>241</v>
      </c>
      <c r="BD1087" s="4" t="s">
        <v>252</v>
      </c>
      <c r="BE1087" s="4" t="s">
        <v>241</v>
      </c>
      <c r="BI1087" s="4" t="s">
        <v>253</v>
      </c>
      <c r="BJ1087" s="5" t="s">
        <v>246</v>
      </c>
      <c r="BK1087" s="4" t="s">
        <v>254</v>
      </c>
      <c r="BL1087" s="4" t="s">
        <v>255</v>
      </c>
      <c r="BM1087" s="4" t="s">
        <v>241</v>
      </c>
      <c r="BN1087" s="6">
        <f>0</f>
        <v>0</v>
      </c>
      <c r="BO1087" s="6">
        <f>0</f>
        <v>0</v>
      </c>
      <c r="BP1087" s="4" t="s">
        <v>256</v>
      </c>
      <c r="BQ1087" s="4" t="s">
        <v>257</v>
      </c>
      <c r="CE1087" s="4" t="s">
        <v>241</v>
      </c>
      <c r="CF1087" s="4" t="s">
        <v>241</v>
      </c>
      <c r="CJ1087" s="4" t="s">
        <v>276</v>
      </c>
      <c r="CK1087" s="4" t="s">
        <v>259</v>
      </c>
      <c r="CL1087" s="4" t="s">
        <v>241</v>
      </c>
      <c r="CO1087" s="5" t="s">
        <v>260</v>
      </c>
      <c r="CP1087" s="4" t="s">
        <v>241</v>
      </c>
      <c r="CQ1087" s="4" t="s">
        <v>261</v>
      </c>
      <c r="CR1087" s="4" t="s">
        <v>241</v>
      </c>
      <c r="CS1087" s="4" t="s">
        <v>241</v>
      </c>
      <c r="CT1087" s="4">
        <v>0</v>
      </c>
      <c r="CU1087" s="4" t="s">
        <v>262</v>
      </c>
      <c r="CV1087" s="4" t="s">
        <v>263</v>
      </c>
      <c r="CW1087" s="4" t="s">
        <v>263</v>
      </c>
      <c r="CX1087" s="4" t="s">
        <v>264</v>
      </c>
      <c r="DA1087" s="6">
        <f>1</f>
        <v>1</v>
      </c>
      <c r="DC1087" s="4" t="s">
        <v>277</v>
      </c>
      <c r="DD1087" s="4" t="s">
        <v>241</v>
      </c>
      <c r="DF1087" s="4" t="s">
        <v>277</v>
      </c>
      <c r="DG1087" s="6">
        <f>2977</f>
        <v>2977</v>
      </c>
      <c r="DI1087" s="4" t="s">
        <v>241</v>
      </c>
      <c r="DJ1087" s="4" t="s">
        <v>241</v>
      </c>
      <c r="DK1087" s="4" t="s">
        <v>241</v>
      </c>
      <c r="DL1087" s="4" t="s">
        <v>241</v>
      </c>
      <c r="DP1087" s="4" t="s">
        <v>241</v>
      </c>
      <c r="DQ1087" s="4" t="s">
        <v>241</v>
      </c>
      <c r="DR1087" s="4" t="s">
        <v>241</v>
      </c>
      <c r="DS1087" s="4" t="s">
        <v>241</v>
      </c>
      <c r="DV1087" s="4" t="s">
        <v>278</v>
      </c>
      <c r="DW1087" s="4" t="s">
        <v>902</v>
      </c>
      <c r="HO1087" s="4" t="s">
        <v>267</v>
      </c>
    </row>
    <row r="1088" spans="1:223" ht="19.5" customHeight="1" x14ac:dyDescent="0.4">
      <c r="A1088" s="4">
        <v>1</v>
      </c>
      <c r="B1088" s="4" t="s">
        <v>239</v>
      </c>
      <c r="C1088" s="4">
        <v>2762</v>
      </c>
      <c r="D1088" s="4">
        <v>1</v>
      </c>
      <c r="E1088" s="4">
        <v>1</v>
      </c>
      <c r="F1088" s="4" t="s">
        <v>268</v>
      </c>
      <c r="G1088" s="4" t="s">
        <v>241</v>
      </c>
      <c r="H1088" s="4" t="s">
        <v>241</v>
      </c>
      <c r="I1088" s="4" t="s">
        <v>272</v>
      </c>
      <c r="J1088" s="4" t="s">
        <v>274</v>
      </c>
      <c r="K1088" s="4" t="s">
        <v>251</v>
      </c>
      <c r="L1088" s="4" t="s">
        <v>269</v>
      </c>
      <c r="M1088" s="5" t="s">
        <v>991</v>
      </c>
      <c r="N1088" s="6">
        <f>2940</f>
        <v>2940</v>
      </c>
      <c r="O1088" s="4" t="s">
        <v>265</v>
      </c>
      <c r="P1088" s="6">
        <f>1</f>
        <v>1</v>
      </c>
      <c r="Q1088" s="6">
        <f>0</f>
        <v>0</v>
      </c>
      <c r="S1088" s="6">
        <f>0</f>
        <v>0</v>
      </c>
      <c r="T1088" s="6">
        <f>1</f>
        <v>1</v>
      </c>
      <c r="U1088" s="5" t="s">
        <v>245</v>
      </c>
      <c r="V1088" s="4" t="s">
        <v>270</v>
      </c>
      <c r="W1088" s="4" t="s">
        <v>271</v>
      </c>
      <c r="X1088" s="4" t="s">
        <v>273</v>
      </c>
      <c r="Y1088" s="4" t="s">
        <v>241</v>
      </c>
      <c r="AB1088" s="4" t="s">
        <v>241</v>
      </c>
      <c r="AD1088" s="5" t="s">
        <v>241</v>
      </c>
      <c r="AG1088" s="5" t="s">
        <v>246</v>
      </c>
      <c r="AH1088" s="4" t="s">
        <v>241</v>
      </c>
      <c r="AI1088" s="4" t="s">
        <v>247</v>
      </c>
      <c r="AJ1088" s="4" t="s">
        <v>248</v>
      </c>
      <c r="AZ1088" s="4" t="s">
        <v>249</v>
      </c>
      <c r="BA1088" s="4" t="s">
        <v>241</v>
      </c>
      <c r="BB1088" s="4" t="s">
        <v>250</v>
      </c>
      <c r="BC1088" s="4" t="s">
        <v>241</v>
      </c>
      <c r="BD1088" s="4" t="s">
        <v>252</v>
      </c>
      <c r="BE1088" s="4" t="s">
        <v>241</v>
      </c>
      <c r="BI1088" s="4" t="s">
        <v>253</v>
      </c>
      <c r="BJ1088" s="5" t="s">
        <v>246</v>
      </c>
      <c r="BK1088" s="4" t="s">
        <v>254</v>
      </c>
      <c r="BL1088" s="4" t="s">
        <v>255</v>
      </c>
      <c r="BM1088" s="4" t="s">
        <v>241</v>
      </c>
      <c r="BN1088" s="6">
        <f>0</f>
        <v>0</v>
      </c>
      <c r="BO1088" s="6">
        <f>0</f>
        <v>0</v>
      </c>
      <c r="BP1088" s="4" t="s">
        <v>256</v>
      </c>
      <c r="BQ1088" s="4" t="s">
        <v>257</v>
      </c>
      <c r="CE1088" s="4" t="s">
        <v>241</v>
      </c>
      <c r="CF1088" s="4" t="s">
        <v>241</v>
      </c>
      <c r="CJ1088" s="4" t="s">
        <v>276</v>
      </c>
      <c r="CK1088" s="4" t="s">
        <v>259</v>
      </c>
      <c r="CL1088" s="4" t="s">
        <v>241</v>
      </c>
      <c r="CO1088" s="5" t="s">
        <v>260</v>
      </c>
      <c r="CP1088" s="4" t="s">
        <v>241</v>
      </c>
      <c r="CQ1088" s="4" t="s">
        <v>261</v>
      </c>
      <c r="CR1088" s="4" t="s">
        <v>241</v>
      </c>
      <c r="CS1088" s="4" t="s">
        <v>241</v>
      </c>
      <c r="CT1088" s="4">
        <v>0</v>
      </c>
      <c r="CU1088" s="4" t="s">
        <v>262</v>
      </c>
      <c r="CV1088" s="4" t="s">
        <v>263</v>
      </c>
      <c r="CW1088" s="4" t="s">
        <v>263</v>
      </c>
      <c r="CX1088" s="4" t="s">
        <v>264</v>
      </c>
      <c r="DA1088" s="6">
        <f>1</f>
        <v>1</v>
      </c>
      <c r="DC1088" s="4" t="s">
        <v>277</v>
      </c>
      <c r="DD1088" s="4" t="s">
        <v>241</v>
      </c>
      <c r="DF1088" s="4" t="s">
        <v>277</v>
      </c>
      <c r="DG1088" s="6">
        <f>2940</f>
        <v>2940</v>
      </c>
      <c r="DI1088" s="4" t="s">
        <v>241</v>
      </c>
      <c r="DJ1088" s="4" t="s">
        <v>241</v>
      </c>
      <c r="DK1088" s="4" t="s">
        <v>241</v>
      </c>
      <c r="DL1088" s="4" t="s">
        <v>241</v>
      </c>
      <c r="DP1088" s="4" t="s">
        <v>241</v>
      </c>
      <c r="DQ1088" s="4" t="s">
        <v>241</v>
      </c>
      <c r="DR1088" s="4" t="s">
        <v>241</v>
      </c>
      <c r="DS1088" s="4" t="s">
        <v>241</v>
      </c>
      <c r="DV1088" s="4" t="s">
        <v>278</v>
      </c>
      <c r="DW1088" s="4" t="s">
        <v>906</v>
      </c>
      <c r="HO1088" s="4" t="s">
        <v>267</v>
      </c>
    </row>
    <row r="1089" spans="1:223" ht="19.5" customHeight="1" x14ac:dyDescent="0.4">
      <c r="A1089" s="4">
        <v>1</v>
      </c>
      <c r="B1089" s="4" t="s">
        <v>239</v>
      </c>
      <c r="C1089" s="4">
        <v>2763</v>
      </c>
      <c r="D1089" s="4">
        <v>1</v>
      </c>
      <c r="E1089" s="4">
        <v>1</v>
      </c>
      <c r="F1089" s="4" t="s">
        <v>268</v>
      </c>
      <c r="G1089" s="4" t="s">
        <v>241</v>
      </c>
      <c r="H1089" s="4" t="s">
        <v>241</v>
      </c>
      <c r="I1089" s="4" t="s">
        <v>272</v>
      </c>
      <c r="J1089" s="4" t="s">
        <v>274</v>
      </c>
      <c r="K1089" s="4" t="s">
        <v>251</v>
      </c>
      <c r="L1089" s="4" t="s">
        <v>269</v>
      </c>
      <c r="M1089" s="5" t="s">
        <v>1491</v>
      </c>
      <c r="N1089" s="6">
        <f>11409</f>
        <v>11409</v>
      </c>
      <c r="O1089" s="4" t="s">
        <v>265</v>
      </c>
      <c r="P1089" s="6">
        <f>1</f>
        <v>1</v>
      </c>
      <c r="Q1089" s="6">
        <f>0</f>
        <v>0</v>
      </c>
      <c r="S1089" s="6">
        <f>0</f>
        <v>0</v>
      </c>
      <c r="T1089" s="6">
        <f>1</f>
        <v>1</v>
      </c>
      <c r="U1089" s="5" t="s">
        <v>245</v>
      </c>
      <c r="V1089" s="4" t="s">
        <v>270</v>
      </c>
      <c r="W1089" s="4" t="s">
        <v>271</v>
      </c>
      <c r="X1089" s="4" t="s">
        <v>273</v>
      </c>
      <c r="Y1089" s="4" t="s">
        <v>241</v>
      </c>
      <c r="AB1089" s="4" t="s">
        <v>241</v>
      </c>
      <c r="AD1089" s="5" t="s">
        <v>241</v>
      </c>
      <c r="AG1089" s="5" t="s">
        <v>246</v>
      </c>
      <c r="AH1089" s="4" t="s">
        <v>241</v>
      </c>
      <c r="AI1089" s="4" t="s">
        <v>247</v>
      </c>
      <c r="AJ1089" s="4" t="s">
        <v>248</v>
      </c>
      <c r="AZ1089" s="4" t="s">
        <v>249</v>
      </c>
      <c r="BA1089" s="4" t="s">
        <v>241</v>
      </c>
      <c r="BB1089" s="4" t="s">
        <v>250</v>
      </c>
      <c r="BC1089" s="4" t="s">
        <v>241</v>
      </c>
      <c r="BD1089" s="4" t="s">
        <v>252</v>
      </c>
      <c r="BE1089" s="4" t="s">
        <v>241</v>
      </c>
      <c r="BI1089" s="4" t="s">
        <v>253</v>
      </c>
      <c r="BJ1089" s="5" t="s">
        <v>246</v>
      </c>
      <c r="BK1089" s="4" t="s">
        <v>254</v>
      </c>
      <c r="BL1089" s="4" t="s">
        <v>255</v>
      </c>
      <c r="BM1089" s="4" t="s">
        <v>241</v>
      </c>
      <c r="BN1089" s="6">
        <f>0</f>
        <v>0</v>
      </c>
      <c r="BO1089" s="6">
        <f>0</f>
        <v>0</v>
      </c>
      <c r="BP1089" s="4" t="s">
        <v>256</v>
      </c>
      <c r="BQ1089" s="4" t="s">
        <v>257</v>
      </c>
      <c r="CE1089" s="4" t="s">
        <v>241</v>
      </c>
      <c r="CF1089" s="4" t="s">
        <v>241</v>
      </c>
      <c r="CJ1089" s="4" t="s">
        <v>276</v>
      </c>
      <c r="CK1089" s="4" t="s">
        <v>259</v>
      </c>
      <c r="CL1089" s="4" t="s">
        <v>241</v>
      </c>
      <c r="CO1089" s="5" t="s">
        <v>260</v>
      </c>
      <c r="CP1089" s="4" t="s">
        <v>241</v>
      </c>
      <c r="CQ1089" s="4" t="s">
        <v>261</v>
      </c>
      <c r="CR1089" s="4" t="s">
        <v>241</v>
      </c>
      <c r="CS1089" s="4" t="s">
        <v>241</v>
      </c>
      <c r="CT1089" s="4">
        <v>0</v>
      </c>
      <c r="CU1089" s="4" t="s">
        <v>262</v>
      </c>
      <c r="CV1089" s="4" t="s">
        <v>263</v>
      </c>
      <c r="CW1089" s="4" t="s">
        <v>263</v>
      </c>
      <c r="CX1089" s="4" t="s">
        <v>264</v>
      </c>
      <c r="DA1089" s="6">
        <f>1</f>
        <v>1</v>
      </c>
      <c r="DC1089" s="4" t="s">
        <v>277</v>
      </c>
      <c r="DD1089" s="4" t="s">
        <v>241</v>
      </c>
      <c r="DF1089" s="4" t="s">
        <v>277</v>
      </c>
      <c r="DG1089" s="6">
        <f>11409</f>
        <v>11409</v>
      </c>
      <c r="DI1089" s="4" t="s">
        <v>241</v>
      </c>
      <c r="DJ1089" s="4" t="s">
        <v>241</v>
      </c>
      <c r="DK1089" s="4" t="s">
        <v>241</v>
      </c>
      <c r="DL1089" s="4" t="s">
        <v>241</v>
      </c>
      <c r="DP1089" s="4" t="s">
        <v>241</v>
      </c>
      <c r="DQ1089" s="4" t="s">
        <v>241</v>
      </c>
      <c r="DR1089" s="4" t="s">
        <v>241</v>
      </c>
      <c r="DS1089" s="4" t="s">
        <v>241</v>
      </c>
      <c r="DV1089" s="4" t="s">
        <v>278</v>
      </c>
      <c r="DW1089" s="4" t="s">
        <v>908</v>
      </c>
      <c r="HO1089" s="4" t="s">
        <v>267</v>
      </c>
    </row>
    <row r="1090" spans="1:223" ht="19.5" customHeight="1" x14ac:dyDescent="0.4">
      <c r="A1090" s="4">
        <v>1</v>
      </c>
      <c r="B1090" s="4" t="s">
        <v>239</v>
      </c>
      <c r="C1090" s="4">
        <v>2764</v>
      </c>
      <c r="D1090" s="4">
        <v>1</v>
      </c>
      <c r="E1090" s="4">
        <v>1</v>
      </c>
      <c r="F1090" s="4" t="s">
        <v>268</v>
      </c>
      <c r="G1090" s="4" t="s">
        <v>241</v>
      </c>
      <c r="H1090" s="4" t="s">
        <v>241</v>
      </c>
      <c r="I1090" s="4" t="s">
        <v>272</v>
      </c>
      <c r="J1090" s="4" t="s">
        <v>274</v>
      </c>
      <c r="K1090" s="4" t="s">
        <v>251</v>
      </c>
      <c r="L1090" s="4" t="s">
        <v>269</v>
      </c>
      <c r="M1090" s="5" t="s">
        <v>1497</v>
      </c>
      <c r="N1090" s="6">
        <f>3358</f>
        <v>3358</v>
      </c>
      <c r="O1090" s="4" t="s">
        <v>265</v>
      </c>
      <c r="P1090" s="6">
        <f>1</f>
        <v>1</v>
      </c>
      <c r="Q1090" s="6">
        <f>0</f>
        <v>0</v>
      </c>
      <c r="S1090" s="6">
        <f>0</f>
        <v>0</v>
      </c>
      <c r="T1090" s="6">
        <f>1</f>
        <v>1</v>
      </c>
      <c r="U1090" s="5" t="s">
        <v>245</v>
      </c>
      <c r="V1090" s="4" t="s">
        <v>270</v>
      </c>
      <c r="W1090" s="4" t="s">
        <v>271</v>
      </c>
      <c r="X1090" s="4" t="s">
        <v>273</v>
      </c>
      <c r="Y1090" s="4" t="s">
        <v>241</v>
      </c>
      <c r="AB1090" s="4" t="s">
        <v>241</v>
      </c>
      <c r="AD1090" s="5" t="s">
        <v>241</v>
      </c>
      <c r="AG1090" s="5" t="s">
        <v>246</v>
      </c>
      <c r="AH1090" s="4" t="s">
        <v>241</v>
      </c>
      <c r="AI1090" s="4" t="s">
        <v>247</v>
      </c>
      <c r="AJ1090" s="4" t="s">
        <v>248</v>
      </c>
      <c r="AZ1090" s="4" t="s">
        <v>249</v>
      </c>
      <c r="BA1090" s="4" t="s">
        <v>241</v>
      </c>
      <c r="BB1090" s="4" t="s">
        <v>250</v>
      </c>
      <c r="BC1090" s="4" t="s">
        <v>241</v>
      </c>
      <c r="BD1090" s="4" t="s">
        <v>252</v>
      </c>
      <c r="BE1090" s="4" t="s">
        <v>241</v>
      </c>
      <c r="BI1090" s="4" t="s">
        <v>253</v>
      </c>
      <c r="BJ1090" s="5" t="s">
        <v>246</v>
      </c>
      <c r="BK1090" s="4" t="s">
        <v>254</v>
      </c>
      <c r="BL1090" s="4" t="s">
        <v>255</v>
      </c>
      <c r="BM1090" s="4" t="s">
        <v>241</v>
      </c>
      <c r="BN1090" s="6">
        <f>0</f>
        <v>0</v>
      </c>
      <c r="BO1090" s="6">
        <f>0</f>
        <v>0</v>
      </c>
      <c r="BP1090" s="4" t="s">
        <v>256</v>
      </c>
      <c r="BQ1090" s="4" t="s">
        <v>257</v>
      </c>
      <c r="CE1090" s="4" t="s">
        <v>241</v>
      </c>
      <c r="CF1090" s="4" t="s">
        <v>241</v>
      </c>
      <c r="CJ1090" s="4" t="s">
        <v>276</v>
      </c>
      <c r="CK1090" s="4" t="s">
        <v>259</v>
      </c>
      <c r="CL1090" s="4" t="s">
        <v>241</v>
      </c>
      <c r="CO1090" s="5" t="s">
        <v>260</v>
      </c>
      <c r="CP1090" s="4" t="s">
        <v>241</v>
      </c>
      <c r="CQ1090" s="4" t="s">
        <v>261</v>
      </c>
      <c r="CR1090" s="4" t="s">
        <v>241</v>
      </c>
      <c r="CS1090" s="4" t="s">
        <v>241</v>
      </c>
      <c r="CT1090" s="4">
        <v>0</v>
      </c>
      <c r="CU1090" s="4" t="s">
        <v>262</v>
      </c>
      <c r="CV1090" s="4" t="s">
        <v>263</v>
      </c>
      <c r="CW1090" s="4" t="s">
        <v>263</v>
      </c>
      <c r="CX1090" s="4" t="s">
        <v>264</v>
      </c>
      <c r="DA1090" s="6">
        <f>1</f>
        <v>1</v>
      </c>
      <c r="DC1090" s="4" t="s">
        <v>277</v>
      </c>
      <c r="DD1090" s="4" t="s">
        <v>241</v>
      </c>
      <c r="DF1090" s="4" t="s">
        <v>277</v>
      </c>
      <c r="DG1090" s="6">
        <f>3358</f>
        <v>3358</v>
      </c>
      <c r="DI1090" s="4" t="s">
        <v>241</v>
      </c>
      <c r="DJ1090" s="4" t="s">
        <v>241</v>
      </c>
      <c r="DK1090" s="4" t="s">
        <v>241</v>
      </c>
      <c r="DL1090" s="4" t="s">
        <v>241</v>
      </c>
      <c r="DP1090" s="4" t="s">
        <v>241</v>
      </c>
      <c r="DQ1090" s="4" t="s">
        <v>241</v>
      </c>
      <c r="DR1090" s="4" t="s">
        <v>241</v>
      </c>
      <c r="DS1090" s="4" t="s">
        <v>241</v>
      </c>
      <c r="DV1090" s="4" t="s">
        <v>278</v>
      </c>
      <c r="DW1090" s="4" t="s">
        <v>912</v>
      </c>
      <c r="HO1090" s="4" t="s">
        <v>267</v>
      </c>
    </row>
    <row r="1091" spans="1:223" ht="19.5" customHeight="1" x14ac:dyDescent="0.4">
      <c r="A1091" s="4">
        <v>1</v>
      </c>
      <c r="B1091" s="4" t="s">
        <v>239</v>
      </c>
      <c r="C1091" s="4">
        <v>2765</v>
      </c>
      <c r="D1091" s="4">
        <v>1</v>
      </c>
      <c r="E1091" s="4">
        <v>1</v>
      </c>
      <c r="F1091" s="4" t="s">
        <v>268</v>
      </c>
      <c r="G1091" s="4" t="s">
        <v>241</v>
      </c>
      <c r="H1091" s="4" t="s">
        <v>241</v>
      </c>
      <c r="I1091" s="4" t="s">
        <v>272</v>
      </c>
      <c r="J1091" s="4" t="s">
        <v>274</v>
      </c>
      <c r="K1091" s="4" t="s">
        <v>251</v>
      </c>
      <c r="L1091" s="4" t="s">
        <v>269</v>
      </c>
      <c r="M1091" s="5" t="s">
        <v>1496</v>
      </c>
      <c r="N1091" s="6">
        <f>825</f>
        <v>825</v>
      </c>
      <c r="O1091" s="4" t="s">
        <v>265</v>
      </c>
      <c r="P1091" s="6">
        <f>1</f>
        <v>1</v>
      </c>
      <c r="Q1091" s="6">
        <f>0</f>
        <v>0</v>
      </c>
      <c r="S1091" s="6">
        <f>0</f>
        <v>0</v>
      </c>
      <c r="T1091" s="6">
        <f>1</f>
        <v>1</v>
      </c>
      <c r="U1091" s="5" t="s">
        <v>245</v>
      </c>
      <c r="V1091" s="4" t="s">
        <v>270</v>
      </c>
      <c r="W1091" s="4" t="s">
        <v>271</v>
      </c>
      <c r="X1091" s="4" t="s">
        <v>273</v>
      </c>
      <c r="Y1091" s="4" t="s">
        <v>241</v>
      </c>
      <c r="AB1091" s="4" t="s">
        <v>241</v>
      </c>
      <c r="AD1091" s="5" t="s">
        <v>241</v>
      </c>
      <c r="AG1091" s="5" t="s">
        <v>246</v>
      </c>
      <c r="AH1091" s="4" t="s">
        <v>241</v>
      </c>
      <c r="AI1091" s="4" t="s">
        <v>247</v>
      </c>
      <c r="AJ1091" s="4" t="s">
        <v>248</v>
      </c>
      <c r="AZ1091" s="4" t="s">
        <v>249</v>
      </c>
      <c r="BA1091" s="4" t="s">
        <v>241</v>
      </c>
      <c r="BB1091" s="4" t="s">
        <v>250</v>
      </c>
      <c r="BC1091" s="4" t="s">
        <v>241</v>
      </c>
      <c r="BD1091" s="4" t="s">
        <v>252</v>
      </c>
      <c r="BE1091" s="4" t="s">
        <v>241</v>
      </c>
      <c r="BI1091" s="4" t="s">
        <v>253</v>
      </c>
      <c r="BJ1091" s="5" t="s">
        <v>246</v>
      </c>
      <c r="BK1091" s="4" t="s">
        <v>254</v>
      </c>
      <c r="BL1091" s="4" t="s">
        <v>255</v>
      </c>
      <c r="BM1091" s="4" t="s">
        <v>241</v>
      </c>
      <c r="BN1091" s="6">
        <f>0</f>
        <v>0</v>
      </c>
      <c r="BO1091" s="6">
        <f>0</f>
        <v>0</v>
      </c>
      <c r="BP1091" s="4" t="s">
        <v>256</v>
      </c>
      <c r="BQ1091" s="4" t="s">
        <v>257</v>
      </c>
      <c r="CE1091" s="4" t="s">
        <v>241</v>
      </c>
      <c r="CF1091" s="4" t="s">
        <v>241</v>
      </c>
      <c r="CJ1091" s="4" t="s">
        <v>276</v>
      </c>
      <c r="CK1091" s="4" t="s">
        <v>259</v>
      </c>
      <c r="CL1091" s="4" t="s">
        <v>241</v>
      </c>
      <c r="CO1091" s="5" t="s">
        <v>260</v>
      </c>
      <c r="CP1091" s="4" t="s">
        <v>241</v>
      </c>
      <c r="CQ1091" s="4" t="s">
        <v>261</v>
      </c>
      <c r="CR1091" s="4" t="s">
        <v>241</v>
      </c>
      <c r="CS1091" s="4" t="s">
        <v>241</v>
      </c>
      <c r="CT1091" s="4">
        <v>0</v>
      </c>
      <c r="CU1091" s="4" t="s">
        <v>262</v>
      </c>
      <c r="CV1091" s="4" t="s">
        <v>263</v>
      </c>
      <c r="CW1091" s="4" t="s">
        <v>263</v>
      </c>
      <c r="CX1091" s="4" t="s">
        <v>264</v>
      </c>
      <c r="DA1091" s="6">
        <f>1</f>
        <v>1</v>
      </c>
      <c r="DC1091" s="4" t="s">
        <v>277</v>
      </c>
      <c r="DD1091" s="4" t="s">
        <v>241</v>
      </c>
      <c r="DF1091" s="4" t="s">
        <v>277</v>
      </c>
      <c r="DG1091" s="6">
        <f>825</f>
        <v>825</v>
      </c>
      <c r="DI1091" s="4" t="s">
        <v>241</v>
      </c>
      <c r="DJ1091" s="4" t="s">
        <v>241</v>
      </c>
      <c r="DK1091" s="4" t="s">
        <v>241</v>
      </c>
      <c r="DL1091" s="4" t="s">
        <v>241</v>
      </c>
      <c r="DP1091" s="4" t="s">
        <v>241</v>
      </c>
      <c r="DQ1091" s="4" t="s">
        <v>241</v>
      </c>
      <c r="DR1091" s="4" t="s">
        <v>241</v>
      </c>
      <c r="DS1091" s="4" t="s">
        <v>241</v>
      </c>
      <c r="DV1091" s="4" t="s">
        <v>278</v>
      </c>
      <c r="DW1091" s="4" t="s">
        <v>916</v>
      </c>
      <c r="HO1091" s="4" t="s">
        <v>267</v>
      </c>
    </row>
    <row r="1092" spans="1:223" ht="19.5" customHeight="1" x14ac:dyDescent="0.4">
      <c r="A1092" s="4">
        <v>1</v>
      </c>
      <c r="B1092" s="4" t="s">
        <v>239</v>
      </c>
      <c r="C1092" s="4">
        <v>2766</v>
      </c>
      <c r="D1092" s="4">
        <v>1</v>
      </c>
      <c r="E1092" s="4">
        <v>1</v>
      </c>
      <c r="F1092" s="4" t="s">
        <v>268</v>
      </c>
      <c r="G1092" s="4" t="s">
        <v>241</v>
      </c>
      <c r="H1092" s="4" t="s">
        <v>241</v>
      </c>
      <c r="I1092" s="4" t="s">
        <v>272</v>
      </c>
      <c r="J1092" s="4" t="s">
        <v>274</v>
      </c>
      <c r="K1092" s="4" t="s">
        <v>251</v>
      </c>
      <c r="L1092" s="4" t="s">
        <v>269</v>
      </c>
      <c r="M1092" s="5" t="s">
        <v>1507</v>
      </c>
      <c r="N1092" s="6">
        <f>926</f>
        <v>926</v>
      </c>
      <c r="O1092" s="4" t="s">
        <v>265</v>
      </c>
      <c r="P1092" s="6">
        <f>1</f>
        <v>1</v>
      </c>
      <c r="Q1092" s="6">
        <f>0</f>
        <v>0</v>
      </c>
      <c r="S1092" s="6">
        <f>0</f>
        <v>0</v>
      </c>
      <c r="T1092" s="6">
        <f>1</f>
        <v>1</v>
      </c>
      <c r="U1092" s="5" t="s">
        <v>245</v>
      </c>
      <c r="V1092" s="4" t="s">
        <v>270</v>
      </c>
      <c r="W1092" s="4" t="s">
        <v>271</v>
      </c>
      <c r="X1092" s="4" t="s">
        <v>273</v>
      </c>
      <c r="Y1092" s="4" t="s">
        <v>241</v>
      </c>
      <c r="AB1092" s="4" t="s">
        <v>241</v>
      </c>
      <c r="AD1092" s="5" t="s">
        <v>241</v>
      </c>
      <c r="AG1092" s="5" t="s">
        <v>246</v>
      </c>
      <c r="AH1092" s="4" t="s">
        <v>241</v>
      </c>
      <c r="AI1092" s="4" t="s">
        <v>247</v>
      </c>
      <c r="AJ1092" s="4" t="s">
        <v>248</v>
      </c>
      <c r="AZ1092" s="4" t="s">
        <v>249</v>
      </c>
      <c r="BA1092" s="4" t="s">
        <v>241</v>
      </c>
      <c r="BB1092" s="4" t="s">
        <v>250</v>
      </c>
      <c r="BC1092" s="4" t="s">
        <v>241</v>
      </c>
      <c r="BD1092" s="4" t="s">
        <v>252</v>
      </c>
      <c r="BE1092" s="4" t="s">
        <v>241</v>
      </c>
      <c r="BI1092" s="4" t="s">
        <v>253</v>
      </c>
      <c r="BJ1092" s="5" t="s">
        <v>246</v>
      </c>
      <c r="BK1092" s="4" t="s">
        <v>254</v>
      </c>
      <c r="BL1092" s="4" t="s">
        <v>255</v>
      </c>
      <c r="BM1092" s="4" t="s">
        <v>241</v>
      </c>
      <c r="BN1092" s="6">
        <f>0</f>
        <v>0</v>
      </c>
      <c r="BO1092" s="6">
        <f>0</f>
        <v>0</v>
      </c>
      <c r="BP1092" s="4" t="s">
        <v>256</v>
      </c>
      <c r="BQ1092" s="4" t="s">
        <v>257</v>
      </c>
      <c r="CE1092" s="4" t="s">
        <v>241</v>
      </c>
      <c r="CF1092" s="4" t="s">
        <v>241</v>
      </c>
      <c r="CJ1092" s="4" t="s">
        <v>276</v>
      </c>
      <c r="CK1092" s="4" t="s">
        <v>259</v>
      </c>
      <c r="CL1092" s="4" t="s">
        <v>241</v>
      </c>
      <c r="CO1092" s="5" t="s">
        <v>260</v>
      </c>
      <c r="CP1092" s="4" t="s">
        <v>241</v>
      </c>
      <c r="CQ1092" s="4" t="s">
        <v>261</v>
      </c>
      <c r="CR1092" s="4" t="s">
        <v>241</v>
      </c>
      <c r="CS1092" s="4" t="s">
        <v>241</v>
      </c>
      <c r="CT1092" s="4">
        <v>0</v>
      </c>
      <c r="CU1092" s="4" t="s">
        <v>262</v>
      </c>
      <c r="CV1092" s="4" t="s">
        <v>263</v>
      </c>
      <c r="CW1092" s="4" t="s">
        <v>263</v>
      </c>
      <c r="CX1092" s="4" t="s">
        <v>264</v>
      </c>
      <c r="DA1092" s="6">
        <f>1</f>
        <v>1</v>
      </c>
      <c r="DC1092" s="4" t="s">
        <v>277</v>
      </c>
      <c r="DD1092" s="4" t="s">
        <v>241</v>
      </c>
      <c r="DF1092" s="4" t="s">
        <v>277</v>
      </c>
      <c r="DG1092" s="6">
        <f>926</f>
        <v>926</v>
      </c>
      <c r="DI1092" s="4" t="s">
        <v>241</v>
      </c>
      <c r="DJ1092" s="4" t="s">
        <v>241</v>
      </c>
      <c r="DK1092" s="4" t="s">
        <v>241</v>
      </c>
      <c r="DL1092" s="4" t="s">
        <v>241</v>
      </c>
      <c r="DP1092" s="4" t="s">
        <v>241</v>
      </c>
      <c r="DQ1092" s="4" t="s">
        <v>241</v>
      </c>
      <c r="DR1092" s="4" t="s">
        <v>241</v>
      </c>
      <c r="DS1092" s="4" t="s">
        <v>241</v>
      </c>
      <c r="DV1092" s="4" t="s">
        <v>278</v>
      </c>
      <c r="DW1092" s="4" t="s">
        <v>922</v>
      </c>
      <c r="HO1092" s="4" t="s">
        <v>267</v>
      </c>
    </row>
    <row r="1093" spans="1:223" ht="19.5" customHeight="1" x14ac:dyDescent="0.4">
      <c r="A1093" s="4">
        <v>1</v>
      </c>
      <c r="B1093" s="4" t="s">
        <v>239</v>
      </c>
      <c r="C1093" s="4">
        <v>2767</v>
      </c>
      <c r="D1093" s="4">
        <v>1</v>
      </c>
      <c r="E1093" s="4">
        <v>1</v>
      </c>
      <c r="F1093" s="4" t="s">
        <v>268</v>
      </c>
      <c r="G1093" s="4" t="s">
        <v>241</v>
      </c>
      <c r="H1093" s="4" t="s">
        <v>241</v>
      </c>
      <c r="I1093" s="4" t="s">
        <v>272</v>
      </c>
      <c r="J1093" s="4" t="s">
        <v>274</v>
      </c>
      <c r="K1093" s="4" t="s">
        <v>251</v>
      </c>
      <c r="L1093" s="4" t="s">
        <v>269</v>
      </c>
      <c r="M1093" s="5" t="s">
        <v>1506</v>
      </c>
      <c r="N1093" s="6">
        <f>1982</f>
        <v>1982</v>
      </c>
      <c r="O1093" s="4" t="s">
        <v>265</v>
      </c>
      <c r="P1093" s="6">
        <f>1</f>
        <v>1</v>
      </c>
      <c r="Q1093" s="6">
        <f>0</f>
        <v>0</v>
      </c>
      <c r="S1093" s="6">
        <f>0</f>
        <v>0</v>
      </c>
      <c r="T1093" s="6">
        <f>1</f>
        <v>1</v>
      </c>
      <c r="U1093" s="5" t="s">
        <v>245</v>
      </c>
      <c r="V1093" s="4" t="s">
        <v>270</v>
      </c>
      <c r="W1093" s="4" t="s">
        <v>271</v>
      </c>
      <c r="X1093" s="4" t="s">
        <v>273</v>
      </c>
      <c r="Y1093" s="4" t="s">
        <v>241</v>
      </c>
      <c r="AB1093" s="4" t="s">
        <v>241</v>
      </c>
      <c r="AD1093" s="5" t="s">
        <v>241</v>
      </c>
      <c r="AG1093" s="5" t="s">
        <v>246</v>
      </c>
      <c r="AH1093" s="4" t="s">
        <v>241</v>
      </c>
      <c r="AI1093" s="4" t="s">
        <v>247</v>
      </c>
      <c r="AJ1093" s="4" t="s">
        <v>248</v>
      </c>
      <c r="AZ1093" s="4" t="s">
        <v>249</v>
      </c>
      <c r="BA1093" s="4" t="s">
        <v>241</v>
      </c>
      <c r="BB1093" s="4" t="s">
        <v>250</v>
      </c>
      <c r="BC1093" s="4" t="s">
        <v>241</v>
      </c>
      <c r="BD1093" s="4" t="s">
        <v>252</v>
      </c>
      <c r="BE1093" s="4" t="s">
        <v>241</v>
      </c>
      <c r="BI1093" s="4" t="s">
        <v>253</v>
      </c>
      <c r="BJ1093" s="5" t="s">
        <v>246</v>
      </c>
      <c r="BK1093" s="4" t="s">
        <v>254</v>
      </c>
      <c r="BL1093" s="4" t="s">
        <v>255</v>
      </c>
      <c r="BM1093" s="4" t="s">
        <v>241</v>
      </c>
      <c r="BN1093" s="6">
        <f>0</f>
        <v>0</v>
      </c>
      <c r="BO1093" s="6">
        <f>0</f>
        <v>0</v>
      </c>
      <c r="BP1093" s="4" t="s">
        <v>256</v>
      </c>
      <c r="BQ1093" s="4" t="s">
        <v>257</v>
      </c>
      <c r="CE1093" s="4" t="s">
        <v>241</v>
      </c>
      <c r="CF1093" s="4" t="s">
        <v>241</v>
      </c>
      <c r="CJ1093" s="4" t="s">
        <v>276</v>
      </c>
      <c r="CK1093" s="4" t="s">
        <v>259</v>
      </c>
      <c r="CL1093" s="4" t="s">
        <v>241</v>
      </c>
      <c r="CO1093" s="5" t="s">
        <v>260</v>
      </c>
      <c r="CP1093" s="4" t="s">
        <v>241</v>
      </c>
      <c r="CQ1093" s="4" t="s">
        <v>261</v>
      </c>
      <c r="CR1093" s="4" t="s">
        <v>241</v>
      </c>
      <c r="CS1093" s="4" t="s">
        <v>241</v>
      </c>
      <c r="CT1093" s="4">
        <v>0</v>
      </c>
      <c r="CU1093" s="4" t="s">
        <v>262</v>
      </c>
      <c r="CV1093" s="4" t="s">
        <v>263</v>
      </c>
      <c r="CW1093" s="4" t="s">
        <v>263</v>
      </c>
      <c r="CX1093" s="4" t="s">
        <v>264</v>
      </c>
      <c r="DA1093" s="6">
        <f>1</f>
        <v>1</v>
      </c>
      <c r="DC1093" s="4" t="s">
        <v>277</v>
      </c>
      <c r="DD1093" s="4" t="s">
        <v>241</v>
      </c>
      <c r="DF1093" s="4" t="s">
        <v>277</v>
      </c>
      <c r="DG1093" s="6">
        <f>1982</f>
        <v>1982</v>
      </c>
      <c r="DI1093" s="4" t="s">
        <v>241</v>
      </c>
      <c r="DJ1093" s="4" t="s">
        <v>241</v>
      </c>
      <c r="DK1093" s="4" t="s">
        <v>241</v>
      </c>
      <c r="DL1093" s="4" t="s">
        <v>241</v>
      </c>
      <c r="DP1093" s="4" t="s">
        <v>241</v>
      </c>
      <c r="DQ1093" s="4" t="s">
        <v>241</v>
      </c>
      <c r="DR1093" s="4" t="s">
        <v>241</v>
      </c>
      <c r="DS1093" s="4" t="s">
        <v>241</v>
      </c>
      <c r="DV1093" s="4" t="s">
        <v>278</v>
      </c>
      <c r="DW1093" s="4" t="s">
        <v>924</v>
      </c>
      <c r="HO1093" s="4" t="s">
        <v>267</v>
      </c>
    </row>
    <row r="1094" spans="1:223" ht="19.5" customHeight="1" x14ac:dyDescent="0.4">
      <c r="A1094" s="4">
        <v>1</v>
      </c>
      <c r="B1094" s="4" t="s">
        <v>239</v>
      </c>
      <c r="C1094" s="4">
        <v>2768</v>
      </c>
      <c r="D1094" s="4">
        <v>1</v>
      </c>
      <c r="E1094" s="4">
        <v>1</v>
      </c>
      <c r="F1094" s="4" t="s">
        <v>268</v>
      </c>
      <c r="G1094" s="4" t="s">
        <v>241</v>
      </c>
      <c r="H1094" s="4" t="s">
        <v>241</v>
      </c>
      <c r="I1094" s="4" t="s">
        <v>272</v>
      </c>
      <c r="J1094" s="4" t="s">
        <v>274</v>
      </c>
      <c r="K1094" s="4" t="s">
        <v>251</v>
      </c>
      <c r="L1094" s="4" t="s">
        <v>269</v>
      </c>
      <c r="M1094" s="5" t="s">
        <v>985</v>
      </c>
      <c r="N1094" s="6">
        <f>6199</f>
        <v>6199</v>
      </c>
      <c r="O1094" s="4" t="s">
        <v>265</v>
      </c>
      <c r="P1094" s="6">
        <f>1</f>
        <v>1</v>
      </c>
      <c r="Q1094" s="6">
        <f>0</f>
        <v>0</v>
      </c>
      <c r="S1094" s="6">
        <f>0</f>
        <v>0</v>
      </c>
      <c r="T1094" s="6">
        <f>1</f>
        <v>1</v>
      </c>
      <c r="U1094" s="5" t="s">
        <v>245</v>
      </c>
      <c r="V1094" s="4" t="s">
        <v>270</v>
      </c>
      <c r="W1094" s="4" t="s">
        <v>271</v>
      </c>
      <c r="X1094" s="4" t="s">
        <v>273</v>
      </c>
      <c r="Y1094" s="4" t="s">
        <v>241</v>
      </c>
      <c r="AB1094" s="4" t="s">
        <v>241</v>
      </c>
      <c r="AD1094" s="5" t="s">
        <v>241</v>
      </c>
      <c r="AG1094" s="5" t="s">
        <v>246</v>
      </c>
      <c r="AH1094" s="4" t="s">
        <v>241</v>
      </c>
      <c r="AI1094" s="4" t="s">
        <v>247</v>
      </c>
      <c r="AJ1094" s="4" t="s">
        <v>248</v>
      </c>
      <c r="AZ1094" s="4" t="s">
        <v>249</v>
      </c>
      <c r="BA1094" s="4" t="s">
        <v>241</v>
      </c>
      <c r="BB1094" s="4" t="s">
        <v>250</v>
      </c>
      <c r="BC1094" s="4" t="s">
        <v>241</v>
      </c>
      <c r="BD1094" s="4" t="s">
        <v>252</v>
      </c>
      <c r="BE1094" s="4" t="s">
        <v>241</v>
      </c>
      <c r="BI1094" s="4" t="s">
        <v>253</v>
      </c>
      <c r="BJ1094" s="5" t="s">
        <v>246</v>
      </c>
      <c r="BK1094" s="4" t="s">
        <v>254</v>
      </c>
      <c r="BL1094" s="4" t="s">
        <v>255</v>
      </c>
      <c r="BM1094" s="4" t="s">
        <v>241</v>
      </c>
      <c r="BN1094" s="6">
        <f>0</f>
        <v>0</v>
      </c>
      <c r="BO1094" s="6">
        <f>0</f>
        <v>0</v>
      </c>
      <c r="BP1094" s="4" t="s">
        <v>256</v>
      </c>
      <c r="BQ1094" s="4" t="s">
        <v>257</v>
      </c>
      <c r="CE1094" s="4" t="s">
        <v>241</v>
      </c>
      <c r="CF1094" s="4" t="s">
        <v>241</v>
      </c>
      <c r="CJ1094" s="4" t="s">
        <v>276</v>
      </c>
      <c r="CK1094" s="4" t="s">
        <v>259</v>
      </c>
      <c r="CL1094" s="4" t="s">
        <v>241</v>
      </c>
      <c r="CO1094" s="5" t="s">
        <v>260</v>
      </c>
      <c r="CP1094" s="4" t="s">
        <v>241</v>
      </c>
      <c r="CQ1094" s="4" t="s">
        <v>261</v>
      </c>
      <c r="CR1094" s="4" t="s">
        <v>241</v>
      </c>
      <c r="CS1094" s="4" t="s">
        <v>241</v>
      </c>
      <c r="CT1094" s="4">
        <v>0</v>
      </c>
      <c r="CU1094" s="4" t="s">
        <v>262</v>
      </c>
      <c r="CV1094" s="4" t="s">
        <v>263</v>
      </c>
      <c r="CW1094" s="4" t="s">
        <v>263</v>
      </c>
      <c r="CX1094" s="4" t="s">
        <v>264</v>
      </c>
      <c r="DA1094" s="6">
        <f>1</f>
        <v>1</v>
      </c>
      <c r="DC1094" s="4" t="s">
        <v>277</v>
      </c>
      <c r="DD1094" s="4" t="s">
        <v>241</v>
      </c>
      <c r="DF1094" s="4" t="s">
        <v>277</v>
      </c>
      <c r="DG1094" s="6">
        <f>6199</f>
        <v>6199</v>
      </c>
      <c r="DI1094" s="4" t="s">
        <v>241</v>
      </c>
      <c r="DJ1094" s="4" t="s">
        <v>241</v>
      </c>
      <c r="DK1094" s="4" t="s">
        <v>241</v>
      </c>
      <c r="DL1094" s="4" t="s">
        <v>241</v>
      </c>
      <c r="DP1094" s="4" t="s">
        <v>241</v>
      </c>
      <c r="DQ1094" s="4" t="s">
        <v>241</v>
      </c>
      <c r="DR1094" s="4" t="s">
        <v>241</v>
      </c>
      <c r="DS1094" s="4" t="s">
        <v>241</v>
      </c>
      <c r="DV1094" s="4" t="s">
        <v>278</v>
      </c>
      <c r="DW1094" s="4" t="s">
        <v>986</v>
      </c>
      <c r="HO1094" s="4" t="s">
        <v>267</v>
      </c>
    </row>
    <row r="1095" spans="1:223" ht="19.5" customHeight="1" x14ac:dyDescent="0.4">
      <c r="A1095" s="4">
        <v>1</v>
      </c>
      <c r="B1095" s="4" t="s">
        <v>239</v>
      </c>
      <c r="C1095" s="4">
        <v>2769</v>
      </c>
      <c r="D1095" s="4">
        <v>1</v>
      </c>
      <c r="E1095" s="4">
        <v>1</v>
      </c>
      <c r="F1095" s="4" t="s">
        <v>268</v>
      </c>
      <c r="G1095" s="4" t="s">
        <v>241</v>
      </c>
      <c r="H1095" s="4" t="s">
        <v>241</v>
      </c>
      <c r="I1095" s="4" t="s">
        <v>272</v>
      </c>
      <c r="J1095" s="4" t="s">
        <v>274</v>
      </c>
      <c r="K1095" s="4" t="s">
        <v>251</v>
      </c>
      <c r="L1095" s="4" t="s">
        <v>269</v>
      </c>
      <c r="M1095" s="5" t="s">
        <v>979</v>
      </c>
      <c r="N1095" s="6">
        <f>2967</f>
        <v>2967</v>
      </c>
      <c r="O1095" s="4" t="s">
        <v>265</v>
      </c>
      <c r="P1095" s="6">
        <f>1</f>
        <v>1</v>
      </c>
      <c r="Q1095" s="6">
        <f>0</f>
        <v>0</v>
      </c>
      <c r="S1095" s="6">
        <f>0</f>
        <v>0</v>
      </c>
      <c r="T1095" s="6">
        <f>1</f>
        <v>1</v>
      </c>
      <c r="U1095" s="5" t="s">
        <v>245</v>
      </c>
      <c r="V1095" s="4" t="s">
        <v>270</v>
      </c>
      <c r="W1095" s="4" t="s">
        <v>271</v>
      </c>
      <c r="X1095" s="4" t="s">
        <v>273</v>
      </c>
      <c r="Y1095" s="4" t="s">
        <v>241</v>
      </c>
      <c r="AB1095" s="4" t="s">
        <v>241</v>
      </c>
      <c r="AD1095" s="5" t="s">
        <v>241</v>
      </c>
      <c r="AG1095" s="5" t="s">
        <v>246</v>
      </c>
      <c r="AH1095" s="4" t="s">
        <v>241</v>
      </c>
      <c r="AI1095" s="4" t="s">
        <v>247</v>
      </c>
      <c r="AJ1095" s="4" t="s">
        <v>248</v>
      </c>
      <c r="AZ1095" s="4" t="s">
        <v>249</v>
      </c>
      <c r="BA1095" s="4" t="s">
        <v>241</v>
      </c>
      <c r="BB1095" s="4" t="s">
        <v>250</v>
      </c>
      <c r="BC1095" s="4" t="s">
        <v>241</v>
      </c>
      <c r="BD1095" s="4" t="s">
        <v>252</v>
      </c>
      <c r="BE1095" s="4" t="s">
        <v>241</v>
      </c>
      <c r="BI1095" s="4" t="s">
        <v>253</v>
      </c>
      <c r="BJ1095" s="5" t="s">
        <v>246</v>
      </c>
      <c r="BK1095" s="4" t="s">
        <v>254</v>
      </c>
      <c r="BL1095" s="4" t="s">
        <v>255</v>
      </c>
      <c r="BM1095" s="4" t="s">
        <v>241</v>
      </c>
      <c r="BN1095" s="6">
        <f>0</f>
        <v>0</v>
      </c>
      <c r="BO1095" s="6">
        <f>0</f>
        <v>0</v>
      </c>
      <c r="BP1095" s="4" t="s">
        <v>256</v>
      </c>
      <c r="BQ1095" s="4" t="s">
        <v>257</v>
      </c>
      <c r="CE1095" s="4" t="s">
        <v>241</v>
      </c>
      <c r="CF1095" s="4" t="s">
        <v>241</v>
      </c>
      <c r="CJ1095" s="4" t="s">
        <v>276</v>
      </c>
      <c r="CK1095" s="4" t="s">
        <v>259</v>
      </c>
      <c r="CL1095" s="4" t="s">
        <v>241</v>
      </c>
      <c r="CO1095" s="5" t="s">
        <v>260</v>
      </c>
      <c r="CP1095" s="4" t="s">
        <v>241</v>
      </c>
      <c r="CQ1095" s="4" t="s">
        <v>261</v>
      </c>
      <c r="CR1095" s="4" t="s">
        <v>241</v>
      </c>
      <c r="CS1095" s="4" t="s">
        <v>241</v>
      </c>
      <c r="CT1095" s="4">
        <v>0</v>
      </c>
      <c r="CU1095" s="4" t="s">
        <v>262</v>
      </c>
      <c r="CV1095" s="4" t="s">
        <v>263</v>
      </c>
      <c r="CW1095" s="4" t="s">
        <v>263</v>
      </c>
      <c r="CX1095" s="4" t="s">
        <v>264</v>
      </c>
      <c r="DA1095" s="6">
        <f>1</f>
        <v>1</v>
      </c>
      <c r="DC1095" s="4" t="s">
        <v>277</v>
      </c>
      <c r="DD1095" s="4" t="s">
        <v>241</v>
      </c>
      <c r="DF1095" s="4" t="s">
        <v>277</v>
      </c>
      <c r="DG1095" s="6">
        <f>2967</f>
        <v>2967</v>
      </c>
      <c r="DI1095" s="4" t="s">
        <v>241</v>
      </c>
      <c r="DJ1095" s="4" t="s">
        <v>241</v>
      </c>
      <c r="DK1095" s="4" t="s">
        <v>241</v>
      </c>
      <c r="DL1095" s="4" t="s">
        <v>241</v>
      </c>
      <c r="DP1095" s="4" t="s">
        <v>241</v>
      </c>
      <c r="DQ1095" s="4" t="s">
        <v>241</v>
      </c>
      <c r="DR1095" s="4" t="s">
        <v>241</v>
      </c>
      <c r="DS1095" s="4" t="s">
        <v>241</v>
      </c>
      <c r="DV1095" s="4" t="s">
        <v>278</v>
      </c>
      <c r="DW1095" s="4" t="s">
        <v>930</v>
      </c>
      <c r="HO1095" s="4" t="s">
        <v>267</v>
      </c>
    </row>
    <row r="1096" spans="1:223" ht="19.5" customHeight="1" x14ac:dyDescent="0.4">
      <c r="A1096" s="4">
        <v>1</v>
      </c>
      <c r="B1096" s="4" t="s">
        <v>239</v>
      </c>
      <c r="C1096" s="4">
        <v>2770</v>
      </c>
      <c r="D1096" s="4">
        <v>1</v>
      </c>
      <c r="E1096" s="4">
        <v>1</v>
      </c>
      <c r="F1096" s="4" t="s">
        <v>268</v>
      </c>
      <c r="G1096" s="4" t="s">
        <v>241</v>
      </c>
      <c r="H1096" s="4" t="s">
        <v>241</v>
      </c>
      <c r="I1096" s="4" t="s">
        <v>272</v>
      </c>
      <c r="J1096" s="4" t="s">
        <v>274</v>
      </c>
      <c r="K1096" s="4" t="s">
        <v>251</v>
      </c>
      <c r="L1096" s="4" t="s">
        <v>269</v>
      </c>
      <c r="M1096" s="5" t="s">
        <v>977</v>
      </c>
      <c r="N1096" s="6">
        <f>1560</f>
        <v>1560</v>
      </c>
      <c r="O1096" s="4" t="s">
        <v>265</v>
      </c>
      <c r="P1096" s="6">
        <f>1</f>
        <v>1</v>
      </c>
      <c r="Q1096" s="6">
        <f>0</f>
        <v>0</v>
      </c>
      <c r="S1096" s="6">
        <f>0</f>
        <v>0</v>
      </c>
      <c r="T1096" s="6">
        <f>1</f>
        <v>1</v>
      </c>
      <c r="U1096" s="5" t="s">
        <v>245</v>
      </c>
      <c r="V1096" s="4" t="s">
        <v>270</v>
      </c>
      <c r="W1096" s="4" t="s">
        <v>271</v>
      </c>
      <c r="X1096" s="4" t="s">
        <v>273</v>
      </c>
      <c r="Y1096" s="4" t="s">
        <v>241</v>
      </c>
      <c r="AB1096" s="4" t="s">
        <v>241</v>
      </c>
      <c r="AD1096" s="5" t="s">
        <v>241</v>
      </c>
      <c r="AG1096" s="5" t="s">
        <v>246</v>
      </c>
      <c r="AH1096" s="4" t="s">
        <v>241</v>
      </c>
      <c r="AI1096" s="4" t="s">
        <v>247</v>
      </c>
      <c r="AJ1096" s="4" t="s">
        <v>248</v>
      </c>
      <c r="AZ1096" s="4" t="s">
        <v>249</v>
      </c>
      <c r="BA1096" s="4" t="s">
        <v>241</v>
      </c>
      <c r="BB1096" s="4" t="s">
        <v>250</v>
      </c>
      <c r="BC1096" s="4" t="s">
        <v>241</v>
      </c>
      <c r="BD1096" s="4" t="s">
        <v>252</v>
      </c>
      <c r="BE1096" s="4" t="s">
        <v>241</v>
      </c>
      <c r="BI1096" s="4" t="s">
        <v>253</v>
      </c>
      <c r="BJ1096" s="5" t="s">
        <v>246</v>
      </c>
      <c r="BK1096" s="4" t="s">
        <v>254</v>
      </c>
      <c r="BL1096" s="4" t="s">
        <v>255</v>
      </c>
      <c r="BM1096" s="4" t="s">
        <v>241</v>
      </c>
      <c r="BN1096" s="6">
        <f>0</f>
        <v>0</v>
      </c>
      <c r="BO1096" s="6">
        <f>0</f>
        <v>0</v>
      </c>
      <c r="BP1096" s="4" t="s">
        <v>256</v>
      </c>
      <c r="BQ1096" s="4" t="s">
        <v>257</v>
      </c>
      <c r="CE1096" s="4" t="s">
        <v>241</v>
      </c>
      <c r="CF1096" s="4" t="s">
        <v>241</v>
      </c>
      <c r="CJ1096" s="4" t="s">
        <v>276</v>
      </c>
      <c r="CK1096" s="4" t="s">
        <v>259</v>
      </c>
      <c r="CL1096" s="4" t="s">
        <v>241</v>
      </c>
      <c r="CO1096" s="5" t="s">
        <v>260</v>
      </c>
      <c r="CP1096" s="4" t="s">
        <v>241</v>
      </c>
      <c r="CQ1096" s="4" t="s">
        <v>261</v>
      </c>
      <c r="CR1096" s="4" t="s">
        <v>241</v>
      </c>
      <c r="CS1096" s="4" t="s">
        <v>241</v>
      </c>
      <c r="CT1096" s="4">
        <v>0</v>
      </c>
      <c r="CU1096" s="4" t="s">
        <v>262</v>
      </c>
      <c r="CV1096" s="4" t="s">
        <v>263</v>
      </c>
      <c r="CW1096" s="4" t="s">
        <v>263</v>
      </c>
      <c r="CX1096" s="4" t="s">
        <v>264</v>
      </c>
      <c r="DA1096" s="6">
        <f>1</f>
        <v>1</v>
      </c>
      <c r="DC1096" s="4" t="s">
        <v>277</v>
      </c>
      <c r="DD1096" s="4" t="s">
        <v>241</v>
      </c>
      <c r="DF1096" s="4" t="s">
        <v>277</v>
      </c>
      <c r="DG1096" s="6">
        <f>1560</f>
        <v>1560</v>
      </c>
      <c r="DI1096" s="4" t="s">
        <v>241</v>
      </c>
      <c r="DJ1096" s="4" t="s">
        <v>241</v>
      </c>
      <c r="DK1096" s="4" t="s">
        <v>241</v>
      </c>
      <c r="DL1096" s="4" t="s">
        <v>241</v>
      </c>
      <c r="DP1096" s="4" t="s">
        <v>241</v>
      </c>
      <c r="DQ1096" s="4" t="s">
        <v>241</v>
      </c>
      <c r="DR1096" s="4" t="s">
        <v>241</v>
      </c>
      <c r="DS1096" s="4" t="s">
        <v>241</v>
      </c>
      <c r="DV1096" s="4" t="s">
        <v>278</v>
      </c>
      <c r="DW1096" s="4" t="s">
        <v>934</v>
      </c>
      <c r="HO1096" s="4" t="s">
        <v>267</v>
      </c>
    </row>
    <row r="1097" spans="1:223" ht="19.5" customHeight="1" x14ac:dyDescent="0.4">
      <c r="A1097" s="4">
        <v>1</v>
      </c>
      <c r="B1097" s="4" t="s">
        <v>239</v>
      </c>
      <c r="C1097" s="4">
        <v>2771</v>
      </c>
      <c r="D1097" s="4">
        <v>1</v>
      </c>
      <c r="E1097" s="4">
        <v>1</v>
      </c>
      <c r="F1097" s="4" t="s">
        <v>268</v>
      </c>
      <c r="G1097" s="4" t="s">
        <v>241</v>
      </c>
      <c r="H1097" s="4" t="s">
        <v>241</v>
      </c>
      <c r="I1097" s="4" t="s">
        <v>272</v>
      </c>
      <c r="J1097" s="4" t="s">
        <v>274</v>
      </c>
      <c r="K1097" s="4" t="s">
        <v>251</v>
      </c>
      <c r="L1097" s="4" t="s">
        <v>269</v>
      </c>
      <c r="M1097" s="5" t="s">
        <v>275</v>
      </c>
      <c r="N1097" s="6">
        <f>6076</f>
        <v>6076</v>
      </c>
      <c r="O1097" s="4" t="s">
        <v>265</v>
      </c>
      <c r="P1097" s="6">
        <f>1</f>
        <v>1</v>
      </c>
      <c r="Q1097" s="6">
        <f>0</f>
        <v>0</v>
      </c>
      <c r="S1097" s="6">
        <f>0</f>
        <v>0</v>
      </c>
      <c r="T1097" s="6">
        <f>1</f>
        <v>1</v>
      </c>
      <c r="U1097" s="5" t="s">
        <v>245</v>
      </c>
      <c r="V1097" s="4" t="s">
        <v>270</v>
      </c>
      <c r="W1097" s="4" t="s">
        <v>271</v>
      </c>
      <c r="X1097" s="4" t="s">
        <v>273</v>
      </c>
      <c r="Y1097" s="4" t="s">
        <v>241</v>
      </c>
      <c r="AB1097" s="4" t="s">
        <v>241</v>
      </c>
      <c r="AD1097" s="5" t="s">
        <v>241</v>
      </c>
      <c r="AG1097" s="5" t="s">
        <v>246</v>
      </c>
      <c r="AH1097" s="4" t="s">
        <v>241</v>
      </c>
      <c r="AI1097" s="4" t="s">
        <v>247</v>
      </c>
      <c r="AJ1097" s="4" t="s">
        <v>248</v>
      </c>
      <c r="AZ1097" s="4" t="s">
        <v>249</v>
      </c>
      <c r="BA1097" s="4" t="s">
        <v>241</v>
      </c>
      <c r="BB1097" s="4" t="s">
        <v>250</v>
      </c>
      <c r="BC1097" s="4" t="s">
        <v>241</v>
      </c>
      <c r="BD1097" s="4" t="s">
        <v>252</v>
      </c>
      <c r="BE1097" s="4" t="s">
        <v>241</v>
      </c>
      <c r="BI1097" s="4" t="s">
        <v>253</v>
      </c>
      <c r="BJ1097" s="5" t="s">
        <v>246</v>
      </c>
      <c r="BK1097" s="4" t="s">
        <v>254</v>
      </c>
      <c r="BL1097" s="4" t="s">
        <v>255</v>
      </c>
      <c r="BM1097" s="4" t="s">
        <v>241</v>
      </c>
      <c r="BN1097" s="6">
        <f>0</f>
        <v>0</v>
      </c>
      <c r="BO1097" s="6">
        <f>0</f>
        <v>0</v>
      </c>
      <c r="BP1097" s="4" t="s">
        <v>256</v>
      </c>
      <c r="BQ1097" s="4" t="s">
        <v>257</v>
      </c>
      <c r="CE1097" s="4" t="s">
        <v>241</v>
      </c>
      <c r="CF1097" s="4" t="s">
        <v>241</v>
      </c>
      <c r="CJ1097" s="4" t="s">
        <v>276</v>
      </c>
      <c r="CK1097" s="4" t="s">
        <v>259</v>
      </c>
      <c r="CL1097" s="4" t="s">
        <v>241</v>
      </c>
      <c r="CO1097" s="5" t="s">
        <v>260</v>
      </c>
      <c r="CP1097" s="4" t="s">
        <v>241</v>
      </c>
      <c r="CQ1097" s="4" t="s">
        <v>261</v>
      </c>
      <c r="CR1097" s="4" t="s">
        <v>241</v>
      </c>
      <c r="CS1097" s="4" t="s">
        <v>241</v>
      </c>
      <c r="CT1097" s="4">
        <v>0</v>
      </c>
      <c r="CU1097" s="4" t="s">
        <v>262</v>
      </c>
      <c r="CV1097" s="4" t="s">
        <v>263</v>
      </c>
      <c r="CW1097" s="4" t="s">
        <v>263</v>
      </c>
      <c r="CX1097" s="4" t="s">
        <v>264</v>
      </c>
      <c r="DA1097" s="6">
        <f>1</f>
        <v>1</v>
      </c>
      <c r="DC1097" s="4" t="s">
        <v>277</v>
      </c>
      <c r="DD1097" s="4" t="s">
        <v>241</v>
      </c>
      <c r="DF1097" s="4" t="s">
        <v>277</v>
      </c>
      <c r="DG1097" s="6">
        <f>6076</f>
        <v>6076</v>
      </c>
      <c r="DI1097" s="4" t="s">
        <v>241</v>
      </c>
      <c r="DJ1097" s="4" t="s">
        <v>241</v>
      </c>
      <c r="DK1097" s="4" t="s">
        <v>241</v>
      </c>
      <c r="DL1097" s="4" t="s">
        <v>241</v>
      </c>
      <c r="DP1097" s="4" t="s">
        <v>241</v>
      </c>
      <c r="DQ1097" s="4" t="s">
        <v>241</v>
      </c>
      <c r="DR1097" s="4" t="s">
        <v>241</v>
      </c>
      <c r="DS1097" s="4" t="s">
        <v>241</v>
      </c>
      <c r="DV1097" s="4" t="s">
        <v>278</v>
      </c>
      <c r="DW1097" s="4" t="s">
        <v>279</v>
      </c>
      <c r="HO1097" s="4" t="s">
        <v>267</v>
      </c>
    </row>
    <row r="1098" spans="1:223" ht="19.5" customHeight="1" x14ac:dyDescent="0.4">
      <c r="A1098" s="4">
        <v>1</v>
      </c>
      <c r="B1098" s="4" t="s">
        <v>239</v>
      </c>
      <c r="C1098" s="4">
        <v>2772</v>
      </c>
      <c r="D1098" s="4">
        <v>1</v>
      </c>
      <c r="E1098" s="4">
        <v>1</v>
      </c>
      <c r="F1098" s="4" t="s">
        <v>268</v>
      </c>
      <c r="G1098" s="4" t="s">
        <v>241</v>
      </c>
      <c r="H1098" s="4" t="s">
        <v>241</v>
      </c>
      <c r="I1098" s="4" t="s">
        <v>272</v>
      </c>
      <c r="J1098" s="4" t="s">
        <v>274</v>
      </c>
      <c r="K1098" s="4" t="s">
        <v>251</v>
      </c>
      <c r="L1098" s="4" t="s">
        <v>269</v>
      </c>
      <c r="M1098" s="5" t="s">
        <v>289</v>
      </c>
      <c r="N1098" s="6">
        <f>3517</f>
        <v>3517</v>
      </c>
      <c r="O1098" s="4" t="s">
        <v>265</v>
      </c>
      <c r="P1098" s="6">
        <f>1</f>
        <v>1</v>
      </c>
      <c r="Q1098" s="6">
        <f>0</f>
        <v>0</v>
      </c>
      <c r="S1098" s="6">
        <f>0</f>
        <v>0</v>
      </c>
      <c r="T1098" s="6">
        <f>1</f>
        <v>1</v>
      </c>
      <c r="U1098" s="5" t="s">
        <v>245</v>
      </c>
      <c r="V1098" s="4" t="s">
        <v>270</v>
      </c>
      <c r="W1098" s="4" t="s">
        <v>271</v>
      </c>
      <c r="X1098" s="4" t="s">
        <v>273</v>
      </c>
      <c r="Y1098" s="4" t="s">
        <v>241</v>
      </c>
      <c r="AB1098" s="4" t="s">
        <v>241</v>
      </c>
      <c r="AD1098" s="5" t="s">
        <v>241</v>
      </c>
      <c r="AG1098" s="5" t="s">
        <v>246</v>
      </c>
      <c r="AH1098" s="4" t="s">
        <v>241</v>
      </c>
      <c r="AI1098" s="4" t="s">
        <v>247</v>
      </c>
      <c r="AJ1098" s="4" t="s">
        <v>248</v>
      </c>
      <c r="AZ1098" s="4" t="s">
        <v>249</v>
      </c>
      <c r="BA1098" s="4" t="s">
        <v>241</v>
      </c>
      <c r="BB1098" s="4" t="s">
        <v>250</v>
      </c>
      <c r="BC1098" s="4" t="s">
        <v>241</v>
      </c>
      <c r="BD1098" s="4" t="s">
        <v>252</v>
      </c>
      <c r="BE1098" s="4" t="s">
        <v>241</v>
      </c>
      <c r="BI1098" s="4" t="s">
        <v>253</v>
      </c>
      <c r="BJ1098" s="5" t="s">
        <v>246</v>
      </c>
      <c r="BK1098" s="4" t="s">
        <v>254</v>
      </c>
      <c r="BL1098" s="4" t="s">
        <v>255</v>
      </c>
      <c r="BM1098" s="4" t="s">
        <v>241</v>
      </c>
      <c r="BN1098" s="6">
        <f>0</f>
        <v>0</v>
      </c>
      <c r="BO1098" s="6">
        <f>0</f>
        <v>0</v>
      </c>
      <c r="BP1098" s="4" t="s">
        <v>256</v>
      </c>
      <c r="BQ1098" s="4" t="s">
        <v>257</v>
      </c>
      <c r="CE1098" s="4" t="s">
        <v>241</v>
      </c>
      <c r="CF1098" s="4" t="s">
        <v>241</v>
      </c>
      <c r="CJ1098" s="4" t="s">
        <v>276</v>
      </c>
      <c r="CK1098" s="4" t="s">
        <v>259</v>
      </c>
      <c r="CL1098" s="4" t="s">
        <v>241</v>
      </c>
      <c r="CO1098" s="5" t="s">
        <v>260</v>
      </c>
      <c r="CP1098" s="4" t="s">
        <v>241</v>
      </c>
      <c r="CQ1098" s="4" t="s">
        <v>261</v>
      </c>
      <c r="CR1098" s="4" t="s">
        <v>241</v>
      </c>
      <c r="CS1098" s="4" t="s">
        <v>241</v>
      </c>
      <c r="CT1098" s="4">
        <v>0</v>
      </c>
      <c r="CU1098" s="4" t="s">
        <v>262</v>
      </c>
      <c r="CV1098" s="4" t="s">
        <v>263</v>
      </c>
      <c r="CW1098" s="4" t="s">
        <v>263</v>
      </c>
      <c r="CX1098" s="4" t="s">
        <v>264</v>
      </c>
      <c r="DA1098" s="6">
        <f>1</f>
        <v>1</v>
      </c>
      <c r="DC1098" s="4" t="s">
        <v>277</v>
      </c>
      <c r="DD1098" s="4" t="s">
        <v>241</v>
      </c>
      <c r="DF1098" s="4" t="s">
        <v>277</v>
      </c>
      <c r="DG1098" s="6">
        <f>3517</f>
        <v>3517</v>
      </c>
      <c r="DI1098" s="4" t="s">
        <v>241</v>
      </c>
      <c r="DJ1098" s="4" t="s">
        <v>241</v>
      </c>
      <c r="DK1098" s="4" t="s">
        <v>241</v>
      </c>
      <c r="DL1098" s="4" t="s">
        <v>241</v>
      </c>
      <c r="DP1098" s="4" t="s">
        <v>241</v>
      </c>
      <c r="DQ1098" s="4" t="s">
        <v>241</v>
      </c>
      <c r="DR1098" s="4" t="s">
        <v>241</v>
      </c>
      <c r="DS1098" s="4" t="s">
        <v>241</v>
      </c>
      <c r="DV1098" s="4" t="s">
        <v>278</v>
      </c>
      <c r="DW1098" s="4" t="s">
        <v>290</v>
      </c>
      <c r="HO1098" s="4" t="s">
        <v>267</v>
      </c>
    </row>
    <row r="1099" spans="1:223" ht="19.5" customHeight="1" x14ac:dyDescent="0.4">
      <c r="A1099" s="4">
        <v>1</v>
      </c>
      <c r="B1099" s="4" t="s">
        <v>239</v>
      </c>
      <c r="C1099" s="4">
        <v>2773</v>
      </c>
      <c r="D1099" s="4">
        <v>1</v>
      </c>
      <c r="E1099" s="4">
        <v>1</v>
      </c>
      <c r="F1099" s="4" t="s">
        <v>268</v>
      </c>
      <c r="G1099" s="4" t="s">
        <v>241</v>
      </c>
      <c r="H1099" s="4" t="s">
        <v>241</v>
      </c>
      <c r="I1099" s="4" t="s">
        <v>272</v>
      </c>
      <c r="J1099" s="4" t="s">
        <v>274</v>
      </c>
      <c r="K1099" s="4" t="s">
        <v>251</v>
      </c>
      <c r="L1099" s="4" t="s">
        <v>269</v>
      </c>
      <c r="M1099" s="5" t="s">
        <v>297</v>
      </c>
      <c r="N1099" s="6">
        <f>1721</f>
        <v>1721</v>
      </c>
      <c r="O1099" s="4" t="s">
        <v>265</v>
      </c>
      <c r="P1099" s="6">
        <f>1</f>
        <v>1</v>
      </c>
      <c r="Q1099" s="6">
        <f>0</f>
        <v>0</v>
      </c>
      <c r="S1099" s="6">
        <f>0</f>
        <v>0</v>
      </c>
      <c r="T1099" s="6">
        <f>1</f>
        <v>1</v>
      </c>
      <c r="U1099" s="5" t="s">
        <v>245</v>
      </c>
      <c r="V1099" s="4" t="s">
        <v>270</v>
      </c>
      <c r="W1099" s="4" t="s">
        <v>271</v>
      </c>
      <c r="X1099" s="4" t="s">
        <v>273</v>
      </c>
      <c r="Y1099" s="4" t="s">
        <v>241</v>
      </c>
      <c r="AB1099" s="4" t="s">
        <v>241</v>
      </c>
      <c r="AD1099" s="5" t="s">
        <v>241</v>
      </c>
      <c r="AG1099" s="5" t="s">
        <v>246</v>
      </c>
      <c r="AH1099" s="4" t="s">
        <v>241</v>
      </c>
      <c r="AI1099" s="4" t="s">
        <v>247</v>
      </c>
      <c r="AJ1099" s="4" t="s">
        <v>248</v>
      </c>
      <c r="AZ1099" s="4" t="s">
        <v>249</v>
      </c>
      <c r="BA1099" s="4" t="s">
        <v>241</v>
      </c>
      <c r="BB1099" s="4" t="s">
        <v>250</v>
      </c>
      <c r="BC1099" s="4" t="s">
        <v>241</v>
      </c>
      <c r="BD1099" s="4" t="s">
        <v>252</v>
      </c>
      <c r="BE1099" s="4" t="s">
        <v>241</v>
      </c>
      <c r="BI1099" s="4" t="s">
        <v>253</v>
      </c>
      <c r="BJ1099" s="5" t="s">
        <v>246</v>
      </c>
      <c r="BK1099" s="4" t="s">
        <v>254</v>
      </c>
      <c r="BL1099" s="4" t="s">
        <v>255</v>
      </c>
      <c r="BM1099" s="4" t="s">
        <v>241</v>
      </c>
      <c r="BN1099" s="6">
        <f>0</f>
        <v>0</v>
      </c>
      <c r="BO1099" s="6">
        <f>0</f>
        <v>0</v>
      </c>
      <c r="BP1099" s="4" t="s">
        <v>256</v>
      </c>
      <c r="BQ1099" s="4" t="s">
        <v>257</v>
      </c>
      <c r="CE1099" s="4" t="s">
        <v>241</v>
      </c>
      <c r="CF1099" s="4" t="s">
        <v>241</v>
      </c>
      <c r="CJ1099" s="4" t="s">
        <v>276</v>
      </c>
      <c r="CK1099" s="4" t="s">
        <v>259</v>
      </c>
      <c r="CL1099" s="4" t="s">
        <v>241</v>
      </c>
      <c r="CO1099" s="5" t="s">
        <v>260</v>
      </c>
      <c r="CP1099" s="4" t="s">
        <v>241</v>
      </c>
      <c r="CQ1099" s="4" t="s">
        <v>261</v>
      </c>
      <c r="CR1099" s="4" t="s">
        <v>241</v>
      </c>
      <c r="CS1099" s="4" t="s">
        <v>241</v>
      </c>
      <c r="CT1099" s="4">
        <v>0</v>
      </c>
      <c r="CU1099" s="4" t="s">
        <v>262</v>
      </c>
      <c r="CV1099" s="4" t="s">
        <v>263</v>
      </c>
      <c r="CW1099" s="4" t="s">
        <v>263</v>
      </c>
      <c r="CX1099" s="4" t="s">
        <v>264</v>
      </c>
      <c r="DA1099" s="6">
        <f>1</f>
        <v>1</v>
      </c>
      <c r="DC1099" s="4" t="s">
        <v>277</v>
      </c>
      <c r="DD1099" s="4" t="s">
        <v>241</v>
      </c>
      <c r="DF1099" s="4" t="s">
        <v>277</v>
      </c>
      <c r="DG1099" s="6">
        <f>1721</f>
        <v>1721</v>
      </c>
      <c r="DI1099" s="4" t="s">
        <v>241</v>
      </c>
      <c r="DJ1099" s="4" t="s">
        <v>241</v>
      </c>
      <c r="DK1099" s="4" t="s">
        <v>241</v>
      </c>
      <c r="DL1099" s="4" t="s">
        <v>241</v>
      </c>
      <c r="DP1099" s="4" t="s">
        <v>241</v>
      </c>
      <c r="DQ1099" s="4" t="s">
        <v>241</v>
      </c>
      <c r="DR1099" s="4" t="s">
        <v>241</v>
      </c>
      <c r="DS1099" s="4" t="s">
        <v>241</v>
      </c>
      <c r="DV1099" s="4" t="s">
        <v>278</v>
      </c>
      <c r="DW1099" s="4" t="s">
        <v>298</v>
      </c>
      <c r="HO1099" s="4" t="s">
        <v>267</v>
      </c>
    </row>
    <row r="1100" spans="1:223" ht="19.5" customHeight="1" x14ac:dyDescent="0.4">
      <c r="A1100" s="4">
        <v>1</v>
      </c>
      <c r="B1100" s="4" t="s">
        <v>239</v>
      </c>
      <c r="C1100" s="4">
        <v>2774</v>
      </c>
      <c r="D1100" s="4">
        <v>1</v>
      </c>
      <c r="E1100" s="4">
        <v>1</v>
      </c>
      <c r="F1100" s="4" t="s">
        <v>268</v>
      </c>
      <c r="G1100" s="4" t="s">
        <v>241</v>
      </c>
      <c r="H1100" s="4" t="s">
        <v>241</v>
      </c>
      <c r="I1100" s="4" t="s">
        <v>272</v>
      </c>
      <c r="J1100" s="4" t="s">
        <v>274</v>
      </c>
      <c r="K1100" s="4" t="s">
        <v>251</v>
      </c>
      <c r="L1100" s="4" t="s">
        <v>269</v>
      </c>
      <c r="M1100" s="5" t="s">
        <v>301</v>
      </c>
      <c r="N1100" s="6">
        <f>1090</f>
        <v>1090</v>
      </c>
      <c r="O1100" s="4" t="s">
        <v>265</v>
      </c>
      <c r="P1100" s="6">
        <f>1</f>
        <v>1</v>
      </c>
      <c r="Q1100" s="6">
        <f>0</f>
        <v>0</v>
      </c>
      <c r="S1100" s="6">
        <f>0</f>
        <v>0</v>
      </c>
      <c r="T1100" s="6">
        <f>1</f>
        <v>1</v>
      </c>
      <c r="U1100" s="5" t="s">
        <v>245</v>
      </c>
      <c r="V1100" s="4" t="s">
        <v>270</v>
      </c>
      <c r="W1100" s="4" t="s">
        <v>271</v>
      </c>
      <c r="X1100" s="4" t="s">
        <v>273</v>
      </c>
      <c r="Y1100" s="4" t="s">
        <v>241</v>
      </c>
      <c r="AB1100" s="4" t="s">
        <v>241</v>
      </c>
      <c r="AD1100" s="5" t="s">
        <v>241</v>
      </c>
      <c r="AG1100" s="5" t="s">
        <v>246</v>
      </c>
      <c r="AH1100" s="4" t="s">
        <v>241</v>
      </c>
      <c r="AI1100" s="4" t="s">
        <v>247</v>
      </c>
      <c r="AJ1100" s="4" t="s">
        <v>248</v>
      </c>
      <c r="AZ1100" s="4" t="s">
        <v>249</v>
      </c>
      <c r="BA1100" s="4" t="s">
        <v>241</v>
      </c>
      <c r="BB1100" s="4" t="s">
        <v>250</v>
      </c>
      <c r="BC1100" s="4" t="s">
        <v>241</v>
      </c>
      <c r="BD1100" s="4" t="s">
        <v>252</v>
      </c>
      <c r="BE1100" s="4" t="s">
        <v>241</v>
      </c>
      <c r="BI1100" s="4" t="s">
        <v>253</v>
      </c>
      <c r="BJ1100" s="5" t="s">
        <v>246</v>
      </c>
      <c r="BK1100" s="4" t="s">
        <v>254</v>
      </c>
      <c r="BL1100" s="4" t="s">
        <v>255</v>
      </c>
      <c r="BM1100" s="4" t="s">
        <v>241</v>
      </c>
      <c r="BN1100" s="6">
        <f>0</f>
        <v>0</v>
      </c>
      <c r="BO1100" s="6">
        <f>0</f>
        <v>0</v>
      </c>
      <c r="BP1100" s="4" t="s">
        <v>256</v>
      </c>
      <c r="BQ1100" s="4" t="s">
        <v>257</v>
      </c>
      <c r="CE1100" s="4" t="s">
        <v>241</v>
      </c>
      <c r="CF1100" s="4" t="s">
        <v>241</v>
      </c>
      <c r="CJ1100" s="4" t="s">
        <v>276</v>
      </c>
      <c r="CK1100" s="4" t="s">
        <v>259</v>
      </c>
      <c r="CL1100" s="4" t="s">
        <v>241</v>
      </c>
      <c r="CO1100" s="5" t="s">
        <v>260</v>
      </c>
      <c r="CP1100" s="4" t="s">
        <v>241</v>
      </c>
      <c r="CQ1100" s="4" t="s">
        <v>261</v>
      </c>
      <c r="CR1100" s="4" t="s">
        <v>241</v>
      </c>
      <c r="CS1100" s="4" t="s">
        <v>241</v>
      </c>
      <c r="CT1100" s="4">
        <v>0</v>
      </c>
      <c r="CU1100" s="4" t="s">
        <v>262</v>
      </c>
      <c r="CV1100" s="4" t="s">
        <v>263</v>
      </c>
      <c r="CW1100" s="4" t="s">
        <v>263</v>
      </c>
      <c r="CX1100" s="4" t="s">
        <v>264</v>
      </c>
      <c r="DA1100" s="6">
        <f>1</f>
        <v>1</v>
      </c>
      <c r="DC1100" s="4" t="s">
        <v>277</v>
      </c>
      <c r="DD1100" s="4" t="s">
        <v>241</v>
      </c>
      <c r="DF1100" s="4" t="s">
        <v>277</v>
      </c>
      <c r="DG1100" s="6">
        <f>1090</f>
        <v>1090</v>
      </c>
      <c r="DI1100" s="4" t="s">
        <v>241</v>
      </c>
      <c r="DJ1100" s="4" t="s">
        <v>241</v>
      </c>
      <c r="DK1100" s="4" t="s">
        <v>241</v>
      </c>
      <c r="DL1100" s="4" t="s">
        <v>241</v>
      </c>
      <c r="DP1100" s="4" t="s">
        <v>241</v>
      </c>
      <c r="DQ1100" s="4" t="s">
        <v>241</v>
      </c>
      <c r="DR1100" s="4" t="s">
        <v>241</v>
      </c>
      <c r="DS1100" s="4" t="s">
        <v>241</v>
      </c>
      <c r="DV1100" s="4" t="s">
        <v>278</v>
      </c>
      <c r="DW1100" s="4" t="s">
        <v>302</v>
      </c>
      <c r="HO1100" s="4" t="s">
        <v>267</v>
      </c>
    </row>
    <row r="1101" spans="1:223" ht="19.5" customHeight="1" x14ac:dyDescent="0.4">
      <c r="A1101" s="4">
        <v>1</v>
      </c>
      <c r="B1101" s="4" t="s">
        <v>239</v>
      </c>
      <c r="C1101" s="4">
        <v>2775</v>
      </c>
      <c r="D1101" s="4">
        <v>1</v>
      </c>
      <c r="E1101" s="4">
        <v>1</v>
      </c>
      <c r="F1101" s="4" t="s">
        <v>268</v>
      </c>
      <c r="G1101" s="4" t="s">
        <v>241</v>
      </c>
      <c r="H1101" s="4" t="s">
        <v>241</v>
      </c>
      <c r="I1101" s="4" t="s">
        <v>272</v>
      </c>
      <c r="J1101" s="4" t="s">
        <v>274</v>
      </c>
      <c r="K1101" s="4" t="s">
        <v>251</v>
      </c>
      <c r="L1101" s="4" t="s">
        <v>269</v>
      </c>
      <c r="M1101" s="5" t="s">
        <v>308</v>
      </c>
      <c r="N1101" s="6">
        <f>1474</f>
        <v>1474</v>
      </c>
      <c r="O1101" s="4" t="s">
        <v>265</v>
      </c>
      <c r="P1101" s="6">
        <f>1</f>
        <v>1</v>
      </c>
      <c r="Q1101" s="6">
        <f>0</f>
        <v>0</v>
      </c>
      <c r="S1101" s="6">
        <f>0</f>
        <v>0</v>
      </c>
      <c r="T1101" s="6">
        <f>1</f>
        <v>1</v>
      </c>
      <c r="U1101" s="5" t="s">
        <v>245</v>
      </c>
      <c r="V1101" s="4" t="s">
        <v>270</v>
      </c>
      <c r="W1101" s="4" t="s">
        <v>271</v>
      </c>
      <c r="X1101" s="4" t="s">
        <v>273</v>
      </c>
      <c r="Y1101" s="4" t="s">
        <v>241</v>
      </c>
      <c r="AB1101" s="4" t="s">
        <v>241</v>
      </c>
      <c r="AD1101" s="5" t="s">
        <v>241</v>
      </c>
      <c r="AG1101" s="5" t="s">
        <v>246</v>
      </c>
      <c r="AH1101" s="4" t="s">
        <v>241</v>
      </c>
      <c r="AI1101" s="4" t="s">
        <v>247</v>
      </c>
      <c r="AJ1101" s="4" t="s">
        <v>248</v>
      </c>
      <c r="AZ1101" s="4" t="s">
        <v>249</v>
      </c>
      <c r="BA1101" s="4" t="s">
        <v>241</v>
      </c>
      <c r="BB1101" s="4" t="s">
        <v>250</v>
      </c>
      <c r="BC1101" s="4" t="s">
        <v>241</v>
      </c>
      <c r="BD1101" s="4" t="s">
        <v>252</v>
      </c>
      <c r="BE1101" s="4" t="s">
        <v>241</v>
      </c>
      <c r="BI1101" s="4" t="s">
        <v>253</v>
      </c>
      <c r="BJ1101" s="5" t="s">
        <v>246</v>
      </c>
      <c r="BK1101" s="4" t="s">
        <v>254</v>
      </c>
      <c r="BL1101" s="4" t="s">
        <v>255</v>
      </c>
      <c r="BM1101" s="4" t="s">
        <v>241</v>
      </c>
      <c r="BN1101" s="6">
        <f>0</f>
        <v>0</v>
      </c>
      <c r="BO1101" s="6">
        <f>0</f>
        <v>0</v>
      </c>
      <c r="BP1101" s="4" t="s">
        <v>256</v>
      </c>
      <c r="BQ1101" s="4" t="s">
        <v>257</v>
      </c>
      <c r="CE1101" s="4" t="s">
        <v>241</v>
      </c>
      <c r="CF1101" s="4" t="s">
        <v>241</v>
      </c>
      <c r="CJ1101" s="4" t="s">
        <v>276</v>
      </c>
      <c r="CK1101" s="4" t="s">
        <v>259</v>
      </c>
      <c r="CL1101" s="4" t="s">
        <v>241</v>
      </c>
      <c r="CO1101" s="5" t="s">
        <v>260</v>
      </c>
      <c r="CP1101" s="4" t="s">
        <v>241</v>
      </c>
      <c r="CQ1101" s="4" t="s">
        <v>261</v>
      </c>
      <c r="CR1101" s="4" t="s">
        <v>241</v>
      </c>
      <c r="CS1101" s="4" t="s">
        <v>241</v>
      </c>
      <c r="CT1101" s="4">
        <v>0</v>
      </c>
      <c r="CU1101" s="4" t="s">
        <v>262</v>
      </c>
      <c r="CV1101" s="4" t="s">
        <v>263</v>
      </c>
      <c r="CW1101" s="4" t="s">
        <v>263</v>
      </c>
      <c r="CX1101" s="4" t="s">
        <v>264</v>
      </c>
      <c r="DA1101" s="6">
        <f>1</f>
        <v>1</v>
      </c>
      <c r="DC1101" s="4" t="s">
        <v>277</v>
      </c>
      <c r="DD1101" s="4" t="s">
        <v>241</v>
      </c>
      <c r="DF1101" s="4" t="s">
        <v>277</v>
      </c>
      <c r="DG1101" s="6">
        <f>1474</f>
        <v>1474</v>
      </c>
      <c r="DI1101" s="4" t="s">
        <v>241</v>
      </c>
      <c r="DJ1101" s="4" t="s">
        <v>241</v>
      </c>
      <c r="DK1101" s="4" t="s">
        <v>241</v>
      </c>
      <c r="DL1101" s="4" t="s">
        <v>241</v>
      </c>
      <c r="DP1101" s="4" t="s">
        <v>241</v>
      </c>
      <c r="DQ1101" s="4" t="s">
        <v>241</v>
      </c>
      <c r="DR1101" s="4" t="s">
        <v>241</v>
      </c>
      <c r="DS1101" s="4" t="s">
        <v>241</v>
      </c>
      <c r="DV1101" s="4" t="s">
        <v>278</v>
      </c>
      <c r="DW1101" s="4" t="s">
        <v>309</v>
      </c>
      <c r="HO1101" s="4" t="s">
        <v>267</v>
      </c>
    </row>
    <row r="1102" spans="1:223" ht="19.5" customHeight="1" x14ac:dyDescent="0.4">
      <c r="A1102" s="4">
        <v>1</v>
      </c>
      <c r="B1102" s="4" t="s">
        <v>239</v>
      </c>
      <c r="C1102" s="4">
        <v>2776</v>
      </c>
      <c r="D1102" s="4">
        <v>1</v>
      </c>
      <c r="E1102" s="4">
        <v>1</v>
      </c>
      <c r="F1102" s="4" t="s">
        <v>268</v>
      </c>
      <c r="G1102" s="4" t="s">
        <v>241</v>
      </c>
      <c r="H1102" s="4" t="s">
        <v>241</v>
      </c>
      <c r="I1102" s="4" t="s">
        <v>272</v>
      </c>
      <c r="J1102" s="4" t="s">
        <v>274</v>
      </c>
      <c r="K1102" s="4" t="s">
        <v>251</v>
      </c>
      <c r="L1102" s="4" t="s">
        <v>269</v>
      </c>
      <c r="M1102" s="5" t="s">
        <v>314</v>
      </c>
      <c r="N1102" s="6">
        <f>3726</f>
        <v>3726</v>
      </c>
      <c r="O1102" s="4" t="s">
        <v>265</v>
      </c>
      <c r="P1102" s="6">
        <f>1</f>
        <v>1</v>
      </c>
      <c r="Q1102" s="6">
        <f>0</f>
        <v>0</v>
      </c>
      <c r="S1102" s="6">
        <f>0</f>
        <v>0</v>
      </c>
      <c r="T1102" s="6">
        <f>1</f>
        <v>1</v>
      </c>
      <c r="U1102" s="5" t="s">
        <v>245</v>
      </c>
      <c r="V1102" s="4" t="s">
        <v>270</v>
      </c>
      <c r="W1102" s="4" t="s">
        <v>271</v>
      </c>
      <c r="X1102" s="4" t="s">
        <v>273</v>
      </c>
      <c r="Y1102" s="4" t="s">
        <v>241</v>
      </c>
      <c r="AB1102" s="4" t="s">
        <v>241</v>
      </c>
      <c r="AD1102" s="5" t="s">
        <v>241</v>
      </c>
      <c r="AG1102" s="5" t="s">
        <v>246</v>
      </c>
      <c r="AH1102" s="4" t="s">
        <v>241</v>
      </c>
      <c r="AI1102" s="4" t="s">
        <v>247</v>
      </c>
      <c r="AJ1102" s="4" t="s">
        <v>248</v>
      </c>
      <c r="AZ1102" s="4" t="s">
        <v>249</v>
      </c>
      <c r="BA1102" s="4" t="s">
        <v>241</v>
      </c>
      <c r="BB1102" s="4" t="s">
        <v>250</v>
      </c>
      <c r="BC1102" s="4" t="s">
        <v>241</v>
      </c>
      <c r="BD1102" s="4" t="s">
        <v>252</v>
      </c>
      <c r="BE1102" s="4" t="s">
        <v>241</v>
      </c>
      <c r="BI1102" s="4" t="s">
        <v>253</v>
      </c>
      <c r="BJ1102" s="5" t="s">
        <v>246</v>
      </c>
      <c r="BK1102" s="4" t="s">
        <v>254</v>
      </c>
      <c r="BL1102" s="4" t="s">
        <v>255</v>
      </c>
      <c r="BM1102" s="4" t="s">
        <v>241</v>
      </c>
      <c r="BN1102" s="6">
        <f>0</f>
        <v>0</v>
      </c>
      <c r="BO1102" s="6">
        <f>0</f>
        <v>0</v>
      </c>
      <c r="BP1102" s="4" t="s">
        <v>256</v>
      </c>
      <c r="BQ1102" s="4" t="s">
        <v>257</v>
      </c>
      <c r="CE1102" s="4" t="s">
        <v>241</v>
      </c>
      <c r="CF1102" s="4" t="s">
        <v>241</v>
      </c>
      <c r="CJ1102" s="4" t="s">
        <v>276</v>
      </c>
      <c r="CK1102" s="4" t="s">
        <v>259</v>
      </c>
      <c r="CL1102" s="4" t="s">
        <v>241</v>
      </c>
      <c r="CO1102" s="5" t="s">
        <v>260</v>
      </c>
      <c r="CP1102" s="4" t="s">
        <v>241</v>
      </c>
      <c r="CQ1102" s="4" t="s">
        <v>261</v>
      </c>
      <c r="CR1102" s="4" t="s">
        <v>241</v>
      </c>
      <c r="CS1102" s="4" t="s">
        <v>241</v>
      </c>
      <c r="CT1102" s="4">
        <v>0</v>
      </c>
      <c r="CU1102" s="4" t="s">
        <v>262</v>
      </c>
      <c r="CV1102" s="4" t="s">
        <v>263</v>
      </c>
      <c r="CW1102" s="4" t="s">
        <v>263</v>
      </c>
      <c r="CX1102" s="4" t="s">
        <v>264</v>
      </c>
      <c r="DA1102" s="6">
        <f>1</f>
        <v>1</v>
      </c>
      <c r="DC1102" s="4" t="s">
        <v>277</v>
      </c>
      <c r="DD1102" s="4" t="s">
        <v>241</v>
      </c>
      <c r="DF1102" s="4" t="s">
        <v>277</v>
      </c>
      <c r="DG1102" s="6">
        <f>3726</f>
        <v>3726</v>
      </c>
      <c r="DI1102" s="4" t="s">
        <v>241</v>
      </c>
      <c r="DJ1102" s="4" t="s">
        <v>241</v>
      </c>
      <c r="DK1102" s="4" t="s">
        <v>241</v>
      </c>
      <c r="DL1102" s="4" t="s">
        <v>241</v>
      </c>
      <c r="DP1102" s="4" t="s">
        <v>241</v>
      </c>
      <c r="DQ1102" s="4" t="s">
        <v>241</v>
      </c>
      <c r="DR1102" s="4" t="s">
        <v>241</v>
      </c>
      <c r="DS1102" s="4" t="s">
        <v>241</v>
      </c>
      <c r="DV1102" s="4" t="s">
        <v>278</v>
      </c>
      <c r="DW1102" s="4" t="s">
        <v>315</v>
      </c>
      <c r="HO1102" s="4" t="s">
        <v>267</v>
      </c>
    </row>
    <row r="1103" spans="1:223" ht="19.5" customHeight="1" x14ac:dyDescent="0.4">
      <c r="A1103" s="4">
        <v>1</v>
      </c>
      <c r="B1103" s="4" t="s">
        <v>239</v>
      </c>
      <c r="C1103" s="4">
        <v>2777</v>
      </c>
      <c r="D1103" s="4">
        <v>1</v>
      </c>
      <c r="E1103" s="4">
        <v>1</v>
      </c>
      <c r="F1103" s="4" t="s">
        <v>268</v>
      </c>
      <c r="G1103" s="4" t="s">
        <v>241</v>
      </c>
      <c r="H1103" s="4" t="s">
        <v>241</v>
      </c>
      <c r="I1103" s="4" t="s">
        <v>272</v>
      </c>
      <c r="J1103" s="4" t="s">
        <v>274</v>
      </c>
      <c r="K1103" s="4" t="s">
        <v>251</v>
      </c>
      <c r="L1103" s="4" t="s">
        <v>269</v>
      </c>
      <c r="M1103" s="5" t="s">
        <v>321</v>
      </c>
      <c r="N1103" s="6">
        <f>5795</f>
        <v>5795</v>
      </c>
      <c r="O1103" s="4" t="s">
        <v>265</v>
      </c>
      <c r="P1103" s="6">
        <f>1</f>
        <v>1</v>
      </c>
      <c r="Q1103" s="6">
        <f>0</f>
        <v>0</v>
      </c>
      <c r="S1103" s="6">
        <f>0</f>
        <v>0</v>
      </c>
      <c r="T1103" s="6">
        <f>1</f>
        <v>1</v>
      </c>
      <c r="U1103" s="5" t="s">
        <v>245</v>
      </c>
      <c r="V1103" s="4" t="s">
        <v>270</v>
      </c>
      <c r="W1103" s="4" t="s">
        <v>271</v>
      </c>
      <c r="X1103" s="4" t="s">
        <v>273</v>
      </c>
      <c r="Y1103" s="4" t="s">
        <v>241</v>
      </c>
      <c r="AB1103" s="4" t="s">
        <v>241</v>
      </c>
      <c r="AD1103" s="5" t="s">
        <v>241</v>
      </c>
      <c r="AG1103" s="5" t="s">
        <v>246</v>
      </c>
      <c r="AH1103" s="4" t="s">
        <v>241</v>
      </c>
      <c r="AI1103" s="4" t="s">
        <v>247</v>
      </c>
      <c r="AJ1103" s="4" t="s">
        <v>248</v>
      </c>
      <c r="AZ1103" s="4" t="s">
        <v>249</v>
      </c>
      <c r="BA1103" s="4" t="s">
        <v>241</v>
      </c>
      <c r="BB1103" s="4" t="s">
        <v>250</v>
      </c>
      <c r="BC1103" s="4" t="s">
        <v>241</v>
      </c>
      <c r="BD1103" s="4" t="s">
        <v>252</v>
      </c>
      <c r="BE1103" s="4" t="s">
        <v>241</v>
      </c>
      <c r="BI1103" s="4" t="s">
        <v>253</v>
      </c>
      <c r="BJ1103" s="5" t="s">
        <v>246</v>
      </c>
      <c r="BK1103" s="4" t="s">
        <v>254</v>
      </c>
      <c r="BL1103" s="4" t="s">
        <v>255</v>
      </c>
      <c r="BM1103" s="4" t="s">
        <v>241</v>
      </c>
      <c r="BN1103" s="6">
        <f>0</f>
        <v>0</v>
      </c>
      <c r="BO1103" s="6">
        <f>0</f>
        <v>0</v>
      </c>
      <c r="BP1103" s="4" t="s">
        <v>256</v>
      </c>
      <c r="BQ1103" s="4" t="s">
        <v>257</v>
      </c>
      <c r="CE1103" s="4" t="s">
        <v>241</v>
      </c>
      <c r="CF1103" s="4" t="s">
        <v>241</v>
      </c>
      <c r="CJ1103" s="4" t="s">
        <v>276</v>
      </c>
      <c r="CK1103" s="4" t="s">
        <v>259</v>
      </c>
      <c r="CL1103" s="4" t="s">
        <v>241</v>
      </c>
      <c r="CO1103" s="5" t="s">
        <v>260</v>
      </c>
      <c r="CP1103" s="4" t="s">
        <v>241</v>
      </c>
      <c r="CQ1103" s="4" t="s">
        <v>261</v>
      </c>
      <c r="CR1103" s="4" t="s">
        <v>241</v>
      </c>
      <c r="CS1103" s="4" t="s">
        <v>241</v>
      </c>
      <c r="CT1103" s="4">
        <v>0</v>
      </c>
      <c r="CU1103" s="4" t="s">
        <v>262</v>
      </c>
      <c r="CV1103" s="4" t="s">
        <v>263</v>
      </c>
      <c r="CW1103" s="4" t="s">
        <v>263</v>
      </c>
      <c r="CX1103" s="4" t="s">
        <v>264</v>
      </c>
      <c r="DA1103" s="6">
        <f>1</f>
        <v>1</v>
      </c>
      <c r="DC1103" s="4" t="s">
        <v>277</v>
      </c>
      <c r="DD1103" s="4" t="s">
        <v>241</v>
      </c>
      <c r="DF1103" s="4" t="s">
        <v>277</v>
      </c>
      <c r="DG1103" s="6">
        <f>5795</f>
        <v>5795</v>
      </c>
      <c r="DI1103" s="4" t="s">
        <v>241</v>
      </c>
      <c r="DJ1103" s="4" t="s">
        <v>241</v>
      </c>
      <c r="DK1103" s="4" t="s">
        <v>241</v>
      </c>
      <c r="DL1103" s="4" t="s">
        <v>241</v>
      </c>
      <c r="DP1103" s="4" t="s">
        <v>241</v>
      </c>
      <c r="DQ1103" s="4" t="s">
        <v>241</v>
      </c>
      <c r="DR1103" s="4" t="s">
        <v>241</v>
      </c>
      <c r="DS1103" s="4" t="s">
        <v>241</v>
      </c>
      <c r="DV1103" s="4" t="s">
        <v>278</v>
      </c>
      <c r="DW1103" s="4" t="s">
        <v>322</v>
      </c>
      <c r="HO1103" s="4" t="s">
        <v>267</v>
      </c>
    </row>
    <row r="1104" spans="1:223" ht="19.5" customHeight="1" x14ac:dyDescent="0.4">
      <c r="A1104" s="4">
        <v>1</v>
      </c>
      <c r="B1104" s="4" t="s">
        <v>239</v>
      </c>
      <c r="C1104" s="4">
        <v>2778</v>
      </c>
      <c r="D1104" s="4">
        <v>1</v>
      </c>
      <c r="E1104" s="4">
        <v>1</v>
      </c>
      <c r="F1104" s="4" t="s">
        <v>268</v>
      </c>
      <c r="G1104" s="4" t="s">
        <v>241</v>
      </c>
      <c r="H1104" s="4" t="s">
        <v>241</v>
      </c>
      <c r="I1104" s="4" t="s">
        <v>272</v>
      </c>
      <c r="J1104" s="4" t="s">
        <v>274</v>
      </c>
      <c r="K1104" s="4" t="s">
        <v>251</v>
      </c>
      <c r="L1104" s="4" t="s">
        <v>269</v>
      </c>
      <c r="M1104" s="5" t="s">
        <v>328</v>
      </c>
      <c r="N1104" s="6">
        <f>2202</f>
        <v>2202</v>
      </c>
      <c r="O1104" s="4" t="s">
        <v>265</v>
      </c>
      <c r="P1104" s="6">
        <f>1</f>
        <v>1</v>
      </c>
      <c r="Q1104" s="6">
        <f>0</f>
        <v>0</v>
      </c>
      <c r="S1104" s="6">
        <f>0</f>
        <v>0</v>
      </c>
      <c r="T1104" s="6">
        <f>1</f>
        <v>1</v>
      </c>
      <c r="U1104" s="5" t="s">
        <v>245</v>
      </c>
      <c r="V1104" s="4" t="s">
        <v>270</v>
      </c>
      <c r="W1104" s="4" t="s">
        <v>271</v>
      </c>
      <c r="X1104" s="4" t="s">
        <v>273</v>
      </c>
      <c r="Y1104" s="4" t="s">
        <v>241</v>
      </c>
      <c r="AB1104" s="4" t="s">
        <v>241</v>
      </c>
      <c r="AD1104" s="5" t="s">
        <v>241</v>
      </c>
      <c r="AG1104" s="5" t="s">
        <v>246</v>
      </c>
      <c r="AH1104" s="4" t="s">
        <v>241</v>
      </c>
      <c r="AI1104" s="4" t="s">
        <v>247</v>
      </c>
      <c r="AJ1104" s="4" t="s">
        <v>248</v>
      </c>
      <c r="AZ1104" s="4" t="s">
        <v>249</v>
      </c>
      <c r="BA1104" s="4" t="s">
        <v>241</v>
      </c>
      <c r="BB1104" s="4" t="s">
        <v>250</v>
      </c>
      <c r="BC1104" s="4" t="s">
        <v>241</v>
      </c>
      <c r="BD1104" s="4" t="s">
        <v>252</v>
      </c>
      <c r="BE1104" s="4" t="s">
        <v>241</v>
      </c>
      <c r="BI1104" s="4" t="s">
        <v>253</v>
      </c>
      <c r="BJ1104" s="5" t="s">
        <v>246</v>
      </c>
      <c r="BK1104" s="4" t="s">
        <v>254</v>
      </c>
      <c r="BL1104" s="4" t="s">
        <v>255</v>
      </c>
      <c r="BM1104" s="4" t="s">
        <v>241</v>
      </c>
      <c r="BN1104" s="6">
        <f>0</f>
        <v>0</v>
      </c>
      <c r="BO1104" s="6">
        <f>0</f>
        <v>0</v>
      </c>
      <c r="BP1104" s="4" t="s">
        <v>256</v>
      </c>
      <c r="BQ1104" s="4" t="s">
        <v>257</v>
      </c>
      <c r="CE1104" s="4" t="s">
        <v>241</v>
      </c>
      <c r="CF1104" s="4" t="s">
        <v>241</v>
      </c>
      <c r="CJ1104" s="4" t="s">
        <v>276</v>
      </c>
      <c r="CK1104" s="4" t="s">
        <v>259</v>
      </c>
      <c r="CL1104" s="4" t="s">
        <v>241</v>
      </c>
      <c r="CO1104" s="5" t="s">
        <v>260</v>
      </c>
      <c r="CP1104" s="4" t="s">
        <v>241</v>
      </c>
      <c r="CQ1104" s="4" t="s">
        <v>261</v>
      </c>
      <c r="CR1104" s="4" t="s">
        <v>241</v>
      </c>
      <c r="CS1104" s="4" t="s">
        <v>241</v>
      </c>
      <c r="CT1104" s="4">
        <v>0</v>
      </c>
      <c r="CU1104" s="4" t="s">
        <v>262</v>
      </c>
      <c r="CV1104" s="4" t="s">
        <v>263</v>
      </c>
      <c r="CW1104" s="4" t="s">
        <v>263</v>
      </c>
      <c r="CX1104" s="4" t="s">
        <v>264</v>
      </c>
      <c r="DA1104" s="6">
        <f>1</f>
        <v>1</v>
      </c>
      <c r="DC1104" s="4" t="s">
        <v>277</v>
      </c>
      <c r="DD1104" s="4" t="s">
        <v>241</v>
      </c>
      <c r="DF1104" s="4" t="s">
        <v>277</v>
      </c>
      <c r="DG1104" s="6">
        <f>2202</f>
        <v>2202</v>
      </c>
      <c r="DI1104" s="4" t="s">
        <v>241</v>
      </c>
      <c r="DJ1104" s="4" t="s">
        <v>241</v>
      </c>
      <c r="DK1104" s="4" t="s">
        <v>241</v>
      </c>
      <c r="DL1104" s="4" t="s">
        <v>241</v>
      </c>
      <c r="DP1104" s="4" t="s">
        <v>241</v>
      </c>
      <c r="DQ1104" s="4" t="s">
        <v>241</v>
      </c>
      <c r="DR1104" s="4" t="s">
        <v>241</v>
      </c>
      <c r="DS1104" s="4" t="s">
        <v>241</v>
      </c>
      <c r="DV1104" s="4" t="s">
        <v>278</v>
      </c>
      <c r="DW1104" s="4" t="s">
        <v>329</v>
      </c>
      <c r="HO1104" s="4" t="s">
        <v>267</v>
      </c>
    </row>
    <row r="1105" spans="1:223" ht="19.5" customHeight="1" x14ac:dyDescent="0.4">
      <c r="A1105" s="4">
        <v>1</v>
      </c>
      <c r="B1105" s="4" t="s">
        <v>239</v>
      </c>
      <c r="C1105" s="4">
        <v>2779</v>
      </c>
      <c r="D1105" s="4">
        <v>1</v>
      </c>
      <c r="E1105" s="4">
        <v>1</v>
      </c>
      <c r="F1105" s="4" t="s">
        <v>268</v>
      </c>
      <c r="G1105" s="4" t="s">
        <v>241</v>
      </c>
      <c r="H1105" s="4" t="s">
        <v>241</v>
      </c>
      <c r="I1105" s="4" t="s">
        <v>272</v>
      </c>
      <c r="J1105" s="4" t="s">
        <v>274</v>
      </c>
      <c r="K1105" s="4" t="s">
        <v>251</v>
      </c>
      <c r="L1105" s="4" t="s">
        <v>269</v>
      </c>
      <c r="M1105" s="5" t="s">
        <v>334</v>
      </c>
      <c r="N1105" s="6">
        <f>1915</f>
        <v>1915</v>
      </c>
      <c r="O1105" s="4" t="s">
        <v>265</v>
      </c>
      <c r="P1105" s="6">
        <f>1</f>
        <v>1</v>
      </c>
      <c r="Q1105" s="6">
        <f>0</f>
        <v>0</v>
      </c>
      <c r="S1105" s="6">
        <f>0</f>
        <v>0</v>
      </c>
      <c r="T1105" s="6">
        <f>1</f>
        <v>1</v>
      </c>
      <c r="U1105" s="5" t="s">
        <v>245</v>
      </c>
      <c r="V1105" s="4" t="s">
        <v>270</v>
      </c>
      <c r="W1105" s="4" t="s">
        <v>271</v>
      </c>
      <c r="X1105" s="4" t="s">
        <v>273</v>
      </c>
      <c r="Y1105" s="4" t="s">
        <v>241</v>
      </c>
      <c r="AB1105" s="4" t="s">
        <v>241</v>
      </c>
      <c r="AD1105" s="5" t="s">
        <v>241</v>
      </c>
      <c r="AG1105" s="5" t="s">
        <v>246</v>
      </c>
      <c r="AH1105" s="4" t="s">
        <v>241</v>
      </c>
      <c r="AI1105" s="4" t="s">
        <v>247</v>
      </c>
      <c r="AJ1105" s="4" t="s">
        <v>248</v>
      </c>
      <c r="AZ1105" s="4" t="s">
        <v>249</v>
      </c>
      <c r="BA1105" s="4" t="s">
        <v>241</v>
      </c>
      <c r="BB1105" s="4" t="s">
        <v>250</v>
      </c>
      <c r="BC1105" s="4" t="s">
        <v>241</v>
      </c>
      <c r="BD1105" s="4" t="s">
        <v>252</v>
      </c>
      <c r="BE1105" s="4" t="s">
        <v>241</v>
      </c>
      <c r="BI1105" s="4" t="s">
        <v>253</v>
      </c>
      <c r="BJ1105" s="5" t="s">
        <v>246</v>
      </c>
      <c r="BK1105" s="4" t="s">
        <v>254</v>
      </c>
      <c r="BL1105" s="4" t="s">
        <v>255</v>
      </c>
      <c r="BM1105" s="4" t="s">
        <v>241</v>
      </c>
      <c r="BN1105" s="6">
        <f>0</f>
        <v>0</v>
      </c>
      <c r="BO1105" s="6">
        <f>0</f>
        <v>0</v>
      </c>
      <c r="BP1105" s="4" t="s">
        <v>256</v>
      </c>
      <c r="BQ1105" s="4" t="s">
        <v>257</v>
      </c>
      <c r="CE1105" s="4" t="s">
        <v>241</v>
      </c>
      <c r="CF1105" s="4" t="s">
        <v>241</v>
      </c>
      <c r="CJ1105" s="4" t="s">
        <v>276</v>
      </c>
      <c r="CK1105" s="4" t="s">
        <v>259</v>
      </c>
      <c r="CL1105" s="4" t="s">
        <v>241</v>
      </c>
      <c r="CO1105" s="5" t="s">
        <v>260</v>
      </c>
      <c r="CP1105" s="4" t="s">
        <v>241</v>
      </c>
      <c r="CQ1105" s="4" t="s">
        <v>261</v>
      </c>
      <c r="CR1105" s="4" t="s">
        <v>241</v>
      </c>
      <c r="CS1105" s="4" t="s">
        <v>241</v>
      </c>
      <c r="CT1105" s="4">
        <v>0</v>
      </c>
      <c r="CU1105" s="4" t="s">
        <v>262</v>
      </c>
      <c r="CV1105" s="4" t="s">
        <v>263</v>
      </c>
      <c r="CW1105" s="4" t="s">
        <v>263</v>
      </c>
      <c r="CX1105" s="4" t="s">
        <v>264</v>
      </c>
      <c r="DA1105" s="6">
        <f>1</f>
        <v>1</v>
      </c>
      <c r="DC1105" s="4" t="s">
        <v>277</v>
      </c>
      <c r="DD1105" s="4" t="s">
        <v>241</v>
      </c>
      <c r="DF1105" s="4" t="s">
        <v>277</v>
      </c>
      <c r="DG1105" s="6">
        <f>1915</f>
        <v>1915</v>
      </c>
      <c r="DI1105" s="4" t="s">
        <v>241</v>
      </c>
      <c r="DJ1105" s="4" t="s">
        <v>241</v>
      </c>
      <c r="DK1105" s="4" t="s">
        <v>241</v>
      </c>
      <c r="DL1105" s="4" t="s">
        <v>241</v>
      </c>
      <c r="DP1105" s="4" t="s">
        <v>241</v>
      </c>
      <c r="DQ1105" s="4" t="s">
        <v>241</v>
      </c>
      <c r="DR1105" s="4" t="s">
        <v>241</v>
      </c>
      <c r="DS1105" s="4" t="s">
        <v>241</v>
      </c>
      <c r="DV1105" s="4" t="s">
        <v>278</v>
      </c>
      <c r="DW1105" s="4" t="s">
        <v>335</v>
      </c>
      <c r="HO1105" s="4" t="s">
        <v>267</v>
      </c>
    </row>
    <row r="1106" spans="1:223" ht="19.5" customHeight="1" x14ac:dyDescent="0.4">
      <c r="A1106" s="4">
        <v>1</v>
      </c>
      <c r="B1106" s="4" t="s">
        <v>239</v>
      </c>
      <c r="C1106" s="4">
        <v>2780</v>
      </c>
      <c r="D1106" s="4">
        <v>1</v>
      </c>
      <c r="E1106" s="4">
        <v>1</v>
      </c>
      <c r="F1106" s="4" t="s">
        <v>268</v>
      </c>
      <c r="G1106" s="4" t="s">
        <v>241</v>
      </c>
      <c r="H1106" s="4" t="s">
        <v>241</v>
      </c>
      <c r="I1106" s="4" t="s">
        <v>272</v>
      </c>
      <c r="J1106" s="4" t="s">
        <v>274</v>
      </c>
      <c r="K1106" s="4" t="s">
        <v>251</v>
      </c>
      <c r="L1106" s="4" t="s">
        <v>269</v>
      </c>
      <c r="M1106" s="5" t="s">
        <v>341</v>
      </c>
      <c r="N1106" s="6">
        <f>8092</f>
        <v>8092</v>
      </c>
      <c r="O1106" s="4" t="s">
        <v>265</v>
      </c>
      <c r="P1106" s="6">
        <f>1</f>
        <v>1</v>
      </c>
      <c r="Q1106" s="6">
        <f>0</f>
        <v>0</v>
      </c>
      <c r="S1106" s="6">
        <f>0</f>
        <v>0</v>
      </c>
      <c r="T1106" s="6">
        <f>1</f>
        <v>1</v>
      </c>
      <c r="U1106" s="5" t="s">
        <v>245</v>
      </c>
      <c r="V1106" s="4" t="s">
        <v>270</v>
      </c>
      <c r="W1106" s="4" t="s">
        <v>271</v>
      </c>
      <c r="X1106" s="4" t="s">
        <v>273</v>
      </c>
      <c r="Y1106" s="4" t="s">
        <v>241</v>
      </c>
      <c r="AB1106" s="4" t="s">
        <v>241</v>
      </c>
      <c r="AD1106" s="5" t="s">
        <v>241</v>
      </c>
      <c r="AG1106" s="5" t="s">
        <v>246</v>
      </c>
      <c r="AH1106" s="4" t="s">
        <v>241</v>
      </c>
      <c r="AI1106" s="4" t="s">
        <v>247</v>
      </c>
      <c r="AJ1106" s="4" t="s">
        <v>248</v>
      </c>
      <c r="AZ1106" s="4" t="s">
        <v>249</v>
      </c>
      <c r="BA1106" s="4" t="s">
        <v>241</v>
      </c>
      <c r="BB1106" s="4" t="s">
        <v>250</v>
      </c>
      <c r="BC1106" s="4" t="s">
        <v>241</v>
      </c>
      <c r="BD1106" s="4" t="s">
        <v>252</v>
      </c>
      <c r="BE1106" s="4" t="s">
        <v>241</v>
      </c>
      <c r="BI1106" s="4" t="s">
        <v>253</v>
      </c>
      <c r="BJ1106" s="5" t="s">
        <v>246</v>
      </c>
      <c r="BK1106" s="4" t="s">
        <v>254</v>
      </c>
      <c r="BL1106" s="4" t="s">
        <v>255</v>
      </c>
      <c r="BM1106" s="4" t="s">
        <v>241</v>
      </c>
      <c r="BN1106" s="6">
        <f>0</f>
        <v>0</v>
      </c>
      <c r="BO1106" s="6">
        <f>0</f>
        <v>0</v>
      </c>
      <c r="BP1106" s="4" t="s">
        <v>256</v>
      </c>
      <c r="BQ1106" s="4" t="s">
        <v>257</v>
      </c>
      <c r="CE1106" s="4" t="s">
        <v>241</v>
      </c>
      <c r="CF1106" s="4" t="s">
        <v>241</v>
      </c>
      <c r="CJ1106" s="4" t="s">
        <v>276</v>
      </c>
      <c r="CK1106" s="4" t="s">
        <v>259</v>
      </c>
      <c r="CL1106" s="4" t="s">
        <v>241</v>
      </c>
      <c r="CO1106" s="5" t="s">
        <v>260</v>
      </c>
      <c r="CP1106" s="4" t="s">
        <v>241</v>
      </c>
      <c r="CQ1106" s="4" t="s">
        <v>261</v>
      </c>
      <c r="CR1106" s="4" t="s">
        <v>241</v>
      </c>
      <c r="CS1106" s="4" t="s">
        <v>241</v>
      </c>
      <c r="CT1106" s="4">
        <v>0</v>
      </c>
      <c r="CU1106" s="4" t="s">
        <v>262</v>
      </c>
      <c r="CV1106" s="4" t="s">
        <v>263</v>
      </c>
      <c r="CW1106" s="4" t="s">
        <v>263</v>
      </c>
      <c r="CX1106" s="4" t="s">
        <v>264</v>
      </c>
      <c r="DA1106" s="6">
        <f>1</f>
        <v>1</v>
      </c>
      <c r="DC1106" s="4" t="s">
        <v>277</v>
      </c>
      <c r="DD1106" s="4" t="s">
        <v>241</v>
      </c>
      <c r="DF1106" s="4" t="s">
        <v>277</v>
      </c>
      <c r="DG1106" s="6">
        <f>8092</f>
        <v>8092</v>
      </c>
      <c r="DI1106" s="4" t="s">
        <v>241</v>
      </c>
      <c r="DJ1106" s="4" t="s">
        <v>241</v>
      </c>
      <c r="DK1106" s="4" t="s">
        <v>241</v>
      </c>
      <c r="DL1106" s="4" t="s">
        <v>241</v>
      </c>
      <c r="DP1106" s="4" t="s">
        <v>241</v>
      </c>
      <c r="DQ1106" s="4" t="s">
        <v>241</v>
      </c>
      <c r="DR1106" s="4" t="s">
        <v>241</v>
      </c>
      <c r="DS1106" s="4" t="s">
        <v>241</v>
      </c>
      <c r="DV1106" s="4" t="s">
        <v>278</v>
      </c>
      <c r="DW1106" s="4" t="s">
        <v>342</v>
      </c>
      <c r="HO1106" s="4" t="s">
        <v>267</v>
      </c>
    </row>
    <row r="1107" spans="1:223" ht="19.5" customHeight="1" x14ac:dyDescent="0.4">
      <c r="A1107" s="4">
        <v>1</v>
      </c>
      <c r="B1107" s="4" t="s">
        <v>239</v>
      </c>
      <c r="C1107" s="4">
        <v>2781</v>
      </c>
      <c r="D1107" s="4">
        <v>1</v>
      </c>
      <c r="E1107" s="4">
        <v>1</v>
      </c>
      <c r="F1107" s="4" t="s">
        <v>268</v>
      </c>
      <c r="G1107" s="4" t="s">
        <v>241</v>
      </c>
      <c r="H1107" s="4" t="s">
        <v>241</v>
      </c>
      <c r="I1107" s="4" t="s">
        <v>272</v>
      </c>
      <c r="J1107" s="4" t="s">
        <v>274</v>
      </c>
      <c r="K1107" s="4" t="s">
        <v>251</v>
      </c>
      <c r="L1107" s="4" t="s">
        <v>269</v>
      </c>
      <c r="M1107" s="5" t="s">
        <v>346</v>
      </c>
      <c r="N1107" s="6">
        <f>3579</f>
        <v>3579</v>
      </c>
      <c r="O1107" s="4" t="s">
        <v>265</v>
      </c>
      <c r="P1107" s="6">
        <f>1</f>
        <v>1</v>
      </c>
      <c r="Q1107" s="6">
        <f>0</f>
        <v>0</v>
      </c>
      <c r="S1107" s="6">
        <f>0</f>
        <v>0</v>
      </c>
      <c r="T1107" s="6">
        <f>1</f>
        <v>1</v>
      </c>
      <c r="U1107" s="5" t="s">
        <v>245</v>
      </c>
      <c r="V1107" s="4" t="s">
        <v>270</v>
      </c>
      <c r="W1107" s="4" t="s">
        <v>271</v>
      </c>
      <c r="X1107" s="4" t="s">
        <v>273</v>
      </c>
      <c r="Y1107" s="4" t="s">
        <v>241</v>
      </c>
      <c r="AB1107" s="4" t="s">
        <v>241</v>
      </c>
      <c r="AD1107" s="5" t="s">
        <v>241</v>
      </c>
      <c r="AG1107" s="5" t="s">
        <v>246</v>
      </c>
      <c r="AH1107" s="4" t="s">
        <v>241</v>
      </c>
      <c r="AI1107" s="4" t="s">
        <v>247</v>
      </c>
      <c r="AJ1107" s="4" t="s">
        <v>248</v>
      </c>
      <c r="AZ1107" s="4" t="s">
        <v>249</v>
      </c>
      <c r="BA1107" s="4" t="s">
        <v>241</v>
      </c>
      <c r="BB1107" s="4" t="s">
        <v>250</v>
      </c>
      <c r="BC1107" s="4" t="s">
        <v>241</v>
      </c>
      <c r="BD1107" s="4" t="s">
        <v>252</v>
      </c>
      <c r="BE1107" s="4" t="s">
        <v>241</v>
      </c>
      <c r="BI1107" s="4" t="s">
        <v>253</v>
      </c>
      <c r="BJ1107" s="5" t="s">
        <v>246</v>
      </c>
      <c r="BK1107" s="4" t="s">
        <v>254</v>
      </c>
      <c r="BL1107" s="4" t="s">
        <v>255</v>
      </c>
      <c r="BM1107" s="4" t="s">
        <v>241</v>
      </c>
      <c r="BN1107" s="6">
        <f>0</f>
        <v>0</v>
      </c>
      <c r="BO1107" s="6">
        <f>0</f>
        <v>0</v>
      </c>
      <c r="BP1107" s="4" t="s">
        <v>256</v>
      </c>
      <c r="BQ1107" s="4" t="s">
        <v>257</v>
      </c>
      <c r="CE1107" s="4" t="s">
        <v>241</v>
      </c>
      <c r="CF1107" s="4" t="s">
        <v>241</v>
      </c>
      <c r="CJ1107" s="4" t="s">
        <v>276</v>
      </c>
      <c r="CK1107" s="4" t="s">
        <v>259</v>
      </c>
      <c r="CL1107" s="4" t="s">
        <v>241</v>
      </c>
      <c r="CO1107" s="5" t="s">
        <v>260</v>
      </c>
      <c r="CP1107" s="4" t="s">
        <v>241</v>
      </c>
      <c r="CQ1107" s="4" t="s">
        <v>261</v>
      </c>
      <c r="CR1107" s="4" t="s">
        <v>241</v>
      </c>
      <c r="CS1107" s="4" t="s">
        <v>241</v>
      </c>
      <c r="CT1107" s="4">
        <v>0</v>
      </c>
      <c r="CU1107" s="4" t="s">
        <v>262</v>
      </c>
      <c r="CV1107" s="4" t="s">
        <v>263</v>
      </c>
      <c r="CW1107" s="4" t="s">
        <v>263</v>
      </c>
      <c r="CX1107" s="4" t="s">
        <v>264</v>
      </c>
      <c r="DA1107" s="6">
        <f>1</f>
        <v>1</v>
      </c>
      <c r="DC1107" s="4" t="s">
        <v>277</v>
      </c>
      <c r="DD1107" s="4" t="s">
        <v>241</v>
      </c>
      <c r="DF1107" s="4" t="s">
        <v>277</v>
      </c>
      <c r="DG1107" s="6">
        <f>3579</f>
        <v>3579</v>
      </c>
      <c r="DI1107" s="4" t="s">
        <v>241</v>
      </c>
      <c r="DJ1107" s="4" t="s">
        <v>241</v>
      </c>
      <c r="DK1107" s="4" t="s">
        <v>241</v>
      </c>
      <c r="DL1107" s="4" t="s">
        <v>241</v>
      </c>
      <c r="DP1107" s="4" t="s">
        <v>241</v>
      </c>
      <c r="DQ1107" s="4" t="s">
        <v>241</v>
      </c>
      <c r="DR1107" s="4" t="s">
        <v>241</v>
      </c>
      <c r="DS1107" s="4" t="s">
        <v>241</v>
      </c>
      <c r="DV1107" s="4" t="s">
        <v>278</v>
      </c>
      <c r="DW1107" s="4" t="s">
        <v>347</v>
      </c>
      <c r="HO1107" s="4" t="s">
        <v>267</v>
      </c>
    </row>
    <row r="1108" spans="1:223" ht="19.5" customHeight="1" x14ac:dyDescent="0.4">
      <c r="A1108" s="4">
        <v>1</v>
      </c>
      <c r="B1108" s="4" t="s">
        <v>239</v>
      </c>
      <c r="C1108" s="4">
        <v>2782</v>
      </c>
      <c r="D1108" s="4">
        <v>1</v>
      </c>
      <c r="E1108" s="4">
        <v>1</v>
      </c>
      <c r="F1108" s="4" t="s">
        <v>268</v>
      </c>
      <c r="G1108" s="4" t="s">
        <v>241</v>
      </c>
      <c r="H1108" s="4" t="s">
        <v>241</v>
      </c>
      <c r="I1108" s="4" t="s">
        <v>272</v>
      </c>
      <c r="J1108" s="4" t="s">
        <v>274</v>
      </c>
      <c r="K1108" s="4" t="s">
        <v>251</v>
      </c>
      <c r="L1108" s="4" t="s">
        <v>269</v>
      </c>
      <c r="M1108" s="5" t="s">
        <v>350</v>
      </c>
      <c r="N1108" s="6">
        <f>1717</f>
        <v>1717</v>
      </c>
      <c r="O1108" s="4" t="s">
        <v>265</v>
      </c>
      <c r="P1108" s="6">
        <f>1</f>
        <v>1</v>
      </c>
      <c r="Q1108" s="6">
        <f>0</f>
        <v>0</v>
      </c>
      <c r="S1108" s="6">
        <f>0</f>
        <v>0</v>
      </c>
      <c r="T1108" s="6">
        <f>1</f>
        <v>1</v>
      </c>
      <c r="U1108" s="5" t="s">
        <v>245</v>
      </c>
      <c r="V1108" s="4" t="s">
        <v>270</v>
      </c>
      <c r="W1108" s="4" t="s">
        <v>271</v>
      </c>
      <c r="X1108" s="4" t="s">
        <v>273</v>
      </c>
      <c r="Y1108" s="4" t="s">
        <v>241</v>
      </c>
      <c r="AB1108" s="4" t="s">
        <v>241</v>
      </c>
      <c r="AD1108" s="5" t="s">
        <v>241</v>
      </c>
      <c r="AG1108" s="5" t="s">
        <v>246</v>
      </c>
      <c r="AH1108" s="4" t="s">
        <v>241</v>
      </c>
      <c r="AI1108" s="4" t="s">
        <v>247</v>
      </c>
      <c r="AJ1108" s="4" t="s">
        <v>248</v>
      </c>
      <c r="AZ1108" s="4" t="s">
        <v>249</v>
      </c>
      <c r="BA1108" s="4" t="s">
        <v>241</v>
      </c>
      <c r="BB1108" s="4" t="s">
        <v>250</v>
      </c>
      <c r="BC1108" s="4" t="s">
        <v>241</v>
      </c>
      <c r="BD1108" s="4" t="s">
        <v>252</v>
      </c>
      <c r="BE1108" s="4" t="s">
        <v>241</v>
      </c>
      <c r="BI1108" s="4" t="s">
        <v>253</v>
      </c>
      <c r="BJ1108" s="5" t="s">
        <v>246</v>
      </c>
      <c r="BK1108" s="4" t="s">
        <v>254</v>
      </c>
      <c r="BL1108" s="4" t="s">
        <v>255</v>
      </c>
      <c r="BM1108" s="4" t="s">
        <v>241</v>
      </c>
      <c r="BN1108" s="6">
        <f>0</f>
        <v>0</v>
      </c>
      <c r="BO1108" s="6">
        <f>0</f>
        <v>0</v>
      </c>
      <c r="BP1108" s="4" t="s">
        <v>256</v>
      </c>
      <c r="BQ1108" s="4" t="s">
        <v>257</v>
      </c>
      <c r="CE1108" s="4" t="s">
        <v>241</v>
      </c>
      <c r="CF1108" s="4" t="s">
        <v>241</v>
      </c>
      <c r="CJ1108" s="4" t="s">
        <v>276</v>
      </c>
      <c r="CK1108" s="4" t="s">
        <v>259</v>
      </c>
      <c r="CL1108" s="4" t="s">
        <v>241</v>
      </c>
      <c r="CO1108" s="5" t="s">
        <v>260</v>
      </c>
      <c r="CP1108" s="4" t="s">
        <v>241</v>
      </c>
      <c r="CQ1108" s="4" t="s">
        <v>261</v>
      </c>
      <c r="CR1108" s="4" t="s">
        <v>241</v>
      </c>
      <c r="CS1108" s="4" t="s">
        <v>241</v>
      </c>
      <c r="CT1108" s="4">
        <v>0</v>
      </c>
      <c r="CU1108" s="4" t="s">
        <v>262</v>
      </c>
      <c r="CV1108" s="4" t="s">
        <v>263</v>
      </c>
      <c r="CW1108" s="4" t="s">
        <v>263</v>
      </c>
      <c r="CX1108" s="4" t="s">
        <v>264</v>
      </c>
      <c r="DA1108" s="6">
        <f>1</f>
        <v>1</v>
      </c>
      <c r="DC1108" s="4" t="s">
        <v>277</v>
      </c>
      <c r="DD1108" s="4" t="s">
        <v>241</v>
      </c>
      <c r="DF1108" s="4" t="s">
        <v>277</v>
      </c>
      <c r="DG1108" s="6">
        <f>1717</f>
        <v>1717</v>
      </c>
      <c r="DI1108" s="4" t="s">
        <v>241</v>
      </c>
      <c r="DJ1108" s="4" t="s">
        <v>241</v>
      </c>
      <c r="DK1108" s="4" t="s">
        <v>241</v>
      </c>
      <c r="DL1108" s="4" t="s">
        <v>241</v>
      </c>
      <c r="DP1108" s="4" t="s">
        <v>241</v>
      </c>
      <c r="DQ1108" s="4" t="s">
        <v>241</v>
      </c>
      <c r="DR1108" s="4" t="s">
        <v>241</v>
      </c>
      <c r="DS1108" s="4" t="s">
        <v>241</v>
      </c>
      <c r="DV1108" s="4" t="s">
        <v>278</v>
      </c>
      <c r="DW1108" s="4" t="s">
        <v>351</v>
      </c>
      <c r="HO1108" s="4" t="s">
        <v>267</v>
      </c>
    </row>
    <row r="1109" spans="1:223" ht="19.5" customHeight="1" x14ac:dyDescent="0.4">
      <c r="A1109" s="4">
        <v>1</v>
      </c>
      <c r="B1109" s="4" t="s">
        <v>239</v>
      </c>
      <c r="C1109" s="4">
        <v>2783</v>
      </c>
      <c r="D1109" s="4">
        <v>1</v>
      </c>
      <c r="E1109" s="4">
        <v>1</v>
      </c>
      <c r="F1109" s="4" t="s">
        <v>268</v>
      </c>
      <c r="G1109" s="4" t="s">
        <v>241</v>
      </c>
      <c r="H1109" s="4" t="s">
        <v>241</v>
      </c>
      <c r="I1109" s="4" t="s">
        <v>272</v>
      </c>
      <c r="J1109" s="4" t="s">
        <v>274</v>
      </c>
      <c r="K1109" s="4" t="s">
        <v>251</v>
      </c>
      <c r="L1109" s="4" t="s">
        <v>269</v>
      </c>
      <c r="M1109" s="5" t="s">
        <v>355</v>
      </c>
      <c r="N1109" s="6">
        <f>735</f>
        <v>735</v>
      </c>
      <c r="O1109" s="4" t="s">
        <v>265</v>
      </c>
      <c r="P1109" s="6">
        <f>1</f>
        <v>1</v>
      </c>
      <c r="Q1109" s="6">
        <f>0</f>
        <v>0</v>
      </c>
      <c r="S1109" s="6">
        <f>0</f>
        <v>0</v>
      </c>
      <c r="T1109" s="6">
        <f>1</f>
        <v>1</v>
      </c>
      <c r="U1109" s="5" t="s">
        <v>245</v>
      </c>
      <c r="V1109" s="4" t="s">
        <v>270</v>
      </c>
      <c r="W1109" s="4" t="s">
        <v>271</v>
      </c>
      <c r="X1109" s="4" t="s">
        <v>273</v>
      </c>
      <c r="Y1109" s="4" t="s">
        <v>241</v>
      </c>
      <c r="AB1109" s="4" t="s">
        <v>241</v>
      </c>
      <c r="AD1109" s="5" t="s">
        <v>241</v>
      </c>
      <c r="AG1109" s="5" t="s">
        <v>246</v>
      </c>
      <c r="AH1109" s="4" t="s">
        <v>241</v>
      </c>
      <c r="AI1109" s="4" t="s">
        <v>247</v>
      </c>
      <c r="AJ1109" s="4" t="s">
        <v>248</v>
      </c>
      <c r="AZ1109" s="4" t="s">
        <v>249</v>
      </c>
      <c r="BA1109" s="4" t="s">
        <v>241</v>
      </c>
      <c r="BB1109" s="4" t="s">
        <v>250</v>
      </c>
      <c r="BC1109" s="4" t="s">
        <v>241</v>
      </c>
      <c r="BD1109" s="4" t="s">
        <v>252</v>
      </c>
      <c r="BE1109" s="4" t="s">
        <v>241</v>
      </c>
      <c r="BI1109" s="4" t="s">
        <v>253</v>
      </c>
      <c r="BJ1109" s="5" t="s">
        <v>246</v>
      </c>
      <c r="BK1109" s="4" t="s">
        <v>254</v>
      </c>
      <c r="BL1109" s="4" t="s">
        <v>255</v>
      </c>
      <c r="BM1109" s="4" t="s">
        <v>241</v>
      </c>
      <c r="BN1109" s="6">
        <f>0</f>
        <v>0</v>
      </c>
      <c r="BO1109" s="6">
        <f>0</f>
        <v>0</v>
      </c>
      <c r="BP1109" s="4" t="s">
        <v>256</v>
      </c>
      <c r="BQ1109" s="4" t="s">
        <v>257</v>
      </c>
      <c r="CE1109" s="4" t="s">
        <v>241</v>
      </c>
      <c r="CF1109" s="4" t="s">
        <v>241</v>
      </c>
      <c r="CJ1109" s="4" t="s">
        <v>276</v>
      </c>
      <c r="CK1109" s="4" t="s">
        <v>259</v>
      </c>
      <c r="CL1109" s="4" t="s">
        <v>241</v>
      </c>
      <c r="CO1109" s="5" t="s">
        <v>260</v>
      </c>
      <c r="CP1109" s="4" t="s">
        <v>241</v>
      </c>
      <c r="CQ1109" s="4" t="s">
        <v>261</v>
      </c>
      <c r="CR1109" s="4" t="s">
        <v>241</v>
      </c>
      <c r="CS1109" s="4" t="s">
        <v>241</v>
      </c>
      <c r="CT1109" s="4">
        <v>0</v>
      </c>
      <c r="CU1109" s="4" t="s">
        <v>262</v>
      </c>
      <c r="CV1109" s="4" t="s">
        <v>263</v>
      </c>
      <c r="CW1109" s="4" t="s">
        <v>263</v>
      </c>
      <c r="CX1109" s="4" t="s">
        <v>264</v>
      </c>
      <c r="DA1109" s="6">
        <f>1</f>
        <v>1</v>
      </c>
      <c r="DC1109" s="4" t="s">
        <v>277</v>
      </c>
      <c r="DD1109" s="4" t="s">
        <v>241</v>
      </c>
      <c r="DF1109" s="4" t="s">
        <v>277</v>
      </c>
      <c r="DG1109" s="6">
        <f>735</f>
        <v>735</v>
      </c>
      <c r="DI1109" s="4" t="s">
        <v>241</v>
      </c>
      <c r="DJ1109" s="4" t="s">
        <v>241</v>
      </c>
      <c r="DK1109" s="4" t="s">
        <v>241</v>
      </c>
      <c r="DL1109" s="4" t="s">
        <v>241</v>
      </c>
      <c r="DP1109" s="4" t="s">
        <v>241</v>
      </c>
      <c r="DQ1109" s="4" t="s">
        <v>241</v>
      </c>
      <c r="DR1109" s="4" t="s">
        <v>241</v>
      </c>
      <c r="DS1109" s="4" t="s">
        <v>241</v>
      </c>
      <c r="DV1109" s="4" t="s">
        <v>278</v>
      </c>
      <c r="DW1109" s="4" t="s">
        <v>356</v>
      </c>
      <c r="HO1109" s="4" t="s">
        <v>267</v>
      </c>
    </row>
    <row r="1110" spans="1:223" ht="19.5" customHeight="1" x14ac:dyDescent="0.4">
      <c r="A1110" s="4">
        <v>1</v>
      </c>
      <c r="B1110" s="4" t="s">
        <v>239</v>
      </c>
      <c r="C1110" s="4">
        <v>2784</v>
      </c>
      <c r="D1110" s="4">
        <v>1</v>
      </c>
      <c r="E1110" s="4">
        <v>1</v>
      </c>
      <c r="F1110" s="4" t="s">
        <v>268</v>
      </c>
      <c r="G1110" s="4" t="s">
        <v>241</v>
      </c>
      <c r="H1110" s="4" t="s">
        <v>241</v>
      </c>
      <c r="I1110" s="4" t="s">
        <v>272</v>
      </c>
      <c r="J1110" s="4" t="s">
        <v>274</v>
      </c>
      <c r="K1110" s="4" t="s">
        <v>251</v>
      </c>
      <c r="L1110" s="4" t="s">
        <v>269</v>
      </c>
      <c r="M1110" s="5" t="s">
        <v>361</v>
      </c>
      <c r="N1110" s="6">
        <f>1007</f>
        <v>1007</v>
      </c>
      <c r="O1110" s="4" t="s">
        <v>265</v>
      </c>
      <c r="P1110" s="6">
        <f>1</f>
        <v>1</v>
      </c>
      <c r="Q1110" s="6">
        <f>0</f>
        <v>0</v>
      </c>
      <c r="S1110" s="6">
        <f>0</f>
        <v>0</v>
      </c>
      <c r="T1110" s="6">
        <f>1</f>
        <v>1</v>
      </c>
      <c r="U1110" s="5" t="s">
        <v>245</v>
      </c>
      <c r="V1110" s="4" t="s">
        <v>270</v>
      </c>
      <c r="W1110" s="4" t="s">
        <v>271</v>
      </c>
      <c r="X1110" s="4" t="s">
        <v>273</v>
      </c>
      <c r="Y1110" s="4" t="s">
        <v>241</v>
      </c>
      <c r="AB1110" s="4" t="s">
        <v>241</v>
      </c>
      <c r="AD1110" s="5" t="s">
        <v>241</v>
      </c>
      <c r="AG1110" s="5" t="s">
        <v>246</v>
      </c>
      <c r="AH1110" s="4" t="s">
        <v>241</v>
      </c>
      <c r="AI1110" s="4" t="s">
        <v>247</v>
      </c>
      <c r="AJ1110" s="4" t="s">
        <v>248</v>
      </c>
      <c r="AZ1110" s="4" t="s">
        <v>249</v>
      </c>
      <c r="BA1110" s="4" t="s">
        <v>241</v>
      </c>
      <c r="BB1110" s="4" t="s">
        <v>250</v>
      </c>
      <c r="BC1110" s="4" t="s">
        <v>241</v>
      </c>
      <c r="BD1110" s="4" t="s">
        <v>252</v>
      </c>
      <c r="BE1110" s="4" t="s">
        <v>241</v>
      </c>
      <c r="BI1110" s="4" t="s">
        <v>253</v>
      </c>
      <c r="BJ1110" s="5" t="s">
        <v>246</v>
      </c>
      <c r="BK1110" s="4" t="s">
        <v>254</v>
      </c>
      <c r="BL1110" s="4" t="s">
        <v>255</v>
      </c>
      <c r="BM1110" s="4" t="s">
        <v>241</v>
      </c>
      <c r="BN1110" s="6">
        <f>0</f>
        <v>0</v>
      </c>
      <c r="BO1110" s="6">
        <f>0</f>
        <v>0</v>
      </c>
      <c r="BP1110" s="4" t="s">
        <v>256</v>
      </c>
      <c r="BQ1110" s="4" t="s">
        <v>257</v>
      </c>
      <c r="CE1110" s="4" t="s">
        <v>241</v>
      </c>
      <c r="CF1110" s="4" t="s">
        <v>241</v>
      </c>
      <c r="CJ1110" s="4" t="s">
        <v>276</v>
      </c>
      <c r="CK1110" s="4" t="s">
        <v>259</v>
      </c>
      <c r="CL1110" s="4" t="s">
        <v>241</v>
      </c>
      <c r="CO1110" s="5" t="s">
        <v>260</v>
      </c>
      <c r="CP1110" s="4" t="s">
        <v>241</v>
      </c>
      <c r="CQ1110" s="4" t="s">
        <v>261</v>
      </c>
      <c r="CR1110" s="4" t="s">
        <v>241</v>
      </c>
      <c r="CS1110" s="4" t="s">
        <v>241</v>
      </c>
      <c r="CT1110" s="4">
        <v>0</v>
      </c>
      <c r="CU1110" s="4" t="s">
        <v>262</v>
      </c>
      <c r="CV1110" s="4" t="s">
        <v>263</v>
      </c>
      <c r="CW1110" s="4" t="s">
        <v>263</v>
      </c>
      <c r="CX1110" s="4" t="s">
        <v>264</v>
      </c>
      <c r="DA1110" s="6">
        <f>1</f>
        <v>1</v>
      </c>
      <c r="DC1110" s="4" t="s">
        <v>277</v>
      </c>
      <c r="DD1110" s="4" t="s">
        <v>241</v>
      </c>
      <c r="DF1110" s="4" t="s">
        <v>277</v>
      </c>
      <c r="DG1110" s="6">
        <f>1007</f>
        <v>1007</v>
      </c>
      <c r="DI1110" s="4" t="s">
        <v>241</v>
      </c>
      <c r="DJ1110" s="4" t="s">
        <v>241</v>
      </c>
      <c r="DK1110" s="4" t="s">
        <v>241</v>
      </c>
      <c r="DL1110" s="4" t="s">
        <v>241</v>
      </c>
      <c r="DP1110" s="4" t="s">
        <v>241</v>
      </c>
      <c r="DQ1110" s="4" t="s">
        <v>241</v>
      </c>
      <c r="DR1110" s="4" t="s">
        <v>241</v>
      </c>
      <c r="DS1110" s="4" t="s">
        <v>241</v>
      </c>
      <c r="DV1110" s="4" t="s">
        <v>278</v>
      </c>
      <c r="DW1110" s="4" t="s">
        <v>362</v>
      </c>
      <c r="HO1110" s="4" t="s">
        <v>267</v>
      </c>
    </row>
    <row r="1111" spans="1:223" ht="19.5" customHeight="1" x14ac:dyDescent="0.4">
      <c r="A1111" s="4">
        <v>1</v>
      </c>
      <c r="B1111" s="4" t="s">
        <v>239</v>
      </c>
      <c r="C1111" s="4">
        <v>2785</v>
      </c>
      <c r="D1111" s="4">
        <v>1</v>
      </c>
      <c r="E1111" s="4">
        <v>1</v>
      </c>
      <c r="F1111" s="4" t="s">
        <v>268</v>
      </c>
      <c r="G1111" s="4" t="s">
        <v>241</v>
      </c>
      <c r="H1111" s="4" t="s">
        <v>241</v>
      </c>
      <c r="I1111" s="4" t="s">
        <v>272</v>
      </c>
      <c r="J1111" s="4" t="s">
        <v>274</v>
      </c>
      <c r="K1111" s="4" t="s">
        <v>251</v>
      </c>
      <c r="L1111" s="4" t="s">
        <v>269</v>
      </c>
      <c r="M1111" s="5" t="s">
        <v>367</v>
      </c>
      <c r="N1111" s="6">
        <f>1801</f>
        <v>1801</v>
      </c>
      <c r="O1111" s="4" t="s">
        <v>265</v>
      </c>
      <c r="P1111" s="6">
        <f>1</f>
        <v>1</v>
      </c>
      <c r="Q1111" s="6">
        <f>0</f>
        <v>0</v>
      </c>
      <c r="S1111" s="6">
        <f>0</f>
        <v>0</v>
      </c>
      <c r="T1111" s="6">
        <f>1</f>
        <v>1</v>
      </c>
      <c r="U1111" s="5" t="s">
        <v>245</v>
      </c>
      <c r="V1111" s="4" t="s">
        <v>270</v>
      </c>
      <c r="W1111" s="4" t="s">
        <v>271</v>
      </c>
      <c r="X1111" s="4" t="s">
        <v>273</v>
      </c>
      <c r="Y1111" s="4" t="s">
        <v>241</v>
      </c>
      <c r="AB1111" s="4" t="s">
        <v>241</v>
      </c>
      <c r="AD1111" s="5" t="s">
        <v>241</v>
      </c>
      <c r="AG1111" s="5" t="s">
        <v>246</v>
      </c>
      <c r="AH1111" s="4" t="s">
        <v>241</v>
      </c>
      <c r="AI1111" s="4" t="s">
        <v>247</v>
      </c>
      <c r="AJ1111" s="4" t="s">
        <v>248</v>
      </c>
      <c r="AZ1111" s="4" t="s">
        <v>249</v>
      </c>
      <c r="BA1111" s="4" t="s">
        <v>241</v>
      </c>
      <c r="BB1111" s="4" t="s">
        <v>250</v>
      </c>
      <c r="BC1111" s="4" t="s">
        <v>241</v>
      </c>
      <c r="BD1111" s="4" t="s">
        <v>252</v>
      </c>
      <c r="BE1111" s="4" t="s">
        <v>241</v>
      </c>
      <c r="BI1111" s="4" t="s">
        <v>253</v>
      </c>
      <c r="BJ1111" s="5" t="s">
        <v>246</v>
      </c>
      <c r="BK1111" s="4" t="s">
        <v>254</v>
      </c>
      <c r="BL1111" s="4" t="s">
        <v>255</v>
      </c>
      <c r="BM1111" s="4" t="s">
        <v>241</v>
      </c>
      <c r="BN1111" s="6">
        <f>0</f>
        <v>0</v>
      </c>
      <c r="BO1111" s="6">
        <f>0</f>
        <v>0</v>
      </c>
      <c r="BP1111" s="4" t="s">
        <v>256</v>
      </c>
      <c r="BQ1111" s="4" t="s">
        <v>257</v>
      </c>
      <c r="CE1111" s="4" t="s">
        <v>241</v>
      </c>
      <c r="CF1111" s="4" t="s">
        <v>241</v>
      </c>
      <c r="CJ1111" s="4" t="s">
        <v>276</v>
      </c>
      <c r="CK1111" s="4" t="s">
        <v>259</v>
      </c>
      <c r="CL1111" s="4" t="s">
        <v>241</v>
      </c>
      <c r="CO1111" s="5" t="s">
        <v>260</v>
      </c>
      <c r="CP1111" s="4" t="s">
        <v>241</v>
      </c>
      <c r="CQ1111" s="4" t="s">
        <v>261</v>
      </c>
      <c r="CR1111" s="4" t="s">
        <v>241</v>
      </c>
      <c r="CS1111" s="4" t="s">
        <v>241</v>
      </c>
      <c r="CT1111" s="4">
        <v>0</v>
      </c>
      <c r="CU1111" s="4" t="s">
        <v>262</v>
      </c>
      <c r="CV1111" s="4" t="s">
        <v>263</v>
      </c>
      <c r="CW1111" s="4" t="s">
        <v>263</v>
      </c>
      <c r="CX1111" s="4" t="s">
        <v>264</v>
      </c>
      <c r="DA1111" s="6">
        <f>1</f>
        <v>1</v>
      </c>
      <c r="DC1111" s="4" t="s">
        <v>277</v>
      </c>
      <c r="DD1111" s="4" t="s">
        <v>241</v>
      </c>
      <c r="DF1111" s="4" t="s">
        <v>277</v>
      </c>
      <c r="DG1111" s="6">
        <f>1801</f>
        <v>1801</v>
      </c>
      <c r="DI1111" s="4" t="s">
        <v>241</v>
      </c>
      <c r="DJ1111" s="4" t="s">
        <v>241</v>
      </c>
      <c r="DK1111" s="4" t="s">
        <v>241</v>
      </c>
      <c r="DL1111" s="4" t="s">
        <v>241</v>
      </c>
      <c r="DP1111" s="4" t="s">
        <v>241</v>
      </c>
      <c r="DQ1111" s="4" t="s">
        <v>241</v>
      </c>
      <c r="DR1111" s="4" t="s">
        <v>241</v>
      </c>
      <c r="DS1111" s="4" t="s">
        <v>241</v>
      </c>
      <c r="DV1111" s="4" t="s">
        <v>278</v>
      </c>
      <c r="DW1111" s="4" t="s">
        <v>368</v>
      </c>
      <c r="HO1111" s="4" t="s">
        <v>267</v>
      </c>
    </row>
    <row r="1112" spans="1:223" ht="19.5" customHeight="1" x14ac:dyDescent="0.4">
      <c r="A1112" s="4">
        <v>1</v>
      </c>
      <c r="B1112" s="4" t="s">
        <v>239</v>
      </c>
      <c r="C1112" s="4">
        <v>2786</v>
      </c>
      <c r="D1112" s="4">
        <v>1</v>
      </c>
      <c r="E1112" s="4">
        <v>1</v>
      </c>
      <c r="F1112" s="4" t="s">
        <v>268</v>
      </c>
      <c r="G1112" s="4" t="s">
        <v>241</v>
      </c>
      <c r="H1112" s="4" t="s">
        <v>241</v>
      </c>
      <c r="I1112" s="4" t="s">
        <v>272</v>
      </c>
      <c r="J1112" s="4" t="s">
        <v>274</v>
      </c>
      <c r="K1112" s="4" t="s">
        <v>251</v>
      </c>
      <c r="L1112" s="4" t="s">
        <v>269</v>
      </c>
      <c r="M1112" s="5" t="s">
        <v>370</v>
      </c>
      <c r="N1112" s="6">
        <f>908</f>
        <v>908</v>
      </c>
      <c r="O1112" s="4" t="s">
        <v>265</v>
      </c>
      <c r="P1112" s="6">
        <f>1</f>
        <v>1</v>
      </c>
      <c r="Q1112" s="6">
        <f>0</f>
        <v>0</v>
      </c>
      <c r="S1112" s="6">
        <f>0</f>
        <v>0</v>
      </c>
      <c r="T1112" s="6">
        <f>1</f>
        <v>1</v>
      </c>
      <c r="U1112" s="5" t="s">
        <v>245</v>
      </c>
      <c r="V1112" s="4" t="s">
        <v>270</v>
      </c>
      <c r="W1112" s="4" t="s">
        <v>271</v>
      </c>
      <c r="X1112" s="4" t="s">
        <v>273</v>
      </c>
      <c r="Y1112" s="4" t="s">
        <v>241</v>
      </c>
      <c r="AB1112" s="4" t="s">
        <v>241</v>
      </c>
      <c r="AD1112" s="5" t="s">
        <v>241</v>
      </c>
      <c r="AG1112" s="5" t="s">
        <v>246</v>
      </c>
      <c r="AH1112" s="4" t="s">
        <v>241</v>
      </c>
      <c r="AI1112" s="4" t="s">
        <v>247</v>
      </c>
      <c r="AJ1112" s="4" t="s">
        <v>248</v>
      </c>
      <c r="AZ1112" s="4" t="s">
        <v>249</v>
      </c>
      <c r="BA1112" s="4" t="s">
        <v>241</v>
      </c>
      <c r="BB1112" s="4" t="s">
        <v>250</v>
      </c>
      <c r="BC1112" s="4" t="s">
        <v>241</v>
      </c>
      <c r="BD1112" s="4" t="s">
        <v>252</v>
      </c>
      <c r="BE1112" s="4" t="s">
        <v>241</v>
      </c>
      <c r="BI1112" s="4" t="s">
        <v>253</v>
      </c>
      <c r="BJ1112" s="5" t="s">
        <v>246</v>
      </c>
      <c r="BK1112" s="4" t="s">
        <v>254</v>
      </c>
      <c r="BL1112" s="4" t="s">
        <v>255</v>
      </c>
      <c r="BM1112" s="4" t="s">
        <v>241</v>
      </c>
      <c r="BN1112" s="6">
        <f>0</f>
        <v>0</v>
      </c>
      <c r="BO1112" s="6">
        <f>0</f>
        <v>0</v>
      </c>
      <c r="BP1112" s="4" t="s">
        <v>256</v>
      </c>
      <c r="BQ1112" s="4" t="s">
        <v>257</v>
      </c>
      <c r="CE1112" s="4" t="s">
        <v>241</v>
      </c>
      <c r="CF1112" s="4" t="s">
        <v>241</v>
      </c>
      <c r="CJ1112" s="4" t="s">
        <v>276</v>
      </c>
      <c r="CK1112" s="4" t="s">
        <v>259</v>
      </c>
      <c r="CL1112" s="4" t="s">
        <v>241</v>
      </c>
      <c r="CO1112" s="5" t="s">
        <v>260</v>
      </c>
      <c r="CP1112" s="4" t="s">
        <v>241</v>
      </c>
      <c r="CQ1112" s="4" t="s">
        <v>261</v>
      </c>
      <c r="CR1112" s="4" t="s">
        <v>241</v>
      </c>
      <c r="CS1112" s="4" t="s">
        <v>241</v>
      </c>
      <c r="CT1112" s="4">
        <v>0</v>
      </c>
      <c r="CU1112" s="4" t="s">
        <v>262</v>
      </c>
      <c r="CV1112" s="4" t="s">
        <v>263</v>
      </c>
      <c r="CW1112" s="4" t="s">
        <v>263</v>
      </c>
      <c r="CX1112" s="4" t="s">
        <v>264</v>
      </c>
      <c r="DA1112" s="6">
        <f>1</f>
        <v>1</v>
      </c>
      <c r="DC1112" s="4" t="s">
        <v>277</v>
      </c>
      <c r="DD1112" s="4" t="s">
        <v>241</v>
      </c>
      <c r="DF1112" s="4" t="s">
        <v>277</v>
      </c>
      <c r="DG1112" s="6">
        <f>908</f>
        <v>908</v>
      </c>
      <c r="DI1112" s="4" t="s">
        <v>241</v>
      </c>
      <c r="DJ1112" s="4" t="s">
        <v>241</v>
      </c>
      <c r="DK1112" s="4" t="s">
        <v>241</v>
      </c>
      <c r="DL1112" s="4" t="s">
        <v>241</v>
      </c>
      <c r="DP1112" s="4" t="s">
        <v>241</v>
      </c>
      <c r="DQ1112" s="4" t="s">
        <v>241</v>
      </c>
      <c r="DR1112" s="4" t="s">
        <v>241</v>
      </c>
      <c r="DS1112" s="4" t="s">
        <v>241</v>
      </c>
      <c r="DV1112" s="4" t="s">
        <v>278</v>
      </c>
      <c r="DW1112" s="4" t="s">
        <v>371</v>
      </c>
      <c r="HO1112" s="4" t="s">
        <v>267</v>
      </c>
    </row>
    <row r="1113" spans="1:223" ht="19.5" customHeight="1" x14ac:dyDescent="0.4">
      <c r="A1113" s="4">
        <v>1</v>
      </c>
      <c r="B1113" s="4" t="s">
        <v>239</v>
      </c>
      <c r="C1113" s="4">
        <v>2787</v>
      </c>
      <c r="D1113" s="4">
        <v>1</v>
      </c>
      <c r="E1113" s="4">
        <v>1</v>
      </c>
      <c r="F1113" s="4" t="s">
        <v>268</v>
      </c>
      <c r="G1113" s="4" t="s">
        <v>241</v>
      </c>
      <c r="H1113" s="4" t="s">
        <v>241</v>
      </c>
      <c r="I1113" s="4" t="s">
        <v>272</v>
      </c>
      <c r="J1113" s="4" t="s">
        <v>274</v>
      </c>
      <c r="K1113" s="4" t="s">
        <v>251</v>
      </c>
      <c r="L1113" s="4" t="s">
        <v>269</v>
      </c>
      <c r="M1113" s="5" t="s">
        <v>375</v>
      </c>
      <c r="N1113" s="6">
        <f>1826</f>
        <v>1826</v>
      </c>
      <c r="O1113" s="4" t="s">
        <v>265</v>
      </c>
      <c r="P1113" s="6">
        <f>1</f>
        <v>1</v>
      </c>
      <c r="Q1113" s="6">
        <f>0</f>
        <v>0</v>
      </c>
      <c r="S1113" s="6">
        <f>0</f>
        <v>0</v>
      </c>
      <c r="T1113" s="6">
        <f>1</f>
        <v>1</v>
      </c>
      <c r="U1113" s="5" t="s">
        <v>245</v>
      </c>
      <c r="V1113" s="4" t="s">
        <v>270</v>
      </c>
      <c r="W1113" s="4" t="s">
        <v>271</v>
      </c>
      <c r="X1113" s="4" t="s">
        <v>273</v>
      </c>
      <c r="Y1113" s="4" t="s">
        <v>241</v>
      </c>
      <c r="AB1113" s="4" t="s">
        <v>241</v>
      </c>
      <c r="AD1113" s="5" t="s">
        <v>241</v>
      </c>
      <c r="AG1113" s="5" t="s">
        <v>246</v>
      </c>
      <c r="AH1113" s="4" t="s">
        <v>241</v>
      </c>
      <c r="AI1113" s="4" t="s">
        <v>247</v>
      </c>
      <c r="AJ1113" s="4" t="s">
        <v>248</v>
      </c>
      <c r="AZ1113" s="4" t="s">
        <v>249</v>
      </c>
      <c r="BA1113" s="4" t="s">
        <v>241</v>
      </c>
      <c r="BB1113" s="4" t="s">
        <v>250</v>
      </c>
      <c r="BC1113" s="4" t="s">
        <v>241</v>
      </c>
      <c r="BD1113" s="4" t="s">
        <v>252</v>
      </c>
      <c r="BE1113" s="4" t="s">
        <v>241</v>
      </c>
      <c r="BI1113" s="4" t="s">
        <v>253</v>
      </c>
      <c r="BJ1113" s="5" t="s">
        <v>246</v>
      </c>
      <c r="BK1113" s="4" t="s">
        <v>254</v>
      </c>
      <c r="BL1113" s="4" t="s">
        <v>255</v>
      </c>
      <c r="BM1113" s="4" t="s">
        <v>241</v>
      </c>
      <c r="BN1113" s="6">
        <f>0</f>
        <v>0</v>
      </c>
      <c r="BO1113" s="6">
        <f>0</f>
        <v>0</v>
      </c>
      <c r="BP1113" s="4" t="s">
        <v>256</v>
      </c>
      <c r="BQ1113" s="4" t="s">
        <v>257</v>
      </c>
      <c r="CE1113" s="4" t="s">
        <v>241</v>
      </c>
      <c r="CF1113" s="4" t="s">
        <v>241</v>
      </c>
      <c r="CJ1113" s="4" t="s">
        <v>276</v>
      </c>
      <c r="CK1113" s="4" t="s">
        <v>259</v>
      </c>
      <c r="CL1113" s="4" t="s">
        <v>241</v>
      </c>
      <c r="CO1113" s="5" t="s">
        <v>260</v>
      </c>
      <c r="CP1113" s="4" t="s">
        <v>241</v>
      </c>
      <c r="CQ1113" s="4" t="s">
        <v>261</v>
      </c>
      <c r="CR1113" s="4" t="s">
        <v>241</v>
      </c>
      <c r="CS1113" s="4" t="s">
        <v>241</v>
      </c>
      <c r="CT1113" s="4">
        <v>0</v>
      </c>
      <c r="CU1113" s="4" t="s">
        <v>262</v>
      </c>
      <c r="CV1113" s="4" t="s">
        <v>263</v>
      </c>
      <c r="CW1113" s="4" t="s">
        <v>263</v>
      </c>
      <c r="CX1113" s="4" t="s">
        <v>264</v>
      </c>
      <c r="DA1113" s="6">
        <f>1</f>
        <v>1</v>
      </c>
      <c r="DC1113" s="4" t="s">
        <v>277</v>
      </c>
      <c r="DD1113" s="4" t="s">
        <v>241</v>
      </c>
      <c r="DF1113" s="4" t="s">
        <v>277</v>
      </c>
      <c r="DG1113" s="6">
        <f>1826</f>
        <v>1826</v>
      </c>
      <c r="DI1113" s="4" t="s">
        <v>241</v>
      </c>
      <c r="DJ1113" s="4" t="s">
        <v>241</v>
      </c>
      <c r="DK1113" s="4" t="s">
        <v>241</v>
      </c>
      <c r="DL1113" s="4" t="s">
        <v>241</v>
      </c>
      <c r="DP1113" s="4" t="s">
        <v>241</v>
      </c>
      <c r="DQ1113" s="4" t="s">
        <v>241</v>
      </c>
      <c r="DR1113" s="4" t="s">
        <v>241</v>
      </c>
      <c r="DS1113" s="4" t="s">
        <v>241</v>
      </c>
      <c r="DV1113" s="4" t="s">
        <v>278</v>
      </c>
      <c r="DW1113" s="4" t="s">
        <v>376</v>
      </c>
      <c r="HO1113" s="4" t="s">
        <v>267</v>
      </c>
    </row>
    <row r="1114" spans="1:223" ht="19.5" customHeight="1" x14ac:dyDescent="0.4">
      <c r="A1114" s="4">
        <v>1</v>
      </c>
      <c r="B1114" s="4" t="s">
        <v>239</v>
      </c>
      <c r="C1114" s="4">
        <v>2788</v>
      </c>
      <c r="D1114" s="4">
        <v>1</v>
      </c>
      <c r="E1114" s="4">
        <v>1</v>
      </c>
      <c r="F1114" s="4" t="s">
        <v>268</v>
      </c>
      <c r="G1114" s="4" t="s">
        <v>241</v>
      </c>
      <c r="H1114" s="4" t="s">
        <v>241</v>
      </c>
      <c r="I1114" s="4" t="s">
        <v>272</v>
      </c>
      <c r="J1114" s="4" t="s">
        <v>274</v>
      </c>
      <c r="K1114" s="4" t="s">
        <v>251</v>
      </c>
      <c r="L1114" s="4" t="s">
        <v>269</v>
      </c>
      <c r="M1114" s="5" t="s">
        <v>382</v>
      </c>
      <c r="N1114" s="6">
        <f>691</f>
        <v>691</v>
      </c>
      <c r="O1114" s="4" t="s">
        <v>265</v>
      </c>
      <c r="P1114" s="6">
        <f>1</f>
        <v>1</v>
      </c>
      <c r="Q1114" s="6">
        <f>0</f>
        <v>0</v>
      </c>
      <c r="S1114" s="6">
        <f>0</f>
        <v>0</v>
      </c>
      <c r="T1114" s="6">
        <f>1</f>
        <v>1</v>
      </c>
      <c r="U1114" s="5" t="s">
        <v>245</v>
      </c>
      <c r="V1114" s="4" t="s">
        <v>270</v>
      </c>
      <c r="W1114" s="4" t="s">
        <v>271</v>
      </c>
      <c r="X1114" s="4" t="s">
        <v>273</v>
      </c>
      <c r="Y1114" s="4" t="s">
        <v>241</v>
      </c>
      <c r="AB1114" s="4" t="s">
        <v>241</v>
      </c>
      <c r="AD1114" s="5" t="s">
        <v>241</v>
      </c>
      <c r="AG1114" s="5" t="s">
        <v>246</v>
      </c>
      <c r="AH1114" s="4" t="s">
        <v>241</v>
      </c>
      <c r="AI1114" s="4" t="s">
        <v>247</v>
      </c>
      <c r="AJ1114" s="4" t="s">
        <v>248</v>
      </c>
      <c r="AZ1114" s="4" t="s">
        <v>249</v>
      </c>
      <c r="BA1114" s="4" t="s">
        <v>241</v>
      </c>
      <c r="BB1114" s="4" t="s">
        <v>250</v>
      </c>
      <c r="BC1114" s="4" t="s">
        <v>241</v>
      </c>
      <c r="BD1114" s="4" t="s">
        <v>252</v>
      </c>
      <c r="BE1114" s="4" t="s">
        <v>241</v>
      </c>
      <c r="BI1114" s="4" t="s">
        <v>253</v>
      </c>
      <c r="BJ1114" s="5" t="s">
        <v>246</v>
      </c>
      <c r="BK1114" s="4" t="s">
        <v>254</v>
      </c>
      <c r="BL1114" s="4" t="s">
        <v>255</v>
      </c>
      <c r="BM1114" s="4" t="s">
        <v>241</v>
      </c>
      <c r="BN1114" s="6">
        <f>0</f>
        <v>0</v>
      </c>
      <c r="BO1114" s="6">
        <f>0</f>
        <v>0</v>
      </c>
      <c r="BP1114" s="4" t="s">
        <v>256</v>
      </c>
      <c r="BQ1114" s="4" t="s">
        <v>257</v>
      </c>
      <c r="CE1114" s="4" t="s">
        <v>241</v>
      </c>
      <c r="CF1114" s="4" t="s">
        <v>241</v>
      </c>
      <c r="CJ1114" s="4" t="s">
        <v>276</v>
      </c>
      <c r="CK1114" s="4" t="s">
        <v>259</v>
      </c>
      <c r="CL1114" s="4" t="s">
        <v>241</v>
      </c>
      <c r="CO1114" s="5" t="s">
        <v>260</v>
      </c>
      <c r="CP1114" s="4" t="s">
        <v>241</v>
      </c>
      <c r="CQ1114" s="4" t="s">
        <v>261</v>
      </c>
      <c r="CR1114" s="4" t="s">
        <v>241</v>
      </c>
      <c r="CS1114" s="4" t="s">
        <v>241</v>
      </c>
      <c r="CT1114" s="4">
        <v>0</v>
      </c>
      <c r="CU1114" s="4" t="s">
        <v>262</v>
      </c>
      <c r="CV1114" s="4" t="s">
        <v>263</v>
      </c>
      <c r="CW1114" s="4" t="s">
        <v>263</v>
      </c>
      <c r="CX1114" s="4" t="s">
        <v>264</v>
      </c>
      <c r="DA1114" s="6">
        <f>1</f>
        <v>1</v>
      </c>
      <c r="DC1114" s="4" t="s">
        <v>277</v>
      </c>
      <c r="DD1114" s="4" t="s">
        <v>241</v>
      </c>
      <c r="DF1114" s="4" t="s">
        <v>277</v>
      </c>
      <c r="DG1114" s="6">
        <f>691</f>
        <v>691</v>
      </c>
      <c r="DI1114" s="4" t="s">
        <v>241</v>
      </c>
      <c r="DJ1114" s="4" t="s">
        <v>241</v>
      </c>
      <c r="DK1114" s="4" t="s">
        <v>241</v>
      </c>
      <c r="DL1114" s="4" t="s">
        <v>241</v>
      </c>
      <c r="DP1114" s="4" t="s">
        <v>241</v>
      </c>
      <c r="DQ1114" s="4" t="s">
        <v>241</v>
      </c>
      <c r="DR1114" s="4" t="s">
        <v>241</v>
      </c>
      <c r="DS1114" s="4" t="s">
        <v>241</v>
      </c>
      <c r="DV1114" s="4" t="s">
        <v>278</v>
      </c>
      <c r="DW1114" s="4" t="s">
        <v>383</v>
      </c>
      <c r="HO1114" s="4" t="s">
        <v>267</v>
      </c>
    </row>
    <row r="1115" spans="1:223" ht="19.5" customHeight="1" x14ac:dyDescent="0.4">
      <c r="A1115" s="4">
        <v>1</v>
      </c>
      <c r="B1115" s="4" t="s">
        <v>239</v>
      </c>
      <c r="C1115" s="4">
        <v>2789</v>
      </c>
      <c r="D1115" s="4">
        <v>1</v>
      </c>
      <c r="E1115" s="4">
        <v>1</v>
      </c>
      <c r="F1115" s="4" t="s">
        <v>268</v>
      </c>
      <c r="G1115" s="4" t="s">
        <v>241</v>
      </c>
      <c r="H1115" s="4" t="s">
        <v>241</v>
      </c>
      <c r="I1115" s="4" t="s">
        <v>272</v>
      </c>
      <c r="J1115" s="4" t="s">
        <v>274</v>
      </c>
      <c r="K1115" s="4" t="s">
        <v>251</v>
      </c>
      <c r="L1115" s="4" t="s">
        <v>269</v>
      </c>
      <c r="M1115" s="5" t="s">
        <v>385</v>
      </c>
      <c r="N1115" s="6">
        <f>600</f>
        <v>600</v>
      </c>
      <c r="O1115" s="4" t="s">
        <v>265</v>
      </c>
      <c r="P1115" s="6">
        <f>1</f>
        <v>1</v>
      </c>
      <c r="Q1115" s="6">
        <f>0</f>
        <v>0</v>
      </c>
      <c r="S1115" s="6">
        <f>0</f>
        <v>0</v>
      </c>
      <c r="T1115" s="6">
        <f>1</f>
        <v>1</v>
      </c>
      <c r="U1115" s="5" t="s">
        <v>245</v>
      </c>
      <c r="V1115" s="4" t="s">
        <v>270</v>
      </c>
      <c r="W1115" s="4" t="s">
        <v>271</v>
      </c>
      <c r="X1115" s="4" t="s">
        <v>273</v>
      </c>
      <c r="Y1115" s="4" t="s">
        <v>241</v>
      </c>
      <c r="AB1115" s="4" t="s">
        <v>241</v>
      </c>
      <c r="AD1115" s="5" t="s">
        <v>241</v>
      </c>
      <c r="AG1115" s="5" t="s">
        <v>246</v>
      </c>
      <c r="AH1115" s="4" t="s">
        <v>241</v>
      </c>
      <c r="AI1115" s="4" t="s">
        <v>247</v>
      </c>
      <c r="AJ1115" s="4" t="s">
        <v>248</v>
      </c>
      <c r="AZ1115" s="4" t="s">
        <v>249</v>
      </c>
      <c r="BA1115" s="4" t="s">
        <v>241</v>
      </c>
      <c r="BB1115" s="4" t="s">
        <v>250</v>
      </c>
      <c r="BC1115" s="4" t="s">
        <v>241</v>
      </c>
      <c r="BD1115" s="4" t="s">
        <v>252</v>
      </c>
      <c r="BE1115" s="4" t="s">
        <v>241</v>
      </c>
      <c r="BI1115" s="4" t="s">
        <v>253</v>
      </c>
      <c r="BJ1115" s="5" t="s">
        <v>246</v>
      </c>
      <c r="BK1115" s="4" t="s">
        <v>254</v>
      </c>
      <c r="BL1115" s="4" t="s">
        <v>255</v>
      </c>
      <c r="BM1115" s="4" t="s">
        <v>241</v>
      </c>
      <c r="BN1115" s="6">
        <f>0</f>
        <v>0</v>
      </c>
      <c r="BO1115" s="6">
        <f>0</f>
        <v>0</v>
      </c>
      <c r="BP1115" s="4" t="s">
        <v>256</v>
      </c>
      <c r="BQ1115" s="4" t="s">
        <v>257</v>
      </c>
      <c r="CE1115" s="4" t="s">
        <v>241</v>
      </c>
      <c r="CF1115" s="4" t="s">
        <v>241</v>
      </c>
      <c r="CJ1115" s="4" t="s">
        <v>276</v>
      </c>
      <c r="CK1115" s="4" t="s">
        <v>259</v>
      </c>
      <c r="CL1115" s="4" t="s">
        <v>241</v>
      </c>
      <c r="CO1115" s="5" t="s">
        <v>260</v>
      </c>
      <c r="CP1115" s="4" t="s">
        <v>241</v>
      </c>
      <c r="CQ1115" s="4" t="s">
        <v>261</v>
      </c>
      <c r="CR1115" s="4" t="s">
        <v>241</v>
      </c>
      <c r="CS1115" s="4" t="s">
        <v>241</v>
      </c>
      <c r="CT1115" s="4">
        <v>0</v>
      </c>
      <c r="CU1115" s="4" t="s">
        <v>262</v>
      </c>
      <c r="CV1115" s="4" t="s">
        <v>263</v>
      </c>
      <c r="CW1115" s="4" t="s">
        <v>263</v>
      </c>
      <c r="CX1115" s="4" t="s">
        <v>264</v>
      </c>
      <c r="DA1115" s="6">
        <f>1</f>
        <v>1</v>
      </c>
      <c r="DC1115" s="4" t="s">
        <v>277</v>
      </c>
      <c r="DD1115" s="4" t="s">
        <v>241</v>
      </c>
      <c r="DF1115" s="4" t="s">
        <v>277</v>
      </c>
      <c r="DG1115" s="6">
        <f>600</f>
        <v>600</v>
      </c>
      <c r="DI1115" s="4" t="s">
        <v>241</v>
      </c>
      <c r="DJ1115" s="4" t="s">
        <v>241</v>
      </c>
      <c r="DK1115" s="4" t="s">
        <v>241</v>
      </c>
      <c r="DL1115" s="4" t="s">
        <v>241</v>
      </c>
      <c r="DP1115" s="4" t="s">
        <v>241</v>
      </c>
      <c r="DQ1115" s="4" t="s">
        <v>241</v>
      </c>
      <c r="DR1115" s="4" t="s">
        <v>241</v>
      </c>
      <c r="DS1115" s="4" t="s">
        <v>241</v>
      </c>
      <c r="DV1115" s="4" t="s">
        <v>278</v>
      </c>
      <c r="DW1115" s="4" t="s">
        <v>386</v>
      </c>
      <c r="HO1115" s="4" t="s">
        <v>267</v>
      </c>
    </row>
    <row r="1116" spans="1:223" ht="19.5" customHeight="1" x14ac:dyDescent="0.4">
      <c r="A1116" s="4">
        <v>1</v>
      </c>
      <c r="B1116" s="4" t="s">
        <v>239</v>
      </c>
      <c r="C1116" s="4">
        <v>2790</v>
      </c>
      <c r="D1116" s="4">
        <v>1</v>
      </c>
      <c r="E1116" s="4">
        <v>1</v>
      </c>
      <c r="F1116" s="4" t="s">
        <v>268</v>
      </c>
      <c r="G1116" s="4" t="s">
        <v>241</v>
      </c>
      <c r="H1116" s="4" t="s">
        <v>241</v>
      </c>
      <c r="I1116" s="4" t="s">
        <v>272</v>
      </c>
      <c r="J1116" s="4" t="s">
        <v>274</v>
      </c>
      <c r="K1116" s="4" t="s">
        <v>251</v>
      </c>
      <c r="L1116" s="4" t="s">
        <v>269</v>
      </c>
      <c r="M1116" s="5" t="s">
        <v>389</v>
      </c>
      <c r="N1116" s="6">
        <f>202</f>
        <v>202</v>
      </c>
      <c r="O1116" s="4" t="s">
        <v>265</v>
      </c>
      <c r="P1116" s="6">
        <f>1</f>
        <v>1</v>
      </c>
      <c r="Q1116" s="6">
        <f>0</f>
        <v>0</v>
      </c>
      <c r="S1116" s="6">
        <f>0</f>
        <v>0</v>
      </c>
      <c r="T1116" s="6">
        <f>1</f>
        <v>1</v>
      </c>
      <c r="U1116" s="5" t="s">
        <v>245</v>
      </c>
      <c r="V1116" s="4" t="s">
        <v>270</v>
      </c>
      <c r="W1116" s="4" t="s">
        <v>271</v>
      </c>
      <c r="X1116" s="4" t="s">
        <v>273</v>
      </c>
      <c r="Y1116" s="4" t="s">
        <v>241</v>
      </c>
      <c r="AB1116" s="4" t="s">
        <v>241</v>
      </c>
      <c r="AD1116" s="5" t="s">
        <v>241</v>
      </c>
      <c r="AG1116" s="5" t="s">
        <v>246</v>
      </c>
      <c r="AH1116" s="4" t="s">
        <v>241</v>
      </c>
      <c r="AI1116" s="4" t="s">
        <v>247</v>
      </c>
      <c r="AJ1116" s="4" t="s">
        <v>248</v>
      </c>
      <c r="AZ1116" s="4" t="s">
        <v>249</v>
      </c>
      <c r="BA1116" s="4" t="s">
        <v>241</v>
      </c>
      <c r="BB1116" s="4" t="s">
        <v>250</v>
      </c>
      <c r="BC1116" s="4" t="s">
        <v>241</v>
      </c>
      <c r="BD1116" s="4" t="s">
        <v>252</v>
      </c>
      <c r="BE1116" s="4" t="s">
        <v>241</v>
      </c>
      <c r="BI1116" s="4" t="s">
        <v>253</v>
      </c>
      <c r="BJ1116" s="5" t="s">
        <v>246</v>
      </c>
      <c r="BK1116" s="4" t="s">
        <v>254</v>
      </c>
      <c r="BL1116" s="4" t="s">
        <v>255</v>
      </c>
      <c r="BM1116" s="4" t="s">
        <v>241</v>
      </c>
      <c r="BN1116" s="6">
        <f>0</f>
        <v>0</v>
      </c>
      <c r="BO1116" s="6">
        <f>0</f>
        <v>0</v>
      </c>
      <c r="BP1116" s="4" t="s">
        <v>256</v>
      </c>
      <c r="BQ1116" s="4" t="s">
        <v>257</v>
      </c>
      <c r="CE1116" s="4" t="s">
        <v>241</v>
      </c>
      <c r="CF1116" s="4" t="s">
        <v>241</v>
      </c>
      <c r="CJ1116" s="4" t="s">
        <v>276</v>
      </c>
      <c r="CK1116" s="4" t="s">
        <v>259</v>
      </c>
      <c r="CL1116" s="4" t="s">
        <v>241</v>
      </c>
      <c r="CO1116" s="5" t="s">
        <v>260</v>
      </c>
      <c r="CP1116" s="4" t="s">
        <v>241</v>
      </c>
      <c r="CQ1116" s="4" t="s">
        <v>261</v>
      </c>
      <c r="CR1116" s="4" t="s">
        <v>241</v>
      </c>
      <c r="CS1116" s="4" t="s">
        <v>241</v>
      </c>
      <c r="CT1116" s="4">
        <v>0</v>
      </c>
      <c r="CU1116" s="4" t="s">
        <v>262</v>
      </c>
      <c r="CV1116" s="4" t="s">
        <v>263</v>
      </c>
      <c r="CW1116" s="4" t="s">
        <v>263</v>
      </c>
      <c r="CX1116" s="4" t="s">
        <v>264</v>
      </c>
      <c r="DA1116" s="6">
        <f>1</f>
        <v>1</v>
      </c>
      <c r="DC1116" s="4" t="s">
        <v>277</v>
      </c>
      <c r="DD1116" s="4" t="s">
        <v>241</v>
      </c>
      <c r="DF1116" s="4" t="s">
        <v>277</v>
      </c>
      <c r="DG1116" s="6">
        <f>202</f>
        <v>202</v>
      </c>
      <c r="DI1116" s="4" t="s">
        <v>241</v>
      </c>
      <c r="DJ1116" s="4" t="s">
        <v>241</v>
      </c>
      <c r="DK1116" s="4" t="s">
        <v>241</v>
      </c>
      <c r="DL1116" s="4" t="s">
        <v>241</v>
      </c>
      <c r="DP1116" s="4" t="s">
        <v>241</v>
      </c>
      <c r="DQ1116" s="4" t="s">
        <v>241</v>
      </c>
      <c r="DR1116" s="4" t="s">
        <v>241</v>
      </c>
      <c r="DS1116" s="4" t="s">
        <v>241</v>
      </c>
      <c r="DV1116" s="4" t="s">
        <v>278</v>
      </c>
      <c r="DW1116" s="4" t="s">
        <v>390</v>
      </c>
      <c r="HO1116" s="4" t="s">
        <v>267</v>
      </c>
    </row>
    <row r="1117" spans="1:223" ht="19.5" customHeight="1" x14ac:dyDescent="0.4">
      <c r="A1117" s="4">
        <v>1</v>
      </c>
      <c r="B1117" s="4" t="s">
        <v>239</v>
      </c>
      <c r="C1117" s="4">
        <v>2791</v>
      </c>
      <c r="D1117" s="4">
        <v>1</v>
      </c>
      <c r="E1117" s="4">
        <v>1</v>
      </c>
      <c r="F1117" s="4" t="s">
        <v>268</v>
      </c>
      <c r="G1117" s="4" t="s">
        <v>241</v>
      </c>
      <c r="H1117" s="4" t="s">
        <v>241</v>
      </c>
      <c r="I1117" s="4" t="s">
        <v>272</v>
      </c>
      <c r="J1117" s="4" t="s">
        <v>274</v>
      </c>
      <c r="K1117" s="4" t="s">
        <v>251</v>
      </c>
      <c r="L1117" s="4" t="s">
        <v>269</v>
      </c>
      <c r="M1117" s="5" t="s">
        <v>394</v>
      </c>
      <c r="N1117" s="6">
        <f>9865</f>
        <v>9865</v>
      </c>
      <c r="O1117" s="4" t="s">
        <v>265</v>
      </c>
      <c r="P1117" s="6">
        <f>1</f>
        <v>1</v>
      </c>
      <c r="Q1117" s="6">
        <f>0</f>
        <v>0</v>
      </c>
      <c r="S1117" s="6">
        <f>0</f>
        <v>0</v>
      </c>
      <c r="T1117" s="6">
        <f>1</f>
        <v>1</v>
      </c>
      <c r="U1117" s="5" t="s">
        <v>245</v>
      </c>
      <c r="V1117" s="4" t="s">
        <v>270</v>
      </c>
      <c r="W1117" s="4" t="s">
        <v>271</v>
      </c>
      <c r="X1117" s="4" t="s">
        <v>273</v>
      </c>
      <c r="Y1117" s="4" t="s">
        <v>241</v>
      </c>
      <c r="AB1117" s="4" t="s">
        <v>241</v>
      </c>
      <c r="AD1117" s="5" t="s">
        <v>241</v>
      </c>
      <c r="AG1117" s="5" t="s">
        <v>246</v>
      </c>
      <c r="AH1117" s="4" t="s">
        <v>241</v>
      </c>
      <c r="AI1117" s="4" t="s">
        <v>247</v>
      </c>
      <c r="AJ1117" s="4" t="s">
        <v>248</v>
      </c>
      <c r="AZ1117" s="4" t="s">
        <v>249</v>
      </c>
      <c r="BA1117" s="4" t="s">
        <v>241</v>
      </c>
      <c r="BB1117" s="4" t="s">
        <v>250</v>
      </c>
      <c r="BC1117" s="4" t="s">
        <v>241</v>
      </c>
      <c r="BD1117" s="4" t="s">
        <v>252</v>
      </c>
      <c r="BE1117" s="4" t="s">
        <v>241</v>
      </c>
      <c r="BI1117" s="4" t="s">
        <v>253</v>
      </c>
      <c r="BJ1117" s="5" t="s">
        <v>246</v>
      </c>
      <c r="BK1117" s="4" t="s">
        <v>254</v>
      </c>
      <c r="BL1117" s="4" t="s">
        <v>255</v>
      </c>
      <c r="BM1117" s="4" t="s">
        <v>241</v>
      </c>
      <c r="BN1117" s="6">
        <f>0</f>
        <v>0</v>
      </c>
      <c r="BO1117" s="6">
        <f>0</f>
        <v>0</v>
      </c>
      <c r="BP1117" s="4" t="s">
        <v>256</v>
      </c>
      <c r="BQ1117" s="4" t="s">
        <v>257</v>
      </c>
      <c r="CE1117" s="4" t="s">
        <v>241</v>
      </c>
      <c r="CF1117" s="4" t="s">
        <v>241</v>
      </c>
      <c r="CJ1117" s="4" t="s">
        <v>276</v>
      </c>
      <c r="CK1117" s="4" t="s">
        <v>259</v>
      </c>
      <c r="CL1117" s="4" t="s">
        <v>241</v>
      </c>
      <c r="CO1117" s="5" t="s">
        <v>260</v>
      </c>
      <c r="CP1117" s="4" t="s">
        <v>241</v>
      </c>
      <c r="CQ1117" s="4" t="s">
        <v>261</v>
      </c>
      <c r="CR1117" s="4" t="s">
        <v>241</v>
      </c>
      <c r="CS1117" s="4" t="s">
        <v>241</v>
      </c>
      <c r="CT1117" s="4">
        <v>0</v>
      </c>
      <c r="CU1117" s="4" t="s">
        <v>262</v>
      </c>
      <c r="CV1117" s="4" t="s">
        <v>263</v>
      </c>
      <c r="CW1117" s="4" t="s">
        <v>263</v>
      </c>
      <c r="CX1117" s="4" t="s">
        <v>264</v>
      </c>
      <c r="DA1117" s="6">
        <f>1</f>
        <v>1</v>
      </c>
      <c r="DC1117" s="4" t="s">
        <v>277</v>
      </c>
      <c r="DD1117" s="4" t="s">
        <v>241</v>
      </c>
      <c r="DF1117" s="4" t="s">
        <v>277</v>
      </c>
      <c r="DG1117" s="6">
        <f>9865</f>
        <v>9865</v>
      </c>
      <c r="DI1117" s="4" t="s">
        <v>241</v>
      </c>
      <c r="DJ1117" s="4" t="s">
        <v>241</v>
      </c>
      <c r="DK1117" s="4" t="s">
        <v>241</v>
      </c>
      <c r="DL1117" s="4" t="s">
        <v>241</v>
      </c>
      <c r="DP1117" s="4" t="s">
        <v>241</v>
      </c>
      <c r="DQ1117" s="4" t="s">
        <v>241</v>
      </c>
      <c r="DR1117" s="4" t="s">
        <v>241</v>
      </c>
      <c r="DS1117" s="4" t="s">
        <v>241</v>
      </c>
      <c r="DV1117" s="4" t="s">
        <v>278</v>
      </c>
      <c r="DW1117" s="4" t="s">
        <v>395</v>
      </c>
      <c r="HO1117" s="4" t="s">
        <v>267</v>
      </c>
    </row>
    <row r="1118" spans="1:223" ht="19.5" customHeight="1" x14ac:dyDescent="0.4">
      <c r="A1118" s="4">
        <v>1</v>
      </c>
      <c r="B1118" s="4" t="s">
        <v>239</v>
      </c>
      <c r="C1118" s="4">
        <v>2792</v>
      </c>
      <c r="D1118" s="4">
        <v>1</v>
      </c>
      <c r="E1118" s="4">
        <v>1</v>
      </c>
      <c r="F1118" s="4" t="s">
        <v>268</v>
      </c>
      <c r="G1118" s="4" t="s">
        <v>241</v>
      </c>
      <c r="H1118" s="4" t="s">
        <v>241</v>
      </c>
      <c r="I1118" s="4" t="s">
        <v>272</v>
      </c>
      <c r="J1118" s="4" t="s">
        <v>274</v>
      </c>
      <c r="K1118" s="4" t="s">
        <v>251</v>
      </c>
      <c r="L1118" s="4" t="s">
        <v>269</v>
      </c>
      <c r="M1118" s="5" t="s">
        <v>397</v>
      </c>
      <c r="N1118" s="6">
        <f>696</f>
        <v>696</v>
      </c>
      <c r="O1118" s="4" t="s">
        <v>265</v>
      </c>
      <c r="P1118" s="6">
        <f>1</f>
        <v>1</v>
      </c>
      <c r="Q1118" s="6">
        <f>0</f>
        <v>0</v>
      </c>
      <c r="S1118" s="6">
        <f>0</f>
        <v>0</v>
      </c>
      <c r="T1118" s="6">
        <f>1</f>
        <v>1</v>
      </c>
      <c r="U1118" s="5" t="s">
        <v>245</v>
      </c>
      <c r="V1118" s="4" t="s">
        <v>270</v>
      </c>
      <c r="W1118" s="4" t="s">
        <v>271</v>
      </c>
      <c r="X1118" s="4" t="s">
        <v>273</v>
      </c>
      <c r="Y1118" s="4" t="s">
        <v>241</v>
      </c>
      <c r="AB1118" s="4" t="s">
        <v>241</v>
      </c>
      <c r="AD1118" s="5" t="s">
        <v>241</v>
      </c>
      <c r="AG1118" s="5" t="s">
        <v>246</v>
      </c>
      <c r="AH1118" s="4" t="s">
        <v>241</v>
      </c>
      <c r="AI1118" s="4" t="s">
        <v>247</v>
      </c>
      <c r="AJ1118" s="4" t="s">
        <v>248</v>
      </c>
      <c r="AZ1118" s="4" t="s">
        <v>249</v>
      </c>
      <c r="BA1118" s="4" t="s">
        <v>241</v>
      </c>
      <c r="BB1118" s="4" t="s">
        <v>250</v>
      </c>
      <c r="BC1118" s="4" t="s">
        <v>241</v>
      </c>
      <c r="BD1118" s="4" t="s">
        <v>252</v>
      </c>
      <c r="BE1118" s="4" t="s">
        <v>241</v>
      </c>
      <c r="BI1118" s="4" t="s">
        <v>253</v>
      </c>
      <c r="BJ1118" s="5" t="s">
        <v>246</v>
      </c>
      <c r="BK1118" s="4" t="s">
        <v>254</v>
      </c>
      <c r="BL1118" s="4" t="s">
        <v>255</v>
      </c>
      <c r="BM1118" s="4" t="s">
        <v>241</v>
      </c>
      <c r="BN1118" s="6">
        <f>0</f>
        <v>0</v>
      </c>
      <c r="BO1118" s="6">
        <f>0</f>
        <v>0</v>
      </c>
      <c r="BP1118" s="4" t="s">
        <v>256</v>
      </c>
      <c r="BQ1118" s="4" t="s">
        <v>257</v>
      </c>
      <c r="CE1118" s="4" t="s">
        <v>241</v>
      </c>
      <c r="CF1118" s="4" t="s">
        <v>241</v>
      </c>
      <c r="CJ1118" s="4" t="s">
        <v>276</v>
      </c>
      <c r="CK1118" s="4" t="s">
        <v>259</v>
      </c>
      <c r="CL1118" s="4" t="s">
        <v>241</v>
      </c>
      <c r="CO1118" s="5" t="s">
        <v>260</v>
      </c>
      <c r="CP1118" s="4" t="s">
        <v>241</v>
      </c>
      <c r="CQ1118" s="4" t="s">
        <v>261</v>
      </c>
      <c r="CR1118" s="4" t="s">
        <v>241</v>
      </c>
      <c r="CS1118" s="4" t="s">
        <v>241</v>
      </c>
      <c r="CT1118" s="4">
        <v>0</v>
      </c>
      <c r="CU1118" s="4" t="s">
        <v>262</v>
      </c>
      <c r="CV1118" s="4" t="s">
        <v>263</v>
      </c>
      <c r="CW1118" s="4" t="s">
        <v>263</v>
      </c>
      <c r="CX1118" s="4" t="s">
        <v>264</v>
      </c>
      <c r="DA1118" s="6">
        <f>1</f>
        <v>1</v>
      </c>
      <c r="DC1118" s="4" t="s">
        <v>277</v>
      </c>
      <c r="DD1118" s="4" t="s">
        <v>241</v>
      </c>
      <c r="DF1118" s="4" t="s">
        <v>277</v>
      </c>
      <c r="DG1118" s="6">
        <f>696</f>
        <v>696</v>
      </c>
      <c r="DI1118" s="4" t="s">
        <v>241</v>
      </c>
      <c r="DJ1118" s="4" t="s">
        <v>241</v>
      </c>
      <c r="DK1118" s="4" t="s">
        <v>241</v>
      </c>
      <c r="DL1118" s="4" t="s">
        <v>241</v>
      </c>
      <c r="DP1118" s="4" t="s">
        <v>241</v>
      </c>
      <c r="DQ1118" s="4" t="s">
        <v>241</v>
      </c>
      <c r="DR1118" s="4" t="s">
        <v>241</v>
      </c>
      <c r="DS1118" s="4" t="s">
        <v>241</v>
      </c>
      <c r="DV1118" s="4" t="s">
        <v>278</v>
      </c>
      <c r="DW1118" s="4" t="s">
        <v>398</v>
      </c>
      <c r="HO1118" s="4" t="s">
        <v>267</v>
      </c>
    </row>
    <row r="1119" spans="1:223" ht="19.5" customHeight="1" x14ac:dyDescent="0.4">
      <c r="A1119" s="4">
        <v>1</v>
      </c>
      <c r="B1119" s="4" t="s">
        <v>239</v>
      </c>
      <c r="C1119" s="4">
        <v>2793</v>
      </c>
      <c r="D1119" s="4">
        <v>1</v>
      </c>
      <c r="E1119" s="4">
        <v>1</v>
      </c>
      <c r="F1119" s="4" t="s">
        <v>268</v>
      </c>
      <c r="G1119" s="4" t="s">
        <v>241</v>
      </c>
      <c r="H1119" s="4" t="s">
        <v>241</v>
      </c>
      <c r="I1119" s="4" t="s">
        <v>272</v>
      </c>
      <c r="J1119" s="4" t="s">
        <v>274</v>
      </c>
      <c r="K1119" s="4" t="s">
        <v>251</v>
      </c>
      <c r="L1119" s="4" t="s">
        <v>269</v>
      </c>
      <c r="M1119" s="5" t="s">
        <v>405</v>
      </c>
      <c r="N1119" s="6">
        <f>3433</f>
        <v>3433</v>
      </c>
      <c r="O1119" s="4" t="s">
        <v>265</v>
      </c>
      <c r="P1119" s="6">
        <f>1</f>
        <v>1</v>
      </c>
      <c r="Q1119" s="6">
        <f>0</f>
        <v>0</v>
      </c>
      <c r="S1119" s="6">
        <f>0</f>
        <v>0</v>
      </c>
      <c r="T1119" s="6">
        <f>1</f>
        <v>1</v>
      </c>
      <c r="U1119" s="5" t="s">
        <v>245</v>
      </c>
      <c r="V1119" s="4" t="s">
        <v>270</v>
      </c>
      <c r="W1119" s="4" t="s">
        <v>271</v>
      </c>
      <c r="X1119" s="4" t="s">
        <v>273</v>
      </c>
      <c r="Y1119" s="4" t="s">
        <v>241</v>
      </c>
      <c r="AB1119" s="4" t="s">
        <v>241</v>
      </c>
      <c r="AD1119" s="5" t="s">
        <v>241</v>
      </c>
      <c r="AG1119" s="5" t="s">
        <v>246</v>
      </c>
      <c r="AH1119" s="4" t="s">
        <v>241</v>
      </c>
      <c r="AI1119" s="4" t="s">
        <v>247</v>
      </c>
      <c r="AJ1119" s="4" t="s">
        <v>248</v>
      </c>
      <c r="AZ1119" s="4" t="s">
        <v>249</v>
      </c>
      <c r="BA1119" s="4" t="s">
        <v>241</v>
      </c>
      <c r="BB1119" s="4" t="s">
        <v>250</v>
      </c>
      <c r="BC1119" s="4" t="s">
        <v>241</v>
      </c>
      <c r="BD1119" s="4" t="s">
        <v>252</v>
      </c>
      <c r="BE1119" s="4" t="s">
        <v>241</v>
      </c>
      <c r="BI1119" s="4" t="s">
        <v>253</v>
      </c>
      <c r="BJ1119" s="5" t="s">
        <v>246</v>
      </c>
      <c r="BK1119" s="4" t="s">
        <v>254</v>
      </c>
      <c r="BL1119" s="4" t="s">
        <v>255</v>
      </c>
      <c r="BM1119" s="4" t="s">
        <v>241</v>
      </c>
      <c r="BN1119" s="6">
        <f>0</f>
        <v>0</v>
      </c>
      <c r="BO1119" s="6">
        <f>0</f>
        <v>0</v>
      </c>
      <c r="BP1119" s="4" t="s">
        <v>256</v>
      </c>
      <c r="BQ1119" s="4" t="s">
        <v>257</v>
      </c>
      <c r="CE1119" s="4" t="s">
        <v>241</v>
      </c>
      <c r="CF1119" s="4" t="s">
        <v>241</v>
      </c>
      <c r="CJ1119" s="4" t="s">
        <v>276</v>
      </c>
      <c r="CK1119" s="4" t="s">
        <v>259</v>
      </c>
      <c r="CL1119" s="4" t="s">
        <v>241</v>
      </c>
      <c r="CO1119" s="5" t="s">
        <v>260</v>
      </c>
      <c r="CP1119" s="4" t="s">
        <v>241</v>
      </c>
      <c r="CQ1119" s="4" t="s">
        <v>261</v>
      </c>
      <c r="CR1119" s="4" t="s">
        <v>241</v>
      </c>
      <c r="CS1119" s="4" t="s">
        <v>241</v>
      </c>
      <c r="CT1119" s="4">
        <v>0</v>
      </c>
      <c r="CU1119" s="4" t="s">
        <v>262</v>
      </c>
      <c r="CV1119" s="4" t="s">
        <v>263</v>
      </c>
      <c r="CW1119" s="4" t="s">
        <v>263</v>
      </c>
      <c r="CX1119" s="4" t="s">
        <v>264</v>
      </c>
      <c r="DA1119" s="6">
        <f>1</f>
        <v>1</v>
      </c>
      <c r="DC1119" s="4" t="s">
        <v>277</v>
      </c>
      <c r="DD1119" s="4" t="s">
        <v>241</v>
      </c>
      <c r="DF1119" s="4" t="s">
        <v>277</v>
      </c>
      <c r="DG1119" s="6">
        <f>3433</f>
        <v>3433</v>
      </c>
      <c r="DI1119" s="4" t="s">
        <v>241</v>
      </c>
      <c r="DJ1119" s="4" t="s">
        <v>241</v>
      </c>
      <c r="DK1119" s="4" t="s">
        <v>241</v>
      </c>
      <c r="DL1119" s="4" t="s">
        <v>241</v>
      </c>
      <c r="DP1119" s="4" t="s">
        <v>241</v>
      </c>
      <c r="DQ1119" s="4" t="s">
        <v>241</v>
      </c>
      <c r="DR1119" s="4" t="s">
        <v>241</v>
      </c>
      <c r="DS1119" s="4" t="s">
        <v>241</v>
      </c>
      <c r="DV1119" s="4" t="s">
        <v>278</v>
      </c>
      <c r="DW1119" s="4" t="s">
        <v>406</v>
      </c>
      <c r="HO1119" s="4" t="s">
        <v>267</v>
      </c>
    </row>
    <row r="1120" spans="1:223" ht="19.5" customHeight="1" x14ac:dyDescent="0.4">
      <c r="A1120" s="4">
        <v>1</v>
      </c>
      <c r="B1120" s="4" t="s">
        <v>239</v>
      </c>
      <c r="C1120" s="4">
        <v>2794</v>
      </c>
      <c r="D1120" s="4">
        <v>1</v>
      </c>
      <c r="E1120" s="4">
        <v>1</v>
      </c>
      <c r="F1120" s="4" t="s">
        <v>268</v>
      </c>
      <c r="G1120" s="4" t="s">
        <v>241</v>
      </c>
      <c r="H1120" s="4" t="s">
        <v>241</v>
      </c>
      <c r="I1120" s="4" t="s">
        <v>272</v>
      </c>
      <c r="J1120" s="4" t="s">
        <v>274</v>
      </c>
      <c r="K1120" s="4" t="s">
        <v>251</v>
      </c>
      <c r="L1120" s="4" t="s">
        <v>269</v>
      </c>
      <c r="M1120" s="5" t="s">
        <v>410</v>
      </c>
      <c r="N1120" s="6">
        <f>1899</f>
        <v>1899</v>
      </c>
      <c r="O1120" s="4" t="s">
        <v>265</v>
      </c>
      <c r="P1120" s="6">
        <f>1</f>
        <v>1</v>
      </c>
      <c r="Q1120" s="6">
        <f>0</f>
        <v>0</v>
      </c>
      <c r="S1120" s="6">
        <f>0</f>
        <v>0</v>
      </c>
      <c r="T1120" s="6">
        <f>1</f>
        <v>1</v>
      </c>
      <c r="U1120" s="5" t="s">
        <v>245</v>
      </c>
      <c r="V1120" s="4" t="s">
        <v>270</v>
      </c>
      <c r="W1120" s="4" t="s">
        <v>271</v>
      </c>
      <c r="X1120" s="4" t="s">
        <v>273</v>
      </c>
      <c r="Y1120" s="4" t="s">
        <v>241</v>
      </c>
      <c r="AB1120" s="4" t="s">
        <v>241</v>
      </c>
      <c r="AD1120" s="5" t="s">
        <v>241</v>
      </c>
      <c r="AG1120" s="5" t="s">
        <v>246</v>
      </c>
      <c r="AH1120" s="4" t="s">
        <v>241</v>
      </c>
      <c r="AI1120" s="4" t="s">
        <v>247</v>
      </c>
      <c r="AJ1120" s="4" t="s">
        <v>248</v>
      </c>
      <c r="AZ1120" s="4" t="s">
        <v>249</v>
      </c>
      <c r="BA1120" s="4" t="s">
        <v>241</v>
      </c>
      <c r="BB1120" s="4" t="s">
        <v>250</v>
      </c>
      <c r="BC1120" s="4" t="s">
        <v>241</v>
      </c>
      <c r="BD1120" s="4" t="s">
        <v>252</v>
      </c>
      <c r="BE1120" s="4" t="s">
        <v>241</v>
      </c>
      <c r="BI1120" s="4" t="s">
        <v>253</v>
      </c>
      <c r="BJ1120" s="5" t="s">
        <v>246</v>
      </c>
      <c r="BK1120" s="4" t="s">
        <v>254</v>
      </c>
      <c r="BL1120" s="4" t="s">
        <v>255</v>
      </c>
      <c r="BM1120" s="4" t="s">
        <v>241</v>
      </c>
      <c r="BN1120" s="6">
        <f>0</f>
        <v>0</v>
      </c>
      <c r="BO1120" s="6">
        <f>0</f>
        <v>0</v>
      </c>
      <c r="BP1120" s="4" t="s">
        <v>256</v>
      </c>
      <c r="BQ1120" s="4" t="s">
        <v>257</v>
      </c>
      <c r="CE1120" s="4" t="s">
        <v>241</v>
      </c>
      <c r="CF1120" s="4" t="s">
        <v>241</v>
      </c>
      <c r="CJ1120" s="4" t="s">
        <v>276</v>
      </c>
      <c r="CK1120" s="4" t="s">
        <v>259</v>
      </c>
      <c r="CL1120" s="4" t="s">
        <v>241</v>
      </c>
      <c r="CO1120" s="5" t="s">
        <v>260</v>
      </c>
      <c r="CP1120" s="4" t="s">
        <v>241</v>
      </c>
      <c r="CQ1120" s="4" t="s">
        <v>261</v>
      </c>
      <c r="CR1120" s="4" t="s">
        <v>241</v>
      </c>
      <c r="CS1120" s="4" t="s">
        <v>241</v>
      </c>
      <c r="CT1120" s="4">
        <v>0</v>
      </c>
      <c r="CU1120" s="4" t="s">
        <v>262</v>
      </c>
      <c r="CV1120" s="4" t="s">
        <v>263</v>
      </c>
      <c r="CW1120" s="4" t="s">
        <v>263</v>
      </c>
      <c r="CX1120" s="4" t="s">
        <v>264</v>
      </c>
      <c r="DA1120" s="6">
        <f>1</f>
        <v>1</v>
      </c>
      <c r="DC1120" s="4" t="s">
        <v>277</v>
      </c>
      <c r="DD1120" s="4" t="s">
        <v>241</v>
      </c>
      <c r="DF1120" s="4" t="s">
        <v>277</v>
      </c>
      <c r="DG1120" s="6">
        <f>1899</f>
        <v>1899</v>
      </c>
      <c r="DI1120" s="4" t="s">
        <v>241</v>
      </c>
      <c r="DJ1120" s="4" t="s">
        <v>241</v>
      </c>
      <c r="DK1120" s="4" t="s">
        <v>241</v>
      </c>
      <c r="DL1120" s="4" t="s">
        <v>241</v>
      </c>
      <c r="DP1120" s="4" t="s">
        <v>241</v>
      </c>
      <c r="DQ1120" s="4" t="s">
        <v>241</v>
      </c>
      <c r="DR1120" s="4" t="s">
        <v>241</v>
      </c>
      <c r="DS1120" s="4" t="s">
        <v>241</v>
      </c>
      <c r="DV1120" s="4" t="s">
        <v>278</v>
      </c>
      <c r="DW1120" s="4" t="s">
        <v>411</v>
      </c>
      <c r="HO1120" s="4" t="s">
        <v>267</v>
      </c>
    </row>
    <row r="1121" spans="1:223" ht="19.5" customHeight="1" x14ac:dyDescent="0.4">
      <c r="A1121" s="4">
        <v>1</v>
      </c>
      <c r="B1121" s="4" t="s">
        <v>239</v>
      </c>
      <c r="C1121" s="4">
        <v>2795</v>
      </c>
      <c r="D1121" s="4">
        <v>1</v>
      </c>
      <c r="E1121" s="4">
        <v>1</v>
      </c>
      <c r="F1121" s="4" t="s">
        <v>268</v>
      </c>
      <c r="G1121" s="4" t="s">
        <v>241</v>
      </c>
      <c r="H1121" s="4" t="s">
        <v>241</v>
      </c>
      <c r="I1121" s="4" t="s">
        <v>272</v>
      </c>
      <c r="J1121" s="4" t="s">
        <v>274</v>
      </c>
      <c r="K1121" s="4" t="s">
        <v>251</v>
      </c>
      <c r="L1121" s="4" t="s">
        <v>269</v>
      </c>
      <c r="M1121" s="5" t="s">
        <v>3136</v>
      </c>
      <c r="N1121" s="6">
        <f>3443</f>
        <v>3443</v>
      </c>
      <c r="O1121" s="4" t="s">
        <v>265</v>
      </c>
      <c r="P1121" s="6">
        <f>1</f>
        <v>1</v>
      </c>
      <c r="Q1121" s="6">
        <f>0</f>
        <v>0</v>
      </c>
      <c r="S1121" s="6">
        <f>0</f>
        <v>0</v>
      </c>
      <c r="T1121" s="6">
        <f>1</f>
        <v>1</v>
      </c>
      <c r="U1121" s="5" t="s">
        <v>245</v>
      </c>
      <c r="V1121" s="4" t="s">
        <v>270</v>
      </c>
      <c r="W1121" s="4" t="s">
        <v>271</v>
      </c>
      <c r="X1121" s="4" t="s">
        <v>273</v>
      </c>
      <c r="Y1121" s="4" t="s">
        <v>241</v>
      </c>
      <c r="AB1121" s="4" t="s">
        <v>241</v>
      </c>
      <c r="AD1121" s="5" t="s">
        <v>241</v>
      </c>
      <c r="AG1121" s="5" t="s">
        <v>246</v>
      </c>
      <c r="AH1121" s="4" t="s">
        <v>241</v>
      </c>
      <c r="AI1121" s="4" t="s">
        <v>247</v>
      </c>
      <c r="AJ1121" s="4" t="s">
        <v>248</v>
      </c>
      <c r="AZ1121" s="4" t="s">
        <v>249</v>
      </c>
      <c r="BA1121" s="4" t="s">
        <v>241</v>
      </c>
      <c r="BB1121" s="4" t="s">
        <v>250</v>
      </c>
      <c r="BC1121" s="4" t="s">
        <v>241</v>
      </c>
      <c r="BD1121" s="4" t="s">
        <v>252</v>
      </c>
      <c r="BE1121" s="4" t="s">
        <v>241</v>
      </c>
      <c r="BI1121" s="4" t="s">
        <v>253</v>
      </c>
      <c r="BJ1121" s="5" t="s">
        <v>246</v>
      </c>
      <c r="BK1121" s="4" t="s">
        <v>254</v>
      </c>
      <c r="BL1121" s="4" t="s">
        <v>255</v>
      </c>
      <c r="BM1121" s="4" t="s">
        <v>241</v>
      </c>
      <c r="BN1121" s="6">
        <f>0</f>
        <v>0</v>
      </c>
      <c r="BO1121" s="6">
        <f>0</f>
        <v>0</v>
      </c>
      <c r="BP1121" s="4" t="s">
        <v>256</v>
      </c>
      <c r="BQ1121" s="4" t="s">
        <v>257</v>
      </c>
      <c r="CE1121" s="4" t="s">
        <v>241</v>
      </c>
      <c r="CF1121" s="4" t="s">
        <v>241</v>
      </c>
      <c r="CJ1121" s="4" t="s">
        <v>276</v>
      </c>
      <c r="CK1121" s="4" t="s">
        <v>259</v>
      </c>
      <c r="CL1121" s="4" t="s">
        <v>241</v>
      </c>
      <c r="CO1121" s="5" t="s">
        <v>260</v>
      </c>
      <c r="CP1121" s="4" t="s">
        <v>241</v>
      </c>
      <c r="CQ1121" s="4" t="s">
        <v>261</v>
      </c>
      <c r="CR1121" s="4" t="s">
        <v>241</v>
      </c>
      <c r="CS1121" s="4" t="s">
        <v>241</v>
      </c>
      <c r="CT1121" s="4">
        <v>0</v>
      </c>
      <c r="CU1121" s="4" t="s">
        <v>262</v>
      </c>
      <c r="CV1121" s="4" t="s">
        <v>263</v>
      </c>
      <c r="CW1121" s="4" t="s">
        <v>263</v>
      </c>
      <c r="CX1121" s="4" t="s">
        <v>264</v>
      </c>
      <c r="DA1121" s="6">
        <f>1</f>
        <v>1</v>
      </c>
      <c r="DC1121" s="4" t="s">
        <v>277</v>
      </c>
      <c r="DD1121" s="4" t="s">
        <v>241</v>
      </c>
      <c r="DF1121" s="4" t="s">
        <v>277</v>
      </c>
      <c r="DG1121" s="6">
        <f>3443</f>
        <v>3443</v>
      </c>
      <c r="DI1121" s="4" t="s">
        <v>241</v>
      </c>
      <c r="DJ1121" s="4" t="s">
        <v>241</v>
      </c>
      <c r="DK1121" s="4" t="s">
        <v>241</v>
      </c>
      <c r="DL1121" s="4" t="s">
        <v>241</v>
      </c>
      <c r="DP1121" s="4" t="s">
        <v>241</v>
      </c>
      <c r="DQ1121" s="4" t="s">
        <v>241</v>
      </c>
      <c r="DR1121" s="4" t="s">
        <v>241</v>
      </c>
      <c r="DS1121" s="4" t="s">
        <v>241</v>
      </c>
      <c r="DV1121" s="4" t="s">
        <v>278</v>
      </c>
      <c r="DW1121" s="4" t="s">
        <v>3137</v>
      </c>
      <c r="HO1121" s="4" t="s">
        <v>267</v>
      </c>
    </row>
    <row r="1122" spans="1:223" ht="19.5" customHeight="1" x14ac:dyDescent="0.4">
      <c r="A1122" s="4">
        <v>1</v>
      </c>
      <c r="B1122" s="4" t="s">
        <v>239</v>
      </c>
      <c r="C1122" s="4">
        <v>2796</v>
      </c>
      <c r="D1122" s="4">
        <v>1</v>
      </c>
      <c r="E1122" s="4">
        <v>1</v>
      </c>
      <c r="F1122" s="4" t="s">
        <v>268</v>
      </c>
      <c r="G1122" s="4" t="s">
        <v>241</v>
      </c>
      <c r="H1122" s="4" t="s">
        <v>241</v>
      </c>
      <c r="I1122" s="4" t="s">
        <v>272</v>
      </c>
      <c r="J1122" s="4" t="s">
        <v>274</v>
      </c>
      <c r="K1122" s="4" t="s">
        <v>251</v>
      </c>
      <c r="L1122" s="4" t="s">
        <v>269</v>
      </c>
      <c r="M1122" s="5" t="s">
        <v>3134</v>
      </c>
      <c r="N1122" s="6">
        <f>605</f>
        <v>605</v>
      </c>
      <c r="O1122" s="4" t="s">
        <v>265</v>
      </c>
      <c r="P1122" s="6">
        <f>1</f>
        <v>1</v>
      </c>
      <c r="Q1122" s="6">
        <f>0</f>
        <v>0</v>
      </c>
      <c r="S1122" s="6">
        <f>0</f>
        <v>0</v>
      </c>
      <c r="T1122" s="6">
        <f>1</f>
        <v>1</v>
      </c>
      <c r="U1122" s="5" t="s">
        <v>245</v>
      </c>
      <c r="V1122" s="4" t="s">
        <v>270</v>
      </c>
      <c r="W1122" s="4" t="s">
        <v>271</v>
      </c>
      <c r="X1122" s="4" t="s">
        <v>273</v>
      </c>
      <c r="Y1122" s="4" t="s">
        <v>241</v>
      </c>
      <c r="AB1122" s="4" t="s">
        <v>241</v>
      </c>
      <c r="AD1122" s="5" t="s">
        <v>241</v>
      </c>
      <c r="AG1122" s="5" t="s">
        <v>246</v>
      </c>
      <c r="AH1122" s="4" t="s">
        <v>241</v>
      </c>
      <c r="AI1122" s="4" t="s">
        <v>247</v>
      </c>
      <c r="AJ1122" s="4" t="s">
        <v>248</v>
      </c>
      <c r="AZ1122" s="4" t="s">
        <v>249</v>
      </c>
      <c r="BA1122" s="4" t="s">
        <v>241</v>
      </c>
      <c r="BB1122" s="4" t="s">
        <v>250</v>
      </c>
      <c r="BC1122" s="4" t="s">
        <v>241</v>
      </c>
      <c r="BD1122" s="4" t="s">
        <v>252</v>
      </c>
      <c r="BE1122" s="4" t="s">
        <v>241</v>
      </c>
      <c r="BI1122" s="4" t="s">
        <v>253</v>
      </c>
      <c r="BJ1122" s="5" t="s">
        <v>246</v>
      </c>
      <c r="BK1122" s="4" t="s">
        <v>254</v>
      </c>
      <c r="BL1122" s="4" t="s">
        <v>255</v>
      </c>
      <c r="BM1122" s="4" t="s">
        <v>241</v>
      </c>
      <c r="BN1122" s="6">
        <f>0</f>
        <v>0</v>
      </c>
      <c r="BO1122" s="6">
        <f>0</f>
        <v>0</v>
      </c>
      <c r="BP1122" s="4" t="s">
        <v>256</v>
      </c>
      <c r="BQ1122" s="4" t="s">
        <v>257</v>
      </c>
      <c r="CE1122" s="4" t="s">
        <v>241</v>
      </c>
      <c r="CF1122" s="4" t="s">
        <v>241</v>
      </c>
      <c r="CJ1122" s="4" t="s">
        <v>276</v>
      </c>
      <c r="CK1122" s="4" t="s">
        <v>259</v>
      </c>
      <c r="CL1122" s="4" t="s">
        <v>241</v>
      </c>
      <c r="CO1122" s="5" t="s">
        <v>260</v>
      </c>
      <c r="CP1122" s="4" t="s">
        <v>241</v>
      </c>
      <c r="CQ1122" s="4" t="s">
        <v>261</v>
      </c>
      <c r="CR1122" s="4" t="s">
        <v>241</v>
      </c>
      <c r="CS1122" s="4" t="s">
        <v>241</v>
      </c>
      <c r="CT1122" s="4">
        <v>0</v>
      </c>
      <c r="CU1122" s="4" t="s">
        <v>262</v>
      </c>
      <c r="CV1122" s="4" t="s">
        <v>263</v>
      </c>
      <c r="CW1122" s="4" t="s">
        <v>263</v>
      </c>
      <c r="CX1122" s="4" t="s">
        <v>264</v>
      </c>
      <c r="DA1122" s="6">
        <f>1</f>
        <v>1</v>
      </c>
      <c r="DC1122" s="4" t="s">
        <v>277</v>
      </c>
      <c r="DD1122" s="4" t="s">
        <v>241</v>
      </c>
      <c r="DF1122" s="4" t="s">
        <v>277</v>
      </c>
      <c r="DG1122" s="6">
        <f>605</f>
        <v>605</v>
      </c>
      <c r="DI1122" s="4" t="s">
        <v>241</v>
      </c>
      <c r="DJ1122" s="4" t="s">
        <v>241</v>
      </c>
      <c r="DK1122" s="4" t="s">
        <v>241</v>
      </c>
      <c r="DL1122" s="4" t="s">
        <v>241</v>
      </c>
      <c r="DP1122" s="4" t="s">
        <v>241</v>
      </c>
      <c r="DQ1122" s="4" t="s">
        <v>241</v>
      </c>
      <c r="DR1122" s="4" t="s">
        <v>241</v>
      </c>
      <c r="DS1122" s="4" t="s">
        <v>241</v>
      </c>
      <c r="DV1122" s="4" t="s">
        <v>278</v>
      </c>
      <c r="DW1122" s="4" t="s">
        <v>3135</v>
      </c>
      <c r="HO1122" s="4" t="s">
        <v>267</v>
      </c>
    </row>
    <row r="1123" spans="1:223" ht="19.5" customHeight="1" x14ac:dyDescent="0.4">
      <c r="A1123" s="4">
        <v>1</v>
      </c>
      <c r="B1123" s="4" t="s">
        <v>239</v>
      </c>
      <c r="C1123" s="4">
        <v>2797</v>
      </c>
      <c r="D1123" s="4">
        <v>1</v>
      </c>
      <c r="E1123" s="4">
        <v>1</v>
      </c>
      <c r="F1123" s="4" t="s">
        <v>268</v>
      </c>
      <c r="G1123" s="4" t="s">
        <v>241</v>
      </c>
      <c r="H1123" s="4" t="s">
        <v>241</v>
      </c>
      <c r="I1123" s="4" t="s">
        <v>272</v>
      </c>
      <c r="J1123" s="4" t="s">
        <v>274</v>
      </c>
      <c r="K1123" s="4" t="s">
        <v>251</v>
      </c>
      <c r="L1123" s="4" t="s">
        <v>269</v>
      </c>
      <c r="M1123" s="5" t="s">
        <v>3132</v>
      </c>
      <c r="N1123" s="6">
        <f>255</f>
        <v>255</v>
      </c>
      <c r="O1123" s="4" t="s">
        <v>265</v>
      </c>
      <c r="P1123" s="6">
        <f>1</f>
        <v>1</v>
      </c>
      <c r="Q1123" s="6">
        <f>0</f>
        <v>0</v>
      </c>
      <c r="S1123" s="6">
        <f>0</f>
        <v>0</v>
      </c>
      <c r="T1123" s="6">
        <f>1</f>
        <v>1</v>
      </c>
      <c r="U1123" s="5" t="s">
        <v>245</v>
      </c>
      <c r="V1123" s="4" t="s">
        <v>270</v>
      </c>
      <c r="W1123" s="4" t="s">
        <v>271</v>
      </c>
      <c r="X1123" s="4" t="s">
        <v>273</v>
      </c>
      <c r="Y1123" s="4" t="s">
        <v>241</v>
      </c>
      <c r="AB1123" s="4" t="s">
        <v>241</v>
      </c>
      <c r="AD1123" s="5" t="s">
        <v>241</v>
      </c>
      <c r="AG1123" s="5" t="s">
        <v>246</v>
      </c>
      <c r="AH1123" s="4" t="s">
        <v>241</v>
      </c>
      <c r="AI1123" s="4" t="s">
        <v>247</v>
      </c>
      <c r="AJ1123" s="4" t="s">
        <v>248</v>
      </c>
      <c r="AZ1123" s="4" t="s">
        <v>249</v>
      </c>
      <c r="BA1123" s="4" t="s">
        <v>241</v>
      </c>
      <c r="BB1123" s="4" t="s">
        <v>250</v>
      </c>
      <c r="BC1123" s="4" t="s">
        <v>241</v>
      </c>
      <c r="BD1123" s="4" t="s">
        <v>252</v>
      </c>
      <c r="BE1123" s="4" t="s">
        <v>241</v>
      </c>
      <c r="BI1123" s="4" t="s">
        <v>253</v>
      </c>
      <c r="BJ1123" s="5" t="s">
        <v>246</v>
      </c>
      <c r="BK1123" s="4" t="s">
        <v>254</v>
      </c>
      <c r="BL1123" s="4" t="s">
        <v>255</v>
      </c>
      <c r="BM1123" s="4" t="s">
        <v>241</v>
      </c>
      <c r="BN1123" s="6">
        <f>0</f>
        <v>0</v>
      </c>
      <c r="BO1123" s="6">
        <f>0</f>
        <v>0</v>
      </c>
      <c r="BP1123" s="4" t="s">
        <v>256</v>
      </c>
      <c r="BQ1123" s="4" t="s">
        <v>257</v>
      </c>
      <c r="CE1123" s="4" t="s">
        <v>241</v>
      </c>
      <c r="CF1123" s="4" t="s">
        <v>241</v>
      </c>
      <c r="CJ1123" s="4" t="s">
        <v>276</v>
      </c>
      <c r="CK1123" s="4" t="s">
        <v>259</v>
      </c>
      <c r="CL1123" s="4" t="s">
        <v>241</v>
      </c>
      <c r="CO1123" s="5" t="s">
        <v>260</v>
      </c>
      <c r="CP1123" s="4" t="s">
        <v>241</v>
      </c>
      <c r="CQ1123" s="4" t="s">
        <v>261</v>
      </c>
      <c r="CR1123" s="4" t="s">
        <v>241</v>
      </c>
      <c r="CS1123" s="4" t="s">
        <v>241</v>
      </c>
      <c r="CT1123" s="4">
        <v>0</v>
      </c>
      <c r="CU1123" s="4" t="s">
        <v>262</v>
      </c>
      <c r="CV1123" s="4" t="s">
        <v>263</v>
      </c>
      <c r="CW1123" s="4" t="s">
        <v>263</v>
      </c>
      <c r="CX1123" s="4" t="s">
        <v>264</v>
      </c>
      <c r="DA1123" s="6">
        <f>1</f>
        <v>1</v>
      </c>
      <c r="DC1123" s="4" t="s">
        <v>277</v>
      </c>
      <c r="DD1123" s="4" t="s">
        <v>241</v>
      </c>
      <c r="DF1123" s="4" t="s">
        <v>277</v>
      </c>
      <c r="DG1123" s="6">
        <f>255</f>
        <v>255</v>
      </c>
      <c r="DI1123" s="4" t="s">
        <v>241</v>
      </c>
      <c r="DJ1123" s="4" t="s">
        <v>241</v>
      </c>
      <c r="DK1123" s="4" t="s">
        <v>241</v>
      </c>
      <c r="DL1123" s="4" t="s">
        <v>241</v>
      </c>
      <c r="DP1123" s="4" t="s">
        <v>241</v>
      </c>
      <c r="DQ1123" s="4" t="s">
        <v>241</v>
      </c>
      <c r="DR1123" s="4" t="s">
        <v>241</v>
      </c>
      <c r="DS1123" s="4" t="s">
        <v>241</v>
      </c>
      <c r="DV1123" s="4" t="s">
        <v>278</v>
      </c>
      <c r="DW1123" s="4" t="s">
        <v>3133</v>
      </c>
      <c r="HO1123" s="4" t="s">
        <v>267</v>
      </c>
    </row>
    <row r="1124" spans="1:223" ht="19.5" customHeight="1" x14ac:dyDescent="0.4">
      <c r="A1124" s="4">
        <v>1</v>
      </c>
      <c r="B1124" s="4" t="s">
        <v>239</v>
      </c>
      <c r="C1124" s="4">
        <v>2798</v>
      </c>
      <c r="D1124" s="4">
        <v>1</v>
      </c>
      <c r="E1124" s="4">
        <v>1</v>
      </c>
      <c r="F1124" s="4" t="s">
        <v>268</v>
      </c>
      <c r="G1124" s="4" t="s">
        <v>241</v>
      </c>
      <c r="H1124" s="4" t="s">
        <v>241</v>
      </c>
      <c r="I1124" s="4" t="s">
        <v>272</v>
      </c>
      <c r="J1124" s="4" t="s">
        <v>274</v>
      </c>
      <c r="K1124" s="4" t="s">
        <v>251</v>
      </c>
      <c r="L1124" s="4" t="s">
        <v>269</v>
      </c>
      <c r="M1124" s="5" t="s">
        <v>3130</v>
      </c>
      <c r="N1124" s="6">
        <f>1532</f>
        <v>1532</v>
      </c>
      <c r="O1124" s="4" t="s">
        <v>265</v>
      </c>
      <c r="P1124" s="6">
        <f>1</f>
        <v>1</v>
      </c>
      <c r="Q1124" s="6">
        <f>0</f>
        <v>0</v>
      </c>
      <c r="S1124" s="6">
        <f>0</f>
        <v>0</v>
      </c>
      <c r="T1124" s="6">
        <f>1</f>
        <v>1</v>
      </c>
      <c r="U1124" s="5" t="s">
        <v>245</v>
      </c>
      <c r="V1124" s="4" t="s">
        <v>270</v>
      </c>
      <c r="W1124" s="4" t="s">
        <v>271</v>
      </c>
      <c r="X1124" s="4" t="s">
        <v>273</v>
      </c>
      <c r="Y1124" s="4" t="s">
        <v>241</v>
      </c>
      <c r="AB1124" s="4" t="s">
        <v>241</v>
      </c>
      <c r="AD1124" s="5" t="s">
        <v>241</v>
      </c>
      <c r="AG1124" s="5" t="s">
        <v>246</v>
      </c>
      <c r="AH1124" s="4" t="s">
        <v>241</v>
      </c>
      <c r="AI1124" s="4" t="s">
        <v>247</v>
      </c>
      <c r="AJ1124" s="4" t="s">
        <v>248</v>
      </c>
      <c r="AZ1124" s="4" t="s">
        <v>249</v>
      </c>
      <c r="BA1124" s="4" t="s">
        <v>241</v>
      </c>
      <c r="BB1124" s="4" t="s">
        <v>250</v>
      </c>
      <c r="BC1124" s="4" t="s">
        <v>241</v>
      </c>
      <c r="BD1124" s="4" t="s">
        <v>252</v>
      </c>
      <c r="BE1124" s="4" t="s">
        <v>241</v>
      </c>
      <c r="BI1124" s="4" t="s">
        <v>253</v>
      </c>
      <c r="BJ1124" s="5" t="s">
        <v>246</v>
      </c>
      <c r="BK1124" s="4" t="s">
        <v>254</v>
      </c>
      <c r="BL1124" s="4" t="s">
        <v>255</v>
      </c>
      <c r="BM1124" s="4" t="s">
        <v>241</v>
      </c>
      <c r="BN1124" s="6">
        <f>0</f>
        <v>0</v>
      </c>
      <c r="BO1124" s="6">
        <f>0</f>
        <v>0</v>
      </c>
      <c r="BP1124" s="4" t="s">
        <v>256</v>
      </c>
      <c r="BQ1124" s="4" t="s">
        <v>257</v>
      </c>
      <c r="CE1124" s="4" t="s">
        <v>241</v>
      </c>
      <c r="CF1124" s="4" t="s">
        <v>241</v>
      </c>
      <c r="CJ1124" s="4" t="s">
        <v>276</v>
      </c>
      <c r="CK1124" s="4" t="s">
        <v>259</v>
      </c>
      <c r="CL1124" s="4" t="s">
        <v>241</v>
      </c>
      <c r="CO1124" s="5" t="s">
        <v>260</v>
      </c>
      <c r="CP1124" s="4" t="s">
        <v>241</v>
      </c>
      <c r="CQ1124" s="4" t="s">
        <v>261</v>
      </c>
      <c r="CR1124" s="4" t="s">
        <v>241</v>
      </c>
      <c r="CS1124" s="4" t="s">
        <v>241</v>
      </c>
      <c r="CT1124" s="4">
        <v>0</v>
      </c>
      <c r="CU1124" s="4" t="s">
        <v>262</v>
      </c>
      <c r="CV1124" s="4" t="s">
        <v>263</v>
      </c>
      <c r="CW1124" s="4" t="s">
        <v>263</v>
      </c>
      <c r="CX1124" s="4" t="s">
        <v>264</v>
      </c>
      <c r="DA1124" s="6">
        <f>1</f>
        <v>1</v>
      </c>
      <c r="DC1124" s="4" t="s">
        <v>277</v>
      </c>
      <c r="DD1124" s="4" t="s">
        <v>241</v>
      </c>
      <c r="DF1124" s="4" t="s">
        <v>277</v>
      </c>
      <c r="DG1124" s="6">
        <f>1532</f>
        <v>1532</v>
      </c>
      <c r="DI1124" s="4" t="s">
        <v>241</v>
      </c>
      <c r="DJ1124" s="4" t="s">
        <v>241</v>
      </c>
      <c r="DK1124" s="4" t="s">
        <v>241</v>
      </c>
      <c r="DL1124" s="4" t="s">
        <v>241</v>
      </c>
      <c r="DP1124" s="4" t="s">
        <v>241</v>
      </c>
      <c r="DQ1124" s="4" t="s">
        <v>241</v>
      </c>
      <c r="DR1124" s="4" t="s">
        <v>241</v>
      </c>
      <c r="DS1124" s="4" t="s">
        <v>241</v>
      </c>
      <c r="DV1124" s="4" t="s">
        <v>278</v>
      </c>
      <c r="DW1124" s="4" t="s">
        <v>3131</v>
      </c>
      <c r="HO1124" s="4" t="s">
        <v>267</v>
      </c>
    </row>
    <row r="1125" spans="1:223" ht="19.5" customHeight="1" x14ac:dyDescent="0.4">
      <c r="A1125" s="4">
        <v>1</v>
      </c>
      <c r="B1125" s="4" t="s">
        <v>239</v>
      </c>
      <c r="C1125" s="4">
        <v>2799</v>
      </c>
      <c r="D1125" s="4">
        <v>1</v>
      </c>
      <c r="E1125" s="4">
        <v>1</v>
      </c>
      <c r="F1125" s="4" t="s">
        <v>268</v>
      </c>
      <c r="G1125" s="4" t="s">
        <v>241</v>
      </c>
      <c r="H1125" s="4" t="s">
        <v>241</v>
      </c>
      <c r="I1125" s="4" t="s">
        <v>272</v>
      </c>
      <c r="J1125" s="4" t="s">
        <v>274</v>
      </c>
      <c r="K1125" s="4" t="s">
        <v>251</v>
      </c>
      <c r="L1125" s="4" t="s">
        <v>269</v>
      </c>
      <c r="M1125" s="5" t="s">
        <v>3128</v>
      </c>
      <c r="N1125" s="6">
        <f>3203</f>
        <v>3203</v>
      </c>
      <c r="O1125" s="4" t="s">
        <v>265</v>
      </c>
      <c r="P1125" s="6">
        <f>1</f>
        <v>1</v>
      </c>
      <c r="Q1125" s="6">
        <f>0</f>
        <v>0</v>
      </c>
      <c r="S1125" s="6">
        <f>0</f>
        <v>0</v>
      </c>
      <c r="T1125" s="6">
        <f>1</f>
        <v>1</v>
      </c>
      <c r="U1125" s="5" t="s">
        <v>245</v>
      </c>
      <c r="V1125" s="4" t="s">
        <v>270</v>
      </c>
      <c r="W1125" s="4" t="s">
        <v>271</v>
      </c>
      <c r="X1125" s="4" t="s">
        <v>273</v>
      </c>
      <c r="Y1125" s="4" t="s">
        <v>241</v>
      </c>
      <c r="AB1125" s="4" t="s">
        <v>241</v>
      </c>
      <c r="AD1125" s="5" t="s">
        <v>241</v>
      </c>
      <c r="AG1125" s="5" t="s">
        <v>246</v>
      </c>
      <c r="AH1125" s="4" t="s">
        <v>241</v>
      </c>
      <c r="AI1125" s="4" t="s">
        <v>247</v>
      </c>
      <c r="AJ1125" s="4" t="s">
        <v>248</v>
      </c>
      <c r="AZ1125" s="4" t="s">
        <v>249</v>
      </c>
      <c r="BA1125" s="4" t="s">
        <v>241</v>
      </c>
      <c r="BB1125" s="4" t="s">
        <v>250</v>
      </c>
      <c r="BC1125" s="4" t="s">
        <v>241</v>
      </c>
      <c r="BD1125" s="4" t="s">
        <v>252</v>
      </c>
      <c r="BE1125" s="4" t="s">
        <v>241</v>
      </c>
      <c r="BI1125" s="4" t="s">
        <v>253</v>
      </c>
      <c r="BJ1125" s="5" t="s">
        <v>246</v>
      </c>
      <c r="BK1125" s="4" t="s">
        <v>254</v>
      </c>
      <c r="BL1125" s="4" t="s">
        <v>255</v>
      </c>
      <c r="BM1125" s="4" t="s">
        <v>241</v>
      </c>
      <c r="BN1125" s="6">
        <f>0</f>
        <v>0</v>
      </c>
      <c r="BO1125" s="6">
        <f>0</f>
        <v>0</v>
      </c>
      <c r="BP1125" s="4" t="s">
        <v>256</v>
      </c>
      <c r="BQ1125" s="4" t="s">
        <v>257</v>
      </c>
      <c r="CE1125" s="4" t="s">
        <v>241</v>
      </c>
      <c r="CF1125" s="4" t="s">
        <v>241</v>
      </c>
      <c r="CJ1125" s="4" t="s">
        <v>276</v>
      </c>
      <c r="CK1125" s="4" t="s">
        <v>259</v>
      </c>
      <c r="CL1125" s="4" t="s">
        <v>241</v>
      </c>
      <c r="CO1125" s="5" t="s">
        <v>260</v>
      </c>
      <c r="CP1125" s="4" t="s">
        <v>241</v>
      </c>
      <c r="CQ1125" s="4" t="s">
        <v>261</v>
      </c>
      <c r="CR1125" s="4" t="s">
        <v>241</v>
      </c>
      <c r="CS1125" s="4" t="s">
        <v>241</v>
      </c>
      <c r="CT1125" s="4">
        <v>0</v>
      </c>
      <c r="CU1125" s="4" t="s">
        <v>262</v>
      </c>
      <c r="CV1125" s="4" t="s">
        <v>263</v>
      </c>
      <c r="CW1125" s="4" t="s">
        <v>263</v>
      </c>
      <c r="CX1125" s="4" t="s">
        <v>264</v>
      </c>
      <c r="DA1125" s="6">
        <f>1</f>
        <v>1</v>
      </c>
      <c r="DC1125" s="4" t="s">
        <v>277</v>
      </c>
      <c r="DD1125" s="4" t="s">
        <v>241</v>
      </c>
      <c r="DF1125" s="4" t="s">
        <v>277</v>
      </c>
      <c r="DG1125" s="6">
        <f>3203</f>
        <v>3203</v>
      </c>
      <c r="DI1125" s="4" t="s">
        <v>241</v>
      </c>
      <c r="DJ1125" s="4" t="s">
        <v>241</v>
      </c>
      <c r="DK1125" s="4" t="s">
        <v>241</v>
      </c>
      <c r="DL1125" s="4" t="s">
        <v>241</v>
      </c>
      <c r="DP1125" s="4" t="s">
        <v>241</v>
      </c>
      <c r="DQ1125" s="4" t="s">
        <v>241</v>
      </c>
      <c r="DR1125" s="4" t="s">
        <v>241</v>
      </c>
      <c r="DS1125" s="4" t="s">
        <v>241</v>
      </c>
      <c r="DV1125" s="4" t="s">
        <v>278</v>
      </c>
      <c r="DW1125" s="4" t="s">
        <v>3129</v>
      </c>
      <c r="HO1125" s="4" t="s">
        <v>267</v>
      </c>
    </row>
    <row r="1126" spans="1:223" ht="19.5" customHeight="1" x14ac:dyDescent="0.4">
      <c r="A1126" s="4">
        <v>1</v>
      </c>
      <c r="B1126" s="4" t="s">
        <v>239</v>
      </c>
      <c r="C1126" s="4">
        <v>2800</v>
      </c>
      <c r="D1126" s="4">
        <v>1</v>
      </c>
      <c r="E1126" s="4">
        <v>1</v>
      </c>
      <c r="F1126" s="4" t="s">
        <v>268</v>
      </c>
      <c r="G1126" s="4" t="s">
        <v>241</v>
      </c>
      <c r="H1126" s="4" t="s">
        <v>241</v>
      </c>
      <c r="I1126" s="4" t="s">
        <v>272</v>
      </c>
      <c r="J1126" s="4" t="s">
        <v>274</v>
      </c>
      <c r="K1126" s="4" t="s">
        <v>251</v>
      </c>
      <c r="L1126" s="4" t="s">
        <v>269</v>
      </c>
      <c r="M1126" s="5" t="s">
        <v>3126</v>
      </c>
      <c r="N1126" s="6">
        <f>1208</f>
        <v>1208</v>
      </c>
      <c r="O1126" s="4" t="s">
        <v>265</v>
      </c>
      <c r="P1126" s="6">
        <f>1</f>
        <v>1</v>
      </c>
      <c r="Q1126" s="6">
        <f>0</f>
        <v>0</v>
      </c>
      <c r="S1126" s="6">
        <f>0</f>
        <v>0</v>
      </c>
      <c r="T1126" s="6">
        <f>1</f>
        <v>1</v>
      </c>
      <c r="U1126" s="5" t="s">
        <v>245</v>
      </c>
      <c r="V1126" s="4" t="s">
        <v>270</v>
      </c>
      <c r="W1126" s="4" t="s">
        <v>271</v>
      </c>
      <c r="X1126" s="4" t="s">
        <v>273</v>
      </c>
      <c r="Y1126" s="4" t="s">
        <v>241</v>
      </c>
      <c r="AB1126" s="4" t="s">
        <v>241</v>
      </c>
      <c r="AD1126" s="5" t="s">
        <v>241</v>
      </c>
      <c r="AG1126" s="5" t="s">
        <v>246</v>
      </c>
      <c r="AH1126" s="4" t="s">
        <v>241</v>
      </c>
      <c r="AI1126" s="4" t="s">
        <v>247</v>
      </c>
      <c r="AJ1126" s="4" t="s">
        <v>248</v>
      </c>
      <c r="AZ1126" s="4" t="s">
        <v>249</v>
      </c>
      <c r="BA1126" s="4" t="s">
        <v>241</v>
      </c>
      <c r="BB1126" s="4" t="s">
        <v>250</v>
      </c>
      <c r="BC1126" s="4" t="s">
        <v>241</v>
      </c>
      <c r="BD1126" s="4" t="s">
        <v>252</v>
      </c>
      <c r="BE1126" s="4" t="s">
        <v>241</v>
      </c>
      <c r="BI1126" s="4" t="s">
        <v>253</v>
      </c>
      <c r="BJ1126" s="5" t="s">
        <v>246</v>
      </c>
      <c r="BK1126" s="4" t="s">
        <v>254</v>
      </c>
      <c r="BL1126" s="4" t="s">
        <v>255</v>
      </c>
      <c r="BM1126" s="4" t="s">
        <v>241</v>
      </c>
      <c r="BN1126" s="6">
        <f>0</f>
        <v>0</v>
      </c>
      <c r="BO1126" s="6">
        <f>0</f>
        <v>0</v>
      </c>
      <c r="BP1126" s="4" t="s">
        <v>256</v>
      </c>
      <c r="BQ1126" s="4" t="s">
        <v>257</v>
      </c>
      <c r="CE1126" s="4" t="s">
        <v>241</v>
      </c>
      <c r="CF1126" s="4" t="s">
        <v>241</v>
      </c>
      <c r="CJ1126" s="4" t="s">
        <v>276</v>
      </c>
      <c r="CK1126" s="4" t="s">
        <v>259</v>
      </c>
      <c r="CL1126" s="4" t="s">
        <v>241</v>
      </c>
      <c r="CO1126" s="5" t="s">
        <v>260</v>
      </c>
      <c r="CP1126" s="4" t="s">
        <v>241</v>
      </c>
      <c r="CQ1126" s="4" t="s">
        <v>261</v>
      </c>
      <c r="CR1126" s="4" t="s">
        <v>241</v>
      </c>
      <c r="CS1126" s="4" t="s">
        <v>241</v>
      </c>
      <c r="CT1126" s="4">
        <v>0</v>
      </c>
      <c r="CU1126" s="4" t="s">
        <v>262</v>
      </c>
      <c r="CV1126" s="4" t="s">
        <v>263</v>
      </c>
      <c r="CW1126" s="4" t="s">
        <v>263</v>
      </c>
      <c r="CX1126" s="4" t="s">
        <v>264</v>
      </c>
      <c r="DA1126" s="6">
        <f>1</f>
        <v>1</v>
      </c>
      <c r="DC1126" s="4" t="s">
        <v>277</v>
      </c>
      <c r="DD1126" s="4" t="s">
        <v>241</v>
      </c>
      <c r="DF1126" s="4" t="s">
        <v>277</v>
      </c>
      <c r="DG1126" s="6">
        <f>1208</f>
        <v>1208</v>
      </c>
      <c r="DI1126" s="4" t="s">
        <v>241</v>
      </c>
      <c r="DJ1126" s="4" t="s">
        <v>241</v>
      </c>
      <c r="DK1126" s="4" t="s">
        <v>241</v>
      </c>
      <c r="DL1126" s="4" t="s">
        <v>241</v>
      </c>
      <c r="DP1126" s="4" t="s">
        <v>241</v>
      </c>
      <c r="DQ1126" s="4" t="s">
        <v>241</v>
      </c>
      <c r="DR1126" s="4" t="s">
        <v>241</v>
      </c>
      <c r="DS1126" s="4" t="s">
        <v>241</v>
      </c>
      <c r="DV1126" s="4" t="s">
        <v>278</v>
      </c>
      <c r="DW1126" s="4" t="s">
        <v>3127</v>
      </c>
      <c r="HO1126" s="4" t="s">
        <v>267</v>
      </c>
    </row>
    <row r="1127" spans="1:223" ht="19.5" customHeight="1" x14ac:dyDescent="0.4">
      <c r="A1127" s="4">
        <v>1</v>
      </c>
      <c r="B1127" s="4" t="s">
        <v>239</v>
      </c>
      <c r="C1127" s="4">
        <v>2801</v>
      </c>
      <c r="D1127" s="4">
        <v>1</v>
      </c>
      <c r="E1127" s="4">
        <v>1</v>
      </c>
      <c r="F1127" s="4" t="s">
        <v>268</v>
      </c>
      <c r="G1127" s="4" t="s">
        <v>241</v>
      </c>
      <c r="H1127" s="4" t="s">
        <v>241</v>
      </c>
      <c r="I1127" s="4" t="s">
        <v>272</v>
      </c>
      <c r="J1127" s="4" t="s">
        <v>274</v>
      </c>
      <c r="K1127" s="4" t="s">
        <v>251</v>
      </c>
      <c r="L1127" s="4" t="s">
        <v>269</v>
      </c>
      <c r="M1127" s="5" t="s">
        <v>3124</v>
      </c>
      <c r="N1127" s="6">
        <f>211</f>
        <v>211</v>
      </c>
      <c r="O1127" s="4" t="s">
        <v>265</v>
      </c>
      <c r="P1127" s="6">
        <f>1</f>
        <v>1</v>
      </c>
      <c r="Q1127" s="6">
        <f>0</f>
        <v>0</v>
      </c>
      <c r="S1127" s="6">
        <f>0</f>
        <v>0</v>
      </c>
      <c r="T1127" s="6">
        <f>1</f>
        <v>1</v>
      </c>
      <c r="U1127" s="5" t="s">
        <v>245</v>
      </c>
      <c r="V1127" s="4" t="s">
        <v>270</v>
      </c>
      <c r="W1127" s="4" t="s">
        <v>271</v>
      </c>
      <c r="X1127" s="4" t="s">
        <v>273</v>
      </c>
      <c r="Y1127" s="4" t="s">
        <v>241</v>
      </c>
      <c r="AB1127" s="4" t="s">
        <v>241</v>
      </c>
      <c r="AD1127" s="5" t="s">
        <v>241</v>
      </c>
      <c r="AG1127" s="5" t="s">
        <v>246</v>
      </c>
      <c r="AH1127" s="4" t="s">
        <v>241</v>
      </c>
      <c r="AI1127" s="4" t="s">
        <v>247</v>
      </c>
      <c r="AJ1127" s="4" t="s">
        <v>248</v>
      </c>
      <c r="AZ1127" s="4" t="s">
        <v>249</v>
      </c>
      <c r="BA1127" s="4" t="s">
        <v>241</v>
      </c>
      <c r="BB1127" s="4" t="s">
        <v>250</v>
      </c>
      <c r="BC1127" s="4" t="s">
        <v>241</v>
      </c>
      <c r="BD1127" s="4" t="s">
        <v>252</v>
      </c>
      <c r="BE1127" s="4" t="s">
        <v>241</v>
      </c>
      <c r="BI1127" s="4" t="s">
        <v>253</v>
      </c>
      <c r="BJ1127" s="5" t="s">
        <v>246</v>
      </c>
      <c r="BK1127" s="4" t="s">
        <v>254</v>
      </c>
      <c r="BL1127" s="4" t="s">
        <v>255</v>
      </c>
      <c r="BM1127" s="4" t="s">
        <v>241</v>
      </c>
      <c r="BN1127" s="6">
        <f>0</f>
        <v>0</v>
      </c>
      <c r="BO1127" s="6">
        <f>0</f>
        <v>0</v>
      </c>
      <c r="BP1127" s="4" t="s">
        <v>256</v>
      </c>
      <c r="BQ1127" s="4" t="s">
        <v>257</v>
      </c>
      <c r="CE1127" s="4" t="s">
        <v>241</v>
      </c>
      <c r="CF1127" s="4" t="s">
        <v>241</v>
      </c>
      <c r="CJ1127" s="4" t="s">
        <v>276</v>
      </c>
      <c r="CK1127" s="4" t="s">
        <v>259</v>
      </c>
      <c r="CL1127" s="4" t="s">
        <v>241</v>
      </c>
      <c r="CO1127" s="5" t="s">
        <v>260</v>
      </c>
      <c r="CP1127" s="4" t="s">
        <v>241</v>
      </c>
      <c r="CQ1127" s="4" t="s">
        <v>261</v>
      </c>
      <c r="CR1127" s="4" t="s">
        <v>241</v>
      </c>
      <c r="CS1127" s="4" t="s">
        <v>241</v>
      </c>
      <c r="CT1127" s="4">
        <v>0</v>
      </c>
      <c r="CU1127" s="4" t="s">
        <v>262</v>
      </c>
      <c r="CV1127" s="4" t="s">
        <v>263</v>
      </c>
      <c r="CW1127" s="4" t="s">
        <v>263</v>
      </c>
      <c r="CX1127" s="4" t="s">
        <v>264</v>
      </c>
      <c r="DA1127" s="6">
        <f>1</f>
        <v>1</v>
      </c>
      <c r="DC1127" s="4" t="s">
        <v>277</v>
      </c>
      <c r="DD1127" s="4" t="s">
        <v>241</v>
      </c>
      <c r="DF1127" s="4" t="s">
        <v>277</v>
      </c>
      <c r="DG1127" s="6">
        <f>211</f>
        <v>211</v>
      </c>
      <c r="DI1127" s="4" t="s">
        <v>241</v>
      </c>
      <c r="DJ1127" s="4" t="s">
        <v>241</v>
      </c>
      <c r="DK1127" s="4" t="s">
        <v>241</v>
      </c>
      <c r="DL1127" s="4" t="s">
        <v>241</v>
      </c>
      <c r="DP1127" s="4" t="s">
        <v>241</v>
      </c>
      <c r="DQ1127" s="4" t="s">
        <v>241</v>
      </c>
      <c r="DR1127" s="4" t="s">
        <v>241</v>
      </c>
      <c r="DS1127" s="4" t="s">
        <v>241</v>
      </c>
      <c r="DV1127" s="4" t="s">
        <v>278</v>
      </c>
      <c r="DW1127" s="4" t="s">
        <v>3125</v>
      </c>
      <c r="HO1127" s="4" t="s">
        <v>267</v>
      </c>
    </row>
    <row r="1128" spans="1:223" ht="19.5" customHeight="1" x14ac:dyDescent="0.4">
      <c r="A1128" s="4">
        <v>1</v>
      </c>
      <c r="B1128" s="4" t="s">
        <v>239</v>
      </c>
      <c r="C1128" s="4">
        <v>2802</v>
      </c>
      <c r="D1128" s="4">
        <v>1</v>
      </c>
      <c r="E1128" s="4">
        <v>1</v>
      </c>
      <c r="F1128" s="4" t="s">
        <v>268</v>
      </c>
      <c r="G1128" s="4" t="s">
        <v>241</v>
      </c>
      <c r="H1128" s="4" t="s">
        <v>241</v>
      </c>
      <c r="I1128" s="4" t="s">
        <v>272</v>
      </c>
      <c r="J1128" s="4" t="s">
        <v>274</v>
      </c>
      <c r="K1128" s="4" t="s">
        <v>251</v>
      </c>
      <c r="L1128" s="4" t="s">
        <v>269</v>
      </c>
      <c r="M1128" s="5" t="s">
        <v>3122</v>
      </c>
      <c r="N1128" s="6">
        <f>682</f>
        <v>682</v>
      </c>
      <c r="O1128" s="4" t="s">
        <v>265</v>
      </c>
      <c r="P1128" s="6">
        <f>1</f>
        <v>1</v>
      </c>
      <c r="Q1128" s="6">
        <f>0</f>
        <v>0</v>
      </c>
      <c r="S1128" s="6">
        <f>0</f>
        <v>0</v>
      </c>
      <c r="T1128" s="6">
        <f>1</f>
        <v>1</v>
      </c>
      <c r="U1128" s="5" t="s">
        <v>245</v>
      </c>
      <c r="V1128" s="4" t="s">
        <v>270</v>
      </c>
      <c r="W1128" s="4" t="s">
        <v>271</v>
      </c>
      <c r="X1128" s="4" t="s">
        <v>273</v>
      </c>
      <c r="Y1128" s="4" t="s">
        <v>241</v>
      </c>
      <c r="AB1128" s="4" t="s">
        <v>241</v>
      </c>
      <c r="AD1128" s="5" t="s">
        <v>241</v>
      </c>
      <c r="AG1128" s="5" t="s">
        <v>246</v>
      </c>
      <c r="AH1128" s="4" t="s">
        <v>241</v>
      </c>
      <c r="AI1128" s="4" t="s">
        <v>247</v>
      </c>
      <c r="AJ1128" s="4" t="s">
        <v>248</v>
      </c>
      <c r="AZ1128" s="4" t="s">
        <v>249</v>
      </c>
      <c r="BA1128" s="4" t="s">
        <v>241</v>
      </c>
      <c r="BB1128" s="4" t="s">
        <v>250</v>
      </c>
      <c r="BC1128" s="4" t="s">
        <v>241</v>
      </c>
      <c r="BD1128" s="4" t="s">
        <v>252</v>
      </c>
      <c r="BE1128" s="4" t="s">
        <v>241</v>
      </c>
      <c r="BI1128" s="4" t="s">
        <v>253</v>
      </c>
      <c r="BJ1128" s="5" t="s">
        <v>246</v>
      </c>
      <c r="BK1128" s="4" t="s">
        <v>254</v>
      </c>
      <c r="BL1128" s="4" t="s">
        <v>255</v>
      </c>
      <c r="BM1128" s="4" t="s">
        <v>241</v>
      </c>
      <c r="BN1128" s="6">
        <f>0</f>
        <v>0</v>
      </c>
      <c r="BO1128" s="6">
        <f>0</f>
        <v>0</v>
      </c>
      <c r="BP1128" s="4" t="s">
        <v>256</v>
      </c>
      <c r="BQ1128" s="4" t="s">
        <v>257</v>
      </c>
      <c r="CE1128" s="4" t="s">
        <v>241</v>
      </c>
      <c r="CF1128" s="4" t="s">
        <v>241</v>
      </c>
      <c r="CJ1128" s="4" t="s">
        <v>276</v>
      </c>
      <c r="CK1128" s="4" t="s">
        <v>259</v>
      </c>
      <c r="CL1128" s="4" t="s">
        <v>241</v>
      </c>
      <c r="CO1128" s="5" t="s">
        <v>260</v>
      </c>
      <c r="CP1128" s="4" t="s">
        <v>241</v>
      </c>
      <c r="CQ1128" s="4" t="s">
        <v>261</v>
      </c>
      <c r="CR1128" s="4" t="s">
        <v>241</v>
      </c>
      <c r="CS1128" s="4" t="s">
        <v>241</v>
      </c>
      <c r="CT1128" s="4">
        <v>0</v>
      </c>
      <c r="CU1128" s="4" t="s">
        <v>262</v>
      </c>
      <c r="CV1128" s="4" t="s">
        <v>263</v>
      </c>
      <c r="CW1128" s="4" t="s">
        <v>263</v>
      </c>
      <c r="CX1128" s="4" t="s">
        <v>264</v>
      </c>
      <c r="DA1128" s="6">
        <f>1</f>
        <v>1</v>
      </c>
      <c r="DC1128" s="4" t="s">
        <v>277</v>
      </c>
      <c r="DD1128" s="4" t="s">
        <v>241</v>
      </c>
      <c r="DF1128" s="4" t="s">
        <v>277</v>
      </c>
      <c r="DG1128" s="6">
        <f>682</f>
        <v>682</v>
      </c>
      <c r="DI1128" s="4" t="s">
        <v>241</v>
      </c>
      <c r="DJ1128" s="4" t="s">
        <v>241</v>
      </c>
      <c r="DK1128" s="4" t="s">
        <v>241</v>
      </c>
      <c r="DL1128" s="4" t="s">
        <v>241</v>
      </c>
      <c r="DP1128" s="4" t="s">
        <v>241</v>
      </c>
      <c r="DQ1128" s="4" t="s">
        <v>241</v>
      </c>
      <c r="DR1128" s="4" t="s">
        <v>241</v>
      </c>
      <c r="DS1128" s="4" t="s">
        <v>241</v>
      </c>
      <c r="DV1128" s="4" t="s">
        <v>278</v>
      </c>
      <c r="DW1128" s="4" t="s">
        <v>3123</v>
      </c>
      <c r="HO1128" s="4" t="s">
        <v>267</v>
      </c>
    </row>
    <row r="1129" spans="1:223" ht="19.5" customHeight="1" x14ac:dyDescent="0.4">
      <c r="A1129" s="4">
        <v>1</v>
      </c>
      <c r="B1129" s="4" t="s">
        <v>239</v>
      </c>
      <c r="C1129" s="4">
        <v>2803</v>
      </c>
      <c r="D1129" s="4">
        <v>1</v>
      </c>
      <c r="E1129" s="4">
        <v>1</v>
      </c>
      <c r="F1129" s="4" t="s">
        <v>268</v>
      </c>
      <c r="G1129" s="4" t="s">
        <v>241</v>
      </c>
      <c r="H1129" s="4" t="s">
        <v>241</v>
      </c>
      <c r="I1129" s="4" t="s">
        <v>272</v>
      </c>
      <c r="J1129" s="4" t="s">
        <v>274</v>
      </c>
      <c r="K1129" s="4" t="s">
        <v>251</v>
      </c>
      <c r="L1129" s="4" t="s">
        <v>269</v>
      </c>
      <c r="M1129" s="5" t="s">
        <v>3120</v>
      </c>
      <c r="N1129" s="6">
        <f>228</f>
        <v>228</v>
      </c>
      <c r="O1129" s="4" t="s">
        <v>265</v>
      </c>
      <c r="P1129" s="6">
        <f>1</f>
        <v>1</v>
      </c>
      <c r="Q1129" s="6">
        <f>0</f>
        <v>0</v>
      </c>
      <c r="S1129" s="6">
        <f>0</f>
        <v>0</v>
      </c>
      <c r="T1129" s="6">
        <f>1</f>
        <v>1</v>
      </c>
      <c r="U1129" s="5" t="s">
        <v>245</v>
      </c>
      <c r="V1129" s="4" t="s">
        <v>270</v>
      </c>
      <c r="W1129" s="4" t="s">
        <v>271</v>
      </c>
      <c r="X1129" s="4" t="s">
        <v>273</v>
      </c>
      <c r="Y1129" s="4" t="s">
        <v>241</v>
      </c>
      <c r="AB1129" s="4" t="s">
        <v>241</v>
      </c>
      <c r="AD1129" s="5" t="s">
        <v>241</v>
      </c>
      <c r="AG1129" s="5" t="s">
        <v>246</v>
      </c>
      <c r="AH1129" s="4" t="s">
        <v>241</v>
      </c>
      <c r="AI1129" s="4" t="s">
        <v>247</v>
      </c>
      <c r="AJ1129" s="4" t="s">
        <v>248</v>
      </c>
      <c r="AZ1129" s="4" t="s">
        <v>249</v>
      </c>
      <c r="BA1129" s="4" t="s">
        <v>241</v>
      </c>
      <c r="BB1129" s="4" t="s">
        <v>250</v>
      </c>
      <c r="BC1129" s="4" t="s">
        <v>241</v>
      </c>
      <c r="BD1129" s="4" t="s">
        <v>252</v>
      </c>
      <c r="BE1129" s="4" t="s">
        <v>241</v>
      </c>
      <c r="BI1129" s="4" t="s">
        <v>253</v>
      </c>
      <c r="BJ1129" s="5" t="s">
        <v>246</v>
      </c>
      <c r="BK1129" s="4" t="s">
        <v>254</v>
      </c>
      <c r="BL1129" s="4" t="s">
        <v>255</v>
      </c>
      <c r="BM1129" s="4" t="s">
        <v>241</v>
      </c>
      <c r="BN1129" s="6">
        <f>0</f>
        <v>0</v>
      </c>
      <c r="BO1129" s="6">
        <f>0</f>
        <v>0</v>
      </c>
      <c r="BP1129" s="4" t="s">
        <v>256</v>
      </c>
      <c r="BQ1129" s="4" t="s">
        <v>257</v>
      </c>
      <c r="CE1129" s="4" t="s">
        <v>241</v>
      </c>
      <c r="CF1129" s="4" t="s">
        <v>241</v>
      </c>
      <c r="CJ1129" s="4" t="s">
        <v>276</v>
      </c>
      <c r="CK1129" s="4" t="s">
        <v>259</v>
      </c>
      <c r="CL1129" s="4" t="s">
        <v>241</v>
      </c>
      <c r="CO1129" s="5" t="s">
        <v>260</v>
      </c>
      <c r="CP1129" s="4" t="s">
        <v>241</v>
      </c>
      <c r="CQ1129" s="4" t="s">
        <v>261</v>
      </c>
      <c r="CR1129" s="4" t="s">
        <v>241</v>
      </c>
      <c r="CS1129" s="4" t="s">
        <v>241</v>
      </c>
      <c r="CT1129" s="4">
        <v>0</v>
      </c>
      <c r="CU1129" s="4" t="s">
        <v>262</v>
      </c>
      <c r="CV1129" s="4" t="s">
        <v>263</v>
      </c>
      <c r="CW1129" s="4" t="s">
        <v>263</v>
      </c>
      <c r="CX1129" s="4" t="s">
        <v>264</v>
      </c>
      <c r="DA1129" s="6">
        <f>1</f>
        <v>1</v>
      </c>
      <c r="DC1129" s="4" t="s">
        <v>277</v>
      </c>
      <c r="DD1129" s="4" t="s">
        <v>241</v>
      </c>
      <c r="DF1129" s="4" t="s">
        <v>277</v>
      </c>
      <c r="DG1129" s="6">
        <f>228</f>
        <v>228</v>
      </c>
      <c r="DI1129" s="4" t="s">
        <v>241</v>
      </c>
      <c r="DJ1129" s="4" t="s">
        <v>241</v>
      </c>
      <c r="DK1129" s="4" t="s">
        <v>241</v>
      </c>
      <c r="DL1129" s="4" t="s">
        <v>241</v>
      </c>
      <c r="DP1129" s="4" t="s">
        <v>241</v>
      </c>
      <c r="DQ1129" s="4" t="s">
        <v>241</v>
      </c>
      <c r="DR1129" s="4" t="s">
        <v>241</v>
      </c>
      <c r="DS1129" s="4" t="s">
        <v>241</v>
      </c>
      <c r="DV1129" s="4" t="s">
        <v>278</v>
      </c>
      <c r="DW1129" s="4" t="s">
        <v>3121</v>
      </c>
      <c r="HO1129" s="4" t="s">
        <v>267</v>
      </c>
    </row>
    <row r="1130" spans="1:223" ht="19.5" customHeight="1" x14ac:dyDescent="0.4">
      <c r="A1130" s="4">
        <v>1</v>
      </c>
      <c r="B1130" s="4" t="s">
        <v>239</v>
      </c>
      <c r="C1130" s="4">
        <v>2804</v>
      </c>
      <c r="D1130" s="4">
        <v>1</v>
      </c>
      <c r="E1130" s="4">
        <v>1</v>
      </c>
      <c r="F1130" s="4" t="s">
        <v>268</v>
      </c>
      <c r="G1130" s="4" t="s">
        <v>241</v>
      </c>
      <c r="H1130" s="4" t="s">
        <v>241</v>
      </c>
      <c r="I1130" s="4" t="s">
        <v>272</v>
      </c>
      <c r="J1130" s="4" t="s">
        <v>274</v>
      </c>
      <c r="K1130" s="4" t="s">
        <v>251</v>
      </c>
      <c r="L1130" s="4" t="s">
        <v>269</v>
      </c>
      <c r="M1130" s="5" t="s">
        <v>3118</v>
      </c>
      <c r="N1130" s="6">
        <f>46</f>
        <v>46</v>
      </c>
      <c r="O1130" s="4" t="s">
        <v>265</v>
      </c>
      <c r="P1130" s="6">
        <f>1</f>
        <v>1</v>
      </c>
      <c r="Q1130" s="6">
        <f>0</f>
        <v>0</v>
      </c>
      <c r="S1130" s="6">
        <f>0</f>
        <v>0</v>
      </c>
      <c r="T1130" s="6">
        <f>1</f>
        <v>1</v>
      </c>
      <c r="U1130" s="5" t="s">
        <v>245</v>
      </c>
      <c r="V1130" s="4" t="s">
        <v>270</v>
      </c>
      <c r="W1130" s="4" t="s">
        <v>271</v>
      </c>
      <c r="X1130" s="4" t="s">
        <v>273</v>
      </c>
      <c r="Y1130" s="4" t="s">
        <v>241</v>
      </c>
      <c r="AB1130" s="4" t="s">
        <v>241</v>
      </c>
      <c r="AD1130" s="5" t="s">
        <v>241</v>
      </c>
      <c r="AG1130" s="5" t="s">
        <v>246</v>
      </c>
      <c r="AH1130" s="4" t="s">
        <v>241</v>
      </c>
      <c r="AI1130" s="4" t="s">
        <v>247</v>
      </c>
      <c r="AJ1130" s="4" t="s">
        <v>248</v>
      </c>
      <c r="AZ1130" s="4" t="s">
        <v>249</v>
      </c>
      <c r="BA1130" s="4" t="s">
        <v>241</v>
      </c>
      <c r="BB1130" s="4" t="s">
        <v>250</v>
      </c>
      <c r="BC1130" s="4" t="s">
        <v>241</v>
      </c>
      <c r="BD1130" s="4" t="s">
        <v>252</v>
      </c>
      <c r="BE1130" s="4" t="s">
        <v>241</v>
      </c>
      <c r="BI1130" s="4" t="s">
        <v>253</v>
      </c>
      <c r="BJ1130" s="5" t="s">
        <v>246</v>
      </c>
      <c r="BK1130" s="4" t="s">
        <v>254</v>
      </c>
      <c r="BL1130" s="4" t="s">
        <v>255</v>
      </c>
      <c r="BM1130" s="4" t="s">
        <v>241</v>
      </c>
      <c r="BN1130" s="6">
        <f>0</f>
        <v>0</v>
      </c>
      <c r="BO1130" s="6">
        <f>0</f>
        <v>0</v>
      </c>
      <c r="BP1130" s="4" t="s">
        <v>256</v>
      </c>
      <c r="BQ1130" s="4" t="s">
        <v>257</v>
      </c>
      <c r="CE1130" s="4" t="s">
        <v>241</v>
      </c>
      <c r="CF1130" s="4" t="s">
        <v>241</v>
      </c>
      <c r="CJ1130" s="4" t="s">
        <v>276</v>
      </c>
      <c r="CK1130" s="4" t="s">
        <v>259</v>
      </c>
      <c r="CL1130" s="4" t="s">
        <v>241</v>
      </c>
      <c r="CO1130" s="5" t="s">
        <v>260</v>
      </c>
      <c r="CP1130" s="4" t="s">
        <v>241</v>
      </c>
      <c r="CQ1130" s="4" t="s">
        <v>261</v>
      </c>
      <c r="CR1130" s="4" t="s">
        <v>241</v>
      </c>
      <c r="CS1130" s="4" t="s">
        <v>241</v>
      </c>
      <c r="CT1130" s="4">
        <v>0</v>
      </c>
      <c r="CU1130" s="4" t="s">
        <v>262</v>
      </c>
      <c r="CV1130" s="4" t="s">
        <v>263</v>
      </c>
      <c r="CW1130" s="4" t="s">
        <v>263</v>
      </c>
      <c r="CX1130" s="4" t="s">
        <v>264</v>
      </c>
      <c r="DA1130" s="6">
        <f>1</f>
        <v>1</v>
      </c>
      <c r="DC1130" s="4" t="s">
        <v>277</v>
      </c>
      <c r="DD1130" s="4" t="s">
        <v>241</v>
      </c>
      <c r="DF1130" s="4" t="s">
        <v>277</v>
      </c>
      <c r="DG1130" s="6">
        <f>46</f>
        <v>46</v>
      </c>
      <c r="DI1130" s="4" t="s">
        <v>241</v>
      </c>
      <c r="DJ1130" s="4" t="s">
        <v>241</v>
      </c>
      <c r="DK1130" s="4" t="s">
        <v>241</v>
      </c>
      <c r="DL1130" s="4" t="s">
        <v>241</v>
      </c>
      <c r="DP1130" s="4" t="s">
        <v>241</v>
      </c>
      <c r="DQ1130" s="4" t="s">
        <v>241</v>
      </c>
      <c r="DR1130" s="4" t="s">
        <v>241</v>
      </c>
      <c r="DS1130" s="4" t="s">
        <v>241</v>
      </c>
      <c r="DV1130" s="4" t="s">
        <v>278</v>
      </c>
      <c r="DW1130" s="4" t="s">
        <v>3119</v>
      </c>
      <c r="HO1130" s="4" t="s">
        <v>267</v>
      </c>
    </row>
    <row r="1131" spans="1:223" ht="19.5" customHeight="1" x14ac:dyDescent="0.4">
      <c r="A1131" s="4">
        <v>1</v>
      </c>
      <c r="B1131" s="4" t="s">
        <v>239</v>
      </c>
      <c r="C1131" s="4">
        <v>2805</v>
      </c>
      <c r="D1131" s="4">
        <v>1</v>
      </c>
      <c r="E1131" s="4">
        <v>1</v>
      </c>
      <c r="F1131" s="4" t="s">
        <v>268</v>
      </c>
      <c r="G1131" s="4" t="s">
        <v>241</v>
      </c>
      <c r="H1131" s="4" t="s">
        <v>241</v>
      </c>
      <c r="I1131" s="4" t="s">
        <v>272</v>
      </c>
      <c r="J1131" s="4" t="s">
        <v>274</v>
      </c>
      <c r="K1131" s="4" t="s">
        <v>251</v>
      </c>
      <c r="L1131" s="4" t="s">
        <v>269</v>
      </c>
      <c r="M1131" s="5" t="s">
        <v>3116</v>
      </c>
      <c r="N1131" s="6">
        <f>60</f>
        <v>60</v>
      </c>
      <c r="O1131" s="4" t="s">
        <v>265</v>
      </c>
      <c r="P1131" s="6">
        <f>1</f>
        <v>1</v>
      </c>
      <c r="Q1131" s="6">
        <f>0</f>
        <v>0</v>
      </c>
      <c r="S1131" s="6">
        <f>0</f>
        <v>0</v>
      </c>
      <c r="T1131" s="6">
        <f>1</f>
        <v>1</v>
      </c>
      <c r="U1131" s="5" t="s">
        <v>245</v>
      </c>
      <c r="V1131" s="4" t="s">
        <v>270</v>
      </c>
      <c r="W1131" s="4" t="s">
        <v>271</v>
      </c>
      <c r="X1131" s="4" t="s">
        <v>273</v>
      </c>
      <c r="Y1131" s="4" t="s">
        <v>241</v>
      </c>
      <c r="AB1131" s="4" t="s">
        <v>241</v>
      </c>
      <c r="AD1131" s="5" t="s">
        <v>241</v>
      </c>
      <c r="AG1131" s="5" t="s">
        <v>246</v>
      </c>
      <c r="AH1131" s="4" t="s">
        <v>241</v>
      </c>
      <c r="AI1131" s="4" t="s">
        <v>247</v>
      </c>
      <c r="AJ1131" s="4" t="s">
        <v>248</v>
      </c>
      <c r="AZ1131" s="4" t="s">
        <v>249</v>
      </c>
      <c r="BA1131" s="4" t="s">
        <v>241</v>
      </c>
      <c r="BB1131" s="4" t="s">
        <v>250</v>
      </c>
      <c r="BC1131" s="4" t="s">
        <v>241</v>
      </c>
      <c r="BD1131" s="4" t="s">
        <v>252</v>
      </c>
      <c r="BE1131" s="4" t="s">
        <v>241</v>
      </c>
      <c r="BI1131" s="4" t="s">
        <v>253</v>
      </c>
      <c r="BJ1131" s="5" t="s">
        <v>246</v>
      </c>
      <c r="BK1131" s="4" t="s">
        <v>254</v>
      </c>
      <c r="BL1131" s="4" t="s">
        <v>255</v>
      </c>
      <c r="BM1131" s="4" t="s">
        <v>241</v>
      </c>
      <c r="BN1131" s="6">
        <f>0</f>
        <v>0</v>
      </c>
      <c r="BO1131" s="6">
        <f>0</f>
        <v>0</v>
      </c>
      <c r="BP1131" s="4" t="s">
        <v>256</v>
      </c>
      <c r="BQ1131" s="4" t="s">
        <v>257</v>
      </c>
      <c r="CE1131" s="4" t="s">
        <v>241</v>
      </c>
      <c r="CF1131" s="4" t="s">
        <v>241</v>
      </c>
      <c r="CJ1131" s="4" t="s">
        <v>276</v>
      </c>
      <c r="CK1131" s="4" t="s">
        <v>259</v>
      </c>
      <c r="CL1131" s="4" t="s">
        <v>241</v>
      </c>
      <c r="CO1131" s="5" t="s">
        <v>260</v>
      </c>
      <c r="CP1131" s="4" t="s">
        <v>241</v>
      </c>
      <c r="CQ1131" s="4" t="s">
        <v>261</v>
      </c>
      <c r="CR1131" s="4" t="s">
        <v>241</v>
      </c>
      <c r="CS1131" s="4" t="s">
        <v>241</v>
      </c>
      <c r="CT1131" s="4">
        <v>0</v>
      </c>
      <c r="CU1131" s="4" t="s">
        <v>262</v>
      </c>
      <c r="CV1131" s="4" t="s">
        <v>263</v>
      </c>
      <c r="CW1131" s="4" t="s">
        <v>263</v>
      </c>
      <c r="CX1131" s="4" t="s">
        <v>264</v>
      </c>
      <c r="DA1131" s="6">
        <f>1</f>
        <v>1</v>
      </c>
      <c r="DC1131" s="4" t="s">
        <v>277</v>
      </c>
      <c r="DD1131" s="4" t="s">
        <v>241</v>
      </c>
      <c r="DF1131" s="4" t="s">
        <v>277</v>
      </c>
      <c r="DG1131" s="6">
        <f>60</f>
        <v>60</v>
      </c>
      <c r="DI1131" s="4" t="s">
        <v>241</v>
      </c>
      <c r="DJ1131" s="4" t="s">
        <v>241</v>
      </c>
      <c r="DK1131" s="4" t="s">
        <v>241</v>
      </c>
      <c r="DL1131" s="4" t="s">
        <v>241</v>
      </c>
      <c r="DP1131" s="4" t="s">
        <v>241</v>
      </c>
      <c r="DQ1131" s="4" t="s">
        <v>241</v>
      </c>
      <c r="DR1131" s="4" t="s">
        <v>241</v>
      </c>
      <c r="DS1131" s="4" t="s">
        <v>241</v>
      </c>
      <c r="DV1131" s="4" t="s">
        <v>278</v>
      </c>
      <c r="DW1131" s="4" t="s">
        <v>3117</v>
      </c>
      <c r="HO1131" s="4" t="s">
        <v>267</v>
      </c>
    </row>
    <row r="1132" spans="1:223" ht="19.5" customHeight="1" x14ac:dyDescent="0.4">
      <c r="A1132" s="4">
        <v>1</v>
      </c>
      <c r="B1132" s="4" t="s">
        <v>239</v>
      </c>
      <c r="C1132" s="4">
        <v>2806</v>
      </c>
      <c r="D1132" s="4">
        <v>1</v>
      </c>
      <c r="E1132" s="4">
        <v>1</v>
      </c>
      <c r="F1132" s="4" t="s">
        <v>268</v>
      </c>
      <c r="G1132" s="4" t="s">
        <v>241</v>
      </c>
      <c r="H1132" s="4" t="s">
        <v>241</v>
      </c>
      <c r="I1132" s="4" t="s">
        <v>272</v>
      </c>
      <c r="J1132" s="4" t="s">
        <v>274</v>
      </c>
      <c r="K1132" s="4" t="s">
        <v>251</v>
      </c>
      <c r="L1132" s="4" t="s">
        <v>269</v>
      </c>
      <c r="M1132" s="5" t="s">
        <v>3114</v>
      </c>
      <c r="N1132" s="6">
        <f>10744</f>
        <v>10744</v>
      </c>
      <c r="O1132" s="4" t="s">
        <v>265</v>
      </c>
      <c r="P1132" s="6">
        <f>1</f>
        <v>1</v>
      </c>
      <c r="Q1132" s="6">
        <f>0</f>
        <v>0</v>
      </c>
      <c r="S1132" s="6">
        <f>0</f>
        <v>0</v>
      </c>
      <c r="T1132" s="6">
        <f>1</f>
        <v>1</v>
      </c>
      <c r="U1132" s="5" t="s">
        <v>245</v>
      </c>
      <c r="V1132" s="4" t="s">
        <v>270</v>
      </c>
      <c r="W1132" s="4" t="s">
        <v>271</v>
      </c>
      <c r="X1132" s="4" t="s">
        <v>273</v>
      </c>
      <c r="Y1132" s="4" t="s">
        <v>241</v>
      </c>
      <c r="AB1132" s="4" t="s">
        <v>241</v>
      </c>
      <c r="AD1132" s="5" t="s">
        <v>241</v>
      </c>
      <c r="AG1132" s="5" t="s">
        <v>246</v>
      </c>
      <c r="AH1132" s="4" t="s">
        <v>241</v>
      </c>
      <c r="AI1132" s="4" t="s">
        <v>247</v>
      </c>
      <c r="AJ1132" s="4" t="s">
        <v>248</v>
      </c>
      <c r="AZ1132" s="4" t="s">
        <v>249</v>
      </c>
      <c r="BA1132" s="4" t="s">
        <v>241</v>
      </c>
      <c r="BB1132" s="4" t="s">
        <v>250</v>
      </c>
      <c r="BC1132" s="4" t="s">
        <v>241</v>
      </c>
      <c r="BD1132" s="4" t="s">
        <v>252</v>
      </c>
      <c r="BE1132" s="4" t="s">
        <v>241</v>
      </c>
      <c r="BI1132" s="4" t="s">
        <v>253</v>
      </c>
      <c r="BJ1132" s="5" t="s">
        <v>246</v>
      </c>
      <c r="BK1132" s="4" t="s">
        <v>254</v>
      </c>
      <c r="BL1132" s="4" t="s">
        <v>255</v>
      </c>
      <c r="BM1132" s="4" t="s">
        <v>241</v>
      </c>
      <c r="BN1132" s="6">
        <f>0</f>
        <v>0</v>
      </c>
      <c r="BO1132" s="6">
        <f>0</f>
        <v>0</v>
      </c>
      <c r="BP1132" s="4" t="s">
        <v>256</v>
      </c>
      <c r="BQ1132" s="4" t="s">
        <v>257</v>
      </c>
      <c r="CE1132" s="4" t="s">
        <v>241</v>
      </c>
      <c r="CF1132" s="4" t="s">
        <v>241</v>
      </c>
      <c r="CJ1132" s="4" t="s">
        <v>276</v>
      </c>
      <c r="CK1132" s="4" t="s">
        <v>259</v>
      </c>
      <c r="CL1132" s="4" t="s">
        <v>241</v>
      </c>
      <c r="CO1132" s="5" t="s">
        <v>260</v>
      </c>
      <c r="CP1132" s="4" t="s">
        <v>241</v>
      </c>
      <c r="CQ1132" s="4" t="s">
        <v>261</v>
      </c>
      <c r="CR1132" s="4" t="s">
        <v>241</v>
      </c>
      <c r="CS1132" s="4" t="s">
        <v>241</v>
      </c>
      <c r="CT1132" s="4">
        <v>0</v>
      </c>
      <c r="CU1132" s="4" t="s">
        <v>262</v>
      </c>
      <c r="CV1132" s="4" t="s">
        <v>263</v>
      </c>
      <c r="CW1132" s="4" t="s">
        <v>263</v>
      </c>
      <c r="CX1132" s="4" t="s">
        <v>264</v>
      </c>
      <c r="DA1132" s="6">
        <f>1</f>
        <v>1</v>
      </c>
      <c r="DC1132" s="4" t="s">
        <v>277</v>
      </c>
      <c r="DD1132" s="4" t="s">
        <v>241</v>
      </c>
      <c r="DF1132" s="4" t="s">
        <v>277</v>
      </c>
      <c r="DG1132" s="6">
        <f>10744</f>
        <v>10744</v>
      </c>
      <c r="DI1132" s="4" t="s">
        <v>241</v>
      </c>
      <c r="DJ1132" s="4" t="s">
        <v>241</v>
      </c>
      <c r="DK1132" s="4" t="s">
        <v>241</v>
      </c>
      <c r="DL1132" s="4" t="s">
        <v>241</v>
      </c>
      <c r="DP1132" s="4" t="s">
        <v>241</v>
      </c>
      <c r="DQ1132" s="4" t="s">
        <v>241</v>
      </c>
      <c r="DR1132" s="4" t="s">
        <v>241</v>
      </c>
      <c r="DS1132" s="4" t="s">
        <v>241</v>
      </c>
      <c r="DV1132" s="4" t="s">
        <v>278</v>
      </c>
      <c r="DW1132" s="4" t="s">
        <v>3115</v>
      </c>
      <c r="HO1132" s="4" t="s">
        <v>267</v>
      </c>
    </row>
    <row r="1133" spans="1:223" ht="19.5" customHeight="1" x14ac:dyDescent="0.4">
      <c r="A1133" s="4">
        <v>1</v>
      </c>
      <c r="B1133" s="4" t="s">
        <v>239</v>
      </c>
      <c r="C1133" s="4">
        <v>2807</v>
      </c>
      <c r="D1133" s="4">
        <v>1</v>
      </c>
      <c r="E1133" s="4">
        <v>1</v>
      </c>
      <c r="F1133" s="4" t="s">
        <v>268</v>
      </c>
      <c r="G1133" s="4" t="s">
        <v>241</v>
      </c>
      <c r="H1133" s="4" t="s">
        <v>241</v>
      </c>
      <c r="I1133" s="4" t="s">
        <v>272</v>
      </c>
      <c r="J1133" s="4" t="s">
        <v>274</v>
      </c>
      <c r="K1133" s="4" t="s">
        <v>251</v>
      </c>
      <c r="L1133" s="4" t="s">
        <v>269</v>
      </c>
      <c r="M1133" s="5" t="s">
        <v>3112</v>
      </c>
      <c r="N1133" s="6">
        <f>1733</f>
        <v>1733</v>
      </c>
      <c r="O1133" s="4" t="s">
        <v>265</v>
      </c>
      <c r="P1133" s="6">
        <f>1</f>
        <v>1</v>
      </c>
      <c r="Q1133" s="6">
        <f>0</f>
        <v>0</v>
      </c>
      <c r="S1133" s="6">
        <f>0</f>
        <v>0</v>
      </c>
      <c r="T1133" s="6">
        <f>1</f>
        <v>1</v>
      </c>
      <c r="U1133" s="5" t="s">
        <v>245</v>
      </c>
      <c r="V1133" s="4" t="s">
        <v>270</v>
      </c>
      <c r="W1133" s="4" t="s">
        <v>271</v>
      </c>
      <c r="X1133" s="4" t="s">
        <v>273</v>
      </c>
      <c r="Y1133" s="4" t="s">
        <v>241</v>
      </c>
      <c r="AB1133" s="4" t="s">
        <v>241</v>
      </c>
      <c r="AD1133" s="5" t="s">
        <v>241</v>
      </c>
      <c r="AG1133" s="5" t="s">
        <v>246</v>
      </c>
      <c r="AH1133" s="4" t="s">
        <v>241</v>
      </c>
      <c r="AI1133" s="4" t="s">
        <v>247</v>
      </c>
      <c r="AJ1133" s="4" t="s">
        <v>248</v>
      </c>
      <c r="AZ1133" s="4" t="s">
        <v>249</v>
      </c>
      <c r="BA1133" s="4" t="s">
        <v>241</v>
      </c>
      <c r="BB1133" s="4" t="s">
        <v>250</v>
      </c>
      <c r="BC1133" s="4" t="s">
        <v>241</v>
      </c>
      <c r="BD1133" s="4" t="s">
        <v>252</v>
      </c>
      <c r="BE1133" s="4" t="s">
        <v>241</v>
      </c>
      <c r="BI1133" s="4" t="s">
        <v>253</v>
      </c>
      <c r="BJ1133" s="5" t="s">
        <v>246</v>
      </c>
      <c r="BK1133" s="4" t="s">
        <v>254</v>
      </c>
      <c r="BL1133" s="4" t="s">
        <v>255</v>
      </c>
      <c r="BM1133" s="4" t="s">
        <v>241</v>
      </c>
      <c r="BN1133" s="6">
        <f>0</f>
        <v>0</v>
      </c>
      <c r="BO1133" s="6">
        <f>0</f>
        <v>0</v>
      </c>
      <c r="BP1133" s="4" t="s">
        <v>256</v>
      </c>
      <c r="BQ1133" s="4" t="s">
        <v>257</v>
      </c>
      <c r="CE1133" s="4" t="s">
        <v>241</v>
      </c>
      <c r="CF1133" s="4" t="s">
        <v>241</v>
      </c>
      <c r="CJ1133" s="4" t="s">
        <v>276</v>
      </c>
      <c r="CK1133" s="4" t="s">
        <v>259</v>
      </c>
      <c r="CL1133" s="4" t="s">
        <v>241</v>
      </c>
      <c r="CO1133" s="5" t="s">
        <v>260</v>
      </c>
      <c r="CP1133" s="4" t="s">
        <v>241</v>
      </c>
      <c r="CQ1133" s="4" t="s">
        <v>261</v>
      </c>
      <c r="CR1133" s="4" t="s">
        <v>241</v>
      </c>
      <c r="CS1133" s="4" t="s">
        <v>241</v>
      </c>
      <c r="CT1133" s="4">
        <v>0</v>
      </c>
      <c r="CU1133" s="4" t="s">
        <v>262</v>
      </c>
      <c r="CV1133" s="4" t="s">
        <v>263</v>
      </c>
      <c r="CW1133" s="4" t="s">
        <v>263</v>
      </c>
      <c r="CX1133" s="4" t="s">
        <v>264</v>
      </c>
      <c r="DA1133" s="6">
        <f>1</f>
        <v>1</v>
      </c>
      <c r="DC1133" s="4" t="s">
        <v>277</v>
      </c>
      <c r="DD1133" s="4" t="s">
        <v>241</v>
      </c>
      <c r="DF1133" s="4" t="s">
        <v>277</v>
      </c>
      <c r="DG1133" s="6">
        <f>1733</f>
        <v>1733</v>
      </c>
      <c r="DI1133" s="4" t="s">
        <v>241</v>
      </c>
      <c r="DJ1133" s="4" t="s">
        <v>241</v>
      </c>
      <c r="DK1133" s="4" t="s">
        <v>241</v>
      </c>
      <c r="DL1133" s="4" t="s">
        <v>241</v>
      </c>
      <c r="DP1133" s="4" t="s">
        <v>241</v>
      </c>
      <c r="DQ1133" s="4" t="s">
        <v>241</v>
      </c>
      <c r="DR1133" s="4" t="s">
        <v>241</v>
      </c>
      <c r="DS1133" s="4" t="s">
        <v>241</v>
      </c>
      <c r="DV1133" s="4" t="s">
        <v>278</v>
      </c>
      <c r="DW1133" s="4" t="s">
        <v>3113</v>
      </c>
      <c r="HO1133" s="4" t="s">
        <v>267</v>
      </c>
    </row>
    <row r="1134" spans="1:223" ht="19.5" customHeight="1" x14ac:dyDescent="0.4">
      <c r="A1134" s="4">
        <v>1</v>
      </c>
      <c r="B1134" s="4" t="s">
        <v>239</v>
      </c>
      <c r="C1134" s="4">
        <v>2808</v>
      </c>
      <c r="D1134" s="4">
        <v>1</v>
      </c>
      <c r="E1134" s="4">
        <v>1</v>
      </c>
      <c r="F1134" s="4" t="s">
        <v>268</v>
      </c>
      <c r="G1134" s="4" t="s">
        <v>241</v>
      </c>
      <c r="H1134" s="4" t="s">
        <v>241</v>
      </c>
      <c r="I1134" s="4" t="s">
        <v>272</v>
      </c>
      <c r="J1134" s="4" t="s">
        <v>274</v>
      </c>
      <c r="K1134" s="4" t="s">
        <v>251</v>
      </c>
      <c r="L1134" s="4" t="s">
        <v>269</v>
      </c>
      <c r="M1134" s="5" t="s">
        <v>3110</v>
      </c>
      <c r="N1134" s="6">
        <f>1656</f>
        <v>1656</v>
      </c>
      <c r="O1134" s="4" t="s">
        <v>265</v>
      </c>
      <c r="P1134" s="6">
        <f>1</f>
        <v>1</v>
      </c>
      <c r="Q1134" s="6">
        <f>0</f>
        <v>0</v>
      </c>
      <c r="S1134" s="6">
        <f>0</f>
        <v>0</v>
      </c>
      <c r="T1134" s="6">
        <f>1</f>
        <v>1</v>
      </c>
      <c r="U1134" s="5" t="s">
        <v>245</v>
      </c>
      <c r="V1134" s="4" t="s">
        <v>270</v>
      </c>
      <c r="W1134" s="4" t="s">
        <v>271</v>
      </c>
      <c r="X1134" s="4" t="s">
        <v>273</v>
      </c>
      <c r="Y1134" s="4" t="s">
        <v>241</v>
      </c>
      <c r="AB1134" s="4" t="s">
        <v>241</v>
      </c>
      <c r="AD1134" s="5" t="s">
        <v>241</v>
      </c>
      <c r="AG1134" s="5" t="s">
        <v>246</v>
      </c>
      <c r="AH1134" s="4" t="s">
        <v>241</v>
      </c>
      <c r="AI1134" s="4" t="s">
        <v>247</v>
      </c>
      <c r="AJ1134" s="4" t="s">
        <v>248</v>
      </c>
      <c r="AZ1134" s="4" t="s">
        <v>249</v>
      </c>
      <c r="BA1134" s="4" t="s">
        <v>241</v>
      </c>
      <c r="BB1134" s="4" t="s">
        <v>250</v>
      </c>
      <c r="BC1134" s="4" t="s">
        <v>241</v>
      </c>
      <c r="BD1134" s="4" t="s">
        <v>252</v>
      </c>
      <c r="BE1134" s="4" t="s">
        <v>241</v>
      </c>
      <c r="BI1134" s="4" t="s">
        <v>253</v>
      </c>
      <c r="BJ1134" s="5" t="s">
        <v>246</v>
      </c>
      <c r="BK1134" s="4" t="s">
        <v>254</v>
      </c>
      <c r="BL1134" s="4" t="s">
        <v>255</v>
      </c>
      <c r="BM1134" s="4" t="s">
        <v>241</v>
      </c>
      <c r="BN1134" s="6">
        <f>0</f>
        <v>0</v>
      </c>
      <c r="BO1134" s="6">
        <f>0</f>
        <v>0</v>
      </c>
      <c r="BP1134" s="4" t="s">
        <v>256</v>
      </c>
      <c r="BQ1134" s="4" t="s">
        <v>257</v>
      </c>
      <c r="CE1134" s="4" t="s">
        <v>241</v>
      </c>
      <c r="CF1134" s="4" t="s">
        <v>241</v>
      </c>
      <c r="CJ1134" s="4" t="s">
        <v>276</v>
      </c>
      <c r="CK1134" s="4" t="s">
        <v>259</v>
      </c>
      <c r="CL1134" s="4" t="s">
        <v>241</v>
      </c>
      <c r="CO1134" s="5" t="s">
        <v>260</v>
      </c>
      <c r="CP1134" s="4" t="s">
        <v>241</v>
      </c>
      <c r="CQ1134" s="4" t="s">
        <v>261</v>
      </c>
      <c r="CR1134" s="4" t="s">
        <v>241</v>
      </c>
      <c r="CS1134" s="4" t="s">
        <v>241</v>
      </c>
      <c r="CT1134" s="4">
        <v>0</v>
      </c>
      <c r="CU1134" s="4" t="s">
        <v>262</v>
      </c>
      <c r="CV1134" s="4" t="s">
        <v>263</v>
      </c>
      <c r="CW1134" s="4" t="s">
        <v>263</v>
      </c>
      <c r="CX1134" s="4" t="s">
        <v>264</v>
      </c>
      <c r="DA1134" s="6">
        <f>1</f>
        <v>1</v>
      </c>
      <c r="DC1134" s="4" t="s">
        <v>277</v>
      </c>
      <c r="DD1134" s="4" t="s">
        <v>241</v>
      </c>
      <c r="DF1134" s="4" t="s">
        <v>277</v>
      </c>
      <c r="DG1134" s="6">
        <f>1656</f>
        <v>1656</v>
      </c>
      <c r="DI1134" s="4" t="s">
        <v>241</v>
      </c>
      <c r="DJ1134" s="4" t="s">
        <v>241</v>
      </c>
      <c r="DK1134" s="4" t="s">
        <v>241</v>
      </c>
      <c r="DL1134" s="4" t="s">
        <v>241</v>
      </c>
      <c r="DP1134" s="4" t="s">
        <v>241</v>
      </c>
      <c r="DQ1134" s="4" t="s">
        <v>241</v>
      </c>
      <c r="DR1134" s="4" t="s">
        <v>241</v>
      </c>
      <c r="DS1134" s="4" t="s">
        <v>241</v>
      </c>
      <c r="DV1134" s="4" t="s">
        <v>278</v>
      </c>
      <c r="DW1134" s="4" t="s">
        <v>3111</v>
      </c>
      <c r="HO1134" s="4" t="s">
        <v>267</v>
      </c>
    </row>
    <row r="1135" spans="1:223" ht="19.5" customHeight="1" x14ac:dyDescent="0.4">
      <c r="A1135" s="4">
        <v>1</v>
      </c>
      <c r="B1135" s="4" t="s">
        <v>239</v>
      </c>
      <c r="C1135" s="4">
        <v>2809</v>
      </c>
      <c r="D1135" s="4">
        <v>1</v>
      </c>
      <c r="E1135" s="4">
        <v>1</v>
      </c>
      <c r="F1135" s="4" t="s">
        <v>268</v>
      </c>
      <c r="G1135" s="4" t="s">
        <v>241</v>
      </c>
      <c r="H1135" s="4" t="s">
        <v>241</v>
      </c>
      <c r="I1135" s="4" t="s">
        <v>272</v>
      </c>
      <c r="J1135" s="4" t="s">
        <v>274</v>
      </c>
      <c r="K1135" s="4" t="s">
        <v>251</v>
      </c>
      <c r="L1135" s="4" t="s">
        <v>269</v>
      </c>
      <c r="M1135" s="5" t="s">
        <v>3108</v>
      </c>
      <c r="N1135" s="6">
        <f>303</f>
        <v>303</v>
      </c>
      <c r="O1135" s="4" t="s">
        <v>265</v>
      </c>
      <c r="P1135" s="6">
        <f>1</f>
        <v>1</v>
      </c>
      <c r="Q1135" s="6">
        <f>0</f>
        <v>0</v>
      </c>
      <c r="S1135" s="6">
        <f>0</f>
        <v>0</v>
      </c>
      <c r="T1135" s="6">
        <f>1</f>
        <v>1</v>
      </c>
      <c r="U1135" s="5" t="s">
        <v>245</v>
      </c>
      <c r="V1135" s="4" t="s">
        <v>270</v>
      </c>
      <c r="W1135" s="4" t="s">
        <v>271</v>
      </c>
      <c r="X1135" s="4" t="s">
        <v>273</v>
      </c>
      <c r="Y1135" s="4" t="s">
        <v>241</v>
      </c>
      <c r="AB1135" s="4" t="s">
        <v>241</v>
      </c>
      <c r="AD1135" s="5" t="s">
        <v>241</v>
      </c>
      <c r="AG1135" s="5" t="s">
        <v>246</v>
      </c>
      <c r="AH1135" s="4" t="s">
        <v>241</v>
      </c>
      <c r="AI1135" s="4" t="s">
        <v>247</v>
      </c>
      <c r="AJ1135" s="4" t="s">
        <v>248</v>
      </c>
      <c r="AZ1135" s="4" t="s">
        <v>249</v>
      </c>
      <c r="BA1135" s="4" t="s">
        <v>241</v>
      </c>
      <c r="BB1135" s="4" t="s">
        <v>250</v>
      </c>
      <c r="BC1135" s="4" t="s">
        <v>241</v>
      </c>
      <c r="BD1135" s="4" t="s">
        <v>252</v>
      </c>
      <c r="BE1135" s="4" t="s">
        <v>241</v>
      </c>
      <c r="BI1135" s="4" t="s">
        <v>253</v>
      </c>
      <c r="BJ1135" s="5" t="s">
        <v>246</v>
      </c>
      <c r="BK1135" s="4" t="s">
        <v>254</v>
      </c>
      <c r="BL1135" s="4" t="s">
        <v>255</v>
      </c>
      <c r="BM1135" s="4" t="s">
        <v>241</v>
      </c>
      <c r="BN1135" s="6">
        <f>0</f>
        <v>0</v>
      </c>
      <c r="BO1135" s="6">
        <f>0</f>
        <v>0</v>
      </c>
      <c r="BP1135" s="4" t="s">
        <v>256</v>
      </c>
      <c r="BQ1135" s="4" t="s">
        <v>257</v>
      </c>
      <c r="CE1135" s="4" t="s">
        <v>241</v>
      </c>
      <c r="CF1135" s="4" t="s">
        <v>241</v>
      </c>
      <c r="CJ1135" s="4" t="s">
        <v>276</v>
      </c>
      <c r="CK1135" s="4" t="s">
        <v>259</v>
      </c>
      <c r="CL1135" s="4" t="s">
        <v>241</v>
      </c>
      <c r="CO1135" s="5" t="s">
        <v>260</v>
      </c>
      <c r="CP1135" s="4" t="s">
        <v>241</v>
      </c>
      <c r="CQ1135" s="4" t="s">
        <v>261</v>
      </c>
      <c r="CR1135" s="4" t="s">
        <v>241</v>
      </c>
      <c r="CS1135" s="4" t="s">
        <v>241</v>
      </c>
      <c r="CT1135" s="4">
        <v>0</v>
      </c>
      <c r="CU1135" s="4" t="s">
        <v>262</v>
      </c>
      <c r="CV1135" s="4" t="s">
        <v>263</v>
      </c>
      <c r="CW1135" s="4" t="s">
        <v>263</v>
      </c>
      <c r="CX1135" s="4" t="s">
        <v>264</v>
      </c>
      <c r="DA1135" s="6">
        <f>1</f>
        <v>1</v>
      </c>
      <c r="DC1135" s="4" t="s">
        <v>277</v>
      </c>
      <c r="DD1135" s="4" t="s">
        <v>241</v>
      </c>
      <c r="DF1135" s="4" t="s">
        <v>277</v>
      </c>
      <c r="DG1135" s="6">
        <f>303</f>
        <v>303</v>
      </c>
      <c r="DI1135" s="4" t="s">
        <v>241</v>
      </c>
      <c r="DJ1135" s="4" t="s">
        <v>241</v>
      </c>
      <c r="DK1135" s="4" t="s">
        <v>241</v>
      </c>
      <c r="DL1135" s="4" t="s">
        <v>241</v>
      </c>
      <c r="DP1135" s="4" t="s">
        <v>241</v>
      </c>
      <c r="DQ1135" s="4" t="s">
        <v>241</v>
      </c>
      <c r="DR1135" s="4" t="s">
        <v>241</v>
      </c>
      <c r="DS1135" s="4" t="s">
        <v>241</v>
      </c>
      <c r="DV1135" s="4" t="s">
        <v>278</v>
      </c>
      <c r="DW1135" s="4" t="s">
        <v>3109</v>
      </c>
      <c r="HO1135" s="4" t="s">
        <v>267</v>
      </c>
    </row>
    <row r="1136" spans="1:223" ht="19.5" customHeight="1" x14ac:dyDescent="0.4">
      <c r="A1136" s="4">
        <v>1</v>
      </c>
      <c r="B1136" s="4" t="s">
        <v>239</v>
      </c>
      <c r="C1136" s="4">
        <v>2810</v>
      </c>
      <c r="D1136" s="4">
        <v>1</v>
      </c>
      <c r="E1136" s="4">
        <v>1</v>
      </c>
      <c r="F1136" s="4" t="s">
        <v>268</v>
      </c>
      <c r="G1136" s="4" t="s">
        <v>241</v>
      </c>
      <c r="H1136" s="4" t="s">
        <v>241</v>
      </c>
      <c r="I1136" s="4" t="s">
        <v>272</v>
      </c>
      <c r="J1136" s="4" t="s">
        <v>274</v>
      </c>
      <c r="K1136" s="4" t="s">
        <v>251</v>
      </c>
      <c r="L1136" s="4" t="s">
        <v>269</v>
      </c>
      <c r="M1136" s="5" t="s">
        <v>3106</v>
      </c>
      <c r="N1136" s="6">
        <f>12221</f>
        <v>12221</v>
      </c>
      <c r="O1136" s="4" t="s">
        <v>265</v>
      </c>
      <c r="P1136" s="6">
        <f>1</f>
        <v>1</v>
      </c>
      <c r="Q1136" s="6">
        <f>0</f>
        <v>0</v>
      </c>
      <c r="S1136" s="6">
        <f>0</f>
        <v>0</v>
      </c>
      <c r="T1136" s="6">
        <f>1</f>
        <v>1</v>
      </c>
      <c r="U1136" s="5" t="s">
        <v>245</v>
      </c>
      <c r="V1136" s="4" t="s">
        <v>270</v>
      </c>
      <c r="W1136" s="4" t="s">
        <v>271</v>
      </c>
      <c r="X1136" s="4" t="s">
        <v>273</v>
      </c>
      <c r="Y1136" s="4" t="s">
        <v>241</v>
      </c>
      <c r="AB1136" s="4" t="s">
        <v>241</v>
      </c>
      <c r="AD1136" s="5" t="s">
        <v>241</v>
      </c>
      <c r="AG1136" s="5" t="s">
        <v>246</v>
      </c>
      <c r="AH1136" s="4" t="s">
        <v>241</v>
      </c>
      <c r="AI1136" s="4" t="s">
        <v>247</v>
      </c>
      <c r="AJ1136" s="4" t="s">
        <v>248</v>
      </c>
      <c r="AZ1136" s="4" t="s">
        <v>249</v>
      </c>
      <c r="BA1136" s="4" t="s">
        <v>241</v>
      </c>
      <c r="BB1136" s="4" t="s">
        <v>250</v>
      </c>
      <c r="BC1136" s="4" t="s">
        <v>241</v>
      </c>
      <c r="BD1136" s="4" t="s">
        <v>252</v>
      </c>
      <c r="BE1136" s="4" t="s">
        <v>241</v>
      </c>
      <c r="BI1136" s="4" t="s">
        <v>253</v>
      </c>
      <c r="BJ1136" s="5" t="s">
        <v>246</v>
      </c>
      <c r="BK1136" s="4" t="s">
        <v>254</v>
      </c>
      <c r="BL1136" s="4" t="s">
        <v>255</v>
      </c>
      <c r="BM1136" s="4" t="s">
        <v>241</v>
      </c>
      <c r="BN1136" s="6">
        <f>0</f>
        <v>0</v>
      </c>
      <c r="BO1136" s="6">
        <f>0</f>
        <v>0</v>
      </c>
      <c r="BP1136" s="4" t="s">
        <v>256</v>
      </c>
      <c r="BQ1136" s="4" t="s">
        <v>257</v>
      </c>
      <c r="CE1136" s="4" t="s">
        <v>241</v>
      </c>
      <c r="CF1136" s="4" t="s">
        <v>241</v>
      </c>
      <c r="CJ1136" s="4" t="s">
        <v>276</v>
      </c>
      <c r="CK1136" s="4" t="s">
        <v>259</v>
      </c>
      <c r="CL1136" s="4" t="s">
        <v>241</v>
      </c>
      <c r="CO1136" s="5" t="s">
        <v>260</v>
      </c>
      <c r="CP1136" s="4" t="s">
        <v>241</v>
      </c>
      <c r="CQ1136" s="4" t="s">
        <v>261</v>
      </c>
      <c r="CR1136" s="4" t="s">
        <v>241</v>
      </c>
      <c r="CS1136" s="4" t="s">
        <v>241</v>
      </c>
      <c r="CT1136" s="4">
        <v>0</v>
      </c>
      <c r="CU1136" s="4" t="s">
        <v>262</v>
      </c>
      <c r="CV1136" s="4" t="s">
        <v>263</v>
      </c>
      <c r="CW1136" s="4" t="s">
        <v>263</v>
      </c>
      <c r="CX1136" s="4" t="s">
        <v>264</v>
      </c>
      <c r="DA1136" s="6">
        <f>1</f>
        <v>1</v>
      </c>
      <c r="DC1136" s="4" t="s">
        <v>277</v>
      </c>
      <c r="DD1136" s="4" t="s">
        <v>241</v>
      </c>
      <c r="DF1136" s="4" t="s">
        <v>277</v>
      </c>
      <c r="DG1136" s="6">
        <f>12221</f>
        <v>12221</v>
      </c>
      <c r="DI1136" s="4" t="s">
        <v>241</v>
      </c>
      <c r="DJ1136" s="4" t="s">
        <v>241</v>
      </c>
      <c r="DK1136" s="4" t="s">
        <v>241</v>
      </c>
      <c r="DL1136" s="4" t="s">
        <v>241</v>
      </c>
      <c r="DP1136" s="4" t="s">
        <v>241</v>
      </c>
      <c r="DQ1136" s="4" t="s">
        <v>241</v>
      </c>
      <c r="DR1136" s="4" t="s">
        <v>241</v>
      </c>
      <c r="DS1136" s="4" t="s">
        <v>241</v>
      </c>
      <c r="DV1136" s="4" t="s">
        <v>278</v>
      </c>
      <c r="DW1136" s="4" t="s">
        <v>3107</v>
      </c>
      <c r="HO1136" s="4" t="s">
        <v>267</v>
      </c>
    </row>
    <row r="1137" spans="1:223" ht="19.5" customHeight="1" x14ac:dyDescent="0.4">
      <c r="A1137" s="4">
        <v>1</v>
      </c>
      <c r="B1137" s="4" t="s">
        <v>239</v>
      </c>
      <c r="C1137" s="4">
        <v>2811</v>
      </c>
      <c r="D1137" s="4">
        <v>1</v>
      </c>
      <c r="E1137" s="4">
        <v>1</v>
      </c>
      <c r="F1137" s="4" t="s">
        <v>268</v>
      </c>
      <c r="G1137" s="4" t="s">
        <v>241</v>
      </c>
      <c r="H1137" s="4" t="s">
        <v>241</v>
      </c>
      <c r="I1137" s="4" t="s">
        <v>272</v>
      </c>
      <c r="J1137" s="4" t="s">
        <v>274</v>
      </c>
      <c r="K1137" s="4" t="s">
        <v>251</v>
      </c>
      <c r="L1137" s="4" t="s">
        <v>269</v>
      </c>
      <c r="M1137" s="5" t="s">
        <v>3104</v>
      </c>
      <c r="N1137" s="6">
        <f>1929</f>
        <v>1929</v>
      </c>
      <c r="O1137" s="4" t="s">
        <v>265</v>
      </c>
      <c r="P1137" s="6">
        <f>1</f>
        <v>1</v>
      </c>
      <c r="Q1137" s="6">
        <f>0</f>
        <v>0</v>
      </c>
      <c r="S1137" s="6">
        <f>0</f>
        <v>0</v>
      </c>
      <c r="T1137" s="6">
        <f>1</f>
        <v>1</v>
      </c>
      <c r="U1137" s="5" t="s">
        <v>245</v>
      </c>
      <c r="V1137" s="4" t="s">
        <v>270</v>
      </c>
      <c r="W1137" s="4" t="s">
        <v>271</v>
      </c>
      <c r="X1137" s="4" t="s">
        <v>273</v>
      </c>
      <c r="Y1137" s="4" t="s">
        <v>241</v>
      </c>
      <c r="AB1137" s="4" t="s">
        <v>241</v>
      </c>
      <c r="AD1137" s="5" t="s">
        <v>241</v>
      </c>
      <c r="AG1137" s="5" t="s">
        <v>246</v>
      </c>
      <c r="AH1137" s="4" t="s">
        <v>241</v>
      </c>
      <c r="AI1137" s="4" t="s">
        <v>247</v>
      </c>
      <c r="AJ1137" s="4" t="s">
        <v>248</v>
      </c>
      <c r="AZ1137" s="4" t="s">
        <v>249</v>
      </c>
      <c r="BA1137" s="4" t="s">
        <v>241</v>
      </c>
      <c r="BB1137" s="4" t="s">
        <v>250</v>
      </c>
      <c r="BC1137" s="4" t="s">
        <v>241</v>
      </c>
      <c r="BD1137" s="4" t="s">
        <v>252</v>
      </c>
      <c r="BE1137" s="4" t="s">
        <v>241</v>
      </c>
      <c r="BI1137" s="4" t="s">
        <v>253</v>
      </c>
      <c r="BJ1137" s="5" t="s">
        <v>246</v>
      </c>
      <c r="BK1137" s="4" t="s">
        <v>254</v>
      </c>
      <c r="BL1137" s="4" t="s">
        <v>255</v>
      </c>
      <c r="BM1137" s="4" t="s">
        <v>241</v>
      </c>
      <c r="BN1137" s="6">
        <f>0</f>
        <v>0</v>
      </c>
      <c r="BO1137" s="6">
        <f>0</f>
        <v>0</v>
      </c>
      <c r="BP1137" s="4" t="s">
        <v>256</v>
      </c>
      <c r="BQ1137" s="4" t="s">
        <v>257</v>
      </c>
      <c r="CE1137" s="4" t="s">
        <v>241</v>
      </c>
      <c r="CF1137" s="4" t="s">
        <v>241</v>
      </c>
      <c r="CJ1137" s="4" t="s">
        <v>276</v>
      </c>
      <c r="CK1137" s="4" t="s">
        <v>259</v>
      </c>
      <c r="CL1137" s="4" t="s">
        <v>241</v>
      </c>
      <c r="CO1137" s="5" t="s">
        <v>260</v>
      </c>
      <c r="CP1137" s="4" t="s">
        <v>241</v>
      </c>
      <c r="CQ1137" s="4" t="s">
        <v>261</v>
      </c>
      <c r="CR1137" s="4" t="s">
        <v>241</v>
      </c>
      <c r="CS1137" s="4" t="s">
        <v>241</v>
      </c>
      <c r="CT1137" s="4">
        <v>0</v>
      </c>
      <c r="CU1137" s="4" t="s">
        <v>262</v>
      </c>
      <c r="CV1137" s="4" t="s">
        <v>263</v>
      </c>
      <c r="CW1137" s="4" t="s">
        <v>263</v>
      </c>
      <c r="CX1137" s="4" t="s">
        <v>264</v>
      </c>
      <c r="DA1137" s="6">
        <f>1</f>
        <v>1</v>
      </c>
      <c r="DC1137" s="4" t="s">
        <v>277</v>
      </c>
      <c r="DD1137" s="4" t="s">
        <v>241</v>
      </c>
      <c r="DF1137" s="4" t="s">
        <v>277</v>
      </c>
      <c r="DG1137" s="6">
        <f>1929</f>
        <v>1929</v>
      </c>
      <c r="DI1137" s="4" t="s">
        <v>241</v>
      </c>
      <c r="DJ1137" s="4" t="s">
        <v>241</v>
      </c>
      <c r="DK1137" s="4" t="s">
        <v>241</v>
      </c>
      <c r="DL1137" s="4" t="s">
        <v>241</v>
      </c>
      <c r="DP1137" s="4" t="s">
        <v>241</v>
      </c>
      <c r="DQ1137" s="4" t="s">
        <v>241</v>
      </c>
      <c r="DR1137" s="4" t="s">
        <v>241</v>
      </c>
      <c r="DS1137" s="4" t="s">
        <v>241</v>
      </c>
      <c r="DV1137" s="4" t="s">
        <v>278</v>
      </c>
      <c r="DW1137" s="4" t="s">
        <v>3105</v>
      </c>
      <c r="HO1137" s="4" t="s">
        <v>267</v>
      </c>
    </row>
    <row r="1138" spans="1:223" ht="19.5" customHeight="1" x14ac:dyDescent="0.4">
      <c r="A1138" s="4">
        <v>1</v>
      </c>
      <c r="B1138" s="4" t="s">
        <v>239</v>
      </c>
      <c r="C1138" s="4">
        <v>2812</v>
      </c>
      <c r="D1138" s="4">
        <v>1</v>
      </c>
      <c r="E1138" s="4">
        <v>1</v>
      </c>
      <c r="F1138" s="4" t="s">
        <v>268</v>
      </c>
      <c r="G1138" s="4" t="s">
        <v>241</v>
      </c>
      <c r="H1138" s="4" t="s">
        <v>241</v>
      </c>
      <c r="I1138" s="4" t="s">
        <v>272</v>
      </c>
      <c r="J1138" s="4" t="s">
        <v>274</v>
      </c>
      <c r="K1138" s="4" t="s">
        <v>251</v>
      </c>
      <c r="L1138" s="4" t="s">
        <v>269</v>
      </c>
      <c r="M1138" s="5" t="s">
        <v>3102</v>
      </c>
      <c r="N1138" s="6">
        <f>2832</f>
        <v>2832</v>
      </c>
      <c r="O1138" s="4" t="s">
        <v>265</v>
      </c>
      <c r="P1138" s="6">
        <f>1</f>
        <v>1</v>
      </c>
      <c r="Q1138" s="6">
        <f>0</f>
        <v>0</v>
      </c>
      <c r="S1138" s="6">
        <f>0</f>
        <v>0</v>
      </c>
      <c r="T1138" s="6">
        <f>1</f>
        <v>1</v>
      </c>
      <c r="U1138" s="5" t="s">
        <v>245</v>
      </c>
      <c r="V1138" s="4" t="s">
        <v>270</v>
      </c>
      <c r="W1138" s="4" t="s">
        <v>271</v>
      </c>
      <c r="X1138" s="4" t="s">
        <v>273</v>
      </c>
      <c r="Y1138" s="4" t="s">
        <v>241</v>
      </c>
      <c r="AB1138" s="4" t="s">
        <v>241</v>
      </c>
      <c r="AD1138" s="5" t="s">
        <v>241</v>
      </c>
      <c r="AG1138" s="5" t="s">
        <v>246</v>
      </c>
      <c r="AH1138" s="4" t="s">
        <v>241</v>
      </c>
      <c r="AI1138" s="4" t="s">
        <v>247</v>
      </c>
      <c r="AJ1138" s="4" t="s">
        <v>248</v>
      </c>
      <c r="AZ1138" s="4" t="s">
        <v>249</v>
      </c>
      <c r="BA1138" s="4" t="s">
        <v>241</v>
      </c>
      <c r="BB1138" s="4" t="s">
        <v>250</v>
      </c>
      <c r="BC1138" s="4" t="s">
        <v>241</v>
      </c>
      <c r="BD1138" s="4" t="s">
        <v>252</v>
      </c>
      <c r="BE1138" s="4" t="s">
        <v>241</v>
      </c>
      <c r="BI1138" s="4" t="s">
        <v>253</v>
      </c>
      <c r="BJ1138" s="5" t="s">
        <v>246</v>
      </c>
      <c r="BK1138" s="4" t="s">
        <v>254</v>
      </c>
      <c r="BL1138" s="4" t="s">
        <v>255</v>
      </c>
      <c r="BM1138" s="4" t="s">
        <v>241</v>
      </c>
      <c r="BN1138" s="6">
        <f>0</f>
        <v>0</v>
      </c>
      <c r="BO1138" s="6">
        <f>0</f>
        <v>0</v>
      </c>
      <c r="BP1138" s="4" t="s">
        <v>256</v>
      </c>
      <c r="BQ1138" s="4" t="s">
        <v>257</v>
      </c>
      <c r="CE1138" s="4" t="s">
        <v>241</v>
      </c>
      <c r="CF1138" s="4" t="s">
        <v>241</v>
      </c>
      <c r="CJ1138" s="4" t="s">
        <v>276</v>
      </c>
      <c r="CK1138" s="4" t="s">
        <v>259</v>
      </c>
      <c r="CL1138" s="4" t="s">
        <v>241</v>
      </c>
      <c r="CO1138" s="5" t="s">
        <v>260</v>
      </c>
      <c r="CP1138" s="4" t="s">
        <v>241</v>
      </c>
      <c r="CQ1138" s="4" t="s">
        <v>261</v>
      </c>
      <c r="CR1138" s="4" t="s">
        <v>241</v>
      </c>
      <c r="CS1138" s="4" t="s">
        <v>241</v>
      </c>
      <c r="CT1138" s="4">
        <v>0</v>
      </c>
      <c r="CU1138" s="4" t="s">
        <v>262</v>
      </c>
      <c r="CV1138" s="4" t="s">
        <v>263</v>
      </c>
      <c r="CW1138" s="4" t="s">
        <v>263</v>
      </c>
      <c r="CX1138" s="4" t="s">
        <v>264</v>
      </c>
      <c r="DA1138" s="6">
        <f>1</f>
        <v>1</v>
      </c>
      <c r="DC1138" s="4" t="s">
        <v>277</v>
      </c>
      <c r="DD1138" s="4" t="s">
        <v>241</v>
      </c>
      <c r="DF1138" s="4" t="s">
        <v>277</v>
      </c>
      <c r="DG1138" s="6">
        <f>2832</f>
        <v>2832</v>
      </c>
      <c r="DI1138" s="4" t="s">
        <v>241</v>
      </c>
      <c r="DJ1138" s="4" t="s">
        <v>241</v>
      </c>
      <c r="DK1138" s="4" t="s">
        <v>241</v>
      </c>
      <c r="DL1138" s="4" t="s">
        <v>241</v>
      </c>
      <c r="DP1138" s="4" t="s">
        <v>241</v>
      </c>
      <c r="DQ1138" s="4" t="s">
        <v>241</v>
      </c>
      <c r="DR1138" s="4" t="s">
        <v>241</v>
      </c>
      <c r="DS1138" s="4" t="s">
        <v>241</v>
      </c>
      <c r="DV1138" s="4" t="s">
        <v>278</v>
      </c>
      <c r="DW1138" s="4" t="s">
        <v>3103</v>
      </c>
      <c r="HO1138" s="4" t="s">
        <v>267</v>
      </c>
    </row>
    <row r="1139" spans="1:223" ht="19.5" customHeight="1" x14ac:dyDescent="0.4">
      <c r="A1139" s="4">
        <v>1</v>
      </c>
      <c r="B1139" s="4" t="s">
        <v>239</v>
      </c>
      <c r="C1139" s="4">
        <v>2813</v>
      </c>
      <c r="D1139" s="4">
        <v>1</v>
      </c>
      <c r="E1139" s="4">
        <v>1</v>
      </c>
      <c r="F1139" s="4" t="s">
        <v>268</v>
      </c>
      <c r="G1139" s="4" t="s">
        <v>241</v>
      </c>
      <c r="H1139" s="4" t="s">
        <v>241</v>
      </c>
      <c r="I1139" s="4" t="s">
        <v>272</v>
      </c>
      <c r="J1139" s="4" t="s">
        <v>274</v>
      </c>
      <c r="K1139" s="4" t="s">
        <v>251</v>
      </c>
      <c r="L1139" s="4" t="s">
        <v>269</v>
      </c>
      <c r="M1139" s="5" t="s">
        <v>3100</v>
      </c>
      <c r="N1139" s="6">
        <f>3020</f>
        <v>3020</v>
      </c>
      <c r="O1139" s="4" t="s">
        <v>265</v>
      </c>
      <c r="P1139" s="6">
        <f>1</f>
        <v>1</v>
      </c>
      <c r="Q1139" s="6">
        <f>0</f>
        <v>0</v>
      </c>
      <c r="S1139" s="6">
        <f>0</f>
        <v>0</v>
      </c>
      <c r="T1139" s="6">
        <f>1</f>
        <v>1</v>
      </c>
      <c r="U1139" s="5" t="s">
        <v>245</v>
      </c>
      <c r="V1139" s="4" t="s">
        <v>270</v>
      </c>
      <c r="W1139" s="4" t="s">
        <v>271</v>
      </c>
      <c r="X1139" s="4" t="s">
        <v>273</v>
      </c>
      <c r="Y1139" s="4" t="s">
        <v>241</v>
      </c>
      <c r="AB1139" s="4" t="s">
        <v>241</v>
      </c>
      <c r="AD1139" s="5" t="s">
        <v>241</v>
      </c>
      <c r="AG1139" s="5" t="s">
        <v>246</v>
      </c>
      <c r="AH1139" s="4" t="s">
        <v>241</v>
      </c>
      <c r="AI1139" s="4" t="s">
        <v>247</v>
      </c>
      <c r="AJ1139" s="4" t="s">
        <v>248</v>
      </c>
      <c r="AZ1139" s="4" t="s">
        <v>249</v>
      </c>
      <c r="BA1139" s="4" t="s">
        <v>241</v>
      </c>
      <c r="BB1139" s="4" t="s">
        <v>250</v>
      </c>
      <c r="BC1139" s="4" t="s">
        <v>241</v>
      </c>
      <c r="BD1139" s="4" t="s">
        <v>252</v>
      </c>
      <c r="BE1139" s="4" t="s">
        <v>241</v>
      </c>
      <c r="BI1139" s="4" t="s">
        <v>253</v>
      </c>
      <c r="BJ1139" s="5" t="s">
        <v>246</v>
      </c>
      <c r="BK1139" s="4" t="s">
        <v>254</v>
      </c>
      <c r="BL1139" s="4" t="s">
        <v>255</v>
      </c>
      <c r="BM1139" s="4" t="s">
        <v>241</v>
      </c>
      <c r="BN1139" s="6">
        <f>0</f>
        <v>0</v>
      </c>
      <c r="BO1139" s="6">
        <f>0</f>
        <v>0</v>
      </c>
      <c r="BP1139" s="4" t="s">
        <v>256</v>
      </c>
      <c r="BQ1139" s="4" t="s">
        <v>257</v>
      </c>
      <c r="CE1139" s="4" t="s">
        <v>241</v>
      </c>
      <c r="CF1139" s="4" t="s">
        <v>241</v>
      </c>
      <c r="CJ1139" s="4" t="s">
        <v>276</v>
      </c>
      <c r="CK1139" s="4" t="s">
        <v>259</v>
      </c>
      <c r="CL1139" s="4" t="s">
        <v>241</v>
      </c>
      <c r="CO1139" s="5" t="s">
        <v>260</v>
      </c>
      <c r="CP1139" s="4" t="s">
        <v>241</v>
      </c>
      <c r="CQ1139" s="4" t="s">
        <v>261</v>
      </c>
      <c r="CR1139" s="4" t="s">
        <v>241</v>
      </c>
      <c r="CS1139" s="4" t="s">
        <v>241</v>
      </c>
      <c r="CT1139" s="4">
        <v>0</v>
      </c>
      <c r="CU1139" s="4" t="s">
        <v>262</v>
      </c>
      <c r="CV1139" s="4" t="s">
        <v>263</v>
      </c>
      <c r="CW1139" s="4" t="s">
        <v>263</v>
      </c>
      <c r="CX1139" s="4" t="s">
        <v>264</v>
      </c>
      <c r="DA1139" s="6">
        <f>1</f>
        <v>1</v>
      </c>
      <c r="DC1139" s="4" t="s">
        <v>277</v>
      </c>
      <c r="DD1139" s="4" t="s">
        <v>241</v>
      </c>
      <c r="DF1139" s="4" t="s">
        <v>277</v>
      </c>
      <c r="DG1139" s="6">
        <f>3020</f>
        <v>3020</v>
      </c>
      <c r="DI1139" s="4" t="s">
        <v>241</v>
      </c>
      <c r="DJ1139" s="4" t="s">
        <v>241</v>
      </c>
      <c r="DK1139" s="4" t="s">
        <v>241</v>
      </c>
      <c r="DL1139" s="4" t="s">
        <v>241</v>
      </c>
      <c r="DP1139" s="4" t="s">
        <v>241</v>
      </c>
      <c r="DQ1139" s="4" t="s">
        <v>241</v>
      </c>
      <c r="DR1139" s="4" t="s">
        <v>241</v>
      </c>
      <c r="DS1139" s="4" t="s">
        <v>241</v>
      </c>
      <c r="DV1139" s="4" t="s">
        <v>278</v>
      </c>
      <c r="DW1139" s="4" t="s">
        <v>3101</v>
      </c>
      <c r="HO1139" s="4" t="s">
        <v>267</v>
      </c>
    </row>
    <row r="1140" spans="1:223" ht="19.5" customHeight="1" x14ac:dyDescent="0.4">
      <c r="A1140" s="4">
        <v>1</v>
      </c>
      <c r="B1140" s="4" t="s">
        <v>239</v>
      </c>
      <c r="C1140" s="4">
        <v>2814</v>
      </c>
      <c r="D1140" s="4">
        <v>1</v>
      </c>
      <c r="E1140" s="4">
        <v>1</v>
      </c>
      <c r="F1140" s="4" t="s">
        <v>268</v>
      </c>
      <c r="G1140" s="4" t="s">
        <v>241</v>
      </c>
      <c r="H1140" s="4" t="s">
        <v>241</v>
      </c>
      <c r="I1140" s="4" t="s">
        <v>272</v>
      </c>
      <c r="J1140" s="4" t="s">
        <v>274</v>
      </c>
      <c r="K1140" s="4" t="s">
        <v>251</v>
      </c>
      <c r="L1140" s="4" t="s">
        <v>269</v>
      </c>
      <c r="M1140" s="5" t="s">
        <v>3098</v>
      </c>
      <c r="N1140" s="6">
        <f>574</f>
        <v>574</v>
      </c>
      <c r="O1140" s="4" t="s">
        <v>265</v>
      </c>
      <c r="P1140" s="6">
        <f>1</f>
        <v>1</v>
      </c>
      <c r="Q1140" s="6">
        <f>0</f>
        <v>0</v>
      </c>
      <c r="S1140" s="6">
        <f>0</f>
        <v>0</v>
      </c>
      <c r="T1140" s="6">
        <f>1</f>
        <v>1</v>
      </c>
      <c r="U1140" s="5" t="s">
        <v>245</v>
      </c>
      <c r="V1140" s="4" t="s">
        <v>270</v>
      </c>
      <c r="W1140" s="4" t="s">
        <v>271</v>
      </c>
      <c r="X1140" s="4" t="s">
        <v>273</v>
      </c>
      <c r="Y1140" s="4" t="s">
        <v>241</v>
      </c>
      <c r="AB1140" s="4" t="s">
        <v>241</v>
      </c>
      <c r="AD1140" s="5" t="s">
        <v>241</v>
      </c>
      <c r="AG1140" s="5" t="s">
        <v>246</v>
      </c>
      <c r="AH1140" s="4" t="s">
        <v>241</v>
      </c>
      <c r="AI1140" s="4" t="s">
        <v>247</v>
      </c>
      <c r="AJ1140" s="4" t="s">
        <v>248</v>
      </c>
      <c r="AZ1140" s="4" t="s">
        <v>249</v>
      </c>
      <c r="BA1140" s="4" t="s">
        <v>241</v>
      </c>
      <c r="BB1140" s="4" t="s">
        <v>250</v>
      </c>
      <c r="BC1140" s="4" t="s">
        <v>241</v>
      </c>
      <c r="BD1140" s="4" t="s">
        <v>252</v>
      </c>
      <c r="BE1140" s="4" t="s">
        <v>241</v>
      </c>
      <c r="BI1140" s="4" t="s">
        <v>253</v>
      </c>
      <c r="BJ1140" s="5" t="s">
        <v>246</v>
      </c>
      <c r="BK1140" s="4" t="s">
        <v>254</v>
      </c>
      <c r="BL1140" s="4" t="s">
        <v>255</v>
      </c>
      <c r="BM1140" s="4" t="s">
        <v>241</v>
      </c>
      <c r="BN1140" s="6">
        <f>0</f>
        <v>0</v>
      </c>
      <c r="BO1140" s="6">
        <f>0</f>
        <v>0</v>
      </c>
      <c r="BP1140" s="4" t="s">
        <v>256</v>
      </c>
      <c r="BQ1140" s="4" t="s">
        <v>257</v>
      </c>
      <c r="CE1140" s="4" t="s">
        <v>241</v>
      </c>
      <c r="CF1140" s="4" t="s">
        <v>241</v>
      </c>
      <c r="CJ1140" s="4" t="s">
        <v>276</v>
      </c>
      <c r="CK1140" s="4" t="s">
        <v>259</v>
      </c>
      <c r="CL1140" s="4" t="s">
        <v>241</v>
      </c>
      <c r="CO1140" s="5" t="s">
        <v>260</v>
      </c>
      <c r="CP1140" s="4" t="s">
        <v>241</v>
      </c>
      <c r="CQ1140" s="4" t="s">
        <v>261</v>
      </c>
      <c r="CR1140" s="4" t="s">
        <v>241</v>
      </c>
      <c r="CS1140" s="4" t="s">
        <v>241</v>
      </c>
      <c r="CT1140" s="4">
        <v>0</v>
      </c>
      <c r="CU1140" s="4" t="s">
        <v>262</v>
      </c>
      <c r="CV1140" s="4" t="s">
        <v>263</v>
      </c>
      <c r="CW1140" s="4" t="s">
        <v>263</v>
      </c>
      <c r="CX1140" s="4" t="s">
        <v>264</v>
      </c>
      <c r="DA1140" s="6">
        <f>1</f>
        <v>1</v>
      </c>
      <c r="DC1140" s="4" t="s">
        <v>277</v>
      </c>
      <c r="DD1140" s="4" t="s">
        <v>241</v>
      </c>
      <c r="DF1140" s="4" t="s">
        <v>277</v>
      </c>
      <c r="DG1140" s="6">
        <f>574</f>
        <v>574</v>
      </c>
      <c r="DI1140" s="4" t="s">
        <v>241</v>
      </c>
      <c r="DJ1140" s="4" t="s">
        <v>241</v>
      </c>
      <c r="DK1140" s="4" t="s">
        <v>241</v>
      </c>
      <c r="DL1140" s="4" t="s">
        <v>241</v>
      </c>
      <c r="DP1140" s="4" t="s">
        <v>241</v>
      </c>
      <c r="DQ1140" s="4" t="s">
        <v>241</v>
      </c>
      <c r="DR1140" s="4" t="s">
        <v>241</v>
      </c>
      <c r="DS1140" s="4" t="s">
        <v>241</v>
      </c>
      <c r="DV1140" s="4" t="s">
        <v>278</v>
      </c>
      <c r="DW1140" s="4" t="s">
        <v>3099</v>
      </c>
      <c r="HO1140" s="4" t="s">
        <v>267</v>
      </c>
    </row>
    <row r="1141" spans="1:223" ht="19.5" customHeight="1" x14ac:dyDescent="0.4">
      <c r="A1141" s="4">
        <v>1</v>
      </c>
      <c r="B1141" s="4" t="s">
        <v>239</v>
      </c>
      <c r="C1141" s="4">
        <v>2815</v>
      </c>
      <c r="D1141" s="4">
        <v>1</v>
      </c>
      <c r="E1141" s="4">
        <v>1</v>
      </c>
      <c r="F1141" s="4" t="s">
        <v>268</v>
      </c>
      <c r="G1141" s="4" t="s">
        <v>241</v>
      </c>
      <c r="H1141" s="4" t="s">
        <v>241</v>
      </c>
      <c r="I1141" s="4" t="s">
        <v>272</v>
      </c>
      <c r="J1141" s="4" t="s">
        <v>274</v>
      </c>
      <c r="K1141" s="4" t="s">
        <v>251</v>
      </c>
      <c r="L1141" s="4" t="s">
        <v>269</v>
      </c>
      <c r="M1141" s="5" t="s">
        <v>3096</v>
      </c>
      <c r="N1141" s="6">
        <f>2572</f>
        <v>2572</v>
      </c>
      <c r="O1141" s="4" t="s">
        <v>265</v>
      </c>
      <c r="P1141" s="6">
        <f>1</f>
        <v>1</v>
      </c>
      <c r="Q1141" s="6">
        <f>0</f>
        <v>0</v>
      </c>
      <c r="S1141" s="6">
        <f>0</f>
        <v>0</v>
      </c>
      <c r="T1141" s="6">
        <f>1</f>
        <v>1</v>
      </c>
      <c r="U1141" s="5" t="s">
        <v>245</v>
      </c>
      <c r="V1141" s="4" t="s">
        <v>270</v>
      </c>
      <c r="W1141" s="4" t="s">
        <v>271</v>
      </c>
      <c r="X1141" s="4" t="s">
        <v>273</v>
      </c>
      <c r="Y1141" s="4" t="s">
        <v>241</v>
      </c>
      <c r="AB1141" s="4" t="s">
        <v>241</v>
      </c>
      <c r="AD1141" s="5" t="s">
        <v>241</v>
      </c>
      <c r="AG1141" s="5" t="s">
        <v>246</v>
      </c>
      <c r="AH1141" s="4" t="s">
        <v>241</v>
      </c>
      <c r="AI1141" s="4" t="s">
        <v>247</v>
      </c>
      <c r="AJ1141" s="4" t="s">
        <v>248</v>
      </c>
      <c r="AZ1141" s="4" t="s">
        <v>249</v>
      </c>
      <c r="BA1141" s="4" t="s">
        <v>241</v>
      </c>
      <c r="BB1141" s="4" t="s">
        <v>250</v>
      </c>
      <c r="BC1141" s="4" t="s">
        <v>241</v>
      </c>
      <c r="BD1141" s="4" t="s">
        <v>252</v>
      </c>
      <c r="BE1141" s="4" t="s">
        <v>241</v>
      </c>
      <c r="BI1141" s="4" t="s">
        <v>253</v>
      </c>
      <c r="BJ1141" s="5" t="s">
        <v>246</v>
      </c>
      <c r="BK1141" s="4" t="s">
        <v>254</v>
      </c>
      <c r="BL1141" s="4" t="s">
        <v>255</v>
      </c>
      <c r="BM1141" s="4" t="s">
        <v>241</v>
      </c>
      <c r="BN1141" s="6">
        <f>0</f>
        <v>0</v>
      </c>
      <c r="BO1141" s="6">
        <f>0</f>
        <v>0</v>
      </c>
      <c r="BP1141" s="4" t="s">
        <v>256</v>
      </c>
      <c r="BQ1141" s="4" t="s">
        <v>257</v>
      </c>
      <c r="CE1141" s="4" t="s">
        <v>241</v>
      </c>
      <c r="CF1141" s="4" t="s">
        <v>241</v>
      </c>
      <c r="CJ1141" s="4" t="s">
        <v>276</v>
      </c>
      <c r="CK1141" s="4" t="s">
        <v>259</v>
      </c>
      <c r="CL1141" s="4" t="s">
        <v>241</v>
      </c>
      <c r="CO1141" s="5" t="s">
        <v>260</v>
      </c>
      <c r="CP1141" s="4" t="s">
        <v>241</v>
      </c>
      <c r="CQ1141" s="4" t="s">
        <v>261</v>
      </c>
      <c r="CR1141" s="4" t="s">
        <v>241</v>
      </c>
      <c r="CS1141" s="4" t="s">
        <v>241</v>
      </c>
      <c r="CT1141" s="4">
        <v>0</v>
      </c>
      <c r="CU1141" s="4" t="s">
        <v>262</v>
      </c>
      <c r="CV1141" s="4" t="s">
        <v>263</v>
      </c>
      <c r="CW1141" s="4" t="s">
        <v>263</v>
      </c>
      <c r="CX1141" s="4" t="s">
        <v>264</v>
      </c>
      <c r="DA1141" s="6">
        <f>1</f>
        <v>1</v>
      </c>
      <c r="DC1141" s="4" t="s">
        <v>277</v>
      </c>
      <c r="DD1141" s="4" t="s">
        <v>241</v>
      </c>
      <c r="DF1141" s="4" t="s">
        <v>277</v>
      </c>
      <c r="DG1141" s="6">
        <f>2572</f>
        <v>2572</v>
      </c>
      <c r="DI1141" s="4" t="s">
        <v>241</v>
      </c>
      <c r="DJ1141" s="4" t="s">
        <v>241</v>
      </c>
      <c r="DK1141" s="4" t="s">
        <v>241</v>
      </c>
      <c r="DL1141" s="4" t="s">
        <v>241</v>
      </c>
      <c r="DP1141" s="4" t="s">
        <v>241</v>
      </c>
      <c r="DQ1141" s="4" t="s">
        <v>241</v>
      </c>
      <c r="DR1141" s="4" t="s">
        <v>241</v>
      </c>
      <c r="DS1141" s="4" t="s">
        <v>241</v>
      </c>
      <c r="DV1141" s="4" t="s">
        <v>278</v>
      </c>
      <c r="DW1141" s="4" t="s">
        <v>3097</v>
      </c>
      <c r="HO1141" s="4" t="s">
        <v>267</v>
      </c>
    </row>
    <row r="1142" spans="1:223" ht="19.5" customHeight="1" x14ac:dyDescent="0.4">
      <c r="A1142" s="4">
        <v>1</v>
      </c>
      <c r="B1142" s="4" t="s">
        <v>239</v>
      </c>
      <c r="C1142" s="4">
        <v>2816</v>
      </c>
      <c r="D1142" s="4">
        <v>1</v>
      </c>
      <c r="E1142" s="4">
        <v>1</v>
      </c>
      <c r="F1142" s="4" t="s">
        <v>268</v>
      </c>
      <c r="G1142" s="4" t="s">
        <v>241</v>
      </c>
      <c r="H1142" s="4" t="s">
        <v>241</v>
      </c>
      <c r="I1142" s="4" t="s">
        <v>272</v>
      </c>
      <c r="J1142" s="4" t="s">
        <v>274</v>
      </c>
      <c r="K1142" s="4" t="s">
        <v>251</v>
      </c>
      <c r="L1142" s="4" t="s">
        <v>269</v>
      </c>
      <c r="M1142" s="5" t="s">
        <v>3094</v>
      </c>
      <c r="N1142" s="6">
        <f>563</f>
        <v>563</v>
      </c>
      <c r="O1142" s="4" t="s">
        <v>265</v>
      </c>
      <c r="P1142" s="6">
        <f>1</f>
        <v>1</v>
      </c>
      <c r="Q1142" s="6">
        <f>0</f>
        <v>0</v>
      </c>
      <c r="S1142" s="6">
        <f>0</f>
        <v>0</v>
      </c>
      <c r="T1142" s="6">
        <f>1</f>
        <v>1</v>
      </c>
      <c r="U1142" s="5" t="s">
        <v>245</v>
      </c>
      <c r="V1142" s="4" t="s">
        <v>270</v>
      </c>
      <c r="W1142" s="4" t="s">
        <v>271</v>
      </c>
      <c r="X1142" s="4" t="s">
        <v>273</v>
      </c>
      <c r="Y1142" s="4" t="s">
        <v>241</v>
      </c>
      <c r="AB1142" s="4" t="s">
        <v>241</v>
      </c>
      <c r="AD1142" s="5" t="s">
        <v>241</v>
      </c>
      <c r="AG1142" s="5" t="s">
        <v>246</v>
      </c>
      <c r="AH1142" s="4" t="s">
        <v>241</v>
      </c>
      <c r="AI1142" s="4" t="s">
        <v>247</v>
      </c>
      <c r="AJ1142" s="4" t="s">
        <v>248</v>
      </c>
      <c r="AZ1142" s="4" t="s">
        <v>249</v>
      </c>
      <c r="BA1142" s="4" t="s">
        <v>241</v>
      </c>
      <c r="BB1142" s="4" t="s">
        <v>250</v>
      </c>
      <c r="BC1142" s="4" t="s">
        <v>241</v>
      </c>
      <c r="BD1142" s="4" t="s">
        <v>252</v>
      </c>
      <c r="BE1142" s="4" t="s">
        <v>241</v>
      </c>
      <c r="BI1142" s="4" t="s">
        <v>253</v>
      </c>
      <c r="BJ1142" s="5" t="s">
        <v>246</v>
      </c>
      <c r="BK1142" s="4" t="s">
        <v>254</v>
      </c>
      <c r="BL1142" s="4" t="s">
        <v>255</v>
      </c>
      <c r="BM1142" s="4" t="s">
        <v>241</v>
      </c>
      <c r="BN1142" s="6">
        <f>0</f>
        <v>0</v>
      </c>
      <c r="BO1142" s="6">
        <f>0</f>
        <v>0</v>
      </c>
      <c r="BP1142" s="4" t="s">
        <v>256</v>
      </c>
      <c r="BQ1142" s="4" t="s">
        <v>257</v>
      </c>
      <c r="CE1142" s="4" t="s">
        <v>241</v>
      </c>
      <c r="CF1142" s="4" t="s">
        <v>241</v>
      </c>
      <c r="CJ1142" s="4" t="s">
        <v>276</v>
      </c>
      <c r="CK1142" s="4" t="s">
        <v>259</v>
      </c>
      <c r="CL1142" s="4" t="s">
        <v>241</v>
      </c>
      <c r="CO1142" s="5" t="s">
        <v>260</v>
      </c>
      <c r="CP1142" s="4" t="s">
        <v>241</v>
      </c>
      <c r="CQ1142" s="4" t="s">
        <v>261</v>
      </c>
      <c r="CR1142" s="4" t="s">
        <v>241</v>
      </c>
      <c r="CS1142" s="4" t="s">
        <v>241</v>
      </c>
      <c r="CT1142" s="4">
        <v>0</v>
      </c>
      <c r="CU1142" s="4" t="s">
        <v>262</v>
      </c>
      <c r="CV1142" s="4" t="s">
        <v>263</v>
      </c>
      <c r="CW1142" s="4" t="s">
        <v>263</v>
      </c>
      <c r="CX1142" s="4" t="s">
        <v>264</v>
      </c>
      <c r="DA1142" s="6">
        <f>1</f>
        <v>1</v>
      </c>
      <c r="DC1142" s="4" t="s">
        <v>277</v>
      </c>
      <c r="DD1142" s="4" t="s">
        <v>241</v>
      </c>
      <c r="DF1142" s="4" t="s">
        <v>277</v>
      </c>
      <c r="DG1142" s="6">
        <f>563</f>
        <v>563</v>
      </c>
      <c r="DI1142" s="4" t="s">
        <v>241</v>
      </c>
      <c r="DJ1142" s="4" t="s">
        <v>241</v>
      </c>
      <c r="DK1142" s="4" t="s">
        <v>241</v>
      </c>
      <c r="DL1142" s="4" t="s">
        <v>241</v>
      </c>
      <c r="DP1142" s="4" t="s">
        <v>241</v>
      </c>
      <c r="DQ1142" s="4" t="s">
        <v>241</v>
      </c>
      <c r="DR1142" s="4" t="s">
        <v>241</v>
      </c>
      <c r="DS1142" s="4" t="s">
        <v>241</v>
      </c>
      <c r="DV1142" s="4" t="s">
        <v>278</v>
      </c>
      <c r="DW1142" s="4" t="s">
        <v>3095</v>
      </c>
      <c r="HO1142" s="4" t="s">
        <v>267</v>
      </c>
    </row>
    <row r="1143" spans="1:223" ht="19.5" customHeight="1" x14ac:dyDescent="0.4">
      <c r="A1143" s="4">
        <v>1</v>
      </c>
      <c r="B1143" s="4" t="s">
        <v>239</v>
      </c>
      <c r="C1143" s="4">
        <v>2817</v>
      </c>
      <c r="D1143" s="4">
        <v>1</v>
      </c>
      <c r="E1143" s="4">
        <v>1</v>
      </c>
      <c r="F1143" s="4" t="s">
        <v>268</v>
      </c>
      <c r="G1143" s="4" t="s">
        <v>241</v>
      </c>
      <c r="H1143" s="4" t="s">
        <v>241</v>
      </c>
      <c r="I1143" s="4" t="s">
        <v>272</v>
      </c>
      <c r="J1143" s="4" t="s">
        <v>274</v>
      </c>
      <c r="K1143" s="4" t="s">
        <v>251</v>
      </c>
      <c r="L1143" s="4" t="s">
        <v>269</v>
      </c>
      <c r="M1143" s="5" t="s">
        <v>3092</v>
      </c>
      <c r="N1143" s="6">
        <f>13783</f>
        <v>13783</v>
      </c>
      <c r="O1143" s="4" t="s">
        <v>265</v>
      </c>
      <c r="P1143" s="6">
        <f>1</f>
        <v>1</v>
      </c>
      <c r="Q1143" s="6">
        <f>0</f>
        <v>0</v>
      </c>
      <c r="S1143" s="6">
        <f>0</f>
        <v>0</v>
      </c>
      <c r="T1143" s="6">
        <f>1</f>
        <v>1</v>
      </c>
      <c r="U1143" s="5" t="s">
        <v>245</v>
      </c>
      <c r="V1143" s="4" t="s">
        <v>270</v>
      </c>
      <c r="W1143" s="4" t="s">
        <v>271</v>
      </c>
      <c r="X1143" s="4" t="s">
        <v>273</v>
      </c>
      <c r="Y1143" s="4" t="s">
        <v>241</v>
      </c>
      <c r="AB1143" s="4" t="s">
        <v>241</v>
      </c>
      <c r="AD1143" s="5" t="s">
        <v>241</v>
      </c>
      <c r="AG1143" s="5" t="s">
        <v>246</v>
      </c>
      <c r="AH1143" s="4" t="s">
        <v>241</v>
      </c>
      <c r="AI1143" s="4" t="s">
        <v>247</v>
      </c>
      <c r="AJ1143" s="4" t="s">
        <v>248</v>
      </c>
      <c r="AZ1143" s="4" t="s">
        <v>249</v>
      </c>
      <c r="BA1143" s="4" t="s">
        <v>241</v>
      </c>
      <c r="BB1143" s="4" t="s">
        <v>250</v>
      </c>
      <c r="BC1143" s="4" t="s">
        <v>241</v>
      </c>
      <c r="BD1143" s="4" t="s">
        <v>252</v>
      </c>
      <c r="BE1143" s="4" t="s">
        <v>241</v>
      </c>
      <c r="BI1143" s="4" t="s">
        <v>253</v>
      </c>
      <c r="BJ1143" s="5" t="s">
        <v>246</v>
      </c>
      <c r="BK1143" s="4" t="s">
        <v>254</v>
      </c>
      <c r="BL1143" s="4" t="s">
        <v>255</v>
      </c>
      <c r="BM1143" s="4" t="s">
        <v>241</v>
      </c>
      <c r="BN1143" s="6">
        <f>0</f>
        <v>0</v>
      </c>
      <c r="BO1143" s="6">
        <f>0</f>
        <v>0</v>
      </c>
      <c r="BP1143" s="4" t="s">
        <v>256</v>
      </c>
      <c r="BQ1143" s="4" t="s">
        <v>257</v>
      </c>
      <c r="CE1143" s="4" t="s">
        <v>241</v>
      </c>
      <c r="CF1143" s="4" t="s">
        <v>241</v>
      </c>
      <c r="CJ1143" s="4" t="s">
        <v>276</v>
      </c>
      <c r="CK1143" s="4" t="s">
        <v>259</v>
      </c>
      <c r="CL1143" s="4" t="s">
        <v>241</v>
      </c>
      <c r="CO1143" s="5" t="s">
        <v>260</v>
      </c>
      <c r="CP1143" s="4" t="s">
        <v>241</v>
      </c>
      <c r="CQ1143" s="4" t="s">
        <v>261</v>
      </c>
      <c r="CR1143" s="4" t="s">
        <v>241</v>
      </c>
      <c r="CS1143" s="4" t="s">
        <v>241</v>
      </c>
      <c r="CT1143" s="4">
        <v>0</v>
      </c>
      <c r="CU1143" s="4" t="s">
        <v>262</v>
      </c>
      <c r="CV1143" s="4" t="s">
        <v>263</v>
      </c>
      <c r="CW1143" s="4" t="s">
        <v>263</v>
      </c>
      <c r="CX1143" s="4" t="s">
        <v>264</v>
      </c>
      <c r="DA1143" s="6">
        <f>1</f>
        <v>1</v>
      </c>
      <c r="DC1143" s="4" t="s">
        <v>277</v>
      </c>
      <c r="DD1143" s="4" t="s">
        <v>241</v>
      </c>
      <c r="DF1143" s="4" t="s">
        <v>277</v>
      </c>
      <c r="DG1143" s="6">
        <f>13783</f>
        <v>13783</v>
      </c>
      <c r="DI1143" s="4" t="s">
        <v>241</v>
      </c>
      <c r="DJ1143" s="4" t="s">
        <v>241</v>
      </c>
      <c r="DK1143" s="4" t="s">
        <v>241</v>
      </c>
      <c r="DL1143" s="4" t="s">
        <v>241</v>
      </c>
      <c r="DP1143" s="4" t="s">
        <v>241</v>
      </c>
      <c r="DQ1143" s="4" t="s">
        <v>241</v>
      </c>
      <c r="DR1143" s="4" t="s">
        <v>241</v>
      </c>
      <c r="DS1143" s="4" t="s">
        <v>241</v>
      </c>
      <c r="DV1143" s="4" t="s">
        <v>278</v>
      </c>
      <c r="DW1143" s="4" t="s">
        <v>3093</v>
      </c>
      <c r="HO1143" s="4" t="s">
        <v>267</v>
      </c>
    </row>
    <row r="1144" spans="1:223" ht="19.5" customHeight="1" x14ac:dyDescent="0.4">
      <c r="A1144" s="4">
        <v>1</v>
      </c>
      <c r="B1144" s="4" t="s">
        <v>239</v>
      </c>
      <c r="C1144" s="4">
        <v>2818</v>
      </c>
      <c r="D1144" s="4">
        <v>1</v>
      </c>
      <c r="E1144" s="4">
        <v>1</v>
      </c>
      <c r="F1144" s="4" t="s">
        <v>268</v>
      </c>
      <c r="G1144" s="4" t="s">
        <v>241</v>
      </c>
      <c r="H1144" s="4" t="s">
        <v>241</v>
      </c>
      <c r="I1144" s="4" t="s">
        <v>272</v>
      </c>
      <c r="J1144" s="4" t="s">
        <v>274</v>
      </c>
      <c r="K1144" s="4" t="s">
        <v>251</v>
      </c>
      <c r="L1144" s="4" t="s">
        <v>269</v>
      </c>
      <c r="M1144" s="5" t="s">
        <v>3090</v>
      </c>
      <c r="N1144" s="6">
        <f>4021</f>
        <v>4021</v>
      </c>
      <c r="O1144" s="4" t="s">
        <v>265</v>
      </c>
      <c r="P1144" s="6">
        <f>1</f>
        <v>1</v>
      </c>
      <c r="Q1144" s="6">
        <f>0</f>
        <v>0</v>
      </c>
      <c r="S1144" s="6">
        <f>0</f>
        <v>0</v>
      </c>
      <c r="T1144" s="6">
        <f>1</f>
        <v>1</v>
      </c>
      <c r="U1144" s="5" t="s">
        <v>245</v>
      </c>
      <c r="V1144" s="4" t="s">
        <v>270</v>
      </c>
      <c r="W1144" s="4" t="s">
        <v>271</v>
      </c>
      <c r="X1144" s="4" t="s">
        <v>273</v>
      </c>
      <c r="Y1144" s="4" t="s">
        <v>241</v>
      </c>
      <c r="AB1144" s="4" t="s">
        <v>241</v>
      </c>
      <c r="AD1144" s="5" t="s">
        <v>241</v>
      </c>
      <c r="AG1144" s="5" t="s">
        <v>246</v>
      </c>
      <c r="AH1144" s="4" t="s">
        <v>241</v>
      </c>
      <c r="AI1144" s="4" t="s">
        <v>247</v>
      </c>
      <c r="AJ1144" s="4" t="s">
        <v>248</v>
      </c>
      <c r="AZ1144" s="4" t="s">
        <v>249</v>
      </c>
      <c r="BA1144" s="4" t="s">
        <v>241</v>
      </c>
      <c r="BB1144" s="4" t="s">
        <v>250</v>
      </c>
      <c r="BC1144" s="4" t="s">
        <v>241</v>
      </c>
      <c r="BD1144" s="4" t="s">
        <v>252</v>
      </c>
      <c r="BE1144" s="4" t="s">
        <v>241</v>
      </c>
      <c r="BI1144" s="4" t="s">
        <v>253</v>
      </c>
      <c r="BJ1144" s="5" t="s">
        <v>246</v>
      </c>
      <c r="BK1144" s="4" t="s">
        <v>254</v>
      </c>
      <c r="BL1144" s="4" t="s">
        <v>255</v>
      </c>
      <c r="BM1144" s="4" t="s">
        <v>241</v>
      </c>
      <c r="BN1144" s="6">
        <f>0</f>
        <v>0</v>
      </c>
      <c r="BO1144" s="6">
        <f>0</f>
        <v>0</v>
      </c>
      <c r="BP1144" s="4" t="s">
        <v>256</v>
      </c>
      <c r="BQ1144" s="4" t="s">
        <v>257</v>
      </c>
      <c r="CE1144" s="4" t="s">
        <v>241</v>
      </c>
      <c r="CF1144" s="4" t="s">
        <v>241</v>
      </c>
      <c r="CJ1144" s="4" t="s">
        <v>276</v>
      </c>
      <c r="CK1144" s="4" t="s">
        <v>259</v>
      </c>
      <c r="CL1144" s="4" t="s">
        <v>241</v>
      </c>
      <c r="CO1144" s="5" t="s">
        <v>260</v>
      </c>
      <c r="CP1144" s="4" t="s">
        <v>241</v>
      </c>
      <c r="CQ1144" s="4" t="s">
        <v>261</v>
      </c>
      <c r="CR1144" s="4" t="s">
        <v>241</v>
      </c>
      <c r="CS1144" s="4" t="s">
        <v>241</v>
      </c>
      <c r="CT1144" s="4">
        <v>0</v>
      </c>
      <c r="CU1144" s="4" t="s">
        <v>262</v>
      </c>
      <c r="CV1144" s="4" t="s">
        <v>263</v>
      </c>
      <c r="CW1144" s="4" t="s">
        <v>263</v>
      </c>
      <c r="CX1144" s="4" t="s">
        <v>264</v>
      </c>
      <c r="DA1144" s="6">
        <f>1</f>
        <v>1</v>
      </c>
      <c r="DC1144" s="4" t="s">
        <v>277</v>
      </c>
      <c r="DD1144" s="4" t="s">
        <v>241</v>
      </c>
      <c r="DF1144" s="4" t="s">
        <v>277</v>
      </c>
      <c r="DG1144" s="6">
        <f>4021</f>
        <v>4021</v>
      </c>
      <c r="DI1144" s="4" t="s">
        <v>241</v>
      </c>
      <c r="DJ1144" s="4" t="s">
        <v>241</v>
      </c>
      <c r="DK1144" s="4" t="s">
        <v>241</v>
      </c>
      <c r="DL1144" s="4" t="s">
        <v>241</v>
      </c>
      <c r="DP1144" s="4" t="s">
        <v>241</v>
      </c>
      <c r="DQ1144" s="4" t="s">
        <v>241</v>
      </c>
      <c r="DR1144" s="4" t="s">
        <v>241</v>
      </c>
      <c r="DS1144" s="4" t="s">
        <v>241</v>
      </c>
      <c r="DV1144" s="4" t="s">
        <v>278</v>
      </c>
      <c r="DW1144" s="4" t="s">
        <v>3091</v>
      </c>
      <c r="HO1144" s="4" t="s">
        <v>267</v>
      </c>
    </row>
    <row r="1145" spans="1:223" ht="19.5" customHeight="1" x14ac:dyDescent="0.4">
      <c r="A1145" s="4">
        <v>1</v>
      </c>
      <c r="B1145" s="4" t="s">
        <v>239</v>
      </c>
      <c r="C1145" s="4">
        <v>2819</v>
      </c>
      <c r="D1145" s="4">
        <v>1</v>
      </c>
      <c r="E1145" s="4">
        <v>1</v>
      </c>
      <c r="F1145" s="4" t="s">
        <v>268</v>
      </c>
      <c r="G1145" s="4" t="s">
        <v>241</v>
      </c>
      <c r="H1145" s="4" t="s">
        <v>241</v>
      </c>
      <c r="I1145" s="4" t="s">
        <v>272</v>
      </c>
      <c r="J1145" s="4" t="s">
        <v>274</v>
      </c>
      <c r="K1145" s="4" t="s">
        <v>251</v>
      </c>
      <c r="L1145" s="4" t="s">
        <v>269</v>
      </c>
      <c r="M1145" s="5" t="s">
        <v>3088</v>
      </c>
      <c r="N1145" s="6">
        <f>2298</f>
        <v>2298</v>
      </c>
      <c r="O1145" s="4" t="s">
        <v>265</v>
      </c>
      <c r="P1145" s="6">
        <f>1</f>
        <v>1</v>
      </c>
      <c r="Q1145" s="6">
        <f>0</f>
        <v>0</v>
      </c>
      <c r="S1145" s="6">
        <f>0</f>
        <v>0</v>
      </c>
      <c r="T1145" s="6">
        <f>1</f>
        <v>1</v>
      </c>
      <c r="U1145" s="5" t="s">
        <v>245</v>
      </c>
      <c r="V1145" s="4" t="s">
        <v>270</v>
      </c>
      <c r="W1145" s="4" t="s">
        <v>271</v>
      </c>
      <c r="X1145" s="4" t="s">
        <v>273</v>
      </c>
      <c r="Y1145" s="4" t="s">
        <v>241</v>
      </c>
      <c r="AB1145" s="4" t="s">
        <v>241</v>
      </c>
      <c r="AD1145" s="5" t="s">
        <v>241</v>
      </c>
      <c r="AG1145" s="5" t="s">
        <v>246</v>
      </c>
      <c r="AH1145" s="4" t="s">
        <v>241</v>
      </c>
      <c r="AI1145" s="4" t="s">
        <v>247</v>
      </c>
      <c r="AJ1145" s="4" t="s">
        <v>248</v>
      </c>
      <c r="AZ1145" s="4" t="s">
        <v>249</v>
      </c>
      <c r="BA1145" s="4" t="s">
        <v>241</v>
      </c>
      <c r="BB1145" s="4" t="s">
        <v>250</v>
      </c>
      <c r="BC1145" s="4" t="s">
        <v>241</v>
      </c>
      <c r="BD1145" s="4" t="s">
        <v>252</v>
      </c>
      <c r="BE1145" s="4" t="s">
        <v>241</v>
      </c>
      <c r="BI1145" s="4" t="s">
        <v>253</v>
      </c>
      <c r="BJ1145" s="5" t="s">
        <v>246</v>
      </c>
      <c r="BK1145" s="4" t="s">
        <v>254</v>
      </c>
      <c r="BL1145" s="4" t="s">
        <v>255</v>
      </c>
      <c r="BM1145" s="4" t="s">
        <v>241</v>
      </c>
      <c r="BN1145" s="6">
        <f>0</f>
        <v>0</v>
      </c>
      <c r="BO1145" s="6">
        <f>0</f>
        <v>0</v>
      </c>
      <c r="BP1145" s="4" t="s">
        <v>256</v>
      </c>
      <c r="BQ1145" s="4" t="s">
        <v>257</v>
      </c>
      <c r="CE1145" s="4" t="s">
        <v>241</v>
      </c>
      <c r="CF1145" s="4" t="s">
        <v>241</v>
      </c>
      <c r="CJ1145" s="4" t="s">
        <v>276</v>
      </c>
      <c r="CK1145" s="4" t="s">
        <v>259</v>
      </c>
      <c r="CL1145" s="4" t="s">
        <v>241</v>
      </c>
      <c r="CO1145" s="5" t="s">
        <v>260</v>
      </c>
      <c r="CP1145" s="4" t="s">
        <v>241</v>
      </c>
      <c r="CQ1145" s="4" t="s">
        <v>261</v>
      </c>
      <c r="CR1145" s="4" t="s">
        <v>241</v>
      </c>
      <c r="CS1145" s="4" t="s">
        <v>241</v>
      </c>
      <c r="CT1145" s="4">
        <v>0</v>
      </c>
      <c r="CU1145" s="4" t="s">
        <v>262</v>
      </c>
      <c r="CV1145" s="4" t="s">
        <v>263</v>
      </c>
      <c r="CW1145" s="4" t="s">
        <v>263</v>
      </c>
      <c r="CX1145" s="4" t="s">
        <v>264</v>
      </c>
      <c r="DA1145" s="6">
        <f>1</f>
        <v>1</v>
      </c>
      <c r="DC1145" s="4" t="s">
        <v>277</v>
      </c>
      <c r="DD1145" s="4" t="s">
        <v>241</v>
      </c>
      <c r="DF1145" s="4" t="s">
        <v>277</v>
      </c>
      <c r="DG1145" s="6">
        <f>2298</f>
        <v>2298</v>
      </c>
      <c r="DI1145" s="4" t="s">
        <v>241</v>
      </c>
      <c r="DJ1145" s="4" t="s">
        <v>241</v>
      </c>
      <c r="DK1145" s="4" t="s">
        <v>241</v>
      </c>
      <c r="DL1145" s="4" t="s">
        <v>241</v>
      </c>
      <c r="DP1145" s="4" t="s">
        <v>241</v>
      </c>
      <c r="DQ1145" s="4" t="s">
        <v>241</v>
      </c>
      <c r="DR1145" s="4" t="s">
        <v>241</v>
      </c>
      <c r="DS1145" s="4" t="s">
        <v>241</v>
      </c>
      <c r="DV1145" s="4" t="s">
        <v>278</v>
      </c>
      <c r="DW1145" s="4" t="s">
        <v>3089</v>
      </c>
      <c r="HO1145" s="4" t="s">
        <v>267</v>
      </c>
    </row>
    <row r="1146" spans="1:223" ht="19.5" customHeight="1" x14ac:dyDescent="0.4">
      <c r="A1146" s="4">
        <v>1</v>
      </c>
      <c r="B1146" s="4" t="s">
        <v>239</v>
      </c>
      <c r="C1146" s="4">
        <v>2820</v>
      </c>
      <c r="D1146" s="4">
        <v>1</v>
      </c>
      <c r="E1146" s="4">
        <v>1</v>
      </c>
      <c r="F1146" s="4" t="s">
        <v>268</v>
      </c>
      <c r="G1146" s="4" t="s">
        <v>241</v>
      </c>
      <c r="H1146" s="4" t="s">
        <v>241</v>
      </c>
      <c r="I1146" s="4" t="s">
        <v>272</v>
      </c>
      <c r="J1146" s="4" t="s">
        <v>274</v>
      </c>
      <c r="K1146" s="4" t="s">
        <v>251</v>
      </c>
      <c r="L1146" s="4" t="s">
        <v>269</v>
      </c>
      <c r="M1146" s="5" t="s">
        <v>3086</v>
      </c>
      <c r="N1146" s="6">
        <f>443</f>
        <v>443</v>
      </c>
      <c r="O1146" s="4" t="s">
        <v>265</v>
      </c>
      <c r="P1146" s="6">
        <f>1</f>
        <v>1</v>
      </c>
      <c r="Q1146" s="6">
        <f>0</f>
        <v>0</v>
      </c>
      <c r="S1146" s="6">
        <f>0</f>
        <v>0</v>
      </c>
      <c r="T1146" s="6">
        <f>1</f>
        <v>1</v>
      </c>
      <c r="U1146" s="5" t="s">
        <v>245</v>
      </c>
      <c r="V1146" s="4" t="s">
        <v>270</v>
      </c>
      <c r="W1146" s="4" t="s">
        <v>271</v>
      </c>
      <c r="X1146" s="4" t="s">
        <v>273</v>
      </c>
      <c r="Y1146" s="4" t="s">
        <v>241</v>
      </c>
      <c r="AB1146" s="4" t="s">
        <v>241</v>
      </c>
      <c r="AD1146" s="5" t="s">
        <v>241</v>
      </c>
      <c r="AG1146" s="5" t="s">
        <v>246</v>
      </c>
      <c r="AH1146" s="4" t="s">
        <v>241</v>
      </c>
      <c r="AI1146" s="4" t="s">
        <v>247</v>
      </c>
      <c r="AJ1146" s="4" t="s">
        <v>248</v>
      </c>
      <c r="AZ1146" s="4" t="s">
        <v>249</v>
      </c>
      <c r="BA1146" s="4" t="s">
        <v>241</v>
      </c>
      <c r="BB1146" s="4" t="s">
        <v>250</v>
      </c>
      <c r="BC1146" s="4" t="s">
        <v>241</v>
      </c>
      <c r="BD1146" s="4" t="s">
        <v>252</v>
      </c>
      <c r="BE1146" s="4" t="s">
        <v>241</v>
      </c>
      <c r="BI1146" s="4" t="s">
        <v>253</v>
      </c>
      <c r="BJ1146" s="5" t="s">
        <v>246</v>
      </c>
      <c r="BK1146" s="4" t="s">
        <v>254</v>
      </c>
      <c r="BL1146" s="4" t="s">
        <v>255</v>
      </c>
      <c r="BM1146" s="4" t="s">
        <v>241</v>
      </c>
      <c r="BN1146" s="6">
        <f>0</f>
        <v>0</v>
      </c>
      <c r="BO1146" s="6">
        <f>0</f>
        <v>0</v>
      </c>
      <c r="BP1146" s="4" t="s">
        <v>256</v>
      </c>
      <c r="BQ1146" s="4" t="s">
        <v>257</v>
      </c>
      <c r="CE1146" s="4" t="s">
        <v>241</v>
      </c>
      <c r="CF1146" s="4" t="s">
        <v>241</v>
      </c>
      <c r="CJ1146" s="4" t="s">
        <v>276</v>
      </c>
      <c r="CK1146" s="4" t="s">
        <v>259</v>
      </c>
      <c r="CL1146" s="4" t="s">
        <v>241</v>
      </c>
      <c r="CO1146" s="5" t="s">
        <v>260</v>
      </c>
      <c r="CP1146" s="4" t="s">
        <v>241</v>
      </c>
      <c r="CQ1146" s="4" t="s">
        <v>261</v>
      </c>
      <c r="CR1146" s="4" t="s">
        <v>241</v>
      </c>
      <c r="CS1146" s="4" t="s">
        <v>241</v>
      </c>
      <c r="CT1146" s="4">
        <v>0</v>
      </c>
      <c r="CU1146" s="4" t="s">
        <v>262</v>
      </c>
      <c r="CV1146" s="4" t="s">
        <v>263</v>
      </c>
      <c r="CW1146" s="4" t="s">
        <v>263</v>
      </c>
      <c r="CX1146" s="4" t="s">
        <v>264</v>
      </c>
      <c r="DA1146" s="6">
        <f>1</f>
        <v>1</v>
      </c>
      <c r="DC1146" s="4" t="s">
        <v>277</v>
      </c>
      <c r="DD1146" s="4" t="s">
        <v>241</v>
      </c>
      <c r="DF1146" s="4" t="s">
        <v>277</v>
      </c>
      <c r="DG1146" s="6">
        <f>443</f>
        <v>443</v>
      </c>
      <c r="DI1146" s="4" t="s">
        <v>241</v>
      </c>
      <c r="DJ1146" s="4" t="s">
        <v>241</v>
      </c>
      <c r="DK1146" s="4" t="s">
        <v>241</v>
      </c>
      <c r="DL1146" s="4" t="s">
        <v>241</v>
      </c>
      <c r="DP1146" s="4" t="s">
        <v>241</v>
      </c>
      <c r="DQ1146" s="4" t="s">
        <v>241</v>
      </c>
      <c r="DR1146" s="4" t="s">
        <v>241</v>
      </c>
      <c r="DS1146" s="4" t="s">
        <v>241</v>
      </c>
      <c r="DV1146" s="4" t="s">
        <v>278</v>
      </c>
      <c r="DW1146" s="4" t="s">
        <v>3087</v>
      </c>
      <c r="HO1146" s="4" t="s">
        <v>267</v>
      </c>
    </row>
    <row r="1147" spans="1:223" ht="19.5" customHeight="1" x14ac:dyDescent="0.4">
      <c r="A1147" s="4">
        <v>1</v>
      </c>
      <c r="B1147" s="4" t="s">
        <v>239</v>
      </c>
      <c r="C1147" s="4">
        <v>2821</v>
      </c>
      <c r="D1147" s="4">
        <v>1</v>
      </c>
      <c r="E1147" s="4">
        <v>1</v>
      </c>
      <c r="F1147" s="4" t="s">
        <v>268</v>
      </c>
      <c r="G1147" s="4" t="s">
        <v>241</v>
      </c>
      <c r="H1147" s="4" t="s">
        <v>241</v>
      </c>
      <c r="I1147" s="4" t="s">
        <v>272</v>
      </c>
      <c r="J1147" s="4" t="s">
        <v>274</v>
      </c>
      <c r="K1147" s="4" t="s">
        <v>251</v>
      </c>
      <c r="L1147" s="4" t="s">
        <v>269</v>
      </c>
      <c r="M1147" s="5" t="s">
        <v>3084</v>
      </c>
      <c r="N1147" s="6">
        <f>2182</f>
        <v>2182</v>
      </c>
      <c r="O1147" s="4" t="s">
        <v>265</v>
      </c>
      <c r="P1147" s="6">
        <f>1</f>
        <v>1</v>
      </c>
      <c r="Q1147" s="6">
        <f>0</f>
        <v>0</v>
      </c>
      <c r="S1147" s="6">
        <f>0</f>
        <v>0</v>
      </c>
      <c r="T1147" s="6">
        <f>1</f>
        <v>1</v>
      </c>
      <c r="U1147" s="5" t="s">
        <v>245</v>
      </c>
      <c r="V1147" s="4" t="s">
        <v>270</v>
      </c>
      <c r="W1147" s="4" t="s">
        <v>271</v>
      </c>
      <c r="X1147" s="4" t="s">
        <v>273</v>
      </c>
      <c r="Y1147" s="4" t="s">
        <v>241</v>
      </c>
      <c r="AB1147" s="4" t="s">
        <v>241</v>
      </c>
      <c r="AD1147" s="5" t="s">
        <v>241</v>
      </c>
      <c r="AG1147" s="5" t="s">
        <v>246</v>
      </c>
      <c r="AH1147" s="4" t="s">
        <v>241</v>
      </c>
      <c r="AI1147" s="4" t="s">
        <v>247</v>
      </c>
      <c r="AJ1147" s="4" t="s">
        <v>248</v>
      </c>
      <c r="AZ1147" s="4" t="s">
        <v>249</v>
      </c>
      <c r="BA1147" s="4" t="s">
        <v>241</v>
      </c>
      <c r="BB1147" s="4" t="s">
        <v>250</v>
      </c>
      <c r="BC1147" s="4" t="s">
        <v>241</v>
      </c>
      <c r="BD1147" s="4" t="s">
        <v>252</v>
      </c>
      <c r="BE1147" s="4" t="s">
        <v>241</v>
      </c>
      <c r="BI1147" s="4" t="s">
        <v>253</v>
      </c>
      <c r="BJ1147" s="5" t="s">
        <v>246</v>
      </c>
      <c r="BK1147" s="4" t="s">
        <v>254</v>
      </c>
      <c r="BL1147" s="4" t="s">
        <v>255</v>
      </c>
      <c r="BM1147" s="4" t="s">
        <v>241</v>
      </c>
      <c r="BN1147" s="6">
        <f>0</f>
        <v>0</v>
      </c>
      <c r="BO1147" s="6">
        <f>0</f>
        <v>0</v>
      </c>
      <c r="BP1147" s="4" t="s">
        <v>256</v>
      </c>
      <c r="BQ1147" s="4" t="s">
        <v>257</v>
      </c>
      <c r="CE1147" s="4" t="s">
        <v>241</v>
      </c>
      <c r="CF1147" s="4" t="s">
        <v>241</v>
      </c>
      <c r="CJ1147" s="4" t="s">
        <v>276</v>
      </c>
      <c r="CK1147" s="4" t="s">
        <v>259</v>
      </c>
      <c r="CL1147" s="4" t="s">
        <v>241</v>
      </c>
      <c r="CO1147" s="5" t="s">
        <v>260</v>
      </c>
      <c r="CP1147" s="4" t="s">
        <v>241</v>
      </c>
      <c r="CQ1147" s="4" t="s">
        <v>261</v>
      </c>
      <c r="CR1147" s="4" t="s">
        <v>241</v>
      </c>
      <c r="CS1147" s="4" t="s">
        <v>241</v>
      </c>
      <c r="CT1147" s="4">
        <v>0</v>
      </c>
      <c r="CU1147" s="4" t="s">
        <v>262</v>
      </c>
      <c r="CV1147" s="4" t="s">
        <v>263</v>
      </c>
      <c r="CW1147" s="4" t="s">
        <v>263</v>
      </c>
      <c r="CX1147" s="4" t="s">
        <v>264</v>
      </c>
      <c r="DA1147" s="6">
        <f>1</f>
        <v>1</v>
      </c>
      <c r="DC1147" s="4" t="s">
        <v>277</v>
      </c>
      <c r="DD1147" s="4" t="s">
        <v>241</v>
      </c>
      <c r="DF1147" s="4" t="s">
        <v>277</v>
      </c>
      <c r="DG1147" s="6">
        <f>2182</f>
        <v>2182</v>
      </c>
      <c r="DI1147" s="4" t="s">
        <v>241</v>
      </c>
      <c r="DJ1147" s="4" t="s">
        <v>241</v>
      </c>
      <c r="DK1147" s="4" t="s">
        <v>241</v>
      </c>
      <c r="DL1147" s="4" t="s">
        <v>241</v>
      </c>
      <c r="DP1147" s="4" t="s">
        <v>241</v>
      </c>
      <c r="DQ1147" s="4" t="s">
        <v>241</v>
      </c>
      <c r="DR1147" s="4" t="s">
        <v>241</v>
      </c>
      <c r="DS1147" s="4" t="s">
        <v>241</v>
      </c>
      <c r="DV1147" s="4" t="s">
        <v>278</v>
      </c>
      <c r="DW1147" s="4" t="s">
        <v>3085</v>
      </c>
      <c r="HO1147" s="4" t="s">
        <v>267</v>
      </c>
    </row>
    <row r="1148" spans="1:223" ht="19.5" customHeight="1" x14ac:dyDescent="0.4">
      <c r="A1148" s="4">
        <v>1</v>
      </c>
      <c r="B1148" s="4" t="s">
        <v>239</v>
      </c>
      <c r="C1148" s="4">
        <v>2822</v>
      </c>
      <c r="D1148" s="4">
        <v>1</v>
      </c>
      <c r="E1148" s="4">
        <v>1</v>
      </c>
      <c r="F1148" s="4" t="s">
        <v>268</v>
      </c>
      <c r="G1148" s="4" t="s">
        <v>241</v>
      </c>
      <c r="H1148" s="4" t="s">
        <v>241</v>
      </c>
      <c r="I1148" s="4" t="s">
        <v>272</v>
      </c>
      <c r="J1148" s="4" t="s">
        <v>274</v>
      </c>
      <c r="K1148" s="4" t="s">
        <v>251</v>
      </c>
      <c r="L1148" s="4" t="s">
        <v>269</v>
      </c>
      <c r="M1148" s="5" t="s">
        <v>3082</v>
      </c>
      <c r="N1148" s="6">
        <f>2573</f>
        <v>2573</v>
      </c>
      <c r="O1148" s="4" t="s">
        <v>265</v>
      </c>
      <c r="P1148" s="6">
        <f>1</f>
        <v>1</v>
      </c>
      <c r="Q1148" s="6">
        <f>0</f>
        <v>0</v>
      </c>
      <c r="S1148" s="6">
        <f>0</f>
        <v>0</v>
      </c>
      <c r="T1148" s="6">
        <f>1</f>
        <v>1</v>
      </c>
      <c r="U1148" s="5" t="s">
        <v>245</v>
      </c>
      <c r="V1148" s="4" t="s">
        <v>270</v>
      </c>
      <c r="W1148" s="4" t="s">
        <v>271</v>
      </c>
      <c r="X1148" s="4" t="s">
        <v>273</v>
      </c>
      <c r="Y1148" s="4" t="s">
        <v>241</v>
      </c>
      <c r="AB1148" s="4" t="s">
        <v>241</v>
      </c>
      <c r="AD1148" s="5" t="s">
        <v>241</v>
      </c>
      <c r="AG1148" s="5" t="s">
        <v>246</v>
      </c>
      <c r="AH1148" s="4" t="s">
        <v>241</v>
      </c>
      <c r="AI1148" s="4" t="s">
        <v>247</v>
      </c>
      <c r="AJ1148" s="4" t="s">
        <v>248</v>
      </c>
      <c r="AZ1148" s="4" t="s">
        <v>249</v>
      </c>
      <c r="BA1148" s="4" t="s">
        <v>241</v>
      </c>
      <c r="BB1148" s="4" t="s">
        <v>250</v>
      </c>
      <c r="BC1148" s="4" t="s">
        <v>241</v>
      </c>
      <c r="BD1148" s="4" t="s">
        <v>252</v>
      </c>
      <c r="BE1148" s="4" t="s">
        <v>241</v>
      </c>
      <c r="BI1148" s="4" t="s">
        <v>253</v>
      </c>
      <c r="BJ1148" s="5" t="s">
        <v>246</v>
      </c>
      <c r="BK1148" s="4" t="s">
        <v>254</v>
      </c>
      <c r="BL1148" s="4" t="s">
        <v>255</v>
      </c>
      <c r="BM1148" s="4" t="s">
        <v>241</v>
      </c>
      <c r="BN1148" s="6">
        <f>0</f>
        <v>0</v>
      </c>
      <c r="BO1148" s="6">
        <f>0</f>
        <v>0</v>
      </c>
      <c r="BP1148" s="4" t="s">
        <v>256</v>
      </c>
      <c r="BQ1148" s="4" t="s">
        <v>257</v>
      </c>
      <c r="CE1148" s="4" t="s">
        <v>241</v>
      </c>
      <c r="CF1148" s="4" t="s">
        <v>241</v>
      </c>
      <c r="CJ1148" s="4" t="s">
        <v>276</v>
      </c>
      <c r="CK1148" s="4" t="s">
        <v>259</v>
      </c>
      <c r="CL1148" s="4" t="s">
        <v>241</v>
      </c>
      <c r="CO1148" s="5" t="s">
        <v>260</v>
      </c>
      <c r="CP1148" s="4" t="s">
        <v>241</v>
      </c>
      <c r="CQ1148" s="4" t="s">
        <v>261</v>
      </c>
      <c r="CR1148" s="4" t="s">
        <v>241</v>
      </c>
      <c r="CS1148" s="4" t="s">
        <v>241</v>
      </c>
      <c r="CT1148" s="4">
        <v>0</v>
      </c>
      <c r="CU1148" s="4" t="s">
        <v>262</v>
      </c>
      <c r="CV1148" s="4" t="s">
        <v>263</v>
      </c>
      <c r="CW1148" s="4" t="s">
        <v>263</v>
      </c>
      <c r="CX1148" s="4" t="s">
        <v>264</v>
      </c>
      <c r="DA1148" s="6">
        <f>1</f>
        <v>1</v>
      </c>
      <c r="DC1148" s="4" t="s">
        <v>277</v>
      </c>
      <c r="DD1148" s="4" t="s">
        <v>241</v>
      </c>
      <c r="DF1148" s="4" t="s">
        <v>277</v>
      </c>
      <c r="DG1148" s="6">
        <f>2573</f>
        <v>2573</v>
      </c>
      <c r="DI1148" s="4" t="s">
        <v>241</v>
      </c>
      <c r="DJ1148" s="4" t="s">
        <v>241</v>
      </c>
      <c r="DK1148" s="4" t="s">
        <v>241</v>
      </c>
      <c r="DL1148" s="4" t="s">
        <v>241</v>
      </c>
      <c r="DP1148" s="4" t="s">
        <v>241</v>
      </c>
      <c r="DQ1148" s="4" t="s">
        <v>241</v>
      </c>
      <c r="DR1148" s="4" t="s">
        <v>241</v>
      </c>
      <c r="DS1148" s="4" t="s">
        <v>241</v>
      </c>
      <c r="DV1148" s="4" t="s">
        <v>278</v>
      </c>
      <c r="DW1148" s="4" t="s">
        <v>3083</v>
      </c>
      <c r="HO1148" s="4" t="s">
        <v>267</v>
      </c>
    </row>
    <row r="1149" spans="1:223" ht="19.5" customHeight="1" x14ac:dyDescent="0.4">
      <c r="A1149" s="4">
        <v>1</v>
      </c>
      <c r="B1149" s="4" t="s">
        <v>239</v>
      </c>
      <c r="C1149" s="4">
        <v>2823</v>
      </c>
      <c r="D1149" s="4">
        <v>1</v>
      </c>
      <c r="E1149" s="4">
        <v>1</v>
      </c>
      <c r="F1149" s="4" t="s">
        <v>268</v>
      </c>
      <c r="G1149" s="4" t="s">
        <v>241</v>
      </c>
      <c r="H1149" s="4" t="s">
        <v>241</v>
      </c>
      <c r="I1149" s="4" t="s">
        <v>272</v>
      </c>
      <c r="J1149" s="4" t="s">
        <v>274</v>
      </c>
      <c r="K1149" s="4" t="s">
        <v>251</v>
      </c>
      <c r="L1149" s="4" t="s">
        <v>269</v>
      </c>
      <c r="M1149" s="5" t="s">
        <v>3080</v>
      </c>
      <c r="N1149" s="6">
        <f>919</f>
        <v>919</v>
      </c>
      <c r="O1149" s="4" t="s">
        <v>265</v>
      </c>
      <c r="P1149" s="6">
        <f>1</f>
        <v>1</v>
      </c>
      <c r="Q1149" s="6">
        <f>0</f>
        <v>0</v>
      </c>
      <c r="S1149" s="6">
        <f>0</f>
        <v>0</v>
      </c>
      <c r="T1149" s="6">
        <f>1</f>
        <v>1</v>
      </c>
      <c r="U1149" s="5" t="s">
        <v>245</v>
      </c>
      <c r="V1149" s="4" t="s">
        <v>270</v>
      </c>
      <c r="W1149" s="4" t="s">
        <v>271</v>
      </c>
      <c r="X1149" s="4" t="s">
        <v>273</v>
      </c>
      <c r="Y1149" s="4" t="s">
        <v>241</v>
      </c>
      <c r="AB1149" s="4" t="s">
        <v>241</v>
      </c>
      <c r="AD1149" s="5" t="s">
        <v>241</v>
      </c>
      <c r="AG1149" s="5" t="s">
        <v>246</v>
      </c>
      <c r="AH1149" s="4" t="s">
        <v>241</v>
      </c>
      <c r="AI1149" s="4" t="s">
        <v>247</v>
      </c>
      <c r="AJ1149" s="4" t="s">
        <v>248</v>
      </c>
      <c r="AZ1149" s="4" t="s">
        <v>249</v>
      </c>
      <c r="BA1149" s="4" t="s">
        <v>241</v>
      </c>
      <c r="BB1149" s="4" t="s">
        <v>250</v>
      </c>
      <c r="BC1149" s="4" t="s">
        <v>241</v>
      </c>
      <c r="BD1149" s="4" t="s">
        <v>252</v>
      </c>
      <c r="BE1149" s="4" t="s">
        <v>241</v>
      </c>
      <c r="BI1149" s="4" t="s">
        <v>253</v>
      </c>
      <c r="BJ1149" s="5" t="s">
        <v>246</v>
      </c>
      <c r="BK1149" s="4" t="s">
        <v>254</v>
      </c>
      <c r="BL1149" s="4" t="s">
        <v>255</v>
      </c>
      <c r="BM1149" s="4" t="s">
        <v>241</v>
      </c>
      <c r="BN1149" s="6">
        <f>0</f>
        <v>0</v>
      </c>
      <c r="BO1149" s="6">
        <f>0</f>
        <v>0</v>
      </c>
      <c r="BP1149" s="4" t="s">
        <v>256</v>
      </c>
      <c r="BQ1149" s="4" t="s">
        <v>257</v>
      </c>
      <c r="CE1149" s="4" t="s">
        <v>241</v>
      </c>
      <c r="CF1149" s="4" t="s">
        <v>241</v>
      </c>
      <c r="CJ1149" s="4" t="s">
        <v>276</v>
      </c>
      <c r="CK1149" s="4" t="s">
        <v>259</v>
      </c>
      <c r="CL1149" s="4" t="s">
        <v>241</v>
      </c>
      <c r="CO1149" s="5" t="s">
        <v>260</v>
      </c>
      <c r="CP1149" s="4" t="s">
        <v>241</v>
      </c>
      <c r="CQ1149" s="4" t="s">
        <v>261</v>
      </c>
      <c r="CR1149" s="4" t="s">
        <v>241</v>
      </c>
      <c r="CS1149" s="4" t="s">
        <v>241</v>
      </c>
      <c r="CT1149" s="4">
        <v>0</v>
      </c>
      <c r="CU1149" s="4" t="s">
        <v>262</v>
      </c>
      <c r="CV1149" s="4" t="s">
        <v>263</v>
      </c>
      <c r="CW1149" s="4" t="s">
        <v>263</v>
      </c>
      <c r="CX1149" s="4" t="s">
        <v>264</v>
      </c>
      <c r="DA1149" s="6">
        <f>1</f>
        <v>1</v>
      </c>
      <c r="DC1149" s="4" t="s">
        <v>277</v>
      </c>
      <c r="DD1149" s="4" t="s">
        <v>241</v>
      </c>
      <c r="DF1149" s="4" t="s">
        <v>277</v>
      </c>
      <c r="DG1149" s="6">
        <f>919</f>
        <v>919</v>
      </c>
      <c r="DI1149" s="4" t="s">
        <v>241</v>
      </c>
      <c r="DJ1149" s="4" t="s">
        <v>241</v>
      </c>
      <c r="DK1149" s="4" t="s">
        <v>241</v>
      </c>
      <c r="DL1149" s="4" t="s">
        <v>241</v>
      </c>
      <c r="DP1149" s="4" t="s">
        <v>241</v>
      </c>
      <c r="DQ1149" s="4" t="s">
        <v>241</v>
      </c>
      <c r="DR1149" s="4" t="s">
        <v>241</v>
      </c>
      <c r="DS1149" s="4" t="s">
        <v>241</v>
      </c>
      <c r="DV1149" s="4" t="s">
        <v>278</v>
      </c>
      <c r="DW1149" s="4" t="s">
        <v>3081</v>
      </c>
      <c r="HO1149" s="4" t="s">
        <v>267</v>
      </c>
    </row>
    <row r="1150" spans="1:223" ht="19.5" customHeight="1" x14ac:dyDescent="0.4">
      <c r="A1150" s="4">
        <v>1</v>
      </c>
      <c r="B1150" s="4" t="s">
        <v>239</v>
      </c>
      <c r="C1150" s="4">
        <v>2824</v>
      </c>
      <c r="D1150" s="4">
        <v>1</v>
      </c>
      <c r="E1150" s="4">
        <v>1</v>
      </c>
      <c r="F1150" s="4" t="s">
        <v>268</v>
      </c>
      <c r="G1150" s="4" t="s">
        <v>241</v>
      </c>
      <c r="H1150" s="4" t="s">
        <v>241</v>
      </c>
      <c r="I1150" s="4" t="s">
        <v>272</v>
      </c>
      <c r="J1150" s="4" t="s">
        <v>274</v>
      </c>
      <c r="K1150" s="4" t="s">
        <v>251</v>
      </c>
      <c r="L1150" s="4" t="s">
        <v>269</v>
      </c>
      <c r="M1150" s="5" t="s">
        <v>3078</v>
      </c>
      <c r="N1150" s="6">
        <f>5649</f>
        <v>5649</v>
      </c>
      <c r="O1150" s="4" t="s">
        <v>265</v>
      </c>
      <c r="P1150" s="6">
        <f>1</f>
        <v>1</v>
      </c>
      <c r="Q1150" s="6">
        <f>0</f>
        <v>0</v>
      </c>
      <c r="S1150" s="6">
        <f>0</f>
        <v>0</v>
      </c>
      <c r="T1150" s="6">
        <f>1</f>
        <v>1</v>
      </c>
      <c r="U1150" s="5" t="s">
        <v>245</v>
      </c>
      <c r="V1150" s="4" t="s">
        <v>270</v>
      </c>
      <c r="W1150" s="4" t="s">
        <v>271</v>
      </c>
      <c r="X1150" s="4" t="s">
        <v>273</v>
      </c>
      <c r="Y1150" s="4" t="s">
        <v>241</v>
      </c>
      <c r="AB1150" s="4" t="s">
        <v>241</v>
      </c>
      <c r="AD1150" s="5" t="s">
        <v>241</v>
      </c>
      <c r="AG1150" s="5" t="s">
        <v>246</v>
      </c>
      <c r="AH1150" s="4" t="s">
        <v>241</v>
      </c>
      <c r="AI1150" s="4" t="s">
        <v>247</v>
      </c>
      <c r="AJ1150" s="4" t="s">
        <v>248</v>
      </c>
      <c r="AZ1150" s="4" t="s">
        <v>249</v>
      </c>
      <c r="BA1150" s="4" t="s">
        <v>241</v>
      </c>
      <c r="BB1150" s="4" t="s">
        <v>250</v>
      </c>
      <c r="BC1150" s="4" t="s">
        <v>241</v>
      </c>
      <c r="BD1150" s="4" t="s">
        <v>252</v>
      </c>
      <c r="BE1150" s="4" t="s">
        <v>241</v>
      </c>
      <c r="BI1150" s="4" t="s">
        <v>253</v>
      </c>
      <c r="BJ1150" s="5" t="s">
        <v>246</v>
      </c>
      <c r="BK1150" s="4" t="s">
        <v>254</v>
      </c>
      <c r="BL1150" s="4" t="s">
        <v>255</v>
      </c>
      <c r="BM1150" s="4" t="s">
        <v>241</v>
      </c>
      <c r="BN1150" s="6">
        <f>0</f>
        <v>0</v>
      </c>
      <c r="BO1150" s="6">
        <f>0</f>
        <v>0</v>
      </c>
      <c r="BP1150" s="4" t="s">
        <v>256</v>
      </c>
      <c r="BQ1150" s="4" t="s">
        <v>257</v>
      </c>
      <c r="CE1150" s="4" t="s">
        <v>241</v>
      </c>
      <c r="CF1150" s="4" t="s">
        <v>241</v>
      </c>
      <c r="CJ1150" s="4" t="s">
        <v>276</v>
      </c>
      <c r="CK1150" s="4" t="s">
        <v>259</v>
      </c>
      <c r="CL1150" s="4" t="s">
        <v>241</v>
      </c>
      <c r="CO1150" s="5" t="s">
        <v>260</v>
      </c>
      <c r="CP1150" s="4" t="s">
        <v>241</v>
      </c>
      <c r="CQ1150" s="4" t="s">
        <v>261</v>
      </c>
      <c r="CR1150" s="4" t="s">
        <v>241</v>
      </c>
      <c r="CS1150" s="4" t="s">
        <v>241</v>
      </c>
      <c r="CT1150" s="4">
        <v>0</v>
      </c>
      <c r="CU1150" s="4" t="s">
        <v>262</v>
      </c>
      <c r="CV1150" s="4" t="s">
        <v>263</v>
      </c>
      <c r="CW1150" s="4" t="s">
        <v>263</v>
      </c>
      <c r="CX1150" s="4" t="s">
        <v>264</v>
      </c>
      <c r="DA1150" s="6">
        <f>1</f>
        <v>1</v>
      </c>
      <c r="DC1150" s="4" t="s">
        <v>277</v>
      </c>
      <c r="DD1150" s="4" t="s">
        <v>241</v>
      </c>
      <c r="DF1150" s="4" t="s">
        <v>277</v>
      </c>
      <c r="DG1150" s="6">
        <f>5649</f>
        <v>5649</v>
      </c>
      <c r="DI1150" s="4" t="s">
        <v>241</v>
      </c>
      <c r="DJ1150" s="4" t="s">
        <v>241</v>
      </c>
      <c r="DK1150" s="4" t="s">
        <v>241</v>
      </c>
      <c r="DL1150" s="4" t="s">
        <v>241</v>
      </c>
      <c r="DP1150" s="4" t="s">
        <v>241</v>
      </c>
      <c r="DQ1150" s="4" t="s">
        <v>241</v>
      </c>
      <c r="DR1150" s="4" t="s">
        <v>241</v>
      </c>
      <c r="DS1150" s="4" t="s">
        <v>241</v>
      </c>
      <c r="DV1150" s="4" t="s">
        <v>278</v>
      </c>
      <c r="DW1150" s="4" t="s">
        <v>3079</v>
      </c>
      <c r="HO1150" s="4" t="s">
        <v>267</v>
      </c>
    </row>
    <row r="1151" spans="1:223" ht="19.5" customHeight="1" x14ac:dyDescent="0.4">
      <c r="A1151" s="4">
        <v>1</v>
      </c>
      <c r="B1151" s="4" t="s">
        <v>239</v>
      </c>
      <c r="C1151" s="4">
        <v>2825</v>
      </c>
      <c r="D1151" s="4">
        <v>1</v>
      </c>
      <c r="E1151" s="4">
        <v>1</v>
      </c>
      <c r="F1151" s="4" t="s">
        <v>268</v>
      </c>
      <c r="G1151" s="4" t="s">
        <v>241</v>
      </c>
      <c r="H1151" s="4" t="s">
        <v>241</v>
      </c>
      <c r="I1151" s="4" t="s">
        <v>272</v>
      </c>
      <c r="J1151" s="4" t="s">
        <v>274</v>
      </c>
      <c r="K1151" s="4" t="s">
        <v>251</v>
      </c>
      <c r="L1151" s="4" t="s">
        <v>269</v>
      </c>
      <c r="M1151" s="5" t="s">
        <v>3076</v>
      </c>
      <c r="N1151" s="6">
        <f>3537</f>
        <v>3537</v>
      </c>
      <c r="O1151" s="4" t="s">
        <v>265</v>
      </c>
      <c r="P1151" s="6">
        <f>1</f>
        <v>1</v>
      </c>
      <c r="Q1151" s="6">
        <f>0</f>
        <v>0</v>
      </c>
      <c r="S1151" s="6">
        <f>0</f>
        <v>0</v>
      </c>
      <c r="T1151" s="6">
        <f>1</f>
        <v>1</v>
      </c>
      <c r="U1151" s="5" t="s">
        <v>245</v>
      </c>
      <c r="V1151" s="4" t="s">
        <v>270</v>
      </c>
      <c r="W1151" s="4" t="s">
        <v>271</v>
      </c>
      <c r="X1151" s="4" t="s">
        <v>273</v>
      </c>
      <c r="Y1151" s="4" t="s">
        <v>241</v>
      </c>
      <c r="AB1151" s="4" t="s">
        <v>241</v>
      </c>
      <c r="AD1151" s="5" t="s">
        <v>241</v>
      </c>
      <c r="AG1151" s="5" t="s">
        <v>246</v>
      </c>
      <c r="AH1151" s="4" t="s">
        <v>241</v>
      </c>
      <c r="AI1151" s="4" t="s">
        <v>247</v>
      </c>
      <c r="AJ1151" s="4" t="s">
        <v>248</v>
      </c>
      <c r="AZ1151" s="4" t="s">
        <v>249</v>
      </c>
      <c r="BA1151" s="4" t="s">
        <v>241</v>
      </c>
      <c r="BB1151" s="4" t="s">
        <v>250</v>
      </c>
      <c r="BC1151" s="4" t="s">
        <v>241</v>
      </c>
      <c r="BD1151" s="4" t="s">
        <v>252</v>
      </c>
      <c r="BE1151" s="4" t="s">
        <v>241</v>
      </c>
      <c r="BI1151" s="4" t="s">
        <v>253</v>
      </c>
      <c r="BJ1151" s="5" t="s">
        <v>246</v>
      </c>
      <c r="BK1151" s="4" t="s">
        <v>254</v>
      </c>
      <c r="BL1151" s="4" t="s">
        <v>255</v>
      </c>
      <c r="BM1151" s="4" t="s">
        <v>241</v>
      </c>
      <c r="BN1151" s="6">
        <f>0</f>
        <v>0</v>
      </c>
      <c r="BO1151" s="6">
        <f>0</f>
        <v>0</v>
      </c>
      <c r="BP1151" s="4" t="s">
        <v>256</v>
      </c>
      <c r="BQ1151" s="4" t="s">
        <v>257</v>
      </c>
      <c r="CE1151" s="4" t="s">
        <v>241</v>
      </c>
      <c r="CF1151" s="4" t="s">
        <v>241</v>
      </c>
      <c r="CJ1151" s="4" t="s">
        <v>276</v>
      </c>
      <c r="CK1151" s="4" t="s">
        <v>259</v>
      </c>
      <c r="CL1151" s="4" t="s">
        <v>241</v>
      </c>
      <c r="CO1151" s="5" t="s">
        <v>260</v>
      </c>
      <c r="CP1151" s="4" t="s">
        <v>241</v>
      </c>
      <c r="CQ1151" s="4" t="s">
        <v>261</v>
      </c>
      <c r="CR1151" s="4" t="s">
        <v>241</v>
      </c>
      <c r="CS1151" s="4" t="s">
        <v>241</v>
      </c>
      <c r="CT1151" s="4">
        <v>0</v>
      </c>
      <c r="CU1151" s="4" t="s">
        <v>262</v>
      </c>
      <c r="CV1151" s="4" t="s">
        <v>263</v>
      </c>
      <c r="CW1151" s="4" t="s">
        <v>263</v>
      </c>
      <c r="CX1151" s="4" t="s">
        <v>264</v>
      </c>
      <c r="DA1151" s="6">
        <f>1</f>
        <v>1</v>
      </c>
      <c r="DC1151" s="4" t="s">
        <v>277</v>
      </c>
      <c r="DD1151" s="4" t="s">
        <v>241</v>
      </c>
      <c r="DF1151" s="4" t="s">
        <v>277</v>
      </c>
      <c r="DG1151" s="6">
        <f>3537</f>
        <v>3537</v>
      </c>
      <c r="DI1151" s="4" t="s">
        <v>241</v>
      </c>
      <c r="DJ1151" s="4" t="s">
        <v>241</v>
      </c>
      <c r="DK1151" s="4" t="s">
        <v>241</v>
      </c>
      <c r="DL1151" s="4" t="s">
        <v>241</v>
      </c>
      <c r="DP1151" s="4" t="s">
        <v>241</v>
      </c>
      <c r="DQ1151" s="4" t="s">
        <v>241</v>
      </c>
      <c r="DR1151" s="4" t="s">
        <v>241</v>
      </c>
      <c r="DS1151" s="4" t="s">
        <v>241</v>
      </c>
      <c r="DV1151" s="4" t="s">
        <v>278</v>
      </c>
      <c r="DW1151" s="4" t="s">
        <v>3077</v>
      </c>
      <c r="HO1151" s="4" t="s">
        <v>267</v>
      </c>
    </row>
    <row r="1152" spans="1:223" ht="19.5" customHeight="1" x14ac:dyDescent="0.4">
      <c r="A1152" s="4">
        <v>1</v>
      </c>
      <c r="B1152" s="4" t="s">
        <v>239</v>
      </c>
      <c r="C1152" s="4">
        <v>2826</v>
      </c>
      <c r="D1152" s="4">
        <v>1</v>
      </c>
      <c r="E1152" s="4">
        <v>1</v>
      </c>
      <c r="F1152" s="4" t="s">
        <v>268</v>
      </c>
      <c r="G1152" s="4" t="s">
        <v>241</v>
      </c>
      <c r="H1152" s="4" t="s">
        <v>241</v>
      </c>
      <c r="I1152" s="4" t="s">
        <v>272</v>
      </c>
      <c r="J1152" s="4" t="s">
        <v>274</v>
      </c>
      <c r="K1152" s="4" t="s">
        <v>251</v>
      </c>
      <c r="L1152" s="4" t="s">
        <v>269</v>
      </c>
      <c r="M1152" s="5" t="s">
        <v>3074</v>
      </c>
      <c r="N1152" s="6">
        <f>3403</f>
        <v>3403</v>
      </c>
      <c r="O1152" s="4" t="s">
        <v>265</v>
      </c>
      <c r="P1152" s="6">
        <f>1</f>
        <v>1</v>
      </c>
      <c r="Q1152" s="6">
        <f>0</f>
        <v>0</v>
      </c>
      <c r="S1152" s="6">
        <f>0</f>
        <v>0</v>
      </c>
      <c r="T1152" s="6">
        <f>1</f>
        <v>1</v>
      </c>
      <c r="U1152" s="5" t="s">
        <v>245</v>
      </c>
      <c r="V1152" s="4" t="s">
        <v>270</v>
      </c>
      <c r="W1152" s="4" t="s">
        <v>271</v>
      </c>
      <c r="X1152" s="4" t="s">
        <v>273</v>
      </c>
      <c r="Y1152" s="4" t="s">
        <v>241</v>
      </c>
      <c r="AB1152" s="4" t="s">
        <v>241</v>
      </c>
      <c r="AD1152" s="5" t="s">
        <v>241</v>
      </c>
      <c r="AG1152" s="5" t="s">
        <v>246</v>
      </c>
      <c r="AH1152" s="4" t="s">
        <v>241</v>
      </c>
      <c r="AI1152" s="4" t="s">
        <v>247</v>
      </c>
      <c r="AJ1152" s="4" t="s">
        <v>248</v>
      </c>
      <c r="AZ1152" s="4" t="s">
        <v>249</v>
      </c>
      <c r="BA1152" s="4" t="s">
        <v>241</v>
      </c>
      <c r="BB1152" s="4" t="s">
        <v>250</v>
      </c>
      <c r="BC1152" s="4" t="s">
        <v>241</v>
      </c>
      <c r="BD1152" s="4" t="s">
        <v>252</v>
      </c>
      <c r="BE1152" s="4" t="s">
        <v>241</v>
      </c>
      <c r="BI1152" s="4" t="s">
        <v>253</v>
      </c>
      <c r="BJ1152" s="5" t="s">
        <v>246</v>
      </c>
      <c r="BK1152" s="4" t="s">
        <v>254</v>
      </c>
      <c r="BL1152" s="4" t="s">
        <v>255</v>
      </c>
      <c r="BM1152" s="4" t="s">
        <v>241</v>
      </c>
      <c r="BN1152" s="6">
        <f>0</f>
        <v>0</v>
      </c>
      <c r="BO1152" s="6">
        <f>0</f>
        <v>0</v>
      </c>
      <c r="BP1152" s="4" t="s">
        <v>256</v>
      </c>
      <c r="BQ1152" s="4" t="s">
        <v>257</v>
      </c>
      <c r="CE1152" s="4" t="s">
        <v>241</v>
      </c>
      <c r="CF1152" s="4" t="s">
        <v>241</v>
      </c>
      <c r="CJ1152" s="4" t="s">
        <v>276</v>
      </c>
      <c r="CK1152" s="4" t="s">
        <v>259</v>
      </c>
      <c r="CL1152" s="4" t="s">
        <v>241</v>
      </c>
      <c r="CO1152" s="5" t="s">
        <v>260</v>
      </c>
      <c r="CP1152" s="4" t="s">
        <v>241</v>
      </c>
      <c r="CQ1152" s="4" t="s">
        <v>261</v>
      </c>
      <c r="CR1152" s="4" t="s">
        <v>241</v>
      </c>
      <c r="CS1152" s="4" t="s">
        <v>241</v>
      </c>
      <c r="CT1152" s="4">
        <v>0</v>
      </c>
      <c r="CU1152" s="4" t="s">
        <v>262</v>
      </c>
      <c r="CV1152" s="4" t="s">
        <v>263</v>
      </c>
      <c r="CW1152" s="4" t="s">
        <v>263</v>
      </c>
      <c r="CX1152" s="4" t="s">
        <v>264</v>
      </c>
      <c r="DA1152" s="6">
        <f>1</f>
        <v>1</v>
      </c>
      <c r="DC1152" s="4" t="s">
        <v>277</v>
      </c>
      <c r="DD1152" s="4" t="s">
        <v>241</v>
      </c>
      <c r="DF1152" s="4" t="s">
        <v>277</v>
      </c>
      <c r="DG1152" s="6">
        <f>3403</f>
        <v>3403</v>
      </c>
      <c r="DI1152" s="4" t="s">
        <v>241</v>
      </c>
      <c r="DJ1152" s="4" t="s">
        <v>241</v>
      </c>
      <c r="DK1152" s="4" t="s">
        <v>241</v>
      </c>
      <c r="DL1152" s="4" t="s">
        <v>241</v>
      </c>
      <c r="DP1152" s="4" t="s">
        <v>241</v>
      </c>
      <c r="DQ1152" s="4" t="s">
        <v>241</v>
      </c>
      <c r="DR1152" s="4" t="s">
        <v>241</v>
      </c>
      <c r="DS1152" s="4" t="s">
        <v>241</v>
      </c>
      <c r="DV1152" s="4" t="s">
        <v>278</v>
      </c>
      <c r="DW1152" s="4" t="s">
        <v>3075</v>
      </c>
      <c r="HO1152" s="4" t="s">
        <v>267</v>
      </c>
    </row>
    <row r="1153" spans="1:223" ht="19.5" customHeight="1" x14ac:dyDescent="0.4">
      <c r="A1153" s="4">
        <v>1</v>
      </c>
      <c r="B1153" s="4" t="s">
        <v>239</v>
      </c>
      <c r="C1153" s="4">
        <v>2827</v>
      </c>
      <c r="D1153" s="4">
        <v>1</v>
      </c>
      <c r="E1153" s="4">
        <v>1</v>
      </c>
      <c r="F1153" s="4" t="s">
        <v>268</v>
      </c>
      <c r="G1153" s="4" t="s">
        <v>241</v>
      </c>
      <c r="H1153" s="4" t="s">
        <v>241</v>
      </c>
      <c r="I1153" s="4" t="s">
        <v>272</v>
      </c>
      <c r="J1153" s="4" t="s">
        <v>274</v>
      </c>
      <c r="K1153" s="4" t="s">
        <v>251</v>
      </c>
      <c r="L1153" s="4" t="s">
        <v>269</v>
      </c>
      <c r="M1153" s="5" t="s">
        <v>3072</v>
      </c>
      <c r="N1153" s="6">
        <f>399</f>
        <v>399</v>
      </c>
      <c r="O1153" s="4" t="s">
        <v>265</v>
      </c>
      <c r="P1153" s="6">
        <f>1</f>
        <v>1</v>
      </c>
      <c r="Q1153" s="6">
        <f>0</f>
        <v>0</v>
      </c>
      <c r="S1153" s="6">
        <f>0</f>
        <v>0</v>
      </c>
      <c r="T1153" s="6">
        <f>1</f>
        <v>1</v>
      </c>
      <c r="U1153" s="5" t="s">
        <v>245</v>
      </c>
      <c r="V1153" s="4" t="s">
        <v>270</v>
      </c>
      <c r="W1153" s="4" t="s">
        <v>271</v>
      </c>
      <c r="X1153" s="4" t="s">
        <v>273</v>
      </c>
      <c r="Y1153" s="4" t="s">
        <v>241</v>
      </c>
      <c r="AB1153" s="4" t="s">
        <v>241</v>
      </c>
      <c r="AD1153" s="5" t="s">
        <v>241</v>
      </c>
      <c r="AG1153" s="5" t="s">
        <v>246</v>
      </c>
      <c r="AH1153" s="4" t="s">
        <v>241</v>
      </c>
      <c r="AI1153" s="4" t="s">
        <v>247</v>
      </c>
      <c r="AJ1153" s="4" t="s">
        <v>248</v>
      </c>
      <c r="AZ1153" s="4" t="s">
        <v>249</v>
      </c>
      <c r="BA1153" s="4" t="s">
        <v>241</v>
      </c>
      <c r="BB1153" s="4" t="s">
        <v>250</v>
      </c>
      <c r="BC1153" s="4" t="s">
        <v>241</v>
      </c>
      <c r="BD1153" s="4" t="s">
        <v>252</v>
      </c>
      <c r="BE1153" s="4" t="s">
        <v>241</v>
      </c>
      <c r="BI1153" s="4" t="s">
        <v>253</v>
      </c>
      <c r="BJ1153" s="5" t="s">
        <v>246</v>
      </c>
      <c r="BK1153" s="4" t="s">
        <v>254</v>
      </c>
      <c r="BL1153" s="4" t="s">
        <v>255</v>
      </c>
      <c r="BM1153" s="4" t="s">
        <v>241</v>
      </c>
      <c r="BN1153" s="6">
        <f>0</f>
        <v>0</v>
      </c>
      <c r="BO1153" s="6">
        <f>0</f>
        <v>0</v>
      </c>
      <c r="BP1153" s="4" t="s">
        <v>256</v>
      </c>
      <c r="BQ1153" s="4" t="s">
        <v>257</v>
      </c>
      <c r="CE1153" s="4" t="s">
        <v>241</v>
      </c>
      <c r="CF1153" s="4" t="s">
        <v>241</v>
      </c>
      <c r="CJ1153" s="4" t="s">
        <v>276</v>
      </c>
      <c r="CK1153" s="4" t="s">
        <v>259</v>
      </c>
      <c r="CL1153" s="4" t="s">
        <v>241</v>
      </c>
      <c r="CO1153" s="5" t="s">
        <v>260</v>
      </c>
      <c r="CP1153" s="4" t="s">
        <v>241</v>
      </c>
      <c r="CQ1153" s="4" t="s">
        <v>261</v>
      </c>
      <c r="CR1153" s="4" t="s">
        <v>241</v>
      </c>
      <c r="CS1153" s="4" t="s">
        <v>241</v>
      </c>
      <c r="CT1153" s="4">
        <v>0</v>
      </c>
      <c r="CU1153" s="4" t="s">
        <v>262</v>
      </c>
      <c r="CV1153" s="4" t="s">
        <v>263</v>
      </c>
      <c r="CW1153" s="4" t="s">
        <v>263</v>
      </c>
      <c r="CX1153" s="4" t="s">
        <v>264</v>
      </c>
      <c r="DA1153" s="6">
        <f>1</f>
        <v>1</v>
      </c>
      <c r="DC1153" s="4" t="s">
        <v>277</v>
      </c>
      <c r="DD1153" s="4" t="s">
        <v>241</v>
      </c>
      <c r="DF1153" s="4" t="s">
        <v>277</v>
      </c>
      <c r="DG1153" s="6">
        <f>399</f>
        <v>399</v>
      </c>
      <c r="DI1153" s="4" t="s">
        <v>241</v>
      </c>
      <c r="DJ1153" s="4" t="s">
        <v>241</v>
      </c>
      <c r="DK1153" s="4" t="s">
        <v>241</v>
      </c>
      <c r="DL1153" s="4" t="s">
        <v>241</v>
      </c>
      <c r="DP1153" s="4" t="s">
        <v>241</v>
      </c>
      <c r="DQ1153" s="4" t="s">
        <v>241</v>
      </c>
      <c r="DR1153" s="4" t="s">
        <v>241</v>
      </c>
      <c r="DS1153" s="4" t="s">
        <v>241</v>
      </c>
      <c r="DV1153" s="4" t="s">
        <v>278</v>
      </c>
      <c r="DW1153" s="4" t="s">
        <v>3073</v>
      </c>
      <c r="HO1153" s="4" t="s">
        <v>267</v>
      </c>
    </row>
    <row r="1154" spans="1:223" ht="19.5" customHeight="1" x14ac:dyDescent="0.4">
      <c r="A1154" s="4">
        <v>1</v>
      </c>
      <c r="B1154" s="4" t="s">
        <v>239</v>
      </c>
      <c r="C1154" s="4">
        <v>2828</v>
      </c>
      <c r="D1154" s="4">
        <v>1</v>
      </c>
      <c r="E1154" s="4">
        <v>1</v>
      </c>
      <c r="F1154" s="4" t="s">
        <v>268</v>
      </c>
      <c r="G1154" s="4" t="s">
        <v>241</v>
      </c>
      <c r="H1154" s="4" t="s">
        <v>241</v>
      </c>
      <c r="I1154" s="4" t="s">
        <v>272</v>
      </c>
      <c r="J1154" s="4" t="s">
        <v>274</v>
      </c>
      <c r="K1154" s="4" t="s">
        <v>251</v>
      </c>
      <c r="L1154" s="4" t="s">
        <v>269</v>
      </c>
      <c r="M1154" s="5" t="s">
        <v>3070</v>
      </c>
      <c r="N1154" s="6">
        <f>2997</f>
        <v>2997</v>
      </c>
      <c r="O1154" s="4" t="s">
        <v>265</v>
      </c>
      <c r="P1154" s="6">
        <f>1</f>
        <v>1</v>
      </c>
      <c r="Q1154" s="6">
        <f>0</f>
        <v>0</v>
      </c>
      <c r="S1154" s="6">
        <f>0</f>
        <v>0</v>
      </c>
      <c r="T1154" s="6">
        <f>1</f>
        <v>1</v>
      </c>
      <c r="U1154" s="5" t="s">
        <v>245</v>
      </c>
      <c r="V1154" s="4" t="s">
        <v>270</v>
      </c>
      <c r="W1154" s="4" t="s">
        <v>271</v>
      </c>
      <c r="X1154" s="4" t="s">
        <v>273</v>
      </c>
      <c r="Y1154" s="4" t="s">
        <v>241</v>
      </c>
      <c r="AB1154" s="4" t="s">
        <v>241</v>
      </c>
      <c r="AD1154" s="5" t="s">
        <v>241</v>
      </c>
      <c r="AG1154" s="5" t="s">
        <v>246</v>
      </c>
      <c r="AH1154" s="4" t="s">
        <v>241</v>
      </c>
      <c r="AI1154" s="4" t="s">
        <v>247</v>
      </c>
      <c r="AJ1154" s="4" t="s">
        <v>248</v>
      </c>
      <c r="AZ1154" s="4" t="s">
        <v>249</v>
      </c>
      <c r="BA1154" s="4" t="s">
        <v>241</v>
      </c>
      <c r="BB1154" s="4" t="s">
        <v>250</v>
      </c>
      <c r="BC1154" s="4" t="s">
        <v>241</v>
      </c>
      <c r="BD1154" s="4" t="s">
        <v>252</v>
      </c>
      <c r="BE1154" s="4" t="s">
        <v>241</v>
      </c>
      <c r="BI1154" s="4" t="s">
        <v>253</v>
      </c>
      <c r="BJ1154" s="5" t="s">
        <v>246</v>
      </c>
      <c r="BK1154" s="4" t="s">
        <v>254</v>
      </c>
      <c r="BL1154" s="4" t="s">
        <v>255</v>
      </c>
      <c r="BM1154" s="4" t="s">
        <v>241</v>
      </c>
      <c r="BN1154" s="6">
        <f>0</f>
        <v>0</v>
      </c>
      <c r="BO1154" s="6">
        <f>0</f>
        <v>0</v>
      </c>
      <c r="BP1154" s="4" t="s">
        <v>256</v>
      </c>
      <c r="BQ1154" s="4" t="s">
        <v>257</v>
      </c>
      <c r="CE1154" s="4" t="s">
        <v>241</v>
      </c>
      <c r="CF1154" s="4" t="s">
        <v>241</v>
      </c>
      <c r="CJ1154" s="4" t="s">
        <v>276</v>
      </c>
      <c r="CK1154" s="4" t="s">
        <v>259</v>
      </c>
      <c r="CL1154" s="4" t="s">
        <v>241</v>
      </c>
      <c r="CO1154" s="5" t="s">
        <v>260</v>
      </c>
      <c r="CP1154" s="4" t="s">
        <v>241</v>
      </c>
      <c r="CQ1154" s="4" t="s">
        <v>261</v>
      </c>
      <c r="CR1154" s="4" t="s">
        <v>241</v>
      </c>
      <c r="CS1154" s="4" t="s">
        <v>241</v>
      </c>
      <c r="CT1154" s="4">
        <v>0</v>
      </c>
      <c r="CU1154" s="4" t="s">
        <v>262</v>
      </c>
      <c r="CV1154" s="4" t="s">
        <v>263</v>
      </c>
      <c r="CW1154" s="4" t="s">
        <v>263</v>
      </c>
      <c r="CX1154" s="4" t="s">
        <v>264</v>
      </c>
      <c r="DA1154" s="6">
        <f>1</f>
        <v>1</v>
      </c>
      <c r="DC1154" s="4" t="s">
        <v>277</v>
      </c>
      <c r="DD1154" s="4" t="s">
        <v>241</v>
      </c>
      <c r="DF1154" s="4" t="s">
        <v>277</v>
      </c>
      <c r="DG1154" s="6">
        <f>2997</f>
        <v>2997</v>
      </c>
      <c r="DI1154" s="4" t="s">
        <v>241</v>
      </c>
      <c r="DJ1154" s="4" t="s">
        <v>241</v>
      </c>
      <c r="DK1154" s="4" t="s">
        <v>241</v>
      </c>
      <c r="DL1154" s="4" t="s">
        <v>241</v>
      </c>
      <c r="DP1154" s="4" t="s">
        <v>241</v>
      </c>
      <c r="DQ1154" s="4" t="s">
        <v>241</v>
      </c>
      <c r="DR1154" s="4" t="s">
        <v>241</v>
      </c>
      <c r="DS1154" s="4" t="s">
        <v>241</v>
      </c>
      <c r="DV1154" s="4" t="s">
        <v>278</v>
      </c>
      <c r="DW1154" s="4" t="s">
        <v>3071</v>
      </c>
      <c r="HO1154" s="4" t="s">
        <v>267</v>
      </c>
    </row>
    <row r="1155" spans="1:223" ht="19.5" customHeight="1" x14ac:dyDescent="0.4">
      <c r="A1155" s="4">
        <v>1</v>
      </c>
      <c r="B1155" s="4" t="s">
        <v>239</v>
      </c>
      <c r="C1155" s="4">
        <v>2829</v>
      </c>
      <c r="D1155" s="4">
        <v>1</v>
      </c>
      <c r="E1155" s="4">
        <v>1</v>
      </c>
      <c r="F1155" s="4" t="s">
        <v>268</v>
      </c>
      <c r="G1155" s="4" t="s">
        <v>241</v>
      </c>
      <c r="H1155" s="4" t="s">
        <v>241</v>
      </c>
      <c r="I1155" s="4" t="s">
        <v>272</v>
      </c>
      <c r="J1155" s="4" t="s">
        <v>274</v>
      </c>
      <c r="K1155" s="4" t="s">
        <v>251</v>
      </c>
      <c r="L1155" s="4" t="s">
        <v>269</v>
      </c>
      <c r="M1155" s="5" t="s">
        <v>3068</v>
      </c>
      <c r="N1155" s="6">
        <f>585</f>
        <v>585</v>
      </c>
      <c r="O1155" s="4" t="s">
        <v>265</v>
      </c>
      <c r="P1155" s="6">
        <f>1</f>
        <v>1</v>
      </c>
      <c r="Q1155" s="6">
        <f>0</f>
        <v>0</v>
      </c>
      <c r="S1155" s="6">
        <f>0</f>
        <v>0</v>
      </c>
      <c r="T1155" s="6">
        <f>1</f>
        <v>1</v>
      </c>
      <c r="U1155" s="5" t="s">
        <v>245</v>
      </c>
      <c r="V1155" s="4" t="s">
        <v>270</v>
      </c>
      <c r="W1155" s="4" t="s">
        <v>271</v>
      </c>
      <c r="X1155" s="4" t="s">
        <v>273</v>
      </c>
      <c r="Y1155" s="4" t="s">
        <v>241</v>
      </c>
      <c r="AB1155" s="4" t="s">
        <v>241</v>
      </c>
      <c r="AD1155" s="5" t="s">
        <v>241</v>
      </c>
      <c r="AG1155" s="5" t="s">
        <v>246</v>
      </c>
      <c r="AH1155" s="4" t="s">
        <v>241</v>
      </c>
      <c r="AI1155" s="4" t="s">
        <v>247</v>
      </c>
      <c r="AJ1155" s="4" t="s">
        <v>248</v>
      </c>
      <c r="AZ1155" s="4" t="s">
        <v>249</v>
      </c>
      <c r="BA1155" s="4" t="s">
        <v>241</v>
      </c>
      <c r="BB1155" s="4" t="s">
        <v>250</v>
      </c>
      <c r="BC1155" s="4" t="s">
        <v>241</v>
      </c>
      <c r="BD1155" s="4" t="s">
        <v>252</v>
      </c>
      <c r="BE1155" s="4" t="s">
        <v>241</v>
      </c>
      <c r="BI1155" s="4" t="s">
        <v>253</v>
      </c>
      <c r="BJ1155" s="5" t="s">
        <v>246</v>
      </c>
      <c r="BK1155" s="4" t="s">
        <v>254</v>
      </c>
      <c r="BL1155" s="4" t="s">
        <v>255</v>
      </c>
      <c r="BM1155" s="4" t="s">
        <v>241</v>
      </c>
      <c r="BN1155" s="6">
        <f>0</f>
        <v>0</v>
      </c>
      <c r="BO1155" s="6">
        <f>0</f>
        <v>0</v>
      </c>
      <c r="BP1155" s="4" t="s">
        <v>256</v>
      </c>
      <c r="BQ1155" s="4" t="s">
        <v>257</v>
      </c>
      <c r="CE1155" s="4" t="s">
        <v>241</v>
      </c>
      <c r="CF1155" s="4" t="s">
        <v>241</v>
      </c>
      <c r="CJ1155" s="4" t="s">
        <v>276</v>
      </c>
      <c r="CK1155" s="4" t="s">
        <v>259</v>
      </c>
      <c r="CL1155" s="4" t="s">
        <v>241</v>
      </c>
      <c r="CO1155" s="5" t="s">
        <v>260</v>
      </c>
      <c r="CP1155" s="4" t="s">
        <v>241</v>
      </c>
      <c r="CQ1155" s="4" t="s">
        <v>261</v>
      </c>
      <c r="CR1155" s="4" t="s">
        <v>241</v>
      </c>
      <c r="CS1155" s="4" t="s">
        <v>241</v>
      </c>
      <c r="CT1155" s="4">
        <v>0</v>
      </c>
      <c r="CU1155" s="4" t="s">
        <v>262</v>
      </c>
      <c r="CV1155" s="4" t="s">
        <v>263</v>
      </c>
      <c r="CW1155" s="4" t="s">
        <v>263</v>
      </c>
      <c r="CX1155" s="4" t="s">
        <v>264</v>
      </c>
      <c r="DA1155" s="6">
        <f>1</f>
        <v>1</v>
      </c>
      <c r="DC1155" s="4" t="s">
        <v>277</v>
      </c>
      <c r="DD1155" s="4" t="s">
        <v>241</v>
      </c>
      <c r="DF1155" s="4" t="s">
        <v>277</v>
      </c>
      <c r="DG1155" s="6">
        <f>585</f>
        <v>585</v>
      </c>
      <c r="DI1155" s="4" t="s">
        <v>241</v>
      </c>
      <c r="DJ1155" s="4" t="s">
        <v>241</v>
      </c>
      <c r="DK1155" s="4" t="s">
        <v>241</v>
      </c>
      <c r="DL1155" s="4" t="s">
        <v>241</v>
      </c>
      <c r="DP1155" s="4" t="s">
        <v>241</v>
      </c>
      <c r="DQ1155" s="4" t="s">
        <v>241</v>
      </c>
      <c r="DR1155" s="4" t="s">
        <v>241</v>
      </c>
      <c r="DS1155" s="4" t="s">
        <v>241</v>
      </c>
      <c r="DV1155" s="4" t="s">
        <v>278</v>
      </c>
      <c r="DW1155" s="4" t="s">
        <v>3069</v>
      </c>
      <c r="HO1155" s="4" t="s">
        <v>267</v>
      </c>
    </row>
    <row r="1156" spans="1:223" ht="19.5" customHeight="1" x14ac:dyDescent="0.4">
      <c r="A1156" s="4">
        <v>1</v>
      </c>
      <c r="B1156" s="4" t="s">
        <v>239</v>
      </c>
      <c r="C1156" s="4">
        <v>2830</v>
      </c>
      <c r="D1156" s="4">
        <v>1</v>
      </c>
      <c r="E1156" s="4">
        <v>1</v>
      </c>
      <c r="F1156" s="4" t="s">
        <v>268</v>
      </c>
      <c r="G1156" s="4" t="s">
        <v>241</v>
      </c>
      <c r="H1156" s="4" t="s">
        <v>241</v>
      </c>
      <c r="I1156" s="4" t="s">
        <v>272</v>
      </c>
      <c r="J1156" s="4" t="s">
        <v>274</v>
      </c>
      <c r="K1156" s="4" t="s">
        <v>251</v>
      </c>
      <c r="L1156" s="4" t="s">
        <v>269</v>
      </c>
      <c r="M1156" s="5" t="s">
        <v>3066</v>
      </c>
      <c r="N1156" s="6">
        <f>2906</f>
        <v>2906</v>
      </c>
      <c r="O1156" s="4" t="s">
        <v>265</v>
      </c>
      <c r="P1156" s="6">
        <f>1</f>
        <v>1</v>
      </c>
      <c r="Q1156" s="6">
        <f>0</f>
        <v>0</v>
      </c>
      <c r="S1156" s="6">
        <f>0</f>
        <v>0</v>
      </c>
      <c r="T1156" s="6">
        <f>1</f>
        <v>1</v>
      </c>
      <c r="U1156" s="5" t="s">
        <v>245</v>
      </c>
      <c r="V1156" s="4" t="s">
        <v>270</v>
      </c>
      <c r="W1156" s="4" t="s">
        <v>271</v>
      </c>
      <c r="X1156" s="4" t="s">
        <v>273</v>
      </c>
      <c r="Y1156" s="4" t="s">
        <v>241</v>
      </c>
      <c r="AB1156" s="4" t="s">
        <v>241</v>
      </c>
      <c r="AD1156" s="5" t="s">
        <v>241</v>
      </c>
      <c r="AG1156" s="5" t="s">
        <v>246</v>
      </c>
      <c r="AH1156" s="4" t="s">
        <v>241</v>
      </c>
      <c r="AI1156" s="4" t="s">
        <v>247</v>
      </c>
      <c r="AJ1156" s="4" t="s">
        <v>248</v>
      </c>
      <c r="AZ1156" s="4" t="s">
        <v>249</v>
      </c>
      <c r="BA1156" s="4" t="s">
        <v>241</v>
      </c>
      <c r="BB1156" s="4" t="s">
        <v>250</v>
      </c>
      <c r="BC1156" s="4" t="s">
        <v>241</v>
      </c>
      <c r="BD1156" s="4" t="s">
        <v>252</v>
      </c>
      <c r="BE1156" s="4" t="s">
        <v>241</v>
      </c>
      <c r="BI1156" s="4" t="s">
        <v>253</v>
      </c>
      <c r="BJ1156" s="5" t="s">
        <v>246</v>
      </c>
      <c r="BK1156" s="4" t="s">
        <v>254</v>
      </c>
      <c r="BL1156" s="4" t="s">
        <v>255</v>
      </c>
      <c r="BM1156" s="4" t="s">
        <v>241</v>
      </c>
      <c r="BN1156" s="6">
        <f>0</f>
        <v>0</v>
      </c>
      <c r="BO1156" s="6">
        <f>0</f>
        <v>0</v>
      </c>
      <c r="BP1156" s="4" t="s">
        <v>256</v>
      </c>
      <c r="BQ1156" s="4" t="s">
        <v>257</v>
      </c>
      <c r="CE1156" s="4" t="s">
        <v>241</v>
      </c>
      <c r="CF1156" s="4" t="s">
        <v>241</v>
      </c>
      <c r="CJ1156" s="4" t="s">
        <v>276</v>
      </c>
      <c r="CK1156" s="4" t="s">
        <v>259</v>
      </c>
      <c r="CL1156" s="4" t="s">
        <v>241</v>
      </c>
      <c r="CO1156" s="5" t="s">
        <v>260</v>
      </c>
      <c r="CP1156" s="4" t="s">
        <v>241</v>
      </c>
      <c r="CQ1156" s="4" t="s">
        <v>261</v>
      </c>
      <c r="CR1156" s="4" t="s">
        <v>241</v>
      </c>
      <c r="CS1156" s="4" t="s">
        <v>241</v>
      </c>
      <c r="CT1156" s="4">
        <v>0</v>
      </c>
      <c r="CU1156" s="4" t="s">
        <v>262</v>
      </c>
      <c r="CV1156" s="4" t="s">
        <v>263</v>
      </c>
      <c r="CW1156" s="4" t="s">
        <v>263</v>
      </c>
      <c r="CX1156" s="4" t="s">
        <v>264</v>
      </c>
      <c r="DA1156" s="6">
        <f>1</f>
        <v>1</v>
      </c>
      <c r="DC1156" s="4" t="s">
        <v>277</v>
      </c>
      <c r="DD1156" s="4" t="s">
        <v>241</v>
      </c>
      <c r="DF1156" s="4" t="s">
        <v>277</v>
      </c>
      <c r="DG1156" s="6">
        <f>2906</f>
        <v>2906</v>
      </c>
      <c r="DI1156" s="4" t="s">
        <v>241</v>
      </c>
      <c r="DJ1156" s="4" t="s">
        <v>241</v>
      </c>
      <c r="DK1156" s="4" t="s">
        <v>241</v>
      </c>
      <c r="DL1156" s="4" t="s">
        <v>241</v>
      </c>
      <c r="DP1156" s="4" t="s">
        <v>241</v>
      </c>
      <c r="DQ1156" s="4" t="s">
        <v>241</v>
      </c>
      <c r="DR1156" s="4" t="s">
        <v>241</v>
      </c>
      <c r="DS1156" s="4" t="s">
        <v>241</v>
      </c>
      <c r="DV1156" s="4" t="s">
        <v>278</v>
      </c>
      <c r="DW1156" s="4" t="s">
        <v>3067</v>
      </c>
      <c r="HO1156" s="4" t="s">
        <v>267</v>
      </c>
    </row>
    <row r="1157" spans="1:223" ht="19.5" customHeight="1" x14ac:dyDescent="0.4">
      <c r="A1157" s="4">
        <v>1</v>
      </c>
      <c r="B1157" s="4" t="s">
        <v>239</v>
      </c>
      <c r="C1157" s="4">
        <v>2831</v>
      </c>
      <c r="D1157" s="4">
        <v>1</v>
      </c>
      <c r="E1157" s="4">
        <v>1</v>
      </c>
      <c r="F1157" s="4" t="s">
        <v>268</v>
      </c>
      <c r="G1157" s="4" t="s">
        <v>241</v>
      </c>
      <c r="H1157" s="4" t="s">
        <v>241</v>
      </c>
      <c r="I1157" s="4" t="s">
        <v>272</v>
      </c>
      <c r="J1157" s="4" t="s">
        <v>274</v>
      </c>
      <c r="K1157" s="4" t="s">
        <v>251</v>
      </c>
      <c r="L1157" s="4" t="s">
        <v>269</v>
      </c>
      <c r="M1157" s="5" t="s">
        <v>3064</v>
      </c>
      <c r="N1157" s="6">
        <f>1448</f>
        <v>1448</v>
      </c>
      <c r="O1157" s="4" t="s">
        <v>265</v>
      </c>
      <c r="P1157" s="6">
        <f>1</f>
        <v>1</v>
      </c>
      <c r="Q1157" s="6">
        <f>0</f>
        <v>0</v>
      </c>
      <c r="S1157" s="6">
        <f>0</f>
        <v>0</v>
      </c>
      <c r="T1157" s="6">
        <f>1</f>
        <v>1</v>
      </c>
      <c r="U1157" s="5" t="s">
        <v>245</v>
      </c>
      <c r="V1157" s="4" t="s">
        <v>270</v>
      </c>
      <c r="W1157" s="4" t="s">
        <v>271</v>
      </c>
      <c r="X1157" s="4" t="s">
        <v>273</v>
      </c>
      <c r="Y1157" s="4" t="s">
        <v>241</v>
      </c>
      <c r="AB1157" s="4" t="s">
        <v>241</v>
      </c>
      <c r="AD1157" s="5" t="s">
        <v>241</v>
      </c>
      <c r="AG1157" s="5" t="s">
        <v>246</v>
      </c>
      <c r="AH1157" s="4" t="s">
        <v>241</v>
      </c>
      <c r="AI1157" s="4" t="s">
        <v>247</v>
      </c>
      <c r="AJ1157" s="4" t="s">
        <v>248</v>
      </c>
      <c r="AZ1157" s="4" t="s">
        <v>249</v>
      </c>
      <c r="BA1157" s="4" t="s">
        <v>241</v>
      </c>
      <c r="BB1157" s="4" t="s">
        <v>250</v>
      </c>
      <c r="BC1157" s="4" t="s">
        <v>241</v>
      </c>
      <c r="BD1157" s="4" t="s">
        <v>252</v>
      </c>
      <c r="BE1157" s="4" t="s">
        <v>241</v>
      </c>
      <c r="BI1157" s="4" t="s">
        <v>253</v>
      </c>
      <c r="BJ1157" s="5" t="s">
        <v>246</v>
      </c>
      <c r="BK1157" s="4" t="s">
        <v>254</v>
      </c>
      <c r="BL1157" s="4" t="s">
        <v>255</v>
      </c>
      <c r="BM1157" s="4" t="s">
        <v>241</v>
      </c>
      <c r="BN1157" s="6">
        <f>0</f>
        <v>0</v>
      </c>
      <c r="BO1157" s="6">
        <f>0</f>
        <v>0</v>
      </c>
      <c r="BP1157" s="4" t="s">
        <v>256</v>
      </c>
      <c r="BQ1157" s="4" t="s">
        <v>257</v>
      </c>
      <c r="CE1157" s="4" t="s">
        <v>241</v>
      </c>
      <c r="CF1157" s="4" t="s">
        <v>241</v>
      </c>
      <c r="CJ1157" s="4" t="s">
        <v>276</v>
      </c>
      <c r="CK1157" s="4" t="s">
        <v>259</v>
      </c>
      <c r="CL1157" s="4" t="s">
        <v>241</v>
      </c>
      <c r="CO1157" s="5" t="s">
        <v>260</v>
      </c>
      <c r="CP1157" s="4" t="s">
        <v>241</v>
      </c>
      <c r="CQ1157" s="4" t="s">
        <v>261</v>
      </c>
      <c r="CR1157" s="4" t="s">
        <v>241</v>
      </c>
      <c r="CS1157" s="4" t="s">
        <v>241</v>
      </c>
      <c r="CT1157" s="4">
        <v>0</v>
      </c>
      <c r="CU1157" s="4" t="s">
        <v>262</v>
      </c>
      <c r="CV1157" s="4" t="s">
        <v>263</v>
      </c>
      <c r="CW1157" s="4" t="s">
        <v>263</v>
      </c>
      <c r="CX1157" s="4" t="s">
        <v>264</v>
      </c>
      <c r="DA1157" s="6">
        <f>1</f>
        <v>1</v>
      </c>
      <c r="DC1157" s="4" t="s">
        <v>277</v>
      </c>
      <c r="DD1157" s="4" t="s">
        <v>241</v>
      </c>
      <c r="DF1157" s="4" t="s">
        <v>277</v>
      </c>
      <c r="DG1157" s="6">
        <f>1448</f>
        <v>1448</v>
      </c>
      <c r="DI1157" s="4" t="s">
        <v>241</v>
      </c>
      <c r="DJ1157" s="4" t="s">
        <v>241</v>
      </c>
      <c r="DK1157" s="4" t="s">
        <v>241</v>
      </c>
      <c r="DL1157" s="4" t="s">
        <v>241</v>
      </c>
      <c r="DP1157" s="4" t="s">
        <v>241</v>
      </c>
      <c r="DQ1157" s="4" t="s">
        <v>241</v>
      </c>
      <c r="DR1157" s="4" t="s">
        <v>241</v>
      </c>
      <c r="DS1157" s="4" t="s">
        <v>241</v>
      </c>
      <c r="DV1157" s="4" t="s">
        <v>278</v>
      </c>
      <c r="DW1157" s="4" t="s">
        <v>3065</v>
      </c>
      <c r="HO1157" s="4" t="s">
        <v>267</v>
      </c>
    </row>
    <row r="1158" spans="1:223" ht="19.5" customHeight="1" x14ac:dyDescent="0.4">
      <c r="A1158" s="4">
        <v>1</v>
      </c>
      <c r="B1158" s="4" t="s">
        <v>239</v>
      </c>
      <c r="C1158" s="4">
        <v>2832</v>
      </c>
      <c r="D1158" s="4">
        <v>1</v>
      </c>
      <c r="E1158" s="4">
        <v>1</v>
      </c>
      <c r="F1158" s="4" t="s">
        <v>268</v>
      </c>
      <c r="G1158" s="4" t="s">
        <v>241</v>
      </c>
      <c r="H1158" s="4" t="s">
        <v>241</v>
      </c>
      <c r="I1158" s="4" t="s">
        <v>272</v>
      </c>
      <c r="J1158" s="4" t="s">
        <v>274</v>
      </c>
      <c r="K1158" s="4" t="s">
        <v>251</v>
      </c>
      <c r="L1158" s="4" t="s">
        <v>269</v>
      </c>
      <c r="M1158" s="5" t="s">
        <v>3062</v>
      </c>
      <c r="N1158" s="6">
        <f>899</f>
        <v>899</v>
      </c>
      <c r="O1158" s="4" t="s">
        <v>265</v>
      </c>
      <c r="P1158" s="6">
        <f>1</f>
        <v>1</v>
      </c>
      <c r="Q1158" s="6">
        <f>0</f>
        <v>0</v>
      </c>
      <c r="S1158" s="6">
        <f>0</f>
        <v>0</v>
      </c>
      <c r="T1158" s="6">
        <f>1</f>
        <v>1</v>
      </c>
      <c r="U1158" s="5" t="s">
        <v>245</v>
      </c>
      <c r="V1158" s="4" t="s">
        <v>270</v>
      </c>
      <c r="W1158" s="4" t="s">
        <v>271</v>
      </c>
      <c r="X1158" s="4" t="s">
        <v>273</v>
      </c>
      <c r="Y1158" s="4" t="s">
        <v>241</v>
      </c>
      <c r="AB1158" s="4" t="s">
        <v>241</v>
      </c>
      <c r="AD1158" s="5" t="s">
        <v>241</v>
      </c>
      <c r="AG1158" s="5" t="s">
        <v>246</v>
      </c>
      <c r="AH1158" s="4" t="s">
        <v>241</v>
      </c>
      <c r="AI1158" s="4" t="s">
        <v>247</v>
      </c>
      <c r="AJ1158" s="4" t="s">
        <v>248</v>
      </c>
      <c r="AZ1158" s="4" t="s">
        <v>249</v>
      </c>
      <c r="BA1158" s="4" t="s">
        <v>241</v>
      </c>
      <c r="BB1158" s="4" t="s">
        <v>250</v>
      </c>
      <c r="BC1158" s="4" t="s">
        <v>241</v>
      </c>
      <c r="BD1158" s="4" t="s">
        <v>252</v>
      </c>
      <c r="BE1158" s="4" t="s">
        <v>241</v>
      </c>
      <c r="BI1158" s="4" t="s">
        <v>253</v>
      </c>
      <c r="BJ1158" s="5" t="s">
        <v>246</v>
      </c>
      <c r="BK1158" s="4" t="s">
        <v>254</v>
      </c>
      <c r="BL1158" s="4" t="s">
        <v>255</v>
      </c>
      <c r="BM1158" s="4" t="s">
        <v>241</v>
      </c>
      <c r="BN1158" s="6">
        <f>0</f>
        <v>0</v>
      </c>
      <c r="BO1158" s="6">
        <f>0</f>
        <v>0</v>
      </c>
      <c r="BP1158" s="4" t="s">
        <v>256</v>
      </c>
      <c r="BQ1158" s="4" t="s">
        <v>257</v>
      </c>
      <c r="CE1158" s="4" t="s">
        <v>241</v>
      </c>
      <c r="CF1158" s="4" t="s">
        <v>241</v>
      </c>
      <c r="CJ1158" s="4" t="s">
        <v>276</v>
      </c>
      <c r="CK1158" s="4" t="s">
        <v>259</v>
      </c>
      <c r="CL1158" s="4" t="s">
        <v>241</v>
      </c>
      <c r="CO1158" s="5" t="s">
        <v>260</v>
      </c>
      <c r="CP1158" s="4" t="s">
        <v>241</v>
      </c>
      <c r="CQ1158" s="4" t="s">
        <v>261</v>
      </c>
      <c r="CR1158" s="4" t="s">
        <v>241</v>
      </c>
      <c r="CS1158" s="4" t="s">
        <v>241</v>
      </c>
      <c r="CT1158" s="4">
        <v>0</v>
      </c>
      <c r="CU1158" s="4" t="s">
        <v>262</v>
      </c>
      <c r="CV1158" s="4" t="s">
        <v>263</v>
      </c>
      <c r="CW1158" s="4" t="s">
        <v>263</v>
      </c>
      <c r="CX1158" s="4" t="s">
        <v>264</v>
      </c>
      <c r="DA1158" s="6">
        <f>1</f>
        <v>1</v>
      </c>
      <c r="DC1158" s="4" t="s">
        <v>277</v>
      </c>
      <c r="DD1158" s="4" t="s">
        <v>241</v>
      </c>
      <c r="DF1158" s="4" t="s">
        <v>277</v>
      </c>
      <c r="DG1158" s="6">
        <f>899</f>
        <v>899</v>
      </c>
      <c r="DI1158" s="4" t="s">
        <v>241</v>
      </c>
      <c r="DJ1158" s="4" t="s">
        <v>241</v>
      </c>
      <c r="DK1158" s="4" t="s">
        <v>241</v>
      </c>
      <c r="DL1158" s="4" t="s">
        <v>241</v>
      </c>
      <c r="DP1158" s="4" t="s">
        <v>241</v>
      </c>
      <c r="DQ1158" s="4" t="s">
        <v>241</v>
      </c>
      <c r="DR1158" s="4" t="s">
        <v>241</v>
      </c>
      <c r="DS1158" s="4" t="s">
        <v>241</v>
      </c>
      <c r="DV1158" s="4" t="s">
        <v>278</v>
      </c>
      <c r="DW1158" s="4" t="s">
        <v>3063</v>
      </c>
      <c r="HO1158" s="4" t="s">
        <v>267</v>
      </c>
    </row>
    <row r="1159" spans="1:223" ht="19.5" customHeight="1" x14ac:dyDescent="0.4">
      <c r="A1159" s="4">
        <v>1</v>
      </c>
      <c r="B1159" s="4" t="s">
        <v>239</v>
      </c>
      <c r="C1159" s="4">
        <v>2833</v>
      </c>
      <c r="D1159" s="4">
        <v>1</v>
      </c>
      <c r="E1159" s="4">
        <v>1</v>
      </c>
      <c r="F1159" s="4" t="s">
        <v>268</v>
      </c>
      <c r="G1159" s="4" t="s">
        <v>241</v>
      </c>
      <c r="H1159" s="4" t="s">
        <v>241</v>
      </c>
      <c r="I1159" s="4" t="s">
        <v>272</v>
      </c>
      <c r="J1159" s="4" t="s">
        <v>274</v>
      </c>
      <c r="K1159" s="4" t="s">
        <v>251</v>
      </c>
      <c r="L1159" s="4" t="s">
        <v>269</v>
      </c>
      <c r="M1159" s="5" t="s">
        <v>3060</v>
      </c>
      <c r="N1159" s="6">
        <f>4605</f>
        <v>4605</v>
      </c>
      <c r="O1159" s="4" t="s">
        <v>265</v>
      </c>
      <c r="P1159" s="6">
        <f>1</f>
        <v>1</v>
      </c>
      <c r="Q1159" s="6">
        <f>0</f>
        <v>0</v>
      </c>
      <c r="S1159" s="6">
        <f>0</f>
        <v>0</v>
      </c>
      <c r="T1159" s="6">
        <f>1</f>
        <v>1</v>
      </c>
      <c r="U1159" s="5" t="s">
        <v>245</v>
      </c>
      <c r="V1159" s="4" t="s">
        <v>270</v>
      </c>
      <c r="W1159" s="4" t="s">
        <v>271</v>
      </c>
      <c r="X1159" s="4" t="s">
        <v>273</v>
      </c>
      <c r="Y1159" s="4" t="s">
        <v>241</v>
      </c>
      <c r="AB1159" s="4" t="s">
        <v>241</v>
      </c>
      <c r="AD1159" s="5" t="s">
        <v>241</v>
      </c>
      <c r="AG1159" s="5" t="s">
        <v>246</v>
      </c>
      <c r="AH1159" s="4" t="s">
        <v>241</v>
      </c>
      <c r="AI1159" s="4" t="s">
        <v>247</v>
      </c>
      <c r="AJ1159" s="4" t="s">
        <v>248</v>
      </c>
      <c r="AZ1159" s="4" t="s">
        <v>249</v>
      </c>
      <c r="BA1159" s="4" t="s">
        <v>241</v>
      </c>
      <c r="BB1159" s="4" t="s">
        <v>250</v>
      </c>
      <c r="BC1159" s="4" t="s">
        <v>241</v>
      </c>
      <c r="BD1159" s="4" t="s">
        <v>252</v>
      </c>
      <c r="BE1159" s="4" t="s">
        <v>241</v>
      </c>
      <c r="BI1159" s="4" t="s">
        <v>253</v>
      </c>
      <c r="BJ1159" s="5" t="s">
        <v>246</v>
      </c>
      <c r="BK1159" s="4" t="s">
        <v>254</v>
      </c>
      <c r="BL1159" s="4" t="s">
        <v>255</v>
      </c>
      <c r="BM1159" s="4" t="s">
        <v>241</v>
      </c>
      <c r="BN1159" s="6">
        <f>0</f>
        <v>0</v>
      </c>
      <c r="BO1159" s="6">
        <f>0</f>
        <v>0</v>
      </c>
      <c r="BP1159" s="4" t="s">
        <v>256</v>
      </c>
      <c r="BQ1159" s="4" t="s">
        <v>257</v>
      </c>
      <c r="CE1159" s="4" t="s">
        <v>241</v>
      </c>
      <c r="CF1159" s="4" t="s">
        <v>241</v>
      </c>
      <c r="CJ1159" s="4" t="s">
        <v>276</v>
      </c>
      <c r="CK1159" s="4" t="s">
        <v>259</v>
      </c>
      <c r="CL1159" s="4" t="s">
        <v>241</v>
      </c>
      <c r="CO1159" s="5" t="s">
        <v>260</v>
      </c>
      <c r="CP1159" s="4" t="s">
        <v>241</v>
      </c>
      <c r="CQ1159" s="4" t="s">
        <v>261</v>
      </c>
      <c r="CR1159" s="4" t="s">
        <v>241</v>
      </c>
      <c r="CS1159" s="4" t="s">
        <v>241</v>
      </c>
      <c r="CT1159" s="4">
        <v>0</v>
      </c>
      <c r="CU1159" s="4" t="s">
        <v>262</v>
      </c>
      <c r="CV1159" s="4" t="s">
        <v>263</v>
      </c>
      <c r="CW1159" s="4" t="s">
        <v>263</v>
      </c>
      <c r="CX1159" s="4" t="s">
        <v>264</v>
      </c>
      <c r="DA1159" s="6">
        <f>1</f>
        <v>1</v>
      </c>
      <c r="DC1159" s="4" t="s">
        <v>277</v>
      </c>
      <c r="DD1159" s="4" t="s">
        <v>241</v>
      </c>
      <c r="DF1159" s="4" t="s">
        <v>277</v>
      </c>
      <c r="DG1159" s="6">
        <f>4605</f>
        <v>4605</v>
      </c>
      <c r="DI1159" s="4" t="s">
        <v>241</v>
      </c>
      <c r="DJ1159" s="4" t="s">
        <v>241</v>
      </c>
      <c r="DK1159" s="4" t="s">
        <v>241</v>
      </c>
      <c r="DL1159" s="4" t="s">
        <v>241</v>
      </c>
      <c r="DP1159" s="4" t="s">
        <v>241</v>
      </c>
      <c r="DQ1159" s="4" t="s">
        <v>241</v>
      </c>
      <c r="DR1159" s="4" t="s">
        <v>241</v>
      </c>
      <c r="DS1159" s="4" t="s">
        <v>241</v>
      </c>
      <c r="DV1159" s="4" t="s">
        <v>278</v>
      </c>
      <c r="DW1159" s="4" t="s">
        <v>3061</v>
      </c>
      <c r="HO1159" s="4" t="s">
        <v>267</v>
      </c>
    </row>
    <row r="1160" spans="1:223" ht="19.5" customHeight="1" x14ac:dyDescent="0.4">
      <c r="A1160" s="4">
        <v>1</v>
      </c>
      <c r="B1160" s="4" t="s">
        <v>239</v>
      </c>
      <c r="C1160" s="4">
        <v>2834</v>
      </c>
      <c r="D1160" s="4">
        <v>1</v>
      </c>
      <c r="E1160" s="4">
        <v>1</v>
      </c>
      <c r="F1160" s="4" t="s">
        <v>268</v>
      </c>
      <c r="G1160" s="4" t="s">
        <v>241</v>
      </c>
      <c r="H1160" s="4" t="s">
        <v>241</v>
      </c>
      <c r="I1160" s="4" t="s">
        <v>272</v>
      </c>
      <c r="J1160" s="4" t="s">
        <v>274</v>
      </c>
      <c r="K1160" s="4" t="s">
        <v>251</v>
      </c>
      <c r="L1160" s="4" t="s">
        <v>269</v>
      </c>
      <c r="M1160" s="5" t="s">
        <v>3058</v>
      </c>
      <c r="N1160" s="6">
        <f>2769</f>
        <v>2769</v>
      </c>
      <c r="O1160" s="4" t="s">
        <v>265</v>
      </c>
      <c r="P1160" s="6">
        <f>1</f>
        <v>1</v>
      </c>
      <c r="Q1160" s="6">
        <f>0</f>
        <v>0</v>
      </c>
      <c r="S1160" s="6">
        <f>0</f>
        <v>0</v>
      </c>
      <c r="T1160" s="6">
        <f>1</f>
        <v>1</v>
      </c>
      <c r="U1160" s="5" t="s">
        <v>245</v>
      </c>
      <c r="V1160" s="4" t="s">
        <v>270</v>
      </c>
      <c r="W1160" s="4" t="s">
        <v>271</v>
      </c>
      <c r="X1160" s="4" t="s">
        <v>273</v>
      </c>
      <c r="Y1160" s="4" t="s">
        <v>241</v>
      </c>
      <c r="AB1160" s="4" t="s">
        <v>241</v>
      </c>
      <c r="AD1160" s="5" t="s">
        <v>241</v>
      </c>
      <c r="AG1160" s="5" t="s">
        <v>246</v>
      </c>
      <c r="AH1160" s="4" t="s">
        <v>241</v>
      </c>
      <c r="AI1160" s="4" t="s">
        <v>247</v>
      </c>
      <c r="AJ1160" s="4" t="s">
        <v>248</v>
      </c>
      <c r="AZ1160" s="4" t="s">
        <v>249</v>
      </c>
      <c r="BA1160" s="4" t="s">
        <v>241</v>
      </c>
      <c r="BB1160" s="4" t="s">
        <v>250</v>
      </c>
      <c r="BC1160" s="4" t="s">
        <v>241</v>
      </c>
      <c r="BD1160" s="4" t="s">
        <v>252</v>
      </c>
      <c r="BE1160" s="4" t="s">
        <v>241</v>
      </c>
      <c r="BI1160" s="4" t="s">
        <v>253</v>
      </c>
      <c r="BJ1160" s="5" t="s">
        <v>246</v>
      </c>
      <c r="BK1160" s="4" t="s">
        <v>254</v>
      </c>
      <c r="BL1160" s="4" t="s">
        <v>255</v>
      </c>
      <c r="BM1160" s="4" t="s">
        <v>241</v>
      </c>
      <c r="BN1160" s="6">
        <f>0</f>
        <v>0</v>
      </c>
      <c r="BO1160" s="6">
        <f>0</f>
        <v>0</v>
      </c>
      <c r="BP1160" s="4" t="s">
        <v>256</v>
      </c>
      <c r="BQ1160" s="4" t="s">
        <v>257</v>
      </c>
      <c r="CE1160" s="4" t="s">
        <v>241</v>
      </c>
      <c r="CF1160" s="4" t="s">
        <v>241</v>
      </c>
      <c r="CJ1160" s="4" t="s">
        <v>276</v>
      </c>
      <c r="CK1160" s="4" t="s">
        <v>259</v>
      </c>
      <c r="CL1160" s="4" t="s">
        <v>241</v>
      </c>
      <c r="CO1160" s="5" t="s">
        <v>260</v>
      </c>
      <c r="CP1160" s="4" t="s">
        <v>241</v>
      </c>
      <c r="CQ1160" s="4" t="s">
        <v>261</v>
      </c>
      <c r="CR1160" s="4" t="s">
        <v>241</v>
      </c>
      <c r="CS1160" s="4" t="s">
        <v>241</v>
      </c>
      <c r="CT1160" s="4">
        <v>0</v>
      </c>
      <c r="CU1160" s="4" t="s">
        <v>262</v>
      </c>
      <c r="CV1160" s="4" t="s">
        <v>263</v>
      </c>
      <c r="CW1160" s="4" t="s">
        <v>263</v>
      </c>
      <c r="CX1160" s="4" t="s">
        <v>264</v>
      </c>
      <c r="DA1160" s="6">
        <f>1</f>
        <v>1</v>
      </c>
      <c r="DC1160" s="4" t="s">
        <v>277</v>
      </c>
      <c r="DD1160" s="4" t="s">
        <v>241</v>
      </c>
      <c r="DF1160" s="4" t="s">
        <v>277</v>
      </c>
      <c r="DG1160" s="6">
        <f>2769</f>
        <v>2769</v>
      </c>
      <c r="DI1160" s="4" t="s">
        <v>241</v>
      </c>
      <c r="DJ1160" s="4" t="s">
        <v>241</v>
      </c>
      <c r="DK1160" s="4" t="s">
        <v>241</v>
      </c>
      <c r="DL1160" s="4" t="s">
        <v>241</v>
      </c>
      <c r="DP1160" s="4" t="s">
        <v>241</v>
      </c>
      <c r="DQ1160" s="4" t="s">
        <v>241</v>
      </c>
      <c r="DR1160" s="4" t="s">
        <v>241</v>
      </c>
      <c r="DS1160" s="4" t="s">
        <v>241</v>
      </c>
      <c r="DV1160" s="4" t="s">
        <v>278</v>
      </c>
      <c r="DW1160" s="4" t="s">
        <v>3059</v>
      </c>
      <c r="HO1160" s="4" t="s">
        <v>267</v>
      </c>
    </row>
    <row r="1161" spans="1:223" ht="19.5" customHeight="1" x14ac:dyDescent="0.4">
      <c r="A1161" s="4">
        <v>1</v>
      </c>
      <c r="B1161" s="4" t="s">
        <v>239</v>
      </c>
      <c r="C1161" s="4">
        <v>2835</v>
      </c>
      <c r="D1161" s="4">
        <v>1</v>
      </c>
      <c r="E1161" s="4">
        <v>1</v>
      </c>
      <c r="F1161" s="4" t="s">
        <v>268</v>
      </c>
      <c r="G1161" s="4" t="s">
        <v>241</v>
      </c>
      <c r="H1161" s="4" t="s">
        <v>241</v>
      </c>
      <c r="I1161" s="4" t="s">
        <v>272</v>
      </c>
      <c r="J1161" s="4" t="s">
        <v>274</v>
      </c>
      <c r="K1161" s="4" t="s">
        <v>251</v>
      </c>
      <c r="L1161" s="4" t="s">
        <v>269</v>
      </c>
      <c r="M1161" s="5" t="s">
        <v>3056</v>
      </c>
      <c r="N1161" s="6">
        <f>1804</f>
        <v>1804</v>
      </c>
      <c r="O1161" s="4" t="s">
        <v>265</v>
      </c>
      <c r="P1161" s="6">
        <f>1</f>
        <v>1</v>
      </c>
      <c r="Q1161" s="6">
        <f>0</f>
        <v>0</v>
      </c>
      <c r="S1161" s="6">
        <f>0</f>
        <v>0</v>
      </c>
      <c r="T1161" s="6">
        <f>1</f>
        <v>1</v>
      </c>
      <c r="U1161" s="5" t="s">
        <v>245</v>
      </c>
      <c r="V1161" s="4" t="s">
        <v>270</v>
      </c>
      <c r="W1161" s="4" t="s">
        <v>271</v>
      </c>
      <c r="X1161" s="4" t="s">
        <v>273</v>
      </c>
      <c r="Y1161" s="4" t="s">
        <v>241</v>
      </c>
      <c r="AB1161" s="4" t="s">
        <v>241</v>
      </c>
      <c r="AD1161" s="5" t="s">
        <v>241</v>
      </c>
      <c r="AG1161" s="5" t="s">
        <v>246</v>
      </c>
      <c r="AH1161" s="4" t="s">
        <v>241</v>
      </c>
      <c r="AI1161" s="4" t="s">
        <v>247</v>
      </c>
      <c r="AJ1161" s="4" t="s">
        <v>248</v>
      </c>
      <c r="AZ1161" s="4" t="s">
        <v>249</v>
      </c>
      <c r="BA1161" s="4" t="s">
        <v>241</v>
      </c>
      <c r="BB1161" s="4" t="s">
        <v>250</v>
      </c>
      <c r="BC1161" s="4" t="s">
        <v>241</v>
      </c>
      <c r="BD1161" s="4" t="s">
        <v>252</v>
      </c>
      <c r="BE1161" s="4" t="s">
        <v>241</v>
      </c>
      <c r="BI1161" s="4" t="s">
        <v>253</v>
      </c>
      <c r="BJ1161" s="5" t="s">
        <v>246</v>
      </c>
      <c r="BK1161" s="4" t="s">
        <v>254</v>
      </c>
      <c r="BL1161" s="4" t="s">
        <v>255</v>
      </c>
      <c r="BM1161" s="4" t="s">
        <v>241</v>
      </c>
      <c r="BN1161" s="6">
        <f>0</f>
        <v>0</v>
      </c>
      <c r="BO1161" s="6">
        <f>0</f>
        <v>0</v>
      </c>
      <c r="BP1161" s="4" t="s">
        <v>256</v>
      </c>
      <c r="BQ1161" s="4" t="s">
        <v>257</v>
      </c>
      <c r="CE1161" s="4" t="s">
        <v>241</v>
      </c>
      <c r="CF1161" s="4" t="s">
        <v>241</v>
      </c>
      <c r="CJ1161" s="4" t="s">
        <v>276</v>
      </c>
      <c r="CK1161" s="4" t="s">
        <v>259</v>
      </c>
      <c r="CL1161" s="4" t="s">
        <v>241</v>
      </c>
      <c r="CO1161" s="5" t="s">
        <v>260</v>
      </c>
      <c r="CP1161" s="4" t="s">
        <v>241</v>
      </c>
      <c r="CQ1161" s="4" t="s">
        <v>261</v>
      </c>
      <c r="CR1161" s="4" t="s">
        <v>241</v>
      </c>
      <c r="CS1161" s="4" t="s">
        <v>241</v>
      </c>
      <c r="CT1161" s="4">
        <v>0</v>
      </c>
      <c r="CU1161" s="4" t="s">
        <v>262</v>
      </c>
      <c r="CV1161" s="4" t="s">
        <v>263</v>
      </c>
      <c r="CW1161" s="4" t="s">
        <v>263</v>
      </c>
      <c r="CX1161" s="4" t="s">
        <v>264</v>
      </c>
      <c r="DA1161" s="6">
        <f>1</f>
        <v>1</v>
      </c>
      <c r="DC1161" s="4" t="s">
        <v>277</v>
      </c>
      <c r="DD1161" s="4" t="s">
        <v>241</v>
      </c>
      <c r="DF1161" s="4" t="s">
        <v>277</v>
      </c>
      <c r="DG1161" s="6">
        <f>1804</f>
        <v>1804</v>
      </c>
      <c r="DI1161" s="4" t="s">
        <v>241</v>
      </c>
      <c r="DJ1161" s="4" t="s">
        <v>241</v>
      </c>
      <c r="DK1161" s="4" t="s">
        <v>241</v>
      </c>
      <c r="DL1161" s="4" t="s">
        <v>241</v>
      </c>
      <c r="DP1161" s="4" t="s">
        <v>241</v>
      </c>
      <c r="DQ1161" s="4" t="s">
        <v>241</v>
      </c>
      <c r="DR1161" s="4" t="s">
        <v>241</v>
      </c>
      <c r="DS1161" s="4" t="s">
        <v>241</v>
      </c>
      <c r="DV1161" s="4" t="s">
        <v>278</v>
      </c>
      <c r="DW1161" s="4" t="s">
        <v>3057</v>
      </c>
      <c r="HO1161" s="4" t="s">
        <v>267</v>
      </c>
    </row>
    <row r="1162" spans="1:223" ht="19.5" customHeight="1" x14ac:dyDescent="0.4">
      <c r="A1162" s="4">
        <v>1</v>
      </c>
      <c r="B1162" s="4" t="s">
        <v>239</v>
      </c>
      <c r="C1162" s="4">
        <v>2836</v>
      </c>
      <c r="D1162" s="4">
        <v>1</v>
      </c>
      <c r="E1162" s="4">
        <v>1</v>
      </c>
      <c r="F1162" s="4" t="s">
        <v>268</v>
      </c>
      <c r="G1162" s="4" t="s">
        <v>241</v>
      </c>
      <c r="H1162" s="4" t="s">
        <v>241</v>
      </c>
      <c r="I1162" s="4" t="s">
        <v>272</v>
      </c>
      <c r="J1162" s="4" t="s">
        <v>274</v>
      </c>
      <c r="K1162" s="4" t="s">
        <v>251</v>
      </c>
      <c r="L1162" s="4" t="s">
        <v>269</v>
      </c>
      <c r="M1162" s="5" t="s">
        <v>3054</v>
      </c>
      <c r="N1162" s="6">
        <f>2168</f>
        <v>2168</v>
      </c>
      <c r="O1162" s="4" t="s">
        <v>265</v>
      </c>
      <c r="P1162" s="6">
        <f>1</f>
        <v>1</v>
      </c>
      <c r="Q1162" s="6">
        <f>0</f>
        <v>0</v>
      </c>
      <c r="S1162" s="6">
        <f>0</f>
        <v>0</v>
      </c>
      <c r="T1162" s="6">
        <f>1</f>
        <v>1</v>
      </c>
      <c r="U1162" s="5" t="s">
        <v>245</v>
      </c>
      <c r="V1162" s="4" t="s">
        <v>270</v>
      </c>
      <c r="W1162" s="4" t="s">
        <v>271</v>
      </c>
      <c r="X1162" s="4" t="s">
        <v>273</v>
      </c>
      <c r="Y1162" s="4" t="s">
        <v>241</v>
      </c>
      <c r="AB1162" s="4" t="s">
        <v>241</v>
      </c>
      <c r="AD1162" s="5" t="s">
        <v>241</v>
      </c>
      <c r="AG1162" s="5" t="s">
        <v>246</v>
      </c>
      <c r="AH1162" s="4" t="s">
        <v>241</v>
      </c>
      <c r="AI1162" s="4" t="s">
        <v>247</v>
      </c>
      <c r="AJ1162" s="4" t="s">
        <v>248</v>
      </c>
      <c r="AZ1162" s="4" t="s">
        <v>249</v>
      </c>
      <c r="BA1162" s="4" t="s">
        <v>241</v>
      </c>
      <c r="BB1162" s="4" t="s">
        <v>250</v>
      </c>
      <c r="BC1162" s="4" t="s">
        <v>241</v>
      </c>
      <c r="BD1162" s="4" t="s">
        <v>252</v>
      </c>
      <c r="BE1162" s="4" t="s">
        <v>241</v>
      </c>
      <c r="BI1162" s="4" t="s">
        <v>253</v>
      </c>
      <c r="BJ1162" s="5" t="s">
        <v>246</v>
      </c>
      <c r="BK1162" s="4" t="s">
        <v>254</v>
      </c>
      <c r="BL1162" s="4" t="s">
        <v>255</v>
      </c>
      <c r="BM1162" s="4" t="s">
        <v>241</v>
      </c>
      <c r="BN1162" s="6">
        <f>0</f>
        <v>0</v>
      </c>
      <c r="BO1162" s="6">
        <f>0</f>
        <v>0</v>
      </c>
      <c r="BP1162" s="4" t="s">
        <v>256</v>
      </c>
      <c r="BQ1162" s="4" t="s">
        <v>257</v>
      </c>
      <c r="CE1162" s="4" t="s">
        <v>241</v>
      </c>
      <c r="CF1162" s="4" t="s">
        <v>241</v>
      </c>
      <c r="CJ1162" s="4" t="s">
        <v>276</v>
      </c>
      <c r="CK1162" s="4" t="s">
        <v>259</v>
      </c>
      <c r="CL1162" s="4" t="s">
        <v>241</v>
      </c>
      <c r="CO1162" s="5" t="s">
        <v>260</v>
      </c>
      <c r="CP1162" s="4" t="s">
        <v>241</v>
      </c>
      <c r="CQ1162" s="4" t="s">
        <v>261</v>
      </c>
      <c r="CR1162" s="4" t="s">
        <v>241</v>
      </c>
      <c r="CS1162" s="4" t="s">
        <v>241</v>
      </c>
      <c r="CT1162" s="4">
        <v>0</v>
      </c>
      <c r="CU1162" s="4" t="s">
        <v>262</v>
      </c>
      <c r="CV1162" s="4" t="s">
        <v>263</v>
      </c>
      <c r="CW1162" s="4" t="s">
        <v>263</v>
      </c>
      <c r="CX1162" s="4" t="s">
        <v>264</v>
      </c>
      <c r="DA1162" s="6">
        <f>1</f>
        <v>1</v>
      </c>
      <c r="DC1162" s="4" t="s">
        <v>277</v>
      </c>
      <c r="DD1162" s="4" t="s">
        <v>241</v>
      </c>
      <c r="DF1162" s="4" t="s">
        <v>277</v>
      </c>
      <c r="DG1162" s="6">
        <f>2168</f>
        <v>2168</v>
      </c>
      <c r="DI1162" s="4" t="s">
        <v>241</v>
      </c>
      <c r="DJ1162" s="4" t="s">
        <v>241</v>
      </c>
      <c r="DK1162" s="4" t="s">
        <v>241</v>
      </c>
      <c r="DL1162" s="4" t="s">
        <v>241</v>
      </c>
      <c r="DP1162" s="4" t="s">
        <v>241</v>
      </c>
      <c r="DQ1162" s="4" t="s">
        <v>241</v>
      </c>
      <c r="DR1162" s="4" t="s">
        <v>241</v>
      </c>
      <c r="DS1162" s="4" t="s">
        <v>241</v>
      </c>
      <c r="DV1162" s="4" t="s">
        <v>278</v>
      </c>
      <c r="DW1162" s="4" t="s">
        <v>3055</v>
      </c>
      <c r="HO1162" s="4" t="s">
        <v>267</v>
      </c>
    </row>
    <row r="1163" spans="1:223" ht="19.5" customHeight="1" x14ac:dyDescent="0.4">
      <c r="A1163" s="4">
        <v>1</v>
      </c>
      <c r="B1163" s="4" t="s">
        <v>239</v>
      </c>
      <c r="C1163" s="4">
        <v>2837</v>
      </c>
      <c r="D1163" s="4">
        <v>1</v>
      </c>
      <c r="E1163" s="4">
        <v>1</v>
      </c>
      <c r="F1163" s="4" t="s">
        <v>268</v>
      </c>
      <c r="G1163" s="4" t="s">
        <v>241</v>
      </c>
      <c r="H1163" s="4" t="s">
        <v>241</v>
      </c>
      <c r="I1163" s="4" t="s">
        <v>272</v>
      </c>
      <c r="J1163" s="4" t="s">
        <v>274</v>
      </c>
      <c r="K1163" s="4" t="s">
        <v>251</v>
      </c>
      <c r="L1163" s="4" t="s">
        <v>269</v>
      </c>
      <c r="M1163" s="5" t="s">
        <v>3052</v>
      </c>
      <c r="N1163" s="6">
        <f>1823</f>
        <v>1823</v>
      </c>
      <c r="O1163" s="4" t="s">
        <v>265</v>
      </c>
      <c r="P1163" s="6">
        <f>1</f>
        <v>1</v>
      </c>
      <c r="Q1163" s="6">
        <f>0</f>
        <v>0</v>
      </c>
      <c r="S1163" s="6">
        <f>0</f>
        <v>0</v>
      </c>
      <c r="T1163" s="6">
        <f>1</f>
        <v>1</v>
      </c>
      <c r="U1163" s="5" t="s">
        <v>245</v>
      </c>
      <c r="V1163" s="4" t="s">
        <v>270</v>
      </c>
      <c r="W1163" s="4" t="s">
        <v>271</v>
      </c>
      <c r="X1163" s="4" t="s">
        <v>273</v>
      </c>
      <c r="Y1163" s="4" t="s">
        <v>241</v>
      </c>
      <c r="AB1163" s="4" t="s">
        <v>241</v>
      </c>
      <c r="AD1163" s="5" t="s">
        <v>241</v>
      </c>
      <c r="AG1163" s="5" t="s">
        <v>246</v>
      </c>
      <c r="AH1163" s="4" t="s">
        <v>241</v>
      </c>
      <c r="AI1163" s="4" t="s">
        <v>247</v>
      </c>
      <c r="AJ1163" s="4" t="s">
        <v>248</v>
      </c>
      <c r="AZ1163" s="4" t="s">
        <v>249</v>
      </c>
      <c r="BA1163" s="4" t="s">
        <v>241</v>
      </c>
      <c r="BB1163" s="4" t="s">
        <v>250</v>
      </c>
      <c r="BC1163" s="4" t="s">
        <v>241</v>
      </c>
      <c r="BD1163" s="4" t="s">
        <v>252</v>
      </c>
      <c r="BE1163" s="4" t="s">
        <v>241</v>
      </c>
      <c r="BI1163" s="4" t="s">
        <v>253</v>
      </c>
      <c r="BJ1163" s="5" t="s">
        <v>246</v>
      </c>
      <c r="BK1163" s="4" t="s">
        <v>254</v>
      </c>
      <c r="BL1163" s="4" t="s">
        <v>255</v>
      </c>
      <c r="BM1163" s="4" t="s">
        <v>241</v>
      </c>
      <c r="BN1163" s="6">
        <f>0</f>
        <v>0</v>
      </c>
      <c r="BO1163" s="6">
        <f>0</f>
        <v>0</v>
      </c>
      <c r="BP1163" s="4" t="s">
        <v>256</v>
      </c>
      <c r="BQ1163" s="4" t="s">
        <v>257</v>
      </c>
      <c r="CE1163" s="4" t="s">
        <v>241</v>
      </c>
      <c r="CF1163" s="4" t="s">
        <v>241</v>
      </c>
      <c r="CJ1163" s="4" t="s">
        <v>276</v>
      </c>
      <c r="CK1163" s="4" t="s">
        <v>259</v>
      </c>
      <c r="CL1163" s="4" t="s">
        <v>241</v>
      </c>
      <c r="CO1163" s="5" t="s">
        <v>260</v>
      </c>
      <c r="CP1163" s="4" t="s">
        <v>241</v>
      </c>
      <c r="CQ1163" s="4" t="s">
        <v>261</v>
      </c>
      <c r="CR1163" s="4" t="s">
        <v>241</v>
      </c>
      <c r="CS1163" s="4" t="s">
        <v>241</v>
      </c>
      <c r="CT1163" s="4">
        <v>0</v>
      </c>
      <c r="CU1163" s="4" t="s">
        <v>262</v>
      </c>
      <c r="CV1163" s="4" t="s">
        <v>263</v>
      </c>
      <c r="CW1163" s="4" t="s">
        <v>263</v>
      </c>
      <c r="CX1163" s="4" t="s">
        <v>264</v>
      </c>
      <c r="DA1163" s="6">
        <f>1</f>
        <v>1</v>
      </c>
      <c r="DC1163" s="4" t="s">
        <v>277</v>
      </c>
      <c r="DD1163" s="4" t="s">
        <v>241</v>
      </c>
      <c r="DF1163" s="4" t="s">
        <v>277</v>
      </c>
      <c r="DG1163" s="6">
        <f>1823</f>
        <v>1823</v>
      </c>
      <c r="DI1163" s="4" t="s">
        <v>241</v>
      </c>
      <c r="DJ1163" s="4" t="s">
        <v>241</v>
      </c>
      <c r="DK1163" s="4" t="s">
        <v>241</v>
      </c>
      <c r="DL1163" s="4" t="s">
        <v>241</v>
      </c>
      <c r="DP1163" s="4" t="s">
        <v>241</v>
      </c>
      <c r="DQ1163" s="4" t="s">
        <v>241</v>
      </c>
      <c r="DR1163" s="4" t="s">
        <v>241</v>
      </c>
      <c r="DS1163" s="4" t="s">
        <v>241</v>
      </c>
      <c r="DV1163" s="4" t="s">
        <v>278</v>
      </c>
      <c r="DW1163" s="4" t="s">
        <v>3053</v>
      </c>
      <c r="HO1163" s="4" t="s">
        <v>267</v>
      </c>
    </row>
    <row r="1164" spans="1:223" ht="19.5" customHeight="1" x14ac:dyDescent="0.4">
      <c r="A1164" s="4">
        <v>1</v>
      </c>
      <c r="B1164" s="4" t="s">
        <v>239</v>
      </c>
      <c r="C1164" s="4">
        <v>2838</v>
      </c>
      <c r="D1164" s="4">
        <v>1</v>
      </c>
      <c r="E1164" s="4">
        <v>1</v>
      </c>
      <c r="F1164" s="4" t="s">
        <v>268</v>
      </c>
      <c r="G1164" s="4" t="s">
        <v>241</v>
      </c>
      <c r="H1164" s="4" t="s">
        <v>241</v>
      </c>
      <c r="I1164" s="4" t="s">
        <v>272</v>
      </c>
      <c r="J1164" s="4" t="s">
        <v>274</v>
      </c>
      <c r="K1164" s="4" t="s">
        <v>251</v>
      </c>
      <c r="L1164" s="4" t="s">
        <v>269</v>
      </c>
      <c r="M1164" s="5" t="s">
        <v>3050</v>
      </c>
      <c r="N1164" s="6">
        <f>662</f>
        <v>662</v>
      </c>
      <c r="O1164" s="4" t="s">
        <v>265</v>
      </c>
      <c r="P1164" s="6">
        <f>1</f>
        <v>1</v>
      </c>
      <c r="Q1164" s="6">
        <f>0</f>
        <v>0</v>
      </c>
      <c r="S1164" s="6">
        <f>0</f>
        <v>0</v>
      </c>
      <c r="T1164" s="6">
        <f>1</f>
        <v>1</v>
      </c>
      <c r="U1164" s="5" t="s">
        <v>245</v>
      </c>
      <c r="V1164" s="4" t="s">
        <v>270</v>
      </c>
      <c r="W1164" s="4" t="s">
        <v>271</v>
      </c>
      <c r="X1164" s="4" t="s">
        <v>273</v>
      </c>
      <c r="Y1164" s="4" t="s">
        <v>241</v>
      </c>
      <c r="AB1164" s="4" t="s">
        <v>241</v>
      </c>
      <c r="AD1164" s="5" t="s">
        <v>241</v>
      </c>
      <c r="AG1164" s="5" t="s">
        <v>246</v>
      </c>
      <c r="AH1164" s="4" t="s">
        <v>241</v>
      </c>
      <c r="AI1164" s="4" t="s">
        <v>247</v>
      </c>
      <c r="AJ1164" s="4" t="s">
        <v>248</v>
      </c>
      <c r="AZ1164" s="4" t="s">
        <v>249</v>
      </c>
      <c r="BA1164" s="4" t="s">
        <v>241</v>
      </c>
      <c r="BB1164" s="4" t="s">
        <v>250</v>
      </c>
      <c r="BC1164" s="4" t="s">
        <v>241</v>
      </c>
      <c r="BD1164" s="4" t="s">
        <v>252</v>
      </c>
      <c r="BE1164" s="4" t="s">
        <v>241</v>
      </c>
      <c r="BI1164" s="4" t="s">
        <v>253</v>
      </c>
      <c r="BJ1164" s="5" t="s">
        <v>246</v>
      </c>
      <c r="BK1164" s="4" t="s">
        <v>254</v>
      </c>
      <c r="BL1164" s="4" t="s">
        <v>255</v>
      </c>
      <c r="BM1164" s="4" t="s">
        <v>241</v>
      </c>
      <c r="BN1164" s="6">
        <f>0</f>
        <v>0</v>
      </c>
      <c r="BO1164" s="6">
        <f>0</f>
        <v>0</v>
      </c>
      <c r="BP1164" s="4" t="s">
        <v>256</v>
      </c>
      <c r="BQ1164" s="4" t="s">
        <v>257</v>
      </c>
      <c r="CE1164" s="4" t="s">
        <v>241</v>
      </c>
      <c r="CF1164" s="4" t="s">
        <v>241</v>
      </c>
      <c r="CJ1164" s="4" t="s">
        <v>276</v>
      </c>
      <c r="CK1164" s="4" t="s">
        <v>259</v>
      </c>
      <c r="CL1164" s="4" t="s">
        <v>241</v>
      </c>
      <c r="CO1164" s="5" t="s">
        <v>260</v>
      </c>
      <c r="CP1164" s="4" t="s">
        <v>241</v>
      </c>
      <c r="CQ1164" s="4" t="s">
        <v>261</v>
      </c>
      <c r="CR1164" s="4" t="s">
        <v>241</v>
      </c>
      <c r="CS1164" s="4" t="s">
        <v>241</v>
      </c>
      <c r="CT1164" s="4">
        <v>0</v>
      </c>
      <c r="CU1164" s="4" t="s">
        <v>262</v>
      </c>
      <c r="CV1164" s="4" t="s">
        <v>263</v>
      </c>
      <c r="CW1164" s="4" t="s">
        <v>263</v>
      </c>
      <c r="CX1164" s="4" t="s">
        <v>264</v>
      </c>
      <c r="DA1164" s="6">
        <f>1</f>
        <v>1</v>
      </c>
      <c r="DC1164" s="4" t="s">
        <v>277</v>
      </c>
      <c r="DD1164" s="4" t="s">
        <v>241</v>
      </c>
      <c r="DF1164" s="4" t="s">
        <v>277</v>
      </c>
      <c r="DG1164" s="6">
        <f>662</f>
        <v>662</v>
      </c>
      <c r="DI1164" s="4" t="s">
        <v>241</v>
      </c>
      <c r="DJ1164" s="4" t="s">
        <v>241</v>
      </c>
      <c r="DK1164" s="4" t="s">
        <v>241</v>
      </c>
      <c r="DL1164" s="4" t="s">
        <v>241</v>
      </c>
      <c r="DP1164" s="4" t="s">
        <v>241</v>
      </c>
      <c r="DQ1164" s="4" t="s">
        <v>241</v>
      </c>
      <c r="DR1164" s="4" t="s">
        <v>241</v>
      </c>
      <c r="DS1164" s="4" t="s">
        <v>241</v>
      </c>
      <c r="DV1164" s="4" t="s">
        <v>278</v>
      </c>
      <c r="DW1164" s="4" t="s">
        <v>3051</v>
      </c>
      <c r="HO1164" s="4" t="s">
        <v>267</v>
      </c>
    </row>
    <row r="1165" spans="1:223" ht="19.5" customHeight="1" x14ac:dyDescent="0.4">
      <c r="A1165" s="4">
        <v>1</v>
      </c>
      <c r="B1165" s="4" t="s">
        <v>239</v>
      </c>
      <c r="C1165" s="4">
        <v>2839</v>
      </c>
      <c r="D1165" s="4">
        <v>1</v>
      </c>
      <c r="E1165" s="4">
        <v>1</v>
      </c>
      <c r="F1165" s="4" t="s">
        <v>268</v>
      </c>
      <c r="G1165" s="4" t="s">
        <v>241</v>
      </c>
      <c r="H1165" s="4" t="s">
        <v>241</v>
      </c>
      <c r="I1165" s="4" t="s">
        <v>272</v>
      </c>
      <c r="J1165" s="4" t="s">
        <v>274</v>
      </c>
      <c r="K1165" s="4" t="s">
        <v>251</v>
      </c>
      <c r="L1165" s="4" t="s">
        <v>269</v>
      </c>
      <c r="M1165" s="5" t="s">
        <v>3048</v>
      </c>
      <c r="N1165" s="6">
        <f>1664</f>
        <v>1664</v>
      </c>
      <c r="O1165" s="4" t="s">
        <v>265</v>
      </c>
      <c r="P1165" s="6">
        <f>1</f>
        <v>1</v>
      </c>
      <c r="Q1165" s="6">
        <f>0</f>
        <v>0</v>
      </c>
      <c r="S1165" s="6">
        <f>0</f>
        <v>0</v>
      </c>
      <c r="T1165" s="6">
        <f>1</f>
        <v>1</v>
      </c>
      <c r="U1165" s="5" t="s">
        <v>245</v>
      </c>
      <c r="V1165" s="4" t="s">
        <v>270</v>
      </c>
      <c r="W1165" s="4" t="s">
        <v>271</v>
      </c>
      <c r="X1165" s="4" t="s">
        <v>273</v>
      </c>
      <c r="Y1165" s="4" t="s">
        <v>241</v>
      </c>
      <c r="AB1165" s="4" t="s">
        <v>241</v>
      </c>
      <c r="AD1165" s="5" t="s">
        <v>241</v>
      </c>
      <c r="AG1165" s="5" t="s">
        <v>246</v>
      </c>
      <c r="AH1165" s="4" t="s">
        <v>241</v>
      </c>
      <c r="AI1165" s="4" t="s">
        <v>247</v>
      </c>
      <c r="AJ1165" s="4" t="s">
        <v>248</v>
      </c>
      <c r="AZ1165" s="4" t="s">
        <v>249</v>
      </c>
      <c r="BA1165" s="4" t="s">
        <v>241</v>
      </c>
      <c r="BB1165" s="4" t="s">
        <v>250</v>
      </c>
      <c r="BC1165" s="4" t="s">
        <v>241</v>
      </c>
      <c r="BD1165" s="4" t="s">
        <v>252</v>
      </c>
      <c r="BE1165" s="4" t="s">
        <v>241</v>
      </c>
      <c r="BI1165" s="4" t="s">
        <v>253</v>
      </c>
      <c r="BJ1165" s="5" t="s">
        <v>246</v>
      </c>
      <c r="BK1165" s="4" t="s">
        <v>254</v>
      </c>
      <c r="BL1165" s="4" t="s">
        <v>255</v>
      </c>
      <c r="BM1165" s="4" t="s">
        <v>241</v>
      </c>
      <c r="BN1165" s="6">
        <f>0</f>
        <v>0</v>
      </c>
      <c r="BO1165" s="6">
        <f>0</f>
        <v>0</v>
      </c>
      <c r="BP1165" s="4" t="s">
        <v>256</v>
      </c>
      <c r="BQ1165" s="4" t="s">
        <v>257</v>
      </c>
      <c r="CE1165" s="4" t="s">
        <v>241</v>
      </c>
      <c r="CF1165" s="4" t="s">
        <v>241</v>
      </c>
      <c r="CJ1165" s="4" t="s">
        <v>276</v>
      </c>
      <c r="CK1165" s="4" t="s">
        <v>259</v>
      </c>
      <c r="CL1165" s="4" t="s">
        <v>241</v>
      </c>
      <c r="CO1165" s="5" t="s">
        <v>260</v>
      </c>
      <c r="CP1165" s="4" t="s">
        <v>241</v>
      </c>
      <c r="CQ1165" s="4" t="s">
        <v>261</v>
      </c>
      <c r="CR1165" s="4" t="s">
        <v>241</v>
      </c>
      <c r="CS1165" s="4" t="s">
        <v>241</v>
      </c>
      <c r="CT1165" s="4">
        <v>0</v>
      </c>
      <c r="CU1165" s="4" t="s">
        <v>262</v>
      </c>
      <c r="CV1165" s="4" t="s">
        <v>263</v>
      </c>
      <c r="CW1165" s="4" t="s">
        <v>263</v>
      </c>
      <c r="CX1165" s="4" t="s">
        <v>264</v>
      </c>
      <c r="DA1165" s="6">
        <f>1</f>
        <v>1</v>
      </c>
      <c r="DC1165" s="4" t="s">
        <v>277</v>
      </c>
      <c r="DD1165" s="4" t="s">
        <v>241</v>
      </c>
      <c r="DF1165" s="4" t="s">
        <v>277</v>
      </c>
      <c r="DG1165" s="6">
        <f>1664</f>
        <v>1664</v>
      </c>
      <c r="DI1165" s="4" t="s">
        <v>241</v>
      </c>
      <c r="DJ1165" s="4" t="s">
        <v>241</v>
      </c>
      <c r="DK1165" s="4" t="s">
        <v>241</v>
      </c>
      <c r="DL1165" s="4" t="s">
        <v>241</v>
      </c>
      <c r="DP1165" s="4" t="s">
        <v>241</v>
      </c>
      <c r="DQ1165" s="4" t="s">
        <v>241</v>
      </c>
      <c r="DR1165" s="4" t="s">
        <v>241</v>
      </c>
      <c r="DS1165" s="4" t="s">
        <v>241</v>
      </c>
      <c r="DV1165" s="4" t="s">
        <v>278</v>
      </c>
      <c r="DW1165" s="4" t="s">
        <v>3049</v>
      </c>
      <c r="HO1165" s="4" t="s">
        <v>267</v>
      </c>
    </row>
    <row r="1166" spans="1:223" ht="19.5" customHeight="1" x14ac:dyDescent="0.4">
      <c r="A1166" s="4">
        <v>1</v>
      </c>
      <c r="B1166" s="4" t="s">
        <v>239</v>
      </c>
      <c r="C1166" s="4">
        <v>2840</v>
      </c>
      <c r="D1166" s="4">
        <v>1</v>
      </c>
      <c r="E1166" s="4">
        <v>1</v>
      </c>
      <c r="F1166" s="4" t="s">
        <v>268</v>
      </c>
      <c r="G1166" s="4" t="s">
        <v>241</v>
      </c>
      <c r="H1166" s="4" t="s">
        <v>241</v>
      </c>
      <c r="I1166" s="4" t="s">
        <v>272</v>
      </c>
      <c r="J1166" s="4" t="s">
        <v>274</v>
      </c>
      <c r="K1166" s="4" t="s">
        <v>251</v>
      </c>
      <c r="L1166" s="4" t="s">
        <v>269</v>
      </c>
      <c r="M1166" s="5" t="s">
        <v>3046</v>
      </c>
      <c r="N1166" s="6">
        <f>44</f>
        <v>44</v>
      </c>
      <c r="O1166" s="4" t="s">
        <v>265</v>
      </c>
      <c r="P1166" s="6">
        <f>1</f>
        <v>1</v>
      </c>
      <c r="Q1166" s="6">
        <f>0</f>
        <v>0</v>
      </c>
      <c r="S1166" s="6">
        <f>0</f>
        <v>0</v>
      </c>
      <c r="T1166" s="6">
        <f>1</f>
        <v>1</v>
      </c>
      <c r="U1166" s="5" t="s">
        <v>245</v>
      </c>
      <c r="V1166" s="4" t="s">
        <v>270</v>
      </c>
      <c r="W1166" s="4" t="s">
        <v>271</v>
      </c>
      <c r="X1166" s="4" t="s">
        <v>273</v>
      </c>
      <c r="Y1166" s="4" t="s">
        <v>241</v>
      </c>
      <c r="AB1166" s="4" t="s">
        <v>241</v>
      </c>
      <c r="AD1166" s="5" t="s">
        <v>241</v>
      </c>
      <c r="AG1166" s="5" t="s">
        <v>246</v>
      </c>
      <c r="AH1166" s="4" t="s">
        <v>241</v>
      </c>
      <c r="AI1166" s="4" t="s">
        <v>247</v>
      </c>
      <c r="AJ1166" s="4" t="s">
        <v>248</v>
      </c>
      <c r="AZ1166" s="4" t="s">
        <v>249</v>
      </c>
      <c r="BA1166" s="4" t="s">
        <v>241</v>
      </c>
      <c r="BB1166" s="4" t="s">
        <v>250</v>
      </c>
      <c r="BC1166" s="4" t="s">
        <v>241</v>
      </c>
      <c r="BD1166" s="4" t="s">
        <v>252</v>
      </c>
      <c r="BE1166" s="4" t="s">
        <v>241</v>
      </c>
      <c r="BI1166" s="4" t="s">
        <v>253</v>
      </c>
      <c r="BJ1166" s="5" t="s">
        <v>246</v>
      </c>
      <c r="BK1166" s="4" t="s">
        <v>254</v>
      </c>
      <c r="BL1166" s="4" t="s">
        <v>255</v>
      </c>
      <c r="BM1166" s="4" t="s">
        <v>241</v>
      </c>
      <c r="BN1166" s="6">
        <f>0</f>
        <v>0</v>
      </c>
      <c r="BO1166" s="6">
        <f>0</f>
        <v>0</v>
      </c>
      <c r="BP1166" s="4" t="s">
        <v>256</v>
      </c>
      <c r="BQ1166" s="4" t="s">
        <v>257</v>
      </c>
      <c r="CE1166" s="4" t="s">
        <v>241</v>
      </c>
      <c r="CF1166" s="4" t="s">
        <v>241</v>
      </c>
      <c r="CJ1166" s="4" t="s">
        <v>276</v>
      </c>
      <c r="CK1166" s="4" t="s">
        <v>259</v>
      </c>
      <c r="CL1166" s="4" t="s">
        <v>241</v>
      </c>
      <c r="CO1166" s="5" t="s">
        <v>260</v>
      </c>
      <c r="CP1166" s="4" t="s">
        <v>241</v>
      </c>
      <c r="CQ1166" s="4" t="s">
        <v>261</v>
      </c>
      <c r="CR1166" s="4" t="s">
        <v>241</v>
      </c>
      <c r="CS1166" s="4" t="s">
        <v>241</v>
      </c>
      <c r="CT1166" s="4">
        <v>0</v>
      </c>
      <c r="CU1166" s="4" t="s">
        <v>262</v>
      </c>
      <c r="CV1166" s="4" t="s">
        <v>263</v>
      </c>
      <c r="CW1166" s="4" t="s">
        <v>263</v>
      </c>
      <c r="CX1166" s="4" t="s">
        <v>264</v>
      </c>
      <c r="DA1166" s="6">
        <f>1</f>
        <v>1</v>
      </c>
      <c r="DC1166" s="4" t="s">
        <v>277</v>
      </c>
      <c r="DD1166" s="4" t="s">
        <v>241</v>
      </c>
      <c r="DF1166" s="4" t="s">
        <v>277</v>
      </c>
      <c r="DG1166" s="6">
        <f>44</f>
        <v>44</v>
      </c>
      <c r="DI1166" s="4" t="s">
        <v>241</v>
      </c>
      <c r="DJ1166" s="4" t="s">
        <v>241</v>
      </c>
      <c r="DK1166" s="4" t="s">
        <v>241</v>
      </c>
      <c r="DL1166" s="4" t="s">
        <v>241</v>
      </c>
      <c r="DP1166" s="4" t="s">
        <v>241</v>
      </c>
      <c r="DQ1166" s="4" t="s">
        <v>241</v>
      </c>
      <c r="DR1166" s="4" t="s">
        <v>241</v>
      </c>
      <c r="DS1166" s="4" t="s">
        <v>241</v>
      </c>
      <c r="DV1166" s="4" t="s">
        <v>278</v>
      </c>
      <c r="DW1166" s="4" t="s">
        <v>3047</v>
      </c>
      <c r="HO1166" s="4" t="s">
        <v>267</v>
      </c>
    </row>
    <row r="1167" spans="1:223" ht="19.5" customHeight="1" x14ac:dyDescent="0.4">
      <c r="A1167" s="4">
        <v>1</v>
      </c>
      <c r="B1167" s="4" t="s">
        <v>239</v>
      </c>
      <c r="C1167" s="4">
        <v>2841</v>
      </c>
      <c r="D1167" s="4">
        <v>1</v>
      </c>
      <c r="E1167" s="4">
        <v>1</v>
      </c>
      <c r="F1167" s="4" t="s">
        <v>268</v>
      </c>
      <c r="G1167" s="4" t="s">
        <v>241</v>
      </c>
      <c r="H1167" s="4" t="s">
        <v>241</v>
      </c>
      <c r="I1167" s="4" t="s">
        <v>272</v>
      </c>
      <c r="J1167" s="4" t="s">
        <v>274</v>
      </c>
      <c r="K1167" s="4" t="s">
        <v>251</v>
      </c>
      <c r="L1167" s="4" t="s">
        <v>269</v>
      </c>
      <c r="M1167" s="5" t="s">
        <v>3044</v>
      </c>
      <c r="N1167" s="6">
        <f>7407</f>
        <v>7407</v>
      </c>
      <c r="O1167" s="4" t="s">
        <v>265</v>
      </c>
      <c r="P1167" s="6">
        <f>1</f>
        <v>1</v>
      </c>
      <c r="Q1167" s="6">
        <f>0</f>
        <v>0</v>
      </c>
      <c r="S1167" s="6">
        <f>0</f>
        <v>0</v>
      </c>
      <c r="T1167" s="6">
        <f>1</f>
        <v>1</v>
      </c>
      <c r="U1167" s="5" t="s">
        <v>245</v>
      </c>
      <c r="V1167" s="4" t="s">
        <v>270</v>
      </c>
      <c r="W1167" s="4" t="s">
        <v>271</v>
      </c>
      <c r="X1167" s="4" t="s">
        <v>273</v>
      </c>
      <c r="Y1167" s="4" t="s">
        <v>241</v>
      </c>
      <c r="AB1167" s="4" t="s">
        <v>241</v>
      </c>
      <c r="AD1167" s="5" t="s">
        <v>241</v>
      </c>
      <c r="AG1167" s="5" t="s">
        <v>246</v>
      </c>
      <c r="AH1167" s="4" t="s">
        <v>241</v>
      </c>
      <c r="AI1167" s="4" t="s">
        <v>247</v>
      </c>
      <c r="AJ1167" s="4" t="s">
        <v>248</v>
      </c>
      <c r="AZ1167" s="4" t="s">
        <v>249</v>
      </c>
      <c r="BA1167" s="4" t="s">
        <v>241</v>
      </c>
      <c r="BB1167" s="4" t="s">
        <v>250</v>
      </c>
      <c r="BC1167" s="4" t="s">
        <v>241</v>
      </c>
      <c r="BD1167" s="4" t="s">
        <v>252</v>
      </c>
      <c r="BE1167" s="4" t="s">
        <v>241</v>
      </c>
      <c r="BI1167" s="4" t="s">
        <v>253</v>
      </c>
      <c r="BJ1167" s="5" t="s">
        <v>246</v>
      </c>
      <c r="BK1167" s="4" t="s">
        <v>254</v>
      </c>
      <c r="BL1167" s="4" t="s">
        <v>255</v>
      </c>
      <c r="BM1167" s="4" t="s">
        <v>241</v>
      </c>
      <c r="BN1167" s="6">
        <f>0</f>
        <v>0</v>
      </c>
      <c r="BO1167" s="6">
        <f>0</f>
        <v>0</v>
      </c>
      <c r="BP1167" s="4" t="s">
        <v>256</v>
      </c>
      <c r="BQ1167" s="4" t="s">
        <v>257</v>
      </c>
      <c r="CE1167" s="4" t="s">
        <v>241</v>
      </c>
      <c r="CF1167" s="4" t="s">
        <v>241</v>
      </c>
      <c r="CJ1167" s="4" t="s">
        <v>276</v>
      </c>
      <c r="CK1167" s="4" t="s">
        <v>259</v>
      </c>
      <c r="CL1167" s="4" t="s">
        <v>241</v>
      </c>
      <c r="CO1167" s="5" t="s">
        <v>260</v>
      </c>
      <c r="CP1167" s="4" t="s">
        <v>241</v>
      </c>
      <c r="CQ1167" s="4" t="s">
        <v>261</v>
      </c>
      <c r="CR1167" s="4" t="s">
        <v>241</v>
      </c>
      <c r="CS1167" s="4" t="s">
        <v>241</v>
      </c>
      <c r="CT1167" s="4">
        <v>0</v>
      </c>
      <c r="CU1167" s="4" t="s">
        <v>262</v>
      </c>
      <c r="CV1167" s="4" t="s">
        <v>263</v>
      </c>
      <c r="CW1167" s="4" t="s">
        <v>263</v>
      </c>
      <c r="CX1167" s="4" t="s">
        <v>264</v>
      </c>
      <c r="DA1167" s="6">
        <f>1</f>
        <v>1</v>
      </c>
      <c r="DC1167" s="4" t="s">
        <v>277</v>
      </c>
      <c r="DD1167" s="4" t="s">
        <v>241</v>
      </c>
      <c r="DF1167" s="4" t="s">
        <v>277</v>
      </c>
      <c r="DG1167" s="6">
        <f>7407</f>
        <v>7407</v>
      </c>
      <c r="DI1167" s="4" t="s">
        <v>241</v>
      </c>
      <c r="DJ1167" s="4" t="s">
        <v>241</v>
      </c>
      <c r="DK1167" s="4" t="s">
        <v>241</v>
      </c>
      <c r="DL1167" s="4" t="s">
        <v>241</v>
      </c>
      <c r="DP1167" s="4" t="s">
        <v>241</v>
      </c>
      <c r="DQ1167" s="4" t="s">
        <v>241</v>
      </c>
      <c r="DR1167" s="4" t="s">
        <v>241</v>
      </c>
      <c r="DS1167" s="4" t="s">
        <v>241</v>
      </c>
      <c r="DV1167" s="4" t="s">
        <v>278</v>
      </c>
      <c r="DW1167" s="4" t="s">
        <v>3045</v>
      </c>
      <c r="HO1167" s="4" t="s">
        <v>267</v>
      </c>
    </row>
    <row r="1168" spans="1:223" ht="19.5" customHeight="1" x14ac:dyDescent="0.4">
      <c r="A1168" s="4">
        <v>1</v>
      </c>
      <c r="B1168" s="4" t="s">
        <v>239</v>
      </c>
      <c r="C1168" s="4">
        <v>2842</v>
      </c>
      <c r="D1168" s="4">
        <v>1</v>
      </c>
      <c r="E1168" s="4">
        <v>1</v>
      </c>
      <c r="F1168" s="4" t="s">
        <v>268</v>
      </c>
      <c r="G1168" s="4" t="s">
        <v>241</v>
      </c>
      <c r="H1168" s="4" t="s">
        <v>241</v>
      </c>
      <c r="I1168" s="4" t="s">
        <v>272</v>
      </c>
      <c r="J1168" s="4" t="s">
        <v>274</v>
      </c>
      <c r="K1168" s="4" t="s">
        <v>251</v>
      </c>
      <c r="L1168" s="4" t="s">
        <v>269</v>
      </c>
      <c r="M1168" s="5" t="s">
        <v>1022</v>
      </c>
      <c r="N1168" s="6">
        <f>624</f>
        <v>624</v>
      </c>
      <c r="O1168" s="4" t="s">
        <v>265</v>
      </c>
      <c r="P1168" s="6">
        <f>1</f>
        <v>1</v>
      </c>
      <c r="Q1168" s="6">
        <f>0</f>
        <v>0</v>
      </c>
      <c r="S1168" s="6">
        <f>0</f>
        <v>0</v>
      </c>
      <c r="T1168" s="6">
        <f>1</f>
        <v>1</v>
      </c>
      <c r="U1168" s="5" t="s">
        <v>245</v>
      </c>
      <c r="V1168" s="4" t="s">
        <v>270</v>
      </c>
      <c r="W1168" s="4" t="s">
        <v>271</v>
      </c>
      <c r="X1168" s="4" t="s">
        <v>273</v>
      </c>
      <c r="Y1168" s="4" t="s">
        <v>241</v>
      </c>
      <c r="AB1168" s="4" t="s">
        <v>241</v>
      </c>
      <c r="AD1168" s="5" t="s">
        <v>241</v>
      </c>
      <c r="AG1168" s="5" t="s">
        <v>246</v>
      </c>
      <c r="AH1168" s="4" t="s">
        <v>241</v>
      </c>
      <c r="AI1168" s="4" t="s">
        <v>247</v>
      </c>
      <c r="AJ1168" s="4" t="s">
        <v>248</v>
      </c>
      <c r="AZ1168" s="4" t="s">
        <v>249</v>
      </c>
      <c r="BA1168" s="4" t="s">
        <v>241</v>
      </c>
      <c r="BB1168" s="4" t="s">
        <v>250</v>
      </c>
      <c r="BC1168" s="4" t="s">
        <v>241</v>
      </c>
      <c r="BD1168" s="4" t="s">
        <v>252</v>
      </c>
      <c r="BE1168" s="4" t="s">
        <v>241</v>
      </c>
      <c r="BI1168" s="4" t="s">
        <v>253</v>
      </c>
      <c r="BJ1168" s="5" t="s">
        <v>246</v>
      </c>
      <c r="BK1168" s="4" t="s">
        <v>254</v>
      </c>
      <c r="BL1168" s="4" t="s">
        <v>255</v>
      </c>
      <c r="BM1168" s="4" t="s">
        <v>241</v>
      </c>
      <c r="BN1168" s="6">
        <f>0</f>
        <v>0</v>
      </c>
      <c r="BO1168" s="6">
        <f>0</f>
        <v>0</v>
      </c>
      <c r="BP1168" s="4" t="s">
        <v>256</v>
      </c>
      <c r="BQ1168" s="4" t="s">
        <v>257</v>
      </c>
      <c r="CE1168" s="4" t="s">
        <v>241</v>
      </c>
      <c r="CF1168" s="4" t="s">
        <v>241</v>
      </c>
      <c r="CJ1168" s="4" t="s">
        <v>276</v>
      </c>
      <c r="CK1168" s="4" t="s">
        <v>259</v>
      </c>
      <c r="CL1168" s="4" t="s">
        <v>241</v>
      </c>
      <c r="CO1168" s="5" t="s">
        <v>260</v>
      </c>
      <c r="CP1168" s="4" t="s">
        <v>241</v>
      </c>
      <c r="CQ1168" s="4" t="s">
        <v>261</v>
      </c>
      <c r="CR1168" s="4" t="s">
        <v>241</v>
      </c>
      <c r="CS1168" s="4" t="s">
        <v>241</v>
      </c>
      <c r="CT1168" s="4">
        <v>0</v>
      </c>
      <c r="CU1168" s="4" t="s">
        <v>262</v>
      </c>
      <c r="CV1168" s="4" t="s">
        <v>263</v>
      </c>
      <c r="CW1168" s="4" t="s">
        <v>263</v>
      </c>
      <c r="CX1168" s="4" t="s">
        <v>264</v>
      </c>
      <c r="DA1168" s="6">
        <f>1</f>
        <v>1</v>
      </c>
      <c r="DC1168" s="4" t="s">
        <v>277</v>
      </c>
      <c r="DD1168" s="4" t="s">
        <v>241</v>
      </c>
      <c r="DF1168" s="4" t="s">
        <v>277</v>
      </c>
      <c r="DG1168" s="6">
        <f>624</f>
        <v>624</v>
      </c>
      <c r="DI1168" s="4" t="s">
        <v>241</v>
      </c>
      <c r="DJ1168" s="4" t="s">
        <v>241</v>
      </c>
      <c r="DK1168" s="4" t="s">
        <v>241</v>
      </c>
      <c r="DL1168" s="4" t="s">
        <v>241</v>
      </c>
      <c r="DP1168" s="4" t="s">
        <v>241</v>
      </c>
      <c r="DQ1168" s="4" t="s">
        <v>241</v>
      </c>
      <c r="DR1168" s="4" t="s">
        <v>241</v>
      </c>
      <c r="DS1168" s="4" t="s">
        <v>241</v>
      </c>
      <c r="DV1168" s="4" t="s">
        <v>278</v>
      </c>
      <c r="DW1168" s="4" t="s">
        <v>1023</v>
      </c>
      <c r="HO1168" s="4" t="s">
        <v>267</v>
      </c>
    </row>
    <row r="1169" spans="1:223" ht="19.5" customHeight="1" x14ac:dyDescent="0.4">
      <c r="A1169" s="4">
        <v>1</v>
      </c>
      <c r="B1169" s="4" t="s">
        <v>239</v>
      </c>
      <c r="C1169" s="4">
        <v>2843</v>
      </c>
      <c r="D1169" s="4">
        <v>1</v>
      </c>
      <c r="E1169" s="4">
        <v>1</v>
      </c>
      <c r="F1169" s="4" t="s">
        <v>268</v>
      </c>
      <c r="G1169" s="4" t="s">
        <v>241</v>
      </c>
      <c r="H1169" s="4" t="s">
        <v>241</v>
      </c>
      <c r="I1169" s="4" t="s">
        <v>272</v>
      </c>
      <c r="J1169" s="4" t="s">
        <v>274</v>
      </c>
      <c r="K1169" s="4" t="s">
        <v>251</v>
      </c>
      <c r="L1169" s="4" t="s">
        <v>269</v>
      </c>
      <c r="M1169" s="5" t="s">
        <v>3042</v>
      </c>
      <c r="N1169" s="6">
        <f>5587</f>
        <v>5587</v>
      </c>
      <c r="O1169" s="4" t="s">
        <v>265</v>
      </c>
      <c r="P1169" s="6">
        <f>1</f>
        <v>1</v>
      </c>
      <c r="Q1169" s="6">
        <f>0</f>
        <v>0</v>
      </c>
      <c r="S1169" s="6">
        <f>0</f>
        <v>0</v>
      </c>
      <c r="T1169" s="6">
        <f>1</f>
        <v>1</v>
      </c>
      <c r="U1169" s="5" t="s">
        <v>245</v>
      </c>
      <c r="V1169" s="4" t="s">
        <v>270</v>
      </c>
      <c r="W1169" s="4" t="s">
        <v>271</v>
      </c>
      <c r="X1169" s="4" t="s">
        <v>273</v>
      </c>
      <c r="Y1169" s="4" t="s">
        <v>241</v>
      </c>
      <c r="AB1169" s="4" t="s">
        <v>241</v>
      </c>
      <c r="AD1169" s="5" t="s">
        <v>241</v>
      </c>
      <c r="AG1169" s="5" t="s">
        <v>246</v>
      </c>
      <c r="AH1169" s="4" t="s">
        <v>241</v>
      </c>
      <c r="AI1169" s="4" t="s">
        <v>247</v>
      </c>
      <c r="AJ1169" s="4" t="s">
        <v>248</v>
      </c>
      <c r="AZ1169" s="4" t="s">
        <v>249</v>
      </c>
      <c r="BA1169" s="4" t="s">
        <v>241</v>
      </c>
      <c r="BB1169" s="4" t="s">
        <v>250</v>
      </c>
      <c r="BC1169" s="4" t="s">
        <v>241</v>
      </c>
      <c r="BD1169" s="4" t="s">
        <v>252</v>
      </c>
      <c r="BE1169" s="4" t="s">
        <v>241</v>
      </c>
      <c r="BI1169" s="4" t="s">
        <v>253</v>
      </c>
      <c r="BJ1169" s="5" t="s">
        <v>246</v>
      </c>
      <c r="BK1169" s="4" t="s">
        <v>254</v>
      </c>
      <c r="BL1169" s="4" t="s">
        <v>255</v>
      </c>
      <c r="BM1169" s="4" t="s">
        <v>241</v>
      </c>
      <c r="BN1169" s="6">
        <f>0</f>
        <v>0</v>
      </c>
      <c r="BO1169" s="6">
        <f>0</f>
        <v>0</v>
      </c>
      <c r="BP1169" s="4" t="s">
        <v>256</v>
      </c>
      <c r="BQ1169" s="4" t="s">
        <v>257</v>
      </c>
      <c r="CE1169" s="4" t="s">
        <v>241</v>
      </c>
      <c r="CF1169" s="4" t="s">
        <v>241</v>
      </c>
      <c r="CJ1169" s="4" t="s">
        <v>276</v>
      </c>
      <c r="CK1169" s="4" t="s">
        <v>259</v>
      </c>
      <c r="CL1169" s="4" t="s">
        <v>241</v>
      </c>
      <c r="CO1169" s="5" t="s">
        <v>260</v>
      </c>
      <c r="CP1169" s="4" t="s">
        <v>241</v>
      </c>
      <c r="CQ1169" s="4" t="s">
        <v>261</v>
      </c>
      <c r="CR1169" s="4" t="s">
        <v>241</v>
      </c>
      <c r="CS1169" s="4" t="s">
        <v>241</v>
      </c>
      <c r="CT1169" s="4">
        <v>0</v>
      </c>
      <c r="CU1169" s="4" t="s">
        <v>262</v>
      </c>
      <c r="CV1169" s="4" t="s">
        <v>263</v>
      </c>
      <c r="CW1169" s="4" t="s">
        <v>263</v>
      </c>
      <c r="CX1169" s="4" t="s">
        <v>264</v>
      </c>
      <c r="DA1169" s="6">
        <f>1</f>
        <v>1</v>
      </c>
      <c r="DC1169" s="4" t="s">
        <v>277</v>
      </c>
      <c r="DD1169" s="4" t="s">
        <v>241</v>
      </c>
      <c r="DF1169" s="4" t="s">
        <v>277</v>
      </c>
      <c r="DG1169" s="6">
        <f>5587</f>
        <v>5587</v>
      </c>
      <c r="DI1169" s="4" t="s">
        <v>241</v>
      </c>
      <c r="DJ1169" s="4" t="s">
        <v>241</v>
      </c>
      <c r="DK1169" s="4" t="s">
        <v>241</v>
      </c>
      <c r="DL1169" s="4" t="s">
        <v>241</v>
      </c>
      <c r="DP1169" s="4" t="s">
        <v>241</v>
      </c>
      <c r="DQ1169" s="4" t="s">
        <v>241</v>
      </c>
      <c r="DR1169" s="4" t="s">
        <v>241</v>
      </c>
      <c r="DS1169" s="4" t="s">
        <v>241</v>
      </c>
      <c r="DV1169" s="4" t="s">
        <v>278</v>
      </c>
      <c r="DW1169" s="4" t="s">
        <v>3043</v>
      </c>
      <c r="HO1169" s="4" t="s">
        <v>267</v>
      </c>
    </row>
    <row r="1170" spans="1:223" ht="19.5" customHeight="1" x14ac:dyDescent="0.4">
      <c r="A1170" s="4">
        <v>1</v>
      </c>
      <c r="B1170" s="4" t="s">
        <v>239</v>
      </c>
      <c r="C1170" s="4">
        <v>2844</v>
      </c>
      <c r="D1170" s="4">
        <v>1</v>
      </c>
      <c r="E1170" s="4">
        <v>1</v>
      </c>
      <c r="F1170" s="4" t="s">
        <v>268</v>
      </c>
      <c r="G1170" s="4" t="s">
        <v>241</v>
      </c>
      <c r="H1170" s="4" t="s">
        <v>241</v>
      </c>
      <c r="I1170" s="4" t="s">
        <v>272</v>
      </c>
      <c r="J1170" s="4" t="s">
        <v>274</v>
      </c>
      <c r="K1170" s="4" t="s">
        <v>251</v>
      </c>
      <c r="L1170" s="4" t="s">
        <v>269</v>
      </c>
      <c r="M1170" s="5" t="s">
        <v>3040</v>
      </c>
      <c r="N1170" s="6">
        <f>1853</f>
        <v>1853</v>
      </c>
      <c r="O1170" s="4" t="s">
        <v>265</v>
      </c>
      <c r="P1170" s="6">
        <f>1</f>
        <v>1</v>
      </c>
      <c r="Q1170" s="6">
        <f>0</f>
        <v>0</v>
      </c>
      <c r="S1170" s="6">
        <f>0</f>
        <v>0</v>
      </c>
      <c r="T1170" s="6">
        <f>1</f>
        <v>1</v>
      </c>
      <c r="U1170" s="5" t="s">
        <v>245</v>
      </c>
      <c r="V1170" s="4" t="s">
        <v>270</v>
      </c>
      <c r="W1170" s="4" t="s">
        <v>271</v>
      </c>
      <c r="X1170" s="4" t="s">
        <v>273</v>
      </c>
      <c r="Y1170" s="4" t="s">
        <v>241</v>
      </c>
      <c r="AB1170" s="4" t="s">
        <v>241</v>
      </c>
      <c r="AD1170" s="5" t="s">
        <v>241</v>
      </c>
      <c r="AG1170" s="5" t="s">
        <v>246</v>
      </c>
      <c r="AH1170" s="4" t="s">
        <v>241</v>
      </c>
      <c r="AI1170" s="4" t="s">
        <v>247</v>
      </c>
      <c r="AJ1170" s="4" t="s">
        <v>248</v>
      </c>
      <c r="AZ1170" s="4" t="s">
        <v>249</v>
      </c>
      <c r="BA1170" s="4" t="s">
        <v>241</v>
      </c>
      <c r="BB1170" s="4" t="s">
        <v>250</v>
      </c>
      <c r="BC1170" s="4" t="s">
        <v>241</v>
      </c>
      <c r="BD1170" s="4" t="s">
        <v>252</v>
      </c>
      <c r="BE1170" s="4" t="s">
        <v>241</v>
      </c>
      <c r="BI1170" s="4" t="s">
        <v>253</v>
      </c>
      <c r="BJ1170" s="5" t="s">
        <v>246</v>
      </c>
      <c r="BK1170" s="4" t="s">
        <v>254</v>
      </c>
      <c r="BL1170" s="4" t="s">
        <v>255</v>
      </c>
      <c r="BM1170" s="4" t="s">
        <v>241</v>
      </c>
      <c r="BN1170" s="6">
        <f>0</f>
        <v>0</v>
      </c>
      <c r="BO1170" s="6">
        <f>0</f>
        <v>0</v>
      </c>
      <c r="BP1170" s="4" t="s">
        <v>256</v>
      </c>
      <c r="BQ1170" s="4" t="s">
        <v>257</v>
      </c>
      <c r="CE1170" s="4" t="s">
        <v>241</v>
      </c>
      <c r="CF1170" s="4" t="s">
        <v>241</v>
      </c>
      <c r="CJ1170" s="4" t="s">
        <v>276</v>
      </c>
      <c r="CK1170" s="4" t="s">
        <v>259</v>
      </c>
      <c r="CL1170" s="4" t="s">
        <v>241</v>
      </c>
      <c r="CO1170" s="5" t="s">
        <v>260</v>
      </c>
      <c r="CP1170" s="4" t="s">
        <v>241</v>
      </c>
      <c r="CQ1170" s="4" t="s">
        <v>261</v>
      </c>
      <c r="CR1170" s="4" t="s">
        <v>241</v>
      </c>
      <c r="CS1170" s="4" t="s">
        <v>241</v>
      </c>
      <c r="CT1170" s="4">
        <v>0</v>
      </c>
      <c r="CU1170" s="4" t="s">
        <v>262</v>
      </c>
      <c r="CV1170" s="4" t="s">
        <v>263</v>
      </c>
      <c r="CW1170" s="4" t="s">
        <v>263</v>
      </c>
      <c r="CX1170" s="4" t="s">
        <v>264</v>
      </c>
      <c r="DA1170" s="6">
        <f>1</f>
        <v>1</v>
      </c>
      <c r="DC1170" s="4" t="s">
        <v>277</v>
      </c>
      <c r="DD1170" s="4" t="s">
        <v>241</v>
      </c>
      <c r="DF1170" s="4" t="s">
        <v>277</v>
      </c>
      <c r="DG1170" s="6">
        <f>1853</f>
        <v>1853</v>
      </c>
      <c r="DI1170" s="4" t="s">
        <v>241</v>
      </c>
      <c r="DJ1170" s="4" t="s">
        <v>241</v>
      </c>
      <c r="DK1170" s="4" t="s">
        <v>241</v>
      </c>
      <c r="DL1170" s="4" t="s">
        <v>241</v>
      </c>
      <c r="DP1170" s="4" t="s">
        <v>241</v>
      </c>
      <c r="DQ1170" s="4" t="s">
        <v>241</v>
      </c>
      <c r="DR1170" s="4" t="s">
        <v>241</v>
      </c>
      <c r="DS1170" s="4" t="s">
        <v>241</v>
      </c>
      <c r="DV1170" s="4" t="s">
        <v>278</v>
      </c>
      <c r="DW1170" s="4" t="s">
        <v>3041</v>
      </c>
      <c r="HO1170" s="4" t="s">
        <v>267</v>
      </c>
    </row>
    <row r="1171" spans="1:223" ht="19.5" customHeight="1" x14ac:dyDescent="0.4">
      <c r="A1171" s="4">
        <v>1</v>
      </c>
      <c r="B1171" s="4" t="s">
        <v>239</v>
      </c>
      <c r="C1171" s="4">
        <v>2845</v>
      </c>
      <c r="D1171" s="4">
        <v>1</v>
      </c>
      <c r="E1171" s="4">
        <v>1</v>
      </c>
      <c r="F1171" s="4" t="s">
        <v>268</v>
      </c>
      <c r="G1171" s="4" t="s">
        <v>241</v>
      </c>
      <c r="H1171" s="4" t="s">
        <v>241</v>
      </c>
      <c r="I1171" s="4" t="s">
        <v>272</v>
      </c>
      <c r="J1171" s="4" t="s">
        <v>274</v>
      </c>
      <c r="K1171" s="4" t="s">
        <v>251</v>
      </c>
      <c r="L1171" s="4" t="s">
        <v>269</v>
      </c>
      <c r="M1171" s="5" t="s">
        <v>3038</v>
      </c>
      <c r="N1171" s="6">
        <f>1802</f>
        <v>1802</v>
      </c>
      <c r="O1171" s="4" t="s">
        <v>265</v>
      </c>
      <c r="P1171" s="6">
        <f>1</f>
        <v>1</v>
      </c>
      <c r="Q1171" s="6">
        <f>0</f>
        <v>0</v>
      </c>
      <c r="S1171" s="6">
        <f>0</f>
        <v>0</v>
      </c>
      <c r="T1171" s="6">
        <f>1</f>
        <v>1</v>
      </c>
      <c r="U1171" s="5" t="s">
        <v>245</v>
      </c>
      <c r="V1171" s="4" t="s">
        <v>270</v>
      </c>
      <c r="W1171" s="4" t="s">
        <v>271</v>
      </c>
      <c r="X1171" s="4" t="s">
        <v>273</v>
      </c>
      <c r="Y1171" s="4" t="s">
        <v>241</v>
      </c>
      <c r="AB1171" s="4" t="s">
        <v>241</v>
      </c>
      <c r="AD1171" s="5" t="s">
        <v>241</v>
      </c>
      <c r="AG1171" s="5" t="s">
        <v>246</v>
      </c>
      <c r="AH1171" s="4" t="s">
        <v>241</v>
      </c>
      <c r="AI1171" s="4" t="s">
        <v>247</v>
      </c>
      <c r="AJ1171" s="4" t="s">
        <v>248</v>
      </c>
      <c r="AZ1171" s="4" t="s">
        <v>249</v>
      </c>
      <c r="BA1171" s="4" t="s">
        <v>241</v>
      </c>
      <c r="BB1171" s="4" t="s">
        <v>250</v>
      </c>
      <c r="BC1171" s="4" t="s">
        <v>241</v>
      </c>
      <c r="BD1171" s="4" t="s">
        <v>252</v>
      </c>
      <c r="BE1171" s="4" t="s">
        <v>241</v>
      </c>
      <c r="BI1171" s="4" t="s">
        <v>253</v>
      </c>
      <c r="BJ1171" s="5" t="s">
        <v>246</v>
      </c>
      <c r="BK1171" s="4" t="s">
        <v>254</v>
      </c>
      <c r="BL1171" s="4" t="s">
        <v>255</v>
      </c>
      <c r="BM1171" s="4" t="s">
        <v>241</v>
      </c>
      <c r="BN1171" s="6">
        <f>0</f>
        <v>0</v>
      </c>
      <c r="BO1171" s="6">
        <f>0</f>
        <v>0</v>
      </c>
      <c r="BP1171" s="4" t="s">
        <v>256</v>
      </c>
      <c r="BQ1171" s="4" t="s">
        <v>257</v>
      </c>
      <c r="CE1171" s="4" t="s">
        <v>241</v>
      </c>
      <c r="CF1171" s="4" t="s">
        <v>241</v>
      </c>
      <c r="CJ1171" s="4" t="s">
        <v>276</v>
      </c>
      <c r="CK1171" s="4" t="s">
        <v>259</v>
      </c>
      <c r="CL1171" s="4" t="s">
        <v>241</v>
      </c>
      <c r="CO1171" s="5" t="s">
        <v>260</v>
      </c>
      <c r="CP1171" s="4" t="s">
        <v>241</v>
      </c>
      <c r="CQ1171" s="4" t="s">
        <v>261</v>
      </c>
      <c r="CR1171" s="4" t="s">
        <v>241</v>
      </c>
      <c r="CS1171" s="4" t="s">
        <v>241</v>
      </c>
      <c r="CT1171" s="4">
        <v>0</v>
      </c>
      <c r="CU1171" s="4" t="s">
        <v>262</v>
      </c>
      <c r="CV1171" s="4" t="s">
        <v>263</v>
      </c>
      <c r="CW1171" s="4" t="s">
        <v>263</v>
      </c>
      <c r="CX1171" s="4" t="s">
        <v>264</v>
      </c>
      <c r="DA1171" s="6">
        <f>1</f>
        <v>1</v>
      </c>
      <c r="DC1171" s="4" t="s">
        <v>277</v>
      </c>
      <c r="DD1171" s="4" t="s">
        <v>241</v>
      </c>
      <c r="DF1171" s="4" t="s">
        <v>277</v>
      </c>
      <c r="DG1171" s="6">
        <f>1802</f>
        <v>1802</v>
      </c>
      <c r="DI1171" s="4" t="s">
        <v>241</v>
      </c>
      <c r="DJ1171" s="4" t="s">
        <v>241</v>
      </c>
      <c r="DK1171" s="4" t="s">
        <v>241</v>
      </c>
      <c r="DL1171" s="4" t="s">
        <v>241</v>
      </c>
      <c r="DP1171" s="4" t="s">
        <v>241</v>
      </c>
      <c r="DQ1171" s="4" t="s">
        <v>241</v>
      </c>
      <c r="DR1171" s="4" t="s">
        <v>241</v>
      </c>
      <c r="DS1171" s="4" t="s">
        <v>241</v>
      </c>
      <c r="DV1171" s="4" t="s">
        <v>278</v>
      </c>
      <c r="DW1171" s="4" t="s">
        <v>3039</v>
      </c>
      <c r="HO1171" s="4" t="s">
        <v>267</v>
      </c>
    </row>
    <row r="1172" spans="1:223" ht="19.5" customHeight="1" x14ac:dyDescent="0.4">
      <c r="A1172" s="4">
        <v>1</v>
      </c>
      <c r="B1172" s="4" t="s">
        <v>239</v>
      </c>
      <c r="C1172" s="4">
        <v>2846</v>
      </c>
      <c r="D1172" s="4">
        <v>1</v>
      </c>
      <c r="E1172" s="4">
        <v>1</v>
      </c>
      <c r="F1172" s="4" t="s">
        <v>268</v>
      </c>
      <c r="G1172" s="4" t="s">
        <v>241</v>
      </c>
      <c r="H1172" s="4" t="s">
        <v>241</v>
      </c>
      <c r="I1172" s="4" t="s">
        <v>272</v>
      </c>
      <c r="J1172" s="4" t="s">
        <v>274</v>
      </c>
      <c r="K1172" s="4" t="s">
        <v>251</v>
      </c>
      <c r="L1172" s="4" t="s">
        <v>269</v>
      </c>
      <c r="M1172" s="5" t="s">
        <v>3036</v>
      </c>
      <c r="N1172" s="6">
        <f>371</f>
        <v>371</v>
      </c>
      <c r="O1172" s="4" t="s">
        <v>265</v>
      </c>
      <c r="P1172" s="6">
        <f>1</f>
        <v>1</v>
      </c>
      <c r="Q1172" s="6">
        <f>0</f>
        <v>0</v>
      </c>
      <c r="S1172" s="6">
        <f>0</f>
        <v>0</v>
      </c>
      <c r="T1172" s="6">
        <f>1</f>
        <v>1</v>
      </c>
      <c r="U1172" s="5" t="s">
        <v>245</v>
      </c>
      <c r="V1172" s="4" t="s">
        <v>270</v>
      </c>
      <c r="W1172" s="4" t="s">
        <v>271</v>
      </c>
      <c r="X1172" s="4" t="s">
        <v>273</v>
      </c>
      <c r="Y1172" s="4" t="s">
        <v>241</v>
      </c>
      <c r="AB1172" s="4" t="s">
        <v>241</v>
      </c>
      <c r="AD1172" s="5" t="s">
        <v>241</v>
      </c>
      <c r="AG1172" s="5" t="s">
        <v>246</v>
      </c>
      <c r="AH1172" s="4" t="s">
        <v>241</v>
      </c>
      <c r="AI1172" s="4" t="s">
        <v>247</v>
      </c>
      <c r="AJ1172" s="4" t="s">
        <v>248</v>
      </c>
      <c r="AZ1172" s="4" t="s">
        <v>249</v>
      </c>
      <c r="BA1172" s="4" t="s">
        <v>241</v>
      </c>
      <c r="BB1172" s="4" t="s">
        <v>250</v>
      </c>
      <c r="BC1172" s="4" t="s">
        <v>241</v>
      </c>
      <c r="BD1172" s="4" t="s">
        <v>252</v>
      </c>
      <c r="BE1172" s="4" t="s">
        <v>241</v>
      </c>
      <c r="BI1172" s="4" t="s">
        <v>253</v>
      </c>
      <c r="BJ1172" s="5" t="s">
        <v>246</v>
      </c>
      <c r="BK1172" s="4" t="s">
        <v>254</v>
      </c>
      <c r="BL1172" s="4" t="s">
        <v>255</v>
      </c>
      <c r="BM1172" s="4" t="s">
        <v>241</v>
      </c>
      <c r="BN1172" s="6">
        <f>0</f>
        <v>0</v>
      </c>
      <c r="BO1172" s="6">
        <f>0</f>
        <v>0</v>
      </c>
      <c r="BP1172" s="4" t="s">
        <v>256</v>
      </c>
      <c r="BQ1172" s="4" t="s">
        <v>257</v>
      </c>
      <c r="CE1172" s="4" t="s">
        <v>241</v>
      </c>
      <c r="CF1172" s="4" t="s">
        <v>241</v>
      </c>
      <c r="CJ1172" s="4" t="s">
        <v>276</v>
      </c>
      <c r="CK1172" s="4" t="s">
        <v>259</v>
      </c>
      <c r="CL1172" s="4" t="s">
        <v>241</v>
      </c>
      <c r="CO1172" s="5" t="s">
        <v>260</v>
      </c>
      <c r="CP1172" s="4" t="s">
        <v>241</v>
      </c>
      <c r="CQ1172" s="4" t="s">
        <v>261</v>
      </c>
      <c r="CR1172" s="4" t="s">
        <v>241</v>
      </c>
      <c r="CS1172" s="4" t="s">
        <v>241</v>
      </c>
      <c r="CT1172" s="4">
        <v>0</v>
      </c>
      <c r="CU1172" s="4" t="s">
        <v>262</v>
      </c>
      <c r="CV1172" s="4" t="s">
        <v>263</v>
      </c>
      <c r="CW1172" s="4" t="s">
        <v>263</v>
      </c>
      <c r="CX1172" s="4" t="s">
        <v>264</v>
      </c>
      <c r="DA1172" s="6">
        <f>1</f>
        <v>1</v>
      </c>
      <c r="DC1172" s="4" t="s">
        <v>277</v>
      </c>
      <c r="DD1172" s="4" t="s">
        <v>241</v>
      </c>
      <c r="DF1172" s="4" t="s">
        <v>277</v>
      </c>
      <c r="DG1172" s="6">
        <f>371</f>
        <v>371</v>
      </c>
      <c r="DI1172" s="4" t="s">
        <v>241</v>
      </c>
      <c r="DJ1172" s="4" t="s">
        <v>241</v>
      </c>
      <c r="DK1172" s="4" t="s">
        <v>241</v>
      </c>
      <c r="DL1172" s="4" t="s">
        <v>241</v>
      </c>
      <c r="DP1172" s="4" t="s">
        <v>241</v>
      </c>
      <c r="DQ1172" s="4" t="s">
        <v>241</v>
      </c>
      <c r="DR1172" s="4" t="s">
        <v>241</v>
      </c>
      <c r="DS1172" s="4" t="s">
        <v>241</v>
      </c>
      <c r="DV1172" s="4" t="s">
        <v>278</v>
      </c>
      <c r="DW1172" s="4" t="s">
        <v>3037</v>
      </c>
      <c r="HO1172" s="4" t="s">
        <v>267</v>
      </c>
    </row>
    <row r="1173" spans="1:223" ht="19.5" customHeight="1" x14ac:dyDescent="0.4">
      <c r="A1173" s="4">
        <v>1</v>
      </c>
      <c r="B1173" s="4" t="s">
        <v>239</v>
      </c>
      <c r="C1173" s="4">
        <v>2847</v>
      </c>
      <c r="D1173" s="4">
        <v>1</v>
      </c>
      <c r="E1173" s="4">
        <v>1</v>
      </c>
      <c r="F1173" s="4" t="s">
        <v>268</v>
      </c>
      <c r="G1173" s="4" t="s">
        <v>241</v>
      </c>
      <c r="H1173" s="4" t="s">
        <v>241</v>
      </c>
      <c r="I1173" s="4" t="s">
        <v>272</v>
      </c>
      <c r="J1173" s="4" t="s">
        <v>274</v>
      </c>
      <c r="K1173" s="4" t="s">
        <v>251</v>
      </c>
      <c r="L1173" s="4" t="s">
        <v>269</v>
      </c>
      <c r="M1173" s="5" t="s">
        <v>3034</v>
      </c>
      <c r="N1173" s="6">
        <f>2234</f>
        <v>2234</v>
      </c>
      <c r="O1173" s="4" t="s">
        <v>265</v>
      </c>
      <c r="P1173" s="6">
        <f>1</f>
        <v>1</v>
      </c>
      <c r="Q1173" s="6">
        <f>0</f>
        <v>0</v>
      </c>
      <c r="S1173" s="6">
        <f>0</f>
        <v>0</v>
      </c>
      <c r="T1173" s="6">
        <f>1</f>
        <v>1</v>
      </c>
      <c r="U1173" s="5" t="s">
        <v>245</v>
      </c>
      <c r="V1173" s="4" t="s">
        <v>270</v>
      </c>
      <c r="W1173" s="4" t="s">
        <v>271</v>
      </c>
      <c r="X1173" s="4" t="s">
        <v>273</v>
      </c>
      <c r="Y1173" s="4" t="s">
        <v>241</v>
      </c>
      <c r="AB1173" s="4" t="s">
        <v>241</v>
      </c>
      <c r="AD1173" s="5" t="s">
        <v>241</v>
      </c>
      <c r="AG1173" s="5" t="s">
        <v>246</v>
      </c>
      <c r="AH1173" s="4" t="s">
        <v>241</v>
      </c>
      <c r="AI1173" s="4" t="s">
        <v>247</v>
      </c>
      <c r="AJ1173" s="4" t="s">
        <v>248</v>
      </c>
      <c r="AZ1173" s="4" t="s">
        <v>249</v>
      </c>
      <c r="BA1173" s="4" t="s">
        <v>241</v>
      </c>
      <c r="BB1173" s="4" t="s">
        <v>250</v>
      </c>
      <c r="BC1173" s="4" t="s">
        <v>241</v>
      </c>
      <c r="BD1173" s="4" t="s">
        <v>252</v>
      </c>
      <c r="BE1173" s="4" t="s">
        <v>241</v>
      </c>
      <c r="BI1173" s="4" t="s">
        <v>253</v>
      </c>
      <c r="BJ1173" s="5" t="s">
        <v>246</v>
      </c>
      <c r="BK1173" s="4" t="s">
        <v>254</v>
      </c>
      <c r="BL1173" s="4" t="s">
        <v>255</v>
      </c>
      <c r="BM1173" s="4" t="s">
        <v>241</v>
      </c>
      <c r="BN1173" s="6">
        <f>0</f>
        <v>0</v>
      </c>
      <c r="BO1173" s="6">
        <f>0</f>
        <v>0</v>
      </c>
      <c r="BP1173" s="4" t="s">
        <v>256</v>
      </c>
      <c r="BQ1173" s="4" t="s">
        <v>257</v>
      </c>
      <c r="CE1173" s="4" t="s">
        <v>241</v>
      </c>
      <c r="CF1173" s="4" t="s">
        <v>241</v>
      </c>
      <c r="CJ1173" s="4" t="s">
        <v>276</v>
      </c>
      <c r="CK1173" s="4" t="s">
        <v>259</v>
      </c>
      <c r="CL1173" s="4" t="s">
        <v>241</v>
      </c>
      <c r="CO1173" s="5" t="s">
        <v>260</v>
      </c>
      <c r="CP1173" s="4" t="s">
        <v>241</v>
      </c>
      <c r="CQ1173" s="4" t="s">
        <v>261</v>
      </c>
      <c r="CR1173" s="4" t="s">
        <v>241</v>
      </c>
      <c r="CS1173" s="4" t="s">
        <v>241</v>
      </c>
      <c r="CT1173" s="4">
        <v>0</v>
      </c>
      <c r="CU1173" s="4" t="s">
        <v>262</v>
      </c>
      <c r="CV1173" s="4" t="s">
        <v>263</v>
      </c>
      <c r="CW1173" s="4" t="s">
        <v>263</v>
      </c>
      <c r="CX1173" s="4" t="s">
        <v>264</v>
      </c>
      <c r="DA1173" s="6">
        <f>1</f>
        <v>1</v>
      </c>
      <c r="DC1173" s="4" t="s">
        <v>277</v>
      </c>
      <c r="DD1173" s="4" t="s">
        <v>241</v>
      </c>
      <c r="DF1173" s="4" t="s">
        <v>277</v>
      </c>
      <c r="DG1173" s="6">
        <f>2234</f>
        <v>2234</v>
      </c>
      <c r="DI1173" s="4" t="s">
        <v>241</v>
      </c>
      <c r="DJ1173" s="4" t="s">
        <v>241</v>
      </c>
      <c r="DK1173" s="4" t="s">
        <v>241</v>
      </c>
      <c r="DL1173" s="4" t="s">
        <v>241</v>
      </c>
      <c r="DP1173" s="4" t="s">
        <v>241</v>
      </c>
      <c r="DQ1173" s="4" t="s">
        <v>241</v>
      </c>
      <c r="DR1173" s="4" t="s">
        <v>241</v>
      </c>
      <c r="DS1173" s="4" t="s">
        <v>241</v>
      </c>
      <c r="DV1173" s="4" t="s">
        <v>278</v>
      </c>
      <c r="DW1173" s="4" t="s">
        <v>3035</v>
      </c>
      <c r="HO1173" s="4" t="s">
        <v>267</v>
      </c>
    </row>
    <row r="1174" spans="1:223" ht="19.5" customHeight="1" x14ac:dyDescent="0.4">
      <c r="A1174" s="4">
        <v>1</v>
      </c>
      <c r="B1174" s="4" t="s">
        <v>239</v>
      </c>
      <c r="C1174" s="4">
        <v>2848</v>
      </c>
      <c r="D1174" s="4">
        <v>1</v>
      </c>
      <c r="E1174" s="4">
        <v>1</v>
      </c>
      <c r="F1174" s="4" t="s">
        <v>268</v>
      </c>
      <c r="G1174" s="4" t="s">
        <v>241</v>
      </c>
      <c r="H1174" s="4" t="s">
        <v>241</v>
      </c>
      <c r="I1174" s="4" t="s">
        <v>272</v>
      </c>
      <c r="J1174" s="4" t="s">
        <v>274</v>
      </c>
      <c r="K1174" s="4" t="s">
        <v>251</v>
      </c>
      <c r="L1174" s="4" t="s">
        <v>269</v>
      </c>
      <c r="M1174" s="5" t="s">
        <v>3032</v>
      </c>
      <c r="N1174" s="6">
        <f>441</f>
        <v>441</v>
      </c>
      <c r="O1174" s="4" t="s">
        <v>265</v>
      </c>
      <c r="P1174" s="6">
        <f>1</f>
        <v>1</v>
      </c>
      <c r="Q1174" s="6">
        <f>0</f>
        <v>0</v>
      </c>
      <c r="S1174" s="6">
        <f>0</f>
        <v>0</v>
      </c>
      <c r="T1174" s="6">
        <f>1</f>
        <v>1</v>
      </c>
      <c r="U1174" s="5" t="s">
        <v>245</v>
      </c>
      <c r="V1174" s="4" t="s">
        <v>270</v>
      </c>
      <c r="W1174" s="4" t="s">
        <v>271</v>
      </c>
      <c r="X1174" s="4" t="s">
        <v>273</v>
      </c>
      <c r="Y1174" s="4" t="s">
        <v>241</v>
      </c>
      <c r="AB1174" s="4" t="s">
        <v>241</v>
      </c>
      <c r="AD1174" s="5" t="s">
        <v>241</v>
      </c>
      <c r="AG1174" s="5" t="s">
        <v>246</v>
      </c>
      <c r="AH1174" s="4" t="s">
        <v>241</v>
      </c>
      <c r="AI1174" s="4" t="s">
        <v>247</v>
      </c>
      <c r="AJ1174" s="4" t="s">
        <v>248</v>
      </c>
      <c r="AZ1174" s="4" t="s">
        <v>249</v>
      </c>
      <c r="BA1174" s="4" t="s">
        <v>241</v>
      </c>
      <c r="BB1174" s="4" t="s">
        <v>250</v>
      </c>
      <c r="BC1174" s="4" t="s">
        <v>241</v>
      </c>
      <c r="BD1174" s="4" t="s">
        <v>252</v>
      </c>
      <c r="BE1174" s="4" t="s">
        <v>241</v>
      </c>
      <c r="BI1174" s="4" t="s">
        <v>253</v>
      </c>
      <c r="BJ1174" s="5" t="s">
        <v>246</v>
      </c>
      <c r="BK1174" s="4" t="s">
        <v>254</v>
      </c>
      <c r="BL1174" s="4" t="s">
        <v>255</v>
      </c>
      <c r="BM1174" s="4" t="s">
        <v>241</v>
      </c>
      <c r="BN1174" s="6">
        <f>0</f>
        <v>0</v>
      </c>
      <c r="BO1174" s="6">
        <f>0</f>
        <v>0</v>
      </c>
      <c r="BP1174" s="4" t="s">
        <v>256</v>
      </c>
      <c r="BQ1174" s="4" t="s">
        <v>257</v>
      </c>
      <c r="CE1174" s="4" t="s">
        <v>241</v>
      </c>
      <c r="CF1174" s="4" t="s">
        <v>241</v>
      </c>
      <c r="CJ1174" s="4" t="s">
        <v>276</v>
      </c>
      <c r="CK1174" s="4" t="s">
        <v>259</v>
      </c>
      <c r="CL1174" s="4" t="s">
        <v>241</v>
      </c>
      <c r="CO1174" s="5" t="s">
        <v>260</v>
      </c>
      <c r="CP1174" s="4" t="s">
        <v>241</v>
      </c>
      <c r="CQ1174" s="4" t="s">
        <v>261</v>
      </c>
      <c r="CR1174" s="4" t="s">
        <v>241</v>
      </c>
      <c r="CS1174" s="4" t="s">
        <v>241</v>
      </c>
      <c r="CT1174" s="4">
        <v>0</v>
      </c>
      <c r="CU1174" s="4" t="s">
        <v>262</v>
      </c>
      <c r="CV1174" s="4" t="s">
        <v>263</v>
      </c>
      <c r="CW1174" s="4" t="s">
        <v>263</v>
      </c>
      <c r="CX1174" s="4" t="s">
        <v>264</v>
      </c>
      <c r="DA1174" s="6">
        <f>1</f>
        <v>1</v>
      </c>
      <c r="DC1174" s="4" t="s">
        <v>277</v>
      </c>
      <c r="DD1174" s="4" t="s">
        <v>241</v>
      </c>
      <c r="DF1174" s="4" t="s">
        <v>277</v>
      </c>
      <c r="DG1174" s="6">
        <f>441</f>
        <v>441</v>
      </c>
      <c r="DI1174" s="4" t="s">
        <v>241</v>
      </c>
      <c r="DJ1174" s="4" t="s">
        <v>241</v>
      </c>
      <c r="DK1174" s="4" t="s">
        <v>241</v>
      </c>
      <c r="DL1174" s="4" t="s">
        <v>241</v>
      </c>
      <c r="DP1174" s="4" t="s">
        <v>241</v>
      </c>
      <c r="DQ1174" s="4" t="s">
        <v>241</v>
      </c>
      <c r="DR1174" s="4" t="s">
        <v>241</v>
      </c>
      <c r="DS1174" s="4" t="s">
        <v>241</v>
      </c>
      <c r="DV1174" s="4" t="s">
        <v>278</v>
      </c>
      <c r="DW1174" s="4" t="s">
        <v>3033</v>
      </c>
      <c r="HO1174" s="4" t="s">
        <v>267</v>
      </c>
    </row>
    <row r="1175" spans="1:223" ht="19.5" customHeight="1" x14ac:dyDescent="0.4">
      <c r="A1175" s="4">
        <v>1</v>
      </c>
      <c r="B1175" s="4" t="s">
        <v>239</v>
      </c>
      <c r="C1175" s="4">
        <v>2849</v>
      </c>
      <c r="D1175" s="4">
        <v>1</v>
      </c>
      <c r="E1175" s="4">
        <v>1</v>
      </c>
      <c r="F1175" s="4" t="s">
        <v>268</v>
      </c>
      <c r="G1175" s="4" t="s">
        <v>241</v>
      </c>
      <c r="H1175" s="4" t="s">
        <v>241</v>
      </c>
      <c r="I1175" s="4" t="s">
        <v>272</v>
      </c>
      <c r="J1175" s="4" t="s">
        <v>274</v>
      </c>
      <c r="K1175" s="4" t="s">
        <v>251</v>
      </c>
      <c r="L1175" s="4" t="s">
        <v>269</v>
      </c>
      <c r="M1175" s="5" t="s">
        <v>3030</v>
      </c>
      <c r="N1175" s="6">
        <f>1913</f>
        <v>1913</v>
      </c>
      <c r="O1175" s="4" t="s">
        <v>265</v>
      </c>
      <c r="P1175" s="6">
        <f>1</f>
        <v>1</v>
      </c>
      <c r="Q1175" s="6">
        <f>0</f>
        <v>0</v>
      </c>
      <c r="S1175" s="6">
        <f>0</f>
        <v>0</v>
      </c>
      <c r="T1175" s="6">
        <f>1</f>
        <v>1</v>
      </c>
      <c r="U1175" s="5" t="s">
        <v>245</v>
      </c>
      <c r="V1175" s="4" t="s">
        <v>270</v>
      </c>
      <c r="W1175" s="4" t="s">
        <v>271</v>
      </c>
      <c r="X1175" s="4" t="s">
        <v>273</v>
      </c>
      <c r="Y1175" s="4" t="s">
        <v>241</v>
      </c>
      <c r="AB1175" s="4" t="s">
        <v>241</v>
      </c>
      <c r="AD1175" s="5" t="s">
        <v>241</v>
      </c>
      <c r="AG1175" s="5" t="s">
        <v>246</v>
      </c>
      <c r="AH1175" s="4" t="s">
        <v>241</v>
      </c>
      <c r="AI1175" s="4" t="s">
        <v>247</v>
      </c>
      <c r="AJ1175" s="4" t="s">
        <v>248</v>
      </c>
      <c r="AZ1175" s="4" t="s">
        <v>249</v>
      </c>
      <c r="BA1175" s="4" t="s">
        <v>241</v>
      </c>
      <c r="BB1175" s="4" t="s">
        <v>250</v>
      </c>
      <c r="BC1175" s="4" t="s">
        <v>241</v>
      </c>
      <c r="BD1175" s="4" t="s">
        <v>252</v>
      </c>
      <c r="BE1175" s="4" t="s">
        <v>241</v>
      </c>
      <c r="BI1175" s="4" t="s">
        <v>253</v>
      </c>
      <c r="BJ1175" s="5" t="s">
        <v>246</v>
      </c>
      <c r="BK1175" s="4" t="s">
        <v>254</v>
      </c>
      <c r="BL1175" s="4" t="s">
        <v>255</v>
      </c>
      <c r="BM1175" s="4" t="s">
        <v>241</v>
      </c>
      <c r="BN1175" s="6">
        <f>0</f>
        <v>0</v>
      </c>
      <c r="BO1175" s="6">
        <f>0</f>
        <v>0</v>
      </c>
      <c r="BP1175" s="4" t="s">
        <v>256</v>
      </c>
      <c r="BQ1175" s="4" t="s">
        <v>257</v>
      </c>
      <c r="CE1175" s="4" t="s">
        <v>241</v>
      </c>
      <c r="CF1175" s="4" t="s">
        <v>241</v>
      </c>
      <c r="CJ1175" s="4" t="s">
        <v>276</v>
      </c>
      <c r="CK1175" s="4" t="s">
        <v>259</v>
      </c>
      <c r="CL1175" s="4" t="s">
        <v>241</v>
      </c>
      <c r="CO1175" s="5" t="s">
        <v>260</v>
      </c>
      <c r="CP1175" s="4" t="s">
        <v>241</v>
      </c>
      <c r="CQ1175" s="4" t="s">
        <v>261</v>
      </c>
      <c r="CR1175" s="4" t="s">
        <v>241</v>
      </c>
      <c r="CS1175" s="4" t="s">
        <v>241</v>
      </c>
      <c r="CT1175" s="4">
        <v>0</v>
      </c>
      <c r="CU1175" s="4" t="s">
        <v>262</v>
      </c>
      <c r="CV1175" s="4" t="s">
        <v>263</v>
      </c>
      <c r="CW1175" s="4" t="s">
        <v>263</v>
      </c>
      <c r="CX1175" s="4" t="s">
        <v>264</v>
      </c>
      <c r="DA1175" s="6">
        <f>1</f>
        <v>1</v>
      </c>
      <c r="DC1175" s="4" t="s">
        <v>277</v>
      </c>
      <c r="DD1175" s="4" t="s">
        <v>241</v>
      </c>
      <c r="DF1175" s="4" t="s">
        <v>277</v>
      </c>
      <c r="DG1175" s="6">
        <f>1913</f>
        <v>1913</v>
      </c>
      <c r="DI1175" s="4" t="s">
        <v>241</v>
      </c>
      <c r="DJ1175" s="4" t="s">
        <v>241</v>
      </c>
      <c r="DK1175" s="4" t="s">
        <v>241</v>
      </c>
      <c r="DL1175" s="4" t="s">
        <v>241</v>
      </c>
      <c r="DP1175" s="4" t="s">
        <v>241</v>
      </c>
      <c r="DQ1175" s="4" t="s">
        <v>241</v>
      </c>
      <c r="DR1175" s="4" t="s">
        <v>241</v>
      </c>
      <c r="DS1175" s="4" t="s">
        <v>241</v>
      </c>
      <c r="DV1175" s="4" t="s">
        <v>278</v>
      </c>
      <c r="DW1175" s="4" t="s">
        <v>3031</v>
      </c>
      <c r="HO1175" s="4" t="s">
        <v>267</v>
      </c>
    </row>
    <row r="1176" spans="1:223" ht="19.5" customHeight="1" x14ac:dyDescent="0.4">
      <c r="A1176" s="4">
        <v>1</v>
      </c>
      <c r="B1176" s="4" t="s">
        <v>239</v>
      </c>
      <c r="C1176" s="4">
        <v>2850</v>
      </c>
      <c r="D1176" s="4">
        <v>1</v>
      </c>
      <c r="E1176" s="4">
        <v>1</v>
      </c>
      <c r="F1176" s="4" t="s">
        <v>268</v>
      </c>
      <c r="G1176" s="4" t="s">
        <v>241</v>
      </c>
      <c r="H1176" s="4" t="s">
        <v>241</v>
      </c>
      <c r="I1176" s="4" t="s">
        <v>272</v>
      </c>
      <c r="J1176" s="4" t="s">
        <v>274</v>
      </c>
      <c r="K1176" s="4" t="s">
        <v>251</v>
      </c>
      <c r="L1176" s="4" t="s">
        <v>269</v>
      </c>
      <c r="M1176" s="5" t="s">
        <v>3028</v>
      </c>
      <c r="N1176" s="6">
        <f>2955</f>
        <v>2955</v>
      </c>
      <c r="O1176" s="4" t="s">
        <v>265</v>
      </c>
      <c r="P1176" s="6">
        <f>1</f>
        <v>1</v>
      </c>
      <c r="Q1176" s="6">
        <f>0</f>
        <v>0</v>
      </c>
      <c r="S1176" s="6">
        <f>0</f>
        <v>0</v>
      </c>
      <c r="T1176" s="6">
        <f>1</f>
        <v>1</v>
      </c>
      <c r="U1176" s="5" t="s">
        <v>245</v>
      </c>
      <c r="V1176" s="4" t="s">
        <v>270</v>
      </c>
      <c r="W1176" s="4" t="s">
        <v>271</v>
      </c>
      <c r="X1176" s="4" t="s">
        <v>273</v>
      </c>
      <c r="Y1176" s="4" t="s">
        <v>241</v>
      </c>
      <c r="AB1176" s="4" t="s">
        <v>241</v>
      </c>
      <c r="AD1176" s="5" t="s">
        <v>241</v>
      </c>
      <c r="AG1176" s="5" t="s">
        <v>246</v>
      </c>
      <c r="AH1176" s="4" t="s">
        <v>241</v>
      </c>
      <c r="AI1176" s="4" t="s">
        <v>247</v>
      </c>
      <c r="AJ1176" s="4" t="s">
        <v>248</v>
      </c>
      <c r="AZ1176" s="4" t="s">
        <v>249</v>
      </c>
      <c r="BA1176" s="4" t="s">
        <v>241</v>
      </c>
      <c r="BB1176" s="4" t="s">
        <v>250</v>
      </c>
      <c r="BC1176" s="4" t="s">
        <v>241</v>
      </c>
      <c r="BD1176" s="4" t="s">
        <v>252</v>
      </c>
      <c r="BE1176" s="4" t="s">
        <v>241</v>
      </c>
      <c r="BI1176" s="4" t="s">
        <v>253</v>
      </c>
      <c r="BJ1176" s="5" t="s">
        <v>246</v>
      </c>
      <c r="BK1176" s="4" t="s">
        <v>254</v>
      </c>
      <c r="BL1176" s="4" t="s">
        <v>255</v>
      </c>
      <c r="BM1176" s="4" t="s">
        <v>241</v>
      </c>
      <c r="BN1176" s="6">
        <f>0</f>
        <v>0</v>
      </c>
      <c r="BO1176" s="6">
        <f>0</f>
        <v>0</v>
      </c>
      <c r="BP1176" s="4" t="s">
        <v>256</v>
      </c>
      <c r="BQ1176" s="4" t="s">
        <v>257</v>
      </c>
      <c r="CE1176" s="4" t="s">
        <v>241</v>
      </c>
      <c r="CF1176" s="4" t="s">
        <v>241</v>
      </c>
      <c r="CJ1176" s="4" t="s">
        <v>276</v>
      </c>
      <c r="CK1176" s="4" t="s">
        <v>259</v>
      </c>
      <c r="CL1176" s="4" t="s">
        <v>241</v>
      </c>
      <c r="CO1176" s="5" t="s">
        <v>260</v>
      </c>
      <c r="CP1176" s="4" t="s">
        <v>241</v>
      </c>
      <c r="CQ1176" s="4" t="s">
        <v>261</v>
      </c>
      <c r="CR1176" s="4" t="s">
        <v>241</v>
      </c>
      <c r="CS1176" s="4" t="s">
        <v>241</v>
      </c>
      <c r="CT1176" s="4">
        <v>0</v>
      </c>
      <c r="CU1176" s="4" t="s">
        <v>262</v>
      </c>
      <c r="CV1176" s="4" t="s">
        <v>263</v>
      </c>
      <c r="CW1176" s="4" t="s">
        <v>263</v>
      </c>
      <c r="CX1176" s="4" t="s">
        <v>264</v>
      </c>
      <c r="DA1176" s="6">
        <f>1</f>
        <v>1</v>
      </c>
      <c r="DC1176" s="4" t="s">
        <v>277</v>
      </c>
      <c r="DD1176" s="4" t="s">
        <v>241</v>
      </c>
      <c r="DF1176" s="4" t="s">
        <v>277</v>
      </c>
      <c r="DG1176" s="6">
        <f>2955</f>
        <v>2955</v>
      </c>
      <c r="DI1176" s="4" t="s">
        <v>241</v>
      </c>
      <c r="DJ1176" s="4" t="s">
        <v>241</v>
      </c>
      <c r="DK1176" s="4" t="s">
        <v>241</v>
      </c>
      <c r="DL1176" s="4" t="s">
        <v>241</v>
      </c>
      <c r="DP1176" s="4" t="s">
        <v>241</v>
      </c>
      <c r="DQ1176" s="4" t="s">
        <v>241</v>
      </c>
      <c r="DR1176" s="4" t="s">
        <v>241</v>
      </c>
      <c r="DS1176" s="4" t="s">
        <v>241</v>
      </c>
      <c r="DV1176" s="4" t="s">
        <v>278</v>
      </c>
      <c r="DW1176" s="4" t="s">
        <v>3029</v>
      </c>
      <c r="HO1176" s="4" t="s">
        <v>267</v>
      </c>
    </row>
    <row r="1177" spans="1:223" ht="19.5" customHeight="1" x14ac:dyDescent="0.4">
      <c r="A1177" s="4">
        <v>1</v>
      </c>
      <c r="B1177" s="4" t="s">
        <v>239</v>
      </c>
      <c r="C1177" s="4">
        <v>2851</v>
      </c>
      <c r="D1177" s="4">
        <v>1</v>
      </c>
      <c r="E1177" s="4">
        <v>1</v>
      </c>
      <c r="F1177" s="4" t="s">
        <v>268</v>
      </c>
      <c r="G1177" s="4" t="s">
        <v>241</v>
      </c>
      <c r="H1177" s="4" t="s">
        <v>241</v>
      </c>
      <c r="I1177" s="4" t="s">
        <v>272</v>
      </c>
      <c r="J1177" s="4" t="s">
        <v>274</v>
      </c>
      <c r="K1177" s="4" t="s">
        <v>251</v>
      </c>
      <c r="L1177" s="4" t="s">
        <v>269</v>
      </c>
      <c r="M1177" s="5" t="s">
        <v>3026</v>
      </c>
      <c r="N1177" s="6">
        <f>951</f>
        <v>951</v>
      </c>
      <c r="O1177" s="4" t="s">
        <v>265</v>
      </c>
      <c r="P1177" s="6">
        <f>1</f>
        <v>1</v>
      </c>
      <c r="Q1177" s="6">
        <f>0</f>
        <v>0</v>
      </c>
      <c r="S1177" s="6">
        <f>0</f>
        <v>0</v>
      </c>
      <c r="T1177" s="6">
        <f>1</f>
        <v>1</v>
      </c>
      <c r="U1177" s="5" t="s">
        <v>245</v>
      </c>
      <c r="V1177" s="4" t="s">
        <v>270</v>
      </c>
      <c r="W1177" s="4" t="s">
        <v>271</v>
      </c>
      <c r="X1177" s="4" t="s">
        <v>273</v>
      </c>
      <c r="Y1177" s="4" t="s">
        <v>241</v>
      </c>
      <c r="AB1177" s="4" t="s">
        <v>241</v>
      </c>
      <c r="AD1177" s="5" t="s">
        <v>241</v>
      </c>
      <c r="AG1177" s="5" t="s">
        <v>246</v>
      </c>
      <c r="AH1177" s="4" t="s">
        <v>241</v>
      </c>
      <c r="AI1177" s="4" t="s">
        <v>247</v>
      </c>
      <c r="AJ1177" s="4" t="s">
        <v>248</v>
      </c>
      <c r="AZ1177" s="4" t="s">
        <v>249</v>
      </c>
      <c r="BA1177" s="4" t="s">
        <v>241</v>
      </c>
      <c r="BB1177" s="4" t="s">
        <v>250</v>
      </c>
      <c r="BC1177" s="4" t="s">
        <v>241</v>
      </c>
      <c r="BD1177" s="4" t="s">
        <v>252</v>
      </c>
      <c r="BE1177" s="4" t="s">
        <v>241</v>
      </c>
      <c r="BI1177" s="4" t="s">
        <v>253</v>
      </c>
      <c r="BJ1177" s="5" t="s">
        <v>246</v>
      </c>
      <c r="BK1177" s="4" t="s">
        <v>254</v>
      </c>
      <c r="BL1177" s="4" t="s">
        <v>255</v>
      </c>
      <c r="BM1177" s="4" t="s">
        <v>241</v>
      </c>
      <c r="BN1177" s="6">
        <f>0</f>
        <v>0</v>
      </c>
      <c r="BO1177" s="6">
        <f>0</f>
        <v>0</v>
      </c>
      <c r="BP1177" s="4" t="s">
        <v>256</v>
      </c>
      <c r="BQ1177" s="4" t="s">
        <v>257</v>
      </c>
      <c r="CE1177" s="4" t="s">
        <v>241</v>
      </c>
      <c r="CF1177" s="4" t="s">
        <v>241</v>
      </c>
      <c r="CJ1177" s="4" t="s">
        <v>276</v>
      </c>
      <c r="CK1177" s="4" t="s">
        <v>259</v>
      </c>
      <c r="CL1177" s="4" t="s">
        <v>241</v>
      </c>
      <c r="CO1177" s="5" t="s">
        <v>260</v>
      </c>
      <c r="CP1177" s="4" t="s">
        <v>241</v>
      </c>
      <c r="CQ1177" s="4" t="s">
        <v>261</v>
      </c>
      <c r="CR1177" s="4" t="s">
        <v>241</v>
      </c>
      <c r="CS1177" s="4" t="s">
        <v>241</v>
      </c>
      <c r="CT1177" s="4">
        <v>0</v>
      </c>
      <c r="CU1177" s="4" t="s">
        <v>262</v>
      </c>
      <c r="CV1177" s="4" t="s">
        <v>263</v>
      </c>
      <c r="CW1177" s="4" t="s">
        <v>263</v>
      </c>
      <c r="CX1177" s="4" t="s">
        <v>264</v>
      </c>
      <c r="DA1177" s="6">
        <f>1</f>
        <v>1</v>
      </c>
      <c r="DC1177" s="4" t="s">
        <v>277</v>
      </c>
      <c r="DD1177" s="4" t="s">
        <v>241</v>
      </c>
      <c r="DF1177" s="4" t="s">
        <v>277</v>
      </c>
      <c r="DG1177" s="6">
        <f>951</f>
        <v>951</v>
      </c>
      <c r="DI1177" s="4" t="s">
        <v>241</v>
      </c>
      <c r="DJ1177" s="4" t="s">
        <v>241</v>
      </c>
      <c r="DK1177" s="4" t="s">
        <v>241</v>
      </c>
      <c r="DL1177" s="4" t="s">
        <v>241</v>
      </c>
      <c r="DP1177" s="4" t="s">
        <v>241</v>
      </c>
      <c r="DQ1177" s="4" t="s">
        <v>241</v>
      </c>
      <c r="DR1177" s="4" t="s">
        <v>241</v>
      </c>
      <c r="DS1177" s="4" t="s">
        <v>241</v>
      </c>
      <c r="DV1177" s="4" t="s">
        <v>278</v>
      </c>
      <c r="DW1177" s="4" t="s">
        <v>3027</v>
      </c>
      <c r="HO1177" s="4" t="s">
        <v>267</v>
      </c>
    </row>
    <row r="1178" spans="1:223" ht="19.5" customHeight="1" x14ac:dyDescent="0.4">
      <c r="A1178" s="4">
        <v>1</v>
      </c>
      <c r="B1178" s="4" t="s">
        <v>239</v>
      </c>
      <c r="C1178" s="4">
        <v>2852</v>
      </c>
      <c r="D1178" s="4">
        <v>1</v>
      </c>
      <c r="E1178" s="4">
        <v>1</v>
      </c>
      <c r="F1178" s="4" t="s">
        <v>268</v>
      </c>
      <c r="G1178" s="4" t="s">
        <v>241</v>
      </c>
      <c r="H1178" s="4" t="s">
        <v>241</v>
      </c>
      <c r="I1178" s="4" t="s">
        <v>272</v>
      </c>
      <c r="J1178" s="4" t="s">
        <v>274</v>
      </c>
      <c r="K1178" s="4" t="s">
        <v>251</v>
      </c>
      <c r="L1178" s="4" t="s">
        <v>269</v>
      </c>
      <c r="M1178" s="5" t="s">
        <v>2559</v>
      </c>
      <c r="N1178" s="6">
        <f>8746</f>
        <v>8746</v>
      </c>
      <c r="O1178" s="4" t="s">
        <v>265</v>
      </c>
      <c r="P1178" s="6">
        <f>1</f>
        <v>1</v>
      </c>
      <c r="Q1178" s="6">
        <f>0</f>
        <v>0</v>
      </c>
      <c r="S1178" s="6">
        <f>0</f>
        <v>0</v>
      </c>
      <c r="T1178" s="6">
        <f>1</f>
        <v>1</v>
      </c>
      <c r="U1178" s="5" t="s">
        <v>245</v>
      </c>
      <c r="V1178" s="4" t="s">
        <v>270</v>
      </c>
      <c r="W1178" s="4" t="s">
        <v>271</v>
      </c>
      <c r="X1178" s="4" t="s">
        <v>273</v>
      </c>
      <c r="Y1178" s="4" t="s">
        <v>241</v>
      </c>
      <c r="AB1178" s="4" t="s">
        <v>241</v>
      </c>
      <c r="AD1178" s="5" t="s">
        <v>241</v>
      </c>
      <c r="AG1178" s="5" t="s">
        <v>246</v>
      </c>
      <c r="AH1178" s="4" t="s">
        <v>241</v>
      </c>
      <c r="AI1178" s="4" t="s">
        <v>247</v>
      </c>
      <c r="AJ1178" s="4" t="s">
        <v>248</v>
      </c>
      <c r="AZ1178" s="4" t="s">
        <v>249</v>
      </c>
      <c r="BA1178" s="4" t="s">
        <v>241</v>
      </c>
      <c r="BB1178" s="4" t="s">
        <v>250</v>
      </c>
      <c r="BC1178" s="4" t="s">
        <v>241</v>
      </c>
      <c r="BD1178" s="4" t="s">
        <v>252</v>
      </c>
      <c r="BE1178" s="4" t="s">
        <v>241</v>
      </c>
      <c r="BI1178" s="4" t="s">
        <v>253</v>
      </c>
      <c r="BJ1178" s="5" t="s">
        <v>246</v>
      </c>
      <c r="BK1178" s="4" t="s">
        <v>254</v>
      </c>
      <c r="BL1178" s="4" t="s">
        <v>255</v>
      </c>
      <c r="BM1178" s="4" t="s">
        <v>241</v>
      </c>
      <c r="BN1178" s="6">
        <f>0</f>
        <v>0</v>
      </c>
      <c r="BO1178" s="6">
        <f>0</f>
        <v>0</v>
      </c>
      <c r="BP1178" s="4" t="s">
        <v>256</v>
      </c>
      <c r="BQ1178" s="4" t="s">
        <v>257</v>
      </c>
      <c r="CE1178" s="4" t="s">
        <v>241</v>
      </c>
      <c r="CF1178" s="4" t="s">
        <v>241</v>
      </c>
      <c r="CJ1178" s="4" t="s">
        <v>276</v>
      </c>
      <c r="CK1178" s="4" t="s">
        <v>259</v>
      </c>
      <c r="CL1178" s="4" t="s">
        <v>241</v>
      </c>
      <c r="CO1178" s="5" t="s">
        <v>260</v>
      </c>
      <c r="CP1178" s="4" t="s">
        <v>241</v>
      </c>
      <c r="CQ1178" s="4" t="s">
        <v>261</v>
      </c>
      <c r="CR1178" s="4" t="s">
        <v>241</v>
      </c>
      <c r="CS1178" s="4" t="s">
        <v>241</v>
      </c>
      <c r="CT1178" s="4">
        <v>0</v>
      </c>
      <c r="CU1178" s="4" t="s">
        <v>262</v>
      </c>
      <c r="CV1178" s="4" t="s">
        <v>263</v>
      </c>
      <c r="CW1178" s="4" t="s">
        <v>263</v>
      </c>
      <c r="CX1178" s="4" t="s">
        <v>264</v>
      </c>
      <c r="DA1178" s="6">
        <f>1</f>
        <v>1</v>
      </c>
      <c r="DC1178" s="4" t="s">
        <v>277</v>
      </c>
      <c r="DD1178" s="4" t="s">
        <v>241</v>
      </c>
      <c r="DF1178" s="4" t="s">
        <v>277</v>
      </c>
      <c r="DG1178" s="6">
        <f>8746</f>
        <v>8746</v>
      </c>
      <c r="DI1178" s="4" t="s">
        <v>241</v>
      </c>
      <c r="DJ1178" s="4" t="s">
        <v>241</v>
      </c>
      <c r="DK1178" s="4" t="s">
        <v>241</v>
      </c>
      <c r="DL1178" s="4" t="s">
        <v>241</v>
      </c>
      <c r="DP1178" s="4" t="s">
        <v>241</v>
      </c>
      <c r="DQ1178" s="4" t="s">
        <v>241</v>
      </c>
      <c r="DR1178" s="4" t="s">
        <v>241</v>
      </c>
      <c r="DS1178" s="4" t="s">
        <v>241</v>
      </c>
      <c r="DV1178" s="4" t="s">
        <v>278</v>
      </c>
      <c r="DW1178" s="4" t="s">
        <v>2560</v>
      </c>
      <c r="HO1178" s="4" t="s">
        <v>267</v>
      </c>
    </row>
    <row r="1179" spans="1:223" ht="19.5" customHeight="1" x14ac:dyDescent="0.4">
      <c r="A1179" s="4">
        <v>1</v>
      </c>
      <c r="B1179" s="4" t="s">
        <v>239</v>
      </c>
      <c r="C1179" s="4">
        <v>2853</v>
      </c>
      <c r="D1179" s="4">
        <v>1</v>
      </c>
      <c r="E1179" s="4">
        <v>1</v>
      </c>
      <c r="F1179" s="4" t="s">
        <v>268</v>
      </c>
      <c r="G1179" s="4" t="s">
        <v>241</v>
      </c>
      <c r="H1179" s="4" t="s">
        <v>241</v>
      </c>
      <c r="I1179" s="4" t="s">
        <v>272</v>
      </c>
      <c r="J1179" s="4" t="s">
        <v>274</v>
      </c>
      <c r="K1179" s="4" t="s">
        <v>251</v>
      </c>
      <c r="L1179" s="4" t="s">
        <v>269</v>
      </c>
      <c r="M1179" s="5" t="s">
        <v>3024</v>
      </c>
      <c r="N1179" s="6">
        <f>3558</f>
        <v>3558</v>
      </c>
      <c r="O1179" s="4" t="s">
        <v>265</v>
      </c>
      <c r="P1179" s="6">
        <f>1</f>
        <v>1</v>
      </c>
      <c r="Q1179" s="6">
        <f>0</f>
        <v>0</v>
      </c>
      <c r="S1179" s="6">
        <f>0</f>
        <v>0</v>
      </c>
      <c r="T1179" s="6">
        <f>1</f>
        <v>1</v>
      </c>
      <c r="U1179" s="5" t="s">
        <v>245</v>
      </c>
      <c r="V1179" s="4" t="s">
        <v>270</v>
      </c>
      <c r="W1179" s="4" t="s">
        <v>271</v>
      </c>
      <c r="X1179" s="4" t="s">
        <v>273</v>
      </c>
      <c r="Y1179" s="4" t="s">
        <v>241</v>
      </c>
      <c r="AB1179" s="4" t="s">
        <v>241</v>
      </c>
      <c r="AD1179" s="5" t="s">
        <v>241</v>
      </c>
      <c r="AG1179" s="5" t="s">
        <v>246</v>
      </c>
      <c r="AH1179" s="4" t="s">
        <v>241</v>
      </c>
      <c r="AI1179" s="4" t="s">
        <v>247</v>
      </c>
      <c r="AJ1179" s="4" t="s">
        <v>248</v>
      </c>
      <c r="AZ1179" s="4" t="s">
        <v>249</v>
      </c>
      <c r="BA1179" s="4" t="s">
        <v>241</v>
      </c>
      <c r="BB1179" s="4" t="s">
        <v>250</v>
      </c>
      <c r="BC1179" s="4" t="s">
        <v>241</v>
      </c>
      <c r="BD1179" s="4" t="s">
        <v>252</v>
      </c>
      <c r="BE1179" s="4" t="s">
        <v>241</v>
      </c>
      <c r="BI1179" s="4" t="s">
        <v>253</v>
      </c>
      <c r="BJ1179" s="5" t="s">
        <v>246</v>
      </c>
      <c r="BK1179" s="4" t="s">
        <v>254</v>
      </c>
      <c r="BL1179" s="4" t="s">
        <v>255</v>
      </c>
      <c r="BM1179" s="4" t="s">
        <v>241</v>
      </c>
      <c r="BN1179" s="6">
        <f>0</f>
        <v>0</v>
      </c>
      <c r="BO1179" s="6">
        <f>0</f>
        <v>0</v>
      </c>
      <c r="BP1179" s="4" t="s">
        <v>256</v>
      </c>
      <c r="BQ1179" s="4" t="s">
        <v>257</v>
      </c>
      <c r="CE1179" s="4" t="s">
        <v>241</v>
      </c>
      <c r="CF1179" s="4" t="s">
        <v>241</v>
      </c>
      <c r="CJ1179" s="4" t="s">
        <v>276</v>
      </c>
      <c r="CK1179" s="4" t="s">
        <v>259</v>
      </c>
      <c r="CL1179" s="4" t="s">
        <v>241</v>
      </c>
      <c r="CO1179" s="5" t="s">
        <v>260</v>
      </c>
      <c r="CP1179" s="4" t="s">
        <v>241</v>
      </c>
      <c r="CQ1179" s="4" t="s">
        <v>261</v>
      </c>
      <c r="CR1179" s="4" t="s">
        <v>241</v>
      </c>
      <c r="CS1179" s="4" t="s">
        <v>241</v>
      </c>
      <c r="CT1179" s="4">
        <v>0</v>
      </c>
      <c r="CU1179" s="4" t="s">
        <v>262</v>
      </c>
      <c r="CV1179" s="4" t="s">
        <v>263</v>
      </c>
      <c r="CW1179" s="4" t="s">
        <v>263</v>
      </c>
      <c r="CX1179" s="4" t="s">
        <v>264</v>
      </c>
      <c r="DA1179" s="6">
        <f>1</f>
        <v>1</v>
      </c>
      <c r="DC1179" s="4" t="s">
        <v>277</v>
      </c>
      <c r="DD1179" s="4" t="s">
        <v>241</v>
      </c>
      <c r="DF1179" s="4" t="s">
        <v>277</v>
      </c>
      <c r="DG1179" s="6">
        <f>3558</f>
        <v>3558</v>
      </c>
      <c r="DI1179" s="4" t="s">
        <v>241</v>
      </c>
      <c r="DJ1179" s="4" t="s">
        <v>241</v>
      </c>
      <c r="DK1179" s="4" t="s">
        <v>241</v>
      </c>
      <c r="DL1179" s="4" t="s">
        <v>241</v>
      </c>
      <c r="DP1179" s="4" t="s">
        <v>241</v>
      </c>
      <c r="DQ1179" s="4" t="s">
        <v>241</v>
      </c>
      <c r="DR1179" s="4" t="s">
        <v>241</v>
      </c>
      <c r="DS1179" s="4" t="s">
        <v>241</v>
      </c>
      <c r="DV1179" s="4" t="s">
        <v>278</v>
      </c>
      <c r="DW1179" s="4" t="s">
        <v>3025</v>
      </c>
      <c r="HO1179" s="4" t="s">
        <v>267</v>
      </c>
    </row>
    <row r="1180" spans="1:223" ht="19.5" customHeight="1" x14ac:dyDescent="0.4">
      <c r="A1180" s="4">
        <v>1</v>
      </c>
      <c r="B1180" s="4" t="s">
        <v>239</v>
      </c>
      <c r="C1180" s="4">
        <v>2854</v>
      </c>
      <c r="D1180" s="4">
        <v>1</v>
      </c>
      <c r="E1180" s="4">
        <v>1</v>
      </c>
      <c r="F1180" s="4" t="s">
        <v>268</v>
      </c>
      <c r="G1180" s="4" t="s">
        <v>241</v>
      </c>
      <c r="H1180" s="4" t="s">
        <v>241</v>
      </c>
      <c r="I1180" s="4" t="s">
        <v>272</v>
      </c>
      <c r="J1180" s="4" t="s">
        <v>274</v>
      </c>
      <c r="K1180" s="4" t="s">
        <v>251</v>
      </c>
      <c r="L1180" s="4" t="s">
        <v>269</v>
      </c>
      <c r="M1180" s="5" t="s">
        <v>3022</v>
      </c>
      <c r="N1180" s="6">
        <f>2760</f>
        <v>2760</v>
      </c>
      <c r="O1180" s="4" t="s">
        <v>265</v>
      </c>
      <c r="P1180" s="6">
        <f>1</f>
        <v>1</v>
      </c>
      <c r="Q1180" s="6">
        <f>0</f>
        <v>0</v>
      </c>
      <c r="S1180" s="6">
        <f>0</f>
        <v>0</v>
      </c>
      <c r="T1180" s="6">
        <f>1</f>
        <v>1</v>
      </c>
      <c r="U1180" s="5" t="s">
        <v>245</v>
      </c>
      <c r="V1180" s="4" t="s">
        <v>270</v>
      </c>
      <c r="W1180" s="4" t="s">
        <v>271</v>
      </c>
      <c r="X1180" s="4" t="s">
        <v>273</v>
      </c>
      <c r="Y1180" s="4" t="s">
        <v>241</v>
      </c>
      <c r="AB1180" s="4" t="s">
        <v>241</v>
      </c>
      <c r="AD1180" s="5" t="s">
        <v>241</v>
      </c>
      <c r="AG1180" s="5" t="s">
        <v>246</v>
      </c>
      <c r="AH1180" s="4" t="s">
        <v>241</v>
      </c>
      <c r="AI1180" s="4" t="s">
        <v>247</v>
      </c>
      <c r="AJ1180" s="4" t="s">
        <v>248</v>
      </c>
      <c r="AZ1180" s="4" t="s">
        <v>249</v>
      </c>
      <c r="BA1180" s="4" t="s">
        <v>241</v>
      </c>
      <c r="BB1180" s="4" t="s">
        <v>250</v>
      </c>
      <c r="BC1180" s="4" t="s">
        <v>241</v>
      </c>
      <c r="BD1180" s="4" t="s">
        <v>252</v>
      </c>
      <c r="BE1180" s="4" t="s">
        <v>241</v>
      </c>
      <c r="BI1180" s="4" t="s">
        <v>253</v>
      </c>
      <c r="BJ1180" s="5" t="s">
        <v>246</v>
      </c>
      <c r="BK1180" s="4" t="s">
        <v>254</v>
      </c>
      <c r="BL1180" s="4" t="s">
        <v>255</v>
      </c>
      <c r="BM1180" s="4" t="s">
        <v>241</v>
      </c>
      <c r="BN1180" s="6">
        <f>0</f>
        <v>0</v>
      </c>
      <c r="BO1180" s="6">
        <f>0</f>
        <v>0</v>
      </c>
      <c r="BP1180" s="4" t="s">
        <v>256</v>
      </c>
      <c r="BQ1180" s="4" t="s">
        <v>257</v>
      </c>
      <c r="CE1180" s="4" t="s">
        <v>241</v>
      </c>
      <c r="CF1180" s="4" t="s">
        <v>241</v>
      </c>
      <c r="CJ1180" s="4" t="s">
        <v>276</v>
      </c>
      <c r="CK1180" s="4" t="s">
        <v>259</v>
      </c>
      <c r="CL1180" s="4" t="s">
        <v>241</v>
      </c>
      <c r="CO1180" s="5" t="s">
        <v>260</v>
      </c>
      <c r="CP1180" s="4" t="s">
        <v>241</v>
      </c>
      <c r="CQ1180" s="4" t="s">
        <v>261</v>
      </c>
      <c r="CR1180" s="4" t="s">
        <v>241</v>
      </c>
      <c r="CS1180" s="4" t="s">
        <v>241</v>
      </c>
      <c r="CT1180" s="4">
        <v>0</v>
      </c>
      <c r="CU1180" s="4" t="s">
        <v>262</v>
      </c>
      <c r="CV1180" s="4" t="s">
        <v>263</v>
      </c>
      <c r="CW1180" s="4" t="s">
        <v>263</v>
      </c>
      <c r="CX1180" s="4" t="s">
        <v>264</v>
      </c>
      <c r="DA1180" s="6">
        <f>1</f>
        <v>1</v>
      </c>
      <c r="DC1180" s="4" t="s">
        <v>277</v>
      </c>
      <c r="DD1180" s="4" t="s">
        <v>241</v>
      </c>
      <c r="DF1180" s="4" t="s">
        <v>277</v>
      </c>
      <c r="DG1180" s="6">
        <f>2760</f>
        <v>2760</v>
      </c>
      <c r="DI1180" s="4" t="s">
        <v>241</v>
      </c>
      <c r="DJ1180" s="4" t="s">
        <v>241</v>
      </c>
      <c r="DK1180" s="4" t="s">
        <v>241</v>
      </c>
      <c r="DL1180" s="4" t="s">
        <v>241</v>
      </c>
      <c r="DP1180" s="4" t="s">
        <v>241</v>
      </c>
      <c r="DQ1180" s="4" t="s">
        <v>241</v>
      </c>
      <c r="DR1180" s="4" t="s">
        <v>241</v>
      </c>
      <c r="DS1180" s="4" t="s">
        <v>241</v>
      </c>
      <c r="DV1180" s="4" t="s">
        <v>278</v>
      </c>
      <c r="DW1180" s="4" t="s">
        <v>3023</v>
      </c>
      <c r="HO1180" s="4" t="s">
        <v>267</v>
      </c>
    </row>
    <row r="1181" spans="1:223" ht="19.5" customHeight="1" x14ac:dyDescent="0.4">
      <c r="A1181" s="4">
        <v>1</v>
      </c>
      <c r="B1181" s="4" t="s">
        <v>239</v>
      </c>
      <c r="C1181" s="4">
        <v>2855</v>
      </c>
      <c r="D1181" s="4">
        <v>1</v>
      </c>
      <c r="E1181" s="4">
        <v>1</v>
      </c>
      <c r="F1181" s="4" t="s">
        <v>268</v>
      </c>
      <c r="G1181" s="4" t="s">
        <v>241</v>
      </c>
      <c r="H1181" s="4" t="s">
        <v>241</v>
      </c>
      <c r="I1181" s="4" t="s">
        <v>272</v>
      </c>
      <c r="J1181" s="4" t="s">
        <v>274</v>
      </c>
      <c r="K1181" s="4" t="s">
        <v>251</v>
      </c>
      <c r="L1181" s="4" t="s">
        <v>269</v>
      </c>
      <c r="M1181" s="5" t="s">
        <v>3020</v>
      </c>
      <c r="N1181" s="6">
        <f>1812</f>
        <v>1812</v>
      </c>
      <c r="O1181" s="4" t="s">
        <v>265</v>
      </c>
      <c r="P1181" s="6">
        <f>1</f>
        <v>1</v>
      </c>
      <c r="Q1181" s="6">
        <f>0</f>
        <v>0</v>
      </c>
      <c r="S1181" s="6">
        <f>0</f>
        <v>0</v>
      </c>
      <c r="T1181" s="6">
        <f>1</f>
        <v>1</v>
      </c>
      <c r="U1181" s="5" t="s">
        <v>245</v>
      </c>
      <c r="V1181" s="4" t="s">
        <v>270</v>
      </c>
      <c r="W1181" s="4" t="s">
        <v>271</v>
      </c>
      <c r="X1181" s="4" t="s">
        <v>273</v>
      </c>
      <c r="Y1181" s="4" t="s">
        <v>241</v>
      </c>
      <c r="AB1181" s="4" t="s">
        <v>241</v>
      </c>
      <c r="AD1181" s="5" t="s">
        <v>241</v>
      </c>
      <c r="AG1181" s="5" t="s">
        <v>246</v>
      </c>
      <c r="AH1181" s="4" t="s">
        <v>241</v>
      </c>
      <c r="AI1181" s="4" t="s">
        <v>247</v>
      </c>
      <c r="AJ1181" s="4" t="s">
        <v>248</v>
      </c>
      <c r="AZ1181" s="4" t="s">
        <v>249</v>
      </c>
      <c r="BA1181" s="4" t="s">
        <v>241</v>
      </c>
      <c r="BB1181" s="4" t="s">
        <v>250</v>
      </c>
      <c r="BC1181" s="4" t="s">
        <v>241</v>
      </c>
      <c r="BD1181" s="4" t="s">
        <v>252</v>
      </c>
      <c r="BE1181" s="4" t="s">
        <v>241</v>
      </c>
      <c r="BI1181" s="4" t="s">
        <v>253</v>
      </c>
      <c r="BJ1181" s="5" t="s">
        <v>246</v>
      </c>
      <c r="BK1181" s="4" t="s">
        <v>254</v>
      </c>
      <c r="BL1181" s="4" t="s">
        <v>255</v>
      </c>
      <c r="BM1181" s="4" t="s">
        <v>241</v>
      </c>
      <c r="BN1181" s="6">
        <f>0</f>
        <v>0</v>
      </c>
      <c r="BO1181" s="6">
        <f>0</f>
        <v>0</v>
      </c>
      <c r="BP1181" s="4" t="s">
        <v>256</v>
      </c>
      <c r="BQ1181" s="4" t="s">
        <v>257</v>
      </c>
      <c r="CE1181" s="4" t="s">
        <v>241</v>
      </c>
      <c r="CF1181" s="4" t="s">
        <v>241</v>
      </c>
      <c r="CJ1181" s="4" t="s">
        <v>276</v>
      </c>
      <c r="CK1181" s="4" t="s">
        <v>259</v>
      </c>
      <c r="CL1181" s="4" t="s">
        <v>241</v>
      </c>
      <c r="CO1181" s="5" t="s">
        <v>260</v>
      </c>
      <c r="CP1181" s="4" t="s">
        <v>241</v>
      </c>
      <c r="CQ1181" s="4" t="s">
        <v>261</v>
      </c>
      <c r="CR1181" s="4" t="s">
        <v>241</v>
      </c>
      <c r="CS1181" s="4" t="s">
        <v>241</v>
      </c>
      <c r="CT1181" s="4">
        <v>0</v>
      </c>
      <c r="CU1181" s="4" t="s">
        <v>262</v>
      </c>
      <c r="CV1181" s="4" t="s">
        <v>263</v>
      </c>
      <c r="CW1181" s="4" t="s">
        <v>263</v>
      </c>
      <c r="CX1181" s="4" t="s">
        <v>264</v>
      </c>
      <c r="DA1181" s="6">
        <f>1</f>
        <v>1</v>
      </c>
      <c r="DC1181" s="4" t="s">
        <v>277</v>
      </c>
      <c r="DD1181" s="4" t="s">
        <v>241</v>
      </c>
      <c r="DF1181" s="4" t="s">
        <v>277</v>
      </c>
      <c r="DG1181" s="6">
        <f>1812</f>
        <v>1812</v>
      </c>
      <c r="DI1181" s="4" t="s">
        <v>241</v>
      </c>
      <c r="DJ1181" s="4" t="s">
        <v>241</v>
      </c>
      <c r="DK1181" s="4" t="s">
        <v>241</v>
      </c>
      <c r="DL1181" s="4" t="s">
        <v>241</v>
      </c>
      <c r="DP1181" s="4" t="s">
        <v>241</v>
      </c>
      <c r="DQ1181" s="4" t="s">
        <v>241</v>
      </c>
      <c r="DR1181" s="4" t="s">
        <v>241</v>
      </c>
      <c r="DS1181" s="4" t="s">
        <v>241</v>
      </c>
      <c r="DV1181" s="4" t="s">
        <v>278</v>
      </c>
      <c r="DW1181" s="4" t="s">
        <v>3021</v>
      </c>
      <c r="HO1181" s="4" t="s">
        <v>267</v>
      </c>
    </row>
    <row r="1182" spans="1:223" ht="19.5" customHeight="1" x14ac:dyDescent="0.4">
      <c r="A1182" s="4">
        <v>1</v>
      </c>
      <c r="B1182" s="4" t="s">
        <v>239</v>
      </c>
      <c r="C1182" s="4">
        <v>2856</v>
      </c>
      <c r="D1182" s="4">
        <v>1</v>
      </c>
      <c r="E1182" s="4">
        <v>1</v>
      </c>
      <c r="F1182" s="4" t="s">
        <v>268</v>
      </c>
      <c r="G1182" s="4" t="s">
        <v>241</v>
      </c>
      <c r="H1182" s="4" t="s">
        <v>241</v>
      </c>
      <c r="I1182" s="4" t="s">
        <v>272</v>
      </c>
      <c r="J1182" s="4" t="s">
        <v>274</v>
      </c>
      <c r="K1182" s="4" t="s">
        <v>251</v>
      </c>
      <c r="L1182" s="4" t="s">
        <v>269</v>
      </c>
      <c r="M1182" s="5" t="s">
        <v>3018</v>
      </c>
      <c r="N1182" s="6">
        <f>2744</f>
        <v>2744</v>
      </c>
      <c r="O1182" s="4" t="s">
        <v>265</v>
      </c>
      <c r="P1182" s="6">
        <f>1</f>
        <v>1</v>
      </c>
      <c r="Q1182" s="6">
        <f>0</f>
        <v>0</v>
      </c>
      <c r="S1182" s="6">
        <f>0</f>
        <v>0</v>
      </c>
      <c r="T1182" s="6">
        <f>1</f>
        <v>1</v>
      </c>
      <c r="U1182" s="5" t="s">
        <v>245</v>
      </c>
      <c r="V1182" s="4" t="s">
        <v>270</v>
      </c>
      <c r="W1182" s="4" t="s">
        <v>271</v>
      </c>
      <c r="X1182" s="4" t="s">
        <v>273</v>
      </c>
      <c r="Y1182" s="4" t="s">
        <v>241</v>
      </c>
      <c r="AB1182" s="4" t="s">
        <v>241</v>
      </c>
      <c r="AD1182" s="5" t="s">
        <v>241</v>
      </c>
      <c r="AG1182" s="5" t="s">
        <v>246</v>
      </c>
      <c r="AH1182" s="4" t="s">
        <v>241</v>
      </c>
      <c r="AI1182" s="4" t="s">
        <v>247</v>
      </c>
      <c r="AJ1182" s="4" t="s">
        <v>248</v>
      </c>
      <c r="AZ1182" s="4" t="s">
        <v>249</v>
      </c>
      <c r="BA1182" s="4" t="s">
        <v>241</v>
      </c>
      <c r="BB1182" s="4" t="s">
        <v>250</v>
      </c>
      <c r="BC1182" s="4" t="s">
        <v>241</v>
      </c>
      <c r="BD1182" s="4" t="s">
        <v>252</v>
      </c>
      <c r="BE1182" s="4" t="s">
        <v>241</v>
      </c>
      <c r="BI1182" s="4" t="s">
        <v>253</v>
      </c>
      <c r="BJ1182" s="5" t="s">
        <v>246</v>
      </c>
      <c r="BK1182" s="4" t="s">
        <v>254</v>
      </c>
      <c r="BL1182" s="4" t="s">
        <v>255</v>
      </c>
      <c r="BM1182" s="4" t="s">
        <v>241</v>
      </c>
      <c r="BN1182" s="6">
        <f>0</f>
        <v>0</v>
      </c>
      <c r="BO1182" s="6">
        <f>0</f>
        <v>0</v>
      </c>
      <c r="BP1182" s="4" t="s">
        <v>256</v>
      </c>
      <c r="BQ1182" s="4" t="s">
        <v>257</v>
      </c>
      <c r="CE1182" s="4" t="s">
        <v>241</v>
      </c>
      <c r="CF1182" s="4" t="s">
        <v>241</v>
      </c>
      <c r="CJ1182" s="4" t="s">
        <v>276</v>
      </c>
      <c r="CK1182" s="4" t="s">
        <v>259</v>
      </c>
      <c r="CL1182" s="4" t="s">
        <v>241</v>
      </c>
      <c r="CO1182" s="5" t="s">
        <v>260</v>
      </c>
      <c r="CP1182" s="4" t="s">
        <v>241</v>
      </c>
      <c r="CQ1182" s="4" t="s">
        <v>261</v>
      </c>
      <c r="CR1182" s="4" t="s">
        <v>241</v>
      </c>
      <c r="CS1182" s="4" t="s">
        <v>241</v>
      </c>
      <c r="CT1182" s="4">
        <v>0</v>
      </c>
      <c r="CU1182" s="4" t="s">
        <v>262</v>
      </c>
      <c r="CV1182" s="4" t="s">
        <v>263</v>
      </c>
      <c r="CW1182" s="4" t="s">
        <v>263</v>
      </c>
      <c r="CX1182" s="4" t="s">
        <v>264</v>
      </c>
      <c r="DA1182" s="6">
        <f>1</f>
        <v>1</v>
      </c>
      <c r="DC1182" s="4" t="s">
        <v>277</v>
      </c>
      <c r="DD1182" s="4" t="s">
        <v>241</v>
      </c>
      <c r="DF1182" s="4" t="s">
        <v>277</v>
      </c>
      <c r="DG1182" s="6">
        <f>2744</f>
        <v>2744</v>
      </c>
      <c r="DI1182" s="4" t="s">
        <v>241</v>
      </c>
      <c r="DJ1182" s="4" t="s">
        <v>241</v>
      </c>
      <c r="DK1182" s="4" t="s">
        <v>241</v>
      </c>
      <c r="DL1182" s="4" t="s">
        <v>241</v>
      </c>
      <c r="DP1182" s="4" t="s">
        <v>241</v>
      </c>
      <c r="DQ1182" s="4" t="s">
        <v>241</v>
      </c>
      <c r="DR1182" s="4" t="s">
        <v>241</v>
      </c>
      <c r="DS1182" s="4" t="s">
        <v>241</v>
      </c>
      <c r="DV1182" s="4" t="s">
        <v>278</v>
      </c>
      <c r="DW1182" s="4" t="s">
        <v>3019</v>
      </c>
      <c r="HO1182" s="4" t="s">
        <v>267</v>
      </c>
    </row>
    <row r="1183" spans="1:223" ht="19.5" customHeight="1" x14ac:dyDescent="0.4">
      <c r="A1183" s="4">
        <v>1</v>
      </c>
      <c r="B1183" s="4" t="s">
        <v>239</v>
      </c>
      <c r="C1183" s="4">
        <v>2857</v>
      </c>
      <c r="D1183" s="4">
        <v>1</v>
      </c>
      <c r="E1183" s="4">
        <v>1</v>
      </c>
      <c r="F1183" s="4" t="s">
        <v>268</v>
      </c>
      <c r="G1183" s="4" t="s">
        <v>241</v>
      </c>
      <c r="H1183" s="4" t="s">
        <v>241</v>
      </c>
      <c r="I1183" s="4" t="s">
        <v>272</v>
      </c>
      <c r="J1183" s="4" t="s">
        <v>274</v>
      </c>
      <c r="K1183" s="4" t="s">
        <v>251</v>
      </c>
      <c r="L1183" s="4" t="s">
        <v>269</v>
      </c>
      <c r="M1183" s="5" t="s">
        <v>3016</v>
      </c>
      <c r="N1183" s="6">
        <f>2356</f>
        <v>2356</v>
      </c>
      <c r="O1183" s="4" t="s">
        <v>265</v>
      </c>
      <c r="P1183" s="6">
        <f>1</f>
        <v>1</v>
      </c>
      <c r="Q1183" s="6">
        <f>0</f>
        <v>0</v>
      </c>
      <c r="S1183" s="6">
        <f>0</f>
        <v>0</v>
      </c>
      <c r="T1183" s="6">
        <f>1</f>
        <v>1</v>
      </c>
      <c r="U1183" s="5" t="s">
        <v>245</v>
      </c>
      <c r="V1183" s="4" t="s">
        <v>270</v>
      </c>
      <c r="W1183" s="4" t="s">
        <v>271</v>
      </c>
      <c r="X1183" s="4" t="s">
        <v>273</v>
      </c>
      <c r="Y1183" s="4" t="s">
        <v>241</v>
      </c>
      <c r="AB1183" s="4" t="s">
        <v>241</v>
      </c>
      <c r="AD1183" s="5" t="s">
        <v>241</v>
      </c>
      <c r="AG1183" s="5" t="s">
        <v>246</v>
      </c>
      <c r="AH1183" s="4" t="s">
        <v>241</v>
      </c>
      <c r="AI1183" s="4" t="s">
        <v>247</v>
      </c>
      <c r="AJ1183" s="4" t="s">
        <v>248</v>
      </c>
      <c r="AZ1183" s="4" t="s">
        <v>249</v>
      </c>
      <c r="BA1183" s="4" t="s">
        <v>241</v>
      </c>
      <c r="BB1183" s="4" t="s">
        <v>250</v>
      </c>
      <c r="BC1183" s="4" t="s">
        <v>241</v>
      </c>
      <c r="BD1183" s="4" t="s">
        <v>252</v>
      </c>
      <c r="BE1183" s="4" t="s">
        <v>241</v>
      </c>
      <c r="BI1183" s="4" t="s">
        <v>253</v>
      </c>
      <c r="BJ1183" s="5" t="s">
        <v>246</v>
      </c>
      <c r="BK1183" s="4" t="s">
        <v>254</v>
      </c>
      <c r="BL1183" s="4" t="s">
        <v>255</v>
      </c>
      <c r="BM1183" s="4" t="s">
        <v>241</v>
      </c>
      <c r="BN1183" s="6">
        <f>0</f>
        <v>0</v>
      </c>
      <c r="BO1183" s="6">
        <f>0</f>
        <v>0</v>
      </c>
      <c r="BP1183" s="4" t="s">
        <v>256</v>
      </c>
      <c r="BQ1183" s="4" t="s">
        <v>257</v>
      </c>
      <c r="CE1183" s="4" t="s">
        <v>241</v>
      </c>
      <c r="CF1183" s="4" t="s">
        <v>241</v>
      </c>
      <c r="CJ1183" s="4" t="s">
        <v>276</v>
      </c>
      <c r="CK1183" s="4" t="s">
        <v>259</v>
      </c>
      <c r="CL1183" s="4" t="s">
        <v>241</v>
      </c>
      <c r="CO1183" s="5" t="s">
        <v>260</v>
      </c>
      <c r="CP1183" s="4" t="s">
        <v>241</v>
      </c>
      <c r="CQ1183" s="4" t="s">
        <v>261</v>
      </c>
      <c r="CR1183" s="4" t="s">
        <v>241</v>
      </c>
      <c r="CS1183" s="4" t="s">
        <v>241</v>
      </c>
      <c r="CT1183" s="4">
        <v>0</v>
      </c>
      <c r="CU1183" s="4" t="s">
        <v>262</v>
      </c>
      <c r="CV1183" s="4" t="s">
        <v>263</v>
      </c>
      <c r="CW1183" s="4" t="s">
        <v>263</v>
      </c>
      <c r="CX1183" s="4" t="s">
        <v>264</v>
      </c>
      <c r="DA1183" s="6">
        <f>1</f>
        <v>1</v>
      </c>
      <c r="DC1183" s="4" t="s">
        <v>277</v>
      </c>
      <c r="DD1183" s="4" t="s">
        <v>241</v>
      </c>
      <c r="DF1183" s="4" t="s">
        <v>277</v>
      </c>
      <c r="DG1183" s="6">
        <f>2356</f>
        <v>2356</v>
      </c>
      <c r="DI1183" s="4" t="s">
        <v>241</v>
      </c>
      <c r="DJ1183" s="4" t="s">
        <v>241</v>
      </c>
      <c r="DK1183" s="4" t="s">
        <v>241</v>
      </c>
      <c r="DL1183" s="4" t="s">
        <v>241</v>
      </c>
      <c r="DP1183" s="4" t="s">
        <v>241</v>
      </c>
      <c r="DQ1183" s="4" t="s">
        <v>241</v>
      </c>
      <c r="DR1183" s="4" t="s">
        <v>241</v>
      </c>
      <c r="DS1183" s="4" t="s">
        <v>241</v>
      </c>
      <c r="DV1183" s="4" t="s">
        <v>278</v>
      </c>
      <c r="DW1183" s="4" t="s">
        <v>3017</v>
      </c>
      <c r="HO1183" s="4" t="s">
        <v>267</v>
      </c>
    </row>
    <row r="1184" spans="1:223" ht="19.5" customHeight="1" x14ac:dyDescent="0.4">
      <c r="A1184" s="4">
        <v>1</v>
      </c>
      <c r="B1184" s="4" t="s">
        <v>239</v>
      </c>
      <c r="C1184" s="4">
        <v>2858</v>
      </c>
      <c r="D1184" s="4">
        <v>1</v>
      </c>
      <c r="E1184" s="4">
        <v>1</v>
      </c>
      <c r="F1184" s="4" t="s">
        <v>268</v>
      </c>
      <c r="G1184" s="4" t="s">
        <v>241</v>
      </c>
      <c r="H1184" s="4" t="s">
        <v>241</v>
      </c>
      <c r="I1184" s="4" t="s">
        <v>272</v>
      </c>
      <c r="J1184" s="4" t="s">
        <v>274</v>
      </c>
      <c r="K1184" s="4" t="s">
        <v>251</v>
      </c>
      <c r="L1184" s="4" t="s">
        <v>269</v>
      </c>
      <c r="M1184" s="5" t="s">
        <v>3014</v>
      </c>
      <c r="N1184" s="6">
        <f>2508</f>
        <v>2508</v>
      </c>
      <c r="O1184" s="4" t="s">
        <v>265</v>
      </c>
      <c r="P1184" s="6">
        <f>1</f>
        <v>1</v>
      </c>
      <c r="Q1184" s="6">
        <f>0</f>
        <v>0</v>
      </c>
      <c r="S1184" s="6">
        <f>0</f>
        <v>0</v>
      </c>
      <c r="T1184" s="6">
        <f>1</f>
        <v>1</v>
      </c>
      <c r="U1184" s="5" t="s">
        <v>245</v>
      </c>
      <c r="V1184" s="4" t="s">
        <v>270</v>
      </c>
      <c r="W1184" s="4" t="s">
        <v>271</v>
      </c>
      <c r="X1184" s="4" t="s">
        <v>273</v>
      </c>
      <c r="Y1184" s="4" t="s">
        <v>241</v>
      </c>
      <c r="AB1184" s="4" t="s">
        <v>241</v>
      </c>
      <c r="AD1184" s="5" t="s">
        <v>241</v>
      </c>
      <c r="AG1184" s="5" t="s">
        <v>246</v>
      </c>
      <c r="AH1184" s="4" t="s">
        <v>241</v>
      </c>
      <c r="AI1184" s="4" t="s">
        <v>247</v>
      </c>
      <c r="AJ1184" s="4" t="s">
        <v>248</v>
      </c>
      <c r="AZ1184" s="4" t="s">
        <v>249</v>
      </c>
      <c r="BA1184" s="4" t="s">
        <v>241</v>
      </c>
      <c r="BB1184" s="4" t="s">
        <v>250</v>
      </c>
      <c r="BC1184" s="4" t="s">
        <v>241</v>
      </c>
      <c r="BD1184" s="4" t="s">
        <v>252</v>
      </c>
      <c r="BE1184" s="4" t="s">
        <v>241</v>
      </c>
      <c r="BI1184" s="4" t="s">
        <v>253</v>
      </c>
      <c r="BJ1184" s="5" t="s">
        <v>246</v>
      </c>
      <c r="BK1184" s="4" t="s">
        <v>254</v>
      </c>
      <c r="BL1184" s="4" t="s">
        <v>255</v>
      </c>
      <c r="BM1184" s="4" t="s">
        <v>241</v>
      </c>
      <c r="BN1184" s="6">
        <f>0</f>
        <v>0</v>
      </c>
      <c r="BO1184" s="6">
        <f>0</f>
        <v>0</v>
      </c>
      <c r="BP1184" s="4" t="s">
        <v>256</v>
      </c>
      <c r="BQ1184" s="4" t="s">
        <v>257</v>
      </c>
      <c r="CE1184" s="4" t="s">
        <v>241</v>
      </c>
      <c r="CF1184" s="4" t="s">
        <v>241</v>
      </c>
      <c r="CJ1184" s="4" t="s">
        <v>276</v>
      </c>
      <c r="CK1184" s="4" t="s">
        <v>259</v>
      </c>
      <c r="CL1184" s="4" t="s">
        <v>241</v>
      </c>
      <c r="CO1184" s="5" t="s">
        <v>260</v>
      </c>
      <c r="CP1184" s="4" t="s">
        <v>241</v>
      </c>
      <c r="CQ1184" s="4" t="s">
        <v>261</v>
      </c>
      <c r="CR1184" s="4" t="s">
        <v>241</v>
      </c>
      <c r="CS1184" s="4" t="s">
        <v>241</v>
      </c>
      <c r="CT1184" s="4">
        <v>0</v>
      </c>
      <c r="CU1184" s="4" t="s">
        <v>262</v>
      </c>
      <c r="CV1184" s="4" t="s">
        <v>263</v>
      </c>
      <c r="CW1184" s="4" t="s">
        <v>263</v>
      </c>
      <c r="CX1184" s="4" t="s">
        <v>264</v>
      </c>
      <c r="DA1184" s="6">
        <f>1</f>
        <v>1</v>
      </c>
      <c r="DC1184" s="4" t="s">
        <v>277</v>
      </c>
      <c r="DD1184" s="4" t="s">
        <v>241</v>
      </c>
      <c r="DF1184" s="4" t="s">
        <v>277</v>
      </c>
      <c r="DG1184" s="6">
        <f>2508</f>
        <v>2508</v>
      </c>
      <c r="DI1184" s="4" t="s">
        <v>241</v>
      </c>
      <c r="DJ1184" s="4" t="s">
        <v>241</v>
      </c>
      <c r="DK1184" s="4" t="s">
        <v>241</v>
      </c>
      <c r="DL1184" s="4" t="s">
        <v>241</v>
      </c>
      <c r="DP1184" s="4" t="s">
        <v>241</v>
      </c>
      <c r="DQ1184" s="4" t="s">
        <v>241</v>
      </c>
      <c r="DR1184" s="4" t="s">
        <v>241</v>
      </c>
      <c r="DS1184" s="4" t="s">
        <v>241</v>
      </c>
      <c r="DV1184" s="4" t="s">
        <v>278</v>
      </c>
      <c r="DW1184" s="4" t="s">
        <v>3015</v>
      </c>
      <c r="HO1184" s="4" t="s">
        <v>267</v>
      </c>
    </row>
    <row r="1185" spans="1:223" ht="19.5" customHeight="1" x14ac:dyDescent="0.4">
      <c r="A1185" s="4">
        <v>1</v>
      </c>
      <c r="B1185" s="4" t="s">
        <v>239</v>
      </c>
      <c r="C1185" s="4">
        <v>2859</v>
      </c>
      <c r="D1185" s="4">
        <v>1</v>
      </c>
      <c r="E1185" s="4">
        <v>1</v>
      </c>
      <c r="F1185" s="4" t="s">
        <v>268</v>
      </c>
      <c r="G1185" s="4" t="s">
        <v>241</v>
      </c>
      <c r="H1185" s="4" t="s">
        <v>241</v>
      </c>
      <c r="I1185" s="4" t="s">
        <v>272</v>
      </c>
      <c r="J1185" s="4" t="s">
        <v>274</v>
      </c>
      <c r="K1185" s="4" t="s">
        <v>251</v>
      </c>
      <c r="L1185" s="4" t="s">
        <v>269</v>
      </c>
      <c r="M1185" s="5" t="s">
        <v>3012</v>
      </c>
      <c r="N1185" s="6">
        <f>531</f>
        <v>531</v>
      </c>
      <c r="O1185" s="4" t="s">
        <v>265</v>
      </c>
      <c r="P1185" s="6">
        <f>1</f>
        <v>1</v>
      </c>
      <c r="Q1185" s="6">
        <f>0</f>
        <v>0</v>
      </c>
      <c r="S1185" s="6">
        <f>0</f>
        <v>0</v>
      </c>
      <c r="T1185" s="6">
        <f>1</f>
        <v>1</v>
      </c>
      <c r="U1185" s="5" t="s">
        <v>245</v>
      </c>
      <c r="V1185" s="4" t="s">
        <v>270</v>
      </c>
      <c r="W1185" s="4" t="s">
        <v>271</v>
      </c>
      <c r="X1185" s="4" t="s">
        <v>273</v>
      </c>
      <c r="Y1185" s="4" t="s">
        <v>241</v>
      </c>
      <c r="AB1185" s="4" t="s">
        <v>241</v>
      </c>
      <c r="AD1185" s="5" t="s">
        <v>241</v>
      </c>
      <c r="AG1185" s="5" t="s">
        <v>246</v>
      </c>
      <c r="AH1185" s="4" t="s">
        <v>241</v>
      </c>
      <c r="AI1185" s="4" t="s">
        <v>247</v>
      </c>
      <c r="AJ1185" s="4" t="s">
        <v>248</v>
      </c>
      <c r="AZ1185" s="4" t="s">
        <v>249</v>
      </c>
      <c r="BA1185" s="4" t="s">
        <v>241</v>
      </c>
      <c r="BB1185" s="4" t="s">
        <v>250</v>
      </c>
      <c r="BC1185" s="4" t="s">
        <v>241</v>
      </c>
      <c r="BD1185" s="4" t="s">
        <v>252</v>
      </c>
      <c r="BE1185" s="4" t="s">
        <v>241</v>
      </c>
      <c r="BI1185" s="4" t="s">
        <v>253</v>
      </c>
      <c r="BJ1185" s="5" t="s">
        <v>246</v>
      </c>
      <c r="BK1185" s="4" t="s">
        <v>254</v>
      </c>
      <c r="BL1185" s="4" t="s">
        <v>255</v>
      </c>
      <c r="BM1185" s="4" t="s">
        <v>241</v>
      </c>
      <c r="BN1185" s="6">
        <f>0</f>
        <v>0</v>
      </c>
      <c r="BO1185" s="6">
        <f>0</f>
        <v>0</v>
      </c>
      <c r="BP1185" s="4" t="s">
        <v>256</v>
      </c>
      <c r="BQ1185" s="4" t="s">
        <v>257</v>
      </c>
      <c r="CE1185" s="4" t="s">
        <v>241</v>
      </c>
      <c r="CF1185" s="4" t="s">
        <v>241</v>
      </c>
      <c r="CJ1185" s="4" t="s">
        <v>276</v>
      </c>
      <c r="CK1185" s="4" t="s">
        <v>259</v>
      </c>
      <c r="CL1185" s="4" t="s">
        <v>241</v>
      </c>
      <c r="CO1185" s="5" t="s">
        <v>260</v>
      </c>
      <c r="CP1185" s="4" t="s">
        <v>241</v>
      </c>
      <c r="CQ1185" s="4" t="s">
        <v>261</v>
      </c>
      <c r="CR1185" s="4" t="s">
        <v>241</v>
      </c>
      <c r="CS1185" s="4" t="s">
        <v>241</v>
      </c>
      <c r="CT1185" s="4">
        <v>0</v>
      </c>
      <c r="CU1185" s="4" t="s">
        <v>262</v>
      </c>
      <c r="CV1185" s="4" t="s">
        <v>263</v>
      </c>
      <c r="CW1185" s="4" t="s">
        <v>263</v>
      </c>
      <c r="CX1185" s="4" t="s">
        <v>264</v>
      </c>
      <c r="DA1185" s="6">
        <f>1</f>
        <v>1</v>
      </c>
      <c r="DC1185" s="4" t="s">
        <v>277</v>
      </c>
      <c r="DD1185" s="4" t="s">
        <v>241</v>
      </c>
      <c r="DF1185" s="4" t="s">
        <v>277</v>
      </c>
      <c r="DG1185" s="6">
        <f>531</f>
        <v>531</v>
      </c>
      <c r="DI1185" s="4" t="s">
        <v>241</v>
      </c>
      <c r="DJ1185" s="4" t="s">
        <v>241</v>
      </c>
      <c r="DK1185" s="4" t="s">
        <v>241</v>
      </c>
      <c r="DL1185" s="4" t="s">
        <v>241</v>
      </c>
      <c r="DP1185" s="4" t="s">
        <v>241</v>
      </c>
      <c r="DQ1185" s="4" t="s">
        <v>241</v>
      </c>
      <c r="DR1185" s="4" t="s">
        <v>241</v>
      </c>
      <c r="DS1185" s="4" t="s">
        <v>241</v>
      </c>
      <c r="DV1185" s="4" t="s">
        <v>278</v>
      </c>
      <c r="DW1185" s="4" t="s">
        <v>3013</v>
      </c>
      <c r="HO1185" s="4" t="s">
        <v>267</v>
      </c>
    </row>
    <row r="1186" spans="1:223" ht="19.5" customHeight="1" x14ac:dyDescent="0.4">
      <c r="A1186" s="4">
        <v>1</v>
      </c>
      <c r="B1186" s="4" t="s">
        <v>239</v>
      </c>
      <c r="C1186" s="4">
        <v>2860</v>
      </c>
      <c r="D1186" s="4">
        <v>1</v>
      </c>
      <c r="E1186" s="4">
        <v>1</v>
      </c>
      <c r="F1186" s="4" t="s">
        <v>268</v>
      </c>
      <c r="G1186" s="4" t="s">
        <v>241</v>
      </c>
      <c r="H1186" s="4" t="s">
        <v>241</v>
      </c>
      <c r="I1186" s="4" t="s">
        <v>272</v>
      </c>
      <c r="J1186" s="4" t="s">
        <v>274</v>
      </c>
      <c r="K1186" s="4" t="s">
        <v>251</v>
      </c>
      <c r="L1186" s="4" t="s">
        <v>269</v>
      </c>
      <c r="M1186" s="5" t="s">
        <v>3010</v>
      </c>
      <c r="N1186" s="6">
        <f>1961</f>
        <v>1961</v>
      </c>
      <c r="O1186" s="4" t="s">
        <v>265</v>
      </c>
      <c r="P1186" s="6">
        <f>1</f>
        <v>1</v>
      </c>
      <c r="Q1186" s="6">
        <f>0</f>
        <v>0</v>
      </c>
      <c r="S1186" s="6">
        <f>0</f>
        <v>0</v>
      </c>
      <c r="T1186" s="6">
        <f>1</f>
        <v>1</v>
      </c>
      <c r="U1186" s="5" t="s">
        <v>245</v>
      </c>
      <c r="V1186" s="4" t="s">
        <v>270</v>
      </c>
      <c r="W1186" s="4" t="s">
        <v>271</v>
      </c>
      <c r="X1186" s="4" t="s">
        <v>273</v>
      </c>
      <c r="Y1186" s="4" t="s">
        <v>241</v>
      </c>
      <c r="AB1186" s="4" t="s">
        <v>241</v>
      </c>
      <c r="AD1186" s="5" t="s">
        <v>241</v>
      </c>
      <c r="AG1186" s="5" t="s">
        <v>246</v>
      </c>
      <c r="AH1186" s="4" t="s">
        <v>241</v>
      </c>
      <c r="AI1186" s="4" t="s">
        <v>247</v>
      </c>
      <c r="AJ1186" s="4" t="s">
        <v>248</v>
      </c>
      <c r="AZ1186" s="4" t="s">
        <v>249</v>
      </c>
      <c r="BA1186" s="4" t="s">
        <v>241</v>
      </c>
      <c r="BB1186" s="4" t="s">
        <v>250</v>
      </c>
      <c r="BC1186" s="4" t="s">
        <v>241</v>
      </c>
      <c r="BD1186" s="4" t="s">
        <v>252</v>
      </c>
      <c r="BE1186" s="4" t="s">
        <v>241</v>
      </c>
      <c r="BI1186" s="4" t="s">
        <v>253</v>
      </c>
      <c r="BJ1186" s="5" t="s">
        <v>246</v>
      </c>
      <c r="BK1186" s="4" t="s">
        <v>254</v>
      </c>
      <c r="BL1186" s="4" t="s">
        <v>255</v>
      </c>
      <c r="BM1186" s="4" t="s">
        <v>241</v>
      </c>
      <c r="BN1186" s="6">
        <f>0</f>
        <v>0</v>
      </c>
      <c r="BO1186" s="6">
        <f>0</f>
        <v>0</v>
      </c>
      <c r="BP1186" s="4" t="s">
        <v>256</v>
      </c>
      <c r="BQ1186" s="4" t="s">
        <v>257</v>
      </c>
      <c r="CE1186" s="4" t="s">
        <v>241</v>
      </c>
      <c r="CF1186" s="4" t="s">
        <v>241</v>
      </c>
      <c r="CJ1186" s="4" t="s">
        <v>276</v>
      </c>
      <c r="CK1186" s="4" t="s">
        <v>259</v>
      </c>
      <c r="CL1186" s="4" t="s">
        <v>241</v>
      </c>
      <c r="CO1186" s="5" t="s">
        <v>260</v>
      </c>
      <c r="CP1186" s="4" t="s">
        <v>241</v>
      </c>
      <c r="CQ1186" s="4" t="s">
        <v>261</v>
      </c>
      <c r="CR1186" s="4" t="s">
        <v>241</v>
      </c>
      <c r="CS1186" s="4" t="s">
        <v>241</v>
      </c>
      <c r="CT1186" s="4">
        <v>0</v>
      </c>
      <c r="CU1186" s="4" t="s">
        <v>262</v>
      </c>
      <c r="CV1186" s="4" t="s">
        <v>263</v>
      </c>
      <c r="CW1186" s="4" t="s">
        <v>263</v>
      </c>
      <c r="CX1186" s="4" t="s">
        <v>264</v>
      </c>
      <c r="DA1186" s="6">
        <f>1</f>
        <v>1</v>
      </c>
      <c r="DC1186" s="4" t="s">
        <v>277</v>
      </c>
      <c r="DD1186" s="4" t="s">
        <v>241</v>
      </c>
      <c r="DF1186" s="4" t="s">
        <v>277</v>
      </c>
      <c r="DG1186" s="6">
        <f>1961</f>
        <v>1961</v>
      </c>
      <c r="DI1186" s="4" t="s">
        <v>241</v>
      </c>
      <c r="DJ1186" s="4" t="s">
        <v>241</v>
      </c>
      <c r="DK1186" s="4" t="s">
        <v>241</v>
      </c>
      <c r="DL1186" s="4" t="s">
        <v>241</v>
      </c>
      <c r="DP1186" s="4" t="s">
        <v>241</v>
      </c>
      <c r="DQ1186" s="4" t="s">
        <v>241</v>
      </c>
      <c r="DR1186" s="4" t="s">
        <v>241</v>
      </c>
      <c r="DS1186" s="4" t="s">
        <v>241</v>
      </c>
      <c r="DV1186" s="4" t="s">
        <v>278</v>
      </c>
      <c r="DW1186" s="4" t="s">
        <v>3011</v>
      </c>
      <c r="HO1186" s="4" t="s">
        <v>267</v>
      </c>
    </row>
    <row r="1187" spans="1:223" ht="19.5" customHeight="1" x14ac:dyDescent="0.4">
      <c r="A1187" s="4">
        <v>1</v>
      </c>
      <c r="B1187" s="4" t="s">
        <v>239</v>
      </c>
      <c r="C1187" s="4">
        <v>2861</v>
      </c>
      <c r="D1187" s="4">
        <v>1</v>
      </c>
      <c r="E1187" s="4">
        <v>1</v>
      </c>
      <c r="F1187" s="4" t="s">
        <v>268</v>
      </c>
      <c r="G1187" s="4" t="s">
        <v>241</v>
      </c>
      <c r="H1187" s="4" t="s">
        <v>241</v>
      </c>
      <c r="I1187" s="4" t="s">
        <v>272</v>
      </c>
      <c r="J1187" s="4" t="s">
        <v>274</v>
      </c>
      <c r="K1187" s="4" t="s">
        <v>251</v>
      </c>
      <c r="L1187" s="4" t="s">
        <v>269</v>
      </c>
      <c r="M1187" s="5" t="s">
        <v>3008</v>
      </c>
      <c r="N1187" s="6">
        <f>38</f>
        <v>38</v>
      </c>
      <c r="O1187" s="4" t="s">
        <v>265</v>
      </c>
      <c r="P1187" s="6">
        <f>1</f>
        <v>1</v>
      </c>
      <c r="Q1187" s="6">
        <f>0</f>
        <v>0</v>
      </c>
      <c r="S1187" s="6">
        <f>0</f>
        <v>0</v>
      </c>
      <c r="T1187" s="6">
        <f>1</f>
        <v>1</v>
      </c>
      <c r="U1187" s="5" t="s">
        <v>245</v>
      </c>
      <c r="V1187" s="4" t="s">
        <v>270</v>
      </c>
      <c r="W1187" s="4" t="s">
        <v>271</v>
      </c>
      <c r="X1187" s="4" t="s">
        <v>273</v>
      </c>
      <c r="Y1187" s="4" t="s">
        <v>241</v>
      </c>
      <c r="AB1187" s="4" t="s">
        <v>241</v>
      </c>
      <c r="AD1187" s="5" t="s">
        <v>241</v>
      </c>
      <c r="AG1187" s="5" t="s">
        <v>246</v>
      </c>
      <c r="AH1187" s="4" t="s">
        <v>241</v>
      </c>
      <c r="AI1187" s="4" t="s">
        <v>247</v>
      </c>
      <c r="AJ1187" s="4" t="s">
        <v>248</v>
      </c>
      <c r="AZ1187" s="4" t="s">
        <v>249</v>
      </c>
      <c r="BA1187" s="4" t="s">
        <v>241</v>
      </c>
      <c r="BB1187" s="4" t="s">
        <v>250</v>
      </c>
      <c r="BC1187" s="4" t="s">
        <v>241</v>
      </c>
      <c r="BD1187" s="4" t="s">
        <v>252</v>
      </c>
      <c r="BE1187" s="4" t="s">
        <v>241</v>
      </c>
      <c r="BI1187" s="4" t="s">
        <v>253</v>
      </c>
      <c r="BJ1187" s="5" t="s">
        <v>246</v>
      </c>
      <c r="BK1187" s="4" t="s">
        <v>254</v>
      </c>
      <c r="BL1187" s="4" t="s">
        <v>255</v>
      </c>
      <c r="BM1187" s="4" t="s">
        <v>241</v>
      </c>
      <c r="BN1187" s="6">
        <f>0</f>
        <v>0</v>
      </c>
      <c r="BO1187" s="6">
        <f>0</f>
        <v>0</v>
      </c>
      <c r="BP1187" s="4" t="s">
        <v>256</v>
      </c>
      <c r="BQ1187" s="4" t="s">
        <v>257</v>
      </c>
      <c r="CE1187" s="4" t="s">
        <v>241</v>
      </c>
      <c r="CF1187" s="4" t="s">
        <v>241</v>
      </c>
      <c r="CJ1187" s="4" t="s">
        <v>276</v>
      </c>
      <c r="CK1187" s="4" t="s">
        <v>259</v>
      </c>
      <c r="CL1187" s="4" t="s">
        <v>241</v>
      </c>
      <c r="CO1187" s="5" t="s">
        <v>260</v>
      </c>
      <c r="CP1187" s="4" t="s">
        <v>241</v>
      </c>
      <c r="CQ1187" s="4" t="s">
        <v>261</v>
      </c>
      <c r="CR1187" s="4" t="s">
        <v>241</v>
      </c>
      <c r="CS1187" s="4" t="s">
        <v>241</v>
      </c>
      <c r="CT1187" s="4">
        <v>0</v>
      </c>
      <c r="CU1187" s="4" t="s">
        <v>262</v>
      </c>
      <c r="CV1187" s="4" t="s">
        <v>263</v>
      </c>
      <c r="CW1187" s="4" t="s">
        <v>263</v>
      </c>
      <c r="CX1187" s="4" t="s">
        <v>264</v>
      </c>
      <c r="DA1187" s="6">
        <f>1</f>
        <v>1</v>
      </c>
      <c r="DC1187" s="4" t="s">
        <v>277</v>
      </c>
      <c r="DD1187" s="4" t="s">
        <v>241</v>
      </c>
      <c r="DF1187" s="4" t="s">
        <v>277</v>
      </c>
      <c r="DG1187" s="6">
        <f>38</f>
        <v>38</v>
      </c>
      <c r="DI1187" s="4" t="s">
        <v>241</v>
      </c>
      <c r="DJ1187" s="4" t="s">
        <v>241</v>
      </c>
      <c r="DK1187" s="4" t="s">
        <v>241</v>
      </c>
      <c r="DL1187" s="4" t="s">
        <v>241</v>
      </c>
      <c r="DP1187" s="4" t="s">
        <v>241</v>
      </c>
      <c r="DQ1187" s="4" t="s">
        <v>241</v>
      </c>
      <c r="DR1187" s="4" t="s">
        <v>241</v>
      </c>
      <c r="DS1187" s="4" t="s">
        <v>241</v>
      </c>
      <c r="DV1187" s="4" t="s">
        <v>278</v>
      </c>
      <c r="DW1187" s="4" t="s">
        <v>3009</v>
      </c>
      <c r="HO1187" s="4" t="s">
        <v>267</v>
      </c>
    </row>
    <row r="1188" spans="1:223" ht="19.5" customHeight="1" x14ac:dyDescent="0.4">
      <c r="A1188" s="4">
        <v>1</v>
      </c>
      <c r="B1188" s="4" t="s">
        <v>239</v>
      </c>
      <c r="C1188" s="4">
        <v>2862</v>
      </c>
      <c r="D1188" s="4">
        <v>1</v>
      </c>
      <c r="E1188" s="4">
        <v>1</v>
      </c>
      <c r="F1188" s="4" t="s">
        <v>268</v>
      </c>
      <c r="G1188" s="4" t="s">
        <v>241</v>
      </c>
      <c r="H1188" s="4" t="s">
        <v>241</v>
      </c>
      <c r="I1188" s="4" t="s">
        <v>272</v>
      </c>
      <c r="J1188" s="4" t="s">
        <v>274</v>
      </c>
      <c r="K1188" s="4" t="s">
        <v>251</v>
      </c>
      <c r="L1188" s="4" t="s">
        <v>269</v>
      </c>
      <c r="M1188" s="5" t="s">
        <v>3006</v>
      </c>
      <c r="N1188" s="6">
        <f>2784</f>
        <v>2784</v>
      </c>
      <c r="O1188" s="4" t="s">
        <v>265</v>
      </c>
      <c r="P1188" s="6">
        <f>1</f>
        <v>1</v>
      </c>
      <c r="Q1188" s="6">
        <f>0</f>
        <v>0</v>
      </c>
      <c r="S1188" s="6">
        <f>0</f>
        <v>0</v>
      </c>
      <c r="T1188" s="6">
        <f>1</f>
        <v>1</v>
      </c>
      <c r="U1188" s="5" t="s">
        <v>245</v>
      </c>
      <c r="V1188" s="4" t="s">
        <v>270</v>
      </c>
      <c r="W1188" s="4" t="s">
        <v>271</v>
      </c>
      <c r="X1188" s="4" t="s">
        <v>273</v>
      </c>
      <c r="Y1188" s="4" t="s">
        <v>241</v>
      </c>
      <c r="AB1188" s="4" t="s">
        <v>241</v>
      </c>
      <c r="AD1188" s="5" t="s">
        <v>241</v>
      </c>
      <c r="AG1188" s="5" t="s">
        <v>246</v>
      </c>
      <c r="AH1188" s="4" t="s">
        <v>241</v>
      </c>
      <c r="AI1188" s="4" t="s">
        <v>247</v>
      </c>
      <c r="AJ1188" s="4" t="s">
        <v>248</v>
      </c>
      <c r="AZ1188" s="4" t="s">
        <v>249</v>
      </c>
      <c r="BA1188" s="4" t="s">
        <v>241</v>
      </c>
      <c r="BB1188" s="4" t="s">
        <v>250</v>
      </c>
      <c r="BC1188" s="4" t="s">
        <v>241</v>
      </c>
      <c r="BD1188" s="4" t="s">
        <v>252</v>
      </c>
      <c r="BE1188" s="4" t="s">
        <v>241</v>
      </c>
      <c r="BI1188" s="4" t="s">
        <v>253</v>
      </c>
      <c r="BJ1188" s="5" t="s">
        <v>246</v>
      </c>
      <c r="BK1188" s="4" t="s">
        <v>254</v>
      </c>
      <c r="BL1188" s="4" t="s">
        <v>255</v>
      </c>
      <c r="BM1188" s="4" t="s">
        <v>241</v>
      </c>
      <c r="BN1188" s="6">
        <f>0</f>
        <v>0</v>
      </c>
      <c r="BO1188" s="6">
        <f>0</f>
        <v>0</v>
      </c>
      <c r="BP1188" s="4" t="s">
        <v>256</v>
      </c>
      <c r="BQ1188" s="4" t="s">
        <v>257</v>
      </c>
      <c r="CE1188" s="4" t="s">
        <v>241</v>
      </c>
      <c r="CF1188" s="4" t="s">
        <v>241</v>
      </c>
      <c r="CJ1188" s="4" t="s">
        <v>276</v>
      </c>
      <c r="CK1188" s="4" t="s">
        <v>259</v>
      </c>
      <c r="CL1188" s="4" t="s">
        <v>241</v>
      </c>
      <c r="CO1188" s="5" t="s">
        <v>260</v>
      </c>
      <c r="CP1188" s="4" t="s">
        <v>241</v>
      </c>
      <c r="CQ1188" s="4" t="s">
        <v>261</v>
      </c>
      <c r="CR1188" s="4" t="s">
        <v>241</v>
      </c>
      <c r="CS1188" s="4" t="s">
        <v>241</v>
      </c>
      <c r="CT1188" s="4">
        <v>0</v>
      </c>
      <c r="CU1188" s="4" t="s">
        <v>262</v>
      </c>
      <c r="CV1188" s="4" t="s">
        <v>263</v>
      </c>
      <c r="CW1188" s="4" t="s">
        <v>263</v>
      </c>
      <c r="CX1188" s="4" t="s">
        <v>264</v>
      </c>
      <c r="DA1188" s="6">
        <f>1</f>
        <v>1</v>
      </c>
      <c r="DC1188" s="4" t="s">
        <v>277</v>
      </c>
      <c r="DD1188" s="4" t="s">
        <v>241</v>
      </c>
      <c r="DF1188" s="4" t="s">
        <v>277</v>
      </c>
      <c r="DG1188" s="6">
        <f>2784</f>
        <v>2784</v>
      </c>
      <c r="DI1188" s="4" t="s">
        <v>241</v>
      </c>
      <c r="DJ1188" s="4" t="s">
        <v>241</v>
      </c>
      <c r="DK1188" s="4" t="s">
        <v>241</v>
      </c>
      <c r="DL1188" s="4" t="s">
        <v>241</v>
      </c>
      <c r="DP1188" s="4" t="s">
        <v>241</v>
      </c>
      <c r="DQ1188" s="4" t="s">
        <v>241</v>
      </c>
      <c r="DR1188" s="4" t="s">
        <v>241</v>
      </c>
      <c r="DS1188" s="4" t="s">
        <v>241</v>
      </c>
      <c r="DV1188" s="4" t="s">
        <v>278</v>
      </c>
      <c r="DW1188" s="4" t="s">
        <v>3007</v>
      </c>
      <c r="HO1188" s="4" t="s">
        <v>267</v>
      </c>
    </row>
    <row r="1189" spans="1:223" ht="19.5" customHeight="1" x14ac:dyDescent="0.4">
      <c r="A1189" s="4">
        <v>1</v>
      </c>
      <c r="B1189" s="4" t="s">
        <v>239</v>
      </c>
      <c r="C1189" s="4">
        <v>2863</v>
      </c>
      <c r="D1189" s="4">
        <v>1</v>
      </c>
      <c r="E1189" s="4">
        <v>1</v>
      </c>
      <c r="F1189" s="4" t="s">
        <v>268</v>
      </c>
      <c r="G1189" s="4" t="s">
        <v>241</v>
      </c>
      <c r="H1189" s="4" t="s">
        <v>241</v>
      </c>
      <c r="I1189" s="4" t="s">
        <v>272</v>
      </c>
      <c r="J1189" s="4" t="s">
        <v>274</v>
      </c>
      <c r="K1189" s="4" t="s">
        <v>251</v>
      </c>
      <c r="L1189" s="4" t="s">
        <v>269</v>
      </c>
      <c r="M1189" s="5" t="s">
        <v>3004</v>
      </c>
      <c r="N1189" s="6">
        <f>3681</f>
        <v>3681</v>
      </c>
      <c r="O1189" s="4" t="s">
        <v>265</v>
      </c>
      <c r="P1189" s="6">
        <f>1</f>
        <v>1</v>
      </c>
      <c r="Q1189" s="6">
        <f>0</f>
        <v>0</v>
      </c>
      <c r="S1189" s="6">
        <f>0</f>
        <v>0</v>
      </c>
      <c r="T1189" s="6">
        <f>1</f>
        <v>1</v>
      </c>
      <c r="U1189" s="5" t="s">
        <v>245</v>
      </c>
      <c r="V1189" s="4" t="s">
        <v>270</v>
      </c>
      <c r="W1189" s="4" t="s">
        <v>271</v>
      </c>
      <c r="X1189" s="4" t="s">
        <v>273</v>
      </c>
      <c r="Y1189" s="4" t="s">
        <v>241</v>
      </c>
      <c r="AB1189" s="4" t="s">
        <v>241</v>
      </c>
      <c r="AD1189" s="5" t="s">
        <v>241</v>
      </c>
      <c r="AG1189" s="5" t="s">
        <v>246</v>
      </c>
      <c r="AH1189" s="4" t="s">
        <v>241</v>
      </c>
      <c r="AI1189" s="4" t="s">
        <v>247</v>
      </c>
      <c r="AJ1189" s="4" t="s">
        <v>248</v>
      </c>
      <c r="AZ1189" s="4" t="s">
        <v>249</v>
      </c>
      <c r="BA1189" s="4" t="s">
        <v>241</v>
      </c>
      <c r="BB1189" s="4" t="s">
        <v>250</v>
      </c>
      <c r="BC1189" s="4" t="s">
        <v>241</v>
      </c>
      <c r="BD1189" s="4" t="s">
        <v>252</v>
      </c>
      <c r="BE1189" s="4" t="s">
        <v>241</v>
      </c>
      <c r="BI1189" s="4" t="s">
        <v>253</v>
      </c>
      <c r="BJ1189" s="5" t="s">
        <v>246</v>
      </c>
      <c r="BK1189" s="4" t="s">
        <v>254</v>
      </c>
      <c r="BL1189" s="4" t="s">
        <v>255</v>
      </c>
      <c r="BM1189" s="4" t="s">
        <v>241</v>
      </c>
      <c r="BN1189" s="6">
        <f>0</f>
        <v>0</v>
      </c>
      <c r="BO1189" s="6">
        <f>0</f>
        <v>0</v>
      </c>
      <c r="BP1189" s="4" t="s">
        <v>256</v>
      </c>
      <c r="BQ1189" s="4" t="s">
        <v>257</v>
      </c>
      <c r="CE1189" s="4" t="s">
        <v>241</v>
      </c>
      <c r="CF1189" s="4" t="s">
        <v>241</v>
      </c>
      <c r="CJ1189" s="4" t="s">
        <v>276</v>
      </c>
      <c r="CK1189" s="4" t="s">
        <v>259</v>
      </c>
      <c r="CL1189" s="4" t="s">
        <v>241</v>
      </c>
      <c r="CO1189" s="5" t="s">
        <v>260</v>
      </c>
      <c r="CP1189" s="4" t="s">
        <v>241</v>
      </c>
      <c r="CQ1189" s="4" t="s">
        <v>261</v>
      </c>
      <c r="CR1189" s="4" t="s">
        <v>241</v>
      </c>
      <c r="CS1189" s="4" t="s">
        <v>241</v>
      </c>
      <c r="CT1189" s="4">
        <v>0</v>
      </c>
      <c r="CU1189" s="4" t="s">
        <v>262</v>
      </c>
      <c r="CV1189" s="4" t="s">
        <v>263</v>
      </c>
      <c r="CW1189" s="4" t="s">
        <v>263</v>
      </c>
      <c r="CX1189" s="4" t="s">
        <v>264</v>
      </c>
      <c r="DA1189" s="6">
        <f>1</f>
        <v>1</v>
      </c>
      <c r="DC1189" s="4" t="s">
        <v>277</v>
      </c>
      <c r="DD1189" s="4" t="s">
        <v>241</v>
      </c>
      <c r="DF1189" s="4" t="s">
        <v>277</v>
      </c>
      <c r="DG1189" s="6">
        <f>3681</f>
        <v>3681</v>
      </c>
      <c r="DI1189" s="4" t="s">
        <v>241</v>
      </c>
      <c r="DJ1189" s="4" t="s">
        <v>241</v>
      </c>
      <c r="DK1189" s="4" t="s">
        <v>241</v>
      </c>
      <c r="DL1189" s="4" t="s">
        <v>241</v>
      </c>
      <c r="DP1189" s="4" t="s">
        <v>241</v>
      </c>
      <c r="DQ1189" s="4" t="s">
        <v>241</v>
      </c>
      <c r="DR1189" s="4" t="s">
        <v>241</v>
      </c>
      <c r="DS1189" s="4" t="s">
        <v>241</v>
      </c>
      <c r="DV1189" s="4" t="s">
        <v>278</v>
      </c>
      <c r="DW1189" s="4" t="s">
        <v>3005</v>
      </c>
      <c r="HO1189" s="4" t="s">
        <v>267</v>
      </c>
    </row>
    <row r="1190" spans="1:223" ht="19.5" customHeight="1" x14ac:dyDescent="0.4">
      <c r="A1190" s="4">
        <v>1</v>
      </c>
      <c r="B1190" s="4" t="s">
        <v>239</v>
      </c>
      <c r="C1190" s="4">
        <v>2864</v>
      </c>
      <c r="D1190" s="4">
        <v>1</v>
      </c>
      <c r="E1190" s="4">
        <v>1</v>
      </c>
      <c r="F1190" s="4" t="s">
        <v>268</v>
      </c>
      <c r="G1190" s="4" t="s">
        <v>241</v>
      </c>
      <c r="H1190" s="4" t="s">
        <v>241</v>
      </c>
      <c r="I1190" s="4" t="s">
        <v>272</v>
      </c>
      <c r="J1190" s="4" t="s">
        <v>274</v>
      </c>
      <c r="K1190" s="4" t="s">
        <v>251</v>
      </c>
      <c r="L1190" s="4" t="s">
        <v>269</v>
      </c>
      <c r="M1190" s="5" t="s">
        <v>3002</v>
      </c>
      <c r="N1190" s="6">
        <f>2076</f>
        <v>2076</v>
      </c>
      <c r="O1190" s="4" t="s">
        <v>265</v>
      </c>
      <c r="P1190" s="6">
        <f>1</f>
        <v>1</v>
      </c>
      <c r="Q1190" s="6">
        <f>0</f>
        <v>0</v>
      </c>
      <c r="S1190" s="6">
        <f>0</f>
        <v>0</v>
      </c>
      <c r="T1190" s="6">
        <f>1</f>
        <v>1</v>
      </c>
      <c r="U1190" s="5" t="s">
        <v>245</v>
      </c>
      <c r="V1190" s="4" t="s">
        <v>270</v>
      </c>
      <c r="W1190" s="4" t="s">
        <v>271</v>
      </c>
      <c r="X1190" s="4" t="s">
        <v>273</v>
      </c>
      <c r="Y1190" s="4" t="s">
        <v>241</v>
      </c>
      <c r="AB1190" s="4" t="s">
        <v>241</v>
      </c>
      <c r="AD1190" s="5" t="s">
        <v>241</v>
      </c>
      <c r="AG1190" s="5" t="s">
        <v>246</v>
      </c>
      <c r="AH1190" s="4" t="s">
        <v>241</v>
      </c>
      <c r="AI1190" s="4" t="s">
        <v>247</v>
      </c>
      <c r="AJ1190" s="4" t="s">
        <v>248</v>
      </c>
      <c r="AZ1190" s="4" t="s">
        <v>249</v>
      </c>
      <c r="BA1190" s="4" t="s">
        <v>241</v>
      </c>
      <c r="BB1190" s="4" t="s">
        <v>250</v>
      </c>
      <c r="BC1190" s="4" t="s">
        <v>241</v>
      </c>
      <c r="BD1190" s="4" t="s">
        <v>252</v>
      </c>
      <c r="BE1190" s="4" t="s">
        <v>241</v>
      </c>
      <c r="BI1190" s="4" t="s">
        <v>253</v>
      </c>
      <c r="BJ1190" s="5" t="s">
        <v>246</v>
      </c>
      <c r="BK1190" s="4" t="s">
        <v>254</v>
      </c>
      <c r="BL1190" s="4" t="s">
        <v>255</v>
      </c>
      <c r="BM1190" s="4" t="s">
        <v>241</v>
      </c>
      <c r="BN1190" s="6">
        <f>0</f>
        <v>0</v>
      </c>
      <c r="BO1190" s="6">
        <f>0</f>
        <v>0</v>
      </c>
      <c r="BP1190" s="4" t="s">
        <v>256</v>
      </c>
      <c r="BQ1190" s="4" t="s">
        <v>257</v>
      </c>
      <c r="CE1190" s="4" t="s">
        <v>241</v>
      </c>
      <c r="CF1190" s="4" t="s">
        <v>241</v>
      </c>
      <c r="CJ1190" s="4" t="s">
        <v>276</v>
      </c>
      <c r="CK1190" s="4" t="s">
        <v>259</v>
      </c>
      <c r="CL1190" s="4" t="s">
        <v>241</v>
      </c>
      <c r="CO1190" s="5" t="s">
        <v>260</v>
      </c>
      <c r="CP1190" s="4" t="s">
        <v>241</v>
      </c>
      <c r="CQ1190" s="4" t="s">
        <v>261</v>
      </c>
      <c r="CR1190" s="4" t="s">
        <v>241</v>
      </c>
      <c r="CS1190" s="4" t="s">
        <v>241</v>
      </c>
      <c r="CT1190" s="4">
        <v>0</v>
      </c>
      <c r="CU1190" s="4" t="s">
        <v>262</v>
      </c>
      <c r="CV1190" s="4" t="s">
        <v>263</v>
      </c>
      <c r="CW1190" s="4" t="s">
        <v>263</v>
      </c>
      <c r="CX1190" s="4" t="s">
        <v>264</v>
      </c>
      <c r="DA1190" s="6">
        <f>1</f>
        <v>1</v>
      </c>
      <c r="DC1190" s="4" t="s">
        <v>277</v>
      </c>
      <c r="DD1190" s="4" t="s">
        <v>241</v>
      </c>
      <c r="DF1190" s="4" t="s">
        <v>277</v>
      </c>
      <c r="DG1190" s="6">
        <f>2076</f>
        <v>2076</v>
      </c>
      <c r="DI1190" s="4" t="s">
        <v>241</v>
      </c>
      <c r="DJ1190" s="4" t="s">
        <v>241</v>
      </c>
      <c r="DK1190" s="4" t="s">
        <v>241</v>
      </c>
      <c r="DL1190" s="4" t="s">
        <v>241</v>
      </c>
      <c r="DP1190" s="4" t="s">
        <v>241</v>
      </c>
      <c r="DQ1190" s="4" t="s">
        <v>241</v>
      </c>
      <c r="DR1190" s="4" t="s">
        <v>241</v>
      </c>
      <c r="DS1190" s="4" t="s">
        <v>241</v>
      </c>
      <c r="DV1190" s="4" t="s">
        <v>278</v>
      </c>
      <c r="DW1190" s="4" t="s">
        <v>3003</v>
      </c>
      <c r="HO1190" s="4" t="s">
        <v>267</v>
      </c>
    </row>
    <row r="1191" spans="1:223" ht="19.5" customHeight="1" x14ac:dyDescent="0.4">
      <c r="A1191" s="4">
        <v>1</v>
      </c>
      <c r="B1191" s="4" t="s">
        <v>239</v>
      </c>
      <c r="C1191" s="4">
        <v>2865</v>
      </c>
      <c r="D1191" s="4">
        <v>1</v>
      </c>
      <c r="E1191" s="4">
        <v>1</v>
      </c>
      <c r="F1191" s="4" t="s">
        <v>268</v>
      </c>
      <c r="G1191" s="4" t="s">
        <v>241</v>
      </c>
      <c r="H1191" s="4" t="s">
        <v>241</v>
      </c>
      <c r="I1191" s="4" t="s">
        <v>272</v>
      </c>
      <c r="J1191" s="4" t="s">
        <v>274</v>
      </c>
      <c r="K1191" s="4" t="s">
        <v>251</v>
      </c>
      <c r="L1191" s="4" t="s">
        <v>269</v>
      </c>
      <c r="M1191" s="5" t="s">
        <v>3000</v>
      </c>
      <c r="N1191" s="6">
        <f>474</f>
        <v>474</v>
      </c>
      <c r="O1191" s="4" t="s">
        <v>265</v>
      </c>
      <c r="P1191" s="6">
        <f>1</f>
        <v>1</v>
      </c>
      <c r="Q1191" s="6">
        <f>0</f>
        <v>0</v>
      </c>
      <c r="S1191" s="6">
        <f>0</f>
        <v>0</v>
      </c>
      <c r="T1191" s="6">
        <f>1</f>
        <v>1</v>
      </c>
      <c r="U1191" s="5" t="s">
        <v>245</v>
      </c>
      <c r="V1191" s="4" t="s">
        <v>270</v>
      </c>
      <c r="W1191" s="4" t="s">
        <v>271</v>
      </c>
      <c r="X1191" s="4" t="s">
        <v>273</v>
      </c>
      <c r="Y1191" s="4" t="s">
        <v>241</v>
      </c>
      <c r="AB1191" s="4" t="s">
        <v>241</v>
      </c>
      <c r="AD1191" s="5" t="s">
        <v>241</v>
      </c>
      <c r="AG1191" s="5" t="s">
        <v>246</v>
      </c>
      <c r="AH1191" s="4" t="s">
        <v>241</v>
      </c>
      <c r="AI1191" s="4" t="s">
        <v>247</v>
      </c>
      <c r="AJ1191" s="4" t="s">
        <v>248</v>
      </c>
      <c r="AZ1191" s="4" t="s">
        <v>249</v>
      </c>
      <c r="BA1191" s="4" t="s">
        <v>241</v>
      </c>
      <c r="BB1191" s="4" t="s">
        <v>250</v>
      </c>
      <c r="BC1191" s="4" t="s">
        <v>241</v>
      </c>
      <c r="BD1191" s="4" t="s">
        <v>252</v>
      </c>
      <c r="BE1191" s="4" t="s">
        <v>241</v>
      </c>
      <c r="BI1191" s="4" t="s">
        <v>253</v>
      </c>
      <c r="BJ1191" s="5" t="s">
        <v>246</v>
      </c>
      <c r="BK1191" s="4" t="s">
        <v>254</v>
      </c>
      <c r="BL1191" s="4" t="s">
        <v>255</v>
      </c>
      <c r="BM1191" s="4" t="s">
        <v>241</v>
      </c>
      <c r="BN1191" s="6">
        <f>0</f>
        <v>0</v>
      </c>
      <c r="BO1191" s="6">
        <f>0</f>
        <v>0</v>
      </c>
      <c r="BP1191" s="4" t="s">
        <v>256</v>
      </c>
      <c r="BQ1191" s="4" t="s">
        <v>257</v>
      </c>
      <c r="CE1191" s="4" t="s">
        <v>241</v>
      </c>
      <c r="CF1191" s="4" t="s">
        <v>241</v>
      </c>
      <c r="CJ1191" s="4" t="s">
        <v>276</v>
      </c>
      <c r="CK1191" s="4" t="s">
        <v>259</v>
      </c>
      <c r="CL1191" s="4" t="s">
        <v>241</v>
      </c>
      <c r="CO1191" s="5" t="s">
        <v>260</v>
      </c>
      <c r="CP1191" s="4" t="s">
        <v>241</v>
      </c>
      <c r="CQ1191" s="4" t="s">
        <v>261</v>
      </c>
      <c r="CR1191" s="4" t="s">
        <v>241</v>
      </c>
      <c r="CS1191" s="4" t="s">
        <v>241</v>
      </c>
      <c r="CT1191" s="4">
        <v>0</v>
      </c>
      <c r="CU1191" s="4" t="s">
        <v>262</v>
      </c>
      <c r="CV1191" s="4" t="s">
        <v>263</v>
      </c>
      <c r="CW1191" s="4" t="s">
        <v>263</v>
      </c>
      <c r="CX1191" s="4" t="s">
        <v>264</v>
      </c>
      <c r="DA1191" s="6">
        <f>1</f>
        <v>1</v>
      </c>
      <c r="DC1191" s="4" t="s">
        <v>277</v>
      </c>
      <c r="DD1191" s="4" t="s">
        <v>241</v>
      </c>
      <c r="DF1191" s="4" t="s">
        <v>277</v>
      </c>
      <c r="DG1191" s="6">
        <f>474</f>
        <v>474</v>
      </c>
      <c r="DI1191" s="4" t="s">
        <v>241</v>
      </c>
      <c r="DJ1191" s="4" t="s">
        <v>241</v>
      </c>
      <c r="DK1191" s="4" t="s">
        <v>241</v>
      </c>
      <c r="DL1191" s="4" t="s">
        <v>241</v>
      </c>
      <c r="DP1191" s="4" t="s">
        <v>241</v>
      </c>
      <c r="DQ1191" s="4" t="s">
        <v>241</v>
      </c>
      <c r="DR1191" s="4" t="s">
        <v>241</v>
      </c>
      <c r="DS1191" s="4" t="s">
        <v>241</v>
      </c>
      <c r="DV1191" s="4" t="s">
        <v>278</v>
      </c>
      <c r="DW1191" s="4" t="s">
        <v>3001</v>
      </c>
      <c r="HO1191" s="4" t="s">
        <v>267</v>
      </c>
    </row>
    <row r="1192" spans="1:223" ht="19.5" customHeight="1" x14ac:dyDescent="0.4">
      <c r="A1192" s="4">
        <v>1</v>
      </c>
      <c r="B1192" s="4" t="s">
        <v>239</v>
      </c>
      <c r="C1192" s="4">
        <v>2866</v>
      </c>
      <c r="D1192" s="4">
        <v>1</v>
      </c>
      <c r="E1192" s="4">
        <v>1</v>
      </c>
      <c r="F1192" s="4" t="s">
        <v>268</v>
      </c>
      <c r="G1192" s="4" t="s">
        <v>241</v>
      </c>
      <c r="H1192" s="4" t="s">
        <v>241</v>
      </c>
      <c r="I1192" s="4" t="s">
        <v>272</v>
      </c>
      <c r="J1192" s="4" t="s">
        <v>274</v>
      </c>
      <c r="K1192" s="4" t="s">
        <v>251</v>
      </c>
      <c r="L1192" s="4" t="s">
        <v>269</v>
      </c>
      <c r="M1192" s="5" t="s">
        <v>2998</v>
      </c>
      <c r="N1192" s="6">
        <f>1677</f>
        <v>1677</v>
      </c>
      <c r="O1192" s="4" t="s">
        <v>265</v>
      </c>
      <c r="P1192" s="6">
        <f>1</f>
        <v>1</v>
      </c>
      <c r="Q1192" s="6">
        <f>0</f>
        <v>0</v>
      </c>
      <c r="S1192" s="6">
        <f>0</f>
        <v>0</v>
      </c>
      <c r="T1192" s="6">
        <f>1</f>
        <v>1</v>
      </c>
      <c r="U1192" s="5" t="s">
        <v>245</v>
      </c>
      <c r="V1192" s="4" t="s">
        <v>270</v>
      </c>
      <c r="W1192" s="4" t="s">
        <v>271</v>
      </c>
      <c r="X1192" s="4" t="s">
        <v>273</v>
      </c>
      <c r="Y1192" s="4" t="s">
        <v>241</v>
      </c>
      <c r="AB1192" s="4" t="s">
        <v>241</v>
      </c>
      <c r="AD1192" s="5" t="s">
        <v>241</v>
      </c>
      <c r="AG1192" s="5" t="s">
        <v>246</v>
      </c>
      <c r="AH1192" s="4" t="s">
        <v>241</v>
      </c>
      <c r="AI1192" s="4" t="s">
        <v>247</v>
      </c>
      <c r="AJ1192" s="4" t="s">
        <v>248</v>
      </c>
      <c r="AZ1192" s="4" t="s">
        <v>249</v>
      </c>
      <c r="BA1192" s="4" t="s">
        <v>241</v>
      </c>
      <c r="BB1192" s="4" t="s">
        <v>250</v>
      </c>
      <c r="BC1192" s="4" t="s">
        <v>241</v>
      </c>
      <c r="BD1192" s="4" t="s">
        <v>252</v>
      </c>
      <c r="BE1192" s="4" t="s">
        <v>241</v>
      </c>
      <c r="BI1192" s="4" t="s">
        <v>253</v>
      </c>
      <c r="BJ1192" s="5" t="s">
        <v>246</v>
      </c>
      <c r="BK1192" s="4" t="s">
        <v>254</v>
      </c>
      <c r="BL1192" s="4" t="s">
        <v>255</v>
      </c>
      <c r="BM1192" s="4" t="s">
        <v>241</v>
      </c>
      <c r="BN1192" s="6">
        <f>0</f>
        <v>0</v>
      </c>
      <c r="BO1192" s="6">
        <f>0</f>
        <v>0</v>
      </c>
      <c r="BP1192" s="4" t="s">
        <v>256</v>
      </c>
      <c r="BQ1192" s="4" t="s">
        <v>257</v>
      </c>
      <c r="CE1192" s="4" t="s">
        <v>241</v>
      </c>
      <c r="CF1192" s="4" t="s">
        <v>241</v>
      </c>
      <c r="CJ1192" s="4" t="s">
        <v>276</v>
      </c>
      <c r="CK1192" s="4" t="s">
        <v>259</v>
      </c>
      <c r="CL1192" s="4" t="s">
        <v>241</v>
      </c>
      <c r="CO1192" s="5" t="s">
        <v>260</v>
      </c>
      <c r="CP1192" s="4" t="s">
        <v>241</v>
      </c>
      <c r="CQ1192" s="4" t="s">
        <v>261</v>
      </c>
      <c r="CR1192" s="4" t="s">
        <v>241</v>
      </c>
      <c r="CS1192" s="4" t="s">
        <v>241</v>
      </c>
      <c r="CT1192" s="4">
        <v>0</v>
      </c>
      <c r="CU1192" s="4" t="s">
        <v>262</v>
      </c>
      <c r="CV1192" s="4" t="s">
        <v>263</v>
      </c>
      <c r="CW1192" s="4" t="s">
        <v>263</v>
      </c>
      <c r="CX1192" s="4" t="s">
        <v>264</v>
      </c>
      <c r="DA1192" s="6">
        <f>1</f>
        <v>1</v>
      </c>
      <c r="DC1192" s="4" t="s">
        <v>277</v>
      </c>
      <c r="DD1192" s="4" t="s">
        <v>241</v>
      </c>
      <c r="DF1192" s="4" t="s">
        <v>277</v>
      </c>
      <c r="DG1192" s="6">
        <f>1677</f>
        <v>1677</v>
      </c>
      <c r="DI1192" s="4" t="s">
        <v>241</v>
      </c>
      <c r="DJ1192" s="4" t="s">
        <v>241</v>
      </c>
      <c r="DK1192" s="4" t="s">
        <v>241</v>
      </c>
      <c r="DL1192" s="4" t="s">
        <v>241</v>
      </c>
      <c r="DP1192" s="4" t="s">
        <v>241</v>
      </c>
      <c r="DQ1192" s="4" t="s">
        <v>241</v>
      </c>
      <c r="DR1192" s="4" t="s">
        <v>241</v>
      </c>
      <c r="DS1192" s="4" t="s">
        <v>241</v>
      </c>
      <c r="DV1192" s="4" t="s">
        <v>278</v>
      </c>
      <c r="DW1192" s="4" t="s">
        <v>2999</v>
      </c>
      <c r="HO1192" s="4" t="s">
        <v>267</v>
      </c>
    </row>
    <row r="1193" spans="1:223" ht="19.5" customHeight="1" x14ac:dyDescent="0.4">
      <c r="A1193" s="4">
        <v>1</v>
      </c>
      <c r="B1193" s="4" t="s">
        <v>239</v>
      </c>
      <c r="C1193" s="4">
        <v>2867</v>
      </c>
      <c r="D1193" s="4">
        <v>1</v>
      </c>
      <c r="E1193" s="4">
        <v>1</v>
      </c>
      <c r="F1193" s="4" t="s">
        <v>268</v>
      </c>
      <c r="G1193" s="4" t="s">
        <v>241</v>
      </c>
      <c r="H1193" s="4" t="s">
        <v>241</v>
      </c>
      <c r="I1193" s="4" t="s">
        <v>272</v>
      </c>
      <c r="J1193" s="4" t="s">
        <v>274</v>
      </c>
      <c r="K1193" s="4" t="s">
        <v>251</v>
      </c>
      <c r="L1193" s="4" t="s">
        <v>269</v>
      </c>
      <c r="M1193" s="5" t="s">
        <v>2996</v>
      </c>
      <c r="N1193" s="6">
        <f>1675</f>
        <v>1675</v>
      </c>
      <c r="O1193" s="4" t="s">
        <v>265</v>
      </c>
      <c r="P1193" s="6">
        <f>1</f>
        <v>1</v>
      </c>
      <c r="Q1193" s="6">
        <f>0</f>
        <v>0</v>
      </c>
      <c r="S1193" s="6">
        <f>0</f>
        <v>0</v>
      </c>
      <c r="T1193" s="6">
        <f>1</f>
        <v>1</v>
      </c>
      <c r="U1193" s="5" t="s">
        <v>245</v>
      </c>
      <c r="V1193" s="4" t="s">
        <v>270</v>
      </c>
      <c r="W1193" s="4" t="s">
        <v>271</v>
      </c>
      <c r="X1193" s="4" t="s">
        <v>273</v>
      </c>
      <c r="Y1193" s="4" t="s">
        <v>241</v>
      </c>
      <c r="AB1193" s="4" t="s">
        <v>241</v>
      </c>
      <c r="AD1193" s="5" t="s">
        <v>241</v>
      </c>
      <c r="AG1193" s="5" t="s">
        <v>246</v>
      </c>
      <c r="AH1193" s="4" t="s">
        <v>241</v>
      </c>
      <c r="AI1193" s="4" t="s">
        <v>247</v>
      </c>
      <c r="AJ1193" s="4" t="s">
        <v>248</v>
      </c>
      <c r="AZ1193" s="4" t="s">
        <v>249</v>
      </c>
      <c r="BA1193" s="4" t="s">
        <v>241</v>
      </c>
      <c r="BB1193" s="4" t="s">
        <v>250</v>
      </c>
      <c r="BC1193" s="4" t="s">
        <v>241</v>
      </c>
      <c r="BD1193" s="4" t="s">
        <v>252</v>
      </c>
      <c r="BE1193" s="4" t="s">
        <v>241</v>
      </c>
      <c r="BI1193" s="4" t="s">
        <v>253</v>
      </c>
      <c r="BJ1193" s="5" t="s">
        <v>246</v>
      </c>
      <c r="BK1193" s="4" t="s">
        <v>254</v>
      </c>
      <c r="BL1193" s="4" t="s">
        <v>255</v>
      </c>
      <c r="BM1193" s="4" t="s">
        <v>241</v>
      </c>
      <c r="BN1193" s="6">
        <f>0</f>
        <v>0</v>
      </c>
      <c r="BO1193" s="6">
        <f>0</f>
        <v>0</v>
      </c>
      <c r="BP1193" s="4" t="s">
        <v>256</v>
      </c>
      <c r="BQ1193" s="4" t="s">
        <v>257</v>
      </c>
      <c r="CE1193" s="4" t="s">
        <v>241</v>
      </c>
      <c r="CF1193" s="4" t="s">
        <v>241</v>
      </c>
      <c r="CJ1193" s="4" t="s">
        <v>276</v>
      </c>
      <c r="CK1193" s="4" t="s">
        <v>259</v>
      </c>
      <c r="CL1193" s="4" t="s">
        <v>241</v>
      </c>
      <c r="CO1193" s="5" t="s">
        <v>260</v>
      </c>
      <c r="CP1193" s="4" t="s">
        <v>241</v>
      </c>
      <c r="CQ1193" s="4" t="s">
        <v>261</v>
      </c>
      <c r="CR1193" s="4" t="s">
        <v>241</v>
      </c>
      <c r="CS1193" s="4" t="s">
        <v>241</v>
      </c>
      <c r="CT1193" s="4">
        <v>0</v>
      </c>
      <c r="CU1193" s="4" t="s">
        <v>262</v>
      </c>
      <c r="CV1193" s="4" t="s">
        <v>263</v>
      </c>
      <c r="CW1193" s="4" t="s">
        <v>263</v>
      </c>
      <c r="CX1193" s="4" t="s">
        <v>264</v>
      </c>
      <c r="DA1193" s="6">
        <f>1</f>
        <v>1</v>
      </c>
      <c r="DC1193" s="4" t="s">
        <v>277</v>
      </c>
      <c r="DD1193" s="4" t="s">
        <v>241</v>
      </c>
      <c r="DF1193" s="4" t="s">
        <v>277</v>
      </c>
      <c r="DG1193" s="6">
        <f>1675</f>
        <v>1675</v>
      </c>
      <c r="DI1193" s="4" t="s">
        <v>241</v>
      </c>
      <c r="DJ1193" s="4" t="s">
        <v>241</v>
      </c>
      <c r="DK1193" s="4" t="s">
        <v>241</v>
      </c>
      <c r="DL1193" s="4" t="s">
        <v>241</v>
      </c>
      <c r="DP1193" s="4" t="s">
        <v>241</v>
      </c>
      <c r="DQ1193" s="4" t="s">
        <v>241</v>
      </c>
      <c r="DR1193" s="4" t="s">
        <v>241</v>
      </c>
      <c r="DS1193" s="4" t="s">
        <v>241</v>
      </c>
      <c r="DV1193" s="4" t="s">
        <v>278</v>
      </c>
      <c r="DW1193" s="4" t="s">
        <v>2997</v>
      </c>
      <c r="HO1193" s="4" t="s">
        <v>267</v>
      </c>
    </row>
    <row r="1194" spans="1:223" ht="19.5" customHeight="1" x14ac:dyDescent="0.4">
      <c r="A1194" s="4">
        <v>1</v>
      </c>
      <c r="B1194" s="4" t="s">
        <v>239</v>
      </c>
      <c r="C1194" s="4">
        <v>2868</v>
      </c>
      <c r="D1194" s="4">
        <v>1</v>
      </c>
      <c r="E1194" s="4">
        <v>1</v>
      </c>
      <c r="F1194" s="4" t="s">
        <v>268</v>
      </c>
      <c r="G1194" s="4" t="s">
        <v>241</v>
      </c>
      <c r="H1194" s="4" t="s">
        <v>241</v>
      </c>
      <c r="I1194" s="4" t="s">
        <v>272</v>
      </c>
      <c r="J1194" s="4" t="s">
        <v>274</v>
      </c>
      <c r="K1194" s="4" t="s">
        <v>251</v>
      </c>
      <c r="L1194" s="4" t="s">
        <v>269</v>
      </c>
      <c r="M1194" s="5" t="s">
        <v>2994</v>
      </c>
      <c r="N1194" s="6">
        <f>292</f>
        <v>292</v>
      </c>
      <c r="O1194" s="4" t="s">
        <v>265</v>
      </c>
      <c r="P1194" s="6">
        <f>1</f>
        <v>1</v>
      </c>
      <c r="Q1194" s="6">
        <f>0</f>
        <v>0</v>
      </c>
      <c r="S1194" s="6">
        <f>0</f>
        <v>0</v>
      </c>
      <c r="T1194" s="6">
        <f>1</f>
        <v>1</v>
      </c>
      <c r="U1194" s="5" t="s">
        <v>245</v>
      </c>
      <c r="V1194" s="4" t="s">
        <v>270</v>
      </c>
      <c r="W1194" s="4" t="s">
        <v>271</v>
      </c>
      <c r="X1194" s="4" t="s">
        <v>273</v>
      </c>
      <c r="Y1194" s="4" t="s">
        <v>241</v>
      </c>
      <c r="AB1194" s="4" t="s">
        <v>241</v>
      </c>
      <c r="AD1194" s="5" t="s">
        <v>241</v>
      </c>
      <c r="AG1194" s="5" t="s">
        <v>246</v>
      </c>
      <c r="AH1194" s="4" t="s">
        <v>241</v>
      </c>
      <c r="AI1194" s="4" t="s">
        <v>247</v>
      </c>
      <c r="AJ1194" s="4" t="s">
        <v>248</v>
      </c>
      <c r="AZ1194" s="4" t="s">
        <v>249</v>
      </c>
      <c r="BA1194" s="4" t="s">
        <v>241</v>
      </c>
      <c r="BB1194" s="4" t="s">
        <v>250</v>
      </c>
      <c r="BC1194" s="4" t="s">
        <v>241</v>
      </c>
      <c r="BD1194" s="4" t="s">
        <v>252</v>
      </c>
      <c r="BE1194" s="4" t="s">
        <v>241</v>
      </c>
      <c r="BI1194" s="4" t="s">
        <v>253</v>
      </c>
      <c r="BJ1194" s="5" t="s">
        <v>246</v>
      </c>
      <c r="BK1194" s="4" t="s">
        <v>254</v>
      </c>
      <c r="BL1194" s="4" t="s">
        <v>255</v>
      </c>
      <c r="BM1194" s="4" t="s">
        <v>241</v>
      </c>
      <c r="BN1194" s="6">
        <f>0</f>
        <v>0</v>
      </c>
      <c r="BO1194" s="6">
        <f>0</f>
        <v>0</v>
      </c>
      <c r="BP1194" s="4" t="s">
        <v>256</v>
      </c>
      <c r="BQ1194" s="4" t="s">
        <v>257</v>
      </c>
      <c r="CE1194" s="4" t="s">
        <v>241</v>
      </c>
      <c r="CF1194" s="4" t="s">
        <v>241</v>
      </c>
      <c r="CJ1194" s="4" t="s">
        <v>276</v>
      </c>
      <c r="CK1194" s="4" t="s">
        <v>259</v>
      </c>
      <c r="CL1194" s="4" t="s">
        <v>241</v>
      </c>
      <c r="CO1194" s="5" t="s">
        <v>260</v>
      </c>
      <c r="CP1194" s="4" t="s">
        <v>241</v>
      </c>
      <c r="CQ1194" s="4" t="s">
        <v>261</v>
      </c>
      <c r="CR1194" s="4" t="s">
        <v>241</v>
      </c>
      <c r="CS1194" s="4" t="s">
        <v>241</v>
      </c>
      <c r="CT1194" s="4">
        <v>0</v>
      </c>
      <c r="CU1194" s="4" t="s">
        <v>262</v>
      </c>
      <c r="CV1194" s="4" t="s">
        <v>263</v>
      </c>
      <c r="CW1194" s="4" t="s">
        <v>263</v>
      </c>
      <c r="CX1194" s="4" t="s">
        <v>264</v>
      </c>
      <c r="DA1194" s="6">
        <f>1</f>
        <v>1</v>
      </c>
      <c r="DC1194" s="4" t="s">
        <v>277</v>
      </c>
      <c r="DD1194" s="4" t="s">
        <v>241</v>
      </c>
      <c r="DF1194" s="4" t="s">
        <v>277</v>
      </c>
      <c r="DG1194" s="6">
        <f>292</f>
        <v>292</v>
      </c>
      <c r="DI1194" s="4" t="s">
        <v>241</v>
      </c>
      <c r="DJ1194" s="4" t="s">
        <v>241</v>
      </c>
      <c r="DK1194" s="4" t="s">
        <v>241</v>
      </c>
      <c r="DL1194" s="4" t="s">
        <v>241</v>
      </c>
      <c r="DP1194" s="4" t="s">
        <v>241</v>
      </c>
      <c r="DQ1194" s="4" t="s">
        <v>241</v>
      </c>
      <c r="DR1194" s="4" t="s">
        <v>241</v>
      </c>
      <c r="DS1194" s="4" t="s">
        <v>241</v>
      </c>
      <c r="DV1194" s="4" t="s">
        <v>278</v>
      </c>
      <c r="DW1194" s="4" t="s">
        <v>2995</v>
      </c>
      <c r="HO1194" s="4" t="s">
        <v>267</v>
      </c>
    </row>
    <row r="1195" spans="1:223" ht="19.5" customHeight="1" x14ac:dyDescent="0.4">
      <c r="A1195" s="4">
        <v>1</v>
      </c>
      <c r="B1195" s="4" t="s">
        <v>239</v>
      </c>
      <c r="C1195" s="4">
        <v>2869</v>
      </c>
      <c r="D1195" s="4">
        <v>1</v>
      </c>
      <c r="E1195" s="4">
        <v>1</v>
      </c>
      <c r="F1195" s="4" t="s">
        <v>268</v>
      </c>
      <c r="G1195" s="4" t="s">
        <v>241</v>
      </c>
      <c r="H1195" s="4" t="s">
        <v>241</v>
      </c>
      <c r="I1195" s="4" t="s">
        <v>272</v>
      </c>
      <c r="J1195" s="4" t="s">
        <v>274</v>
      </c>
      <c r="K1195" s="4" t="s">
        <v>251</v>
      </c>
      <c r="L1195" s="4" t="s">
        <v>269</v>
      </c>
      <c r="M1195" s="5" t="s">
        <v>2992</v>
      </c>
      <c r="N1195" s="6">
        <f>3534</f>
        <v>3534</v>
      </c>
      <c r="O1195" s="4" t="s">
        <v>265</v>
      </c>
      <c r="P1195" s="6">
        <f>1</f>
        <v>1</v>
      </c>
      <c r="Q1195" s="6">
        <f>0</f>
        <v>0</v>
      </c>
      <c r="S1195" s="6">
        <f>0</f>
        <v>0</v>
      </c>
      <c r="T1195" s="6">
        <f>1</f>
        <v>1</v>
      </c>
      <c r="U1195" s="5" t="s">
        <v>245</v>
      </c>
      <c r="V1195" s="4" t="s">
        <v>270</v>
      </c>
      <c r="W1195" s="4" t="s">
        <v>271</v>
      </c>
      <c r="X1195" s="4" t="s">
        <v>273</v>
      </c>
      <c r="Y1195" s="4" t="s">
        <v>241</v>
      </c>
      <c r="AB1195" s="4" t="s">
        <v>241</v>
      </c>
      <c r="AD1195" s="5" t="s">
        <v>241</v>
      </c>
      <c r="AG1195" s="5" t="s">
        <v>246</v>
      </c>
      <c r="AH1195" s="4" t="s">
        <v>241</v>
      </c>
      <c r="AI1195" s="4" t="s">
        <v>247</v>
      </c>
      <c r="AJ1195" s="4" t="s">
        <v>248</v>
      </c>
      <c r="AZ1195" s="4" t="s">
        <v>249</v>
      </c>
      <c r="BA1195" s="4" t="s">
        <v>241</v>
      </c>
      <c r="BB1195" s="4" t="s">
        <v>250</v>
      </c>
      <c r="BC1195" s="4" t="s">
        <v>241</v>
      </c>
      <c r="BD1195" s="4" t="s">
        <v>252</v>
      </c>
      <c r="BE1195" s="4" t="s">
        <v>241</v>
      </c>
      <c r="BI1195" s="4" t="s">
        <v>253</v>
      </c>
      <c r="BJ1195" s="5" t="s">
        <v>246</v>
      </c>
      <c r="BK1195" s="4" t="s">
        <v>254</v>
      </c>
      <c r="BL1195" s="4" t="s">
        <v>255</v>
      </c>
      <c r="BM1195" s="4" t="s">
        <v>241</v>
      </c>
      <c r="BN1195" s="6">
        <f>0</f>
        <v>0</v>
      </c>
      <c r="BO1195" s="6">
        <f>0</f>
        <v>0</v>
      </c>
      <c r="BP1195" s="4" t="s">
        <v>256</v>
      </c>
      <c r="BQ1195" s="4" t="s">
        <v>257</v>
      </c>
      <c r="CE1195" s="4" t="s">
        <v>241</v>
      </c>
      <c r="CF1195" s="4" t="s">
        <v>241</v>
      </c>
      <c r="CJ1195" s="4" t="s">
        <v>276</v>
      </c>
      <c r="CK1195" s="4" t="s">
        <v>259</v>
      </c>
      <c r="CL1195" s="4" t="s">
        <v>241</v>
      </c>
      <c r="CO1195" s="5" t="s">
        <v>260</v>
      </c>
      <c r="CP1195" s="4" t="s">
        <v>241</v>
      </c>
      <c r="CQ1195" s="4" t="s">
        <v>261</v>
      </c>
      <c r="CR1195" s="4" t="s">
        <v>241</v>
      </c>
      <c r="CS1195" s="4" t="s">
        <v>241</v>
      </c>
      <c r="CT1195" s="4">
        <v>0</v>
      </c>
      <c r="CU1195" s="4" t="s">
        <v>262</v>
      </c>
      <c r="CV1195" s="4" t="s">
        <v>263</v>
      </c>
      <c r="CW1195" s="4" t="s">
        <v>263</v>
      </c>
      <c r="CX1195" s="4" t="s">
        <v>264</v>
      </c>
      <c r="DA1195" s="6">
        <f>1</f>
        <v>1</v>
      </c>
      <c r="DC1195" s="4" t="s">
        <v>277</v>
      </c>
      <c r="DD1195" s="4" t="s">
        <v>241</v>
      </c>
      <c r="DF1195" s="4" t="s">
        <v>277</v>
      </c>
      <c r="DG1195" s="6">
        <f>3534</f>
        <v>3534</v>
      </c>
      <c r="DI1195" s="4" t="s">
        <v>241</v>
      </c>
      <c r="DJ1195" s="4" t="s">
        <v>241</v>
      </c>
      <c r="DK1195" s="4" t="s">
        <v>241</v>
      </c>
      <c r="DL1195" s="4" t="s">
        <v>241</v>
      </c>
      <c r="DP1195" s="4" t="s">
        <v>241</v>
      </c>
      <c r="DQ1195" s="4" t="s">
        <v>241</v>
      </c>
      <c r="DR1195" s="4" t="s">
        <v>241</v>
      </c>
      <c r="DS1195" s="4" t="s">
        <v>241</v>
      </c>
      <c r="DV1195" s="4" t="s">
        <v>278</v>
      </c>
      <c r="DW1195" s="4" t="s">
        <v>2993</v>
      </c>
      <c r="HO1195" s="4" t="s">
        <v>267</v>
      </c>
    </row>
    <row r="1196" spans="1:223" ht="19.5" customHeight="1" x14ac:dyDescent="0.4">
      <c r="A1196" s="4">
        <v>1</v>
      </c>
      <c r="B1196" s="4" t="s">
        <v>239</v>
      </c>
      <c r="C1196" s="4">
        <v>2870</v>
      </c>
      <c r="D1196" s="4">
        <v>1</v>
      </c>
      <c r="E1196" s="4">
        <v>1</v>
      </c>
      <c r="F1196" s="4" t="s">
        <v>268</v>
      </c>
      <c r="G1196" s="4" t="s">
        <v>241</v>
      </c>
      <c r="H1196" s="4" t="s">
        <v>241</v>
      </c>
      <c r="I1196" s="4" t="s">
        <v>272</v>
      </c>
      <c r="J1196" s="4" t="s">
        <v>274</v>
      </c>
      <c r="K1196" s="4" t="s">
        <v>251</v>
      </c>
      <c r="L1196" s="4" t="s">
        <v>269</v>
      </c>
      <c r="M1196" s="5" t="s">
        <v>2990</v>
      </c>
      <c r="N1196" s="6">
        <f>1731</f>
        <v>1731</v>
      </c>
      <c r="O1196" s="4" t="s">
        <v>265</v>
      </c>
      <c r="P1196" s="6">
        <f>1</f>
        <v>1</v>
      </c>
      <c r="Q1196" s="6">
        <f>0</f>
        <v>0</v>
      </c>
      <c r="S1196" s="6">
        <f>0</f>
        <v>0</v>
      </c>
      <c r="T1196" s="6">
        <f>1</f>
        <v>1</v>
      </c>
      <c r="U1196" s="5" t="s">
        <v>245</v>
      </c>
      <c r="V1196" s="4" t="s">
        <v>270</v>
      </c>
      <c r="W1196" s="4" t="s">
        <v>271</v>
      </c>
      <c r="X1196" s="4" t="s">
        <v>273</v>
      </c>
      <c r="Y1196" s="4" t="s">
        <v>241</v>
      </c>
      <c r="AB1196" s="4" t="s">
        <v>241</v>
      </c>
      <c r="AD1196" s="5" t="s">
        <v>241</v>
      </c>
      <c r="AG1196" s="5" t="s">
        <v>246</v>
      </c>
      <c r="AH1196" s="4" t="s">
        <v>241</v>
      </c>
      <c r="AI1196" s="4" t="s">
        <v>247</v>
      </c>
      <c r="AJ1196" s="4" t="s">
        <v>248</v>
      </c>
      <c r="AZ1196" s="4" t="s">
        <v>249</v>
      </c>
      <c r="BA1196" s="4" t="s">
        <v>241</v>
      </c>
      <c r="BB1196" s="4" t="s">
        <v>250</v>
      </c>
      <c r="BC1196" s="4" t="s">
        <v>241</v>
      </c>
      <c r="BD1196" s="4" t="s">
        <v>252</v>
      </c>
      <c r="BE1196" s="4" t="s">
        <v>241</v>
      </c>
      <c r="BI1196" s="4" t="s">
        <v>253</v>
      </c>
      <c r="BJ1196" s="5" t="s">
        <v>246</v>
      </c>
      <c r="BK1196" s="4" t="s">
        <v>254</v>
      </c>
      <c r="BL1196" s="4" t="s">
        <v>255</v>
      </c>
      <c r="BM1196" s="4" t="s">
        <v>241</v>
      </c>
      <c r="BN1196" s="6">
        <f>0</f>
        <v>0</v>
      </c>
      <c r="BO1196" s="6">
        <f>0</f>
        <v>0</v>
      </c>
      <c r="BP1196" s="4" t="s">
        <v>256</v>
      </c>
      <c r="BQ1196" s="4" t="s">
        <v>257</v>
      </c>
      <c r="CE1196" s="4" t="s">
        <v>241</v>
      </c>
      <c r="CF1196" s="4" t="s">
        <v>241</v>
      </c>
      <c r="CJ1196" s="4" t="s">
        <v>276</v>
      </c>
      <c r="CK1196" s="4" t="s">
        <v>259</v>
      </c>
      <c r="CL1196" s="4" t="s">
        <v>241</v>
      </c>
      <c r="CO1196" s="5" t="s">
        <v>260</v>
      </c>
      <c r="CP1196" s="4" t="s">
        <v>241</v>
      </c>
      <c r="CQ1196" s="4" t="s">
        <v>261</v>
      </c>
      <c r="CR1196" s="4" t="s">
        <v>241</v>
      </c>
      <c r="CS1196" s="4" t="s">
        <v>241</v>
      </c>
      <c r="CT1196" s="4">
        <v>0</v>
      </c>
      <c r="CU1196" s="4" t="s">
        <v>262</v>
      </c>
      <c r="CV1196" s="4" t="s">
        <v>263</v>
      </c>
      <c r="CW1196" s="4" t="s">
        <v>263</v>
      </c>
      <c r="CX1196" s="4" t="s">
        <v>264</v>
      </c>
      <c r="DA1196" s="6">
        <f>1</f>
        <v>1</v>
      </c>
      <c r="DC1196" s="4" t="s">
        <v>277</v>
      </c>
      <c r="DD1196" s="4" t="s">
        <v>241</v>
      </c>
      <c r="DF1196" s="4" t="s">
        <v>277</v>
      </c>
      <c r="DG1196" s="6">
        <f>1731</f>
        <v>1731</v>
      </c>
      <c r="DI1196" s="4" t="s">
        <v>241</v>
      </c>
      <c r="DJ1196" s="4" t="s">
        <v>241</v>
      </c>
      <c r="DK1196" s="4" t="s">
        <v>241</v>
      </c>
      <c r="DL1196" s="4" t="s">
        <v>241</v>
      </c>
      <c r="DP1196" s="4" t="s">
        <v>241</v>
      </c>
      <c r="DQ1196" s="4" t="s">
        <v>241</v>
      </c>
      <c r="DR1196" s="4" t="s">
        <v>241</v>
      </c>
      <c r="DS1196" s="4" t="s">
        <v>241</v>
      </c>
      <c r="DV1196" s="4" t="s">
        <v>278</v>
      </c>
      <c r="DW1196" s="4" t="s">
        <v>2991</v>
      </c>
      <c r="HO1196" s="4" t="s">
        <v>267</v>
      </c>
    </row>
    <row r="1197" spans="1:223" ht="19.5" customHeight="1" x14ac:dyDescent="0.4">
      <c r="A1197" s="4">
        <v>1</v>
      </c>
      <c r="B1197" s="4" t="s">
        <v>239</v>
      </c>
      <c r="C1197" s="4">
        <v>2871</v>
      </c>
      <c r="D1197" s="4">
        <v>1</v>
      </c>
      <c r="E1197" s="4">
        <v>1</v>
      </c>
      <c r="F1197" s="4" t="s">
        <v>268</v>
      </c>
      <c r="G1197" s="4" t="s">
        <v>241</v>
      </c>
      <c r="H1197" s="4" t="s">
        <v>241</v>
      </c>
      <c r="I1197" s="4" t="s">
        <v>272</v>
      </c>
      <c r="J1197" s="4" t="s">
        <v>274</v>
      </c>
      <c r="K1197" s="4" t="s">
        <v>251</v>
      </c>
      <c r="L1197" s="4" t="s">
        <v>269</v>
      </c>
      <c r="M1197" s="5" t="s">
        <v>2988</v>
      </c>
      <c r="N1197" s="6">
        <f>1780</f>
        <v>1780</v>
      </c>
      <c r="O1197" s="4" t="s">
        <v>265</v>
      </c>
      <c r="P1197" s="6">
        <f>1</f>
        <v>1</v>
      </c>
      <c r="Q1197" s="6">
        <f>0</f>
        <v>0</v>
      </c>
      <c r="S1197" s="6">
        <f>0</f>
        <v>0</v>
      </c>
      <c r="T1197" s="6">
        <f>1</f>
        <v>1</v>
      </c>
      <c r="U1197" s="5" t="s">
        <v>245</v>
      </c>
      <c r="V1197" s="4" t="s">
        <v>270</v>
      </c>
      <c r="W1197" s="4" t="s">
        <v>271</v>
      </c>
      <c r="X1197" s="4" t="s">
        <v>273</v>
      </c>
      <c r="Y1197" s="4" t="s">
        <v>241</v>
      </c>
      <c r="AB1197" s="4" t="s">
        <v>241</v>
      </c>
      <c r="AD1197" s="5" t="s">
        <v>241</v>
      </c>
      <c r="AG1197" s="5" t="s">
        <v>246</v>
      </c>
      <c r="AH1197" s="4" t="s">
        <v>241</v>
      </c>
      <c r="AI1197" s="4" t="s">
        <v>247</v>
      </c>
      <c r="AJ1197" s="4" t="s">
        <v>248</v>
      </c>
      <c r="AZ1197" s="4" t="s">
        <v>249</v>
      </c>
      <c r="BA1197" s="4" t="s">
        <v>241</v>
      </c>
      <c r="BB1197" s="4" t="s">
        <v>250</v>
      </c>
      <c r="BC1197" s="4" t="s">
        <v>241</v>
      </c>
      <c r="BD1197" s="4" t="s">
        <v>252</v>
      </c>
      <c r="BE1197" s="4" t="s">
        <v>241</v>
      </c>
      <c r="BI1197" s="4" t="s">
        <v>253</v>
      </c>
      <c r="BJ1197" s="5" t="s">
        <v>246</v>
      </c>
      <c r="BK1197" s="4" t="s">
        <v>254</v>
      </c>
      <c r="BL1197" s="4" t="s">
        <v>255</v>
      </c>
      <c r="BM1197" s="4" t="s">
        <v>241</v>
      </c>
      <c r="BN1197" s="6">
        <f>0</f>
        <v>0</v>
      </c>
      <c r="BO1197" s="6">
        <f>0</f>
        <v>0</v>
      </c>
      <c r="BP1197" s="4" t="s">
        <v>256</v>
      </c>
      <c r="BQ1197" s="4" t="s">
        <v>257</v>
      </c>
      <c r="CE1197" s="4" t="s">
        <v>241</v>
      </c>
      <c r="CF1197" s="4" t="s">
        <v>241</v>
      </c>
      <c r="CJ1197" s="4" t="s">
        <v>276</v>
      </c>
      <c r="CK1197" s="4" t="s">
        <v>259</v>
      </c>
      <c r="CL1197" s="4" t="s">
        <v>241</v>
      </c>
      <c r="CO1197" s="5" t="s">
        <v>260</v>
      </c>
      <c r="CP1197" s="4" t="s">
        <v>241</v>
      </c>
      <c r="CQ1197" s="4" t="s">
        <v>261</v>
      </c>
      <c r="CR1197" s="4" t="s">
        <v>241</v>
      </c>
      <c r="CS1197" s="4" t="s">
        <v>241</v>
      </c>
      <c r="CT1197" s="4">
        <v>0</v>
      </c>
      <c r="CU1197" s="4" t="s">
        <v>262</v>
      </c>
      <c r="CV1197" s="4" t="s">
        <v>263</v>
      </c>
      <c r="CW1197" s="4" t="s">
        <v>263</v>
      </c>
      <c r="CX1197" s="4" t="s">
        <v>264</v>
      </c>
      <c r="DA1197" s="6">
        <f>1</f>
        <v>1</v>
      </c>
      <c r="DC1197" s="4" t="s">
        <v>277</v>
      </c>
      <c r="DD1197" s="4" t="s">
        <v>241</v>
      </c>
      <c r="DF1197" s="4" t="s">
        <v>277</v>
      </c>
      <c r="DG1197" s="6">
        <f>1780</f>
        <v>1780</v>
      </c>
      <c r="DI1197" s="4" t="s">
        <v>241</v>
      </c>
      <c r="DJ1197" s="4" t="s">
        <v>241</v>
      </c>
      <c r="DK1197" s="4" t="s">
        <v>241</v>
      </c>
      <c r="DL1197" s="4" t="s">
        <v>241</v>
      </c>
      <c r="DP1197" s="4" t="s">
        <v>241</v>
      </c>
      <c r="DQ1197" s="4" t="s">
        <v>241</v>
      </c>
      <c r="DR1197" s="4" t="s">
        <v>241</v>
      </c>
      <c r="DS1197" s="4" t="s">
        <v>241</v>
      </c>
      <c r="DV1197" s="4" t="s">
        <v>278</v>
      </c>
      <c r="DW1197" s="4" t="s">
        <v>2989</v>
      </c>
      <c r="HO1197" s="4" t="s">
        <v>267</v>
      </c>
    </row>
    <row r="1198" spans="1:223" ht="19.5" customHeight="1" x14ac:dyDescent="0.4">
      <c r="A1198" s="4">
        <v>1</v>
      </c>
      <c r="B1198" s="4" t="s">
        <v>239</v>
      </c>
      <c r="C1198" s="4">
        <v>2872</v>
      </c>
      <c r="D1198" s="4">
        <v>1</v>
      </c>
      <c r="E1198" s="4">
        <v>1</v>
      </c>
      <c r="F1198" s="4" t="s">
        <v>268</v>
      </c>
      <c r="G1198" s="4" t="s">
        <v>241</v>
      </c>
      <c r="H1198" s="4" t="s">
        <v>241</v>
      </c>
      <c r="I1198" s="4" t="s">
        <v>272</v>
      </c>
      <c r="J1198" s="4" t="s">
        <v>274</v>
      </c>
      <c r="K1198" s="4" t="s">
        <v>251</v>
      </c>
      <c r="L1198" s="4" t="s">
        <v>269</v>
      </c>
      <c r="M1198" s="5" t="s">
        <v>1019</v>
      </c>
      <c r="N1198" s="6">
        <f>1242</f>
        <v>1242</v>
      </c>
      <c r="O1198" s="4" t="s">
        <v>265</v>
      </c>
      <c r="P1198" s="6">
        <f>1</f>
        <v>1</v>
      </c>
      <c r="Q1198" s="6">
        <f>0</f>
        <v>0</v>
      </c>
      <c r="S1198" s="6">
        <f>0</f>
        <v>0</v>
      </c>
      <c r="T1198" s="6">
        <f>1</f>
        <v>1</v>
      </c>
      <c r="U1198" s="5" t="s">
        <v>245</v>
      </c>
      <c r="V1198" s="4" t="s">
        <v>270</v>
      </c>
      <c r="W1198" s="4" t="s">
        <v>271</v>
      </c>
      <c r="X1198" s="4" t="s">
        <v>273</v>
      </c>
      <c r="Y1198" s="4" t="s">
        <v>241</v>
      </c>
      <c r="AB1198" s="4" t="s">
        <v>241</v>
      </c>
      <c r="AD1198" s="5" t="s">
        <v>241</v>
      </c>
      <c r="AG1198" s="5" t="s">
        <v>246</v>
      </c>
      <c r="AH1198" s="4" t="s">
        <v>241</v>
      </c>
      <c r="AI1198" s="4" t="s">
        <v>247</v>
      </c>
      <c r="AJ1198" s="4" t="s">
        <v>248</v>
      </c>
      <c r="AZ1198" s="4" t="s">
        <v>249</v>
      </c>
      <c r="BA1198" s="4" t="s">
        <v>241</v>
      </c>
      <c r="BB1198" s="4" t="s">
        <v>250</v>
      </c>
      <c r="BC1198" s="4" t="s">
        <v>241</v>
      </c>
      <c r="BD1198" s="4" t="s">
        <v>252</v>
      </c>
      <c r="BE1198" s="4" t="s">
        <v>241</v>
      </c>
      <c r="BI1198" s="4" t="s">
        <v>253</v>
      </c>
      <c r="BJ1198" s="5" t="s">
        <v>246</v>
      </c>
      <c r="BK1198" s="4" t="s">
        <v>254</v>
      </c>
      <c r="BL1198" s="4" t="s">
        <v>255</v>
      </c>
      <c r="BM1198" s="4" t="s">
        <v>241</v>
      </c>
      <c r="BN1198" s="6">
        <f>0</f>
        <v>0</v>
      </c>
      <c r="BO1198" s="6">
        <f>0</f>
        <v>0</v>
      </c>
      <c r="BP1198" s="4" t="s">
        <v>256</v>
      </c>
      <c r="BQ1198" s="4" t="s">
        <v>257</v>
      </c>
      <c r="CE1198" s="4" t="s">
        <v>241</v>
      </c>
      <c r="CF1198" s="4" t="s">
        <v>241</v>
      </c>
      <c r="CJ1198" s="4" t="s">
        <v>276</v>
      </c>
      <c r="CK1198" s="4" t="s">
        <v>259</v>
      </c>
      <c r="CL1198" s="4" t="s">
        <v>241</v>
      </c>
      <c r="CO1198" s="5" t="s">
        <v>260</v>
      </c>
      <c r="CP1198" s="4" t="s">
        <v>241</v>
      </c>
      <c r="CQ1198" s="4" t="s">
        <v>261</v>
      </c>
      <c r="CR1198" s="4" t="s">
        <v>241</v>
      </c>
      <c r="CS1198" s="4" t="s">
        <v>241</v>
      </c>
      <c r="CT1198" s="4">
        <v>0</v>
      </c>
      <c r="CU1198" s="4" t="s">
        <v>262</v>
      </c>
      <c r="CV1198" s="4" t="s">
        <v>263</v>
      </c>
      <c r="CW1198" s="4" t="s">
        <v>263</v>
      </c>
      <c r="CX1198" s="4" t="s">
        <v>264</v>
      </c>
      <c r="DA1198" s="6">
        <f>1</f>
        <v>1</v>
      </c>
      <c r="DC1198" s="4" t="s">
        <v>277</v>
      </c>
      <c r="DD1198" s="4" t="s">
        <v>241</v>
      </c>
      <c r="DF1198" s="4" t="s">
        <v>277</v>
      </c>
      <c r="DG1198" s="6">
        <f>1242</f>
        <v>1242</v>
      </c>
      <c r="DI1198" s="4" t="s">
        <v>241</v>
      </c>
      <c r="DJ1198" s="4" t="s">
        <v>241</v>
      </c>
      <c r="DK1198" s="4" t="s">
        <v>241</v>
      </c>
      <c r="DL1198" s="4" t="s">
        <v>241</v>
      </c>
      <c r="DP1198" s="4" t="s">
        <v>241</v>
      </c>
      <c r="DQ1198" s="4" t="s">
        <v>241</v>
      </c>
      <c r="DR1198" s="4" t="s">
        <v>241</v>
      </c>
      <c r="DS1198" s="4" t="s">
        <v>241</v>
      </c>
      <c r="DV1198" s="4" t="s">
        <v>278</v>
      </c>
      <c r="DW1198" s="4" t="s">
        <v>1020</v>
      </c>
      <c r="HO1198" s="4" t="s">
        <v>267</v>
      </c>
    </row>
    <row r="1199" spans="1:223" ht="19.5" customHeight="1" x14ac:dyDescent="0.4">
      <c r="A1199" s="4">
        <v>1</v>
      </c>
      <c r="B1199" s="4" t="s">
        <v>239</v>
      </c>
      <c r="C1199" s="4">
        <v>2873</v>
      </c>
      <c r="D1199" s="4">
        <v>1</v>
      </c>
      <c r="E1199" s="4">
        <v>1</v>
      </c>
      <c r="F1199" s="4" t="s">
        <v>268</v>
      </c>
      <c r="G1199" s="4" t="s">
        <v>241</v>
      </c>
      <c r="H1199" s="4" t="s">
        <v>241</v>
      </c>
      <c r="I1199" s="4" t="s">
        <v>272</v>
      </c>
      <c r="J1199" s="4" t="s">
        <v>274</v>
      </c>
      <c r="K1199" s="4" t="s">
        <v>251</v>
      </c>
      <c r="L1199" s="4" t="s">
        <v>269</v>
      </c>
      <c r="M1199" s="5" t="s">
        <v>2986</v>
      </c>
      <c r="N1199" s="6">
        <f>4771</f>
        <v>4771</v>
      </c>
      <c r="O1199" s="4" t="s">
        <v>265</v>
      </c>
      <c r="P1199" s="6">
        <f>1</f>
        <v>1</v>
      </c>
      <c r="Q1199" s="6">
        <f>0</f>
        <v>0</v>
      </c>
      <c r="S1199" s="6">
        <f>0</f>
        <v>0</v>
      </c>
      <c r="T1199" s="6">
        <f>1</f>
        <v>1</v>
      </c>
      <c r="U1199" s="5" t="s">
        <v>245</v>
      </c>
      <c r="V1199" s="4" t="s">
        <v>270</v>
      </c>
      <c r="W1199" s="4" t="s">
        <v>271</v>
      </c>
      <c r="X1199" s="4" t="s">
        <v>273</v>
      </c>
      <c r="Y1199" s="4" t="s">
        <v>241</v>
      </c>
      <c r="AB1199" s="4" t="s">
        <v>241</v>
      </c>
      <c r="AD1199" s="5" t="s">
        <v>241</v>
      </c>
      <c r="AG1199" s="5" t="s">
        <v>246</v>
      </c>
      <c r="AH1199" s="4" t="s">
        <v>241</v>
      </c>
      <c r="AI1199" s="4" t="s">
        <v>247</v>
      </c>
      <c r="AJ1199" s="4" t="s">
        <v>248</v>
      </c>
      <c r="AZ1199" s="4" t="s">
        <v>249</v>
      </c>
      <c r="BA1199" s="4" t="s">
        <v>241</v>
      </c>
      <c r="BB1199" s="4" t="s">
        <v>250</v>
      </c>
      <c r="BC1199" s="4" t="s">
        <v>241</v>
      </c>
      <c r="BD1199" s="4" t="s">
        <v>252</v>
      </c>
      <c r="BE1199" s="4" t="s">
        <v>241</v>
      </c>
      <c r="BI1199" s="4" t="s">
        <v>253</v>
      </c>
      <c r="BJ1199" s="5" t="s">
        <v>246</v>
      </c>
      <c r="BK1199" s="4" t="s">
        <v>254</v>
      </c>
      <c r="BL1199" s="4" t="s">
        <v>255</v>
      </c>
      <c r="BM1199" s="4" t="s">
        <v>241</v>
      </c>
      <c r="BN1199" s="6">
        <f>0</f>
        <v>0</v>
      </c>
      <c r="BO1199" s="6">
        <f>0</f>
        <v>0</v>
      </c>
      <c r="BP1199" s="4" t="s">
        <v>256</v>
      </c>
      <c r="BQ1199" s="4" t="s">
        <v>257</v>
      </c>
      <c r="CE1199" s="4" t="s">
        <v>241</v>
      </c>
      <c r="CF1199" s="4" t="s">
        <v>241</v>
      </c>
      <c r="CJ1199" s="4" t="s">
        <v>276</v>
      </c>
      <c r="CK1199" s="4" t="s">
        <v>259</v>
      </c>
      <c r="CL1199" s="4" t="s">
        <v>241</v>
      </c>
      <c r="CO1199" s="5" t="s">
        <v>260</v>
      </c>
      <c r="CP1199" s="4" t="s">
        <v>241</v>
      </c>
      <c r="CQ1199" s="4" t="s">
        <v>261</v>
      </c>
      <c r="CR1199" s="4" t="s">
        <v>241</v>
      </c>
      <c r="CS1199" s="4" t="s">
        <v>241</v>
      </c>
      <c r="CT1199" s="4">
        <v>0</v>
      </c>
      <c r="CU1199" s="4" t="s">
        <v>262</v>
      </c>
      <c r="CV1199" s="4" t="s">
        <v>263</v>
      </c>
      <c r="CW1199" s="4" t="s">
        <v>263</v>
      </c>
      <c r="CX1199" s="4" t="s">
        <v>264</v>
      </c>
      <c r="DA1199" s="6">
        <f>1</f>
        <v>1</v>
      </c>
      <c r="DC1199" s="4" t="s">
        <v>277</v>
      </c>
      <c r="DD1199" s="4" t="s">
        <v>241</v>
      </c>
      <c r="DF1199" s="4" t="s">
        <v>277</v>
      </c>
      <c r="DG1199" s="6">
        <f>4771</f>
        <v>4771</v>
      </c>
      <c r="DI1199" s="4" t="s">
        <v>241</v>
      </c>
      <c r="DJ1199" s="4" t="s">
        <v>241</v>
      </c>
      <c r="DK1199" s="4" t="s">
        <v>241</v>
      </c>
      <c r="DL1199" s="4" t="s">
        <v>241</v>
      </c>
      <c r="DP1199" s="4" t="s">
        <v>241</v>
      </c>
      <c r="DQ1199" s="4" t="s">
        <v>241</v>
      </c>
      <c r="DR1199" s="4" t="s">
        <v>241</v>
      </c>
      <c r="DS1199" s="4" t="s">
        <v>241</v>
      </c>
      <c r="DV1199" s="4" t="s">
        <v>278</v>
      </c>
      <c r="DW1199" s="4" t="s">
        <v>2987</v>
      </c>
      <c r="HO1199" s="4" t="s">
        <v>267</v>
      </c>
    </row>
    <row r="1200" spans="1:223" ht="19.5" customHeight="1" x14ac:dyDescent="0.4">
      <c r="A1200" s="4">
        <v>1</v>
      </c>
      <c r="B1200" s="4" t="s">
        <v>239</v>
      </c>
      <c r="C1200" s="4">
        <v>2874</v>
      </c>
      <c r="D1200" s="4">
        <v>1</v>
      </c>
      <c r="E1200" s="4">
        <v>1</v>
      </c>
      <c r="F1200" s="4" t="s">
        <v>268</v>
      </c>
      <c r="G1200" s="4" t="s">
        <v>241</v>
      </c>
      <c r="H1200" s="4" t="s">
        <v>241</v>
      </c>
      <c r="I1200" s="4" t="s">
        <v>272</v>
      </c>
      <c r="J1200" s="4" t="s">
        <v>274</v>
      </c>
      <c r="K1200" s="4" t="s">
        <v>251</v>
      </c>
      <c r="L1200" s="4" t="s">
        <v>269</v>
      </c>
      <c r="M1200" s="5" t="s">
        <v>2984</v>
      </c>
      <c r="N1200" s="6">
        <f>1702</f>
        <v>1702</v>
      </c>
      <c r="O1200" s="4" t="s">
        <v>265</v>
      </c>
      <c r="P1200" s="6">
        <f>1</f>
        <v>1</v>
      </c>
      <c r="Q1200" s="6">
        <f>0</f>
        <v>0</v>
      </c>
      <c r="S1200" s="6">
        <f>0</f>
        <v>0</v>
      </c>
      <c r="T1200" s="6">
        <f>1</f>
        <v>1</v>
      </c>
      <c r="U1200" s="5" t="s">
        <v>245</v>
      </c>
      <c r="V1200" s="4" t="s">
        <v>270</v>
      </c>
      <c r="W1200" s="4" t="s">
        <v>271</v>
      </c>
      <c r="X1200" s="4" t="s">
        <v>273</v>
      </c>
      <c r="Y1200" s="4" t="s">
        <v>241</v>
      </c>
      <c r="AB1200" s="4" t="s">
        <v>241</v>
      </c>
      <c r="AD1200" s="5" t="s">
        <v>241</v>
      </c>
      <c r="AG1200" s="5" t="s">
        <v>246</v>
      </c>
      <c r="AH1200" s="4" t="s">
        <v>241</v>
      </c>
      <c r="AI1200" s="4" t="s">
        <v>247</v>
      </c>
      <c r="AJ1200" s="4" t="s">
        <v>248</v>
      </c>
      <c r="AZ1200" s="4" t="s">
        <v>249</v>
      </c>
      <c r="BA1200" s="4" t="s">
        <v>241</v>
      </c>
      <c r="BB1200" s="4" t="s">
        <v>250</v>
      </c>
      <c r="BC1200" s="4" t="s">
        <v>241</v>
      </c>
      <c r="BD1200" s="4" t="s">
        <v>252</v>
      </c>
      <c r="BE1200" s="4" t="s">
        <v>241</v>
      </c>
      <c r="BI1200" s="4" t="s">
        <v>253</v>
      </c>
      <c r="BJ1200" s="5" t="s">
        <v>246</v>
      </c>
      <c r="BK1200" s="4" t="s">
        <v>254</v>
      </c>
      <c r="BL1200" s="4" t="s">
        <v>255</v>
      </c>
      <c r="BM1200" s="4" t="s">
        <v>241</v>
      </c>
      <c r="BN1200" s="6">
        <f>0</f>
        <v>0</v>
      </c>
      <c r="BO1200" s="6">
        <f>0</f>
        <v>0</v>
      </c>
      <c r="BP1200" s="4" t="s">
        <v>256</v>
      </c>
      <c r="BQ1200" s="4" t="s">
        <v>257</v>
      </c>
      <c r="CE1200" s="4" t="s">
        <v>241</v>
      </c>
      <c r="CF1200" s="4" t="s">
        <v>241</v>
      </c>
      <c r="CJ1200" s="4" t="s">
        <v>276</v>
      </c>
      <c r="CK1200" s="4" t="s">
        <v>259</v>
      </c>
      <c r="CL1200" s="4" t="s">
        <v>241</v>
      </c>
      <c r="CO1200" s="5" t="s">
        <v>260</v>
      </c>
      <c r="CP1200" s="4" t="s">
        <v>241</v>
      </c>
      <c r="CQ1200" s="4" t="s">
        <v>261</v>
      </c>
      <c r="CR1200" s="4" t="s">
        <v>241</v>
      </c>
      <c r="CS1200" s="4" t="s">
        <v>241</v>
      </c>
      <c r="CT1200" s="4">
        <v>0</v>
      </c>
      <c r="CU1200" s="4" t="s">
        <v>262</v>
      </c>
      <c r="CV1200" s="4" t="s">
        <v>263</v>
      </c>
      <c r="CW1200" s="4" t="s">
        <v>263</v>
      </c>
      <c r="CX1200" s="4" t="s">
        <v>264</v>
      </c>
      <c r="DA1200" s="6">
        <f>1</f>
        <v>1</v>
      </c>
      <c r="DC1200" s="4" t="s">
        <v>277</v>
      </c>
      <c r="DD1200" s="4" t="s">
        <v>241</v>
      </c>
      <c r="DF1200" s="4" t="s">
        <v>277</v>
      </c>
      <c r="DG1200" s="6">
        <f>1702</f>
        <v>1702</v>
      </c>
      <c r="DI1200" s="4" t="s">
        <v>241</v>
      </c>
      <c r="DJ1200" s="4" t="s">
        <v>241</v>
      </c>
      <c r="DK1200" s="4" t="s">
        <v>241</v>
      </c>
      <c r="DL1200" s="4" t="s">
        <v>241</v>
      </c>
      <c r="DP1200" s="4" t="s">
        <v>241</v>
      </c>
      <c r="DQ1200" s="4" t="s">
        <v>241</v>
      </c>
      <c r="DR1200" s="4" t="s">
        <v>241</v>
      </c>
      <c r="DS1200" s="4" t="s">
        <v>241</v>
      </c>
      <c r="DV1200" s="4" t="s">
        <v>278</v>
      </c>
      <c r="DW1200" s="4" t="s">
        <v>2985</v>
      </c>
      <c r="HO1200" s="4" t="s">
        <v>267</v>
      </c>
    </row>
    <row r="1201" spans="1:223" ht="19.5" customHeight="1" x14ac:dyDescent="0.4">
      <c r="A1201" s="4">
        <v>1</v>
      </c>
      <c r="B1201" s="4" t="s">
        <v>239</v>
      </c>
      <c r="C1201" s="4">
        <v>2875</v>
      </c>
      <c r="D1201" s="4">
        <v>1</v>
      </c>
      <c r="E1201" s="4">
        <v>1</v>
      </c>
      <c r="F1201" s="4" t="s">
        <v>268</v>
      </c>
      <c r="G1201" s="4" t="s">
        <v>241</v>
      </c>
      <c r="H1201" s="4" t="s">
        <v>241</v>
      </c>
      <c r="I1201" s="4" t="s">
        <v>272</v>
      </c>
      <c r="J1201" s="4" t="s">
        <v>274</v>
      </c>
      <c r="K1201" s="4" t="s">
        <v>251</v>
      </c>
      <c r="L1201" s="4" t="s">
        <v>269</v>
      </c>
      <c r="M1201" s="5" t="s">
        <v>2982</v>
      </c>
      <c r="N1201" s="6">
        <f>1702</f>
        <v>1702</v>
      </c>
      <c r="O1201" s="4" t="s">
        <v>265</v>
      </c>
      <c r="P1201" s="6">
        <f>1</f>
        <v>1</v>
      </c>
      <c r="Q1201" s="6">
        <f>0</f>
        <v>0</v>
      </c>
      <c r="S1201" s="6">
        <f>0</f>
        <v>0</v>
      </c>
      <c r="T1201" s="6">
        <f>1</f>
        <v>1</v>
      </c>
      <c r="U1201" s="5" t="s">
        <v>245</v>
      </c>
      <c r="V1201" s="4" t="s">
        <v>270</v>
      </c>
      <c r="W1201" s="4" t="s">
        <v>271</v>
      </c>
      <c r="X1201" s="4" t="s">
        <v>273</v>
      </c>
      <c r="Y1201" s="4" t="s">
        <v>241</v>
      </c>
      <c r="AB1201" s="4" t="s">
        <v>241</v>
      </c>
      <c r="AD1201" s="5" t="s">
        <v>241</v>
      </c>
      <c r="AG1201" s="5" t="s">
        <v>246</v>
      </c>
      <c r="AH1201" s="4" t="s">
        <v>241</v>
      </c>
      <c r="AI1201" s="4" t="s">
        <v>247</v>
      </c>
      <c r="AJ1201" s="4" t="s">
        <v>248</v>
      </c>
      <c r="AZ1201" s="4" t="s">
        <v>249</v>
      </c>
      <c r="BA1201" s="4" t="s">
        <v>241</v>
      </c>
      <c r="BB1201" s="4" t="s">
        <v>250</v>
      </c>
      <c r="BC1201" s="4" t="s">
        <v>241</v>
      </c>
      <c r="BD1201" s="4" t="s">
        <v>252</v>
      </c>
      <c r="BE1201" s="4" t="s">
        <v>241</v>
      </c>
      <c r="BI1201" s="4" t="s">
        <v>253</v>
      </c>
      <c r="BJ1201" s="5" t="s">
        <v>246</v>
      </c>
      <c r="BK1201" s="4" t="s">
        <v>254</v>
      </c>
      <c r="BL1201" s="4" t="s">
        <v>255</v>
      </c>
      <c r="BM1201" s="4" t="s">
        <v>241</v>
      </c>
      <c r="BN1201" s="6">
        <f>0</f>
        <v>0</v>
      </c>
      <c r="BO1201" s="6">
        <f>0</f>
        <v>0</v>
      </c>
      <c r="BP1201" s="4" t="s">
        <v>256</v>
      </c>
      <c r="BQ1201" s="4" t="s">
        <v>257</v>
      </c>
      <c r="CE1201" s="4" t="s">
        <v>241</v>
      </c>
      <c r="CF1201" s="4" t="s">
        <v>241</v>
      </c>
      <c r="CJ1201" s="4" t="s">
        <v>276</v>
      </c>
      <c r="CK1201" s="4" t="s">
        <v>259</v>
      </c>
      <c r="CL1201" s="4" t="s">
        <v>241</v>
      </c>
      <c r="CO1201" s="5" t="s">
        <v>260</v>
      </c>
      <c r="CP1201" s="4" t="s">
        <v>241</v>
      </c>
      <c r="CQ1201" s="4" t="s">
        <v>261</v>
      </c>
      <c r="CR1201" s="4" t="s">
        <v>241</v>
      </c>
      <c r="CS1201" s="4" t="s">
        <v>241</v>
      </c>
      <c r="CT1201" s="4">
        <v>0</v>
      </c>
      <c r="CU1201" s="4" t="s">
        <v>262</v>
      </c>
      <c r="CV1201" s="4" t="s">
        <v>263</v>
      </c>
      <c r="CW1201" s="4" t="s">
        <v>263</v>
      </c>
      <c r="CX1201" s="4" t="s">
        <v>264</v>
      </c>
      <c r="DA1201" s="6">
        <f>1</f>
        <v>1</v>
      </c>
      <c r="DC1201" s="4" t="s">
        <v>277</v>
      </c>
      <c r="DD1201" s="4" t="s">
        <v>241</v>
      </c>
      <c r="DF1201" s="4" t="s">
        <v>277</v>
      </c>
      <c r="DG1201" s="6">
        <f>1702</f>
        <v>1702</v>
      </c>
      <c r="DI1201" s="4" t="s">
        <v>241</v>
      </c>
      <c r="DJ1201" s="4" t="s">
        <v>241</v>
      </c>
      <c r="DK1201" s="4" t="s">
        <v>241</v>
      </c>
      <c r="DL1201" s="4" t="s">
        <v>241</v>
      </c>
      <c r="DP1201" s="4" t="s">
        <v>241</v>
      </c>
      <c r="DQ1201" s="4" t="s">
        <v>241</v>
      </c>
      <c r="DR1201" s="4" t="s">
        <v>241</v>
      </c>
      <c r="DS1201" s="4" t="s">
        <v>241</v>
      </c>
      <c r="DV1201" s="4" t="s">
        <v>278</v>
      </c>
      <c r="DW1201" s="4" t="s">
        <v>2983</v>
      </c>
      <c r="HO1201" s="4" t="s">
        <v>267</v>
      </c>
    </row>
    <row r="1202" spans="1:223" ht="19.5" customHeight="1" x14ac:dyDescent="0.4">
      <c r="A1202" s="4">
        <v>1</v>
      </c>
      <c r="B1202" s="4" t="s">
        <v>239</v>
      </c>
      <c r="C1202" s="4">
        <v>2876</v>
      </c>
      <c r="D1202" s="4">
        <v>1</v>
      </c>
      <c r="E1202" s="4">
        <v>1</v>
      </c>
      <c r="F1202" s="4" t="s">
        <v>268</v>
      </c>
      <c r="G1202" s="4" t="s">
        <v>241</v>
      </c>
      <c r="H1202" s="4" t="s">
        <v>241</v>
      </c>
      <c r="I1202" s="4" t="s">
        <v>272</v>
      </c>
      <c r="J1202" s="4" t="s">
        <v>274</v>
      </c>
      <c r="K1202" s="4" t="s">
        <v>251</v>
      </c>
      <c r="L1202" s="4" t="s">
        <v>269</v>
      </c>
      <c r="M1202" s="5" t="s">
        <v>1898</v>
      </c>
      <c r="N1202" s="6">
        <f>1728</f>
        <v>1728</v>
      </c>
      <c r="O1202" s="4" t="s">
        <v>265</v>
      </c>
      <c r="P1202" s="6">
        <f>1</f>
        <v>1</v>
      </c>
      <c r="Q1202" s="6">
        <f>0</f>
        <v>0</v>
      </c>
      <c r="S1202" s="6">
        <f>0</f>
        <v>0</v>
      </c>
      <c r="T1202" s="6">
        <f>1</f>
        <v>1</v>
      </c>
      <c r="U1202" s="5" t="s">
        <v>245</v>
      </c>
      <c r="V1202" s="4" t="s">
        <v>270</v>
      </c>
      <c r="W1202" s="4" t="s">
        <v>271</v>
      </c>
      <c r="X1202" s="4" t="s">
        <v>273</v>
      </c>
      <c r="Y1202" s="4" t="s">
        <v>241</v>
      </c>
      <c r="AB1202" s="4" t="s">
        <v>241</v>
      </c>
      <c r="AD1202" s="5" t="s">
        <v>241</v>
      </c>
      <c r="AG1202" s="5" t="s">
        <v>246</v>
      </c>
      <c r="AH1202" s="4" t="s">
        <v>241</v>
      </c>
      <c r="AI1202" s="4" t="s">
        <v>247</v>
      </c>
      <c r="AJ1202" s="4" t="s">
        <v>248</v>
      </c>
      <c r="AZ1202" s="4" t="s">
        <v>249</v>
      </c>
      <c r="BA1202" s="4" t="s">
        <v>241</v>
      </c>
      <c r="BB1202" s="4" t="s">
        <v>250</v>
      </c>
      <c r="BC1202" s="4" t="s">
        <v>241</v>
      </c>
      <c r="BD1202" s="4" t="s">
        <v>252</v>
      </c>
      <c r="BE1202" s="4" t="s">
        <v>241</v>
      </c>
      <c r="BI1202" s="4" t="s">
        <v>253</v>
      </c>
      <c r="BJ1202" s="5" t="s">
        <v>246</v>
      </c>
      <c r="BK1202" s="4" t="s">
        <v>254</v>
      </c>
      <c r="BL1202" s="4" t="s">
        <v>255</v>
      </c>
      <c r="BM1202" s="4" t="s">
        <v>241</v>
      </c>
      <c r="BN1202" s="6">
        <f>0</f>
        <v>0</v>
      </c>
      <c r="BO1202" s="6">
        <f>0</f>
        <v>0</v>
      </c>
      <c r="BP1202" s="4" t="s">
        <v>256</v>
      </c>
      <c r="BQ1202" s="4" t="s">
        <v>257</v>
      </c>
      <c r="CE1202" s="4" t="s">
        <v>241</v>
      </c>
      <c r="CF1202" s="4" t="s">
        <v>241</v>
      </c>
      <c r="CJ1202" s="4" t="s">
        <v>276</v>
      </c>
      <c r="CK1202" s="4" t="s">
        <v>259</v>
      </c>
      <c r="CL1202" s="4" t="s">
        <v>241</v>
      </c>
      <c r="CO1202" s="5" t="s">
        <v>260</v>
      </c>
      <c r="CP1202" s="4" t="s">
        <v>241</v>
      </c>
      <c r="CQ1202" s="4" t="s">
        <v>261</v>
      </c>
      <c r="CR1202" s="4" t="s">
        <v>241</v>
      </c>
      <c r="CS1202" s="4" t="s">
        <v>241</v>
      </c>
      <c r="CT1202" s="4">
        <v>0</v>
      </c>
      <c r="CU1202" s="4" t="s">
        <v>262</v>
      </c>
      <c r="CV1202" s="4" t="s">
        <v>263</v>
      </c>
      <c r="CW1202" s="4" t="s">
        <v>263</v>
      </c>
      <c r="CX1202" s="4" t="s">
        <v>264</v>
      </c>
      <c r="DA1202" s="6">
        <f>1</f>
        <v>1</v>
      </c>
      <c r="DC1202" s="4" t="s">
        <v>277</v>
      </c>
      <c r="DD1202" s="4" t="s">
        <v>241</v>
      </c>
      <c r="DF1202" s="4" t="s">
        <v>277</v>
      </c>
      <c r="DG1202" s="6">
        <f>1728</f>
        <v>1728</v>
      </c>
      <c r="DI1202" s="4" t="s">
        <v>241</v>
      </c>
      <c r="DJ1202" s="4" t="s">
        <v>241</v>
      </c>
      <c r="DK1202" s="4" t="s">
        <v>241</v>
      </c>
      <c r="DL1202" s="4" t="s">
        <v>241</v>
      </c>
      <c r="DP1202" s="4" t="s">
        <v>241</v>
      </c>
      <c r="DQ1202" s="4" t="s">
        <v>241</v>
      </c>
      <c r="DR1202" s="4" t="s">
        <v>241</v>
      </c>
      <c r="DS1202" s="4" t="s">
        <v>241</v>
      </c>
      <c r="DV1202" s="4" t="s">
        <v>278</v>
      </c>
      <c r="DW1202" s="4" t="s">
        <v>1899</v>
      </c>
      <c r="HO1202" s="4" t="s">
        <v>267</v>
      </c>
    </row>
    <row r="1203" spans="1:223" ht="19.5" customHeight="1" x14ac:dyDescent="0.4">
      <c r="A1203" s="4">
        <v>1</v>
      </c>
      <c r="B1203" s="4" t="s">
        <v>239</v>
      </c>
      <c r="C1203" s="4">
        <v>2877</v>
      </c>
      <c r="D1203" s="4">
        <v>1</v>
      </c>
      <c r="E1203" s="4">
        <v>1</v>
      </c>
      <c r="F1203" s="4" t="s">
        <v>268</v>
      </c>
      <c r="G1203" s="4" t="s">
        <v>241</v>
      </c>
      <c r="H1203" s="4" t="s">
        <v>241</v>
      </c>
      <c r="I1203" s="4" t="s">
        <v>272</v>
      </c>
      <c r="J1203" s="4" t="s">
        <v>274</v>
      </c>
      <c r="K1203" s="4" t="s">
        <v>251</v>
      </c>
      <c r="L1203" s="4" t="s">
        <v>269</v>
      </c>
      <c r="M1203" s="5" t="s">
        <v>2980</v>
      </c>
      <c r="N1203" s="6">
        <f>4620</f>
        <v>4620</v>
      </c>
      <c r="O1203" s="4" t="s">
        <v>265</v>
      </c>
      <c r="P1203" s="6">
        <f>1</f>
        <v>1</v>
      </c>
      <c r="Q1203" s="6">
        <f>0</f>
        <v>0</v>
      </c>
      <c r="S1203" s="6">
        <f>0</f>
        <v>0</v>
      </c>
      <c r="T1203" s="6">
        <f>1</f>
        <v>1</v>
      </c>
      <c r="U1203" s="5" t="s">
        <v>245</v>
      </c>
      <c r="V1203" s="4" t="s">
        <v>270</v>
      </c>
      <c r="W1203" s="4" t="s">
        <v>271</v>
      </c>
      <c r="X1203" s="4" t="s">
        <v>273</v>
      </c>
      <c r="Y1203" s="4" t="s">
        <v>241</v>
      </c>
      <c r="AB1203" s="4" t="s">
        <v>241</v>
      </c>
      <c r="AD1203" s="5" t="s">
        <v>241</v>
      </c>
      <c r="AG1203" s="5" t="s">
        <v>246</v>
      </c>
      <c r="AH1203" s="4" t="s">
        <v>241</v>
      </c>
      <c r="AI1203" s="4" t="s">
        <v>247</v>
      </c>
      <c r="AJ1203" s="4" t="s">
        <v>248</v>
      </c>
      <c r="AZ1203" s="4" t="s">
        <v>249</v>
      </c>
      <c r="BA1203" s="4" t="s">
        <v>241</v>
      </c>
      <c r="BB1203" s="4" t="s">
        <v>250</v>
      </c>
      <c r="BC1203" s="4" t="s">
        <v>241</v>
      </c>
      <c r="BD1203" s="4" t="s">
        <v>252</v>
      </c>
      <c r="BE1203" s="4" t="s">
        <v>241</v>
      </c>
      <c r="BI1203" s="4" t="s">
        <v>253</v>
      </c>
      <c r="BJ1203" s="5" t="s">
        <v>246</v>
      </c>
      <c r="BK1203" s="4" t="s">
        <v>254</v>
      </c>
      <c r="BL1203" s="4" t="s">
        <v>255</v>
      </c>
      <c r="BM1203" s="4" t="s">
        <v>241</v>
      </c>
      <c r="BN1203" s="6">
        <f>0</f>
        <v>0</v>
      </c>
      <c r="BO1203" s="6">
        <f>0</f>
        <v>0</v>
      </c>
      <c r="BP1203" s="4" t="s">
        <v>256</v>
      </c>
      <c r="BQ1203" s="4" t="s">
        <v>257</v>
      </c>
      <c r="CE1203" s="4" t="s">
        <v>241</v>
      </c>
      <c r="CF1203" s="4" t="s">
        <v>241</v>
      </c>
      <c r="CJ1203" s="4" t="s">
        <v>276</v>
      </c>
      <c r="CK1203" s="4" t="s">
        <v>259</v>
      </c>
      <c r="CL1203" s="4" t="s">
        <v>241</v>
      </c>
      <c r="CO1203" s="5" t="s">
        <v>260</v>
      </c>
      <c r="CP1203" s="4" t="s">
        <v>241</v>
      </c>
      <c r="CQ1203" s="4" t="s">
        <v>261</v>
      </c>
      <c r="CR1203" s="4" t="s">
        <v>241</v>
      </c>
      <c r="CS1203" s="4" t="s">
        <v>241</v>
      </c>
      <c r="CT1203" s="4">
        <v>0</v>
      </c>
      <c r="CU1203" s="4" t="s">
        <v>262</v>
      </c>
      <c r="CV1203" s="4" t="s">
        <v>263</v>
      </c>
      <c r="CW1203" s="4" t="s">
        <v>263</v>
      </c>
      <c r="CX1203" s="4" t="s">
        <v>264</v>
      </c>
      <c r="DA1203" s="6">
        <f>1</f>
        <v>1</v>
      </c>
      <c r="DC1203" s="4" t="s">
        <v>277</v>
      </c>
      <c r="DD1203" s="4" t="s">
        <v>241</v>
      </c>
      <c r="DF1203" s="4" t="s">
        <v>277</v>
      </c>
      <c r="DG1203" s="6">
        <f>4620</f>
        <v>4620</v>
      </c>
      <c r="DI1203" s="4" t="s">
        <v>241</v>
      </c>
      <c r="DJ1203" s="4" t="s">
        <v>241</v>
      </c>
      <c r="DK1203" s="4" t="s">
        <v>241</v>
      </c>
      <c r="DL1203" s="4" t="s">
        <v>241</v>
      </c>
      <c r="DP1203" s="4" t="s">
        <v>241</v>
      </c>
      <c r="DQ1203" s="4" t="s">
        <v>241</v>
      </c>
      <c r="DR1203" s="4" t="s">
        <v>241</v>
      </c>
      <c r="DS1203" s="4" t="s">
        <v>241</v>
      </c>
      <c r="DV1203" s="4" t="s">
        <v>278</v>
      </c>
      <c r="DW1203" s="4" t="s">
        <v>2981</v>
      </c>
      <c r="HO1203" s="4" t="s">
        <v>267</v>
      </c>
    </row>
    <row r="1204" spans="1:223" ht="19.5" customHeight="1" x14ac:dyDescent="0.4">
      <c r="A1204" s="4">
        <v>1</v>
      </c>
      <c r="B1204" s="4" t="s">
        <v>239</v>
      </c>
      <c r="C1204" s="4">
        <v>2878</v>
      </c>
      <c r="D1204" s="4">
        <v>1</v>
      </c>
      <c r="E1204" s="4">
        <v>1</v>
      </c>
      <c r="F1204" s="4" t="s">
        <v>268</v>
      </c>
      <c r="G1204" s="4" t="s">
        <v>241</v>
      </c>
      <c r="H1204" s="4" t="s">
        <v>241</v>
      </c>
      <c r="I1204" s="4" t="s">
        <v>272</v>
      </c>
      <c r="J1204" s="4" t="s">
        <v>274</v>
      </c>
      <c r="K1204" s="4" t="s">
        <v>251</v>
      </c>
      <c r="L1204" s="4" t="s">
        <v>269</v>
      </c>
      <c r="M1204" s="5" t="s">
        <v>2978</v>
      </c>
      <c r="N1204" s="6">
        <f>1669</f>
        <v>1669</v>
      </c>
      <c r="O1204" s="4" t="s">
        <v>265</v>
      </c>
      <c r="P1204" s="6">
        <f>1</f>
        <v>1</v>
      </c>
      <c r="Q1204" s="6">
        <f>0</f>
        <v>0</v>
      </c>
      <c r="S1204" s="6">
        <f>0</f>
        <v>0</v>
      </c>
      <c r="T1204" s="6">
        <f>1</f>
        <v>1</v>
      </c>
      <c r="U1204" s="5" t="s">
        <v>245</v>
      </c>
      <c r="V1204" s="4" t="s">
        <v>270</v>
      </c>
      <c r="W1204" s="4" t="s">
        <v>271</v>
      </c>
      <c r="X1204" s="4" t="s">
        <v>273</v>
      </c>
      <c r="Y1204" s="4" t="s">
        <v>241</v>
      </c>
      <c r="AB1204" s="4" t="s">
        <v>241</v>
      </c>
      <c r="AD1204" s="5" t="s">
        <v>241</v>
      </c>
      <c r="AG1204" s="5" t="s">
        <v>246</v>
      </c>
      <c r="AH1204" s="4" t="s">
        <v>241</v>
      </c>
      <c r="AI1204" s="4" t="s">
        <v>247</v>
      </c>
      <c r="AJ1204" s="4" t="s">
        <v>248</v>
      </c>
      <c r="AZ1204" s="4" t="s">
        <v>249</v>
      </c>
      <c r="BA1204" s="4" t="s">
        <v>241</v>
      </c>
      <c r="BB1204" s="4" t="s">
        <v>250</v>
      </c>
      <c r="BC1204" s="4" t="s">
        <v>241</v>
      </c>
      <c r="BD1204" s="4" t="s">
        <v>252</v>
      </c>
      <c r="BE1204" s="4" t="s">
        <v>241</v>
      </c>
      <c r="BI1204" s="4" t="s">
        <v>253</v>
      </c>
      <c r="BJ1204" s="5" t="s">
        <v>246</v>
      </c>
      <c r="BK1204" s="4" t="s">
        <v>254</v>
      </c>
      <c r="BL1204" s="4" t="s">
        <v>255</v>
      </c>
      <c r="BM1204" s="4" t="s">
        <v>241</v>
      </c>
      <c r="BN1204" s="6">
        <f>0</f>
        <v>0</v>
      </c>
      <c r="BO1204" s="6">
        <f>0</f>
        <v>0</v>
      </c>
      <c r="BP1204" s="4" t="s">
        <v>256</v>
      </c>
      <c r="BQ1204" s="4" t="s">
        <v>257</v>
      </c>
      <c r="CE1204" s="4" t="s">
        <v>241</v>
      </c>
      <c r="CF1204" s="4" t="s">
        <v>241</v>
      </c>
      <c r="CJ1204" s="4" t="s">
        <v>276</v>
      </c>
      <c r="CK1204" s="4" t="s">
        <v>259</v>
      </c>
      <c r="CL1204" s="4" t="s">
        <v>241</v>
      </c>
      <c r="CO1204" s="5" t="s">
        <v>260</v>
      </c>
      <c r="CP1204" s="4" t="s">
        <v>241</v>
      </c>
      <c r="CQ1204" s="4" t="s">
        <v>261</v>
      </c>
      <c r="CR1204" s="4" t="s">
        <v>241</v>
      </c>
      <c r="CS1204" s="4" t="s">
        <v>241</v>
      </c>
      <c r="CT1204" s="4">
        <v>0</v>
      </c>
      <c r="CU1204" s="4" t="s">
        <v>262</v>
      </c>
      <c r="CV1204" s="4" t="s">
        <v>263</v>
      </c>
      <c r="CW1204" s="4" t="s">
        <v>263</v>
      </c>
      <c r="CX1204" s="4" t="s">
        <v>264</v>
      </c>
      <c r="DA1204" s="6">
        <f>1</f>
        <v>1</v>
      </c>
      <c r="DC1204" s="4" t="s">
        <v>277</v>
      </c>
      <c r="DD1204" s="4" t="s">
        <v>241</v>
      </c>
      <c r="DF1204" s="4" t="s">
        <v>277</v>
      </c>
      <c r="DG1204" s="6">
        <f>1669</f>
        <v>1669</v>
      </c>
      <c r="DI1204" s="4" t="s">
        <v>241</v>
      </c>
      <c r="DJ1204" s="4" t="s">
        <v>241</v>
      </c>
      <c r="DK1204" s="4" t="s">
        <v>241</v>
      </c>
      <c r="DL1204" s="4" t="s">
        <v>241</v>
      </c>
      <c r="DP1204" s="4" t="s">
        <v>241</v>
      </c>
      <c r="DQ1204" s="4" t="s">
        <v>241</v>
      </c>
      <c r="DR1204" s="4" t="s">
        <v>241</v>
      </c>
      <c r="DS1204" s="4" t="s">
        <v>241</v>
      </c>
      <c r="DV1204" s="4" t="s">
        <v>278</v>
      </c>
      <c r="DW1204" s="4" t="s">
        <v>2979</v>
      </c>
      <c r="HO1204" s="4" t="s">
        <v>267</v>
      </c>
    </row>
    <row r="1205" spans="1:223" ht="19.5" customHeight="1" x14ac:dyDescent="0.4">
      <c r="A1205" s="4">
        <v>1</v>
      </c>
      <c r="B1205" s="4" t="s">
        <v>239</v>
      </c>
      <c r="C1205" s="4">
        <v>2879</v>
      </c>
      <c r="D1205" s="4">
        <v>1</v>
      </c>
      <c r="E1205" s="4">
        <v>1</v>
      </c>
      <c r="F1205" s="4" t="s">
        <v>268</v>
      </c>
      <c r="G1205" s="4" t="s">
        <v>241</v>
      </c>
      <c r="H1205" s="4" t="s">
        <v>241</v>
      </c>
      <c r="I1205" s="4" t="s">
        <v>272</v>
      </c>
      <c r="J1205" s="4" t="s">
        <v>274</v>
      </c>
      <c r="K1205" s="4" t="s">
        <v>251</v>
      </c>
      <c r="L1205" s="4" t="s">
        <v>269</v>
      </c>
      <c r="M1205" s="5" t="s">
        <v>2976</v>
      </c>
      <c r="N1205" s="6">
        <f>1728</f>
        <v>1728</v>
      </c>
      <c r="O1205" s="4" t="s">
        <v>265</v>
      </c>
      <c r="P1205" s="6">
        <f>1</f>
        <v>1</v>
      </c>
      <c r="Q1205" s="6">
        <f>0</f>
        <v>0</v>
      </c>
      <c r="S1205" s="6">
        <f>0</f>
        <v>0</v>
      </c>
      <c r="T1205" s="6">
        <f>1</f>
        <v>1</v>
      </c>
      <c r="U1205" s="5" t="s">
        <v>245</v>
      </c>
      <c r="V1205" s="4" t="s">
        <v>270</v>
      </c>
      <c r="W1205" s="4" t="s">
        <v>271</v>
      </c>
      <c r="X1205" s="4" t="s">
        <v>273</v>
      </c>
      <c r="Y1205" s="4" t="s">
        <v>241</v>
      </c>
      <c r="AB1205" s="4" t="s">
        <v>241</v>
      </c>
      <c r="AD1205" s="5" t="s">
        <v>241</v>
      </c>
      <c r="AG1205" s="5" t="s">
        <v>246</v>
      </c>
      <c r="AH1205" s="4" t="s">
        <v>241</v>
      </c>
      <c r="AI1205" s="4" t="s">
        <v>247</v>
      </c>
      <c r="AJ1205" s="4" t="s">
        <v>248</v>
      </c>
      <c r="AZ1205" s="4" t="s">
        <v>249</v>
      </c>
      <c r="BA1205" s="4" t="s">
        <v>241</v>
      </c>
      <c r="BB1205" s="4" t="s">
        <v>250</v>
      </c>
      <c r="BC1205" s="4" t="s">
        <v>241</v>
      </c>
      <c r="BD1205" s="4" t="s">
        <v>252</v>
      </c>
      <c r="BE1205" s="4" t="s">
        <v>241</v>
      </c>
      <c r="BI1205" s="4" t="s">
        <v>253</v>
      </c>
      <c r="BJ1205" s="5" t="s">
        <v>246</v>
      </c>
      <c r="BK1205" s="4" t="s">
        <v>254</v>
      </c>
      <c r="BL1205" s="4" t="s">
        <v>255</v>
      </c>
      <c r="BM1205" s="4" t="s">
        <v>241</v>
      </c>
      <c r="BN1205" s="6">
        <f>0</f>
        <v>0</v>
      </c>
      <c r="BO1205" s="6">
        <f>0</f>
        <v>0</v>
      </c>
      <c r="BP1205" s="4" t="s">
        <v>256</v>
      </c>
      <c r="BQ1205" s="4" t="s">
        <v>257</v>
      </c>
      <c r="CE1205" s="4" t="s">
        <v>241</v>
      </c>
      <c r="CF1205" s="4" t="s">
        <v>241</v>
      </c>
      <c r="CJ1205" s="4" t="s">
        <v>276</v>
      </c>
      <c r="CK1205" s="4" t="s">
        <v>259</v>
      </c>
      <c r="CL1205" s="4" t="s">
        <v>241</v>
      </c>
      <c r="CO1205" s="5" t="s">
        <v>260</v>
      </c>
      <c r="CP1205" s="4" t="s">
        <v>241</v>
      </c>
      <c r="CQ1205" s="4" t="s">
        <v>261</v>
      </c>
      <c r="CR1205" s="4" t="s">
        <v>241</v>
      </c>
      <c r="CS1205" s="4" t="s">
        <v>241</v>
      </c>
      <c r="CT1205" s="4">
        <v>0</v>
      </c>
      <c r="CU1205" s="4" t="s">
        <v>262</v>
      </c>
      <c r="CV1205" s="4" t="s">
        <v>263</v>
      </c>
      <c r="CW1205" s="4" t="s">
        <v>263</v>
      </c>
      <c r="CX1205" s="4" t="s">
        <v>264</v>
      </c>
      <c r="DA1205" s="6">
        <f>1</f>
        <v>1</v>
      </c>
      <c r="DC1205" s="4" t="s">
        <v>277</v>
      </c>
      <c r="DD1205" s="4" t="s">
        <v>241</v>
      </c>
      <c r="DF1205" s="4" t="s">
        <v>277</v>
      </c>
      <c r="DG1205" s="6">
        <f>1728</f>
        <v>1728</v>
      </c>
      <c r="DI1205" s="4" t="s">
        <v>241</v>
      </c>
      <c r="DJ1205" s="4" t="s">
        <v>241</v>
      </c>
      <c r="DK1205" s="4" t="s">
        <v>241</v>
      </c>
      <c r="DL1205" s="4" t="s">
        <v>241</v>
      </c>
      <c r="DP1205" s="4" t="s">
        <v>241</v>
      </c>
      <c r="DQ1205" s="4" t="s">
        <v>241</v>
      </c>
      <c r="DR1205" s="4" t="s">
        <v>241</v>
      </c>
      <c r="DS1205" s="4" t="s">
        <v>241</v>
      </c>
      <c r="DV1205" s="4" t="s">
        <v>278</v>
      </c>
      <c r="DW1205" s="4" t="s">
        <v>2977</v>
      </c>
      <c r="HO1205" s="4" t="s">
        <v>267</v>
      </c>
    </row>
    <row r="1206" spans="1:223" ht="19.5" customHeight="1" x14ac:dyDescent="0.4">
      <c r="A1206" s="4">
        <v>1</v>
      </c>
      <c r="B1206" s="4" t="s">
        <v>239</v>
      </c>
      <c r="C1206" s="4">
        <v>2880</v>
      </c>
      <c r="D1206" s="4">
        <v>1</v>
      </c>
      <c r="E1206" s="4">
        <v>1</v>
      </c>
      <c r="F1206" s="4" t="s">
        <v>268</v>
      </c>
      <c r="G1206" s="4" t="s">
        <v>241</v>
      </c>
      <c r="H1206" s="4" t="s">
        <v>241</v>
      </c>
      <c r="I1206" s="4" t="s">
        <v>272</v>
      </c>
      <c r="J1206" s="4" t="s">
        <v>274</v>
      </c>
      <c r="K1206" s="4" t="s">
        <v>251</v>
      </c>
      <c r="L1206" s="4" t="s">
        <v>269</v>
      </c>
      <c r="M1206" s="5" t="s">
        <v>1910</v>
      </c>
      <c r="N1206" s="6">
        <f>1701</f>
        <v>1701</v>
      </c>
      <c r="O1206" s="4" t="s">
        <v>265</v>
      </c>
      <c r="P1206" s="6">
        <f>1</f>
        <v>1</v>
      </c>
      <c r="Q1206" s="6">
        <f>0</f>
        <v>0</v>
      </c>
      <c r="S1206" s="6">
        <f>0</f>
        <v>0</v>
      </c>
      <c r="T1206" s="6">
        <f>1</f>
        <v>1</v>
      </c>
      <c r="U1206" s="5" t="s">
        <v>245</v>
      </c>
      <c r="V1206" s="4" t="s">
        <v>270</v>
      </c>
      <c r="W1206" s="4" t="s">
        <v>271</v>
      </c>
      <c r="X1206" s="4" t="s">
        <v>273</v>
      </c>
      <c r="Y1206" s="4" t="s">
        <v>241</v>
      </c>
      <c r="AB1206" s="4" t="s">
        <v>241</v>
      </c>
      <c r="AD1206" s="5" t="s">
        <v>241</v>
      </c>
      <c r="AG1206" s="5" t="s">
        <v>246</v>
      </c>
      <c r="AH1206" s="4" t="s">
        <v>241</v>
      </c>
      <c r="AI1206" s="4" t="s">
        <v>247</v>
      </c>
      <c r="AJ1206" s="4" t="s">
        <v>248</v>
      </c>
      <c r="AZ1206" s="4" t="s">
        <v>249</v>
      </c>
      <c r="BA1206" s="4" t="s">
        <v>241</v>
      </c>
      <c r="BB1206" s="4" t="s">
        <v>250</v>
      </c>
      <c r="BC1206" s="4" t="s">
        <v>241</v>
      </c>
      <c r="BD1206" s="4" t="s">
        <v>252</v>
      </c>
      <c r="BE1206" s="4" t="s">
        <v>241</v>
      </c>
      <c r="BI1206" s="4" t="s">
        <v>253</v>
      </c>
      <c r="BJ1206" s="5" t="s">
        <v>246</v>
      </c>
      <c r="BK1206" s="4" t="s">
        <v>254</v>
      </c>
      <c r="BL1206" s="4" t="s">
        <v>255</v>
      </c>
      <c r="BM1206" s="4" t="s">
        <v>241</v>
      </c>
      <c r="BN1206" s="6">
        <f>0</f>
        <v>0</v>
      </c>
      <c r="BO1206" s="6">
        <f>0</f>
        <v>0</v>
      </c>
      <c r="BP1206" s="4" t="s">
        <v>256</v>
      </c>
      <c r="BQ1206" s="4" t="s">
        <v>257</v>
      </c>
      <c r="CE1206" s="4" t="s">
        <v>241</v>
      </c>
      <c r="CF1206" s="4" t="s">
        <v>241</v>
      </c>
      <c r="CJ1206" s="4" t="s">
        <v>276</v>
      </c>
      <c r="CK1206" s="4" t="s">
        <v>259</v>
      </c>
      <c r="CL1206" s="4" t="s">
        <v>241</v>
      </c>
      <c r="CO1206" s="5" t="s">
        <v>260</v>
      </c>
      <c r="CP1206" s="4" t="s">
        <v>241</v>
      </c>
      <c r="CQ1206" s="4" t="s">
        <v>261</v>
      </c>
      <c r="CR1206" s="4" t="s">
        <v>241</v>
      </c>
      <c r="CS1206" s="4" t="s">
        <v>241</v>
      </c>
      <c r="CT1206" s="4">
        <v>0</v>
      </c>
      <c r="CU1206" s="4" t="s">
        <v>262</v>
      </c>
      <c r="CV1206" s="4" t="s">
        <v>263</v>
      </c>
      <c r="CW1206" s="4" t="s">
        <v>263</v>
      </c>
      <c r="CX1206" s="4" t="s">
        <v>264</v>
      </c>
      <c r="DA1206" s="6">
        <f>1</f>
        <v>1</v>
      </c>
      <c r="DC1206" s="4" t="s">
        <v>277</v>
      </c>
      <c r="DD1206" s="4" t="s">
        <v>241</v>
      </c>
      <c r="DF1206" s="4" t="s">
        <v>277</v>
      </c>
      <c r="DG1206" s="6">
        <f>1701</f>
        <v>1701</v>
      </c>
      <c r="DI1206" s="4" t="s">
        <v>241</v>
      </c>
      <c r="DJ1206" s="4" t="s">
        <v>241</v>
      </c>
      <c r="DK1206" s="4" t="s">
        <v>241</v>
      </c>
      <c r="DL1206" s="4" t="s">
        <v>241</v>
      </c>
      <c r="DP1206" s="4" t="s">
        <v>241</v>
      </c>
      <c r="DQ1206" s="4" t="s">
        <v>241</v>
      </c>
      <c r="DR1206" s="4" t="s">
        <v>241</v>
      </c>
      <c r="DS1206" s="4" t="s">
        <v>241</v>
      </c>
      <c r="DV1206" s="4" t="s">
        <v>278</v>
      </c>
      <c r="DW1206" s="4" t="s">
        <v>1911</v>
      </c>
      <c r="HO1206" s="4" t="s">
        <v>267</v>
      </c>
    </row>
    <row r="1207" spans="1:223" ht="19.5" customHeight="1" x14ac:dyDescent="0.4">
      <c r="A1207" s="4">
        <v>1</v>
      </c>
      <c r="B1207" s="4" t="s">
        <v>239</v>
      </c>
      <c r="C1207" s="4">
        <v>2881</v>
      </c>
      <c r="D1207" s="4">
        <v>1</v>
      </c>
      <c r="E1207" s="4">
        <v>1</v>
      </c>
      <c r="F1207" s="4" t="s">
        <v>268</v>
      </c>
      <c r="G1207" s="4" t="s">
        <v>241</v>
      </c>
      <c r="H1207" s="4" t="s">
        <v>241</v>
      </c>
      <c r="I1207" s="4" t="s">
        <v>272</v>
      </c>
      <c r="J1207" s="4" t="s">
        <v>274</v>
      </c>
      <c r="K1207" s="4" t="s">
        <v>251</v>
      </c>
      <c r="L1207" s="4" t="s">
        <v>269</v>
      </c>
      <c r="M1207" s="5" t="s">
        <v>2972</v>
      </c>
      <c r="N1207" s="6">
        <f>4250</f>
        <v>4250</v>
      </c>
      <c r="O1207" s="4" t="s">
        <v>265</v>
      </c>
      <c r="P1207" s="6">
        <f>1</f>
        <v>1</v>
      </c>
      <c r="Q1207" s="6">
        <f>0</f>
        <v>0</v>
      </c>
      <c r="S1207" s="6">
        <f>0</f>
        <v>0</v>
      </c>
      <c r="T1207" s="6">
        <f>1</f>
        <v>1</v>
      </c>
      <c r="U1207" s="5" t="s">
        <v>245</v>
      </c>
      <c r="V1207" s="4" t="s">
        <v>270</v>
      </c>
      <c r="W1207" s="4" t="s">
        <v>271</v>
      </c>
      <c r="X1207" s="4" t="s">
        <v>273</v>
      </c>
      <c r="Y1207" s="4" t="s">
        <v>241</v>
      </c>
      <c r="AB1207" s="4" t="s">
        <v>241</v>
      </c>
      <c r="AD1207" s="5" t="s">
        <v>241</v>
      </c>
      <c r="AG1207" s="5" t="s">
        <v>246</v>
      </c>
      <c r="AH1207" s="4" t="s">
        <v>241</v>
      </c>
      <c r="AI1207" s="4" t="s">
        <v>247</v>
      </c>
      <c r="AJ1207" s="4" t="s">
        <v>248</v>
      </c>
      <c r="AZ1207" s="4" t="s">
        <v>249</v>
      </c>
      <c r="BA1207" s="4" t="s">
        <v>241</v>
      </c>
      <c r="BB1207" s="4" t="s">
        <v>250</v>
      </c>
      <c r="BC1207" s="4" t="s">
        <v>241</v>
      </c>
      <c r="BD1207" s="4" t="s">
        <v>252</v>
      </c>
      <c r="BE1207" s="4" t="s">
        <v>241</v>
      </c>
      <c r="BI1207" s="4" t="s">
        <v>253</v>
      </c>
      <c r="BJ1207" s="5" t="s">
        <v>246</v>
      </c>
      <c r="BK1207" s="4" t="s">
        <v>254</v>
      </c>
      <c r="BL1207" s="4" t="s">
        <v>255</v>
      </c>
      <c r="BM1207" s="4" t="s">
        <v>241</v>
      </c>
      <c r="BN1207" s="6">
        <f>0</f>
        <v>0</v>
      </c>
      <c r="BO1207" s="6">
        <f>0</f>
        <v>0</v>
      </c>
      <c r="BP1207" s="4" t="s">
        <v>256</v>
      </c>
      <c r="BQ1207" s="4" t="s">
        <v>257</v>
      </c>
      <c r="CE1207" s="4" t="s">
        <v>241</v>
      </c>
      <c r="CF1207" s="4" t="s">
        <v>241</v>
      </c>
      <c r="CJ1207" s="4" t="s">
        <v>276</v>
      </c>
      <c r="CK1207" s="4" t="s">
        <v>259</v>
      </c>
      <c r="CL1207" s="4" t="s">
        <v>241</v>
      </c>
      <c r="CO1207" s="5" t="s">
        <v>260</v>
      </c>
      <c r="CP1207" s="4" t="s">
        <v>241</v>
      </c>
      <c r="CQ1207" s="4" t="s">
        <v>261</v>
      </c>
      <c r="CR1207" s="4" t="s">
        <v>241</v>
      </c>
      <c r="CS1207" s="4" t="s">
        <v>241</v>
      </c>
      <c r="CT1207" s="4">
        <v>0</v>
      </c>
      <c r="CU1207" s="4" t="s">
        <v>262</v>
      </c>
      <c r="CV1207" s="4" t="s">
        <v>263</v>
      </c>
      <c r="CW1207" s="4" t="s">
        <v>263</v>
      </c>
      <c r="CX1207" s="4" t="s">
        <v>264</v>
      </c>
      <c r="DA1207" s="6">
        <f>1</f>
        <v>1</v>
      </c>
      <c r="DC1207" s="4" t="s">
        <v>277</v>
      </c>
      <c r="DD1207" s="4" t="s">
        <v>241</v>
      </c>
      <c r="DF1207" s="4" t="s">
        <v>277</v>
      </c>
      <c r="DG1207" s="6">
        <f>4250</f>
        <v>4250</v>
      </c>
      <c r="DI1207" s="4" t="s">
        <v>241</v>
      </c>
      <c r="DJ1207" s="4" t="s">
        <v>241</v>
      </c>
      <c r="DK1207" s="4" t="s">
        <v>241</v>
      </c>
      <c r="DL1207" s="4" t="s">
        <v>241</v>
      </c>
      <c r="DP1207" s="4" t="s">
        <v>241</v>
      </c>
      <c r="DQ1207" s="4" t="s">
        <v>241</v>
      </c>
      <c r="DR1207" s="4" t="s">
        <v>241</v>
      </c>
      <c r="DS1207" s="4" t="s">
        <v>241</v>
      </c>
      <c r="DV1207" s="4" t="s">
        <v>278</v>
      </c>
      <c r="DW1207" s="4" t="s">
        <v>2973</v>
      </c>
      <c r="HO1207" s="4" t="s">
        <v>267</v>
      </c>
    </row>
    <row r="1208" spans="1:223" ht="19.5" customHeight="1" x14ac:dyDescent="0.4">
      <c r="A1208" s="4">
        <v>1</v>
      </c>
      <c r="B1208" s="4" t="s">
        <v>239</v>
      </c>
      <c r="C1208" s="4">
        <v>2882</v>
      </c>
      <c r="D1208" s="4">
        <v>1</v>
      </c>
      <c r="E1208" s="4">
        <v>1</v>
      </c>
      <c r="F1208" s="4" t="s">
        <v>268</v>
      </c>
      <c r="G1208" s="4" t="s">
        <v>241</v>
      </c>
      <c r="H1208" s="4" t="s">
        <v>241</v>
      </c>
      <c r="I1208" s="4" t="s">
        <v>272</v>
      </c>
      <c r="J1208" s="4" t="s">
        <v>274</v>
      </c>
      <c r="K1208" s="4" t="s">
        <v>251</v>
      </c>
      <c r="L1208" s="4" t="s">
        <v>269</v>
      </c>
      <c r="M1208" s="5" t="s">
        <v>2970</v>
      </c>
      <c r="N1208" s="6">
        <f>2795</f>
        <v>2795</v>
      </c>
      <c r="O1208" s="4" t="s">
        <v>265</v>
      </c>
      <c r="P1208" s="6">
        <f>1</f>
        <v>1</v>
      </c>
      <c r="Q1208" s="6">
        <f>0</f>
        <v>0</v>
      </c>
      <c r="S1208" s="6">
        <f>0</f>
        <v>0</v>
      </c>
      <c r="T1208" s="6">
        <f>1</f>
        <v>1</v>
      </c>
      <c r="U1208" s="5" t="s">
        <v>245</v>
      </c>
      <c r="V1208" s="4" t="s">
        <v>270</v>
      </c>
      <c r="W1208" s="4" t="s">
        <v>271</v>
      </c>
      <c r="X1208" s="4" t="s">
        <v>273</v>
      </c>
      <c r="Y1208" s="4" t="s">
        <v>241</v>
      </c>
      <c r="AB1208" s="4" t="s">
        <v>241</v>
      </c>
      <c r="AD1208" s="5" t="s">
        <v>241</v>
      </c>
      <c r="AG1208" s="5" t="s">
        <v>246</v>
      </c>
      <c r="AH1208" s="4" t="s">
        <v>241</v>
      </c>
      <c r="AI1208" s="4" t="s">
        <v>247</v>
      </c>
      <c r="AJ1208" s="4" t="s">
        <v>248</v>
      </c>
      <c r="AZ1208" s="4" t="s">
        <v>249</v>
      </c>
      <c r="BA1208" s="4" t="s">
        <v>241</v>
      </c>
      <c r="BB1208" s="4" t="s">
        <v>250</v>
      </c>
      <c r="BC1208" s="4" t="s">
        <v>241</v>
      </c>
      <c r="BD1208" s="4" t="s">
        <v>252</v>
      </c>
      <c r="BE1208" s="4" t="s">
        <v>241</v>
      </c>
      <c r="BI1208" s="4" t="s">
        <v>253</v>
      </c>
      <c r="BJ1208" s="5" t="s">
        <v>246</v>
      </c>
      <c r="BK1208" s="4" t="s">
        <v>254</v>
      </c>
      <c r="BL1208" s="4" t="s">
        <v>255</v>
      </c>
      <c r="BM1208" s="4" t="s">
        <v>241</v>
      </c>
      <c r="BN1208" s="6">
        <f>0</f>
        <v>0</v>
      </c>
      <c r="BO1208" s="6">
        <f>0</f>
        <v>0</v>
      </c>
      <c r="BP1208" s="4" t="s">
        <v>256</v>
      </c>
      <c r="BQ1208" s="4" t="s">
        <v>257</v>
      </c>
      <c r="CE1208" s="4" t="s">
        <v>241</v>
      </c>
      <c r="CF1208" s="4" t="s">
        <v>241</v>
      </c>
      <c r="CJ1208" s="4" t="s">
        <v>276</v>
      </c>
      <c r="CK1208" s="4" t="s">
        <v>259</v>
      </c>
      <c r="CL1208" s="4" t="s">
        <v>241</v>
      </c>
      <c r="CO1208" s="5" t="s">
        <v>260</v>
      </c>
      <c r="CP1208" s="4" t="s">
        <v>241</v>
      </c>
      <c r="CQ1208" s="4" t="s">
        <v>261</v>
      </c>
      <c r="CR1208" s="4" t="s">
        <v>241</v>
      </c>
      <c r="CS1208" s="4" t="s">
        <v>241</v>
      </c>
      <c r="CT1208" s="4">
        <v>0</v>
      </c>
      <c r="CU1208" s="4" t="s">
        <v>262</v>
      </c>
      <c r="CV1208" s="4" t="s">
        <v>263</v>
      </c>
      <c r="CW1208" s="4" t="s">
        <v>263</v>
      </c>
      <c r="CX1208" s="4" t="s">
        <v>264</v>
      </c>
      <c r="DA1208" s="6">
        <f>1</f>
        <v>1</v>
      </c>
      <c r="DC1208" s="4" t="s">
        <v>277</v>
      </c>
      <c r="DD1208" s="4" t="s">
        <v>241</v>
      </c>
      <c r="DF1208" s="4" t="s">
        <v>277</v>
      </c>
      <c r="DG1208" s="6">
        <f>2795</f>
        <v>2795</v>
      </c>
      <c r="DI1208" s="4" t="s">
        <v>241</v>
      </c>
      <c r="DJ1208" s="4" t="s">
        <v>241</v>
      </c>
      <c r="DK1208" s="4" t="s">
        <v>241</v>
      </c>
      <c r="DL1208" s="4" t="s">
        <v>241</v>
      </c>
      <c r="DP1208" s="4" t="s">
        <v>241</v>
      </c>
      <c r="DQ1208" s="4" t="s">
        <v>241</v>
      </c>
      <c r="DR1208" s="4" t="s">
        <v>241</v>
      </c>
      <c r="DS1208" s="4" t="s">
        <v>241</v>
      </c>
      <c r="DV1208" s="4" t="s">
        <v>278</v>
      </c>
      <c r="DW1208" s="4" t="s">
        <v>2971</v>
      </c>
      <c r="HO1208" s="4" t="s">
        <v>267</v>
      </c>
    </row>
    <row r="1209" spans="1:223" ht="19.5" customHeight="1" x14ac:dyDescent="0.4">
      <c r="A1209" s="4">
        <v>1</v>
      </c>
      <c r="B1209" s="4" t="s">
        <v>239</v>
      </c>
      <c r="C1209" s="4">
        <v>2883</v>
      </c>
      <c r="D1209" s="4">
        <v>1</v>
      </c>
      <c r="E1209" s="4">
        <v>1</v>
      </c>
      <c r="F1209" s="4" t="s">
        <v>268</v>
      </c>
      <c r="G1209" s="4" t="s">
        <v>241</v>
      </c>
      <c r="H1209" s="4" t="s">
        <v>241</v>
      </c>
      <c r="I1209" s="4" t="s">
        <v>272</v>
      </c>
      <c r="J1209" s="4" t="s">
        <v>274</v>
      </c>
      <c r="K1209" s="4" t="s">
        <v>251</v>
      </c>
      <c r="L1209" s="4" t="s">
        <v>269</v>
      </c>
      <c r="M1209" s="5" t="s">
        <v>2968</v>
      </c>
      <c r="N1209" s="6">
        <f>1301</f>
        <v>1301</v>
      </c>
      <c r="O1209" s="4" t="s">
        <v>265</v>
      </c>
      <c r="P1209" s="6">
        <f>1</f>
        <v>1</v>
      </c>
      <c r="Q1209" s="6">
        <f>0</f>
        <v>0</v>
      </c>
      <c r="S1209" s="6">
        <f>0</f>
        <v>0</v>
      </c>
      <c r="T1209" s="6">
        <f>1</f>
        <v>1</v>
      </c>
      <c r="U1209" s="5" t="s">
        <v>245</v>
      </c>
      <c r="V1209" s="4" t="s">
        <v>270</v>
      </c>
      <c r="W1209" s="4" t="s">
        <v>271</v>
      </c>
      <c r="X1209" s="4" t="s">
        <v>273</v>
      </c>
      <c r="Y1209" s="4" t="s">
        <v>241</v>
      </c>
      <c r="AB1209" s="4" t="s">
        <v>241</v>
      </c>
      <c r="AD1209" s="5" t="s">
        <v>241</v>
      </c>
      <c r="AG1209" s="5" t="s">
        <v>246</v>
      </c>
      <c r="AH1209" s="4" t="s">
        <v>241</v>
      </c>
      <c r="AI1209" s="4" t="s">
        <v>247</v>
      </c>
      <c r="AJ1209" s="4" t="s">
        <v>248</v>
      </c>
      <c r="AZ1209" s="4" t="s">
        <v>249</v>
      </c>
      <c r="BA1209" s="4" t="s">
        <v>241</v>
      </c>
      <c r="BB1209" s="4" t="s">
        <v>250</v>
      </c>
      <c r="BC1209" s="4" t="s">
        <v>241</v>
      </c>
      <c r="BD1209" s="4" t="s">
        <v>252</v>
      </c>
      <c r="BE1209" s="4" t="s">
        <v>241</v>
      </c>
      <c r="BI1209" s="4" t="s">
        <v>253</v>
      </c>
      <c r="BJ1209" s="5" t="s">
        <v>246</v>
      </c>
      <c r="BK1209" s="4" t="s">
        <v>254</v>
      </c>
      <c r="BL1209" s="4" t="s">
        <v>255</v>
      </c>
      <c r="BM1209" s="4" t="s">
        <v>241</v>
      </c>
      <c r="BN1209" s="6">
        <f>0</f>
        <v>0</v>
      </c>
      <c r="BO1209" s="6">
        <f>0</f>
        <v>0</v>
      </c>
      <c r="BP1209" s="4" t="s">
        <v>256</v>
      </c>
      <c r="BQ1209" s="4" t="s">
        <v>257</v>
      </c>
      <c r="CE1209" s="4" t="s">
        <v>241</v>
      </c>
      <c r="CF1209" s="4" t="s">
        <v>241</v>
      </c>
      <c r="CJ1209" s="4" t="s">
        <v>276</v>
      </c>
      <c r="CK1209" s="4" t="s">
        <v>259</v>
      </c>
      <c r="CL1209" s="4" t="s">
        <v>241</v>
      </c>
      <c r="CO1209" s="5" t="s">
        <v>260</v>
      </c>
      <c r="CP1209" s="4" t="s">
        <v>241</v>
      </c>
      <c r="CQ1209" s="4" t="s">
        <v>261</v>
      </c>
      <c r="CR1209" s="4" t="s">
        <v>241</v>
      </c>
      <c r="CS1209" s="4" t="s">
        <v>241</v>
      </c>
      <c r="CT1209" s="4">
        <v>0</v>
      </c>
      <c r="CU1209" s="4" t="s">
        <v>262</v>
      </c>
      <c r="CV1209" s="4" t="s">
        <v>263</v>
      </c>
      <c r="CW1209" s="4" t="s">
        <v>263</v>
      </c>
      <c r="CX1209" s="4" t="s">
        <v>264</v>
      </c>
      <c r="DA1209" s="6">
        <f>1</f>
        <v>1</v>
      </c>
      <c r="DC1209" s="4" t="s">
        <v>277</v>
      </c>
      <c r="DD1209" s="4" t="s">
        <v>241</v>
      </c>
      <c r="DF1209" s="4" t="s">
        <v>277</v>
      </c>
      <c r="DG1209" s="6">
        <f>1301</f>
        <v>1301</v>
      </c>
      <c r="DI1209" s="4" t="s">
        <v>241</v>
      </c>
      <c r="DJ1209" s="4" t="s">
        <v>241</v>
      </c>
      <c r="DK1209" s="4" t="s">
        <v>241</v>
      </c>
      <c r="DL1209" s="4" t="s">
        <v>241</v>
      </c>
      <c r="DP1209" s="4" t="s">
        <v>241</v>
      </c>
      <c r="DQ1209" s="4" t="s">
        <v>241</v>
      </c>
      <c r="DR1209" s="4" t="s">
        <v>241</v>
      </c>
      <c r="DS1209" s="4" t="s">
        <v>241</v>
      </c>
      <c r="DV1209" s="4" t="s">
        <v>278</v>
      </c>
      <c r="DW1209" s="4" t="s">
        <v>2969</v>
      </c>
      <c r="HO1209" s="4" t="s">
        <v>267</v>
      </c>
    </row>
    <row r="1210" spans="1:223" ht="19.5" customHeight="1" x14ac:dyDescent="0.4">
      <c r="A1210" s="4">
        <v>1</v>
      </c>
      <c r="B1210" s="4" t="s">
        <v>239</v>
      </c>
      <c r="C1210" s="4">
        <v>2884</v>
      </c>
      <c r="D1210" s="4">
        <v>1</v>
      </c>
      <c r="E1210" s="4">
        <v>1</v>
      </c>
      <c r="F1210" s="4" t="s">
        <v>268</v>
      </c>
      <c r="G1210" s="4" t="s">
        <v>241</v>
      </c>
      <c r="H1210" s="4" t="s">
        <v>241</v>
      </c>
      <c r="I1210" s="4" t="s">
        <v>272</v>
      </c>
      <c r="J1210" s="4" t="s">
        <v>274</v>
      </c>
      <c r="K1210" s="4" t="s">
        <v>251</v>
      </c>
      <c r="L1210" s="4" t="s">
        <v>269</v>
      </c>
      <c r="M1210" s="5" t="s">
        <v>1886</v>
      </c>
      <c r="N1210" s="6">
        <f>1640</f>
        <v>1640</v>
      </c>
      <c r="O1210" s="4" t="s">
        <v>265</v>
      </c>
      <c r="P1210" s="6">
        <f>1</f>
        <v>1</v>
      </c>
      <c r="Q1210" s="6">
        <f>0</f>
        <v>0</v>
      </c>
      <c r="S1210" s="6">
        <f>0</f>
        <v>0</v>
      </c>
      <c r="T1210" s="6">
        <f>1</f>
        <v>1</v>
      </c>
      <c r="U1210" s="5" t="s">
        <v>245</v>
      </c>
      <c r="V1210" s="4" t="s">
        <v>270</v>
      </c>
      <c r="W1210" s="4" t="s">
        <v>271</v>
      </c>
      <c r="X1210" s="4" t="s">
        <v>273</v>
      </c>
      <c r="Y1210" s="4" t="s">
        <v>241</v>
      </c>
      <c r="AB1210" s="4" t="s">
        <v>241</v>
      </c>
      <c r="AD1210" s="5" t="s">
        <v>241</v>
      </c>
      <c r="AG1210" s="5" t="s">
        <v>246</v>
      </c>
      <c r="AH1210" s="4" t="s">
        <v>241</v>
      </c>
      <c r="AI1210" s="4" t="s">
        <v>247</v>
      </c>
      <c r="AJ1210" s="4" t="s">
        <v>248</v>
      </c>
      <c r="AZ1210" s="4" t="s">
        <v>249</v>
      </c>
      <c r="BA1210" s="4" t="s">
        <v>241</v>
      </c>
      <c r="BB1210" s="4" t="s">
        <v>250</v>
      </c>
      <c r="BC1210" s="4" t="s">
        <v>241</v>
      </c>
      <c r="BD1210" s="4" t="s">
        <v>252</v>
      </c>
      <c r="BE1210" s="4" t="s">
        <v>241</v>
      </c>
      <c r="BI1210" s="4" t="s">
        <v>253</v>
      </c>
      <c r="BJ1210" s="5" t="s">
        <v>246</v>
      </c>
      <c r="BK1210" s="4" t="s">
        <v>254</v>
      </c>
      <c r="BL1210" s="4" t="s">
        <v>255</v>
      </c>
      <c r="BM1210" s="4" t="s">
        <v>241</v>
      </c>
      <c r="BN1210" s="6">
        <f>0</f>
        <v>0</v>
      </c>
      <c r="BO1210" s="6">
        <f>0</f>
        <v>0</v>
      </c>
      <c r="BP1210" s="4" t="s">
        <v>256</v>
      </c>
      <c r="BQ1210" s="4" t="s">
        <v>257</v>
      </c>
      <c r="CE1210" s="4" t="s">
        <v>241</v>
      </c>
      <c r="CF1210" s="4" t="s">
        <v>241</v>
      </c>
      <c r="CJ1210" s="4" t="s">
        <v>276</v>
      </c>
      <c r="CK1210" s="4" t="s">
        <v>259</v>
      </c>
      <c r="CL1210" s="4" t="s">
        <v>241</v>
      </c>
      <c r="CO1210" s="5" t="s">
        <v>260</v>
      </c>
      <c r="CP1210" s="4" t="s">
        <v>241</v>
      </c>
      <c r="CQ1210" s="4" t="s">
        <v>261</v>
      </c>
      <c r="CR1210" s="4" t="s">
        <v>241</v>
      </c>
      <c r="CS1210" s="4" t="s">
        <v>241</v>
      </c>
      <c r="CT1210" s="4">
        <v>0</v>
      </c>
      <c r="CU1210" s="4" t="s">
        <v>262</v>
      </c>
      <c r="CV1210" s="4" t="s">
        <v>263</v>
      </c>
      <c r="CW1210" s="4" t="s">
        <v>263</v>
      </c>
      <c r="CX1210" s="4" t="s">
        <v>264</v>
      </c>
      <c r="DA1210" s="6">
        <f>1</f>
        <v>1</v>
      </c>
      <c r="DC1210" s="4" t="s">
        <v>277</v>
      </c>
      <c r="DD1210" s="4" t="s">
        <v>241</v>
      </c>
      <c r="DF1210" s="4" t="s">
        <v>277</v>
      </c>
      <c r="DG1210" s="6">
        <f>1640</f>
        <v>1640</v>
      </c>
      <c r="DI1210" s="4" t="s">
        <v>241</v>
      </c>
      <c r="DJ1210" s="4" t="s">
        <v>241</v>
      </c>
      <c r="DK1210" s="4" t="s">
        <v>241</v>
      </c>
      <c r="DL1210" s="4" t="s">
        <v>241</v>
      </c>
      <c r="DP1210" s="4" t="s">
        <v>241</v>
      </c>
      <c r="DQ1210" s="4" t="s">
        <v>241</v>
      </c>
      <c r="DR1210" s="4" t="s">
        <v>241</v>
      </c>
      <c r="DS1210" s="4" t="s">
        <v>241</v>
      </c>
      <c r="DV1210" s="4" t="s">
        <v>278</v>
      </c>
      <c r="DW1210" s="4" t="s">
        <v>1887</v>
      </c>
      <c r="HO1210" s="4" t="s">
        <v>267</v>
      </c>
    </row>
    <row r="1211" spans="1:223" ht="19.5" customHeight="1" x14ac:dyDescent="0.4">
      <c r="A1211" s="4">
        <v>1</v>
      </c>
      <c r="B1211" s="4" t="s">
        <v>239</v>
      </c>
      <c r="C1211" s="4">
        <v>2885</v>
      </c>
      <c r="D1211" s="4">
        <v>1</v>
      </c>
      <c r="E1211" s="4">
        <v>1</v>
      </c>
      <c r="F1211" s="4" t="s">
        <v>268</v>
      </c>
      <c r="G1211" s="4" t="s">
        <v>241</v>
      </c>
      <c r="H1211" s="4" t="s">
        <v>241</v>
      </c>
      <c r="I1211" s="4" t="s">
        <v>272</v>
      </c>
      <c r="J1211" s="4" t="s">
        <v>274</v>
      </c>
      <c r="K1211" s="4" t="s">
        <v>251</v>
      </c>
      <c r="L1211" s="4" t="s">
        <v>269</v>
      </c>
      <c r="M1211" s="5" t="s">
        <v>2964</v>
      </c>
      <c r="N1211" s="6">
        <f>810</f>
        <v>810</v>
      </c>
      <c r="O1211" s="4" t="s">
        <v>265</v>
      </c>
      <c r="P1211" s="6">
        <f>1</f>
        <v>1</v>
      </c>
      <c r="Q1211" s="6">
        <f>0</f>
        <v>0</v>
      </c>
      <c r="S1211" s="6">
        <f>0</f>
        <v>0</v>
      </c>
      <c r="T1211" s="6">
        <f>1</f>
        <v>1</v>
      </c>
      <c r="U1211" s="5" t="s">
        <v>245</v>
      </c>
      <c r="V1211" s="4" t="s">
        <v>270</v>
      </c>
      <c r="W1211" s="4" t="s">
        <v>271</v>
      </c>
      <c r="X1211" s="4" t="s">
        <v>273</v>
      </c>
      <c r="Y1211" s="4" t="s">
        <v>241</v>
      </c>
      <c r="AB1211" s="4" t="s">
        <v>241</v>
      </c>
      <c r="AD1211" s="5" t="s">
        <v>241</v>
      </c>
      <c r="AG1211" s="5" t="s">
        <v>246</v>
      </c>
      <c r="AH1211" s="4" t="s">
        <v>241</v>
      </c>
      <c r="AI1211" s="4" t="s">
        <v>247</v>
      </c>
      <c r="AJ1211" s="4" t="s">
        <v>248</v>
      </c>
      <c r="AZ1211" s="4" t="s">
        <v>249</v>
      </c>
      <c r="BA1211" s="4" t="s">
        <v>241</v>
      </c>
      <c r="BB1211" s="4" t="s">
        <v>250</v>
      </c>
      <c r="BC1211" s="4" t="s">
        <v>241</v>
      </c>
      <c r="BD1211" s="4" t="s">
        <v>252</v>
      </c>
      <c r="BE1211" s="4" t="s">
        <v>241</v>
      </c>
      <c r="BI1211" s="4" t="s">
        <v>253</v>
      </c>
      <c r="BJ1211" s="5" t="s">
        <v>246</v>
      </c>
      <c r="BK1211" s="4" t="s">
        <v>254</v>
      </c>
      <c r="BL1211" s="4" t="s">
        <v>255</v>
      </c>
      <c r="BM1211" s="4" t="s">
        <v>241</v>
      </c>
      <c r="BN1211" s="6">
        <f>0</f>
        <v>0</v>
      </c>
      <c r="BO1211" s="6">
        <f>0</f>
        <v>0</v>
      </c>
      <c r="BP1211" s="4" t="s">
        <v>256</v>
      </c>
      <c r="BQ1211" s="4" t="s">
        <v>257</v>
      </c>
      <c r="CE1211" s="4" t="s">
        <v>241</v>
      </c>
      <c r="CF1211" s="4" t="s">
        <v>241</v>
      </c>
      <c r="CJ1211" s="4" t="s">
        <v>276</v>
      </c>
      <c r="CK1211" s="4" t="s">
        <v>259</v>
      </c>
      <c r="CL1211" s="4" t="s">
        <v>241</v>
      </c>
      <c r="CO1211" s="5" t="s">
        <v>260</v>
      </c>
      <c r="CP1211" s="4" t="s">
        <v>241</v>
      </c>
      <c r="CQ1211" s="4" t="s">
        <v>261</v>
      </c>
      <c r="CR1211" s="4" t="s">
        <v>241</v>
      </c>
      <c r="CS1211" s="4" t="s">
        <v>241</v>
      </c>
      <c r="CT1211" s="4">
        <v>0</v>
      </c>
      <c r="CU1211" s="4" t="s">
        <v>262</v>
      </c>
      <c r="CV1211" s="4" t="s">
        <v>263</v>
      </c>
      <c r="CW1211" s="4" t="s">
        <v>263</v>
      </c>
      <c r="CX1211" s="4" t="s">
        <v>264</v>
      </c>
      <c r="DA1211" s="6">
        <f>1</f>
        <v>1</v>
      </c>
      <c r="DC1211" s="4" t="s">
        <v>277</v>
      </c>
      <c r="DD1211" s="4" t="s">
        <v>241</v>
      </c>
      <c r="DF1211" s="4" t="s">
        <v>277</v>
      </c>
      <c r="DG1211" s="6">
        <f>810</f>
        <v>810</v>
      </c>
      <c r="DI1211" s="4" t="s">
        <v>241</v>
      </c>
      <c r="DJ1211" s="4" t="s">
        <v>241</v>
      </c>
      <c r="DK1211" s="4" t="s">
        <v>241</v>
      </c>
      <c r="DL1211" s="4" t="s">
        <v>241</v>
      </c>
      <c r="DP1211" s="4" t="s">
        <v>241</v>
      </c>
      <c r="DQ1211" s="4" t="s">
        <v>241</v>
      </c>
      <c r="DR1211" s="4" t="s">
        <v>241</v>
      </c>
      <c r="DS1211" s="4" t="s">
        <v>241</v>
      </c>
      <c r="DV1211" s="4" t="s">
        <v>278</v>
      </c>
      <c r="DW1211" s="4" t="s">
        <v>2965</v>
      </c>
      <c r="HO1211" s="4" t="s">
        <v>267</v>
      </c>
    </row>
    <row r="1212" spans="1:223" ht="19.5" customHeight="1" x14ac:dyDescent="0.4">
      <c r="A1212" s="4">
        <v>1</v>
      </c>
      <c r="B1212" s="4" t="s">
        <v>239</v>
      </c>
      <c r="C1212" s="4">
        <v>2886</v>
      </c>
      <c r="D1212" s="4">
        <v>1</v>
      </c>
      <c r="E1212" s="4">
        <v>1</v>
      </c>
      <c r="F1212" s="4" t="s">
        <v>268</v>
      </c>
      <c r="G1212" s="4" t="s">
        <v>241</v>
      </c>
      <c r="H1212" s="4" t="s">
        <v>241</v>
      </c>
      <c r="I1212" s="4" t="s">
        <v>272</v>
      </c>
      <c r="J1212" s="4" t="s">
        <v>274</v>
      </c>
      <c r="K1212" s="4" t="s">
        <v>251</v>
      </c>
      <c r="L1212" s="4" t="s">
        <v>269</v>
      </c>
      <c r="M1212" s="5" t="s">
        <v>2962</v>
      </c>
      <c r="N1212" s="6">
        <f>5918</f>
        <v>5918</v>
      </c>
      <c r="O1212" s="4" t="s">
        <v>265</v>
      </c>
      <c r="P1212" s="6">
        <f>1</f>
        <v>1</v>
      </c>
      <c r="Q1212" s="6">
        <f>0</f>
        <v>0</v>
      </c>
      <c r="S1212" s="6">
        <f>0</f>
        <v>0</v>
      </c>
      <c r="T1212" s="6">
        <f>1</f>
        <v>1</v>
      </c>
      <c r="U1212" s="5" t="s">
        <v>245</v>
      </c>
      <c r="V1212" s="4" t="s">
        <v>270</v>
      </c>
      <c r="W1212" s="4" t="s">
        <v>271</v>
      </c>
      <c r="X1212" s="4" t="s">
        <v>273</v>
      </c>
      <c r="Y1212" s="4" t="s">
        <v>241</v>
      </c>
      <c r="AB1212" s="4" t="s">
        <v>241</v>
      </c>
      <c r="AD1212" s="5" t="s">
        <v>241</v>
      </c>
      <c r="AG1212" s="5" t="s">
        <v>246</v>
      </c>
      <c r="AH1212" s="4" t="s">
        <v>241</v>
      </c>
      <c r="AI1212" s="4" t="s">
        <v>247</v>
      </c>
      <c r="AJ1212" s="4" t="s">
        <v>248</v>
      </c>
      <c r="AZ1212" s="4" t="s">
        <v>249</v>
      </c>
      <c r="BA1212" s="4" t="s">
        <v>241</v>
      </c>
      <c r="BB1212" s="4" t="s">
        <v>250</v>
      </c>
      <c r="BC1212" s="4" t="s">
        <v>241</v>
      </c>
      <c r="BD1212" s="4" t="s">
        <v>252</v>
      </c>
      <c r="BE1212" s="4" t="s">
        <v>241</v>
      </c>
      <c r="BI1212" s="4" t="s">
        <v>253</v>
      </c>
      <c r="BJ1212" s="5" t="s">
        <v>246</v>
      </c>
      <c r="BK1212" s="4" t="s">
        <v>254</v>
      </c>
      <c r="BL1212" s="4" t="s">
        <v>255</v>
      </c>
      <c r="BM1212" s="4" t="s">
        <v>241</v>
      </c>
      <c r="BN1212" s="6">
        <f>0</f>
        <v>0</v>
      </c>
      <c r="BO1212" s="6">
        <f>0</f>
        <v>0</v>
      </c>
      <c r="BP1212" s="4" t="s">
        <v>256</v>
      </c>
      <c r="BQ1212" s="4" t="s">
        <v>257</v>
      </c>
      <c r="CE1212" s="4" t="s">
        <v>241</v>
      </c>
      <c r="CF1212" s="4" t="s">
        <v>241</v>
      </c>
      <c r="CJ1212" s="4" t="s">
        <v>276</v>
      </c>
      <c r="CK1212" s="4" t="s">
        <v>259</v>
      </c>
      <c r="CL1212" s="4" t="s">
        <v>241</v>
      </c>
      <c r="CO1212" s="5" t="s">
        <v>260</v>
      </c>
      <c r="CP1212" s="4" t="s">
        <v>241</v>
      </c>
      <c r="CQ1212" s="4" t="s">
        <v>261</v>
      </c>
      <c r="CR1212" s="4" t="s">
        <v>241</v>
      </c>
      <c r="CS1212" s="4" t="s">
        <v>241</v>
      </c>
      <c r="CT1212" s="4">
        <v>0</v>
      </c>
      <c r="CU1212" s="4" t="s">
        <v>262</v>
      </c>
      <c r="CV1212" s="4" t="s">
        <v>263</v>
      </c>
      <c r="CW1212" s="4" t="s">
        <v>263</v>
      </c>
      <c r="CX1212" s="4" t="s">
        <v>264</v>
      </c>
      <c r="DA1212" s="6">
        <f>1</f>
        <v>1</v>
      </c>
      <c r="DC1212" s="4" t="s">
        <v>277</v>
      </c>
      <c r="DD1212" s="4" t="s">
        <v>241</v>
      </c>
      <c r="DF1212" s="4" t="s">
        <v>277</v>
      </c>
      <c r="DG1212" s="6">
        <f>5918</f>
        <v>5918</v>
      </c>
      <c r="DI1212" s="4" t="s">
        <v>241</v>
      </c>
      <c r="DJ1212" s="4" t="s">
        <v>241</v>
      </c>
      <c r="DK1212" s="4" t="s">
        <v>241</v>
      </c>
      <c r="DL1212" s="4" t="s">
        <v>241</v>
      </c>
      <c r="DP1212" s="4" t="s">
        <v>241</v>
      </c>
      <c r="DQ1212" s="4" t="s">
        <v>241</v>
      </c>
      <c r="DR1212" s="4" t="s">
        <v>241</v>
      </c>
      <c r="DS1212" s="4" t="s">
        <v>241</v>
      </c>
      <c r="DV1212" s="4" t="s">
        <v>278</v>
      </c>
      <c r="DW1212" s="4" t="s">
        <v>2963</v>
      </c>
      <c r="HO1212" s="4" t="s">
        <v>267</v>
      </c>
    </row>
    <row r="1213" spans="1:223" ht="19.5" customHeight="1" x14ac:dyDescent="0.4">
      <c r="A1213" s="4">
        <v>1</v>
      </c>
      <c r="B1213" s="4" t="s">
        <v>239</v>
      </c>
      <c r="C1213" s="4">
        <v>2887</v>
      </c>
      <c r="D1213" s="4">
        <v>1</v>
      </c>
      <c r="E1213" s="4">
        <v>1</v>
      </c>
      <c r="F1213" s="4" t="s">
        <v>268</v>
      </c>
      <c r="G1213" s="4" t="s">
        <v>241</v>
      </c>
      <c r="H1213" s="4" t="s">
        <v>241</v>
      </c>
      <c r="I1213" s="4" t="s">
        <v>272</v>
      </c>
      <c r="J1213" s="4" t="s">
        <v>274</v>
      </c>
      <c r="K1213" s="4" t="s">
        <v>251</v>
      </c>
      <c r="L1213" s="4" t="s">
        <v>269</v>
      </c>
      <c r="M1213" s="5" t="s">
        <v>2960</v>
      </c>
      <c r="N1213" s="6">
        <f>70</f>
        <v>70</v>
      </c>
      <c r="O1213" s="4" t="s">
        <v>265</v>
      </c>
      <c r="P1213" s="6">
        <f>1</f>
        <v>1</v>
      </c>
      <c r="Q1213" s="6">
        <f>0</f>
        <v>0</v>
      </c>
      <c r="S1213" s="6">
        <f>0</f>
        <v>0</v>
      </c>
      <c r="T1213" s="6">
        <f>1</f>
        <v>1</v>
      </c>
      <c r="U1213" s="5" t="s">
        <v>245</v>
      </c>
      <c r="V1213" s="4" t="s">
        <v>270</v>
      </c>
      <c r="W1213" s="4" t="s">
        <v>271</v>
      </c>
      <c r="X1213" s="4" t="s">
        <v>273</v>
      </c>
      <c r="Y1213" s="4" t="s">
        <v>241</v>
      </c>
      <c r="AB1213" s="4" t="s">
        <v>241</v>
      </c>
      <c r="AD1213" s="5" t="s">
        <v>241</v>
      </c>
      <c r="AG1213" s="5" t="s">
        <v>246</v>
      </c>
      <c r="AH1213" s="4" t="s">
        <v>241</v>
      </c>
      <c r="AI1213" s="4" t="s">
        <v>247</v>
      </c>
      <c r="AJ1213" s="4" t="s">
        <v>248</v>
      </c>
      <c r="AZ1213" s="4" t="s">
        <v>249</v>
      </c>
      <c r="BA1213" s="4" t="s">
        <v>241</v>
      </c>
      <c r="BB1213" s="4" t="s">
        <v>250</v>
      </c>
      <c r="BC1213" s="4" t="s">
        <v>241</v>
      </c>
      <c r="BD1213" s="4" t="s">
        <v>252</v>
      </c>
      <c r="BE1213" s="4" t="s">
        <v>241</v>
      </c>
      <c r="BI1213" s="4" t="s">
        <v>253</v>
      </c>
      <c r="BJ1213" s="5" t="s">
        <v>246</v>
      </c>
      <c r="BK1213" s="4" t="s">
        <v>254</v>
      </c>
      <c r="BL1213" s="4" t="s">
        <v>255</v>
      </c>
      <c r="BM1213" s="4" t="s">
        <v>241</v>
      </c>
      <c r="BN1213" s="6">
        <f>0</f>
        <v>0</v>
      </c>
      <c r="BO1213" s="6">
        <f>0</f>
        <v>0</v>
      </c>
      <c r="BP1213" s="4" t="s">
        <v>256</v>
      </c>
      <c r="BQ1213" s="4" t="s">
        <v>257</v>
      </c>
      <c r="CE1213" s="4" t="s">
        <v>241</v>
      </c>
      <c r="CF1213" s="4" t="s">
        <v>241</v>
      </c>
      <c r="CJ1213" s="4" t="s">
        <v>276</v>
      </c>
      <c r="CK1213" s="4" t="s">
        <v>259</v>
      </c>
      <c r="CL1213" s="4" t="s">
        <v>241</v>
      </c>
      <c r="CO1213" s="5" t="s">
        <v>260</v>
      </c>
      <c r="CP1213" s="4" t="s">
        <v>241</v>
      </c>
      <c r="CQ1213" s="4" t="s">
        <v>261</v>
      </c>
      <c r="CR1213" s="4" t="s">
        <v>241</v>
      </c>
      <c r="CS1213" s="4" t="s">
        <v>241</v>
      </c>
      <c r="CT1213" s="4">
        <v>0</v>
      </c>
      <c r="CU1213" s="4" t="s">
        <v>262</v>
      </c>
      <c r="CV1213" s="4" t="s">
        <v>263</v>
      </c>
      <c r="CW1213" s="4" t="s">
        <v>263</v>
      </c>
      <c r="CX1213" s="4" t="s">
        <v>264</v>
      </c>
      <c r="DA1213" s="6">
        <f>1</f>
        <v>1</v>
      </c>
      <c r="DC1213" s="4" t="s">
        <v>277</v>
      </c>
      <c r="DD1213" s="4" t="s">
        <v>241</v>
      </c>
      <c r="DF1213" s="4" t="s">
        <v>277</v>
      </c>
      <c r="DG1213" s="6">
        <f>70</f>
        <v>70</v>
      </c>
      <c r="DI1213" s="4" t="s">
        <v>241</v>
      </c>
      <c r="DJ1213" s="4" t="s">
        <v>241</v>
      </c>
      <c r="DK1213" s="4" t="s">
        <v>241</v>
      </c>
      <c r="DL1213" s="4" t="s">
        <v>241</v>
      </c>
      <c r="DP1213" s="4" t="s">
        <v>241</v>
      </c>
      <c r="DQ1213" s="4" t="s">
        <v>241</v>
      </c>
      <c r="DR1213" s="4" t="s">
        <v>241</v>
      </c>
      <c r="DS1213" s="4" t="s">
        <v>241</v>
      </c>
      <c r="DV1213" s="4" t="s">
        <v>278</v>
      </c>
      <c r="DW1213" s="4" t="s">
        <v>2961</v>
      </c>
      <c r="HO1213" s="4" t="s">
        <v>267</v>
      </c>
    </row>
    <row r="1214" spans="1:223" ht="19.5" customHeight="1" x14ac:dyDescent="0.4">
      <c r="A1214" s="4">
        <v>1</v>
      </c>
      <c r="B1214" s="4" t="s">
        <v>239</v>
      </c>
      <c r="C1214" s="4">
        <v>2888</v>
      </c>
      <c r="D1214" s="4">
        <v>1</v>
      </c>
      <c r="E1214" s="4">
        <v>1</v>
      </c>
      <c r="F1214" s="4" t="s">
        <v>268</v>
      </c>
      <c r="G1214" s="4" t="s">
        <v>241</v>
      </c>
      <c r="H1214" s="4" t="s">
        <v>241</v>
      </c>
      <c r="I1214" s="4" t="s">
        <v>272</v>
      </c>
      <c r="J1214" s="4" t="s">
        <v>274</v>
      </c>
      <c r="K1214" s="4" t="s">
        <v>251</v>
      </c>
      <c r="L1214" s="4" t="s">
        <v>269</v>
      </c>
      <c r="M1214" s="5" t="s">
        <v>2840</v>
      </c>
      <c r="N1214" s="6">
        <f>2192</f>
        <v>2192</v>
      </c>
      <c r="O1214" s="4" t="s">
        <v>265</v>
      </c>
      <c r="P1214" s="6">
        <f>1</f>
        <v>1</v>
      </c>
      <c r="Q1214" s="6">
        <f>0</f>
        <v>0</v>
      </c>
      <c r="S1214" s="6">
        <f>0</f>
        <v>0</v>
      </c>
      <c r="T1214" s="6">
        <f>1</f>
        <v>1</v>
      </c>
      <c r="U1214" s="5" t="s">
        <v>245</v>
      </c>
      <c r="V1214" s="4" t="s">
        <v>270</v>
      </c>
      <c r="W1214" s="4" t="s">
        <v>271</v>
      </c>
      <c r="X1214" s="4" t="s">
        <v>273</v>
      </c>
      <c r="Y1214" s="4" t="s">
        <v>241</v>
      </c>
      <c r="AB1214" s="4" t="s">
        <v>241</v>
      </c>
      <c r="AD1214" s="5" t="s">
        <v>241</v>
      </c>
      <c r="AG1214" s="5" t="s">
        <v>246</v>
      </c>
      <c r="AH1214" s="4" t="s">
        <v>241</v>
      </c>
      <c r="AI1214" s="4" t="s">
        <v>247</v>
      </c>
      <c r="AJ1214" s="4" t="s">
        <v>248</v>
      </c>
      <c r="AZ1214" s="4" t="s">
        <v>249</v>
      </c>
      <c r="BA1214" s="4" t="s">
        <v>241</v>
      </c>
      <c r="BB1214" s="4" t="s">
        <v>250</v>
      </c>
      <c r="BC1214" s="4" t="s">
        <v>241</v>
      </c>
      <c r="BD1214" s="4" t="s">
        <v>252</v>
      </c>
      <c r="BE1214" s="4" t="s">
        <v>241</v>
      </c>
      <c r="BI1214" s="4" t="s">
        <v>253</v>
      </c>
      <c r="BJ1214" s="5" t="s">
        <v>246</v>
      </c>
      <c r="BK1214" s="4" t="s">
        <v>254</v>
      </c>
      <c r="BL1214" s="4" t="s">
        <v>255</v>
      </c>
      <c r="BM1214" s="4" t="s">
        <v>241</v>
      </c>
      <c r="BN1214" s="6">
        <f>0</f>
        <v>0</v>
      </c>
      <c r="BO1214" s="6">
        <f>0</f>
        <v>0</v>
      </c>
      <c r="BP1214" s="4" t="s">
        <v>256</v>
      </c>
      <c r="BQ1214" s="4" t="s">
        <v>257</v>
      </c>
      <c r="CE1214" s="4" t="s">
        <v>241</v>
      </c>
      <c r="CF1214" s="4" t="s">
        <v>241</v>
      </c>
      <c r="CJ1214" s="4" t="s">
        <v>276</v>
      </c>
      <c r="CK1214" s="4" t="s">
        <v>259</v>
      </c>
      <c r="CL1214" s="4" t="s">
        <v>241</v>
      </c>
      <c r="CO1214" s="5" t="s">
        <v>260</v>
      </c>
      <c r="CP1214" s="4" t="s">
        <v>241</v>
      </c>
      <c r="CQ1214" s="4" t="s">
        <v>261</v>
      </c>
      <c r="CR1214" s="4" t="s">
        <v>241</v>
      </c>
      <c r="CS1214" s="4" t="s">
        <v>241</v>
      </c>
      <c r="CT1214" s="4">
        <v>0</v>
      </c>
      <c r="CU1214" s="4" t="s">
        <v>262</v>
      </c>
      <c r="CV1214" s="4" t="s">
        <v>263</v>
      </c>
      <c r="CW1214" s="4" t="s">
        <v>263</v>
      </c>
      <c r="CX1214" s="4" t="s">
        <v>264</v>
      </c>
      <c r="DA1214" s="6">
        <f>1</f>
        <v>1</v>
      </c>
      <c r="DC1214" s="4" t="s">
        <v>277</v>
      </c>
      <c r="DD1214" s="4" t="s">
        <v>241</v>
      </c>
      <c r="DF1214" s="4" t="s">
        <v>277</v>
      </c>
      <c r="DG1214" s="6">
        <f>2192</f>
        <v>2192</v>
      </c>
      <c r="DI1214" s="4" t="s">
        <v>241</v>
      </c>
      <c r="DJ1214" s="4" t="s">
        <v>241</v>
      </c>
      <c r="DK1214" s="4" t="s">
        <v>241</v>
      </c>
      <c r="DL1214" s="4" t="s">
        <v>241</v>
      </c>
      <c r="DP1214" s="4" t="s">
        <v>241</v>
      </c>
      <c r="DQ1214" s="4" t="s">
        <v>241</v>
      </c>
      <c r="DR1214" s="4" t="s">
        <v>241</v>
      </c>
      <c r="DS1214" s="4" t="s">
        <v>241</v>
      </c>
      <c r="DV1214" s="4" t="s">
        <v>278</v>
      </c>
      <c r="DW1214" s="4" t="s">
        <v>2841</v>
      </c>
      <c r="HO1214" s="4" t="s">
        <v>267</v>
      </c>
    </row>
    <row r="1215" spans="1:223" ht="19.5" customHeight="1" x14ac:dyDescent="0.4">
      <c r="A1215" s="4">
        <v>1</v>
      </c>
      <c r="B1215" s="4" t="s">
        <v>239</v>
      </c>
      <c r="C1215" s="4">
        <v>2889</v>
      </c>
      <c r="D1215" s="4">
        <v>1</v>
      </c>
      <c r="E1215" s="4">
        <v>1</v>
      </c>
      <c r="F1215" s="4" t="s">
        <v>268</v>
      </c>
      <c r="G1215" s="4" t="s">
        <v>241</v>
      </c>
      <c r="H1215" s="4" t="s">
        <v>241</v>
      </c>
      <c r="I1215" s="4" t="s">
        <v>272</v>
      </c>
      <c r="J1215" s="4" t="s">
        <v>274</v>
      </c>
      <c r="K1215" s="4" t="s">
        <v>251</v>
      </c>
      <c r="L1215" s="4" t="s">
        <v>269</v>
      </c>
      <c r="M1215" s="5" t="s">
        <v>2836</v>
      </c>
      <c r="N1215" s="6">
        <f>72</f>
        <v>72</v>
      </c>
      <c r="O1215" s="4" t="s">
        <v>265</v>
      </c>
      <c r="P1215" s="6">
        <f>1</f>
        <v>1</v>
      </c>
      <c r="Q1215" s="6">
        <f>0</f>
        <v>0</v>
      </c>
      <c r="S1215" s="6">
        <f>0</f>
        <v>0</v>
      </c>
      <c r="T1215" s="6">
        <f>1</f>
        <v>1</v>
      </c>
      <c r="U1215" s="5" t="s">
        <v>245</v>
      </c>
      <c r="V1215" s="4" t="s">
        <v>270</v>
      </c>
      <c r="W1215" s="4" t="s">
        <v>271</v>
      </c>
      <c r="X1215" s="4" t="s">
        <v>273</v>
      </c>
      <c r="Y1215" s="4" t="s">
        <v>241</v>
      </c>
      <c r="AB1215" s="4" t="s">
        <v>241</v>
      </c>
      <c r="AD1215" s="5" t="s">
        <v>241</v>
      </c>
      <c r="AG1215" s="5" t="s">
        <v>246</v>
      </c>
      <c r="AH1215" s="4" t="s">
        <v>241</v>
      </c>
      <c r="AI1215" s="4" t="s">
        <v>247</v>
      </c>
      <c r="AJ1215" s="4" t="s">
        <v>248</v>
      </c>
      <c r="AZ1215" s="4" t="s">
        <v>249</v>
      </c>
      <c r="BA1215" s="4" t="s">
        <v>241</v>
      </c>
      <c r="BB1215" s="4" t="s">
        <v>250</v>
      </c>
      <c r="BC1215" s="4" t="s">
        <v>241</v>
      </c>
      <c r="BD1215" s="4" t="s">
        <v>252</v>
      </c>
      <c r="BE1215" s="4" t="s">
        <v>241</v>
      </c>
      <c r="BI1215" s="4" t="s">
        <v>253</v>
      </c>
      <c r="BJ1215" s="5" t="s">
        <v>246</v>
      </c>
      <c r="BK1215" s="4" t="s">
        <v>254</v>
      </c>
      <c r="BL1215" s="4" t="s">
        <v>255</v>
      </c>
      <c r="BM1215" s="4" t="s">
        <v>241</v>
      </c>
      <c r="BN1215" s="6">
        <f>0</f>
        <v>0</v>
      </c>
      <c r="BO1215" s="6">
        <f>0</f>
        <v>0</v>
      </c>
      <c r="BP1215" s="4" t="s">
        <v>256</v>
      </c>
      <c r="BQ1215" s="4" t="s">
        <v>257</v>
      </c>
      <c r="CE1215" s="4" t="s">
        <v>241</v>
      </c>
      <c r="CF1215" s="4" t="s">
        <v>241</v>
      </c>
      <c r="CJ1215" s="4" t="s">
        <v>276</v>
      </c>
      <c r="CK1215" s="4" t="s">
        <v>259</v>
      </c>
      <c r="CL1215" s="4" t="s">
        <v>241</v>
      </c>
      <c r="CO1215" s="5" t="s">
        <v>260</v>
      </c>
      <c r="CP1215" s="4" t="s">
        <v>241</v>
      </c>
      <c r="CQ1215" s="4" t="s">
        <v>261</v>
      </c>
      <c r="CR1215" s="4" t="s">
        <v>241</v>
      </c>
      <c r="CS1215" s="4" t="s">
        <v>241</v>
      </c>
      <c r="CT1215" s="4">
        <v>0</v>
      </c>
      <c r="CU1215" s="4" t="s">
        <v>262</v>
      </c>
      <c r="CV1215" s="4" t="s">
        <v>263</v>
      </c>
      <c r="CW1215" s="4" t="s">
        <v>263</v>
      </c>
      <c r="CX1215" s="4" t="s">
        <v>264</v>
      </c>
      <c r="DA1215" s="6">
        <f>1</f>
        <v>1</v>
      </c>
      <c r="DC1215" s="4" t="s">
        <v>277</v>
      </c>
      <c r="DD1215" s="4" t="s">
        <v>241</v>
      </c>
      <c r="DF1215" s="4" t="s">
        <v>277</v>
      </c>
      <c r="DG1215" s="6">
        <f>72</f>
        <v>72</v>
      </c>
      <c r="DI1215" s="4" t="s">
        <v>241</v>
      </c>
      <c r="DJ1215" s="4" t="s">
        <v>241</v>
      </c>
      <c r="DK1215" s="4" t="s">
        <v>241</v>
      </c>
      <c r="DL1215" s="4" t="s">
        <v>241</v>
      </c>
      <c r="DP1215" s="4" t="s">
        <v>241</v>
      </c>
      <c r="DQ1215" s="4" t="s">
        <v>241</v>
      </c>
      <c r="DR1215" s="4" t="s">
        <v>241</v>
      </c>
      <c r="DS1215" s="4" t="s">
        <v>241</v>
      </c>
      <c r="DV1215" s="4" t="s">
        <v>278</v>
      </c>
      <c r="DW1215" s="4" t="s">
        <v>2837</v>
      </c>
      <c r="HO1215" s="4" t="s">
        <v>267</v>
      </c>
    </row>
    <row r="1216" spans="1:223" ht="19.5" customHeight="1" x14ac:dyDescent="0.4">
      <c r="A1216" s="4">
        <v>1</v>
      </c>
      <c r="B1216" s="4" t="s">
        <v>239</v>
      </c>
      <c r="C1216" s="4">
        <v>2890</v>
      </c>
      <c r="D1216" s="4">
        <v>1</v>
      </c>
      <c r="E1216" s="4">
        <v>1</v>
      </c>
      <c r="F1216" s="4" t="s">
        <v>268</v>
      </c>
      <c r="G1216" s="4" t="s">
        <v>241</v>
      </c>
      <c r="H1216" s="4" t="s">
        <v>241</v>
      </c>
      <c r="I1216" s="4" t="s">
        <v>272</v>
      </c>
      <c r="J1216" s="4" t="s">
        <v>274</v>
      </c>
      <c r="K1216" s="4" t="s">
        <v>251</v>
      </c>
      <c r="L1216" s="4" t="s">
        <v>269</v>
      </c>
      <c r="M1216" s="5" t="s">
        <v>2360</v>
      </c>
      <c r="N1216" s="6">
        <f>98</f>
        <v>98</v>
      </c>
      <c r="O1216" s="4" t="s">
        <v>265</v>
      </c>
      <c r="P1216" s="6">
        <f>1</f>
        <v>1</v>
      </c>
      <c r="Q1216" s="6">
        <f>0</f>
        <v>0</v>
      </c>
      <c r="S1216" s="6">
        <f>0</f>
        <v>0</v>
      </c>
      <c r="T1216" s="6">
        <f>1</f>
        <v>1</v>
      </c>
      <c r="U1216" s="5" t="s">
        <v>245</v>
      </c>
      <c r="V1216" s="4" t="s">
        <v>270</v>
      </c>
      <c r="W1216" s="4" t="s">
        <v>271</v>
      </c>
      <c r="X1216" s="4" t="s">
        <v>273</v>
      </c>
      <c r="Y1216" s="4" t="s">
        <v>241</v>
      </c>
      <c r="AB1216" s="4" t="s">
        <v>241</v>
      </c>
      <c r="AD1216" s="5" t="s">
        <v>241</v>
      </c>
      <c r="AG1216" s="5" t="s">
        <v>246</v>
      </c>
      <c r="AH1216" s="4" t="s">
        <v>241</v>
      </c>
      <c r="AI1216" s="4" t="s">
        <v>247</v>
      </c>
      <c r="AJ1216" s="4" t="s">
        <v>248</v>
      </c>
      <c r="AZ1216" s="4" t="s">
        <v>249</v>
      </c>
      <c r="BA1216" s="4" t="s">
        <v>241</v>
      </c>
      <c r="BB1216" s="4" t="s">
        <v>250</v>
      </c>
      <c r="BC1216" s="4" t="s">
        <v>241</v>
      </c>
      <c r="BD1216" s="4" t="s">
        <v>252</v>
      </c>
      <c r="BE1216" s="4" t="s">
        <v>241</v>
      </c>
      <c r="BI1216" s="4" t="s">
        <v>253</v>
      </c>
      <c r="BJ1216" s="5" t="s">
        <v>246</v>
      </c>
      <c r="BK1216" s="4" t="s">
        <v>254</v>
      </c>
      <c r="BL1216" s="4" t="s">
        <v>255</v>
      </c>
      <c r="BM1216" s="4" t="s">
        <v>241</v>
      </c>
      <c r="BN1216" s="6">
        <f>0</f>
        <v>0</v>
      </c>
      <c r="BO1216" s="6">
        <f>0</f>
        <v>0</v>
      </c>
      <c r="BP1216" s="4" t="s">
        <v>256</v>
      </c>
      <c r="BQ1216" s="4" t="s">
        <v>257</v>
      </c>
      <c r="CE1216" s="4" t="s">
        <v>241</v>
      </c>
      <c r="CF1216" s="4" t="s">
        <v>241</v>
      </c>
      <c r="CJ1216" s="4" t="s">
        <v>276</v>
      </c>
      <c r="CK1216" s="4" t="s">
        <v>259</v>
      </c>
      <c r="CL1216" s="4" t="s">
        <v>241</v>
      </c>
      <c r="CO1216" s="5" t="s">
        <v>260</v>
      </c>
      <c r="CP1216" s="4" t="s">
        <v>241</v>
      </c>
      <c r="CQ1216" s="4" t="s">
        <v>261</v>
      </c>
      <c r="CR1216" s="4" t="s">
        <v>241</v>
      </c>
      <c r="CS1216" s="4" t="s">
        <v>241</v>
      </c>
      <c r="CT1216" s="4">
        <v>0</v>
      </c>
      <c r="CU1216" s="4" t="s">
        <v>262</v>
      </c>
      <c r="CV1216" s="4" t="s">
        <v>263</v>
      </c>
      <c r="CW1216" s="4" t="s">
        <v>263</v>
      </c>
      <c r="CX1216" s="4" t="s">
        <v>264</v>
      </c>
      <c r="DA1216" s="6">
        <f>1</f>
        <v>1</v>
      </c>
      <c r="DC1216" s="4" t="s">
        <v>277</v>
      </c>
      <c r="DD1216" s="4" t="s">
        <v>241</v>
      </c>
      <c r="DF1216" s="4" t="s">
        <v>277</v>
      </c>
      <c r="DG1216" s="6">
        <f>98</f>
        <v>98</v>
      </c>
      <c r="DI1216" s="4" t="s">
        <v>241</v>
      </c>
      <c r="DJ1216" s="4" t="s">
        <v>241</v>
      </c>
      <c r="DK1216" s="4" t="s">
        <v>241</v>
      </c>
      <c r="DL1216" s="4" t="s">
        <v>241</v>
      </c>
      <c r="DP1216" s="4" t="s">
        <v>241</v>
      </c>
      <c r="DQ1216" s="4" t="s">
        <v>241</v>
      </c>
      <c r="DR1216" s="4" t="s">
        <v>241</v>
      </c>
      <c r="DS1216" s="4" t="s">
        <v>241</v>
      </c>
      <c r="DV1216" s="4" t="s">
        <v>278</v>
      </c>
      <c r="DW1216" s="4" t="s">
        <v>2361</v>
      </c>
      <c r="HO1216" s="4" t="s">
        <v>267</v>
      </c>
    </row>
    <row r="1217" spans="1:223" ht="19.5" customHeight="1" x14ac:dyDescent="0.4">
      <c r="A1217" s="4">
        <v>1</v>
      </c>
      <c r="B1217" s="4" t="s">
        <v>239</v>
      </c>
      <c r="C1217" s="4">
        <v>2891</v>
      </c>
      <c r="D1217" s="4">
        <v>1</v>
      </c>
      <c r="E1217" s="4">
        <v>1</v>
      </c>
      <c r="F1217" s="4" t="s">
        <v>268</v>
      </c>
      <c r="G1217" s="4" t="s">
        <v>241</v>
      </c>
      <c r="H1217" s="4" t="s">
        <v>241</v>
      </c>
      <c r="I1217" s="4" t="s">
        <v>272</v>
      </c>
      <c r="J1217" s="4" t="s">
        <v>274</v>
      </c>
      <c r="K1217" s="4" t="s">
        <v>251</v>
      </c>
      <c r="L1217" s="4" t="s">
        <v>269</v>
      </c>
      <c r="M1217" s="5" t="s">
        <v>2900</v>
      </c>
      <c r="N1217" s="6">
        <f>1188</f>
        <v>1188</v>
      </c>
      <c r="O1217" s="4" t="s">
        <v>265</v>
      </c>
      <c r="P1217" s="6">
        <f>1</f>
        <v>1</v>
      </c>
      <c r="Q1217" s="6">
        <f>0</f>
        <v>0</v>
      </c>
      <c r="S1217" s="6">
        <f>0</f>
        <v>0</v>
      </c>
      <c r="T1217" s="6">
        <f>1</f>
        <v>1</v>
      </c>
      <c r="U1217" s="5" t="s">
        <v>245</v>
      </c>
      <c r="V1217" s="4" t="s">
        <v>270</v>
      </c>
      <c r="W1217" s="4" t="s">
        <v>271</v>
      </c>
      <c r="X1217" s="4" t="s">
        <v>273</v>
      </c>
      <c r="Y1217" s="4" t="s">
        <v>241</v>
      </c>
      <c r="AB1217" s="4" t="s">
        <v>241</v>
      </c>
      <c r="AD1217" s="5" t="s">
        <v>241</v>
      </c>
      <c r="AG1217" s="5" t="s">
        <v>246</v>
      </c>
      <c r="AH1217" s="4" t="s">
        <v>241</v>
      </c>
      <c r="AI1217" s="4" t="s">
        <v>247</v>
      </c>
      <c r="AJ1217" s="4" t="s">
        <v>248</v>
      </c>
      <c r="AZ1217" s="4" t="s">
        <v>249</v>
      </c>
      <c r="BA1217" s="4" t="s">
        <v>241</v>
      </c>
      <c r="BB1217" s="4" t="s">
        <v>250</v>
      </c>
      <c r="BC1217" s="4" t="s">
        <v>241</v>
      </c>
      <c r="BD1217" s="4" t="s">
        <v>252</v>
      </c>
      <c r="BE1217" s="4" t="s">
        <v>241</v>
      </c>
      <c r="BI1217" s="4" t="s">
        <v>253</v>
      </c>
      <c r="BJ1217" s="5" t="s">
        <v>246</v>
      </c>
      <c r="BK1217" s="4" t="s">
        <v>254</v>
      </c>
      <c r="BL1217" s="4" t="s">
        <v>255</v>
      </c>
      <c r="BM1217" s="4" t="s">
        <v>241</v>
      </c>
      <c r="BN1217" s="6">
        <f>0</f>
        <v>0</v>
      </c>
      <c r="BO1217" s="6">
        <f>0</f>
        <v>0</v>
      </c>
      <c r="BP1217" s="4" t="s">
        <v>256</v>
      </c>
      <c r="BQ1217" s="4" t="s">
        <v>257</v>
      </c>
      <c r="CE1217" s="4" t="s">
        <v>241</v>
      </c>
      <c r="CF1217" s="4" t="s">
        <v>241</v>
      </c>
      <c r="CJ1217" s="4" t="s">
        <v>276</v>
      </c>
      <c r="CK1217" s="4" t="s">
        <v>259</v>
      </c>
      <c r="CL1217" s="4" t="s">
        <v>241</v>
      </c>
      <c r="CO1217" s="5" t="s">
        <v>260</v>
      </c>
      <c r="CP1217" s="4" t="s">
        <v>241</v>
      </c>
      <c r="CQ1217" s="4" t="s">
        <v>261</v>
      </c>
      <c r="CR1217" s="4" t="s">
        <v>241</v>
      </c>
      <c r="CS1217" s="4" t="s">
        <v>241</v>
      </c>
      <c r="CT1217" s="4">
        <v>0</v>
      </c>
      <c r="CU1217" s="4" t="s">
        <v>262</v>
      </c>
      <c r="CV1217" s="4" t="s">
        <v>263</v>
      </c>
      <c r="CW1217" s="4" t="s">
        <v>263</v>
      </c>
      <c r="CX1217" s="4" t="s">
        <v>264</v>
      </c>
      <c r="DA1217" s="6">
        <f>1</f>
        <v>1</v>
      </c>
      <c r="DC1217" s="4" t="s">
        <v>277</v>
      </c>
      <c r="DD1217" s="4" t="s">
        <v>241</v>
      </c>
      <c r="DF1217" s="4" t="s">
        <v>277</v>
      </c>
      <c r="DG1217" s="6">
        <f>1188</f>
        <v>1188</v>
      </c>
      <c r="DI1217" s="4" t="s">
        <v>241</v>
      </c>
      <c r="DJ1217" s="4" t="s">
        <v>241</v>
      </c>
      <c r="DK1217" s="4" t="s">
        <v>241</v>
      </c>
      <c r="DL1217" s="4" t="s">
        <v>241</v>
      </c>
      <c r="DP1217" s="4" t="s">
        <v>241</v>
      </c>
      <c r="DQ1217" s="4" t="s">
        <v>241</v>
      </c>
      <c r="DR1217" s="4" t="s">
        <v>241</v>
      </c>
      <c r="DS1217" s="4" t="s">
        <v>241</v>
      </c>
      <c r="DV1217" s="4" t="s">
        <v>278</v>
      </c>
      <c r="DW1217" s="4" t="s">
        <v>2901</v>
      </c>
      <c r="HO1217" s="4" t="s">
        <v>267</v>
      </c>
    </row>
    <row r="1218" spans="1:223" ht="19.5" customHeight="1" x14ac:dyDescent="0.4">
      <c r="A1218" s="4">
        <v>1</v>
      </c>
      <c r="B1218" s="4" t="s">
        <v>239</v>
      </c>
      <c r="C1218" s="4">
        <v>2892</v>
      </c>
      <c r="D1218" s="4">
        <v>1</v>
      </c>
      <c r="E1218" s="4">
        <v>1</v>
      </c>
      <c r="F1218" s="4" t="s">
        <v>268</v>
      </c>
      <c r="G1218" s="4" t="s">
        <v>241</v>
      </c>
      <c r="H1218" s="4" t="s">
        <v>241</v>
      </c>
      <c r="I1218" s="4" t="s">
        <v>272</v>
      </c>
      <c r="J1218" s="4" t="s">
        <v>274</v>
      </c>
      <c r="K1218" s="4" t="s">
        <v>251</v>
      </c>
      <c r="L1218" s="4" t="s">
        <v>269</v>
      </c>
      <c r="M1218" s="5" t="s">
        <v>2821</v>
      </c>
      <c r="N1218" s="6">
        <f>5044</f>
        <v>5044</v>
      </c>
      <c r="O1218" s="4" t="s">
        <v>265</v>
      </c>
      <c r="P1218" s="6">
        <f>1</f>
        <v>1</v>
      </c>
      <c r="Q1218" s="6">
        <f>0</f>
        <v>0</v>
      </c>
      <c r="S1218" s="6">
        <f>0</f>
        <v>0</v>
      </c>
      <c r="T1218" s="6">
        <f>1</f>
        <v>1</v>
      </c>
      <c r="U1218" s="5" t="s">
        <v>245</v>
      </c>
      <c r="V1218" s="4" t="s">
        <v>270</v>
      </c>
      <c r="W1218" s="4" t="s">
        <v>271</v>
      </c>
      <c r="X1218" s="4" t="s">
        <v>273</v>
      </c>
      <c r="Y1218" s="4" t="s">
        <v>241</v>
      </c>
      <c r="AB1218" s="4" t="s">
        <v>241</v>
      </c>
      <c r="AD1218" s="5" t="s">
        <v>241</v>
      </c>
      <c r="AG1218" s="5" t="s">
        <v>246</v>
      </c>
      <c r="AH1218" s="4" t="s">
        <v>241</v>
      </c>
      <c r="AI1218" s="4" t="s">
        <v>247</v>
      </c>
      <c r="AJ1218" s="4" t="s">
        <v>248</v>
      </c>
      <c r="AZ1218" s="4" t="s">
        <v>249</v>
      </c>
      <c r="BA1218" s="4" t="s">
        <v>241</v>
      </c>
      <c r="BB1218" s="4" t="s">
        <v>250</v>
      </c>
      <c r="BC1218" s="4" t="s">
        <v>241</v>
      </c>
      <c r="BD1218" s="4" t="s">
        <v>252</v>
      </c>
      <c r="BE1218" s="4" t="s">
        <v>241</v>
      </c>
      <c r="BI1218" s="4" t="s">
        <v>253</v>
      </c>
      <c r="BJ1218" s="5" t="s">
        <v>246</v>
      </c>
      <c r="BK1218" s="4" t="s">
        <v>254</v>
      </c>
      <c r="BL1218" s="4" t="s">
        <v>255</v>
      </c>
      <c r="BM1218" s="4" t="s">
        <v>241</v>
      </c>
      <c r="BN1218" s="6">
        <f>0</f>
        <v>0</v>
      </c>
      <c r="BO1218" s="6">
        <f>0</f>
        <v>0</v>
      </c>
      <c r="BP1218" s="4" t="s">
        <v>256</v>
      </c>
      <c r="BQ1218" s="4" t="s">
        <v>257</v>
      </c>
      <c r="CE1218" s="4" t="s">
        <v>241</v>
      </c>
      <c r="CF1218" s="4" t="s">
        <v>241</v>
      </c>
      <c r="CJ1218" s="4" t="s">
        <v>276</v>
      </c>
      <c r="CK1218" s="4" t="s">
        <v>259</v>
      </c>
      <c r="CL1218" s="4" t="s">
        <v>241</v>
      </c>
      <c r="CO1218" s="5" t="s">
        <v>260</v>
      </c>
      <c r="CP1218" s="4" t="s">
        <v>241</v>
      </c>
      <c r="CQ1218" s="4" t="s">
        <v>261</v>
      </c>
      <c r="CR1218" s="4" t="s">
        <v>241</v>
      </c>
      <c r="CS1218" s="4" t="s">
        <v>241</v>
      </c>
      <c r="CT1218" s="4">
        <v>0</v>
      </c>
      <c r="CU1218" s="4" t="s">
        <v>262</v>
      </c>
      <c r="CV1218" s="4" t="s">
        <v>263</v>
      </c>
      <c r="CW1218" s="4" t="s">
        <v>263</v>
      </c>
      <c r="CX1218" s="4" t="s">
        <v>264</v>
      </c>
      <c r="DA1218" s="6">
        <f>1</f>
        <v>1</v>
      </c>
      <c r="DC1218" s="4" t="s">
        <v>277</v>
      </c>
      <c r="DD1218" s="4" t="s">
        <v>241</v>
      </c>
      <c r="DF1218" s="4" t="s">
        <v>277</v>
      </c>
      <c r="DG1218" s="6">
        <f>5044</f>
        <v>5044</v>
      </c>
      <c r="DI1218" s="4" t="s">
        <v>241</v>
      </c>
      <c r="DJ1218" s="4" t="s">
        <v>241</v>
      </c>
      <c r="DK1218" s="4" t="s">
        <v>241</v>
      </c>
      <c r="DL1218" s="4" t="s">
        <v>241</v>
      </c>
      <c r="DP1218" s="4" t="s">
        <v>241</v>
      </c>
      <c r="DQ1218" s="4" t="s">
        <v>241</v>
      </c>
      <c r="DR1218" s="4" t="s">
        <v>241</v>
      </c>
      <c r="DS1218" s="4" t="s">
        <v>241</v>
      </c>
      <c r="DV1218" s="4" t="s">
        <v>278</v>
      </c>
      <c r="DW1218" s="4" t="s">
        <v>2822</v>
      </c>
      <c r="HO1218" s="4" t="s">
        <v>267</v>
      </c>
    </row>
    <row r="1219" spans="1:223" ht="19.5" customHeight="1" x14ac:dyDescent="0.4">
      <c r="A1219" s="4">
        <v>1</v>
      </c>
      <c r="B1219" s="4" t="s">
        <v>239</v>
      </c>
      <c r="C1219" s="4">
        <v>2893</v>
      </c>
      <c r="D1219" s="4">
        <v>1</v>
      </c>
      <c r="E1219" s="4">
        <v>1</v>
      </c>
      <c r="F1219" s="4" t="s">
        <v>268</v>
      </c>
      <c r="G1219" s="4" t="s">
        <v>241</v>
      </c>
      <c r="H1219" s="4" t="s">
        <v>241</v>
      </c>
      <c r="I1219" s="4" t="s">
        <v>272</v>
      </c>
      <c r="J1219" s="4" t="s">
        <v>274</v>
      </c>
      <c r="K1219" s="4" t="s">
        <v>251</v>
      </c>
      <c r="L1219" s="4" t="s">
        <v>269</v>
      </c>
      <c r="M1219" s="5" t="s">
        <v>2846</v>
      </c>
      <c r="N1219" s="6">
        <f>1682</f>
        <v>1682</v>
      </c>
      <c r="O1219" s="4" t="s">
        <v>265</v>
      </c>
      <c r="P1219" s="6">
        <f>1</f>
        <v>1</v>
      </c>
      <c r="Q1219" s="6">
        <f>0</f>
        <v>0</v>
      </c>
      <c r="S1219" s="6">
        <f>0</f>
        <v>0</v>
      </c>
      <c r="T1219" s="6">
        <f>1</f>
        <v>1</v>
      </c>
      <c r="U1219" s="5" t="s">
        <v>245</v>
      </c>
      <c r="V1219" s="4" t="s">
        <v>270</v>
      </c>
      <c r="W1219" s="4" t="s">
        <v>271</v>
      </c>
      <c r="X1219" s="4" t="s">
        <v>273</v>
      </c>
      <c r="Y1219" s="4" t="s">
        <v>241</v>
      </c>
      <c r="AB1219" s="4" t="s">
        <v>241</v>
      </c>
      <c r="AD1219" s="5" t="s">
        <v>241</v>
      </c>
      <c r="AG1219" s="5" t="s">
        <v>246</v>
      </c>
      <c r="AH1219" s="4" t="s">
        <v>241</v>
      </c>
      <c r="AI1219" s="4" t="s">
        <v>247</v>
      </c>
      <c r="AJ1219" s="4" t="s">
        <v>248</v>
      </c>
      <c r="AZ1219" s="4" t="s">
        <v>249</v>
      </c>
      <c r="BA1219" s="4" t="s">
        <v>241</v>
      </c>
      <c r="BB1219" s="4" t="s">
        <v>250</v>
      </c>
      <c r="BC1219" s="4" t="s">
        <v>241</v>
      </c>
      <c r="BD1219" s="4" t="s">
        <v>252</v>
      </c>
      <c r="BE1219" s="4" t="s">
        <v>241</v>
      </c>
      <c r="BI1219" s="4" t="s">
        <v>253</v>
      </c>
      <c r="BJ1219" s="5" t="s">
        <v>246</v>
      </c>
      <c r="BK1219" s="4" t="s">
        <v>254</v>
      </c>
      <c r="BL1219" s="4" t="s">
        <v>255</v>
      </c>
      <c r="BM1219" s="4" t="s">
        <v>241</v>
      </c>
      <c r="BN1219" s="6">
        <f>0</f>
        <v>0</v>
      </c>
      <c r="BO1219" s="6">
        <f>0</f>
        <v>0</v>
      </c>
      <c r="BP1219" s="4" t="s">
        <v>256</v>
      </c>
      <c r="BQ1219" s="4" t="s">
        <v>257</v>
      </c>
      <c r="CE1219" s="4" t="s">
        <v>241</v>
      </c>
      <c r="CF1219" s="4" t="s">
        <v>241</v>
      </c>
      <c r="CJ1219" s="4" t="s">
        <v>276</v>
      </c>
      <c r="CK1219" s="4" t="s">
        <v>259</v>
      </c>
      <c r="CL1219" s="4" t="s">
        <v>241</v>
      </c>
      <c r="CO1219" s="5" t="s">
        <v>260</v>
      </c>
      <c r="CP1219" s="4" t="s">
        <v>241</v>
      </c>
      <c r="CQ1219" s="4" t="s">
        <v>261</v>
      </c>
      <c r="CR1219" s="4" t="s">
        <v>241</v>
      </c>
      <c r="CS1219" s="4" t="s">
        <v>241</v>
      </c>
      <c r="CT1219" s="4">
        <v>0</v>
      </c>
      <c r="CU1219" s="4" t="s">
        <v>262</v>
      </c>
      <c r="CV1219" s="4" t="s">
        <v>263</v>
      </c>
      <c r="CW1219" s="4" t="s">
        <v>263</v>
      </c>
      <c r="CX1219" s="4" t="s">
        <v>264</v>
      </c>
      <c r="DA1219" s="6">
        <f>1</f>
        <v>1</v>
      </c>
      <c r="DC1219" s="4" t="s">
        <v>277</v>
      </c>
      <c r="DD1219" s="4" t="s">
        <v>241</v>
      </c>
      <c r="DF1219" s="4" t="s">
        <v>277</v>
      </c>
      <c r="DG1219" s="6">
        <f>1682</f>
        <v>1682</v>
      </c>
      <c r="DI1219" s="4" t="s">
        <v>241</v>
      </c>
      <c r="DJ1219" s="4" t="s">
        <v>241</v>
      </c>
      <c r="DK1219" s="4" t="s">
        <v>241</v>
      </c>
      <c r="DL1219" s="4" t="s">
        <v>241</v>
      </c>
      <c r="DP1219" s="4" t="s">
        <v>241</v>
      </c>
      <c r="DQ1219" s="4" t="s">
        <v>241</v>
      </c>
      <c r="DR1219" s="4" t="s">
        <v>241</v>
      </c>
      <c r="DS1219" s="4" t="s">
        <v>241</v>
      </c>
      <c r="DV1219" s="4" t="s">
        <v>278</v>
      </c>
      <c r="DW1219" s="4" t="s">
        <v>2847</v>
      </c>
      <c r="HO1219" s="4" t="s">
        <v>267</v>
      </c>
    </row>
    <row r="1220" spans="1:223" ht="19.5" customHeight="1" x14ac:dyDescent="0.4">
      <c r="A1220" s="4">
        <v>1</v>
      </c>
      <c r="B1220" s="4" t="s">
        <v>239</v>
      </c>
      <c r="C1220" s="4">
        <v>2894</v>
      </c>
      <c r="D1220" s="4">
        <v>1</v>
      </c>
      <c r="E1220" s="4">
        <v>1</v>
      </c>
      <c r="F1220" s="4" t="s">
        <v>268</v>
      </c>
      <c r="G1220" s="4" t="s">
        <v>241</v>
      </c>
      <c r="H1220" s="4" t="s">
        <v>241</v>
      </c>
      <c r="I1220" s="4" t="s">
        <v>272</v>
      </c>
      <c r="J1220" s="4" t="s">
        <v>274</v>
      </c>
      <c r="K1220" s="4" t="s">
        <v>251</v>
      </c>
      <c r="L1220" s="4" t="s">
        <v>269</v>
      </c>
      <c r="M1220" s="5" t="s">
        <v>2929</v>
      </c>
      <c r="N1220" s="6">
        <f>1622</f>
        <v>1622</v>
      </c>
      <c r="O1220" s="4" t="s">
        <v>265</v>
      </c>
      <c r="P1220" s="6">
        <f>1</f>
        <v>1</v>
      </c>
      <c r="Q1220" s="6">
        <f>0</f>
        <v>0</v>
      </c>
      <c r="S1220" s="6">
        <f>0</f>
        <v>0</v>
      </c>
      <c r="T1220" s="6">
        <f>1</f>
        <v>1</v>
      </c>
      <c r="U1220" s="5" t="s">
        <v>245</v>
      </c>
      <c r="V1220" s="4" t="s">
        <v>270</v>
      </c>
      <c r="W1220" s="4" t="s">
        <v>271</v>
      </c>
      <c r="X1220" s="4" t="s">
        <v>273</v>
      </c>
      <c r="Y1220" s="4" t="s">
        <v>241</v>
      </c>
      <c r="AB1220" s="4" t="s">
        <v>241</v>
      </c>
      <c r="AD1220" s="5" t="s">
        <v>241</v>
      </c>
      <c r="AG1220" s="5" t="s">
        <v>246</v>
      </c>
      <c r="AH1220" s="4" t="s">
        <v>241</v>
      </c>
      <c r="AI1220" s="4" t="s">
        <v>247</v>
      </c>
      <c r="AJ1220" s="4" t="s">
        <v>248</v>
      </c>
      <c r="AZ1220" s="4" t="s">
        <v>249</v>
      </c>
      <c r="BA1220" s="4" t="s">
        <v>241</v>
      </c>
      <c r="BB1220" s="4" t="s">
        <v>250</v>
      </c>
      <c r="BC1220" s="4" t="s">
        <v>241</v>
      </c>
      <c r="BD1220" s="4" t="s">
        <v>252</v>
      </c>
      <c r="BE1220" s="4" t="s">
        <v>241</v>
      </c>
      <c r="BI1220" s="4" t="s">
        <v>253</v>
      </c>
      <c r="BJ1220" s="5" t="s">
        <v>246</v>
      </c>
      <c r="BK1220" s="4" t="s">
        <v>254</v>
      </c>
      <c r="BL1220" s="4" t="s">
        <v>255</v>
      </c>
      <c r="BM1220" s="4" t="s">
        <v>241</v>
      </c>
      <c r="BN1220" s="6">
        <f>0</f>
        <v>0</v>
      </c>
      <c r="BO1220" s="6">
        <f>0</f>
        <v>0</v>
      </c>
      <c r="BP1220" s="4" t="s">
        <v>256</v>
      </c>
      <c r="BQ1220" s="4" t="s">
        <v>257</v>
      </c>
      <c r="CE1220" s="4" t="s">
        <v>241</v>
      </c>
      <c r="CF1220" s="4" t="s">
        <v>241</v>
      </c>
      <c r="CJ1220" s="4" t="s">
        <v>276</v>
      </c>
      <c r="CK1220" s="4" t="s">
        <v>259</v>
      </c>
      <c r="CL1220" s="4" t="s">
        <v>241</v>
      </c>
      <c r="CO1220" s="5" t="s">
        <v>260</v>
      </c>
      <c r="CP1220" s="4" t="s">
        <v>241</v>
      </c>
      <c r="CQ1220" s="4" t="s">
        <v>261</v>
      </c>
      <c r="CR1220" s="4" t="s">
        <v>241</v>
      </c>
      <c r="CS1220" s="4" t="s">
        <v>241</v>
      </c>
      <c r="CT1220" s="4">
        <v>0</v>
      </c>
      <c r="CU1220" s="4" t="s">
        <v>262</v>
      </c>
      <c r="CV1220" s="4" t="s">
        <v>263</v>
      </c>
      <c r="CW1220" s="4" t="s">
        <v>263</v>
      </c>
      <c r="CX1220" s="4" t="s">
        <v>264</v>
      </c>
      <c r="DA1220" s="6">
        <f>1</f>
        <v>1</v>
      </c>
      <c r="DC1220" s="4" t="s">
        <v>277</v>
      </c>
      <c r="DD1220" s="4" t="s">
        <v>241</v>
      </c>
      <c r="DF1220" s="4" t="s">
        <v>277</v>
      </c>
      <c r="DG1220" s="6">
        <f>1622</f>
        <v>1622</v>
      </c>
      <c r="DI1220" s="4" t="s">
        <v>241</v>
      </c>
      <c r="DJ1220" s="4" t="s">
        <v>241</v>
      </c>
      <c r="DK1220" s="4" t="s">
        <v>241</v>
      </c>
      <c r="DL1220" s="4" t="s">
        <v>241</v>
      </c>
      <c r="DP1220" s="4" t="s">
        <v>241</v>
      </c>
      <c r="DQ1220" s="4" t="s">
        <v>241</v>
      </c>
      <c r="DR1220" s="4" t="s">
        <v>241</v>
      </c>
      <c r="DS1220" s="4" t="s">
        <v>241</v>
      </c>
      <c r="DV1220" s="4" t="s">
        <v>278</v>
      </c>
      <c r="DW1220" s="4" t="s">
        <v>2930</v>
      </c>
      <c r="HO1220" s="4" t="s">
        <v>267</v>
      </c>
    </row>
    <row r="1221" spans="1:223" ht="19.5" customHeight="1" x14ac:dyDescent="0.4">
      <c r="A1221" s="4">
        <v>1</v>
      </c>
      <c r="B1221" s="4" t="s">
        <v>239</v>
      </c>
      <c r="C1221" s="4">
        <v>2895</v>
      </c>
      <c r="D1221" s="4">
        <v>1</v>
      </c>
      <c r="E1221" s="4">
        <v>1</v>
      </c>
      <c r="F1221" s="4" t="s">
        <v>268</v>
      </c>
      <c r="G1221" s="4" t="s">
        <v>241</v>
      </c>
      <c r="H1221" s="4" t="s">
        <v>241</v>
      </c>
      <c r="I1221" s="4" t="s">
        <v>272</v>
      </c>
      <c r="J1221" s="4" t="s">
        <v>274</v>
      </c>
      <c r="K1221" s="4" t="s">
        <v>251</v>
      </c>
      <c r="L1221" s="4" t="s">
        <v>269</v>
      </c>
      <c r="M1221" s="5" t="s">
        <v>2921</v>
      </c>
      <c r="N1221" s="6">
        <f>3500</f>
        <v>3500</v>
      </c>
      <c r="O1221" s="4" t="s">
        <v>265</v>
      </c>
      <c r="P1221" s="6">
        <f>1</f>
        <v>1</v>
      </c>
      <c r="Q1221" s="6">
        <f>0</f>
        <v>0</v>
      </c>
      <c r="S1221" s="6">
        <f>0</f>
        <v>0</v>
      </c>
      <c r="T1221" s="6">
        <f>1</f>
        <v>1</v>
      </c>
      <c r="U1221" s="5" t="s">
        <v>245</v>
      </c>
      <c r="V1221" s="4" t="s">
        <v>270</v>
      </c>
      <c r="W1221" s="4" t="s">
        <v>271</v>
      </c>
      <c r="X1221" s="4" t="s">
        <v>273</v>
      </c>
      <c r="Y1221" s="4" t="s">
        <v>241</v>
      </c>
      <c r="AB1221" s="4" t="s">
        <v>241</v>
      </c>
      <c r="AD1221" s="5" t="s">
        <v>241</v>
      </c>
      <c r="AG1221" s="5" t="s">
        <v>246</v>
      </c>
      <c r="AH1221" s="4" t="s">
        <v>241</v>
      </c>
      <c r="AI1221" s="4" t="s">
        <v>247</v>
      </c>
      <c r="AJ1221" s="4" t="s">
        <v>248</v>
      </c>
      <c r="AZ1221" s="4" t="s">
        <v>249</v>
      </c>
      <c r="BA1221" s="4" t="s">
        <v>241</v>
      </c>
      <c r="BB1221" s="4" t="s">
        <v>250</v>
      </c>
      <c r="BC1221" s="4" t="s">
        <v>241</v>
      </c>
      <c r="BD1221" s="4" t="s">
        <v>252</v>
      </c>
      <c r="BE1221" s="4" t="s">
        <v>241</v>
      </c>
      <c r="BI1221" s="4" t="s">
        <v>253</v>
      </c>
      <c r="BJ1221" s="5" t="s">
        <v>246</v>
      </c>
      <c r="BK1221" s="4" t="s">
        <v>254</v>
      </c>
      <c r="BL1221" s="4" t="s">
        <v>255</v>
      </c>
      <c r="BM1221" s="4" t="s">
        <v>241</v>
      </c>
      <c r="BN1221" s="6">
        <f>0</f>
        <v>0</v>
      </c>
      <c r="BO1221" s="6">
        <f>0</f>
        <v>0</v>
      </c>
      <c r="BP1221" s="4" t="s">
        <v>256</v>
      </c>
      <c r="BQ1221" s="4" t="s">
        <v>257</v>
      </c>
      <c r="CE1221" s="4" t="s">
        <v>241</v>
      </c>
      <c r="CF1221" s="4" t="s">
        <v>241</v>
      </c>
      <c r="CJ1221" s="4" t="s">
        <v>276</v>
      </c>
      <c r="CK1221" s="4" t="s">
        <v>259</v>
      </c>
      <c r="CL1221" s="4" t="s">
        <v>241</v>
      </c>
      <c r="CO1221" s="5" t="s">
        <v>260</v>
      </c>
      <c r="CP1221" s="4" t="s">
        <v>241</v>
      </c>
      <c r="CQ1221" s="4" t="s">
        <v>261</v>
      </c>
      <c r="CR1221" s="4" t="s">
        <v>241</v>
      </c>
      <c r="CS1221" s="4" t="s">
        <v>241</v>
      </c>
      <c r="CT1221" s="4">
        <v>0</v>
      </c>
      <c r="CU1221" s="4" t="s">
        <v>262</v>
      </c>
      <c r="CV1221" s="4" t="s">
        <v>263</v>
      </c>
      <c r="CW1221" s="4" t="s">
        <v>263</v>
      </c>
      <c r="CX1221" s="4" t="s">
        <v>264</v>
      </c>
      <c r="DA1221" s="6">
        <f>1</f>
        <v>1</v>
      </c>
      <c r="DC1221" s="4" t="s">
        <v>277</v>
      </c>
      <c r="DD1221" s="4" t="s">
        <v>241</v>
      </c>
      <c r="DF1221" s="4" t="s">
        <v>277</v>
      </c>
      <c r="DG1221" s="6">
        <f>3500</f>
        <v>3500</v>
      </c>
      <c r="DI1221" s="4" t="s">
        <v>241</v>
      </c>
      <c r="DJ1221" s="4" t="s">
        <v>241</v>
      </c>
      <c r="DK1221" s="4" t="s">
        <v>241</v>
      </c>
      <c r="DL1221" s="4" t="s">
        <v>241</v>
      </c>
      <c r="DP1221" s="4" t="s">
        <v>241</v>
      </c>
      <c r="DQ1221" s="4" t="s">
        <v>241</v>
      </c>
      <c r="DR1221" s="4" t="s">
        <v>241</v>
      </c>
      <c r="DS1221" s="4" t="s">
        <v>241</v>
      </c>
      <c r="DV1221" s="4" t="s">
        <v>278</v>
      </c>
      <c r="DW1221" s="4" t="s">
        <v>2922</v>
      </c>
      <c r="HO1221" s="4" t="s">
        <v>267</v>
      </c>
    </row>
    <row r="1222" spans="1:223" ht="19.5" customHeight="1" x14ac:dyDescent="0.4">
      <c r="A1222" s="4">
        <v>1</v>
      </c>
      <c r="B1222" s="4" t="s">
        <v>239</v>
      </c>
      <c r="C1222" s="4">
        <v>2896</v>
      </c>
      <c r="D1222" s="4">
        <v>1</v>
      </c>
      <c r="E1222" s="4">
        <v>1</v>
      </c>
      <c r="F1222" s="4" t="s">
        <v>268</v>
      </c>
      <c r="G1222" s="4" t="s">
        <v>241</v>
      </c>
      <c r="H1222" s="4" t="s">
        <v>241</v>
      </c>
      <c r="I1222" s="4" t="s">
        <v>272</v>
      </c>
      <c r="J1222" s="4" t="s">
        <v>274</v>
      </c>
      <c r="K1222" s="4" t="s">
        <v>251</v>
      </c>
      <c r="L1222" s="4" t="s">
        <v>269</v>
      </c>
      <c r="M1222" s="5" t="s">
        <v>2125</v>
      </c>
      <c r="N1222" s="6">
        <f>1729</f>
        <v>1729</v>
      </c>
      <c r="O1222" s="4" t="s">
        <v>265</v>
      </c>
      <c r="P1222" s="6">
        <f>1</f>
        <v>1</v>
      </c>
      <c r="Q1222" s="6">
        <f>0</f>
        <v>0</v>
      </c>
      <c r="S1222" s="6">
        <f>0</f>
        <v>0</v>
      </c>
      <c r="T1222" s="6">
        <f>1</f>
        <v>1</v>
      </c>
      <c r="U1222" s="5" t="s">
        <v>245</v>
      </c>
      <c r="V1222" s="4" t="s">
        <v>270</v>
      </c>
      <c r="W1222" s="4" t="s">
        <v>271</v>
      </c>
      <c r="X1222" s="4" t="s">
        <v>273</v>
      </c>
      <c r="Y1222" s="4" t="s">
        <v>241</v>
      </c>
      <c r="AB1222" s="4" t="s">
        <v>241</v>
      </c>
      <c r="AD1222" s="5" t="s">
        <v>241</v>
      </c>
      <c r="AG1222" s="5" t="s">
        <v>246</v>
      </c>
      <c r="AH1222" s="4" t="s">
        <v>241</v>
      </c>
      <c r="AI1222" s="4" t="s">
        <v>247</v>
      </c>
      <c r="AJ1222" s="4" t="s">
        <v>248</v>
      </c>
      <c r="AZ1222" s="4" t="s">
        <v>249</v>
      </c>
      <c r="BA1222" s="4" t="s">
        <v>241</v>
      </c>
      <c r="BB1222" s="4" t="s">
        <v>250</v>
      </c>
      <c r="BC1222" s="4" t="s">
        <v>241</v>
      </c>
      <c r="BD1222" s="4" t="s">
        <v>252</v>
      </c>
      <c r="BE1222" s="4" t="s">
        <v>241</v>
      </c>
      <c r="BI1222" s="4" t="s">
        <v>253</v>
      </c>
      <c r="BJ1222" s="5" t="s">
        <v>246</v>
      </c>
      <c r="BK1222" s="4" t="s">
        <v>254</v>
      </c>
      <c r="BL1222" s="4" t="s">
        <v>255</v>
      </c>
      <c r="BM1222" s="4" t="s">
        <v>241</v>
      </c>
      <c r="BN1222" s="6">
        <f>0</f>
        <v>0</v>
      </c>
      <c r="BO1222" s="6">
        <f>0</f>
        <v>0</v>
      </c>
      <c r="BP1222" s="4" t="s">
        <v>256</v>
      </c>
      <c r="BQ1222" s="4" t="s">
        <v>257</v>
      </c>
      <c r="CE1222" s="4" t="s">
        <v>241</v>
      </c>
      <c r="CF1222" s="4" t="s">
        <v>241</v>
      </c>
      <c r="CJ1222" s="4" t="s">
        <v>276</v>
      </c>
      <c r="CK1222" s="4" t="s">
        <v>259</v>
      </c>
      <c r="CL1222" s="4" t="s">
        <v>241</v>
      </c>
      <c r="CO1222" s="5" t="s">
        <v>260</v>
      </c>
      <c r="CP1222" s="4" t="s">
        <v>241</v>
      </c>
      <c r="CQ1222" s="4" t="s">
        <v>261</v>
      </c>
      <c r="CR1222" s="4" t="s">
        <v>241</v>
      </c>
      <c r="CS1222" s="4" t="s">
        <v>241</v>
      </c>
      <c r="CT1222" s="4">
        <v>0</v>
      </c>
      <c r="CU1222" s="4" t="s">
        <v>262</v>
      </c>
      <c r="CV1222" s="4" t="s">
        <v>263</v>
      </c>
      <c r="CW1222" s="4" t="s">
        <v>263</v>
      </c>
      <c r="CX1222" s="4" t="s">
        <v>264</v>
      </c>
      <c r="DA1222" s="6">
        <f>1</f>
        <v>1</v>
      </c>
      <c r="DC1222" s="4" t="s">
        <v>277</v>
      </c>
      <c r="DD1222" s="4" t="s">
        <v>241</v>
      </c>
      <c r="DF1222" s="4" t="s">
        <v>277</v>
      </c>
      <c r="DG1222" s="6">
        <f>1729</f>
        <v>1729</v>
      </c>
      <c r="DI1222" s="4" t="s">
        <v>241</v>
      </c>
      <c r="DJ1222" s="4" t="s">
        <v>241</v>
      </c>
      <c r="DK1222" s="4" t="s">
        <v>241</v>
      </c>
      <c r="DL1222" s="4" t="s">
        <v>241</v>
      </c>
      <c r="DP1222" s="4" t="s">
        <v>241</v>
      </c>
      <c r="DQ1222" s="4" t="s">
        <v>241</v>
      </c>
      <c r="DR1222" s="4" t="s">
        <v>241</v>
      </c>
      <c r="DS1222" s="4" t="s">
        <v>241</v>
      </c>
      <c r="DV1222" s="4" t="s">
        <v>278</v>
      </c>
      <c r="DW1222" s="4" t="s">
        <v>2126</v>
      </c>
      <c r="HO1222" s="4" t="s">
        <v>267</v>
      </c>
    </row>
    <row r="1223" spans="1:223" ht="19.5" customHeight="1" x14ac:dyDescent="0.4">
      <c r="A1223" s="4">
        <v>1</v>
      </c>
      <c r="B1223" s="4" t="s">
        <v>239</v>
      </c>
      <c r="C1223" s="4">
        <v>2897</v>
      </c>
      <c r="D1223" s="4">
        <v>1</v>
      </c>
      <c r="E1223" s="4">
        <v>1</v>
      </c>
      <c r="F1223" s="4" t="s">
        <v>268</v>
      </c>
      <c r="G1223" s="4" t="s">
        <v>241</v>
      </c>
      <c r="H1223" s="4" t="s">
        <v>241</v>
      </c>
      <c r="I1223" s="4" t="s">
        <v>272</v>
      </c>
      <c r="J1223" s="4" t="s">
        <v>274</v>
      </c>
      <c r="K1223" s="4" t="s">
        <v>251</v>
      </c>
      <c r="L1223" s="4" t="s">
        <v>269</v>
      </c>
      <c r="M1223" s="5" t="s">
        <v>2856</v>
      </c>
      <c r="N1223" s="6">
        <f>697</f>
        <v>697</v>
      </c>
      <c r="O1223" s="4" t="s">
        <v>265</v>
      </c>
      <c r="P1223" s="6">
        <f>1</f>
        <v>1</v>
      </c>
      <c r="Q1223" s="6">
        <f>0</f>
        <v>0</v>
      </c>
      <c r="S1223" s="6">
        <f>0</f>
        <v>0</v>
      </c>
      <c r="T1223" s="6">
        <f>1</f>
        <v>1</v>
      </c>
      <c r="U1223" s="5" t="s">
        <v>245</v>
      </c>
      <c r="V1223" s="4" t="s">
        <v>270</v>
      </c>
      <c r="W1223" s="4" t="s">
        <v>271</v>
      </c>
      <c r="X1223" s="4" t="s">
        <v>273</v>
      </c>
      <c r="Y1223" s="4" t="s">
        <v>241</v>
      </c>
      <c r="AB1223" s="4" t="s">
        <v>241</v>
      </c>
      <c r="AD1223" s="5" t="s">
        <v>241</v>
      </c>
      <c r="AG1223" s="5" t="s">
        <v>246</v>
      </c>
      <c r="AH1223" s="4" t="s">
        <v>241</v>
      </c>
      <c r="AI1223" s="4" t="s">
        <v>247</v>
      </c>
      <c r="AJ1223" s="4" t="s">
        <v>248</v>
      </c>
      <c r="AZ1223" s="4" t="s">
        <v>249</v>
      </c>
      <c r="BA1223" s="4" t="s">
        <v>241</v>
      </c>
      <c r="BB1223" s="4" t="s">
        <v>250</v>
      </c>
      <c r="BC1223" s="4" t="s">
        <v>241</v>
      </c>
      <c r="BD1223" s="4" t="s">
        <v>252</v>
      </c>
      <c r="BE1223" s="4" t="s">
        <v>241</v>
      </c>
      <c r="BI1223" s="4" t="s">
        <v>253</v>
      </c>
      <c r="BJ1223" s="5" t="s">
        <v>246</v>
      </c>
      <c r="BK1223" s="4" t="s">
        <v>254</v>
      </c>
      <c r="BL1223" s="4" t="s">
        <v>255</v>
      </c>
      <c r="BM1223" s="4" t="s">
        <v>241</v>
      </c>
      <c r="BN1223" s="6">
        <f>0</f>
        <v>0</v>
      </c>
      <c r="BO1223" s="6">
        <f>0</f>
        <v>0</v>
      </c>
      <c r="BP1223" s="4" t="s">
        <v>256</v>
      </c>
      <c r="BQ1223" s="4" t="s">
        <v>257</v>
      </c>
      <c r="CE1223" s="4" t="s">
        <v>241</v>
      </c>
      <c r="CF1223" s="4" t="s">
        <v>241</v>
      </c>
      <c r="CJ1223" s="4" t="s">
        <v>276</v>
      </c>
      <c r="CK1223" s="4" t="s">
        <v>259</v>
      </c>
      <c r="CL1223" s="4" t="s">
        <v>241</v>
      </c>
      <c r="CO1223" s="5" t="s">
        <v>260</v>
      </c>
      <c r="CP1223" s="4" t="s">
        <v>241</v>
      </c>
      <c r="CQ1223" s="4" t="s">
        <v>261</v>
      </c>
      <c r="CR1223" s="4" t="s">
        <v>241</v>
      </c>
      <c r="CS1223" s="4" t="s">
        <v>241</v>
      </c>
      <c r="CT1223" s="4">
        <v>0</v>
      </c>
      <c r="CU1223" s="4" t="s">
        <v>262</v>
      </c>
      <c r="CV1223" s="4" t="s">
        <v>263</v>
      </c>
      <c r="CW1223" s="4" t="s">
        <v>263</v>
      </c>
      <c r="CX1223" s="4" t="s">
        <v>264</v>
      </c>
      <c r="DA1223" s="6">
        <f>1</f>
        <v>1</v>
      </c>
      <c r="DC1223" s="4" t="s">
        <v>277</v>
      </c>
      <c r="DD1223" s="4" t="s">
        <v>241</v>
      </c>
      <c r="DF1223" s="4" t="s">
        <v>277</v>
      </c>
      <c r="DG1223" s="6">
        <f>697</f>
        <v>697</v>
      </c>
      <c r="DI1223" s="4" t="s">
        <v>241</v>
      </c>
      <c r="DJ1223" s="4" t="s">
        <v>241</v>
      </c>
      <c r="DK1223" s="4" t="s">
        <v>241</v>
      </c>
      <c r="DL1223" s="4" t="s">
        <v>241</v>
      </c>
      <c r="DP1223" s="4" t="s">
        <v>241</v>
      </c>
      <c r="DQ1223" s="4" t="s">
        <v>241</v>
      </c>
      <c r="DR1223" s="4" t="s">
        <v>241</v>
      </c>
      <c r="DS1223" s="4" t="s">
        <v>241</v>
      </c>
      <c r="DV1223" s="4" t="s">
        <v>278</v>
      </c>
      <c r="DW1223" s="4" t="s">
        <v>2857</v>
      </c>
      <c r="HO1223" s="4" t="s">
        <v>267</v>
      </c>
    </row>
    <row r="1224" spans="1:223" ht="19.5" customHeight="1" x14ac:dyDescent="0.4">
      <c r="A1224" s="4">
        <v>1</v>
      </c>
      <c r="B1224" s="4" t="s">
        <v>239</v>
      </c>
      <c r="C1224" s="4">
        <v>2898</v>
      </c>
      <c r="D1224" s="4">
        <v>1</v>
      </c>
      <c r="E1224" s="4">
        <v>1</v>
      </c>
      <c r="F1224" s="4" t="s">
        <v>268</v>
      </c>
      <c r="G1224" s="4" t="s">
        <v>241</v>
      </c>
      <c r="H1224" s="4" t="s">
        <v>241</v>
      </c>
      <c r="I1224" s="4" t="s">
        <v>272</v>
      </c>
      <c r="J1224" s="4" t="s">
        <v>274</v>
      </c>
      <c r="K1224" s="4" t="s">
        <v>251</v>
      </c>
      <c r="L1224" s="4" t="s">
        <v>269</v>
      </c>
      <c r="M1224" s="5" t="s">
        <v>2909</v>
      </c>
      <c r="N1224" s="6">
        <f>882</f>
        <v>882</v>
      </c>
      <c r="O1224" s="4" t="s">
        <v>265</v>
      </c>
      <c r="P1224" s="6">
        <f>1</f>
        <v>1</v>
      </c>
      <c r="Q1224" s="6">
        <f>0</f>
        <v>0</v>
      </c>
      <c r="S1224" s="6">
        <f>0</f>
        <v>0</v>
      </c>
      <c r="T1224" s="6">
        <f>1</f>
        <v>1</v>
      </c>
      <c r="U1224" s="5" t="s">
        <v>245</v>
      </c>
      <c r="V1224" s="4" t="s">
        <v>270</v>
      </c>
      <c r="W1224" s="4" t="s">
        <v>271</v>
      </c>
      <c r="X1224" s="4" t="s">
        <v>273</v>
      </c>
      <c r="Y1224" s="4" t="s">
        <v>241</v>
      </c>
      <c r="AB1224" s="4" t="s">
        <v>241</v>
      </c>
      <c r="AD1224" s="5" t="s">
        <v>241</v>
      </c>
      <c r="AG1224" s="5" t="s">
        <v>246</v>
      </c>
      <c r="AH1224" s="4" t="s">
        <v>241</v>
      </c>
      <c r="AI1224" s="4" t="s">
        <v>247</v>
      </c>
      <c r="AJ1224" s="4" t="s">
        <v>248</v>
      </c>
      <c r="AZ1224" s="4" t="s">
        <v>249</v>
      </c>
      <c r="BA1224" s="4" t="s">
        <v>241</v>
      </c>
      <c r="BB1224" s="4" t="s">
        <v>250</v>
      </c>
      <c r="BC1224" s="4" t="s">
        <v>241</v>
      </c>
      <c r="BD1224" s="4" t="s">
        <v>252</v>
      </c>
      <c r="BE1224" s="4" t="s">
        <v>241</v>
      </c>
      <c r="BI1224" s="4" t="s">
        <v>253</v>
      </c>
      <c r="BJ1224" s="5" t="s">
        <v>246</v>
      </c>
      <c r="BK1224" s="4" t="s">
        <v>254</v>
      </c>
      <c r="BL1224" s="4" t="s">
        <v>255</v>
      </c>
      <c r="BM1224" s="4" t="s">
        <v>241</v>
      </c>
      <c r="BN1224" s="6">
        <f>0</f>
        <v>0</v>
      </c>
      <c r="BO1224" s="6">
        <f>0</f>
        <v>0</v>
      </c>
      <c r="BP1224" s="4" t="s">
        <v>256</v>
      </c>
      <c r="BQ1224" s="4" t="s">
        <v>257</v>
      </c>
      <c r="CE1224" s="4" t="s">
        <v>241</v>
      </c>
      <c r="CF1224" s="4" t="s">
        <v>241</v>
      </c>
      <c r="CJ1224" s="4" t="s">
        <v>276</v>
      </c>
      <c r="CK1224" s="4" t="s">
        <v>259</v>
      </c>
      <c r="CL1224" s="4" t="s">
        <v>241</v>
      </c>
      <c r="CO1224" s="5" t="s">
        <v>260</v>
      </c>
      <c r="CP1224" s="4" t="s">
        <v>241</v>
      </c>
      <c r="CQ1224" s="4" t="s">
        <v>261</v>
      </c>
      <c r="CR1224" s="4" t="s">
        <v>241</v>
      </c>
      <c r="CS1224" s="4" t="s">
        <v>241</v>
      </c>
      <c r="CT1224" s="4">
        <v>0</v>
      </c>
      <c r="CU1224" s="4" t="s">
        <v>262</v>
      </c>
      <c r="CV1224" s="4" t="s">
        <v>263</v>
      </c>
      <c r="CW1224" s="4" t="s">
        <v>263</v>
      </c>
      <c r="CX1224" s="4" t="s">
        <v>264</v>
      </c>
      <c r="DA1224" s="6">
        <f>1</f>
        <v>1</v>
      </c>
      <c r="DC1224" s="4" t="s">
        <v>277</v>
      </c>
      <c r="DD1224" s="4" t="s">
        <v>241</v>
      </c>
      <c r="DF1224" s="4" t="s">
        <v>277</v>
      </c>
      <c r="DG1224" s="6">
        <f>882</f>
        <v>882</v>
      </c>
      <c r="DI1224" s="4" t="s">
        <v>241</v>
      </c>
      <c r="DJ1224" s="4" t="s">
        <v>241</v>
      </c>
      <c r="DK1224" s="4" t="s">
        <v>241</v>
      </c>
      <c r="DL1224" s="4" t="s">
        <v>241</v>
      </c>
      <c r="DP1224" s="4" t="s">
        <v>241</v>
      </c>
      <c r="DQ1224" s="4" t="s">
        <v>241</v>
      </c>
      <c r="DR1224" s="4" t="s">
        <v>241</v>
      </c>
      <c r="DS1224" s="4" t="s">
        <v>241</v>
      </c>
      <c r="DV1224" s="4" t="s">
        <v>278</v>
      </c>
      <c r="DW1224" s="4" t="s">
        <v>2910</v>
      </c>
      <c r="HO1224" s="4" t="s">
        <v>267</v>
      </c>
    </row>
    <row r="1225" spans="1:223" ht="19.5" customHeight="1" x14ac:dyDescent="0.4">
      <c r="A1225" s="4">
        <v>1</v>
      </c>
      <c r="B1225" s="4" t="s">
        <v>239</v>
      </c>
      <c r="C1225" s="4">
        <v>2899</v>
      </c>
      <c r="D1225" s="4">
        <v>1</v>
      </c>
      <c r="E1225" s="4">
        <v>1</v>
      </c>
      <c r="F1225" s="4" t="s">
        <v>268</v>
      </c>
      <c r="G1225" s="4" t="s">
        <v>241</v>
      </c>
      <c r="H1225" s="4" t="s">
        <v>241</v>
      </c>
      <c r="I1225" s="4" t="s">
        <v>272</v>
      </c>
      <c r="J1225" s="4" t="s">
        <v>274</v>
      </c>
      <c r="K1225" s="4" t="s">
        <v>251</v>
      </c>
      <c r="L1225" s="4" t="s">
        <v>269</v>
      </c>
      <c r="M1225" s="5" t="s">
        <v>2870</v>
      </c>
      <c r="N1225" s="6">
        <f>8229</f>
        <v>8229</v>
      </c>
      <c r="O1225" s="4" t="s">
        <v>265</v>
      </c>
      <c r="P1225" s="6">
        <f>1</f>
        <v>1</v>
      </c>
      <c r="Q1225" s="6">
        <f>0</f>
        <v>0</v>
      </c>
      <c r="S1225" s="6">
        <f>0</f>
        <v>0</v>
      </c>
      <c r="T1225" s="6">
        <f>1</f>
        <v>1</v>
      </c>
      <c r="U1225" s="5" t="s">
        <v>245</v>
      </c>
      <c r="V1225" s="4" t="s">
        <v>270</v>
      </c>
      <c r="W1225" s="4" t="s">
        <v>271</v>
      </c>
      <c r="X1225" s="4" t="s">
        <v>273</v>
      </c>
      <c r="Y1225" s="4" t="s">
        <v>241</v>
      </c>
      <c r="AB1225" s="4" t="s">
        <v>241</v>
      </c>
      <c r="AD1225" s="5" t="s">
        <v>241</v>
      </c>
      <c r="AG1225" s="5" t="s">
        <v>246</v>
      </c>
      <c r="AH1225" s="4" t="s">
        <v>241</v>
      </c>
      <c r="AI1225" s="4" t="s">
        <v>247</v>
      </c>
      <c r="AJ1225" s="4" t="s">
        <v>248</v>
      </c>
      <c r="AZ1225" s="4" t="s">
        <v>249</v>
      </c>
      <c r="BA1225" s="4" t="s">
        <v>241</v>
      </c>
      <c r="BB1225" s="4" t="s">
        <v>250</v>
      </c>
      <c r="BC1225" s="4" t="s">
        <v>241</v>
      </c>
      <c r="BD1225" s="4" t="s">
        <v>252</v>
      </c>
      <c r="BE1225" s="4" t="s">
        <v>241</v>
      </c>
      <c r="BI1225" s="4" t="s">
        <v>253</v>
      </c>
      <c r="BJ1225" s="5" t="s">
        <v>246</v>
      </c>
      <c r="BK1225" s="4" t="s">
        <v>254</v>
      </c>
      <c r="BL1225" s="4" t="s">
        <v>255</v>
      </c>
      <c r="BM1225" s="4" t="s">
        <v>241</v>
      </c>
      <c r="BN1225" s="6">
        <f>0</f>
        <v>0</v>
      </c>
      <c r="BO1225" s="6">
        <f>0</f>
        <v>0</v>
      </c>
      <c r="BP1225" s="4" t="s">
        <v>256</v>
      </c>
      <c r="BQ1225" s="4" t="s">
        <v>257</v>
      </c>
      <c r="CE1225" s="4" t="s">
        <v>241</v>
      </c>
      <c r="CF1225" s="4" t="s">
        <v>241</v>
      </c>
      <c r="CJ1225" s="4" t="s">
        <v>276</v>
      </c>
      <c r="CK1225" s="4" t="s">
        <v>259</v>
      </c>
      <c r="CL1225" s="4" t="s">
        <v>241</v>
      </c>
      <c r="CO1225" s="5" t="s">
        <v>260</v>
      </c>
      <c r="CP1225" s="4" t="s">
        <v>241</v>
      </c>
      <c r="CQ1225" s="4" t="s">
        <v>261</v>
      </c>
      <c r="CR1225" s="4" t="s">
        <v>241</v>
      </c>
      <c r="CS1225" s="4" t="s">
        <v>241</v>
      </c>
      <c r="CT1225" s="4">
        <v>0</v>
      </c>
      <c r="CU1225" s="4" t="s">
        <v>262</v>
      </c>
      <c r="CV1225" s="4" t="s">
        <v>263</v>
      </c>
      <c r="CW1225" s="4" t="s">
        <v>263</v>
      </c>
      <c r="CX1225" s="4" t="s">
        <v>264</v>
      </c>
      <c r="DA1225" s="6">
        <f>1</f>
        <v>1</v>
      </c>
      <c r="DC1225" s="4" t="s">
        <v>277</v>
      </c>
      <c r="DD1225" s="4" t="s">
        <v>241</v>
      </c>
      <c r="DF1225" s="4" t="s">
        <v>277</v>
      </c>
      <c r="DG1225" s="6">
        <f>8229</f>
        <v>8229</v>
      </c>
      <c r="DI1225" s="4" t="s">
        <v>241</v>
      </c>
      <c r="DJ1225" s="4" t="s">
        <v>241</v>
      </c>
      <c r="DK1225" s="4" t="s">
        <v>241</v>
      </c>
      <c r="DL1225" s="4" t="s">
        <v>241</v>
      </c>
      <c r="DP1225" s="4" t="s">
        <v>241</v>
      </c>
      <c r="DQ1225" s="4" t="s">
        <v>241</v>
      </c>
      <c r="DR1225" s="4" t="s">
        <v>241</v>
      </c>
      <c r="DS1225" s="4" t="s">
        <v>241</v>
      </c>
      <c r="DV1225" s="4" t="s">
        <v>278</v>
      </c>
      <c r="DW1225" s="4" t="s">
        <v>2871</v>
      </c>
      <c r="HO1225" s="4" t="s">
        <v>267</v>
      </c>
    </row>
    <row r="1226" spans="1:223" ht="19.5" customHeight="1" x14ac:dyDescent="0.4">
      <c r="A1226" s="4">
        <v>1</v>
      </c>
      <c r="B1226" s="4" t="s">
        <v>239</v>
      </c>
      <c r="C1226" s="4">
        <v>2900</v>
      </c>
      <c r="D1226" s="4">
        <v>1</v>
      </c>
      <c r="E1226" s="4">
        <v>1</v>
      </c>
      <c r="F1226" s="4" t="s">
        <v>268</v>
      </c>
      <c r="G1226" s="4" t="s">
        <v>241</v>
      </c>
      <c r="H1226" s="4" t="s">
        <v>241</v>
      </c>
      <c r="I1226" s="4" t="s">
        <v>272</v>
      </c>
      <c r="J1226" s="4" t="s">
        <v>274</v>
      </c>
      <c r="K1226" s="4" t="s">
        <v>251</v>
      </c>
      <c r="L1226" s="4" t="s">
        <v>269</v>
      </c>
      <c r="M1226" s="5" t="s">
        <v>2860</v>
      </c>
      <c r="N1226" s="6">
        <f>2865</f>
        <v>2865</v>
      </c>
      <c r="O1226" s="4" t="s">
        <v>265</v>
      </c>
      <c r="P1226" s="6">
        <f>1</f>
        <v>1</v>
      </c>
      <c r="Q1226" s="6">
        <f>0</f>
        <v>0</v>
      </c>
      <c r="S1226" s="6">
        <f>0</f>
        <v>0</v>
      </c>
      <c r="T1226" s="6">
        <f>1</f>
        <v>1</v>
      </c>
      <c r="U1226" s="5" t="s">
        <v>245</v>
      </c>
      <c r="V1226" s="4" t="s">
        <v>270</v>
      </c>
      <c r="W1226" s="4" t="s">
        <v>271</v>
      </c>
      <c r="X1226" s="4" t="s">
        <v>273</v>
      </c>
      <c r="Y1226" s="4" t="s">
        <v>241</v>
      </c>
      <c r="AB1226" s="4" t="s">
        <v>241</v>
      </c>
      <c r="AD1226" s="5" t="s">
        <v>241</v>
      </c>
      <c r="AG1226" s="5" t="s">
        <v>246</v>
      </c>
      <c r="AH1226" s="4" t="s">
        <v>241</v>
      </c>
      <c r="AI1226" s="4" t="s">
        <v>247</v>
      </c>
      <c r="AJ1226" s="4" t="s">
        <v>248</v>
      </c>
      <c r="AZ1226" s="4" t="s">
        <v>249</v>
      </c>
      <c r="BA1226" s="4" t="s">
        <v>241</v>
      </c>
      <c r="BB1226" s="4" t="s">
        <v>250</v>
      </c>
      <c r="BC1226" s="4" t="s">
        <v>241</v>
      </c>
      <c r="BD1226" s="4" t="s">
        <v>252</v>
      </c>
      <c r="BE1226" s="4" t="s">
        <v>241</v>
      </c>
      <c r="BI1226" s="4" t="s">
        <v>253</v>
      </c>
      <c r="BJ1226" s="5" t="s">
        <v>246</v>
      </c>
      <c r="BK1226" s="4" t="s">
        <v>254</v>
      </c>
      <c r="BL1226" s="4" t="s">
        <v>255</v>
      </c>
      <c r="BM1226" s="4" t="s">
        <v>241</v>
      </c>
      <c r="BN1226" s="6">
        <f>0</f>
        <v>0</v>
      </c>
      <c r="BO1226" s="6">
        <f>0</f>
        <v>0</v>
      </c>
      <c r="BP1226" s="4" t="s">
        <v>256</v>
      </c>
      <c r="BQ1226" s="4" t="s">
        <v>257</v>
      </c>
      <c r="CE1226" s="4" t="s">
        <v>241</v>
      </c>
      <c r="CF1226" s="4" t="s">
        <v>241</v>
      </c>
      <c r="CJ1226" s="4" t="s">
        <v>276</v>
      </c>
      <c r="CK1226" s="4" t="s">
        <v>259</v>
      </c>
      <c r="CL1226" s="4" t="s">
        <v>241</v>
      </c>
      <c r="CO1226" s="5" t="s">
        <v>260</v>
      </c>
      <c r="CP1226" s="4" t="s">
        <v>241</v>
      </c>
      <c r="CQ1226" s="4" t="s">
        <v>261</v>
      </c>
      <c r="CR1226" s="4" t="s">
        <v>241</v>
      </c>
      <c r="CS1226" s="4" t="s">
        <v>241</v>
      </c>
      <c r="CT1226" s="4">
        <v>0</v>
      </c>
      <c r="CU1226" s="4" t="s">
        <v>262</v>
      </c>
      <c r="CV1226" s="4" t="s">
        <v>263</v>
      </c>
      <c r="CW1226" s="4" t="s">
        <v>263</v>
      </c>
      <c r="CX1226" s="4" t="s">
        <v>264</v>
      </c>
      <c r="DA1226" s="6">
        <f>1</f>
        <v>1</v>
      </c>
      <c r="DC1226" s="4" t="s">
        <v>277</v>
      </c>
      <c r="DD1226" s="4" t="s">
        <v>241</v>
      </c>
      <c r="DF1226" s="4" t="s">
        <v>277</v>
      </c>
      <c r="DG1226" s="6">
        <f>2865</f>
        <v>2865</v>
      </c>
      <c r="DI1226" s="4" t="s">
        <v>241</v>
      </c>
      <c r="DJ1226" s="4" t="s">
        <v>241</v>
      </c>
      <c r="DK1226" s="4" t="s">
        <v>241</v>
      </c>
      <c r="DL1226" s="4" t="s">
        <v>241</v>
      </c>
      <c r="DP1226" s="4" t="s">
        <v>241</v>
      </c>
      <c r="DQ1226" s="4" t="s">
        <v>241</v>
      </c>
      <c r="DR1226" s="4" t="s">
        <v>241</v>
      </c>
      <c r="DS1226" s="4" t="s">
        <v>241</v>
      </c>
      <c r="DV1226" s="4" t="s">
        <v>278</v>
      </c>
      <c r="DW1226" s="4" t="s">
        <v>2861</v>
      </c>
      <c r="HO1226" s="4" t="s">
        <v>267</v>
      </c>
    </row>
    <row r="1227" spans="1:223" ht="19.5" customHeight="1" x14ac:dyDescent="0.4">
      <c r="A1227" s="4">
        <v>1</v>
      </c>
      <c r="B1227" s="4" t="s">
        <v>239</v>
      </c>
      <c r="C1227" s="4">
        <v>2901</v>
      </c>
      <c r="D1227" s="4">
        <v>1</v>
      </c>
      <c r="E1227" s="4">
        <v>1</v>
      </c>
      <c r="F1227" s="4" t="s">
        <v>268</v>
      </c>
      <c r="G1227" s="4" t="s">
        <v>241</v>
      </c>
      <c r="H1227" s="4" t="s">
        <v>241</v>
      </c>
      <c r="I1227" s="4" t="s">
        <v>272</v>
      </c>
      <c r="J1227" s="4" t="s">
        <v>274</v>
      </c>
      <c r="K1227" s="4" t="s">
        <v>251</v>
      </c>
      <c r="L1227" s="4" t="s">
        <v>269</v>
      </c>
      <c r="M1227" s="5" t="s">
        <v>2872</v>
      </c>
      <c r="N1227" s="6">
        <f>1538</f>
        <v>1538</v>
      </c>
      <c r="O1227" s="4" t="s">
        <v>265</v>
      </c>
      <c r="P1227" s="6">
        <f>1</f>
        <v>1</v>
      </c>
      <c r="Q1227" s="6">
        <f>0</f>
        <v>0</v>
      </c>
      <c r="S1227" s="6">
        <f>0</f>
        <v>0</v>
      </c>
      <c r="T1227" s="6">
        <f>1</f>
        <v>1</v>
      </c>
      <c r="U1227" s="5" t="s">
        <v>245</v>
      </c>
      <c r="V1227" s="4" t="s">
        <v>270</v>
      </c>
      <c r="W1227" s="4" t="s">
        <v>271</v>
      </c>
      <c r="X1227" s="4" t="s">
        <v>273</v>
      </c>
      <c r="Y1227" s="4" t="s">
        <v>241</v>
      </c>
      <c r="AB1227" s="4" t="s">
        <v>241</v>
      </c>
      <c r="AD1227" s="5" t="s">
        <v>241</v>
      </c>
      <c r="AG1227" s="5" t="s">
        <v>246</v>
      </c>
      <c r="AH1227" s="4" t="s">
        <v>241</v>
      </c>
      <c r="AI1227" s="4" t="s">
        <v>247</v>
      </c>
      <c r="AJ1227" s="4" t="s">
        <v>248</v>
      </c>
      <c r="AZ1227" s="4" t="s">
        <v>249</v>
      </c>
      <c r="BA1227" s="4" t="s">
        <v>241</v>
      </c>
      <c r="BB1227" s="4" t="s">
        <v>250</v>
      </c>
      <c r="BC1227" s="4" t="s">
        <v>241</v>
      </c>
      <c r="BD1227" s="4" t="s">
        <v>252</v>
      </c>
      <c r="BE1227" s="4" t="s">
        <v>241</v>
      </c>
      <c r="BI1227" s="4" t="s">
        <v>253</v>
      </c>
      <c r="BJ1227" s="5" t="s">
        <v>246</v>
      </c>
      <c r="BK1227" s="4" t="s">
        <v>254</v>
      </c>
      <c r="BL1227" s="4" t="s">
        <v>255</v>
      </c>
      <c r="BM1227" s="4" t="s">
        <v>241</v>
      </c>
      <c r="BN1227" s="6">
        <f>0</f>
        <v>0</v>
      </c>
      <c r="BO1227" s="6">
        <f>0</f>
        <v>0</v>
      </c>
      <c r="BP1227" s="4" t="s">
        <v>256</v>
      </c>
      <c r="BQ1227" s="4" t="s">
        <v>257</v>
      </c>
      <c r="CE1227" s="4" t="s">
        <v>241</v>
      </c>
      <c r="CF1227" s="4" t="s">
        <v>241</v>
      </c>
      <c r="CJ1227" s="4" t="s">
        <v>276</v>
      </c>
      <c r="CK1227" s="4" t="s">
        <v>259</v>
      </c>
      <c r="CL1227" s="4" t="s">
        <v>241</v>
      </c>
      <c r="CO1227" s="5" t="s">
        <v>260</v>
      </c>
      <c r="CP1227" s="4" t="s">
        <v>241</v>
      </c>
      <c r="CQ1227" s="4" t="s">
        <v>261</v>
      </c>
      <c r="CR1227" s="4" t="s">
        <v>241</v>
      </c>
      <c r="CS1227" s="4" t="s">
        <v>241</v>
      </c>
      <c r="CT1227" s="4">
        <v>0</v>
      </c>
      <c r="CU1227" s="4" t="s">
        <v>262</v>
      </c>
      <c r="CV1227" s="4" t="s">
        <v>263</v>
      </c>
      <c r="CW1227" s="4" t="s">
        <v>263</v>
      </c>
      <c r="CX1227" s="4" t="s">
        <v>264</v>
      </c>
      <c r="DA1227" s="6">
        <f>1</f>
        <v>1</v>
      </c>
      <c r="DC1227" s="4" t="s">
        <v>277</v>
      </c>
      <c r="DD1227" s="4" t="s">
        <v>241</v>
      </c>
      <c r="DF1227" s="4" t="s">
        <v>277</v>
      </c>
      <c r="DG1227" s="6">
        <f>1538</f>
        <v>1538</v>
      </c>
      <c r="DI1227" s="4" t="s">
        <v>241</v>
      </c>
      <c r="DJ1227" s="4" t="s">
        <v>241</v>
      </c>
      <c r="DK1227" s="4" t="s">
        <v>241</v>
      </c>
      <c r="DL1227" s="4" t="s">
        <v>241</v>
      </c>
      <c r="DP1227" s="4" t="s">
        <v>241</v>
      </c>
      <c r="DQ1227" s="4" t="s">
        <v>241</v>
      </c>
      <c r="DR1227" s="4" t="s">
        <v>241</v>
      </c>
      <c r="DS1227" s="4" t="s">
        <v>241</v>
      </c>
      <c r="DV1227" s="4" t="s">
        <v>278</v>
      </c>
      <c r="DW1227" s="4" t="s">
        <v>2873</v>
      </c>
      <c r="HO1227" s="4" t="s">
        <v>267</v>
      </c>
    </row>
    <row r="1228" spans="1:223" ht="19.5" customHeight="1" x14ac:dyDescent="0.4">
      <c r="A1228" s="4">
        <v>1</v>
      </c>
      <c r="B1228" s="4" t="s">
        <v>239</v>
      </c>
      <c r="C1228" s="4">
        <v>2902</v>
      </c>
      <c r="D1228" s="4">
        <v>1</v>
      </c>
      <c r="E1228" s="4">
        <v>1</v>
      </c>
      <c r="F1228" s="4" t="s">
        <v>268</v>
      </c>
      <c r="G1228" s="4" t="s">
        <v>241</v>
      </c>
      <c r="H1228" s="4" t="s">
        <v>241</v>
      </c>
      <c r="I1228" s="4" t="s">
        <v>272</v>
      </c>
      <c r="J1228" s="4" t="s">
        <v>274</v>
      </c>
      <c r="K1228" s="4" t="s">
        <v>251</v>
      </c>
      <c r="L1228" s="4" t="s">
        <v>269</v>
      </c>
      <c r="M1228" s="5" t="s">
        <v>2951</v>
      </c>
      <c r="N1228" s="6">
        <f>2606</f>
        <v>2606</v>
      </c>
      <c r="O1228" s="4" t="s">
        <v>265</v>
      </c>
      <c r="P1228" s="6">
        <f>1</f>
        <v>1</v>
      </c>
      <c r="Q1228" s="6">
        <f>0</f>
        <v>0</v>
      </c>
      <c r="S1228" s="6">
        <f>0</f>
        <v>0</v>
      </c>
      <c r="T1228" s="6">
        <f>1</f>
        <v>1</v>
      </c>
      <c r="U1228" s="5" t="s">
        <v>245</v>
      </c>
      <c r="V1228" s="4" t="s">
        <v>270</v>
      </c>
      <c r="W1228" s="4" t="s">
        <v>271</v>
      </c>
      <c r="X1228" s="4" t="s">
        <v>273</v>
      </c>
      <c r="Y1228" s="4" t="s">
        <v>241</v>
      </c>
      <c r="AB1228" s="4" t="s">
        <v>241</v>
      </c>
      <c r="AD1228" s="5" t="s">
        <v>241</v>
      </c>
      <c r="AG1228" s="5" t="s">
        <v>246</v>
      </c>
      <c r="AH1228" s="4" t="s">
        <v>241</v>
      </c>
      <c r="AI1228" s="4" t="s">
        <v>247</v>
      </c>
      <c r="AJ1228" s="4" t="s">
        <v>248</v>
      </c>
      <c r="AZ1228" s="4" t="s">
        <v>249</v>
      </c>
      <c r="BA1228" s="4" t="s">
        <v>241</v>
      </c>
      <c r="BB1228" s="4" t="s">
        <v>250</v>
      </c>
      <c r="BC1228" s="4" t="s">
        <v>241</v>
      </c>
      <c r="BD1228" s="4" t="s">
        <v>252</v>
      </c>
      <c r="BE1228" s="4" t="s">
        <v>241</v>
      </c>
      <c r="BI1228" s="4" t="s">
        <v>253</v>
      </c>
      <c r="BJ1228" s="5" t="s">
        <v>246</v>
      </c>
      <c r="BK1228" s="4" t="s">
        <v>254</v>
      </c>
      <c r="BL1228" s="4" t="s">
        <v>255</v>
      </c>
      <c r="BM1228" s="4" t="s">
        <v>241</v>
      </c>
      <c r="BN1228" s="6">
        <f>0</f>
        <v>0</v>
      </c>
      <c r="BO1228" s="6">
        <f>0</f>
        <v>0</v>
      </c>
      <c r="BP1228" s="4" t="s">
        <v>256</v>
      </c>
      <c r="BQ1228" s="4" t="s">
        <v>257</v>
      </c>
      <c r="CE1228" s="4" t="s">
        <v>241</v>
      </c>
      <c r="CF1228" s="4" t="s">
        <v>241</v>
      </c>
      <c r="CJ1228" s="4" t="s">
        <v>276</v>
      </c>
      <c r="CK1228" s="4" t="s">
        <v>259</v>
      </c>
      <c r="CL1228" s="4" t="s">
        <v>241</v>
      </c>
      <c r="CO1228" s="5" t="s">
        <v>260</v>
      </c>
      <c r="CP1228" s="4" t="s">
        <v>241</v>
      </c>
      <c r="CQ1228" s="4" t="s">
        <v>261</v>
      </c>
      <c r="CR1228" s="4" t="s">
        <v>241</v>
      </c>
      <c r="CS1228" s="4" t="s">
        <v>241</v>
      </c>
      <c r="CT1228" s="4">
        <v>0</v>
      </c>
      <c r="CU1228" s="4" t="s">
        <v>262</v>
      </c>
      <c r="CV1228" s="4" t="s">
        <v>263</v>
      </c>
      <c r="CW1228" s="4" t="s">
        <v>263</v>
      </c>
      <c r="CX1228" s="4" t="s">
        <v>264</v>
      </c>
      <c r="DA1228" s="6">
        <f>1</f>
        <v>1</v>
      </c>
      <c r="DC1228" s="4" t="s">
        <v>277</v>
      </c>
      <c r="DD1228" s="4" t="s">
        <v>241</v>
      </c>
      <c r="DF1228" s="4" t="s">
        <v>277</v>
      </c>
      <c r="DG1228" s="6">
        <f>2606</f>
        <v>2606</v>
      </c>
      <c r="DI1228" s="4" t="s">
        <v>241</v>
      </c>
      <c r="DJ1228" s="4" t="s">
        <v>241</v>
      </c>
      <c r="DK1228" s="4" t="s">
        <v>241</v>
      </c>
      <c r="DL1228" s="4" t="s">
        <v>241</v>
      </c>
      <c r="DP1228" s="4" t="s">
        <v>241</v>
      </c>
      <c r="DQ1228" s="4" t="s">
        <v>241</v>
      </c>
      <c r="DR1228" s="4" t="s">
        <v>241</v>
      </c>
      <c r="DS1228" s="4" t="s">
        <v>241</v>
      </c>
      <c r="DV1228" s="4" t="s">
        <v>278</v>
      </c>
      <c r="DW1228" s="4" t="s">
        <v>2952</v>
      </c>
      <c r="HO1228" s="4" t="s">
        <v>267</v>
      </c>
    </row>
    <row r="1229" spans="1:223" ht="19.5" customHeight="1" x14ac:dyDescent="0.4">
      <c r="A1229" s="4">
        <v>1</v>
      </c>
      <c r="B1229" s="4" t="s">
        <v>239</v>
      </c>
      <c r="C1229" s="4">
        <v>2903</v>
      </c>
      <c r="D1229" s="4">
        <v>1</v>
      </c>
      <c r="E1229" s="4">
        <v>1</v>
      </c>
      <c r="F1229" s="4" t="s">
        <v>268</v>
      </c>
      <c r="G1229" s="4" t="s">
        <v>241</v>
      </c>
      <c r="H1229" s="4" t="s">
        <v>241</v>
      </c>
      <c r="I1229" s="4" t="s">
        <v>272</v>
      </c>
      <c r="J1229" s="4" t="s">
        <v>274</v>
      </c>
      <c r="K1229" s="4" t="s">
        <v>251</v>
      </c>
      <c r="L1229" s="4" t="s">
        <v>269</v>
      </c>
      <c r="M1229" s="5" t="s">
        <v>2155</v>
      </c>
      <c r="N1229" s="6">
        <f>452</f>
        <v>452</v>
      </c>
      <c r="O1229" s="4" t="s">
        <v>265</v>
      </c>
      <c r="P1229" s="6">
        <f>1</f>
        <v>1</v>
      </c>
      <c r="Q1229" s="6">
        <f>0</f>
        <v>0</v>
      </c>
      <c r="S1229" s="6">
        <f>0</f>
        <v>0</v>
      </c>
      <c r="T1229" s="6">
        <f>1</f>
        <v>1</v>
      </c>
      <c r="U1229" s="5" t="s">
        <v>245</v>
      </c>
      <c r="V1229" s="4" t="s">
        <v>270</v>
      </c>
      <c r="W1229" s="4" t="s">
        <v>271</v>
      </c>
      <c r="X1229" s="4" t="s">
        <v>273</v>
      </c>
      <c r="Y1229" s="4" t="s">
        <v>241</v>
      </c>
      <c r="AB1229" s="4" t="s">
        <v>241</v>
      </c>
      <c r="AD1229" s="5" t="s">
        <v>241</v>
      </c>
      <c r="AG1229" s="5" t="s">
        <v>246</v>
      </c>
      <c r="AH1229" s="4" t="s">
        <v>241</v>
      </c>
      <c r="AI1229" s="4" t="s">
        <v>247</v>
      </c>
      <c r="AJ1229" s="4" t="s">
        <v>248</v>
      </c>
      <c r="AZ1229" s="4" t="s">
        <v>249</v>
      </c>
      <c r="BA1229" s="4" t="s">
        <v>241</v>
      </c>
      <c r="BB1229" s="4" t="s">
        <v>250</v>
      </c>
      <c r="BC1229" s="4" t="s">
        <v>241</v>
      </c>
      <c r="BD1229" s="4" t="s">
        <v>252</v>
      </c>
      <c r="BE1229" s="4" t="s">
        <v>241</v>
      </c>
      <c r="BI1229" s="4" t="s">
        <v>253</v>
      </c>
      <c r="BJ1229" s="5" t="s">
        <v>246</v>
      </c>
      <c r="BK1229" s="4" t="s">
        <v>254</v>
      </c>
      <c r="BL1229" s="4" t="s">
        <v>255</v>
      </c>
      <c r="BM1229" s="4" t="s">
        <v>241</v>
      </c>
      <c r="BN1229" s="6">
        <f>0</f>
        <v>0</v>
      </c>
      <c r="BO1229" s="6">
        <f>0</f>
        <v>0</v>
      </c>
      <c r="BP1229" s="4" t="s">
        <v>256</v>
      </c>
      <c r="BQ1229" s="4" t="s">
        <v>257</v>
      </c>
      <c r="CE1229" s="4" t="s">
        <v>241</v>
      </c>
      <c r="CF1229" s="4" t="s">
        <v>241</v>
      </c>
      <c r="CJ1229" s="4" t="s">
        <v>276</v>
      </c>
      <c r="CK1229" s="4" t="s">
        <v>259</v>
      </c>
      <c r="CL1229" s="4" t="s">
        <v>241</v>
      </c>
      <c r="CO1229" s="5" t="s">
        <v>260</v>
      </c>
      <c r="CP1229" s="4" t="s">
        <v>241</v>
      </c>
      <c r="CQ1229" s="4" t="s">
        <v>261</v>
      </c>
      <c r="CR1229" s="4" t="s">
        <v>241</v>
      </c>
      <c r="CS1229" s="4" t="s">
        <v>241</v>
      </c>
      <c r="CT1229" s="4">
        <v>0</v>
      </c>
      <c r="CU1229" s="4" t="s">
        <v>262</v>
      </c>
      <c r="CV1229" s="4" t="s">
        <v>263</v>
      </c>
      <c r="CW1229" s="4" t="s">
        <v>263</v>
      </c>
      <c r="CX1229" s="4" t="s">
        <v>264</v>
      </c>
      <c r="DA1229" s="6">
        <f>1</f>
        <v>1</v>
      </c>
      <c r="DC1229" s="4" t="s">
        <v>277</v>
      </c>
      <c r="DD1229" s="4" t="s">
        <v>241</v>
      </c>
      <c r="DF1229" s="4" t="s">
        <v>277</v>
      </c>
      <c r="DG1229" s="6">
        <f>452</f>
        <v>452</v>
      </c>
      <c r="DI1229" s="4" t="s">
        <v>241</v>
      </c>
      <c r="DJ1229" s="4" t="s">
        <v>241</v>
      </c>
      <c r="DK1229" s="4" t="s">
        <v>241</v>
      </c>
      <c r="DL1229" s="4" t="s">
        <v>241</v>
      </c>
      <c r="DP1229" s="4" t="s">
        <v>241</v>
      </c>
      <c r="DQ1229" s="4" t="s">
        <v>241</v>
      </c>
      <c r="DR1229" s="4" t="s">
        <v>241</v>
      </c>
      <c r="DS1229" s="4" t="s">
        <v>241</v>
      </c>
      <c r="DV1229" s="4" t="s">
        <v>278</v>
      </c>
      <c r="DW1229" s="4" t="s">
        <v>2156</v>
      </c>
      <c r="HO1229" s="4" t="s">
        <v>267</v>
      </c>
    </row>
    <row r="1230" spans="1:223" ht="19.5" customHeight="1" x14ac:dyDescent="0.4">
      <c r="A1230" s="4">
        <v>1</v>
      </c>
      <c r="B1230" s="4" t="s">
        <v>239</v>
      </c>
      <c r="C1230" s="4">
        <v>2904</v>
      </c>
      <c r="D1230" s="4">
        <v>1</v>
      </c>
      <c r="E1230" s="4">
        <v>1</v>
      </c>
      <c r="F1230" s="4" t="s">
        <v>268</v>
      </c>
      <c r="G1230" s="4" t="s">
        <v>241</v>
      </c>
      <c r="H1230" s="4" t="s">
        <v>241</v>
      </c>
      <c r="I1230" s="4" t="s">
        <v>272</v>
      </c>
      <c r="J1230" s="4" t="s">
        <v>274</v>
      </c>
      <c r="K1230" s="4" t="s">
        <v>251</v>
      </c>
      <c r="L1230" s="4" t="s">
        <v>269</v>
      </c>
      <c r="M1230" s="5" t="s">
        <v>2947</v>
      </c>
      <c r="N1230" s="6">
        <f>1507</f>
        <v>1507</v>
      </c>
      <c r="O1230" s="4" t="s">
        <v>265</v>
      </c>
      <c r="P1230" s="6">
        <f>1</f>
        <v>1</v>
      </c>
      <c r="Q1230" s="6">
        <f>0</f>
        <v>0</v>
      </c>
      <c r="S1230" s="6">
        <f>0</f>
        <v>0</v>
      </c>
      <c r="T1230" s="6">
        <f>1</f>
        <v>1</v>
      </c>
      <c r="U1230" s="5" t="s">
        <v>245</v>
      </c>
      <c r="V1230" s="4" t="s">
        <v>270</v>
      </c>
      <c r="W1230" s="4" t="s">
        <v>271</v>
      </c>
      <c r="X1230" s="4" t="s">
        <v>273</v>
      </c>
      <c r="Y1230" s="4" t="s">
        <v>241</v>
      </c>
      <c r="AB1230" s="4" t="s">
        <v>241</v>
      </c>
      <c r="AD1230" s="5" t="s">
        <v>241</v>
      </c>
      <c r="AG1230" s="5" t="s">
        <v>246</v>
      </c>
      <c r="AH1230" s="4" t="s">
        <v>241</v>
      </c>
      <c r="AI1230" s="4" t="s">
        <v>247</v>
      </c>
      <c r="AJ1230" s="4" t="s">
        <v>248</v>
      </c>
      <c r="AZ1230" s="4" t="s">
        <v>249</v>
      </c>
      <c r="BA1230" s="4" t="s">
        <v>241</v>
      </c>
      <c r="BB1230" s="4" t="s">
        <v>250</v>
      </c>
      <c r="BC1230" s="4" t="s">
        <v>241</v>
      </c>
      <c r="BD1230" s="4" t="s">
        <v>252</v>
      </c>
      <c r="BE1230" s="4" t="s">
        <v>241</v>
      </c>
      <c r="BI1230" s="4" t="s">
        <v>253</v>
      </c>
      <c r="BJ1230" s="5" t="s">
        <v>246</v>
      </c>
      <c r="BK1230" s="4" t="s">
        <v>254</v>
      </c>
      <c r="BL1230" s="4" t="s">
        <v>255</v>
      </c>
      <c r="BM1230" s="4" t="s">
        <v>241</v>
      </c>
      <c r="BN1230" s="6">
        <f>0</f>
        <v>0</v>
      </c>
      <c r="BO1230" s="6">
        <f>0</f>
        <v>0</v>
      </c>
      <c r="BP1230" s="4" t="s">
        <v>256</v>
      </c>
      <c r="BQ1230" s="4" t="s">
        <v>257</v>
      </c>
      <c r="CE1230" s="4" t="s">
        <v>241</v>
      </c>
      <c r="CF1230" s="4" t="s">
        <v>241</v>
      </c>
      <c r="CJ1230" s="4" t="s">
        <v>276</v>
      </c>
      <c r="CK1230" s="4" t="s">
        <v>259</v>
      </c>
      <c r="CL1230" s="4" t="s">
        <v>241</v>
      </c>
      <c r="CO1230" s="5" t="s">
        <v>260</v>
      </c>
      <c r="CP1230" s="4" t="s">
        <v>241</v>
      </c>
      <c r="CQ1230" s="4" t="s">
        <v>261</v>
      </c>
      <c r="CR1230" s="4" t="s">
        <v>241</v>
      </c>
      <c r="CS1230" s="4" t="s">
        <v>241</v>
      </c>
      <c r="CT1230" s="4">
        <v>0</v>
      </c>
      <c r="CU1230" s="4" t="s">
        <v>262</v>
      </c>
      <c r="CV1230" s="4" t="s">
        <v>263</v>
      </c>
      <c r="CW1230" s="4" t="s">
        <v>263</v>
      </c>
      <c r="CX1230" s="4" t="s">
        <v>264</v>
      </c>
      <c r="DA1230" s="6">
        <f>1</f>
        <v>1</v>
      </c>
      <c r="DC1230" s="4" t="s">
        <v>277</v>
      </c>
      <c r="DD1230" s="4" t="s">
        <v>241</v>
      </c>
      <c r="DF1230" s="4" t="s">
        <v>277</v>
      </c>
      <c r="DG1230" s="6">
        <f>1507</f>
        <v>1507</v>
      </c>
      <c r="DI1230" s="4" t="s">
        <v>241</v>
      </c>
      <c r="DJ1230" s="4" t="s">
        <v>241</v>
      </c>
      <c r="DK1230" s="4" t="s">
        <v>241</v>
      </c>
      <c r="DL1230" s="4" t="s">
        <v>241</v>
      </c>
      <c r="DP1230" s="4" t="s">
        <v>241</v>
      </c>
      <c r="DQ1230" s="4" t="s">
        <v>241</v>
      </c>
      <c r="DR1230" s="4" t="s">
        <v>241</v>
      </c>
      <c r="DS1230" s="4" t="s">
        <v>241</v>
      </c>
      <c r="DV1230" s="4" t="s">
        <v>278</v>
      </c>
      <c r="DW1230" s="4" t="s">
        <v>2948</v>
      </c>
      <c r="HO1230" s="4" t="s">
        <v>267</v>
      </c>
    </row>
    <row r="1231" spans="1:223" ht="19.5" customHeight="1" x14ac:dyDescent="0.4">
      <c r="A1231" s="4">
        <v>1</v>
      </c>
      <c r="B1231" s="4" t="s">
        <v>239</v>
      </c>
      <c r="C1231" s="4">
        <v>2905</v>
      </c>
      <c r="D1231" s="4">
        <v>1</v>
      </c>
      <c r="E1231" s="4">
        <v>1</v>
      </c>
      <c r="F1231" s="4" t="s">
        <v>268</v>
      </c>
      <c r="G1231" s="4" t="s">
        <v>241</v>
      </c>
      <c r="H1231" s="4" t="s">
        <v>241</v>
      </c>
      <c r="I1231" s="4" t="s">
        <v>272</v>
      </c>
      <c r="J1231" s="4" t="s">
        <v>274</v>
      </c>
      <c r="K1231" s="4" t="s">
        <v>251</v>
      </c>
      <c r="L1231" s="4" t="s">
        <v>269</v>
      </c>
      <c r="M1231" s="5" t="s">
        <v>2852</v>
      </c>
      <c r="N1231" s="6">
        <f>3128</f>
        <v>3128</v>
      </c>
      <c r="O1231" s="4" t="s">
        <v>265</v>
      </c>
      <c r="P1231" s="6">
        <f>1</f>
        <v>1</v>
      </c>
      <c r="Q1231" s="6">
        <f>0</f>
        <v>0</v>
      </c>
      <c r="S1231" s="6">
        <f>0</f>
        <v>0</v>
      </c>
      <c r="T1231" s="6">
        <f>1</f>
        <v>1</v>
      </c>
      <c r="U1231" s="5" t="s">
        <v>245</v>
      </c>
      <c r="V1231" s="4" t="s">
        <v>270</v>
      </c>
      <c r="W1231" s="4" t="s">
        <v>271</v>
      </c>
      <c r="X1231" s="4" t="s">
        <v>273</v>
      </c>
      <c r="Y1231" s="4" t="s">
        <v>241</v>
      </c>
      <c r="AB1231" s="4" t="s">
        <v>241</v>
      </c>
      <c r="AD1231" s="5" t="s">
        <v>241</v>
      </c>
      <c r="AG1231" s="5" t="s">
        <v>246</v>
      </c>
      <c r="AH1231" s="4" t="s">
        <v>241</v>
      </c>
      <c r="AI1231" s="4" t="s">
        <v>247</v>
      </c>
      <c r="AJ1231" s="4" t="s">
        <v>248</v>
      </c>
      <c r="AZ1231" s="4" t="s">
        <v>249</v>
      </c>
      <c r="BA1231" s="4" t="s">
        <v>241</v>
      </c>
      <c r="BB1231" s="4" t="s">
        <v>250</v>
      </c>
      <c r="BC1231" s="4" t="s">
        <v>241</v>
      </c>
      <c r="BD1231" s="4" t="s">
        <v>252</v>
      </c>
      <c r="BE1231" s="4" t="s">
        <v>241</v>
      </c>
      <c r="BI1231" s="4" t="s">
        <v>253</v>
      </c>
      <c r="BJ1231" s="5" t="s">
        <v>246</v>
      </c>
      <c r="BK1231" s="4" t="s">
        <v>254</v>
      </c>
      <c r="BL1231" s="4" t="s">
        <v>255</v>
      </c>
      <c r="BM1231" s="4" t="s">
        <v>241</v>
      </c>
      <c r="BN1231" s="6">
        <f>0</f>
        <v>0</v>
      </c>
      <c r="BO1231" s="6">
        <f>0</f>
        <v>0</v>
      </c>
      <c r="BP1231" s="4" t="s">
        <v>256</v>
      </c>
      <c r="BQ1231" s="4" t="s">
        <v>257</v>
      </c>
      <c r="CE1231" s="4" t="s">
        <v>241</v>
      </c>
      <c r="CF1231" s="4" t="s">
        <v>241</v>
      </c>
      <c r="CJ1231" s="4" t="s">
        <v>276</v>
      </c>
      <c r="CK1231" s="4" t="s">
        <v>259</v>
      </c>
      <c r="CL1231" s="4" t="s">
        <v>241</v>
      </c>
      <c r="CO1231" s="5" t="s">
        <v>260</v>
      </c>
      <c r="CP1231" s="4" t="s">
        <v>241</v>
      </c>
      <c r="CQ1231" s="4" t="s">
        <v>261</v>
      </c>
      <c r="CR1231" s="4" t="s">
        <v>241</v>
      </c>
      <c r="CS1231" s="4" t="s">
        <v>241</v>
      </c>
      <c r="CT1231" s="4">
        <v>0</v>
      </c>
      <c r="CU1231" s="4" t="s">
        <v>262</v>
      </c>
      <c r="CV1231" s="4" t="s">
        <v>263</v>
      </c>
      <c r="CW1231" s="4" t="s">
        <v>263</v>
      </c>
      <c r="CX1231" s="4" t="s">
        <v>264</v>
      </c>
      <c r="DA1231" s="6">
        <f>1</f>
        <v>1</v>
      </c>
      <c r="DC1231" s="4" t="s">
        <v>277</v>
      </c>
      <c r="DD1231" s="4" t="s">
        <v>241</v>
      </c>
      <c r="DF1231" s="4" t="s">
        <v>277</v>
      </c>
      <c r="DG1231" s="6">
        <f>3128</f>
        <v>3128</v>
      </c>
      <c r="DI1231" s="4" t="s">
        <v>241</v>
      </c>
      <c r="DJ1231" s="4" t="s">
        <v>241</v>
      </c>
      <c r="DK1231" s="4" t="s">
        <v>241</v>
      </c>
      <c r="DL1231" s="4" t="s">
        <v>241</v>
      </c>
      <c r="DP1231" s="4" t="s">
        <v>241</v>
      </c>
      <c r="DQ1231" s="4" t="s">
        <v>241</v>
      </c>
      <c r="DR1231" s="4" t="s">
        <v>241</v>
      </c>
      <c r="DS1231" s="4" t="s">
        <v>241</v>
      </c>
      <c r="DV1231" s="4" t="s">
        <v>278</v>
      </c>
      <c r="DW1231" s="4" t="s">
        <v>2853</v>
      </c>
      <c r="HO1231" s="4" t="s">
        <v>267</v>
      </c>
    </row>
    <row r="1232" spans="1:223" ht="19.5" customHeight="1" x14ac:dyDescent="0.4">
      <c r="A1232" s="4">
        <v>1</v>
      </c>
      <c r="B1232" s="4" t="s">
        <v>239</v>
      </c>
      <c r="C1232" s="4">
        <v>2906</v>
      </c>
      <c r="D1232" s="4">
        <v>1</v>
      </c>
      <c r="E1232" s="4">
        <v>1</v>
      </c>
      <c r="F1232" s="4" t="s">
        <v>268</v>
      </c>
      <c r="G1232" s="4" t="s">
        <v>241</v>
      </c>
      <c r="H1232" s="4" t="s">
        <v>241</v>
      </c>
      <c r="I1232" s="4" t="s">
        <v>272</v>
      </c>
      <c r="J1232" s="4" t="s">
        <v>274</v>
      </c>
      <c r="K1232" s="4" t="s">
        <v>251</v>
      </c>
      <c r="L1232" s="4" t="s">
        <v>269</v>
      </c>
      <c r="M1232" s="5" t="s">
        <v>2850</v>
      </c>
      <c r="N1232" s="6">
        <f>777</f>
        <v>777</v>
      </c>
      <c r="O1232" s="4" t="s">
        <v>265</v>
      </c>
      <c r="P1232" s="6">
        <f>1</f>
        <v>1</v>
      </c>
      <c r="Q1232" s="6">
        <f>0</f>
        <v>0</v>
      </c>
      <c r="S1232" s="6">
        <f>0</f>
        <v>0</v>
      </c>
      <c r="T1232" s="6">
        <f>1</f>
        <v>1</v>
      </c>
      <c r="U1232" s="5" t="s">
        <v>245</v>
      </c>
      <c r="V1232" s="4" t="s">
        <v>270</v>
      </c>
      <c r="W1232" s="4" t="s">
        <v>271</v>
      </c>
      <c r="X1232" s="4" t="s">
        <v>273</v>
      </c>
      <c r="Y1232" s="4" t="s">
        <v>241</v>
      </c>
      <c r="AB1232" s="4" t="s">
        <v>241</v>
      </c>
      <c r="AD1232" s="5" t="s">
        <v>241</v>
      </c>
      <c r="AG1232" s="5" t="s">
        <v>246</v>
      </c>
      <c r="AH1232" s="4" t="s">
        <v>241</v>
      </c>
      <c r="AI1232" s="4" t="s">
        <v>247</v>
      </c>
      <c r="AJ1232" s="4" t="s">
        <v>248</v>
      </c>
      <c r="AZ1232" s="4" t="s">
        <v>249</v>
      </c>
      <c r="BA1232" s="4" t="s">
        <v>241</v>
      </c>
      <c r="BB1232" s="4" t="s">
        <v>250</v>
      </c>
      <c r="BC1232" s="4" t="s">
        <v>241</v>
      </c>
      <c r="BD1232" s="4" t="s">
        <v>252</v>
      </c>
      <c r="BE1232" s="4" t="s">
        <v>241</v>
      </c>
      <c r="BI1232" s="4" t="s">
        <v>253</v>
      </c>
      <c r="BJ1232" s="5" t="s">
        <v>246</v>
      </c>
      <c r="BK1232" s="4" t="s">
        <v>254</v>
      </c>
      <c r="BL1232" s="4" t="s">
        <v>255</v>
      </c>
      <c r="BM1232" s="4" t="s">
        <v>241</v>
      </c>
      <c r="BN1232" s="6">
        <f>0</f>
        <v>0</v>
      </c>
      <c r="BO1232" s="6">
        <f>0</f>
        <v>0</v>
      </c>
      <c r="BP1232" s="4" t="s">
        <v>256</v>
      </c>
      <c r="BQ1232" s="4" t="s">
        <v>257</v>
      </c>
      <c r="CE1232" s="4" t="s">
        <v>241</v>
      </c>
      <c r="CF1232" s="4" t="s">
        <v>241</v>
      </c>
      <c r="CJ1232" s="4" t="s">
        <v>276</v>
      </c>
      <c r="CK1232" s="4" t="s">
        <v>259</v>
      </c>
      <c r="CL1232" s="4" t="s">
        <v>241</v>
      </c>
      <c r="CO1232" s="5" t="s">
        <v>260</v>
      </c>
      <c r="CP1232" s="4" t="s">
        <v>241</v>
      </c>
      <c r="CQ1232" s="4" t="s">
        <v>261</v>
      </c>
      <c r="CR1232" s="4" t="s">
        <v>241</v>
      </c>
      <c r="CS1232" s="4" t="s">
        <v>241</v>
      </c>
      <c r="CT1232" s="4">
        <v>0</v>
      </c>
      <c r="CU1232" s="4" t="s">
        <v>262</v>
      </c>
      <c r="CV1232" s="4" t="s">
        <v>263</v>
      </c>
      <c r="CW1232" s="4" t="s">
        <v>263</v>
      </c>
      <c r="CX1232" s="4" t="s">
        <v>264</v>
      </c>
      <c r="DA1232" s="6">
        <f>1</f>
        <v>1</v>
      </c>
      <c r="DC1232" s="4" t="s">
        <v>277</v>
      </c>
      <c r="DD1232" s="4" t="s">
        <v>241</v>
      </c>
      <c r="DF1232" s="4" t="s">
        <v>277</v>
      </c>
      <c r="DG1232" s="6">
        <f>777</f>
        <v>777</v>
      </c>
      <c r="DI1232" s="4" t="s">
        <v>241</v>
      </c>
      <c r="DJ1232" s="4" t="s">
        <v>241</v>
      </c>
      <c r="DK1232" s="4" t="s">
        <v>241</v>
      </c>
      <c r="DL1232" s="4" t="s">
        <v>241</v>
      </c>
      <c r="DP1232" s="4" t="s">
        <v>241</v>
      </c>
      <c r="DQ1232" s="4" t="s">
        <v>241</v>
      </c>
      <c r="DR1232" s="4" t="s">
        <v>241</v>
      </c>
      <c r="DS1232" s="4" t="s">
        <v>241</v>
      </c>
      <c r="DV1232" s="4" t="s">
        <v>278</v>
      </c>
      <c r="DW1232" s="4" t="s">
        <v>2851</v>
      </c>
      <c r="HO1232" s="4" t="s">
        <v>267</v>
      </c>
    </row>
    <row r="1233" spans="1:223" ht="19.5" customHeight="1" x14ac:dyDescent="0.4">
      <c r="A1233" s="4">
        <v>1</v>
      </c>
      <c r="B1233" s="4" t="s">
        <v>239</v>
      </c>
      <c r="C1233" s="4">
        <v>2907</v>
      </c>
      <c r="D1233" s="4">
        <v>1</v>
      </c>
      <c r="E1233" s="4">
        <v>1</v>
      </c>
      <c r="F1233" s="4" t="s">
        <v>268</v>
      </c>
      <c r="G1233" s="4" t="s">
        <v>241</v>
      </c>
      <c r="H1233" s="4" t="s">
        <v>241</v>
      </c>
      <c r="I1233" s="4" t="s">
        <v>272</v>
      </c>
      <c r="J1233" s="4" t="s">
        <v>274</v>
      </c>
      <c r="K1233" s="4" t="s">
        <v>251</v>
      </c>
      <c r="L1233" s="4" t="s">
        <v>269</v>
      </c>
      <c r="M1233" s="5" t="s">
        <v>2945</v>
      </c>
      <c r="N1233" s="6">
        <f>2734</f>
        <v>2734</v>
      </c>
      <c r="O1233" s="4" t="s">
        <v>265</v>
      </c>
      <c r="P1233" s="6">
        <f>1</f>
        <v>1</v>
      </c>
      <c r="Q1233" s="6">
        <f>0</f>
        <v>0</v>
      </c>
      <c r="S1233" s="6">
        <f>0</f>
        <v>0</v>
      </c>
      <c r="T1233" s="6">
        <f>1</f>
        <v>1</v>
      </c>
      <c r="U1233" s="5" t="s">
        <v>245</v>
      </c>
      <c r="V1233" s="4" t="s">
        <v>270</v>
      </c>
      <c r="W1233" s="4" t="s">
        <v>271</v>
      </c>
      <c r="X1233" s="4" t="s">
        <v>273</v>
      </c>
      <c r="Y1233" s="4" t="s">
        <v>241</v>
      </c>
      <c r="AB1233" s="4" t="s">
        <v>241</v>
      </c>
      <c r="AD1233" s="5" t="s">
        <v>241</v>
      </c>
      <c r="AG1233" s="5" t="s">
        <v>246</v>
      </c>
      <c r="AH1233" s="4" t="s">
        <v>241</v>
      </c>
      <c r="AI1233" s="4" t="s">
        <v>247</v>
      </c>
      <c r="AJ1233" s="4" t="s">
        <v>248</v>
      </c>
      <c r="AZ1233" s="4" t="s">
        <v>249</v>
      </c>
      <c r="BA1233" s="4" t="s">
        <v>241</v>
      </c>
      <c r="BB1233" s="4" t="s">
        <v>250</v>
      </c>
      <c r="BC1233" s="4" t="s">
        <v>241</v>
      </c>
      <c r="BD1233" s="4" t="s">
        <v>252</v>
      </c>
      <c r="BE1233" s="4" t="s">
        <v>241</v>
      </c>
      <c r="BI1233" s="4" t="s">
        <v>253</v>
      </c>
      <c r="BJ1233" s="5" t="s">
        <v>246</v>
      </c>
      <c r="BK1233" s="4" t="s">
        <v>254</v>
      </c>
      <c r="BL1233" s="4" t="s">
        <v>255</v>
      </c>
      <c r="BM1233" s="4" t="s">
        <v>241</v>
      </c>
      <c r="BN1233" s="6">
        <f>0</f>
        <v>0</v>
      </c>
      <c r="BO1233" s="6">
        <f>0</f>
        <v>0</v>
      </c>
      <c r="BP1233" s="4" t="s">
        <v>256</v>
      </c>
      <c r="BQ1233" s="4" t="s">
        <v>257</v>
      </c>
      <c r="CE1233" s="4" t="s">
        <v>241</v>
      </c>
      <c r="CF1233" s="4" t="s">
        <v>241</v>
      </c>
      <c r="CJ1233" s="4" t="s">
        <v>276</v>
      </c>
      <c r="CK1233" s="4" t="s">
        <v>259</v>
      </c>
      <c r="CL1233" s="4" t="s">
        <v>241</v>
      </c>
      <c r="CO1233" s="5" t="s">
        <v>260</v>
      </c>
      <c r="CP1233" s="4" t="s">
        <v>241</v>
      </c>
      <c r="CQ1233" s="4" t="s">
        <v>261</v>
      </c>
      <c r="CR1233" s="4" t="s">
        <v>241</v>
      </c>
      <c r="CS1233" s="4" t="s">
        <v>241</v>
      </c>
      <c r="CT1233" s="4">
        <v>0</v>
      </c>
      <c r="CU1233" s="4" t="s">
        <v>262</v>
      </c>
      <c r="CV1233" s="4" t="s">
        <v>263</v>
      </c>
      <c r="CW1233" s="4" t="s">
        <v>263</v>
      </c>
      <c r="CX1233" s="4" t="s">
        <v>264</v>
      </c>
      <c r="DA1233" s="6">
        <f>1</f>
        <v>1</v>
      </c>
      <c r="DC1233" s="4" t="s">
        <v>277</v>
      </c>
      <c r="DD1233" s="4" t="s">
        <v>241</v>
      </c>
      <c r="DF1233" s="4" t="s">
        <v>277</v>
      </c>
      <c r="DG1233" s="6">
        <f>2734</f>
        <v>2734</v>
      </c>
      <c r="DI1233" s="4" t="s">
        <v>241</v>
      </c>
      <c r="DJ1233" s="4" t="s">
        <v>241</v>
      </c>
      <c r="DK1233" s="4" t="s">
        <v>241</v>
      </c>
      <c r="DL1233" s="4" t="s">
        <v>241</v>
      </c>
      <c r="DP1233" s="4" t="s">
        <v>241</v>
      </c>
      <c r="DQ1233" s="4" t="s">
        <v>241</v>
      </c>
      <c r="DR1233" s="4" t="s">
        <v>241</v>
      </c>
      <c r="DS1233" s="4" t="s">
        <v>241</v>
      </c>
      <c r="DV1233" s="4" t="s">
        <v>278</v>
      </c>
      <c r="DW1233" s="4" t="s">
        <v>2946</v>
      </c>
      <c r="HO1233" s="4" t="s">
        <v>267</v>
      </c>
    </row>
    <row r="1234" spans="1:223" ht="19.5" customHeight="1" x14ac:dyDescent="0.4">
      <c r="A1234" s="4">
        <v>1</v>
      </c>
      <c r="B1234" s="4" t="s">
        <v>239</v>
      </c>
      <c r="C1234" s="4">
        <v>2908</v>
      </c>
      <c r="D1234" s="4">
        <v>1</v>
      </c>
      <c r="E1234" s="4">
        <v>1</v>
      </c>
      <c r="F1234" s="4" t="s">
        <v>268</v>
      </c>
      <c r="G1234" s="4" t="s">
        <v>241</v>
      </c>
      <c r="H1234" s="4" t="s">
        <v>241</v>
      </c>
      <c r="I1234" s="4" t="s">
        <v>272</v>
      </c>
      <c r="J1234" s="4" t="s">
        <v>274</v>
      </c>
      <c r="K1234" s="4" t="s">
        <v>251</v>
      </c>
      <c r="L1234" s="4" t="s">
        <v>269</v>
      </c>
      <c r="M1234" s="5" t="s">
        <v>1955</v>
      </c>
      <c r="N1234" s="6">
        <f>1732</f>
        <v>1732</v>
      </c>
      <c r="O1234" s="4" t="s">
        <v>265</v>
      </c>
      <c r="P1234" s="6">
        <f>1</f>
        <v>1</v>
      </c>
      <c r="Q1234" s="6">
        <f>0</f>
        <v>0</v>
      </c>
      <c r="S1234" s="6">
        <f>0</f>
        <v>0</v>
      </c>
      <c r="T1234" s="6">
        <f>1</f>
        <v>1</v>
      </c>
      <c r="U1234" s="5" t="s">
        <v>245</v>
      </c>
      <c r="V1234" s="4" t="s">
        <v>270</v>
      </c>
      <c r="W1234" s="4" t="s">
        <v>271</v>
      </c>
      <c r="X1234" s="4" t="s">
        <v>273</v>
      </c>
      <c r="Y1234" s="4" t="s">
        <v>241</v>
      </c>
      <c r="AB1234" s="4" t="s">
        <v>241</v>
      </c>
      <c r="AD1234" s="5" t="s">
        <v>241</v>
      </c>
      <c r="AG1234" s="5" t="s">
        <v>246</v>
      </c>
      <c r="AH1234" s="4" t="s">
        <v>241</v>
      </c>
      <c r="AI1234" s="4" t="s">
        <v>247</v>
      </c>
      <c r="AJ1234" s="4" t="s">
        <v>248</v>
      </c>
      <c r="AZ1234" s="4" t="s">
        <v>249</v>
      </c>
      <c r="BA1234" s="4" t="s">
        <v>241</v>
      </c>
      <c r="BB1234" s="4" t="s">
        <v>250</v>
      </c>
      <c r="BC1234" s="4" t="s">
        <v>241</v>
      </c>
      <c r="BD1234" s="4" t="s">
        <v>252</v>
      </c>
      <c r="BE1234" s="4" t="s">
        <v>241</v>
      </c>
      <c r="BI1234" s="4" t="s">
        <v>253</v>
      </c>
      <c r="BJ1234" s="5" t="s">
        <v>246</v>
      </c>
      <c r="BK1234" s="4" t="s">
        <v>254</v>
      </c>
      <c r="BL1234" s="4" t="s">
        <v>255</v>
      </c>
      <c r="BM1234" s="4" t="s">
        <v>241</v>
      </c>
      <c r="BN1234" s="6">
        <f>0</f>
        <v>0</v>
      </c>
      <c r="BO1234" s="6">
        <f>0</f>
        <v>0</v>
      </c>
      <c r="BP1234" s="4" t="s">
        <v>256</v>
      </c>
      <c r="BQ1234" s="4" t="s">
        <v>257</v>
      </c>
      <c r="CE1234" s="4" t="s">
        <v>241</v>
      </c>
      <c r="CF1234" s="4" t="s">
        <v>241</v>
      </c>
      <c r="CJ1234" s="4" t="s">
        <v>276</v>
      </c>
      <c r="CK1234" s="4" t="s">
        <v>259</v>
      </c>
      <c r="CL1234" s="4" t="s">
        <v>241</v>
      </c>
      <c r="CO1234" s="5" t="s">
        <v>260</v>
      </c>
      <c r="CP1234" s="4" t="s">
        <v>241</v>
      </c>
      <c r="CQ1234" s="4" t="s">
        <v>261</v>
      </c>
      <c r="CR1234" s="4" t="s">
        <v>241</v>
      </c>
      <c r="CS1234" s="4" t="s">
        <v>241</v>
      </c>
      <c r="CT1234" s="4">
        <v>0</v>
      </c>
      <c r="CU1234" s="4" t="s">
        <v>262</v>
      </c>
      <c r="CV1234" s="4" t="s">
        <v>263</v>
      </c>
      <c r="CW1234" s="4" t="s">
        <v>263</v>
      </c>
      <c r="CX1234" s="4" t="s">
        <v>264</v>
      </c>
      <c r="DA1234" s="6">
        <f>1</f>
        <v>1</v>
      </c>
      <c r="DC1234" s="4" t="s">
        <v>277</v>
      </c>
      <c r="DD1234" s="4" t="s">
        <v>241</v>
      </c>
      <c r="DF1234" s="4" t="s">
        <v>277</v>
      </c>
      <c r="DG1234" s="6">
        <f>1732</f>
        <v>1732</v>
      </c>
      <c r="DI1234" s="4" t="s">
        <v>241</v>
      </c>
      <c r="DJ1234" s="4" t="s">
        <v>241</v>
      </c>
      <c r="DK1234" s="4" t="s">
        <v>241</v>
      </c>
      <c r="DL1234" s="4" t="s">
        <v>241</v>
      </c>
      <c r="DP1234" s="4" t="s">
        <v>241</v>
      </c>
      <c r="DQ1234" s="4" t="s">
        <v>241</v>
      </c>
      <c r="DR1234" s="4" t="s">
        <v>241</v>
      </c>
      <c r="DS1234" s="4" t="s">
        <v>241</v>
      </c>
      <c r="DV1234" s="4" t="s">
        <v>278</v>
      </c>
      <c r="DW1234" s="4" t="s">
        <v>1956</v>
      </c>
      <c r="HO1234" s="4" t="s">
        <v>267</v>
      </c>
    </row>
    <row r="1235" spans="1:223" ht="19.5" customHeight="1" x14ac:dyDescent="0.4">
      <c r="A1235" s="4">
        <v>1</v>
      </c>
      <c r="B1235" s="4" t="s">
        <v>239</v>
      </c>
      <c r="C1235" s="4">
        <v>2909</v>
      </c>
      <c r="D1235" s="4">
        <v>1</v>
      </c>
      <c r="E1235" s="4">
        <v>1</v>
      </c>
      <c r="F1235" s="4" t="s">
        <v>268</v>
      </c>
      <c r="G1235" s="4" t="s">
        <v>241</v>
      </c>
      <c r="H1235" s="4" t="s">
        <v>241</v>
      </c>
      <c r="I1235" s="4" t="s">
        <v>272</v>
      </c>
      <c r="J1235" s="4" t="s">
        <v>274</v>
      </c>
      <c r="K1235" s="4" t="s">
        <v>251</v>
      </c>
      <c r="L1235" s="4" t="s">
        <v>269</v>
      </c>
      <c r="M1235" s="5" t="s">
        <v>1957</v>
      </c>
      <c r="N1235" s="6">
        <f>1997</f>
        <v>1997</v>
      </c>
      <c r="O1235" s="4" t="s">
        <v>265</v>
      </c>
      <c r="P1235" s="6">
        <f>1</f>
        <v>1</v>
      </c>
      <c r="Q1235" s="6">
        <f>0</f>
        <v>0</v>
      </c>
      <c r="S1235" s="6">
        <f>0</f>
        <v>0</v>
      </c>
      <c r="T1235" s="6">
        <f>1</f>
        <v>1</v>
      </c>
      <c r="U1235" s="5" t="s">
        <v>245</v>
      </c>
      <c r="V1235" s="4" t="s">
        <v>270</v>
      </c>
      <c r="W1235" s="4" t="s">
        <v>271</v>
      </c>
      <c r="X1235" s="4" t="s">
        <v>273</v>
      </c>
      <c r="Y1235" s="4" t="s">
        <v>241</v>
      </c>
      <c r="AB1235" s="4" t="s">
        <v>241</v>
      </c>
      <c r="AD1235" s="5" t="s">
        <v>241</v>
      </c>
      <c r="AG1235" s="5" t="s">
        <v>246</v>
      </c>
      <c r="AH1235" s="4" t="s">
        <v>241</v>
      </c>
      <c r="AI1235" s="4" t="s">
        <v>247</v>
      </c>
      <c r="AJ1235" s="4" t="s">
        <v>248</v>
      </c>
      <c r="AZ1235" s="4" t="s">
        <v>249</v>
      </c>
      <c r="BA1235" s="4" t="s">
        <v>241</v>
      </c>
      <c r="BB1235" s="4" t="s">
        <v>250</v>
      </c>
      <c r="BC1235" s="4" t="s">
        <v>241</v>
      </c>
      <c r="BD1235" s="4" t="s">
        <v>252</v>
      </c>
      <c r="BE1235" s="4" t="s">
        <v>241</v>
      </c>
      <c r="BI1235" s="4" t="s">
        <v>253</v>
      </c>
      <c r="BJ1235" s="5" t="s">
        <v>246</v>
      </c>
      <c r="BK1235" s="4" t="s">
        <v>254</v>
      </c>
      <c r="BL1235" s="4" t="s">
        <v>255</v>
      </c>
      <c r="BM1235" s="4" t="s">
        <v>241</v>
      </c>
      <c r="BN1235" s="6">
        <f>0</f>
        <v>0</v>
      </c>
      <c r="BO1235" s="6">
        <f>0</f>
        <v>0</v>
      </c>
      <c r="BP1235" s="4" t="s">
        <v>256</v>
      </c>
      <c r="BQ1235" s="4" t="s">
        <v>257</v>
      </c>
      <c r="CE1235" s="4" t="s">
        <v>241</v>
      </c>
      <c r="CF1235" s="4" t="s">
        <v>241</v>
      </c>
      <c r="CJ1235" s="4" t="s">
        <v>276</v>
      </c>
      <c r="CK1235" s="4" t="s">
        <v>259</v>
      </c>
      <c r="CL1235" s="4" t="s">
        <v>241</v>
      </c>
      <c r="CO1235" s="5" t="s">
        <v>260</v>
      </c>
      <c r="CP1235" s="4" t="s">
        <v>241</v>
      </c>
      <c r="CQ1235" s="4" t="s">
        <v>261</v>
      </c>
      <c r="CR1235" s="4" t="s">
        <v>241</v>
      </c>
      <c r="CS1235" s="4" t="s">
        <v>241</v>
      </c>
      <c r="CT1235" s="4">
        <v>0</v>
      </c>
      <c r="CU1235" s="4" t="s">
        <v>262</v>
      </c>
      <c r="CV1235" s="4" t="s">
        <v>263</v>
      </c>
      <c r="CW1235" s="4" t="s">
        <v>263</v>
      </c>
      <c r="CX1235" s="4" t="s">
        <v>264</v>
      </c>
      <c r="DA1235" s="6">
        <f>1</f>
        <v>1</v>
      </c>
      <c r="DC1235" s="4" t="s">
        <v>277</v>
      </c>
      <c r="DD1235" s="4" t="s">
        <v>241</v>
      </c>
      <c r="DF1235" s="4" t="s">
        <v>277</v>
      </c>
      <c r="DG1235" s="6">
        <f>1997</f>
        <v>1997</v>
      </c>
      <c r="DI1235" s="4" t="s">
        <v>241</v>
      </c>
      <c r="DJ1235" s="4" t="s">
        <v>241</v>
      </c>
      <c r="DK1235" s="4" t="s">
        <v>241</v>
      </c>
      <c r="DL1235" s="4" t="s">
        <v>241</v>
      </c>
      <c r="DP1235" s="4" t="s">
        <v>241</v>
      </c>
      <c r="DQ1235" s="4" t="s">
        <v>241</v>
      </c>
      <c r="DR1235" s="4" t="s">
        <v>241</v>
      </c>
      <c r="DS1235" s="4" t="s">
        <v>241</v>
      </c>
      <c r="DV1235" s="4" t="s">
        <v>278</v>
      </c>
      <c r="DW1235" s="4" t="s">
        <v>1958</v>
      </c>
      <c r="HO1235" s="4" t="s">
        <v>267</v>
      </c>
    </row>
    <row r="1236" spans="1:223" ht="19.5" customHeight="1" x14ac:dyDescent="0.4">
      <c r="A1236" s="4">
        <v>1</v>
      </c>
      <c r="B1236" s="4" t="s">
        <v>239</v>
      </c>
      <c r="C1236" s="4">
        <v>2910</v>
      </c>
      <c r="D1236" s="4">
        <v>1</v>
      </c>
      <c r="E1236" s="4">
        <v>1</v>
      </c>
      <c r="F1236" s="4" t="s">
        <v>268</v>
      </c>
      <c r="G1236" s="4" t="s">
        <v>241</v>
      </c>
      <c r="H1236" s="4" t="s">
        <v>241</v>
      </c>
      <c r="I1236" s="4" t="s">
        <v>272</v>
      </c>
      <c r="J1236" s="4" t="s">
        <v>274</v>
      </c>
      <c r="K1236" s="4" t="s">
        <v>251</v>
      </c>
      <c r="L1236" s="4" t="s">
        <v>269</v>
      </c>
      <c r="M1236" s="5" t="s">
        <v>1835</v>
      </c>
      <c r="N1236" s="6">
        <f>5057</f>
        <v>5057</v>
      </c>
      <c r="O1236" s="4" t="s">
        <v>265</v>
      </c>
      <c r="P1236" s="6">
        <f>1</f>
        <v>1</v>
      </c>
      <c r="Q1236" s="6">
        <f>0</f>
        <v>0</v>
      </c>
      <c r="S1236" s="6">
        <f>0</f>
        <v>0</v>
      </c>
      <c r="T1236" s="6">
        <f>1</f>
        <v>1</v>
      </c>
      <c r="U1236" s="5" t="s">
        <v>245</v>
      </c>
      <c r="V1236" s="4" t="s">
        <v>270</v>
      </c>
      <c r="W1236" s="4" t="s">
        <v>271</v>
      </c>
      <c r="X1236" s="4" t="s">
        <v>273</v>
      </c>
      <c r="Y1236" s="4" t="s">
        <v>241</v>
      </c>
      <c r="AB1236" s="4" t="s">
        <v>241</v>
      </c>
      <c r="AD1236" s="5" t="s">
        <v>241</v>
      </c>
      <c r="AG1236" s="5" t="s">
        <v>246</v>
      </c>
      <c r="AH1236" s="4" t="s">
        <v>241</v>
      </c>
      <c r="AI1236" s="4" t="s">
        <v>247</v>
      </c>
      <c r="AJ1236" s="4" t="s">
        <v>248</v>
      </c>
      <c r="AZ1236" s="4" t="s">
        <v>249</v>
      </c>
      <c r="BA1236" s="4" t="s">
        <v>241</v>
      </c>
      <c r="BB1236" s="4" t="s">
        <v>250</v>
      </c>
      <c r="BC1236" s="4" t="s">
        <v>241</v>
      </c>
      <c r="BD1236" s="4" t="s">
        <v>252</v>
      </c>
      <c r="BE1236" s="4" t="s">
        <v>241</v>
      </c>
      <c r="BI1236" s="4" t="s">
        <v>253</v>
      </c>
      <c r="BJ1236" s="5" t="s">
        <v>246</v>
      </c>
      <c r="BK1236" s="4" t="s">
        <v>254</v>
      </c>
      <c r="BL1236" s="4" t="s">
        <v>255</v>
      </c>
      <c r="BM1236" s="4" t="s">
        <v>241</v>
      </c>
      <c r="BN1236" s="6">
        <f>0</f>
        <v>0</v>
      </c>
      <c r="BO1236" s="6">
        <f>0</f>
        <v>0</v>
      </c>
      <c r="BP1236" s="4" t="s">
        <v>256</v>
      </c>
      <c r="BQ1236" s="4" t="s">
        <v>257</v>
      </c>
      <c r="CE1236" s="4" t="s">
        <v>241</v>
      </c>
      <c r="CF1236" s="4" t="s">
        <v>241</v>
      </c>
      <c r="CJ1236" s="4" t="s">
        <v>276</v>
      </c>
      <c r="CK1236" s="4" t="s">
        <v>259</v>
      </c>
      <c r="CL1236" s="4" t="s">
        <v>241</v>
      </c>
      <c r="CO1236" s="5" t="s">
        <v>260</v>
      </c>
      <c r="CP1236" s="4" t="s">
        <v>241</v>
      </c>
      <c r="CQ1236" s="4" t="s">
        <v>261</v>
      </c>
      <c r="CR1236" s="4" t="s">
        <v>241</v>
      </c>
      <c r="CS1236" s="4" t="s">
        <v>241</v>
      </c>
      <c r="CT1236" s="4">
        <v>0</v>
      </c>
      <c r="CU1236" s="4" t="s">
        <v>262</v>
      </c>
      <c r="CV1236" s="4" t="s">
        <v>263</v>
      </c>
      <c r="CW1236" s="4" t="s">
        <v>263</v>
      </c>
      <c r="CX1236" s="4" t="s">
        <v>264</v>
      </c>
      <c r="DA1236" s="6">
        <f>1</f>
        <v>1</v>
      </c>
      <c r="DC1236" s="4" t="s">
        <v>277</v>
      </c>
      <c r="DD1236" s="4" t="s">
        <v>241</v>
      </c>
      <c r="DF1236" s="4" t="s">
        <v>277</v>
      </c>
      <c r="DG1236" s="6">
        <f>5057</f>
        <v>5057</v>
      </c>
      <c r="DI1236" s="4" t="s">
        <v>241</v>
      </c>
      <c r="DJ1236" s="4" t="s">
        <v>241</v>
      </c>
      <c r="DK1236" s="4" t="s">
        <v>241</v>
      </c>
      <c r="DL1236" s="4" t="s">
        <v>241</v>
      </c>
      <c r="DP1236" s="4" t="s">
        <v>241</v>
      </c>
      <c r="DQ1236" s="4" t="s">
        <v>241</v>
      </c>
      <c r="DR1236" s="4" t="s">
        <v>241</v>
      </c>
      <c r="DS1236" s="4" t="s">
        <v>241</v>
      </c>
      <c r="DV1236" s="4" t="s">
        <v>278</v>
      </c>
      <c r="DW1236" s="4" t="s">
        <v>1836</v>
      </c>
      <c r="HO1236" s="4" t="s">
        <v>267</v>
      </c>
    </row>
    <row r="1237" spans="1:223" ht="19.5" customHeight="1" x14ac:dyDescent="0.4">
      <c r="A1237" s="4">
        <v>1</v>
      </c>
      <c r="B1237" s="4" t="s">
        <v>239</v>
      </c>
      <c r="C1237" s="4">
        <v>2911</v>
      </c>
      <c r="D1237" s="4">
        <v>1</v>
      </c>
      <c r="E1237" s="4">
        <v>1</v>
      </c>
      <c r="F1237" s="4" t="s">
        <v>268</v>
      </c>
      <c r="G1237" s="4" t="s">
        <v>241</v>
      </c>
      <c r="H1237" s="4" t="s">
        <v>241</v>
      </c>
      <c r="I1237" s="4" t="s">
        <v>272</v>
      </c>
      <c r="J1237" s="4" t="s">
        <v>274</v>
      </c>
      <c r="K1237" s="4" t="s">
        <v>251</v>
      </c>
      <c r="L1237" s="4" t="s">
        <v>269</v>
      </c>
      <c r="M1237" s="5" t="s">
        <v>1825</v>
      </c>
      <c r="N1237" s="6">
        <f>1352</f>
        <v>1352</v>
      </c>
      <c r="O1237" s="4" t="s">
        <v>265</v>
      </c>
      <c r="P1237" s="6">
        <f>1</f>
        <v>1</v>
      </c>
      <c r="Q1237" s="6">
        <f>0</f>
        <v>0</v>
      </c>
      <c r="S1237" s="6">
        <f>0</f>
        <v>0</v>
      </c>
      <c r="T1237" s="6">
        <f>1</f>
        <v>1</v>
      </c>
      <c r="U1237" s="5" t="s">
        <v>245</v>
      </c>
      <c r="V1237" s="4" t="s">
        <v>270</v>
      </c>
      <c r="W1237" s="4" t="s">
        <v>271</v>
      </c>
      <c r="X1237" s="4" t="s">
        <v>273</v>
      </c>
      <c r="Y1237" s="4" t="s">
        <v>241</v>
      </c>
      <c r="AB1237" s="4" t="s">
        <v>241</v>
      </c>
      <c r="AD1237" s="5" t="s">
        <v>241</v>
      </c>
      <c r="AG1237" s="5" t="s">
        <v>246</v>
      </c>
      <c r="AH1237" s="4" t="s">
        <v>241</v>
      </c>
      <c r="AI1237" s="4" t="s">
        <v>247</v>
      </c>
      <c r="AJ1237" s="4" t="s">
        <v>248</v>
      </c>
      <c r="AZ1237" s="4" t="s">
        <v>249</v>
      </c>
      <c r="BA1237" s="4" t="s">
        <v>241</v>
      </c>
      <c r="BB1237" s="4" t="s">
        <v>250</v>
      </c>
      <c r="BC1237" s="4" t="s">
        <v>241</v>
      </c>
      <c r="BD1237" s="4" t="s">
        <v>252</v>
      </c>
      <c r="BE1237" s="4" t="s">
        <v>241</v>
      </c>
      <c r="BI1237" s="4" t="s">
        <v>253</v>
      </c>
      <c r="BJ1237" s="5" t="s">
        <v>246</v>
      </c>
      <c r="BK1237" s="4" t="s">
        <v>254</v>
      </c>
      <c r="BL1237" s="4" t="s">
        <v>255</v>
      </c>
      <c r="BM1237" s="4" t="s">
        <v>241</v>
      </c>
      <c r="BN1237" s="6">
        <f>0</f>
        <v>0</v>
      </c>
      <c r="BO1237" s="6">
        <f>0</f>
        <v>0</v>
      </c>
      <c r="BP1237" s="4" t="s">
        <v>256</v>
      </c>
      <c r="BQ1237" s="4" t="s">
        <v>257</v>
      </c>
      <c r="CE1237" s="4" t="s">
        <v>241</v>
      </c>
      <c r="CF1237" s="4" t="s">
        <v>241</v>
      </c>
      <c r="CJ1237" s="4" t="s">
        <v>276</v>
      </c>
      <c r="CK1237" s="4" t="s">
        <v>259</v>
      </c>
      <c r="CL1237" s="4" t="s">
        <v>241</v>
      </c>
      <c r="CO1237" s="5" t="s">
        <v>260</v>
      </c>
      <c r="CP1237" s="4" t="s">
        <v>241</v>
      </c>
      <c r="CQ1237" s="4" t="s">
        <v>261</v>
      </c>
      <c r="CR1237" s="4" t="s">
        <v>241</v>
      </c>
      <c r="CS1237" s="4" t="s">
        <v>241</v>
      </c>
      <c r="CT1237" s="4">
        <v>0</v>
      </c>
      <c r="CU1237" s="4" t="s">
        <v>262</v>
      </c>
      <c r="CV1237" s="4" t="s">
        <v>263</v>
      </c>
      <c r="CW1237" s="4" t="s">
        <v>263</v>
      </c>
      <c r="CX1237" s="4" t="s">
        <v>264</v>
      </c>
      <c r="DA1237" s="6">
        <f>1</f>
        <v>1</v>
      </c>
      <c r="DC1237" s="4" t="s">
        <v>277</v>
      </c>
      <c r="DD1237" s="4" t="s">
        <v>241</v>
      </c>
      <c r="DF1237" s="4" t="s">
        <v>277</v>
      </c>
      <c r="DG1237" s="6">
        <f>1352</f>
        <v>1352</v>
      </c>
      <c r="DI1237" s="4" t="s">
        <v>241</v>
      </c>
      <c r="DJ1237" s="4" t="s">
        <v>241</v>
      </c>
      <c r="DK1237" s="4" t="s">
        <v>241</v>
      </c>
      <c r="DL1237" s="4" t="s">
        <v>241</v>
      </c>
      <c r="DP1237" s="4" t="s">
        <v>241</v>
      </c>
      <c r="DQ1237" s="4" t="s">
        <v>241</v>
      </c>
      <c r="DR1237" s="4" t="s">
        <v>241</v>
      </c>
      <c r="DS1237" s="4" t="s">
        <v>241</v>
      </c>
      <c r="DV1237" s="4" t="s">
        <v>278</v>
      </c>
      <c r="DW1237" s="4" t="s">
        <v>1826</v>
      </c>
      <c r="HO1237" s="4" t="s">
        <v>267</v>
      </c>
    </row>
    <row r="1238" spans="1:223" ht="19.5" customHeight="1" x14ac:dyDescent="0.4">
      <c r="A1238" s="4">
        <v>1</v>
      </c>
      <c r="B1238" s="4" t="s">
        <v>239</v>
      </c>
      <c r="C1238" s="4">
        <v>2912</v>
      </c>
      <c r="D1238" s="4">
        <v>1</v>
      </c>
      <c r="E1238" s="4">
        <v>1</v>
      </c>
      <c r="F1238" s="4" t="s">
        <v>268</v>
      </c>
      <c r="G1238" s="4" t="s">
        <v>241</v>
      </c>
      <c r="H1238" s="4" t="s">
        <v>241</v>
      </c>
      <c r="I1238" s="4" t="s">
        <v>272</v>
      </c>
      <c r="J1238" s="4" t="s">
        <v>274</v>
      </c>
      <c r="K1238" s="4" t="s">
        <v>251</v>
      </c>
      <c r="L1238" s="4" t="s">
        <v>269</v>
      </c>
      <c r="M1238" s="5" t="s">
        <v>1674</v>
      </c>
      <c r="N1238" s="6">
        <f>634</f>
        <v>634</v>
      </c>
      <c r="O1238" s="4" t="s">
        <v>265</v>
      </c>
      <c r="P1238" s="6">
        <f>1</f>
        <v>1</v>
      </c>
      <c r="Q1238" s="6">
        <f>0</f>
        <v>0</v>
      </c>
      <c r="S1238" s="6">
        <f>0</f>
        <v>0</v>
      </c>
      <c r="T1238" s="6">
        <f>1</f>
        <v>1</v>
      </c>
      <c r="U1238" s="5" t="s">
        <v>245</v>
      </c>
      <c r="V1238" s="4" t="s">
        <v>270</v>
      </c>
      <c r="W1238" s="4" t="s">
        <v>271</v>
      </c>
      <c r="X1238" s="4" t="s">
        <v>273</v>
      </c>
      <c r="Y1238" s="4" t="s">
        <v>241</v>
      </c>
      <c r="AB1238" s="4" t="s">
        <v>241</v>
      </c>
      <c r="AD1238" s="5" t="s">
        <v>241</v>
      </c>
      <c r="AG1238" s="5" t="s">
        <v>246</v>
      </c>
      <c r="AH1238" s="4" t="s">
        <v>241</v>
      </c>
      <c r="AI1238" s="4" t="s">
        <v>247</v>
      </c>
      <c r="AJ1238" s="4" t="s">
        <v>248</v>
      </c>
      <c r="AZ1238" s="4" t="s">
        <v>249</v>
      </c>
      <c r="BA1238" s="4" t="s">
        <v>241</v>
      </c>
      <c r="BB1238" s="4" t="s">
        <v>250</v>
      </c>
      <c r="BC1238" s="4" t="s">
        <v>241</v>
      </c>
      <c r="BD1238" s="4" t="s">
        <v>252</v>
      </c>
      <c r="BE1238" s="4" t="s">
        <v>241</v>
      </c>
      <c r="BI1238" s="4" t="s">
        <v>253</v>
      </c>
      <c r="BJ1238" s="5" t="s">
        <v>246</v>
      </c>
      <c r="BK1238" s="4" t="s">
        <v>254</v>
      </c>
      <c r="BL1238" s="4" t="s">
        <v>255</v>
      </c>
      <c r="BM1238" s="4" t="s">
        <v>241</v>
      </c>
      <c r="BN1238" s="6">
        <f>0</f>
        <v>0</v>
      </c>
      <c r="BO1238" s="6">
        <f>0</f>
        <v>0</v>
      </c>
      <c r="BP1238" s="4" t="s">
        <v>256</v>
      </c>
      <c r="BQ1238" s="4" t="s">
        <v>257</v>
      </c>
      <c r="CE1238" s="4" t="s">
        <v>241</v>
      </c>
      <c r="CF1238" s="4" t="s">
        <v>241</v>
      </c>
      <c r="CJ1238" s="4" t="s">
        <v>276</v>
      </c>
      <c r="CK1238" s="4" t="s">
        <v>259</v>
      </c>
      <c r="CL1238" s="4" t="s">
        <v>241</v>
      </c>
      <c r="CO1238" s="5" t="s">
        <v>260</v>
      </c>
      <c r="CP1238" s="4" t="s">
        <v>241</v>
      </c>
      <c r="CQ1238" s="4" t="s">
        <v>261</v>
      </c>
      <c r="CR1238" s="4" t="s">
        <v>241</v>
      </c>
      <c r="CS1238" s="4" t="s">
        <v>241</v>
      </c>
      <c r="CT1238" s="4">
        <v>0</v>
      </c>
      <c r="CU1238" s="4" t="s">
        <v>262</v>
      </c>
      <c r="CV1238" s="4" t="s">
        <v>263</v>
      </c>
      <c r="CW1238" s="4" t="s">
        <v>263</v>
      </c>
      <c r="CX1238" s="4" t="s">
        <v>264</v>
      </c>
      <c r="DA1238" s="6">
        <f>1</f>
        <v>1</v>
      </c>
      <c r="DC1238" s="4" t="s">
        <v>277</v>
      </c>
      <c r="DD1238" s="4" t="s">
        <v>241</v>
      </c>
      <c r="DF1238" s="4" t="s">
        <v>277</v>
      </c>
      <c r="DG1238" s="6">
        <f>634</f>
        <v>634</v>
      </c>
      <c r="DI1238" s="4" t="s">
        <v>241</v>
      </c>
      <c r="DJ1238" s="4" t="s">
        <v>241</v>
      </c>
      <c r="DK1238" s="4" t="s">
        <v>241</v>
      </c>
      <c r="DL1238" s="4" t="s">
        <v>241</v>
      </c>
      <c r="DP1238" s="4" t="s">
        <v>241</v>
      </c>
      <c r="DQ1238" s="4" t="s">
        <v>241</v>
      </c>
      <c r="DR1238" s="4" t="s">
        <v>241</v>
      </c>
      <c r="DS1238" s="4" t="s">
        <v>241</v>
      </c>
      <c r="DV1238" s="4" t="s">
        <v>278</v>
      </c>
      <c r="DW1238" s="4" t="s">
        <v>1675</v>
      </c>
      <c r="HO1238" s="4" t="s">
        <v>267</v>
      </c>
    </row>
    <row r="1239" spans="1:223" ht="19.5" customHeight="1" x14ac:dyDescent="0.4">
      <c r="A1239" s="4">
        <v>1</v>
      </c>
      <c r="B1239" s="4" t="s">
        <v>239</v>
      </c>
      <c r="C1239" s="4">
        <v>2913</v>
      </c>
      <c r="D1239" s="4">
        <v>1</v>
      </c>
      <c r="E1239" s="4">
        <v>1</v>
      </c>
      <c r="F1239" s="4" t="s">
        <v>268</v>
      </c>
      <c r="G1239" s="4" t="s">
        <v>241</v>
      </c>
      <c r="H1239" s="4" t="s">
        <v>241</v>
      </c>
      <c r="I1239" s="4" t="s">
        <v>272</v>
      </c>
      <c r="J1239" s="4" t="s">
        <v>274</v>
      </c>
      <c r="K1239" s="4" t="s">
        <v>251</v>
      </c>
      <c r="L1239" s="4" t="s">
        <v>269</v>
      </c>
      <c r="M1239" s="5" t="s">
        <v>1882</v>
      </c>
      <c r="N1239" s="6">
        <f>36</f>
        <v>36</v>
      </c>
      <c r="O1239" s="4" t="s">
        <v>265</v>
      </c>
      <c r="P1239" s="6">
        <f>1</f>
        <v>1</v>
      </c>
      <c r="Q1239" s="6">
        <f>0</f>
        <v>0</v>
      </c>
      <c r="S1239" s="6">
        <f>0</f>
        <v>0</v>
      </c>
      <c r="T1239" s="6">
        <f>1</f>
        <v>1</v>
      </c>
      <c r="U1239" s="5" t="s">
        <v>245</v>
      </c>
      <c r="V1239" s="4" t="s">
        <v>270</v>
      </c>
      <c r="W1239" s="4" t="s">
        <v>271</v>
      </c>
      <c r="X1239" s="4" t="s">
        <v>273</v>
      </c>
      <c r="Y1239" s="4" t="s">
        <v>241</v>
      </c>
      <c r="AB1239" s="4" t="s">
        <v>241</v>
      </c>
      <c r="AD1239" s="5" t="s">
        <v>241</v>
      </c>
      <c r="AG1239" s="5" t="s">
        <v>246</v>
      </c>
      <c r="AH1239" s="4" t="s">
        <v>241</v>
      </c>
      <c r="AI1239" s="4" t="s">
        <v>247</v>
      </c>
      <c r="AJ1239" s="4" t="s">
        <v>248</v>
      </c>
      <c r="AZ1239" s="4" t="s">
        <v>249</v>
      </c>
      <c r="BA1239" s="4" t="s">
        <v>241</v>
      </c>
      <c r="BB1239" s="4" t="s">
        <v>250</v>
      </c>
      <c r="BC1239" s="4" t="s">
        <v>241</v>
      </c>
      <c r="BD1239" s="4" t="s">
        <v>252</v>
      </c>
      <c r="BE1239" s="4" t="s">
        <v>241</v>
      </c>
      <c r="BI1239" s="4" t="s">
        <v>253</v>
      </c>
      <c r="BJ1239" s="5" t="s">
        <v>246</v>
      </c>
      <c r="BK1239" s="4" t="s">
        <v>254</v>
      </c>
      <c r="BL1239" s="4" t="s">
        <v>255</v>
      </c>
      <c r="BM1239" s="4" t="s">
        <v>241</v>
      </c>
      <c r="BN1239" s="6">
        <f>0</f>
        <v>0</v>
      </c>
      <c r="BO1239" s="6">
        <f>0</f>
        <v>0</v>
      </c>
      <c r="BP1239" s="4" t="s">
        <v>256</v>
      </c>
      <c r="BQ1239" s="4" t="s">
        <v>257</v>
      </c>
      <c r="CE1239" s="4" t="s">
        <v>241</v>
      </c>
      <c r="CF1239" s="4" t="s">
        <v>241</v>
      </c>
      <c r="CJ1239" s="4" t="s">
        <v>276</v>
      </c>
      <c r="CK1239" s="4" t="s">
        <v>259</v>
      </c>
      <c r="CL1239" s="4" t="s">
        <v>241</v>
      </c>
      <c r="CO1239" s="5" t="s">
        <v>260</v>
      </c>
      <c r="CP1239" s="4" t="s">
        <v>241</v>
      </c>
      <c r="CQ1239" s="4" t="s">
        <v>261</v>
      </c>
      <c r="CR1239" s="4" t="s">
        <v>241</v>
      </c>
      <c r="CS1239" s="4" t="s">
        <v>241</v>
      </c>
      <c r="CT1239" s="4">
        <v>0</v>
      </c>
      <c r="CU1239" s="4" t="s">
        <v>262</v>
      </c>
      <c r="CV1239" s="4" t="s">
        <v>263</v>
      </c>
      <c r="CW1239" s="4" t="s">
        <v>263</v>
      </c>
      <c r="CX1239" s="4" t="s">
        <v>264</v>
      </c>
      <c r="DA1239" s="6">
        <f>1</f>
        <v>1</v>
      </c>
      <c r="DC1239" s="4" t="s">
        <v>277</v>
      </c>
      <c r="DD1239" s="4" t="s">
        <v>241</v>
      </c>
      <c r="DF1239" s="4" t="s">
        <v>277</v>
      </c>
      <c r="DG1239" s="6">
        <f>36</f>
        <v>36</v>
      </c>
      <c r="DI1239" s="4" t="s">
        <v>241</v>
      </c>
      <c r="DJ1239" s="4" t="s">
        <v>241</v>
      </c>
      <c r="DK1239" s="4" t="s">
        <v>241</v>
      </c>
      <c r="DL1239" s="4" t="s">
        <v>241</v>
      </c>
      <c r="DP1239" s="4" t="s">
        <v>241</v>
      </c>
      <c r="DQ1239" s="4" t="s">
        <v>241</v>
      </c>
      <c r="DR1239" s="4" t="s">
        <v>241</v>
      </c>
      <c r="DS1239" s="4" t="s">
        <v>241</v>
      </c>
      <c r="DV1239" s="4" t="s">
        <v>278</v>
      </c>
      <c r="DW1239" s="4" t="s">
        <v>1883</v>
      </c>
      <c r="HO1239" s="4" t="s">
        <v>267</v>
      </c>
    </row>
    <row r="1240" spans="1:223" ht="19.5" customHeight="1" x14ac:dyDescent="0.4">
      <c r="A1240" s="4">
        <v>1</v>
      </c>
      <c r="B1240" s="4" t="s">
        <v>239</v>
      </c>
      <c r="C1240" s="4">
        <v>2914</v>
      </c>
      <c r="D1240" s="4">
        <v>1</v>
      </c>
      <c r="E1240" s="4">
        <v>1</v>
      </c>
      <c r="F1240" s="4" t="s">
        <v>268</v>
      </c>
      <c r="G1240" s="4" t="s">
        <v>241</v>
      </c>
      <c r="H1240" s="4" t="s">
        <v>241</v>
      </c>
      <c r="I1240" s="4" t="s">
        <v>272</v>
      </c>
      <c r="J1240" s="4" t="s">
        <v>274</v>
      </c>
      <c r="K1240" s="4" t="s">
        <v>251</v>
      </c>
      <c r="L1240" s="4" t="s">
        <v>269</v>
      </c>
      <c r="M1240" s="5" t="s">
        <v>1868</v>
      </c>
      <c r="N1240" s="6">
        <f>433</f>
        <v>433</v>
      </c>
      <c r="O1240" s="4" t="s">
        <v>265</v>
      </c>
      <c r="P1240" s="6">
        <f>1</f>
        <v>1</v>
      </c>
      <c r="Q1240" s="6">
        <f>0</f>
        <v>0</v>
      </c>
      <c r="S1240" s="6">
        <f>0</f>
        <v>0</v>
      </c>
      <c r="T1240" s="6">
        <f>1</f>
        <v>1</v>
      </c>
      <c r="U1240" s="5" t="s">
        <v>245</v>
      </c>
      <c r="V1240" s="4" t="s">
        <v>270</v>
      </c>
      <c r="W1240" s="4" t="s">
        <v>271</v>
      </c>
      <c r="X1240" s="4" t="s">
        <v>273</v>
      </c>
      <c r="Y1240" s="4" t="s">
        <v>241</v>
      </c>
      <c r="AB1240" s="4" t="s">
        <v>241</v>
      </c>
      <c r="AD1240" s="5" t="s">
        <v>241</v>
      </c>
      <c r="AG1240" s="5" t="s">
        <v>246</v>
      </c>
      <c r="AH1240" s="4" t="s">
        <v>241</v>
      </c>
      <c r="AI1240" s="4" t="s">
        <v>247</v>
      </c>
      <c r="AJ1240" s="4" t="s">
        <v>248</v>
      </c>
      <c r="AZ1240" s="4" t="s">
        <v>249</v>
      </c>
      <c r="BA1240" s="4" t="s">
        <v>241</v>
      </c>
      <c r="BB1240" s="4" t="s">
        <v>250</v>
      </c>
      <c r="BC1240" s="4" t="s">
        <v>241</v>
      </c>
      <c r="BD1240" s="4" t="s">
        <v>252</v>
      </c>
      <c r="BE1240" s="4" t="s">
        <v>241</v>
      </c>
      <c r="BI1240" s="4" t="s">
        <v>253</v>
      </c>
      <c r="BJ1240" s="5" t="s">
        <v>246</v>
      </c>
      <c r="BK1240" s="4" t="s">
        <v>254</v>
      </c>
      <c r="BL1240" s="4" t="s">
        <v>255</v>
      </c>
      <c r="BM1240" s="4" t="s">
        <v>241</v>
      </c>
      <c r="BN1240" s="6">
        <f>0</f>
        <v>0</v>
      </c>
      <c r="BO1240" s="6">
        <f>0</f>
        <v>0</v>
      </c>
      <c r="BP1240" s="4" t="s">
        <v>256</v>
      </c>
      <c r="BQ1240" s="4" t="s">
        <v>257</v>
      </c>
      <c r="CE1240" s="4" t="s">
        <v>241</v>
      </c>
      <c r="CF1240" s="4" t="s">
        <v>241</v>
      </c>
      <c r="CJ1240" s="4" t="s">
        <v>276</v>
      </c>
      <c r="CK1240" s="4" t="s">
        <v>259</v>
      </c>
      <c r="CL1240" s="4" t="s">
        <v>241</v>
      </c>
      <c r="CO1240" s="5" t="s">
        <v>260</v>
      </c>
      <c r="CP1240" s="4" t="s">
        <v>241</v>
      </c>
      <c r="CQ1240" s="4" t="s">
        <v>261</v>
      </c>
      <c r="CR1240" s="4" t="s">
        <v>241</v>
      </c>
      <c r="CS1240" s="4" t="s">
        <v>241</v>
      </c>
      <c r="CT1240" s="4">
        <v>0</v>
      </c>
      <c r="CU1240" s="4" t="s">
        <v>262</v>
      </c>
      <c r="CV1240" s="4" t="s">
        <v>263</v>
      </c>
      <c r="CW1240" s="4" t="s">
        <v>263</v>
      </c>
      <c r="CX1240" s="4" t="s">
        <v>264</v>
      </c>
      <c r="DA1240" s="6">
        <f>1</f>
        <v>1</v>
      </c>
      <c r="DC1240" s="4" t="s">
        <v>277</v>
      </c>
      <c r="DD1240" s="4" t="s">
        <v>241</v>
      </c>
      <c r="DF1240" s="4" t="s">
        <v>277</v>
      </c>
      <c r="DG1240" s="6">
        <f>433</f>
        <v>433</v>
      </c>
      <c r="DI1240" s="4" t="s">
        <v>241</v>
      </c>
      <c r="DJ1240" s="4" t="s">
        <v>241</v>
      </c>
      <c r="DK1240" s="4" t="s">
        <v>241</v>
      </c>
      <c r="DL1240" s="4" t="s">
        <v>241</v>
      </c>
      <c r="DP1240" s="4" t="s">
        <v>241</v>
      </c>
      <c r="DQ1240" s="4" t="s">
        <v>241</v>
      </c>
      <c r="DR1240" s="4" t="s">
        <v>241</v>
      </c>
      <c r="DS1240" s="4" t="s">
        <v>241</v>
      </c>
      <c r="DV1240" s="4" t="s">
        <v>278</v>
      </c>
      <c r="DW1240" s="4" t="s">
        <v>1869</v>
      </c>
      <c r="HO1240" s="4" t="s">
        <v>267</v>
      </c>
    </row>
    <row r="1241" spans="1:223" ht="19.5" customHeight="1" x14ac:dyDescent="0.4">
      <c r="A1241" s="4">
        <v>1</v>
      </c>
      <c r="B1241" s="4" t="s">
        <v>239</v>
      </c>
      <c r="C1241" s="4">
        <v>2915</v>
      </c>
      <c r="D1241" s="4">
        <v>1</v>
      </c>
      <c r="E1241" s="4">
        <v>1</v>
      </c>
      <c r="F1241" s="4" t="s">
        <v>268</v>
      </c>
      <c r="G1241" s="4" t="s">
        <v>241</v>
      </c>
      <c r="H1241" s="4" t="s">
        <v>241</v>
      </c>
      <c r="I1241" s="4" t="s">
        <v>272</v>
      </c>
      <c r="J1241" s="4" t="s">
        <v>274</v>
      </c>
      <c r="K1241" s="4" t="s">
        <v>251</v>
      </c>
      <c r="L1241" s="4" t="s">
        <v>269</v>
      </c>
      <c r="M1241" s="5" t="s">
        <v>2249</v>
      </c>
      <c r="N1241" s="6">
        <f>1861</f>
        <v>1861</v>
      </c>
      <c r="O1241" s="4" t="s">
        <v>265</v>
      </c>
      <c r="P1241" s="6">
        <f>1</f>
        <v>1</v>
      </c>
      <c r="Q1241" s="6">
        <f>0</f>
        <v>0</v>
      </c>
      <c r="S1241" s="6">
        <f>0</f>
        <v>0</v>
      </c>
      <c r="T1241" s="6">
        <f>1</f>
        <v>1</v>
      </c>
      <c r="U1241" s="5" t="s">
        <v>245</v>
      </c>
      <c r="V1241" s="4" t="s">
        <v>270</v>
      </c>
      <c r="W1241" s="4" t="s">
        <v>271</v>
      </c>
      <c r="X1241" s="4" t="s">
        <v>273</v>
      </c>
      <c r="Y1241" s="4" t="s">
        <v>241</v>
      </c>
      <c r="AB1241" s="4" t="s">
        <v>241</v>
      </c>
      <c r="AD1241" s="5" t="s">
        <v>241</v>
      </c>
      <c r="AG1241" s="5" t="s">
        <v>246</v>
      </c>
      <c r="AH1241" s="4" t="s">
        <v>241</v>
      </c>
      <c r="AI1241" s="4" t="s">
        <v>247</v>
      </c>
      <c r="AJ1241" s="4" t="s">
        <v>248</v>
      </c>
      <c r="AZ1241" s="4" t="s">
        <v>249</v>
      </c>
      <c r="BA1241" s="4" t="s">
        <v>241</v>
      </c>
      <c r="BB1241" s="4" t="s">
        <v>250</v>
      </c>
      <c r="BC1241" s="4" t="s">
        <v>241</v>
      </c>
      <c r="BD1241" s="4" t="s">
        <v>252</v>
      </c>
      <c r="BE1241" s="4" t="s">
        <v>241</v>
      </c>
      <c r="BI1241" s="4" t="s">
        <v>253</v>
      </c>
      <c r="BJ1241" s="5" t="s">
        <v>246</v>
      </c>
      <c r="BK1241" s="4" t="s">
        <v>254</v>
      </c>
      <c r="BL1241" s="4" t="s">
        <v>255</v>
      </c>
      <c r="BM1241" s="4" t="s">
        <v>241</v>
      </c>
      <c r="BN1241" s="6">
        <f>0</f>
        <v>0</v>
      </c>
      <c r="BO1241" s="6">
        <f>0</f>
        <v>0</v>
      </c>
      <c r="BP1241" s="4" t="s">
        <v>256</v>
      </c>
      <c r="BQ1241" s="4" t="s">
        <v>257</v>
      </c>
      <c r="CE1241" s="4" t="s">
        <v>241</v>
      </c>
      <c r="CF1241" s="4" t="s">
        <v>241</v>
      </c>
      <c r="CJ1241" s="4" t="s">
        <v>276</v>
      </c>
      <c r="CK1241" s="4" t="s">
        <v>259</v>
      </c>
      <c r="CL1241" s="4" t="s">
        <v>241</v>
      </c>
      <c r="CO1241" s="5" t="s">
        <v>260</v>
      </c>
      <c r="CP1241" s="4" t="s">
        <v>241</v>
      </c>
      <c r="CQ1241" s="4" t="s">
        <v>261</v>
      </c>
      <c r="CR1241" s="4" t="s">
        <v>241</v>
      </c>
      <c r="CS1241" s="4" t="s">
        <v>241</v>
      </c>
      <c r="CT1241" s="4">
        <v>0</v>
      </c>
      <c r="CU1241" s="4" t="s">
        <v>262</v>
      </c>
      <c r="CV1241" s="4" t="s">
        <v>263</v>
      </c>
      <c r="CW1241" s="4" t="s">
        <v>263</v>
      </c>
      <c r="CX1241" s="4" t="s">
        <v>264</v>
      </c>
      <c r="DA1241" s="6">
        <f>1</f>
        <v>1</v>
      </c>
      <c r="DC1241" s="4" t="s">
        <v>277</v>
      </c>
      <c r="DD1241" s="4" t="s">
        <v>241</v>
      </c>
      <c r="DF1241" s="4" t="s">
        <v>277</v>
      </c>
      <c r="DG1241" s="6">
        <f>1861</f>
        <v>1861</v>
      </c>
      <c r="DI1241" s="4" t="s">
        <v>241</v>
      </c>
      <c r="DJ1241" s="4" t="s">
        <v>241</v>
      </c>
      <c r="DK1241" s="4" t="s">
        <v>241</v>
      </c>
      <c r="DL1241" s="4" t="s">
        <v>241</v>
      </c>
      <c r="DP1241" s="4" t="s">
        <v>241</v>
      </c>
      <c r="DQ1241" s="4" t="s">
        <v>241</v>
      </c>
      <c r="DR1241" s="4" t="s">
        <v>241</v>
      </c>
      <c r="DS1241" s="4" t="s">
        <v>241</v>
      </c>
      <c r="DV1241" s="4" t="s">
        <v>278</v>
      </c>
      <c r="DW1241" s="4" t="s">
        <v>2250</v>
      </c>
      <c r="HO1241" s="4" t="s">
        <v>267</v>
      </c>
    </row>
    <row r="1242" spans="1:223" ht="19.5" customHeight="1" x14ac:dyDescent="0.4">
      <c r="A1242" s="4">
        <v>1</v>
      </c>
      <c r="B1242" s="4" t="s">
        <v>239</v>
      </c>
      <c r="C1242" s="4">
        <v>2916</v>
      </c>
      <c r="D1242" s="4">
        <v>1</v>
      </c>
      <c r="E1242" s="4">
        <v>1</v>
      </c>
      <c r="F1242" s="4" t="s">
        <v>268</v>
      </c>
      <c r="G1242" s="4" t="s">
        <v>241</v>
      </c>
      <c r="H1242" s="4" t="s">
        <v>241</v>
      </c>
      <c r="I1242" s="4" t="s">
        <v>272</v>
      </c>
      <c r="J1242" s="4" t="s">
        <v>274</v>
      </c>
      <c r="K1242" s="4" t="s">
        <v>251</v>
      </c>
      <c r="L1242" s="4" t="s">
        <v>269</v>
      </c>
      <c r="M1242" s="5" t="s">
        <v>1876</v>
      </c>
      <c r="N1242" s="6">
        <f>741</f>
        <v>741</v>
      </c>
      <c r="O1242" s="4" t="s">
        <v>265</v>
      </c>
      <c r="P1242" s="6">
        <f>1</f>
        <v>1</v>
      </c>
      <c r="Q1242" s="6">
        <f>0</f>
        <v>0</v>
      </c>
      <c r="S1242" s="6">
        <f>0</f>
        <v>0</v>
      </c>
      <c r="T1242" s="6">
        <f>1</f>
        <v>1</v>
      </c>
      <c r="U1242" s="5" t="s">
        <v>245</v>
      </c>
      <c r="V1242" s="4" t="s">
        <v>270</v>
      </c>
      <c r="W1242" s="4" t="s">
        <v>271</v>
      </c>
      <c r="X1242" s="4" t="s">
        <v>273</v>
      </c>
      <c r="Y1242" s="4" t="s">
        <v>241</v>
      </c>
      <c r="AB1242" s="4" t="s">
        <v>241</v>
      </c>
      <c r="AD1242" s="5" t="s">
        <v>241</v>
      </c>
      <c r="AG1242" s="5" t="s">
        <v>246</v>
      </c>
      <c r="AH1242" s="4" t="s">
        <v>241</v>
      </c>
      <c r="AI1242" s="4" t="s">
        <v>247</v>
      </c>
      <c r="AJ1242" s="4" t="s">
        <v>248</v>
      </c>
      <c r="AZ1242" s="4" t="s">
        <v>249</v>
      </c>
      <c r="BA1242" s="4" t="s">
        <v>241</v>
      </c>
      <c r="BB1242" s="4" t="s">
        <v>250</v>
      </c>
      <c r="BC1242" s="4" t="s">
        <v>241</v>
      </c>
      <c r="BD1242" s="4" t="s">
        <v>252</v>
      </c>
      <c r="BE1242" s="4" t="s">
        <v>241</v>
      </c>
      <c r="BI1242" s="4" t="s">
        <v>253</v>
      </c>
      <c r="BJ1242" s="5" t="s">
        <v>246</v>
      </c>
      <c r="BK1242" s="4" t="s">
        <v>254</v>
      </c>
      <c r="BL1242" s="4" t="s">
        <v>255</v>
      </c>
      <c r="BM1242" s="4" t="s">
        <v>241</v>
      </c>
      <c r="BN1242" s="6">
        <f>0</f>
        <v>0</v>
      </c>
      <c r="BO1242" s="6">
        <f>0</f>
        <v>0</v>
      </c>
      <c r="BP1242" s="4" t="s">
        <v>256</v>
      </c>
      <c r="BQ1242" s="4" t="s">
        <v>257</v>
      </c>
      <c r="CE1242" s="4" t="s">
        <v>241</v>
      </c>
      <c r="CF1242" s="4" t="s">
        <v>241</v>
      </c>
      <c r="CJ1242" s="4" t="s">
        <v>276</v>
      </c>
      <c r="CK1242" s="4" t="s">
        <v>259</v>
      </c>
      <c r="CL1242" s="4" t="s">
        <v>241</v>
      </c>
      <c r="CO1242" s="5" t="s">
        <v>260</v>
      </c>
      <c r="CP1242" s="4" t="s">
        <v>241</v>
      </c>
      <c r="CQ1242" s="4" t="s">
        <v>261</v>
      </c>
      <c r="CR1242" s="4" t="s">
        <v>241</v>
      </c>
      <c r="CS1242" s="4" t="s">
        <v>241</v>
      </c>
      <c r="CT1242" s="4">
        <v>0</v>
      </c>
      <c r="CU1242" s="4" t="s">
        <v>262</v>
      </c>
      <c r="CV1242" s="4" t="s">
        <v>263</v>
      </c>
      <c r="CW1242" s="4" t="s">
        <v>263</v>
      </c>
      <c r="CX1242" s="4" t="s">
        <v>264</v>
      </c>
      <c r="DA1242" s="6">
        <f>1</f>
        <v>1</v>
      </c>
      <c r="DC1242" s="4" t="s">
        <v>277</v>
      </c>
      <c r="DD1242" s="4" t="s">
        <v>241</v>
      </c>
      <c r="DF1242" s="4" t="s">
        <v>277</v>
      </c>
      <c r="DG1242" s="6">
        <f>741</f>
        <v>741</v>
      </c>
      <c r="DI1242" s="4" t="s">
        <v>241</v>
      </c>
      <c r="DJ1242" s="4" t="s">
        <v>241</v>
      </c>
      <c r="DK1242" s="4" t="s">
        <v>241</v>
      </c>
      <c r="DL1242" s="4" t="s">
        <v>241</v>
      </c>
      <c r="DP1242" s="4" t="s">
        <v>241</v>
      </c>
      <c r="DQ1242" s="4" t="s">
        <v>241</v>
      </c>
      <c r="DR1242" s="4" t="s">
        <v>241</v>
      </c>
      <c r="DS1242" s="4" t="s">
        <v>241</v>
      </c>
      <c r="DV1242" s="4" t="s">
        <v>278</v>
      </c>
      <c r="DW1242" s="4" t="s">
        <v>1877</v>
      </c>
      <c r="HO1242" s="4" t="s">
        <v>267</v>
      </c>
    </row>
    <row r="1243" spans="1:223" ht="19.5" customHeight="1" x14ac:dyDescent="0.4">
      <c r="A1243" s="4">
        <v>1</v>
      </c>
      <c r="B1243" s="4" t="s">
        <v>239</v>
      </c>
      <c r="C1243" s="4">
        <v>2917</v>
      </c>
      <c r="D1243" s="4">
        <v>1</v>
      </c>
      <c r="E1243" s="4">
        <v>1</v>
      </c>
      <c r="F1243" s="4" t="s">
        <v>268</v>
      </c>
      <c r="G1243" s="4" t="s">
        <v>241</v>
      </c>
      <c r="H1243" s="4" t="s">
        <v>241</v>
      </c>
      <c r="I1243" s="4" t="s">
        <v>272</v>
      </c>
      <c r="J1243" s="4" t="s">
        <v>274</v>
      </c>
      <c r="K1243" s="4" t="s">
        <v>251</v>
      </c>
      <c r="L1243" s="4" t="s">
        <v>269</v>
      </c>
      <c r="M1243" s="5" t="s">
        <v>2825</v>
      </c>
      <c r="N1243" s="6">
        <f>1065</f>
        <v>1065</v>
      </c>
      <c r="O1243" s="4" t="s">
        <v>265</v>
      </c>
      <c r="P1243" s="6">
        <f>1</f>
        <v>1</v>
      </c>
      <c r="Q1243" s="6">
        <f>0</f>
        <v>0</v>
      </c>
      <c r="S1243" s="6">
        <f>0</f>
        <v>0</v>
      </c>
      <c r="T1243" s="6">
        <f>1</f>
        <v>1</v>
      </c>
      <c r="U1243" s="5" t="s">
        <v>245</v>
      </c>
      <c r="V1243" s="4" t="s">
        <v>270</v>
      </c>
      <c r="W1243" s="4" t="s">
        <v>271</v>
      </c>
      <c r="X1243" s="4" t="s">
        <v>273</v>
      </c>
      <c r="Y1243" s="4" t="s">
        <v>241</v>
      </c>
      <c r="AB1243" s="4" t="s">
        <v>241</v>
      </c>
      <c r="AD1243" s="5" t="s">
        <v>241</v>
      </c>
      <c r="AG1243" s="5" t="s">
        <v>246</v>
      </c>
      <c r="AH1243" s="4" t="s">
        <v>241</v>
      </c>
      <c r="AI1243" s="4" t="s">
        <v>247</v>
      </c>
      <c r="AJ1243" s="4" t="s">
        <v>248</v>
      </c>
      <c r="AZ1243" s="4" t="s">
        <v>249</v>
      </c>
      <c r="BA1243" s="4" t="s">
        <v>241</v>
      </c>
      <c r="BB1243" s="4" t="s">
        <v>250</v>
      </c>
      <c r="BC1243" s="4" t="s">
        <v>241</v>
      </c>
      <c r="BD1243" s="4" t="s">
        <v>252</v>
      </c>
      <c r="BE1243" s="4" t="s">
        <v>241</v>
      </c>
      <c r="BI1243" s="4" t="s">
        <v>253</v>
      </c>
      <c r="BJ1243" s="5" t="s">
        <v>246</v>
      </c>
      <c r="BK1243" s="4" t="s">
        <v>254</v>
      </c>
      <c r="BL1243" s="4" t="s">
        <v>255</v>
      </c>
      <c r="BM1243" s="4" t="s">
        <v>241</v>
      </c>
      <c r="BN1243" s="6">
        <f>0</f>
        <v>0</v>
      </c>
      <c r="BO1243" s="6">
        <f>0</f>
        <v>0</v>
      </c>
      <c r="BP1243" s="4" t="s">
        <v>256</v>
      </c>
      <c r="BQ1243" s="4" t="s">
        <v>257</v>
      </c>
      <c r="CE1243" s="4" t="s">
        <v>241</v>
      </c>
      <c r="CF1243" s="4" t="s">
        <v>241</v>
      </c>
      <c r="CJ1243" s="4" t="s">
        <v>276</v>
      </c>
      <c r="CK1243" s="4" t="s">
        <v>259</v>
      </c>
      <c r="CL1243" s="4" t="s">
        <v>241</v>
      </c>
      <c r="CO1243" s="5" t="s">
        <v>260</v>
      </c>
      <c r="CP1243" s="4" t="s">
        <v>241</v>
      </c>
      <c r="CQ1243" s="4" t="s">
        <v>261</v>
      </c>
      <c r="CR1243" s="4" t="s">
        <v>241</v>
      </c>
      <c r="CS1243" s="4" t="s">
        <v>241</v>
      </c>
      <c r="CT1243" s="4">
        <v>0</v>
      </c>
      <c r="CU1243" s="4" t="s">
        <v>262</v>
      </c>
      <c r="CV1243" s="4" t="s">
        <v>263</v>
      </c>
      <c r="CW1243" s="4" t="s">
        <v>263</v>
      </c>
      <c r="CX1243" s="4" t="s">
        <v>264</v>
      </c>
      <c r="DA1243" s="6">
        <f>1</f>
        <v>1</v>
      </c>
      <c r="DC1243" s="4" t="s">
        <v>277</v>
      </c>
      <c r="DD1243" s="4" t="s">
        <v>241</v>
      </c>
      <c r="DF1243" s="4" t="s">
        <v>277</v>
      </c>
      <c r="DG1243" s="6">
        <f>1065</f>
        <v>1065</v>
      </c>
      <c r="DI1243" s="4" t="s">
        <v>241</v>
      </c>
      <c r="DJ1243" s="4" t="s">
        <v>241</v>
      </c>
      <c r="DK1243" s="4" t="s">
        <v>241</v>
      </c>
      <c r="DL1243" s="4" t="s">
        <v>241</v>
      </c>
      <c r="DP1243" s="4" t="s">
        <v>241</v>
      </c>
      <c r="DQ1243" s="4" t="s">
        <v>241</v>
      </c>
      <c r="DR1243" s="4" t="s">
        <v>241</v>
      </c>
      <c r="DS1243" s="4" t="s">
        <v>241</v>
      </c>
      <c r="DV1243" s="4" t="s">
        <v>278</v>
      </c>
      <c r="DW1243" s="4" t="s">
        <v>2826</v>
      </c>
      <c r="HO1243" s="4" t="s">
        <v>267</v>
      </c>
    </row>
    <row r="1244" spans="1:223" ht="19.5" customHeight="1" x14ac:dyDescent="0.4">
      <c r="A1244" s="4">
        <v>1</v>
      </c>
      <c r="B1244" s="4" t="s">
        <v>239</v>
      </c>
      <c r="C1244" s="4">
        <v>2918</v>
      </c>
      <c r="D1244" s="4">
        <v>1</v>
      </c>
      <c r="E1244" s="4">
        <v>1</v>
      </c>
      <c r="F1244" s="4" t="s">
        <v>268</v>
      </c>
      <c r="G1244" s="4" t="s">
        <v>241</v>
      </c>
      <c r="H1244" s="4" t="s">
        <v>241</v>
      </c>
      <c r="I1244" s="4" t="s">
        <v>272</v>
      </c>
      <c r="J1244" s="4" t="s">
        <v>274</v>
      </c>
      <c r="K1244" s="4" t="s">
        <v>251</v>
      </c>
      <c r="L1244" s="4" t="s">
        <v>269</v>
      </c>
      <c r="M1244" s="5" t="s">
        <v>1460</v>
      </c>
      <c r="N1244" s="6">
        <f>1569</f>
        <v>1569</v>
      </c>
      <c r="O1244" s="4" t="s">
        <v>265</v>
      </c>
      <c r="P1244" s="6">
        <f>1</f>
        <v>1</v>
      </c>
      <c r="Q1244" s="6">
        <f>0</f>
        <v>0</v>
      </c>
      <c r="S1244" s="6">
        <f>0</f>
        <v>0</v>
      </c>
      <c r="T1244" s="6">
        <f>1</f>
        <v>1</v>
      </c>
      <c r="U1244" s="5" t="s">
        <v>245</v>
      </c>
      <c r="V1244" s="4" t="s">
        <v>270</v>
      </c>
      <c r="W1244" s="4" t="s">
        <v>271</v>
      </c>
      <c r="X1244" s="4" t="s">
        <v>273</v>
      </c>
      <c r="Y1244" s="4" t="s">
        <v>241</v>
      </c>
      <c r="AB1244" s="4" t="s">
        <v>241</v>
      </c>
      <c r="AD1244" s="5" t="s">
        <v>241</v>
      </c>
      <c r="AG1244" s="5" t="s">
        <v>246</v>
      </c>
      <c r="AH1244" s="4" t="s">
        <v>241</v>
      </c>
      <c r="AI1244" s="4" t="s">
        <v>247</v>
      </c>
      <c r="AJ1244" s="4" t="s">
        <v>248</v>
      </c>
      <c r="AZ1244" s="4" t="s">
        <v>249</v>
      </c>
      <c r="BA1244" s="4" t="s">
        <v>241</v>
      </c>
      <c r="BB1244" s="4" t="s">
        <v>250</v>
      </c>
      <c r="BC1244" s="4" t="s">
        <v>241</v>
      </c>
      <c r="BD1244" s="4" t="s">
        <v>252</v>
      </c>
      <c r="BE1244" s="4" t="s">
        <v>241</v>
      </c>
      <c r="BI1244" s="4" t="s">
        <v>253</v>
      </c>
      <c r="BJ1244" s="5" t="s">
        <v>246</v>
      </c>
      <c r="BK1244" s="4" t="s">
        <v>254</v>
      </c>
      <c r="BL1244" s="4" t="s">
        <v>255</v>
      </c>
      <c r="BM1244" s="4" t="s">
        <v>241</v>
      </c>
      <c r="BN1244" s="6">
        <f>0</f>
        <v>0</v>
      </c>
      <c r="BO1244" s="6">
        <f>0</f>
        <v>0</v>
      </c>
      <c r="BP1244" s="4" t="s">
        <v>256</v>
      </c>
      <c r="BQ1244" s="4" t="s">
        <v>257</v>
      </c>
      <c r="CE1244" s="4" t="s">
        <v>241</v>
      </c>
      <c r="CF1244" s="4" t="s">
        <v>241</v>
      </c>
      <c r="CJ1244" s="4" t="s">
        <v>276</v>
      </c>
      <c r="CK1244" s="4" t="s">
        <v>259</v>
      </c>
      <c r="CL1244" s="4" t="s">
        <v>241</v>
      </c>
      <c r="CO1244" s="5" t="s">
        <v>260</v>
      </c>
      <c r="CP1244" s="4" t="s">
        <v>241</v>
      </c>
      <c r="CQ1244" s="4" t="s">
        <v>261</v>
      </c>
      <c r="CR1244" s="4" t="s">
        <v>241</v>
      </c>
      <c r="CS1244" s="4" t="s">
        <v>241</v>
      </c>
      <c r="CT1244" s="4">
        <v>0</v>
      </c>
      <c r="CU1244" s="4" t="s">
        <v>262</v>
      </c>
      <c r="CV1244" s="4" t="s">
        <v>263</v>
      </c>
      <c r="CW1244" s="4" t="s">
        <v>263</v>
      </c>
      <c r="CX1244" s="4" t="s">
        <v>264</v>
      </c>
      <c r="DA1244" s="6">
        <f>1</f>
        <v>1</v>
      </c>
      <c r="DC1244" s="4" t="s">
        <v>277</v>
      </c>
      <c r="DD1244" s="4" t="s">
        <v>241</v>
      </c>
      <c r="DF1244" s="4" t="s">
        <v>277</v>
      </c>
      <c r="DG1244" s="6">
        <f>1569</f>
        <v>1569</v>
      </c>
      <c r="DI1244" s="4" t="s">
        <v>241</v>
      </c>
      <c r="DJ1244" s="4" t="s">
        <v>241</v>
      </c>
      <c r="DK1244" s="4" t="s">
        <v>241</v>
      </c>
      <c r="DL1244" s="4" t="s">
        <v>241</v>
      </c>
      <c r="DP1244" s="4" t="s">
        <v>241</v>
      </c>
      <c r="DQ1244" s="4" t="s">
        <v>241</v>
      </c>
      <c r="DR1244" s="4" t="s">
        <v>241</v>
      </c>
      <c r="DS1244" s="4" t="s">
        <v>241</v>
      </c>
      <c r="DV1244" s="4" t="s">
        <v>278</v>
      </c>
      <c r="DW1244" s="4" t="s">
        <v>1461</v>
      </c>
      <c r="HO1244" s="4" t="s">
        <v>267</v>
      </c>
    </row>
    <row r="1245" spans="1:223" ht="19.5" customHeight="1" x14ac:dyDescent="0.4">
      <c r="A1245" s="4">
        <v>1</v>
      </c>
      <c r="B1245" s="4" t="s">
        <v>239</v>
      </c>
      <c r="C1245" s="4">
        <v>2919</v>
      </c>
      <c r="D1245" s="4">
        <v>1</v>
      </c>
      <c r="E1245" s="4">
        <v>1</v>
      </c>
      <c r="F1245" s="4" t="s">
        <v>268</v>
      </c>
      <c r="G1245" s="4" t="s">
        <v>241</v>
      </c>
      <c r="H1245" s="4" t="s">
        <v>241</v>
      </c>
      <c r="I1245" s="4" t="s">
        <v>272</v>
      </c>
      <c r="J1245" s="4" t="s">
        <v>274</v>
      </c>
      <c r="K1245" s="4" t="s">
        <v>251</v>
      </c>
      <c r="L1245" s="4" t="s">
        <v>269</v>
      </c>
      <c r="M1245" s="5" t="s">
        <v>2796</v>
      </c>
      <c r="N1245" s="6">
        <f>787</f>
        <v>787</v>
      </c>
      <c r="O1245" s="4" t="s">
        <v>265</v>
      </c>
      <c r="P1245" s="6">
        <f>1</f>
        <v>1</v>
      </c>
      <c r="Q1245" s="6">
        <f>0</f>
        <v>0</v>
      </c>
      <c r="S1245" s="6">
        <f>0</f>
        <v>0</v>
      </c>
      <c r="T1245" s="6">
        <f>1</f>
        <v>1</v>
      </c>
      <c r="U1245" s="5" t="s">
        <v>245</v>
      </c>
      <c r="V1245" s="4" t="s">
        <v>270</v>
      </c>
      <c r="W1245" s="4" t="s">
        <v>271</v>
      </c>
      <c r="X1245" s="4" t="s">
        <v>273</v>
      </c>
      <c r="Y1245" s="4" t="s">
        <v>241</v>
      </c>
      <c r="AB1245" s="4" t="s">
        <v>241</v>
      </c>
      <c r="AD1245" s="5" t="s">
        <v>241</v>
      </c>
      <c r="AG1245" s="5" t="s">
        <v>246</v>
      </c>
      <c r="AH1245" s="4" t="s">
        <v>241</v>
      </c>
      <c r="AI1245" s="4" t="s">
        <v>247</v>
      </c>
      <c r="AJ1245" s="4" t="s">
        <v>248</v>
      </c>
      <c r="AZ1245" s="4" t="s">
        <v>249</v>
      </c>
      <c r="BA1245" s="4" t="s">
        <v>241</v>
      </c>
      <c r="BB1245" s="4" t="s">
        <v>250</v>
      </c>
      <c r="BC1245" s="4" t="s">
        <v>241</v>
      </c>
      <c r="BD1245" s="4" t="s">
        <v>252</v>
      </c>
      <c r="BE1245" s="4" t="s">
        <v>241</v>
      </c>
      <c r="BI1245" s="4" t="s">
        <v>253</v>
      </c>
      <c r="BJ1245" s="5" t="s">
        <v>246</v>
      </c>
      <c r="BK1245" s="4" t="s">
        <v>254</v>
      </c>
      <c r="BL1245" s="4" t="s">
        <v>255</v>
      </c>
      <c r="BM1245" s="4" t="s">
        <v>241</v>
      </c>
      <c r="BN1245" s="6">
        <f>0</f>
        <v>0</v>
      </c>
      <c r="BO1245" s="6">
        <f>0</f>
        <v>0</v>
      </c>
      <c r="BP1245" s="4" t="s">
        <v>256</v>
      </c>
      <c r="BQ1245" s="4" t="s">
        <v>257</v>
      </c>
      <c r="CE1245" s="4" t="s">
        <v>241</v>
      </c>
      <c r="CF1245" s="4" t="s">
        <v>241</v>
      </c>
      <c r="CJ1245" s="4" t="s">
        <v>276</v>
      </c>
      <c r="CK1245" s="4" t="s">
        <v>259</v>
      </c>
      <c r="CL1245" s="4" t="s">
        <v>241</v>
      </c>
      <c r="CO1245" s="5" t="s">
        <v>260</v>
      </c>
      <c r="CP1245" s="4" t="s">
        <v>241</v>
      </c>
      <c r="CQ1245" s="4" t="s">
        <v>261</v>
      </c>
      <c r="CR1245" s="4" t="s">
        <v>241</v>
      </c>
      <c r="CS1245" s="4" t="s">
        <v>241</v>
      </c>
      <c r="CT1245" s="4">
        <v>0</v>
      </c>
      <c r="CU1245" s="4" t="s">
        <v>262</v>
      </c>
      <c r="CV1245" s="4" t="s">
        <v>263</v>
      </c>
      <c r="CW1245" s="4" t="s">
        <v>263</v>
      </c>
      <c r="CX1245" s="4" t="s">
        <v>264</v>
      </c>
      <c r="DA1245" s="6">
        <f>1</f>
        <v>1</v>
      </c>
      <c r="DC1245" s="4" t="s">
        <v>277</v>
      </c>
      <c r="DD1245" s="4" t="s">
        <v>241</v>
      </c>
      <c r="DF1245" s="4" t="s">
        <v>277</v>
      </c>
      <c r="DG1245" s="6">
        <f>787</f>
        <v>787</v>
      </c>
      <c r="DI1245" s="4" t="s">
        <v>241</v>
      </c>
      <c r="DJ1245" s="4" t="s">
        <v>241</v>
      </c>
      <c r="DK1245" s="4" t="s">
        <v>241</v>
      </c>
      <c r="DL1245" s="4" t="s">
        <v>241</v>
      </c>
      <c r="DP1245" s="4" t="s">
        <v>241</v>
      </c>
      <c r="DQ1245" s="4" t="s">
        <v>241</v>
      </c>
      <c r="DR1245" s="4" t="s">
        <v>241</v>
      </c>
      <c r="DS1245" s="4" t="s">
        <v>241</v>
      </c>
      <c r="DV1245" s="4" t="s">
        <v>278</v>
      </c>
      <c r="DW1245" s="4" t="s">
        <v>2797</v>
      </c>
      <c r="HO1245" s="4" t="s">
        <v>267</v>
      </c>
    </row>
    <row r="1246" spans="1:223" ht="19.5" customHeight="1" x14ac:dyDescent="0.4">
      <c r="A1246" s="4">
        <v>1</v>
      </c>
      <c r="B1246" s="4" t="s">
        <v>239</v>
      </c>
      <c r="C1246" s="4">
        <v>2920</v>
      </c>
      <c r="D1246" s="4">
        <v>1</v>
      </c>
      <c r="E1246" s="4">
        <v>1</v>
      </c>
      <c r="F1246" s="4" t="s">
        <v>268</v>
      </c>
      <c r="G1246" s="4" t="s">
        <v>241</v>
      </c>
      <c r="H1246" s="4" t="s">
        <v>241</v>
      </c>
      <c r="I1246" s="4" t="s">
        <v>272</v>
      </c>
      <c r="J1246" s="4" t="s">
        <v>274</v>
      </c>
      <c r="K1246" s="4" t="s">
        <v>251</v>
      </c>
      <c r="L1246" s="4" t="s">
        <v>269</v>
      </c>
      <c r="M1246" s="5" t="s">
        <v>2774</v>
      </c>
      <c r="N1246" s="6">
        <f>1056</f>
        <v>1056</v>
      </c>
      <c r="O1246" s="4" t="s">
        <v>265</v>
      </c>
      <c r="P1246" s="6">
        <f>1</f>
        <v>1</v>
      </c>
      <c r="Q1246" s="6">
        <f>0</f>
        <v>0</v>
      </c>
      <c r="S1246" s="6">
        <f>0</f>
        <v>0</v>
      </c>
      <c r="T1246" s="6">
        <f>1</f>
        <v>1</v>
      </c>
      <c r="U1246" s="5" t="s">
        <v>245</v>
      </c>
      <c r="V1246" s="4" t="s">
        <v>270</v>
      </c>
      <c r="W1246" s="4" t="s">
        <v>271</v>
      </c>
      <c r="X1246" s="4" t="s">
        <v>273</v>
      </c>
      <c r="Y1246" s="4" t="s">
        <v>241</v>
      </c>
      <c r="AB1246" s="4" t="s">
        <v>241</v>
      </c>
      <c r="AD1246" s="5" t="s">
        <v>241</v>
      </c>
      <c r="AG1246" s="5" t="s">
        <v>246</v>
      </c>
      <c r="AH1246" s="4" t="s">
        <v>241</v>
      </c>
      <c r="AI1246" s="4" t="s">
        <v>247</v>
      </c>
      <c r="AJ1246" s="4" t="s">
        <v>248</v>
      </c>
      <c r="AZ1246" s="4" t="s">
        <v>249</v>
      </c>
      <c r="BA1246" s="4" t="s">
        <v>241</v>
      </c>
      <c r="BB1246" s="4" t="s">
        <v>250</v>
      </c>
      <c r="BC1246" s="4" t="s">
        <v>241</v>
      </c>
      <c r="BD1246" s="4" t="s">
        <v>252</v>
      </c>
      <c r="BE1246" s="4" t="s">
        <v>241</v>
      </c>
      <c r="BI1246" s="4" t="s">
        <v>253</v>
      </c>
      <c r="BJ1246" s="5" t="s">
        <v>246</v>
      </c>
      <c r="BK1246" s="4" t="s">
        <v>254</v>
      </c>
      <c r="BL1246" s="4" t="s">
        <v>255</v>
      </c>
      <c r="BM1246" s="4" t="s">
        <v>241</v>
      </c>
      <c r="BN1246" s="6">
        <f>0</f>
        <v>0</v>
      </c>
      <c r="BO1246" s="6">
        <f>0</f>
        <v>0</v>
      </c>
      <c r="BP1246" s="4" t="s">
        <v>256</v>
      </c>
      <c r="BQ1246" s="4" t="s">
        <v>257</v>
      </c>
      <c r="CE1246" s="4" t="s">
        <v>241</v>
      </c>
      <c r="CF1246" s="4" t="s">
        <v>241</v>
      </c>
      <c r="CJ1246" s="4" t="s">
        <v>276</v>
      </c>
      <c r="CK1246" s="4" t="s">
        <v>259</v>
      </c>
      <c r="CL1246" s="4" t="s">
        <v>241</v>
      </c>
      <c r="CO1246" s="5" t="s">
        <v>260</v>
      </c>
      <c r="CP1246" s="4" t="s">
        <v>241</v>
      </c>
      <c r="CQ1246" s="4" t="s">
        <v>261</v>
      </c>
      <c r="CR1246" s="4" t="s">
        <v>241</v>
      </c>
      <c r="CS1246" s="4" t="s">
        <v>241</v>
      </c>
      <c r="CT1246" s="4">
        <v>0</v>
      </c>
      <c r="CU1246" s="4" t="s">
        <v>262</v>
      </c>
      <c r="CV1246" s="4" t="s">
        <v>263</v>
      </c>
      <c r="CW1246" s="4" t="s">
        <v>263</v>
      </c>
      <c r="CX1246" s="4" t="s">
        <v>264</v>
      </c>
      <c r="DA1246" s="6">
        <f>1</f>
        <v>1</v>
      </c>
      <c r="DC1246" s="4" t="s">
        <v>277</v>
      </c>
      <c r="DD1246" s="4" t="s">
        <v>241</v>
      </c>
      <c r="DF1246" s="4" t="s">
        <v>277</v>
      </c>
      <c r="DG1246" s="6">
        <f>1056</f>
        <v>1056</v>
      </c>
      <c r="DI1246" s="4" t="s">
        <v>241</v>
      </c>
      <c r="DJ1246" s="4" t="s">
        <v>241</v>
      </c>
      <c r="DK1246" s="4" t="s">
        <v>241</v>
      </c>
      <c r="DL1246" s="4" t="s">
        <v>241</v>
      </c>
      <c r="DP1246" s="4" t="s">
        <v>241</v>
      </c>
      <c r="DQ1246" s="4" t="s">
        <v>241</v>
      </c>
      <c r="DR1246" s="4" t="s">
        <v>241</v>
      </c>
      <c r="DS1246" s="4" t="s">
        <v>241</v>
      </c>
      <c r="DV1246" s="4" t="s">
        <v>278</v>
      </c>
      <c r="DW1246" s="4" t="s">
        <v>2775</v>
      </c>
      <c r="HO1246" s="4" t="s">
        <v>267</v>
      </c>
    </row>
    <row r="1247" spans="1:223" ht="19.5" customHeight="1" x14ac:dyDescent="0.4">
      <c r="A1247" s="4">
        <v>1</v>
      </c>
      <c r="B1247" s="4" t="s">
        <v>239</v>
      </c>
      <c r="C1247" s="4">
        <v>2921</v>
      </c>
      <c r="D1247" s="4">
        <v>1</v>
      </c>
      <c r="E1247" s="4">
        <v>1</v>
      </c>
      <c r="F1247" s="4" t="s">
        <v>268</v>
      </c>
      <c r="G1247" s="4" t="s">
        <v>241</v>
      </c>
      <c r="H1247" s="4" t="s">
        <v>241</v>
      </c>
      <c r="I1247" s="4" t="s">
        <v>272</v>
      </c>
      <c r="J1247" s="4" t="s">
        <v>274</v>
      </c>
      <c r="K1247" s="4" t="s">
        <v>251</v>
      </c>
      <c r="L1247" s="4" t="s">
        <v>269</v>
      </c>
      <c r="M1247" s="5" t="s">
        <v>1749</v>
      </c>
      <c r="N1247" s="6">
        <f>501</f>
        <v>501</v>
      </c>
      <c r="O1247" s="4" t="s">
        <v>265</v>
      </c>
      <c r="P1247" s="6">
        <f>1</f>
        <v>1</v>
      </c>
      <c r="Q1247" s="6">
        <f>0</f>
        <v>0</v>
      </c>
      <c r="S1247" s="6">
        <f>0</f>
        <v>0</v>
      </c>
      <c r="T1247" s="6">
        <f>1</f>
        <v>1</v>
      </c>
      <c r="U1247" s="5" t="s">
        <v>245</v>
      </c>
      <c r="V1247" s="4" t="s">
        <v>270</v>
      </c>
      <c r="W1247" s="4" t="s">
        <v>271</v>
      </c>
      <c r="X1247" s="4" t="s">
        <v>273</v>
      </c>
      <c r="Y1247" s="4" t="s">
        <v>241</v>
      </c>
      <c r="AB1247" s="4" t="s">
        <v>241</v>
      </c>
      <c r="AD1247" s="5" t="s">
        <v>241</v>
      </c>
      <c r="AG1247" s="5" t="s">
        <v>246</v>
      </c>
      <c r="AH1247" s="4" t="s">
        <v>241</v>
      </c>
      <c r="AI1247" s="4" t="s">
        <v>247</v>
      </c>
      <c r="AJ1247" s="4" t="s">
        <v>248</v>
      </c>
      <c r="AZ1247" s="4" t="s">
        <v>249</v>
      </c>
      <c r="BA1247" s="4" t="s">
        <v>241</v>
      </c>
      <c r="BB1247" s="4" t="s">
        <v>250</v>
      </c>
      <c r="BC1247" s="4" t="s">
        <v>241</v>
      </c>
      <c r="BD1247" s="4" t="s">
        <v>252</v>
      </c>
      <c r="BE1247" s="4" t="s">
        <v>241</v>
      </c>
      <c r="BI1247" s="4" t="s">
        <v>253</v>
      </c>
      <c r="BJ1247" s="5" t="s">
        <v>246</v>
      </c>
      <c r="BK1247" s="4" t="s">
        <v>254</v>
      </c>
      <c r="BL1247" s="4" t="s">
        <v>255</v>
      </c>
      <c r="BM1247" s="4" t="s">
        <v>241</v>
      </c>
      <c r="BN1247" s="6">
        <f>0</f>
        <v>0</v>
      </c>
      <c r="BO1247" s="6">
        <f>0</f>
        <v>0</v>
      </c>
      <c r="BP1247" s="4" t="s">
        <v>256</v>
      </c>
      <c r="BQ1247" s="4" t="s">
        <v>257</v>
      </c>
      <c r="CE1247" s="4" t="s">
        <v>241</v>
      </c>
      <c r="CF1247" s="4" t="s">
        <v>241</v>
      </c>
      <c r="CJ1247" s="4" t="s">
        <v>276</v>
      </c>
      <c r="CK1247" s="4" t="s">
        <v>259</v>
      </c>
      <c r="CL1247" s="4" t="s">
        <v>241</v>
      </c>
      <c r="CO1247" s="5" t="s">
        <v>260</v>
      </c>
      <c r="CP1247" s="4" t="s">
        <v>241</v>
      </c>
      <c r="CQ1247" s="4" t="s">
        <v>261</v>
      </c>
      <c r="CR1247" s="4" t="s">
        <v>241</v>
      </c>
      <c r="CS1247" s="4" t="s">
        <v>241</v>
      </c>
      <c r="CT1247" s="4">
        <v>0</v>
      </c>
      <c r="CU1247" s="4" t="s">
        <v>262</v>
      </c>
      <c r="CV1247" s="4" t="s">
        <v>263</v>
      </c>
      <c r="CW1247" s="4" t="s">
        <v>263</v>
      </c>
      <c r="CX1247" s="4" t="s">
        <v>264</v>
      </c>
      <c r="DA1247" s="6">
        <f>1</f>
        <v>1</v>
      </c>
      <c r="DC1247" s="4" t="s">
        <v>277</v>
      </c>
      <c r="DD1247" s="4" t="s">
        <v>241</v>
      </c>
      <c r="DF1247" s="4" t="s">
        <v>277</v>
      </c>
      <c r="DG1247" s="6">
        <f>501</f>
        <v>501</v>
      </c>
      <c r="DI1247" s="4" t="s">
        <v>241</v>
      </c>
      <c r="DJ1247" s="4" t="s">
        <v>241</v>
      </c>
      <c r="DK1247" s="4" t="s">
        <v>241</v>
      </c>
      <c r="DL1247" s="4" t="s">
        <v>241</v>
      </c>
      <c r="DP1247" s="4" t="s">
        <v>241</v>
      </c>
      <c r="DQ1247" s="4" t="s">
        <v>241</v>
      </c>
      <c r="DR1247" s="4" t="s">
        <v>241</v>
      </c>
      <c r="DS1247" s="4" t="s">
        <v>241</v>
      </c>
      <c r="DV1247" s="4" t="s">
        <v>278</v>
      </c>
      <c r="DW1247" s="4" t="s">
        <v>1750</v>
      </c>
      <c r="HO1247" s="4" t="s">
        <v>267</v>
      </c>
    </row>
    <row r="1248" spans="1:223" ht="19.5" customHeight="1" x14ac:dyDescent="0.4">
      <c r="A1248" s="4">
        <v>1</v>
      </c>
      <c r="B1248" s="4" t="s">
        <v>239</v>
      </c>
      <c r="C1248" s="4">
        <v>2922</v>
      </c>
      <c r="D1248" s="4">
        <v>1</v>
      </c>
      <c r="E1248" s="4">
        <v>1</v>
      </c>
      <c r="F1248" s="4" t="s">
        <v>268</v>
      </c>
      <c r="G1248" s="4" t="s">
        <v>241</v>
      </c>
      <c r="H1248" s="4" t="s">
        <v>241</v>
      </c>
      <c r="I1248" s="4" t="s">
        <v>272</v>
      </c>
      <c r="J1248" s="4" t="s">
        <v>274</v>
      </c>
      <c r="K1248" s="4" t="s">
        <v>251</v>
      </c>
      <c r="L1248" s="4" t="s">
        <v>269</v>
      </c>
      <c r="M1248" s="5" t="s">
        <v>1016</v>
      </c>
      <c r="N1248" s="6">
        <f>2149</f>
        <v>2149</v>
      </c>
      <c r="O1248" s="4" t="s">
        <v>265</v>
      </c>
      <c r="P1248" s="6">
        <f>1</f>
        <v>1</v>
      </c>
      <c r="Q1248" s="6">
        <f>0</f>
        <v>0</v>
      </c>
      <c r="S1248" s="6">
        <f>0</f>
        <v>0</v>
      </c>
      <c r="T1248" s="6">
        <f>1</f>
        <v>1</v>
      </c>
      <c r="U1248" s="5" t="s">
        <v>245</v>
      </c>
      <c r="V1248" s="4" t="s">
        <v>270</v>
      </c>
      <c r="W1248" s="4" t="s">
        <v>271</v>
      </c>
      <c r="X1248" s="4" t="s">
        <v>273</v>
      </c>
      <c r="Y1248" s="4" t="s">
        <v>241</v>
      </c>
      <c r="AB1248" s="4" t="s">
        <v>241</v>
      </c>
      <c r="AD1248" s="5" t="s">
        <v>241</v>
      </c>
      <c r="AG1248" s="5" t="s">
        <v>246</v>
      </c>
      <c r="AH1248" s="4" t="s">
        <v>241</v>
      </c>
      <c r="AI1248" s="4" t="s">
        <v>247</v>
      </c>
      <c r="AJ1248" s="4" t="s">
        <v>248</v>
      </c>
      <c r="AZ1248" s="4" t="s">
        <v>249</v>
      </c>
      <c r="BA1248" s="4" t="s">
        <v>241</v>
      </c>
      <c r="BB1248" s="4" t="s">
        <v>250</v>
      </c>
      <c r="BC1248" s="4" t="s">
        <v>241</v>
      </c>
      <c r="BD1248" s="4" t="s">
        <v>252</v>
      </c>
      <c r="BE1248" s="4" t="s">
        <v>241</v>
      </c>
      <c r="BI1248" s="4" t="s">
        <v>253</v>
      </c>
      <c r="BJ1248" s="5" t="s">
        <v>246</v>
      </c>
      <c r="BK1248" s="4" t="s">
        <v>254</v>
      </c>
      <c r="BL1248" s="4" t="s">
        <v>255</v>
      </c>
      <c r="BM1248" s="4" t="s">
        <v>241</v>
      </c>
      <c r="BN1248" s="6">
        <f>0</f>
        <v>0</v>
      </c>
      <c r="BO1248" s="6">
        <f>0</f>
        <v>0</v>
      </c>
      <c r="BP1248" s="4" t="s">
        <v>256</v>
      </c>
      <c r="BQ1248" s="4" t="s">
        <v>257</v>
      </c>
      <c r="CE1248" s="4" t="s">
        <v>241</v>
      </c>
      <c r="CF1248" s="4" t="s">
        <v>241</v>
      </c>
      <c r="CJ1248" s="4" t="s">
        <v>276</v>
      </c>
      <c r="CK1248" s="4" t="s">
        <v>259</v>
      </c>
      <c r="CL1248" s="4" t="s">
        <v>241</v>
      </c>
      <c r="CO1248" s="5" t="s">
        <v>260</v>
      </c>
      <c r="CP1248" s="4" t="s">
        <v>241</v>
      </c>
      <c r="CQ1248" s="4" t="s">
        <v>261</v>
      </c>
      <c r="CR1248" s="4" t="s">
        <v>241</v>
      </c>
      <c r="CS1248" s="4" t="s">
        <v>241</v>
      </c>
      <c r="CT1248" s="4">
        <v>0</v>
      </c>
      <c r="CU1248" s="4" t="s">
        <v>262</v>
      </c>
      <c r="CV1248" s="4" t="s">
        <v>263</v>
      </c>
      <c r="CW1248" s="4" t="s">
        <v>263</v>
      </c>
      <c r="CX1248" s="4" t="s">
        <v>264</v>
      </c>
      <c r="DA1248" s="6">
        <f>1</f>
        <v>1</v>
      </c>
      <c r="DC1248" s="4" t="s">
        <v>277</v>
      </c>
      <c r="DD1248" s="4" t="s">
        <v>241</v>
      </c>
      <c r="DF1248" s="4" t="s">
        <v>277</v>
      </c>
      <c r="DG1248" s="6">
        <f>2149</f>
        <v>2149</v>
      </c>
      <c r="DI1248" s="4" t="s">
        <v>241</v>
      </c>
      <c r="DJ1248" s="4" t="s">
        <v>241</v>
      </c>
      <c r="DK1248" s="4" t="s">
        <v>241</v>
      </c>
      <c r="DL1248" s="4" t="s">
        <v>241</v>
      </c>
      <c r="DP1248" s="4" t="s">
        <v>241</v>
      </c>
      <c r="DQ1248" s="4" t="s">
        <v>241</v>
      </c>
      <c r="DR1248" s="4" t="s">
        <v>241</v>
      </c>
      <c r="DS1248" s="4" t="s">
        <v>241</v>
      </c>
      <c r="DV1248" s="4" t="s">
        <v>278</v>
      </c>
      <c r="DW1248" s="4" t="s">
        <v>1017</v>
      </c>
      <c r="HO1248" s="4" t="s">
        <v>267</v>
      </c>
    </row>
    <row r="1249" spans="1:223" ht="19.5" customHeight="1" x14ac:dyDescent="0.4">
      <c r="A1249" s="4">
        <v>1</v>
      </c>
      <c r="B1249" s="4" t="s">
        <v>239</v>
      </c>
      <c r="C1249" s="4">
        <v>2923</v>
      </c>
      <c r="D1249" s="4">
        <v>1</v>
      </c>
      <c r="E1249" s="4">
        <v>1</v>
      </c>
      <c r="F1249" s="4" t="s">
        <v>268</v>
      </c>
      <c r="G1249" s="4" t="s">
        <v>241</v>
      </c>
      <c r="H1249" s="4" t="s">
        <v>241</v>
      </c>
      <c r="I1249" s="4" t="s">
        <v>272</v>
      </c>
      <c r="J1249" s="4" t="s">
        <v>274</v>
      </c>
      <c r="K1249" s="4" t="s">
        <v>251</v>
      </c>
      <c r="L1249" s="4" t="s">
        <v>269</v>
      </c>
      <c r="M1249" s="5" t="s">
        <v>2792</v>
      </c>
      <c r="N1249" s="6">
        <f>1092</f>
        <v>1092</v>
      </c>
      <c r="O1249" s="4" t="s">
        <v>265</v>
      </c>
      <c r="P1249" s="6">
        <f>1</f>
        <v>1</v>
      </c>
      <c r="Q1249" s="6">
        <f>0</f>
        <v>0</v>
      </c>
      <c r="S1249" s="6">
        <f>0</f>
        <v>0</v>
      </c>
      <c r="T1249" s="6">
        <f>1</f>
        <v>1</v>
      </c>
      <c r="U1249" s="5" t="s">
        <v>245</v>
      </c>
      <c r="V1249" s="4" t="s">
        <v>270</v>
      </c>
      <c r="W1249" s="4" t="s">
        <v>271</v>
      </c>
      <c r="X1249" s="4" t="s">
        <v>273</v>
      </c>
      <c r="Y1249" s="4" t="s">
        <v>241</v>
      </c>
      <c r="AB1249" s="4" t="s">
        <v>241</v>
      </c>
      <c r="AD1249" s="5" t="s">
        <v>241</v>
      </c>
      <c r="AG1249" s="5" t="s">
        <v>246</v>
      </c>
      <c r="AH1249" s="4" t="s">
        <v>241</v>
      </c>
      <c r="AI1249" s="4" t="s">
        <v>247</v>
      </c>
      <c r="AJ1249" s="4" t="s">
        <v>248</v>
      </c>
      <c r="AZ1249" s="4" t="s">
        <v>249</v>
      </c>
      <c r="BA1249" s="4" t="s">
        <v>241</v>
      </c>
      <c r="BB1249" s="4" t="s">
        <v>250</v>
      </c>
      <c r="BC1249" s="4" t="s">
        <v>241</v>
      </c>
      <c r="BD1249" s="4" t="s">
        <v>252</v>
      </c>
      <c r="BE1249" s="4" t="s">
        <v>241</v>
      </c>
      <c r="BI1249" s="4" t="s">
        <v>253</v>
      </c>
      <c r="BJ1249" s="5" t="s">
        <v>246</v>
      </c>
      <c r="BK1249" s="4" t="s">
        <v>254</v>
      </c>
      <c r="BL1249" s="4" t="s">
        <v>255</v>
      </c>
      <c r="BM1249" s="4" t="s">
        <v>241</v>
      </c>
      <c r="BN1249" s="6">
        <f>0</f>
        <v>0</v>
      </c>
      <c r="BO1249" s="6">
        <f>0</f>
        <v>0</v>
      </c>
      <c r="BP1249" s="4" t="s">
        <v>256</v>
      </c>
      <c r="BQ1249" s="4" t="s">
        <v>257</v>
      </c>
      <c r="CE1249" s="4" t="s">
        <v>241</v>
      </c>
      <c r="CF1249" s="4" t="s">
        <v>241</v>
      </c>
      <c r="CJ1249" s="4" t="s">
        <v>276</v>
      </c>
      <c r="CK1249" s="4" t="s">
        <v>259</v>
      </c>
      <c r="CL1249" s="4" t="s">
        <v>241</v>
      </c>
      <c r="CO1249" s="5" t="s">
        <v>260</v>
      </c>
      <c r="CP1249" s="4" t="s">
        <v>241</v>
      </c>
      <c r="CQ1249" s="4" t="s">
        <v>261</v>
      </c>
      <c r="CR1249" s="4" t="s">
        <v>241</v>
      </c>
      <c r="CS1249" s="4" t="s">
        <v>241</v>
      </c>
      <c r="CT1249" s="4">
        <v>0</v>
      </c>
      <c r="CU1249" s="4" t="s">
        <v>262</v>
      </c>
      <c r="CV1249" s="4" t="s">
        <v>263</v>
      </c>
      <c r="CW1249" s="4" t="s">
        <v>263</v>
      </c>
      <c r="CX1249" s="4" t="s">
        <v>264</v>
      </c>
      <c r="DA1249" s="6">
        <f>1</f>
        <v>1</v>
      </c>
      <c r="DC1249" s="4" t="s">
        <v>277</v>
      </c>
      <c r="DD1249" s="4" t="s">
        <v>241</v>
      </c>
      <c r="DF1249" s="4" t="s">
        <v>277</v>
      </c>
      <c r="DG1249" s="6">
        <f>1092</f>
        <v>1092</v>
      </c>
      <c r="DI1249" s="4" t="s">
        <v>241</v>
      </c>
      <c r="DJ1249" s="4" t="s">
        <v>241</v>
      </c>
      <c r="DK1249" s="4" t="s">
        <v>241</v>
      </c>
      <c r="DL1249" s="4" t="s">
        <v>241</v>
      </c>
      <c r="DP1249" s="4" t="s">
        <v>241</v>
      </c>
      <c r="DQ1249" s="4" t="s">
        <v>241</v>
      </c>
      <c r="DR1249" s="4" t="s">
        <v>241</v>
      </c>
      <c r="DS1249" s="4" t="s">
        <v>241</v>
      </c>
      <c r="DV1249" s="4" t="s">
        <v>278</v>
      </c>
      <c r="DW1249" s="4" t="s">
        <v>2793</v>
      </c>
      <c r="HO1249" s="4" t="s">
        <v>267</v>
      </c>
    </row>
    <row r="1250" spans="1:223" ht="19.5" customHeight="1" x14ac:dyDescent="0.4">
      <c r="A1250" s="4">
        <v>1</v>
      </c>
      <c r="B1250" s="4" t="s">
        <v>239</v>
      </c>
      <c r="C1250" s="4">
        <v>2924</v>
      </c>
      <c r="D1250" s="4">
        <v>1</v>
      </c>
      <c r="E1250" s="4">
        <v>1</v>
      </c>
      <c r="F1250" s="4" t="s">
        <v>268</v>
      </c>
      <c r="G1250" s="4" t="s">
        <v>241</v>
      </c>
      <c r="H1250" s="4" t="s">
        <v>241</v>
      </c>
      <c r="I1250" s="4" t="s">
        <v>272</v>
      </c>
      <c r="J1250" s="4" t="s">
        <v>274</v>
      </c>
      <c r="K1250" s="4" t="s">
        <v>251</v>
      </c>
      <c r="L1250" s="4" t="s">
        <v>269</v>
      </c>
      <c r="M1250" s="5" t="s">
        <v>2919</v>
      </c>
      <c r="N1250" s="6">
        <f>6011</f>
        <v>6011</v>
      </c>
      <c r="O1250" s="4" t="s">
        <v>265</v>
      </c>
      <c r="P1250" s="6">
        <f>1</f>
        <v>1</v>
      </c>
      <c r="Q1250" s="6">
        <f>0</f>
        <v>0</v>
      </c>
      <c r="S1250" s="6">
        <f>0</f>
        <v>0</v>
      </c>
      <c r="T1250" s="6">
        <f>1</f>
        <v>1</v>
      </c>
      <c r="U1250" s="5" t="s">
        <v>245</v>
      </c>
      <c r="V1250" s="4" t="s">
        <v>270</v>
      </c>
      <c r="W1250" s="4" t="s">
        <v>271</v>
      </c>
      <c r="X1250" s="4" t="s">
        <v>273</v>
      </c>
      <c r="Y1250" s="4" t="s">
        <v>241</v>
      </c>
      <c r="AB1250" s="4" t="s">
        <v>241</v>
      </c>
      <c r="AD1250" s="5" t="s">
        <v>241</v>
      </c>
      <c r="AG1250" s="5" t="s">
        <v>246</v>
      </c>
      <c r="AH1250" s="4" t="s">
        <v>241</v>
      </c>
      <c r="AI1250" s="4" t="s">
        <v>247</v>
      </c>
      <c r="AJ1250" s="4" t="s">
        <v>248</v>
      </c>
      <c r="AZ1250" s="4" t="s">
        <v>249</v>
      </c>
      <c r="BA1250" s="4" t="s">
        <v>241</v>
      </c>
      <c r="BB1250" s="4" t="s">
        <v>250</v>
      </c>
      <c r="BC1250" s="4" t="s">
        <v>241</v>
      </c>
      <c r="BD1250" s="4" t="s">
        <v>252</v>
      </c>
      <c r="BE1250" s="4" t="s">
        <v>241</v>
      </c>
      <c r="BI1250" s="4" t="s">
        <v>253</v>
      </c>
      <c r="BJ1250" s="5" t="s">
        <v>246</v>
      </c>
      <c r="BK1250" s="4" t="s">
        <v>254</v>
      </c>
      <c r="BL1250" s="4" t="s">
        <v>255</v>
      </c>
      <c r="BM1250" s="4" t="s">
        <v>241</v>
      </c>
      <c r="BN1250" s="6">
        <f>0</f>
        <v>0</v>
      </c>
      <c r="BO1250" s="6">
        <f>0</f>
        <v>0</v>
      </c>
      <c r="BP1250" s="4" t="s">
        <v>256</v>
      </c>
      <c r="BQ1250" s="4" t="s">
        <v>257</v>
      </c>
      <c r="CE1250" s="4" t="s">
        <v>241</v>
      </c>
      <c r="CF1250" s="4" t="s">
        <v>241</v>
      </c>
      <c r="CJ1250" s="4" t="s">
        <v>276</v>
      </c>
      <c r="CK1250" s="4" t="s">
        <v>259</v>
      </c>
      <c r="CL1250" s="4" t="s">
        <v>241</v>
      </c>
      <c r="CO1250" s="5" t="s">
        <v>260</v>
      </c>
      <c r="CP1250" s="4" t="s">
        <v>241</v>
      </c>
      <c r="CQ1250" s="4" t="s">
        <v>261</v>
      </c>
      <c r="CR1250" s="4" t="s">
        <v>241</v>
      </c>
      <c r="CS1250" s="4" t="s">
        <v>241</v>
      </c>
      <c r="CT1250" s="4">
        <v>0</v>
      </c>
      <c r="CU1250" s="4" t="s">
        <v>262</v>
      </c>
      <c r="CV1250" s="4" t="s">
        <v>263</v>
      </c>
      <c r="CW1250" s="4" t="s">
        <v>263</v>
      </c>
      <c r="CX1250" s="4" t="s">
        <v>264</v>
      </c>
      <c r="DA1250" s="6">
        <f>1</f>
        <v>1</v>
      </c>
      <c r="DC1250" s="4" t="s">
        <v>277</v>
      </c>
      <c r="DD1250" s="4" t="s">
        <v>241</v>
      </c>
      <c r="DF1250" s="4" t="s">
        <v>277</v>
      </c>
      <c r="DG1250" s="6">
        <f>6011</f>
        <v>6011</v>
      </c>
      <c r="DI1250" s="4" t="s">
        <v>241</v>
      </c>
      <c r="DJ1250" s="4" t="s">
        <v>241</v>
      </c>
      <c r="DK1250" s="4" t="s">
        <v>241</v>
      </c>
      <c r="DL1250" s="4" t="s">
        <v>241</v>
      </c>
      <c r="DP1250" s="4" t="s">
        <v>241</v>
      </c>
      <c r="DQ1250" s="4" t="s">
        <v>241</v>
      </c>
      <c r="DR1250" s="4" t="s">
        <v>241</v>
      </c>
      <c r="DS1250" s="4" t="s">
        <v>241</v>
      </c>
      <c r="DV1250" s="4" t="s">
        <v>278</v>
      </c>
      <c r="DW1250" s="4" t="s">
        <v>2920</v>
      </c>
      <c r="HO1250" s="4" t="s">
        <v>267</v>
      </c>
    </row>
    <row r="1251" spans="1:223" ht="19.5" customHeight="1" x14ac:dyDescent="0.4">
      <c r="A1251" s="4">
        <v>1</v>
      </c>
      <c r="B1251" s="4" t="s">
        <v>239</v>
      </c>
      <c r="C1251" s="4">
        <v>2925</v>
      </c>
      <c r="D1251" s="4">
        <v>1</v>
      </c>
      <c r="E1251" s="4">
        <v>1</v>
      </c>
      <c r="F1251" s="4" t="s">
        <v>268</v>
      </c>
      <c r="G1251" s="4" t="s">
        <v>241</v>
      </c>
      <c r="H1251" s="4" t="s">
        <v>241</v>
      </c>
      <c r="I1251" s="4" t="s">
        <v>272</v>
      </c>
      <c r="J1251" s="4" t="s">
        <v>274</v>
      </c>
      <c r="K1251" s="4" t="s">
        <v>251</v>
      </c>
      <c r="L1251" s="4" t="s">
        <v>269</v>
      </c>
      <c r="M1251" s="5" t="s">
        <v>2708</v>
      </c>
      <c r="N1251" s="6">
        <f>933</f>
        <v>933</v>
      </c>
      <c r="O1251" s="4" t="s">
        <v>265</v>
      </c>
      <c r="P1251" s="6">
        <f>1</f>
        <v>1</v>
      </c>
      <c r="Q1251" s="6">
        <f>0</f>
        <v>0</v>
      </c>
      <c r="S1251" s="6">
        <f>0</f>
        <v>0</v>
      </c>
      <c r="T1251" s="6">
        <f>1</f>
        <v>1</v>
      </c>
      <c r="U1251" s="5" t="s">
        <v>245</v>
      </c>
      <c r="V1251" s="4" t="s">
        <v>270</v>
      </c>
      <c r="W1251" s="4" t="s">
        <v>271</v>
      </c>
      <c r="X1251" s="4" t="s">
        <v>273</v>
      </c>
      <c r="Y1251" s="4" t="s">
        <v>241</v>
      </c>
      <c r="AB1251" s="4" t="s">
        <v>241</v>
      </c>
      <c r="AD1251" s="5" t="s">
        <v>241</v>
      </c>
      <c r="AG1251" s="5" t="s">
        <v>246</v>
      </c>
      <c r="AH1251" s="4" t="s">
        <v>241</v>
      </c>
      <c r="AI1251" s="4" t="s">
        <v>247</v>
      </c>
      <c r="AJ1251" s="4" t="s">
        <v>248</v>
      </c>
      <c r="AZ1251" s="4" t="s">
        <v>249</v>
      </c>
      <c r="BA1251" s="4" t="s">
        <v>241</v>
      </c>
      <c r="BB1251" s="4" t="s">
        <v>250</v>
      </c>
      <c r="BC1251" s="4" t="s">
        <v>241</v>
      </c>
      <c r="BD1251" s="4" t="s">
        <v>252</v>
      </c>
      <c r="BE1251" s="4" t="s">
        <v>241</v>
      </c>
      <c r="BI1251" s="4" t="s">
        <v>253</v>
      </c>
      <c r="BJ1251" s="5" t="s">
        <v>246</v>
      </c>
      <c r="BK1251" s="4" t="s">
        <v>254</v>
      </c>
      <c r="BL1251" s="4" t="s">
        <v>255</v>
      </c>
      <c r="BM1251" s="4" t="s">
        <v>241</v>
      </c>
      <c r="BN1251" s="6">
        <f>0</f>
        <v>0</v>
      </c>
      <c r="BO1251" s="6">
        <f>0</f>
        <v>0</v>
      </c>
      <c r="BP1251" s="4" t="s">
        <v>256</v>
      </c>
      <c r="BQ1251" s="4" t="s">
        <v>257</v>
      </c>
      <c r="CE1251" s="4" t="s">
        <v>241</v>
      </c>
      <c r="CF1251" s="4" t="s">
        <v>241</v>
      </c>
      <c r="CJ1251" s="4" t="s">
        <v>276</v>
      </c>
      <c r="CK1251" s="4" t="s">
        <v>259</v>
      </c>
      <c r="CL1251" s="4" t="s">
        <v>241</v>
      </c>
      <c r="CO1251" s="5" t="s">
        <v>260</v>
      </c>
      <c r="CP1251" s="4" t="s">
        <v>241</v>
      </c>
      <c r="CQ1251" s="4" t="s">
        <v>261</v>
      </c>
      <c r="CR1251" s="4" t="s">
        <v>241</v>
      </c>
      <c r="CS1251" s="4" t="s">
        <v>241</v>
      </c>
      <c r="CT1251" s="4">
        <v>0</v>
      </c>
      <c r="CU1251" s="4" t="s">
        <v>262</v>
      </c>
      <c r="CV1251" s="4" t="s">
        <v>263</v>
      </c>
      <c r="CW1251" s="4" t="s">
        <v>263</v>
      </c>
      <c r="CX1251" s="4" t="s">
        <v>264</v>
      </c>
      <c r="DA1251" s="6">
        <f>1</f>
        <v>1</v>
      </c>
      <c r="DC1251" s="4" t="s">
        <v>277</v>
      </c>
      <c r="DD1251" s="4" t="s">
        <v>241</v>
      </c>
      <c r="DF1251" s="4" t="s">
        <v>277</v>
      </c>
      <c r="DG1251" s="6">
        <f>933</f>
        <v>933</v>
      </c>
      <c r="DI1251" s="4" t="s">
        <v>241</v>
      </c>
      <c r="DJ1251" s="4" t="s">
        <v>241</v>
      </c>
      <c r="DK1251" s="4" t="s">
        <v>241</v>
      </c>
      <c r="DL1251" s="4" t="s">
        <v>241</v>
      </c>
      <c r="DP1251" s="4" t="s">
        <v>241</v>
      </c>
      <c r="DQ1251" s="4" t="s">
        <v>241</v>
      </c>
      <c r="DR1251" s="4" t="s">
        <v>241</v>
      </c>
      <c r="DS1251" s="4" t="s">
        <v>241</v>
      </c>
      <c r="DV1251" s="4" t="s">
        <v>278</v>
      </c>
      <c r="DW1251" s="4" t="s">
        <v>2709</v>
      </c>
      <c r="HO1251" s="4" t="s">
        <v>267</v>
      </c>
    </row>
    <row r="1252" spans="1:223" ht="19.5" customHeight="1" x14ac:dyDescent="0.4">
      <c r="A1252" s="4">
        <v>1</v>
      </c>
      <c r="B1252" s="4" t="s">
        <v>239</v>
      </c>
      <c r="C1252" s="4">
        <v>2926</v>
      </c>
      <c r="D1252" s="4">
        <v>1</v>
      </c>
      <c r="E1252" s="4">
        <v>1</v>
      </c>
      <c r="F1252" s="4" t="s">
        <v>268</v>
      </c>
      <c r="G1252" s="4" t="s">
        <v>241</v>
      </c>
      <c r="H1252" s="4" t="s">
        <v>241</v>
      </c>
      <c r="I1252" s="4" t="s">
        <v>272</v>
      </c>
      <c r="J1252" s="4" t="s">
        <v>274</v>
      </c>
      <c r="K1252" s="4" t="s">
        <v>251</v>
      </c>
      <c r="L1252" s="4" t="s">
        <v>269</v>
      </c>
      <c r="M1252" s="5" t="s">
        <v>2620</v>
      </c>
      <c r="N1252" s="6">
        <f>1942</f>
        <v>1942</v>
      </c>
      <c r="O1252" s="4" t="s">
        <v>265</v>
      </c>
      <c r="P1252" s="6">
        <f>1</f>
        <v>1</v>
      </c>
      <c r="Q1252" s="6">
        <f>0</f>
        <v>0</v>
      </c>
      <c r="S1252" s="6">
        <f>0</f>
        <v>0</v>
      </c>
      <c r="T1252" s="6">
        <f>1</f>
        <v>1</v>
      </c>
      <c r="U1252" s="5" t="s">
        <v>245</v>
      </c>
      <c r="V1252" s="4" t="s">
        <v>270</v>
      </c>
      <c r="W1252" s="4" t="s">
        <v>271</v>
      </c>
      <c r="X1252" s="4" t="s">
        <v>273</v>
      </c>
      <c r="Y1252" s="4" t="s">
        <v>241</v>
      </c>
      <c r="AB1252" s="4" t="s">
        <v>241</v>
      </c>
      <c r="AD1252" s="5" t="s">
        <v>241</v>
      </c>
      <c r="AG1252" s="5" t="s">
        <v>246</v>
      </c>
      <c r="AH1252" s="4" t="s">
        <v>241</v>
      </c>
      <c r="AI1252" s="4" t="s">
        <v>247</v>
      </c>
      <c r="AJ1252" s="4" t="s">
        <v>248</v>
      </c>
      <c r="AZ1252" s="4" t="s">
        <v>249</v>
      </c>
      <c r="BA1252" s="4" t="s">
        <v>241</v>
      </c>
      <c r="BB1252" s="4" t="s">
        <v>250</v>
      </c>
      <c r="BC1252" s="4" t="s">
        <v>241</v>
      </c>
      <c r="BD1252" s="4" t="s">
        <v>252</v>
      </c>
      <c r="BE1252" s="4" t="s">
        <v>241</v>
      </c>
      <c r="BI1252" s="4" t="s">
        <v>253</v>
      </c>
      <c r="BJ1252" s="5" t="s">
        <v>246</v>
      </c>
      <c r="BK1252" s="4" t="s">
        <v>254</v>
      </c>
      <c r="BL1252" s="4" t="s">
        <v>255</v>
      </c>
      <c r="BM1252" s="4" t="s">
        <v>241</v>
      </c>
      <c r="BN1252" s="6">
        <f>0</f>
        <v>0</v>
      </c>
      <c r="BO1252" s="6">
        <f>0</f>
        <v>0</v>
      </c>
      <c r="BP1252" s="4" t="s">
        <v>256</v>
      </c>
      <c r="BQ1252" s="4" t="s">
        <v>257</v>
      </c>
      <c r="CE1252" s="4" t="s">
        <v>241</v>
      </c>
      <c r="CF1252" s="4" t="s">
        <v>241</v>
      </c>
      <c r="CJ1252" s="4" t="s">
        <v>276</v>
      </c>
      <c r="CK1252" s="4" t="s">
        <v>259</v>
      </c>
      <c r="CL1252" s="4" t="s">
        <v>241</v>
      </c>
      <c r="CO1252" s="5" t="s">
        <v>260</v>
      </c>
      <c r="CP1252" s="4" t="s">
        <v>241</v>
      </c>
      <c r="CQ1252" s="4" t="s">
        <v>261</v>
      </c>
      <c r="CR1252" s="4" t="s">
        <v>241</v>
      </c>
      <c r="CS1252" s="4" t="s">
        <v>241</v>
      </c>
      <c r="CT1252" s="4">
        <v>0</v>
      </c>
      <c r="CU1252" s="4" t="s">
        <v>262</v>
      </c>
      <c r="CV1252" s="4" t="s">
        <v>263</v>
      </c>
      <c r="CW1252" s="4" t="s">
        <v>263</v>
      </c>
      <c r="CX1252" s="4" t="s">
        <v>264</v>
      </c>
      <c r="DA1252" s="6">
        <f>1</f>
        <v>1</v>
      </c>
      <c r="DC1252" s="4" t="s">
        <v>277</v>
      </c>
      <c r="DD1252" s="4" t="s">
        <v>241</v>
      </c>
      <c r="DF1252" s="4" t="s">
        <v>277</v>
      </c>
      <c r="DG1252" s="6">
        <f>1942</f>
        <v>1942</v>
      </c>
      <c r="DI1252" s="4" t="s">
        <v>241</v>
      </c>
      <c r="DJ1252" s="4" t="s">
        <v>241</v>
      </c>
      <c r="DK1252" s="4" t="s">
        <v>241</v>
      </c>
      <c r="DL1252" s="4" t="s">
        <v>241</v>
      </c>
      <c r="DP1252" s="4" t="s">
        <v>241</v>
      </c>
      <c r="DQ1252" s="4" t="s">
        <v>241</v>
      </c>
      <c r="DR1252" s="4" t="s">
        <v>241</v>
      </c>
      <c r="DS1252" s="4" t="s">
        <v>241</v>
      </c>
      <c r="DV1252" s="4" t="s">
        <v>278</v>
      </c>
      <c r="DW1252" s="4" t="s">
        <v>2621</v>
      </c>
      <c r="HO1252" s="4" t="s">
        <v>267</v>
      </c>
    </row>
    <row r="1253" spans="1:223" ht="19.5" customHeight="1" x14ac:dyDescent="0.4">
      <c r="A1253" s="4">
        <v>1</v>
      </c>
      <c r="B1253" s="4" t="s">
        <v>239</v>
      </c>
      <c r="C1253" s="4">
        <v>2927</v>
      </c>
      <c r="D1253" s="4">
        <v>1</v>
      </c>
      <c r="E1253" s="4">
        <v>1</v>
      </c>
      <c r="F1253" s="4" t="s">
        <v>268</v>
      </c>
      <c r="G1253" s="4" t="s">
        <v>241</v>
      </c>
      <c r="H1253" s="4" t="s">
        <v>241</v>
      </c>
      <c r="I1253" s="4" t="s">
        <v>272</v>
      </c>
      <c r="J1253" s="4" t="s">
        <v>274</v>
      </c>
      <c r="K1253" s="4" t="s">
        <v>251</v>
      </c>
      <c r="L1253" s="4" t="s">
        <v>269</v>
      </c>
      <c r="M1253" s="5" t="s">
        <v>2590</v>
      </c>
      <c r="N1253" s="6">
        <f>2220</f>
        <v>2220</v>
      </c>
      <c r="O1253" s="4" t="s">
        <v>265</v>
      </c>
      <c r="P1253" s="6">
        <f>1</f>
        <v>1</v>
      </c>
      <c r="Q1253" s="6">
        <f>0</f>
        <v>0</v>
      </c>
      <c r="S1253" s="6">
        <f>0</f>
        <v>0</v>
      </c>
      <c r="T1253" s="6">
        <f>1</f>
        <v>1</v>
      </c>
      <c r="U1253" s="5" t="s">
        <v>245</v>
      </c>
      <c r="V1253" s="4" t="s">
        <v>270</v>
      </c>
      <c r="W1253" s="4" t="s">
        <v>271</v>
      </c>
      <c r="X1253" s="4" t="s">
        <v>273</v>
      </c>
      <c r="Y1253" s="4" t="s">
        <v>241</v>
      </c>
      <c r="AB1253" s="4" t="s">
        <v>241</v>
      </c>
      <c r="AD1253" s="5" t="s">
        <v>241</v>
      </c>
      <c r="AG1253" s="5" t="s">
        <v>246</v>
      </c>
      <c r="AH1253" s="4" t="s">
        <v>241</v>
      </c>
      <c r="AI1253" s="4" t="s">
        <v>247</v>
      </c>
      <c r="AJ1253" s="4" t="s">
        <v>248</v>
      </c>
      <c r="AZ1253" s="4" t="s">
        <v>249</v>
      </c>
      <c r="BA1253" s="4" t="s">
        <v>241</v>
      </c>
      <c r="BB1253" s="4" t="s">
        <v>250</v>
      </c>
      <c r="BC1253" s="4" t="s">
        <v>241</v>
      </c>
      <c r="BD1253" s="4" t="s">
        <v>252</v>
      </c>
      <c r="BE1253" s="4" t="s">
        <v>241</v>
      </c>
      <c r="BI1253" s="4" t="s">
        <v>253</v>
      </c>
      <c r="BJ1253" s="5" t="s">
        <v>246</v>
      </c>
      <c r="BK1253" s="4" t="s">
        <v>254</v>
      </c>
      <c r="BL1253" s="4" t="s">
        <v>255</v>
      </c>
      <c r="BM1253" s="4" t="s">
        <v>241</v>
      </c>
      <c r="BN1253" s="6">
        <f>0</f>
        <v>0</v>
      </c>
      <c r="BO1253" s="6">
        <f>0</f>
        <v>0</v>
      </c>
      <c r="BP1253" s="4" t="s">
        <v>256</v>
      </c>
      <c r="BQ1253" s="4" t="s">
        <v>257</v>
      </c>
      <c r="CE1253" s="4" t="s">
        <v>241</v>
      </c>
      <c r="CF1253" s="4" t="s">
        <v>241</v>
      </c>
      <c r="CJ1253" s="4" t="s">
        <v>276</v>
      </c>
      <c r="CK1253" s="4" t="s">
        <v>259</v>
      </c>
      <c r="CL1253" s="4" t="s">
        <v>241</v>
      </c>
      <c r="CO1253" s="5" t="s">
        <v>260</v>
      </c>
      <c r="CP1253" s="4" t="s">
        <v>241</v>
      </c>
      <c r="CQ1253" s="4" t="s">
        <v>261</v>
      </c>
      <c r="CR1253" s="4" t="s">
        <v>241</v>
      </c>
      <c r="CS1253" s="4" t="s">
        <v>241</v>
      </c>
      <c r="CT1253" s="4">
        <v>0</v>
      </c>
      <c r="CU1253" s="4" t="s">
        <v>262</v>
      </c>
      <c r="CV1253" s="4" t="s">
        <v>263</v>
      </c>
      <c r="CW1253" s="4" t="s">
        <v>263</v>
      </c>
      <c r="CX1253" s="4" t="s">
        <v>264</v>
      </c>
      <c r="DA1253" s="6">
        <f>1</f>
        <v>1</v>
      </c>
      <c r="DC1253" s="4" t="s">
        <v>277</v>
      </c>
      <c r="DD1253" s="4" t="s">
        <v>241</v>
      </c>
      <c r="DF1253" s="4" t="s">
        <v>277</v>
      </c>
      <c r="DG1253" s="6">
        <f>2220</f>
        <v>2220</v>
      </c>
      <c r="DI1253" s="4" t="s">
        <v>241</v>
      </c>
      <c r="DJ1253" s="4" t="s">
        <v>241</v>
      </c>
      <c r="DK1253" s="4" t="s">
        <v>241</v>
      </c>
      <c r="DL1253" s="4" t="s">
        <v>241</v>
      </c>
      <c r="DP1253" s="4" t="s">
        <v>241</v>
      </c>
      <c r="DQ1253" s="4" t="s">
        <v>241</v>
      </c>
      <c r="DR1253" s="4" t="s">
        <v>241</v>
      </c>
      <c r="DS1253" s="4" t="s">
        <v>241</v>
      </c>
      <c r="DV1253" s="4" t="s">
        <v>278</v>
      </c>
      <c r="DW1253" s="4" t="s">
        <v>2591</v>
      </c>
      <c r="HO1253" s="4" t="s">
        <v>267</v>
      </c>
    </row>
    <row r="1254" spans="1:223" ht="19.5" customHeight="1" x14ac:dyDescent="0.4">
      <c r="A1254" s="4">
        <v>1</v>
      </c>
      <c r="B1254" s="4" t="s">
        <v>239</v>
      </c>
      <c r="C1254" s="4">
        <v>2928</v>
      </c>
      <c r="D1254" s="4">
        <v>1</v>
      </c>
      <c r="E1254" s="4">
        <v>1</v>
      </c>
      <c r="F1254" s="4" t="s">
        <v>268</v>
      </c>
      <c r="G1254" s="4" t="s">
        <v>241</v>
      </c>
      <c r="H1254" s="4" t="s">
        <v>241</v>
      </c>
      <c r="I1254" s="4" t="s">
        <v>272</v>
      </c>
      <c r="J1254" s="4" t="s">
        <v>274</v>
      </c>
      <c r="K1254" s="4" t="s">
        <v>251</v>
      </c>
      <c r="L1254" s="4" t="s">
        <v>269</v>
      </c>
      <c r="M1254" s="5" t="s">
        <v>1827</v>
      </c>
      <c r="N1254" s="6">
        <f>2763</f>
        <v>2763</v>
      </c>
      <c r="O1254" s="4" t="s">
        <v>265</v>
      </c>
      <c r="P1254" s="6">
        <f>1</f>
        <v>1</v>
      </c>
      <c r="Q1254" s="6">
        <f>0</f>
        <v>0</v>
      </c>
      <c r="S1254" s="6">
        <f>0</f>
        <v>0</v>
      </c>
      <c r="T1254" s="6">
        <f>1</f>
        <v>1</v>
      </c>
      <c r="U1254" s="5" t="s">
        <v>245</v>
      </c>
      <c r="V1254" s="4" t="s">
        <v>270</v>
      </c>
      <c r="W1254" s="4" t="s">
        <v>271</v>
      </c>
      <c r="X1254" s="4" t="s">
        <v>273</v>
      </c>
      <c r="Y1254" s="4" t="s">
        <v>241</v>
      </c>
      <c r="AB1254" s="4" t="s">
        <v>241</v>
      </c>
      <c r="AD1254" s="5" t="s">
        <v>241</v>
      </c>
      <c r="AG1254" s="5" t="s">
        <v>246</v>
      </c>
      <c r="AH1254" s="4" t="s">
        <v>241</v>
      </c>
      <c r="AI1254" s="4" t="s">
        <v>247</v>
      </c>
      <c r="AJ1254" s="4" t="s">
        <v>248</v>
      </c>
      <c r="AZ1254" s="4" t="s">
        <v>249</v>
      </c>
      <c r="BA1254" s="4" t="s">
        <v>241</v>
      </c>
      <c r="BB1254" s="4" t="s">
        <v>250</v>
      </c>
      <c r="BC1254" s="4" t="s">
        <v>241</v>
      </c>
      <c r="BD1254" s="4" t="s">
        <v>252</v>
      </c>
      <c r="BE1254" s="4" t="s">
        <v>241</v>
      </c>
      <c r="BI1254" s="4" t="s">
        <v>253</v>
      </c>
      <c r="BJ1254" s="5" t="s">
        <v>246</v>
      </c>
      <c r="BK1254" s="4" t="s">
        <v>254</v>
      </c>
      <c r="BL1254" s="4" t="s">
        <v>255</v>
      </c>
      <c r="BM1254" s="4" t="s">
        <v>241</v>
      </c>
      <c r="BN1254" s="6">
        <f>0</f>
        <v>0</v>
      </c>
      <c r="BO1254" s="6">
        <f>0</f>
        <v>0</v>
      </c>
      <c r="BP1254" s="4" t="s">
        <v>256</v>
      </c>
      <c r="BQ1254" s="4" t="s">
        <v>257</v>
      </c>
      <c r="CE1254" s="4" t="s">
        <v>241</v>
      </c>
      <c r="CF1254" s="4" t="s">
        <v>241</v>
      </c>
      <c r="CJ1254" s="4" t="s">
        <v>276</v>
      </c>
      <c r="CK1254" s="4" t="s">
        <v>259</v>
      </c>
      <c r="CL1254" s="4" t="s">
        <v>241</v>
      </c>
      <c r="CO1254" s="5" t="s">
        <v>260</v>
      </c>
      <c r="CP1254" s="4" t="s">
        <v>241</v>
      </c>
      <c r="CQ1254" s="4" t="s">
        <v>261</v>
      </c>
      <c r="CR1254" s="4" t="s">
        <v>241</v>
      </c>
      <c r="CS1254" s="4" t="s">
        <v>241</v>
      </c>
      <c r="CT1254" s="4">
        <v>0</v>
      </c>
      <c r="CU1254" s="4" t="s">
        <v>262</v>
      </c>
      <c r="CV1254" s="4" t="s">
        <v>263</v>
      </c>
      <c r="CW1254" s="4" t="s">
        <v>263</v>
      </c>
      <c r="CX1254" s="4" t="s">
        <v>264</v>
      </c>
      <c r="DA1254" s="6">
        <f>1</f>
        <v>1</v>
      </c>
      <c r="DC1254" s="4" t="s">
        <v>277</v>
      </c>
      <c r="DD1254" s="4" t="s">
        <v>241</v>
      </c>
      <c r="DF1254" s="4" t="s">
        <v>277</v>
      </c>
      <c r="DG1254" s="6">
        <f>2763</f>
        <v>2763</v>
      </c>
      <c r="DI1254" s="4" t="s">
        <v>241</v>
      </c>
      <c r="DJ1254" s="4" t="s">
        <v>241</v>
      </c>
      <c r="DK1254" s="4" t="s">
        <v>241</v>
      </c>
      <c r="DL1254" s="4" t="s">
        <v>241</v>
      </c>
      <c r="DP1254" s="4" t="s">
        <v>241</v>
      </c>
      <c r="DQ1254" s="4" t="s">
        <v>241</v>
      </c>
      <c r="DR1254" s="4" t="s">
        <v>241</v>
      </c>
      <c r="DS1254" s="4" t="s">
        <v>241</v>
      </c>
      <c r="DV1254" s="4" t="s">
        <v>278</v>
      </c>
      <c r="DW1254" s="4" t="s">
        <v>1828</v>
      </c>
      <c r="HO1254" s="4" t="s">
        <v>267</v>
      </c>
    </row>
    <row r="1255" spans="1:223" ht="19.5" customHeight="1" x14ac:dyDescent="0.4">
      <c r="A1255" s="4">
        <v>1</v>
      </c>
      <c r="B1255" s="4" t="s">
        <v>239</v>
      </c>
      <c r="C1255" s="4">
        <v>2929</v>
      </c>
      <c r="D1255" s="4">
        <v>1</v>
      </c>
      <c r="E1255" s="4">
        <v>1</v>
      </c>
      <c r="F1255" s="4" t="s">
        <v>268</v>
      </c>
      <c r="G1255" s="4" t="s">
        <v>241</v>
      </c>
      <c r="H1255" s="4" t="s">
        <v>241</v>
      </c>
      <c r="I1255" s="4" t="s">
        <v>272</v>
      </c>
      <c r="J1255" s="4" t="s">
        <v>274</v>
      </c>
      <c r="K1255" s="4" t="s">
        <v>251</v>
      </c>
      <c r="L1255" s="4" t="s">
        <v>269</v>
      </c>
      <c r="M1255" s="5" t="s">
        <v>2570</v>
      </c>
      <c r="N1255" s="6">
        <f>1198</f>
        <v>1198</v>
      </c>
      <c r="O1255" s="4" t="s">
        <v>265</v>
      </c>
      <c r="P1255" s="6">
        <f>1</f>
        <v>1</v>
      </c>
      <c r="Q1255" s="6">
        <f>0</f>
        <v>0</v>
      </c>
      <c r="S1255" s="6">
        <f>0</f>
        <v>0</v>
      </c>
      <c r="T1255" s="6">
        <f>1</f>
        <v>1</v>
      </c>
      <c r="U1255" s="5" t="s">
        <v>245</v>
      </c>
      <c r="V1255" s="4" t="s">
        <v>270</v>
      </c>
      <c r="W1255" s="4" t="s">
        <v>271</v>
      </c>
      <c r="X1255" s="4" t="s">
        <v>273</v>
      </c>
      <c r="Y1255" s="4" t="s">
        <v>241</v>
      </c>
      <c r="AB1255" s="4" t="s">
        <v>241</v>
      </c>
      <c r="AD1255" s="5" t="s">
        <v>241</v>
      </c>
      <c r="AG1255" s="5" t="s">
        <v>246</v>
      </c>
      <c r="AH1255" s="4" t="s">
        <v>241</v>
      </c>
      <c r="AI1255" s="4" t="s">
        <v>247</v>
      </c>
      <c r="AJ1255" s="4" t="s">
        <v>248</v>
      </c>
      <c r="AZ1255" s="4" t="s">
        <v>249</v>
      </c>
      <c r="BA1255" s="4" t="s">
        <v>241</v>
      </c>
      <c r="BB1255" s="4" t="s">
        <v>250</v>
      </c>
      <c r="BC1255" s="4" t="s">
        <v>241</v>
      </c>
      <c r="BD1255" s="4" t="s">
        <v>252</v>
      </c>
      <c r="BE1255" s="4" t="s">
        <v>241</v>
      </c>
      <c r="BI1255" s="4" t="s">
        <v>253</v>
      </c>
      <c r="BJ1255" s="5" t="s">
        <v>246</v>
      </c>
      <c r="BK1255" s="4" t="s">
        <v>254</v>
      </c>
      <c r="BL1255" s="4" t="s">
        <v>255</v>
      </c>
      <c r="BM1255" s="4" t="s">
        <v>241</v>
      </c>
      <c r="BN1255" s="6">
        <f>0</f>
        <v>0</v>
      </c>
      <c r="BO1255" s="6">
        <f>0</f>
        <v>0</v>
      </c>
      <c r="BP1255" s="4" t="s">
        <v>256</v>
      </c>
      <c r="BQ1255" s="4" t="s">
        <v>257</v>
      </c>
      <c r="CE1255" s="4" t="s">
        <v>241</v>
      </c>
      <c r="CF1255" s="4" t="s">
        <v>241</v>
      </c>
      <c r="CJ1255" s="4" t="s">
        <v>276</v>
      </c>
      <c r="CK1255" s="4" t="s">
        <v>259</v>
      </c>
      <c r="CL1255" s="4" t="s">
        <v>241</v>
      </c>
      <c r="CO1255" s="5" t="s">
        <v>260</v>
      </c>
      <c r="CP1255" s="4" t="s">
        <v>241</v>
      </c>
      <c r="CQ1255" s="4" t="s">
        <v>261</v>
      </c>
      <c r="CR1255" s="4" t="s">
        <v>241</v>
      </c>
      <c r="CS1255" s="4" t="s">
        <v>241</v>
      </c>
      <c r="CT1255" s="4">
        <v>0</v>
      </c>
      <c r="CU1255" s="4" t="s">
        <v>262</v>
      </c>
      <c r="CV1255" s="4" t="s">
        <v>263</v>
      </c>
      <c r="CW1255" s="4" t="s">
        <v>263</v>
      </c>
      <c r="CX1255" s="4" t="s">
        <v>264</v>
      </c>
      <c r="DA1255" s="6">
        <f>1</f>
        <v>1</v>
      </c>
      <c r="DC1255" s="4" t="s">
        <v>277</v>
      </c>
      <c r="DD1255" s="4" t="s">
        <v>241</v>
      </c>
      <c r="DF1255" s="4" t="s">
        <v>277</v>
      </c>
      <c r="DG1255" s="6">
        <f>1198</f>
        <v>1198</v>
      </c>
      <c r="DI1255" s="4" t="s">
        <v>241</v>
      </c>
      <c r="DJ1255" s="4" t="s">
        <v>241</v>
      </c>
      <c r="DK1255" s="4" t="s">
        <v>241</v>
      </c>
      <c r="DL1255" s="4" t="s">
        <v>241</v>
      </c>
      <c r="DP1255" s="4" t="s">
        <v>241</v>
      </c>
      <c r="DQ1255" s="4" t="s">
        <v>241</v>
      </c>
      <c r="DR1255" s="4" t="s">
        <v>241</v>
      </c>
      <c r="DS1255" s="4" t="s">
        <v>241</v>
      </c>
      <c r="DV1255" s="4" t="s">
        <v>278</v>
      </c>
      <c r="DW1255" s="4" t="s">
        <v>2571</v>
      </c>
      <c r="HO1255" s="4" t="s">
        <v>267</v>
      </c>
    </row>
    <row r="1256" spans="1:223" ht="19.5" customHeight="1" x14ac:dyDescent="0.4">
      <c r="A1256" s="4">
        <v>1</v>
      </c>
      <c r="B1256" s="4" t="s">
        <v>239</v>
      </c>
      <c r="C1256" s="4">
        <v>2930</v>
      </c>
      <c r="D1256" s="4">
        <v>1</v>
      </c>
      <c r="E1256" s="4">
        <v>1</v>
      </c>
      <c r="F1256" s="4" t="s">
        <v>268</v>
      </c>
      <c r="G1256" s="4" t="s">
        <v>241</v>
      </c>
      <c r="H1256" s="4" t="s">
        <v>241</v>
      </c>
      <c r="I1256" s="4" t="s">
        <v>272</v>
      </c>
      <c r="J1256" s="4" t="s">
        <v>274</v>
      </c>
      <c r="K1256" s="4" t="s">
        <v>251</v>
      </c>
      <c r="L1256" s="4" t="s">
        <v>269</v>
      </c>
      <c r="M1256" s="5" t="s">
        <v>1820</v>
      </c>
      <c r="N1256" s="6">
        <f>92</f>
        <v>92</v>
      </c>
      <c r="O1256" s="4" t="s">
        <v>265</v>
      </c>
      <c r="P1256" s="6">
        <f>1</f>
        <v>1</v>
      </c>
      <c r="Q1256" s="6">
        <f>0</f>
        <v>0</v>
      </c>
      <c r="S1256" s="6">
        <f>0</f>
        <v>0</v>
      </c>
      <c r="T1256" s="6">
        <f>1</f>
        <v>1</v>
      </c>
      <c r="U1256" s="5" t="s">
        <v>245</v>
      </c>
      <c r="V1256" s="4" t="s">
        <v>270</v>
      </c>
      <c r="W1256" s="4" t="s">
        <v>271</v>
      </c>
      <c r="X1256" s="4" t="s">
        <v>273</v>
      </c>
      <c r="Y1256" s="4" t="s">
        <v>241</v>
      </c>
      <c r="AB1256" s="4" t="s">
        <v>241</v>
      </c>
      <c r="AD1256" s="5" t="s">
        <v>241</v>
      </c>
      <c r="AG1256" s="5" t="s">
        <v>246</v>
      </c>
      <c r="AH1256" s="4" t="s">
        <v>241</v>
      </c>
      <c r="AI1256" s="4" t="s">
        <v>247</v>
      </c>
      <c r="AJ1256" s="4" t="s">
        <v>248</v>
      </c>
      <c r="AZ1256" s="4" t="s">
        <v>249</v>
      </c>
      <c r="BA1256" s="4" t="s">
        <v>241</v>
      </c>
      <c r="BB1256" s="4" t="s">
        <v>250</v>
      </c>
      <c r="BC1256" s="4" t="s">
        <v>241</v>
      </c>
      <c r="BD1256" s="4" t="s">
        <v>252</v>
      </c>
      <c r="BE1256" s="4" t="s">
        <v>241</v>
      </c>
      <c r="BI1256" s="4" t="s">
        <v>253</v>
      </c>
      <c r="BJ1256" s="5" t="s">
        <v>246</v>
      </c>
      <c r="BK1256" s="4" t="s">
        <v>254</v>
      </c>
      <c r="BL1256" s="4" t="s">
        <v>255</v>
      </c>
      <c r="BM1256" s="4" t="s">
        <v>241</v>
      </c>
      <c r="BN1256" s="6">
        <f>0</f>
        <v>0</v>
      </c>
      <c r="BO1256" s="6">
        <f>0</f>
        <v>0</v>
      </c>
      <c r="BP1256" s="4" t="s">
        <v>256</v>
      </c>
      <c r="BQ1256" s="4" t="s">
        <v>257</v>
      </c>
      <c r="CE1256" s="4" t="s">
        <v>241</v>
      </c>
      <c r="CF1256" s="4" t="s">
        <v>241</v>
      </c>
      <c r="CJ1256" s="4" t="s">
        <v>276</v>
      </c>
      <c r="CK1256" s="4" t="s">
        <v>259</v>
      </c>
      <c r="CL1256" s="4" t="s">
        <v>241</v>
      </c>
      <c r="CO1256" s="5" t="s">
        <v>260</v>
      </c>
      <c r="CP1256" s="4" t="s">
        <v>241</v>
      </c>
      <c r="CQ1256" s="4" t="s">
        <v>261</v>
      </c>
      <c r="CR1256" s="4" t="s">
        <v>241</v>
      </c>
      <c r="CS1256" s="4" t="s">
        <v>241</v>
      </c>
      <c r="CT1256" s="4">
        <v>0</v>
      </c>
      <c r="CU1256" s="4" t="s">
        <v>262</v>
      </c>
      <c r="CV1256" s="4" t="s">
        <v>263</v>
      </c>
      <c r="CW1256" s="4" t="s">
        <v>263</v>
      </c>
      <c r="CX1256" s="4" t="s">
        <v>264</v>
      </c>
      <c r="DA1256" s="6">
        <f>1</f>
        <v>1</v>
      </c>
      <c r="DC1256" s="4" t="s">
        <v>277</v>
      </c>
      <c r="DD1256" s="4" t="s">
        <v>241</v>
      </c>
      <c r="DF1256" s="4" t="s">
        <v>277</v>
      </c>
      <c r="DG1256" s="6">
        <f>92</f>
        <v>92</v>
      </c>
      <c r="DI1256" s="4" t="s">
        <v>241</v>
      </c>
      <c r="DJ1256" s="4" t="s">
        <v>241</v>
      </c>
      <c r="DK1256" s="4" t="s">
        <v>241</v>
      </c>
      <c r="DL1256" s="4" t="s">
        <v>241</v>
      </c>
      <c r="DP1256" s="4" t="s">
        <v>241</v>
      </c>
      <c r="DQ1256" s="4" t="s">
        <v>241</v>
      </c>
      <c r="DR1256" s="4" t="s">
        <v>241</v>
      </c>
      <c r="DS1256" s="4" t="s">
        <v>241</v>
      </c>
      <c r="DV1256" s="4" t="s">
        <v>278</v>
      </c>
      <c r="DW1256" s="4" t="s">
        <v>1821</v>
      </c>
      <c r="HO1256" s="4" t="s">
        <v>267</v>
      </c>
    </row>
    <row r="1257" spans="1:223" ht="19.5" customHeight="1" x14ac:dyDescent="0.4">
      <c r="A1257" s="4">
        <v>1</v>
      </c>
      <c r="B1257" s="4" t="s">
        <v>239</v>
      </c>
      <c r="C1257" s="4">
        <v>2931</v>
      </c>
      <c r="D1257" s="4">
        <v>1</v>
      </c>
      <c r="E1257" s="4">
        <v>1</v>
      </c>
      <c r="F1257" s="4" t="s">
        <v>268</v>
      </c>
      <c r="G1257" s="4" t="s">
        <v>241</v>
      </c>
      <c r="H1257" s="4" t="s">
        <v>241</v>
      </c>
      <c r="I1257" s="4" t="s">
        <v>272</v>
      </c>
      <c r="J1257" s="4" t="s">
        <v>274</v>
      </c>
      <c r="K1257" s="4" t="s">
        <v>251</v>
      </c>
      <c r="L1257" s="4" t="s">
        <v>269</v>
      </c>
      <c r="M1257" s="5" t="s">
        <v>2129</v>
      </c>
      <c r="N1257" s="6">
        <f>343</f>
        <v>343</v>
      </c>
      <c r="O1257" s="4" t="s">
        <v>265</v>
      </c>
      <c r="P1257" s="6">
        <f>1</f>
        <v>1</v>
      </c>
      <c r="Q1257" s="6">
        <f>0</f>
        <v>0</v>
      </c>
      <c r="S1257" s="6">
        <f>0</f>
        <v>0</v>
      </c>
      <c r="T1257" s="6">
        <f>1</f>
        <v>1</v>
      </c>
      <c r="U1257" s="5" t="s">
        <v>245</v>
      </c>
      <c r="V1257" s="4" t="s">
        <v>270</v>
      </c>
      <c r="W1257" s="4" t="s">
        <v>271</v>
      </c>
      <c r="X1257" s="4" t="s">
        <v>273</v>
      </c>
      <c r="Y1257" s="4" t="s">
        <v>241</v>
      </c>
      <c r="AB1257" s="4" t="s">
        <v>241</v>
      </c>
      <c r="AD1257" s="5" t="s">
        <v>241</v>
      </c>
      <c r="AG1257" s="5" t="s">
        <v>246</v>
      </c>
      <c r="AH1257" s="4" t="s">
        <v>241</v>
      </c>
      <c r="AI1257" s="4" t="s">
        <v>247</v>
      </c>
      <c r="AJ1257" s="4" t="s">
        <v>248</v>
      </c>
      <c r="AZ1257" s="4" t="s">
        <v>249</v>
      </c>
      <c r="BA1257" s="4" t="s">
        <v>241</v>
      </c>
      <c r="BB1257" s="4" t="s">
        <v>250</v>
      </c>
      <c r="BC1257" s="4" t="s">
        <v>241</v>
      </c>
      <c r="BD1257" s="4" t="s">
        <v>252</v>
      </c>
      <c r="BE1257" s="4" t="s">
        <v>241</v>
      </c>
      <c r="BI1257" s="4" t="s">
        <v>253</v>
      </c>
      <c r="BJ1257" s="5" t="s">
        <v>246</v>
      </c>
      <c r="BK1257" s="4" t="s">
        <v>254</v>
      </c>
      <c r="BL1257" s="4" t="s">
        <v>255</v>
      </c>
      <c r="BM1257" s="4" t="s">
        <v>241</v>
      </c>
      <c r="BN1257" s="6">
        <f>0</f>
        <v>0</v>
      </c>
      <c r="BO1257" s="6">
        <f>0</f>
        <v>0</v>
      </c>
      <c r="BP1257" s="4" t="s">
        <v>256</v>
      </c>
      <c r="BQ1257" s="4" t="s">
        <v>257</v>
      </c>
      <c r="CE1257" s="4" t="s">
        <v>241</v>
      </c>
      <c r="CF1257" s="4" t="s">
        <v>241</v>
      </c>
      <c r="CJ1257" s="4" t="s">
        <v>276</v>
      </c>
      <c r="CK1257" s="4" t="s">
        <v>259</v>
      </c>
      <c r="CL1257" s="4" t="s">
        <v>241</v>
      </c>
      <c r="CO1257" s="5" t="s">
        <v>260</v>
      </c>
      <c r="CP1257" s="4" t="s">
        <v>241</v>
      </c>
      <c r="CQ1257" s="4" t="s">
        <v>261</v>
      </c>
      <c r="CR1257" s="4" t="s">
        <v>241</v>
      </c>
      <c r="CS1257" s="4" t="s">
        <v>241</v>
      </c>
      <c r="CT1257" s="4">
        <v>0</v>
      </c>
      <c r="CU1257" s="4" t="s">
        <v>262</v>
      </c>
      <c r="CV1257" s="4" t="s">
        <v>263</v>
      </c>
      <c r="CW1257" s="4" t="s">
        <v>263</v>
      </c>
      <c r="CX1257" s="4" t="s">
        <v>264</v>
      </c>
      <c r="DA1257" s="6">
        <f>1</f>
        <v>1</v>
      </c>
      <c r="DC1257" s="4" t="s">
        <v>277</v>
      </c>
      <c r="DD1257" s="4" t="s">
        <v>241</v>
      </c>
      <c r="DF1257" s="4" t="s">
        <v>277</v>
      </c>
      <c r="DG1257" s="6">
        <f>343</f>
        <v>343</v>
      </c>
      <c r="DI1257" s="4" t="s">
        <v>241</v>
      </c>
      <c r="DJ1257" s="4" t="s">
        <v>241</v>
      </c>
      <c r="DK1257" s="4" t="s">
        <v>241</v>
      </c>
      <c r="DL1257" s="4" t="s">
        <v>241</v>
      </c>
      <c r="DP1257" s="4" t="s">
        <v>241</v>
      </c>
      <c r="DQ1257" s="4" t="s">
        <v>241</v>
      </c>
      <c r="DR1257" s="4" t="s">
        <v>241</v>
      </c>
      <c r="DS1257" s="4" t="s">
        <v>241</v>
      </c>
      <c r="DV1257" s="4" t="s">
        <v>278</v>
      </c>
      <c r="DW1257" s="4" t="s">
        <v>2130</v>
      </c>
      <c r="HO1257" s="4" t="s">
        <v>267</v>
      </c>
    </row>
    <row r="1258" spans="1:223" ht="19.5" customHeight="1" x14ac:dyDescent="0.4">
      <c r="A1258" s="4">
        <v>1</v>
      </c>
      <c r="B1258" s="4" t="s">
        <v>239</v>
      </c>
      <c r="C1258" s="4">
        <v>2932</v>
      </c>
      <c r="D1258" s="4">
        <v>1</v>
      </c>
      <c r="E1258" s="4">
        <v>1</v>
      </c>
      <c r="F1258" s="4" t="s">
        <v>268</v>
      </c>
      <c r="G1258" s="4" t="s">
        <v>241</v>
      </c>
      <c r="H1258" s="4" t="s">
        <v>241</v>
      </c>
      <c r="I1258" s="4" t="s">
        <v>272</v>
      </c>
      <c r="J1258" s="4" t="s">
        <v>274</v>
      </c>
      <c r="K1258" s="4" t="s">
        <v>251</v>
      </c>
      <c r="L1258" s="4" t="s">
        <v>269</v>
      </c>
      <c r="M1258" s="5" t="s">
        <v>1927</v>
      </c>
      <c r="N1258" s="6">
        <f>3891</f>
        <v>3891</v>
      </c>
      <c r="O1258" s="4" t="s">
        <v>265</v>
      </c>
      <c r="P1258" s="6">
        <f>1</f>
        <v>1</v>
      </c>
      <c r="Q1258" s="6">
        <f>0</f>
        <v>0</v>
      </c>
      <c r="S1258" s="6">
        <f>0</f>
        <v>0</v>
      </c>
      <c r="T1258" s="6">
        <f>1</f>
        <v>1</v>
      </c>
      <c r="U1258" s="5" t="s">
        <v>245</v>
      </c>
      <c r="V1258" s="4" t="s">
        <v>270</v>
      </c>
      <c r="W1258" s="4" t="s">
        <v>271</v>
      </c>
      <c r="X1258" s="4" t="s">
        <v>273</v>
      </c>
      <c r="Y1258" s="4" t="s">
        <v>241</v>
      </c>
      <c r="AB1258" s="4" t="s">
        <v>241</v>
      </c>
      <c r="AD1258" s="5" t="s">
        <v>241</v>
      </c>
      <c r="AG1258" s="5" t="s">
        <v>246</v>
      </c>
      <c r="AH1258" s="4" t="s">
        <v>241</v>
      </c>
      <c r="AI1258" s="4" t="s">
        <v>247</v>
      </c>
      <c r="AJ1258" s="4" t="s">
        <v>248</v>
      </c>
      <c r="AZ1258" s="4" t="s">
        <v>249</v>
      </c>
      <c r="BA1258" s="4" t="s">
        <v>241</v>
      </c>
      <c r="BB1258" s="4" t="s">
        <v>250</v>
      </c>
      <c r="BC1258" s="4" t="s">
        <v>241</v>
      </c>
      <c r="BD1258" s="4" t="s">
        <v>252</v>
      </c>
      <c r="BE1258" s="4" t="s">
        <v>241</v>
      </c>
      <c r="BI1258" s="4" t="s">
        <v>253</v>
      </c>
      <c r="BJ1258" s="5" t="s">
        <v>246</v>
      </c>
      <c r="BK1258" s="4" t="s">
        <v>254</v>
      </c>
      <c r="BL1258" s="4" t="s">
        <v>255</v>
      </c>
      <c r="BM1258" s="4" t="s">
        <v>241</v>
      </c>
      <c r="BN1258" s="6">
        <f>0</f>
        <v>0</v>
      </c>
      <c r="BO1258" s="6">
        <f>0</f>
        <v>0</v>
      </c>
      <c r="BP1258" s="4" t="s">
        <v>256</v>
      </c>
      <c r="BQ1258" s="4" t="s">
        <v>257</v>
      </c>
      <c r="CE1258" s="4" t="s">
        <v>241</v>
      </c>
      <c r="CF1258" s="4" t="s">
        <v>241</v>
      </c>
      <c r="CJ1258" s="4" t="s">
        <v>276</v>
      </c>
      <c r="CK1258" s="4" t="s">
        <v>259</v>
      </c>
      <c r="CL1258" s="4" t="s">
        <v>241</v>
      </c>
      <c r="CO1258" s="5" t="s">
        <v>260</v>
      </c>
      <c r="CP1258" s="4" t="s">
        <v>241</v>
      </c>
      <c r="CQ1258" s="4" t="s">
        <v>261</v>
      </c>
      <c r="CR1258" s="4" t="s">
        <v>241</v>
      </c>
      <c r="CS1258" s="4" t="s">
        <v>241</v>
      </c>
      <c r="CT1258" s="4">
        <v>0</v>
      </c>
      <c r="CU1258" s="4" t="s">
        <v>262</v>
      </c>
      <c r="CV1258" s="4" t="s">
        <v>263</v>
      </c>
      <c r="CW1258" s="4" t="s">
        <v>263</v>
      </c>
      <c r="CX1258" s="4" t="s">
        <v>264</v>
      </c>
      <c r="DA1258" s="6">
        <f>1</f>
        <v>1</v>
      </c>
      <c r="DC1258" s="4" t="s">
        <v>277</v>
      </c>
      <c r="DD1258" s="4" t="s">
        <v>241</v>
      </c>
      <c r="DF1258" s="4" t="s">
        <v>277</v>
      </c>
      <c r="DG1258" s="6">
        <f>3891</f>
        <v>3891</v>
      </c>
      <c r="DI1258" s="4" t="s">
        <v>241</v>
      </c>
      <c r="DJ1258" s="4" t="s">
        <v>241</v>
      </c>
      <c r="DK1258" s="4" t="s">
        <v>241</v>
      </c>
      <c r="DL1258" s="4" t="s">
        <v>241</v>
      </c>
      <c r="DP1258" s="4" t="s">
        <v>241</v>
      </c>
      <c r="DQ1258" s="4" t="s">
        <v>241</v>
      </c>
      <c r="DR1258" s="4" t="s">
        <v>241</v>
      </c>
      <c r="DS1258" s="4" t="s">
        <v>241</v>
      </c>
      <c r="DV1258" s="4" t="s">
        <v>278</v>
      </c>
      <c r="DW1258" s="4" t="s">
        <v>1928</v>
      </c>
      <c r="HO1258" s="4" t="s">
        <v>267</v>
      </c>
    </row>
    <row r="1259" spans="1:223" ht="19.5" customHeight="1" x14ac:dyDescent="0.4">
      <c r="A1259" s="4">
        <v>1</v>
      </c>
      <c r="B1259" s="4" t="s">
        <v>239</v>
      </c>
      <c r="C1259" s="4">
        <v>2933</v>
      </c>
      <c r="D1259" s="4">
        <v>1</v>
      </c>
      <c r="E1259" s="4">
        <v>1</v>
      </c>
      <c r="F1259" s="4" t="s">
        <v>268</v>
      </c>
      <c r="G1259" s="4" t="s">
        <v>241</v>
      </c>
      <c r="H1259" s="4" t="s">
        <v>241</v>
      </c>
      <c r="I1259" s="4" t="s">
        <v>272</v>
      </c>
      <c r="J1259" s="4" t="s">
        <v>274</v>
      </c>
      <c r="K1259" s="4" t="s">
        <v>251</v>
      </c>
      <c r="L1259" s="4" t="s">
        <v>269</v>
      </c>
      <c r="M1259" s="5" t="s">
        <v>1938</v>
      </c>
      <c r="N1259" s="6">
        <f>1675</f>
        <v>1675</v>
      </c>
      <c r="O1259" s="4" t="s">
        <v>265</v>
      </c>
      <c r="P1259" s="6">
        <f>1</f>
        <v>1</v>
      </c>
      <c r="Q1259" s="6">
        <f>0</f>
        <v>0</v>
      </c>
      <c r="S1259" s="6">
        <f>0</f>
        <v>0</v>
      </c>
      <c r="T1259" s="6">
        <f>1</f>
        <v>1</v>
      </c>
      <c r="U1259" s="5" t="s">
        <v>245</v>
      </c>
      <c r="V1259" s="4" t="s">
        <v>270</v>
      </c>
      <c r="W1259" s="4" t="s">
        <v>271</v>
      </c>
      <c r="X1259" s="4" t="s">
        <v>273</v>
      </c>
      <c r="Y1259" s="4" t="s">
        <v>241</v>
      </c>
      <c r="AB1259" s="4" t="s">
        <v>241</v>
      </c>
      <c r="AD1259" s="5" t="s">
        <v>241</v>
      </c>
      <c r="AG1259" s="5" t="s">
        <v>246</v>
      </c>
      <c r="AH1259" s="4" t="s">
        <v>241</v>
      </c>
      <c r="AI1259" s="4" t="s">
        <v>247</v>
      </c>
      <c r="AJ1259" s="4" t="s">
        <v>248</v>
      </c>
      <c r="AZ1259" s="4" t="s">
        <v>249</v>
      </c>
      <c r="BA1259" s="4" t="s">
        <v>241</v>
      </c>
      <c r="BB1259" s="4" t="s">
        <v>250</v>
      </c>
      <c r="BC1259" s="4" t="s">
        <v>241</v>
      </c>
      <c r="BD1259" s="4" t="s">
        <v>252</v>
      </c>
      <c r="BE1259" s="4" t="s">
        <v>241</v>
      </c>
      <c r="BI1259" s="4" t="s">
        <v>253</v>
      </c>
      <c r="BJ1259" s="5" t="s">
        <v>246</v>
      </c>
      <c r="BK1259" s="4" t="s">
        <v>254</v>
      </c>
      <c r="BL1259" s="4" t="s">
        <v>255</v>
      </c>
      <c r="BM1259" s="4" t="s">
        <v>241</v>
      </c>
      <c r="BN1259" s="6">
        <f>0</f>
        <v>0</v>
      </c>
      <c r="BO1259" s="6">
        <f>0</f>
        <v>0</v>
      </c>
      <c r="BP1259" s="4" t="s">
        <v>256</v>
      </c>
      <c r="BQ1259" s="4" t="s">
        <v>257</v>
      </c>
      <c r="CE1259" s="4" t="s">
        <v>241</v>
      </c>
      <c r="CF1259" s="4" t="s">
        <v>241</v>
      </c>
      <c r="CJ1259" s="4" t="s">
        <v>276</v>
      </c>
      <c r="CK1259" s="4" t="s">
        <v>259</v>
      </c>
      <c r="CL1259" s="4" t="s">
        <v>241</v>
      </c>
      <c r="CO1259" s="5" t="s">
        <v>260</v>
      </c>
      <c r="CP1259" s="4" t="s">
        <v>241</v>
      </c>
      <c r="CQ1259" s="4" t="s">
        <v>261</v>
      </c>
      <c r="CR1259" s="4" t="s">
        <v>241</v>
      </c>
      <c r="CS1259" s="4" t="s">
        <v>241</v>
      </c>
      <c r="CT1259" s="4">
        <v>0</v>
      </c>
      <c r="CU1259" s="4" t="s">
        <v>262</v>
      </c>
      <c r="CV1259" s="4" t="s">
        <v>263</v>
      </c>
      <c r="CW1259" s="4" t="s">
        <v>263</v>
      </c>
      <c r="CX1259" s="4" t="s">
        <v>264</v>
      </c>
      <c r="DA1259" s="6">
        <f>1</f>
        <v>1</v>
      </c>
      <c r="DC1259" s="4" t="s">
        <v>277</v>
      </c>
      <c r="DD1259" s="4" t="s">
        <v>241</v>
      </c>
      <c r="DF1259" s="4" t="s">
        <v>277</v>
      </c>
      <c r="DG1259" s="6">
        <f>1675</f>
        <v>1675</v>
      </c>
      <c r="DI1259" s="4" t="s">
        <v>241</v>
      </c>
      <c r="DJ1259" s="4" t="s">
        <v>241</v>
      </c>
      <c r="DK1259" s="4" t="s">
        <v>241</v>
      </c>
      <c r="DL1259" s="4" t="s">
        <v>241</v>
      </c>
      <c r="DP1259" s="4" t="s">
        <v>241</v>
      </c>
      <c r="DQ1259" s="4" t="s">
        <v>241</v>
      </c>
      <c r="DR1259" s="4" t="s">
        <v>241</v>
      </c>
      <c r="DS1259" s="4" t="s">
        <v>241</v>
      </c>
      <c r="DV1259" s="4" t="s">
        <v>278</v>
      </c>
      <c r="DW1259" s="4" t="s">
        <v>1939</v>
      </c>
      <c r="HO1259" s="4" t="s">
        <v>267</v>
      </c>
    </row>
    <row r="1260" spans="1:223" ht="19.5" customHeight="1" x14ac:dyDescent="0.4">
      <c r="A1260" s="4">
        <v>1</v>
      </c>
      <c r="B1260" s="4" t="s">
        <v>239</v>
      </c>
      <c r="C1260" s="4">
        <v>2934</v>
      </c>
      <c r="D1260" s="4">
        <v>1</v>
      </c>
      <c r="E1260" s="4">
        <v>1</v>
      </c>
      <c r="F1260" s="4" t="s">
        <v>268</v>
      </c>
      <c r="G1260" s="4" t="s">
        <v>241</v>
      </c>
      <c r="H1260" s="4" t="s">
        <v>241</v>
      </c>
      <c r="I1260" s="4" t="s">
        <v>272</v>
      </c>
      <c r="J1260" s="4" t="s">
        <v>274</v>
      </c>
      <c r="K1260" s="4" t="s">
        <v>251</v>
      </c>
      <c r="L1260" s="4" t="s">
        <v>269</v>
      </c>
      <c r="M1260" s="5" t="s">
        <v>1923</v>
      </c>
      <c r="N1260" s="6">
        <f>2427</f>
        <v>2427</v>
      </c>
      <c r="O1260" s="4" t="s">
        <v>265</v>
      </c>
      <c r="P1260" s="6">
        <f>1</f>
        <v>1</v>
      </c>
      <c r="Q1260" s="6">
        <f>0</f>
        <v>0</v>
      </c>
      <c r="S1260" s="6">
        <f>0</f>
        <v>0</v>
      </c>
      <c r="T1260" s="6">
        <f>1</f>
        <v>1</v>
      </c>
      <c r="U1260" s="5" t="s">
        <v>245</v>
      </c>
      <c r="V1260" s="4" t="s">
        <v>270</v>
      </c>
      <c r="W1260" s="4" t="s">
        <v>271</v>
      </c>
      <c r="X1260" s="4" t="s">
        <v>273</v>
      </c>
      <c r="Y1260" s="4" t="s">
        <v>241</v>
      </c>
      <c r="AB1260" s="4" t="s">
        <v>241</v>
      </c>
      <c r="AD1260" s="5" t="s">
        <v>241</v>
      </c>
      <c r="AG1260" s="5" t="s">
        <v>246</v>
      </c>
      <c r="AH1260" s="4" t="s">
        <v>241</v>
      </c>
      <c r="AI1260" s="4" t="s">
        <v>247</v>
      </c>
      <c r="AJ1260" s="4" t="s">
        <v>248</v>
      </c>
      <c r="AZ1260" s="4" t="s">
        <v>249</v>
      </c>
      <c r="BA1260" s="4" t="s">
        <v>241</v>
      </c>
      <c r="BB1260" s="4" t="s">
        <v>250</v>
      </c>
      <c r="BC1260" s="4" t="s">
        <v>241</v>
      </c>
      <c r="BD1260" s="4" t="s">
        <v>252</v>
      </c>
      <c r="BE1260" s="4" t="s">
        <v>241</v>
      </c>
      <c r="BI1260" s="4" t="s">
        <v>253</v>
      </c>
      <c r="BJ1260" s="5" t="s">
        <v>246</v>
      </c>
      <c r="BK1260" s="4" t="s">
        <v>254</v>
      </c>
      <c r="BL1260" s="4" t="s">
        <v>255</v>
      </c>
      <c r="BM1260" s="4" t="s">
        <v>241</v>
      </c>
      <c r="BN1260" s="6">
        <f>0</f>
        <v>0</v>
      </c>
      <c r="BO1260" s="6">
        <f>0</f>
        <v>0</v>
      </c>
      <c r="BP1260" s="4" t="s">
        <v>256</v>
      </c>
      <c r="BQ1260" s="4" t="s">
        <v>257</v>
      </c>
      <c r="CE1260" s="4" t="s">
        <v>241</v>
      </c>
      <c r="CF1260" s="4" t="s">
        <v>241</v>
      </c>
      <c r="CJ1260" s="4" t="s">
        <v>276</v>
      </c>
      <c r="CK1260" s="4" t="s">
        <v>259</v>
      </c>
      <c r="CL1260" s="4" t="s">
        <v>241</v>
      </c>
      <c r="CO1260" s="5" t="s">
        <v>260</v>
      </c>
      <c r="CP1260" s="4" t="s">
        <v>241</v>
      </c>
      <c r="CQ1260" s="4" t="s">
        <v>261</v>
      </c>
      <c r="CR1260" s="4" t="s">
        <v>241</v>
      </c>
      <c r="CS1260" s="4" t="s">
        <v>241</v>
      </c>
      <c r="CT1260" s="4">
        <v>0</v>
      </c>
      <c r="CU1260" s="4" t="s">
        <v>262</v>
      </c>
      <c r="CV1260" s="4" t="s">
        <v>263</v>
      </c>
      <c r="CW1260" s="4" t="s">
        <v>263</v>
      </c>
      <c r="CX1260" s="4" t="s">
        <v>264</v>
      </c>
      <c r="DA1260" s="6">
        <f>1</f>
        <v>1</v>
      </c>
      <c r="DC1260" s="4" t="s">
        <v>277</v>
      </c>
      <c r="DD1260" s="4" t="s">
        <v>241</v>
      </c>
      <c r="DF1260" s="4" t="s">
        <v>277</v>
      </c>
      <c r="DG1260" s="6">
        <f>2427</f>
        <v>2427</v>
      </c>
      <c r="DI1260" s="4" t="s">
        <v>241</v>
      </c>
      <c r="DJ1260" s="4" t="s">
        <v>241</v>
      </c>
      <c r="DK1260" s="4" t="s">
        <v>241</v>
      </c>
      <c r="DL1260" s="4" t="s">
        <v>241</v>
      </c>
      <c r="DP1260" s="4" t="s">
        <v>241</v>
      </c>
      <c r="DQ1260" s="4" t="s">
        <v>241</v>
      </c>
      <c r="DR1260" s="4" t="s">
        <v>241</v>
      </c>
      <c r="DS1260" s="4" t="s">
        <v>241</v>
      </c>
      <c r="DV1260" s="4" t="s">
        <v>278</v>
      </c>
      <c r="DW1260" s="4" t="s">
        <v>1924</v>
      </c>
      <c r="HO1260" s="4" t="s">
        <v>267</v>
      </c>
    </row>
    <row r="1261" spans="1:223" ht="19.5" customHeight="1" x14ac:dyDescent="0.4">
      <c r="A1261" s="4">
        <v>1</v>
      </c>
      <c r="B1261" s="4" t="s">
        <v>239</v>
      </c>
      <c r="C1261" s="4">
        <v>2935</v>
      </c>
      <c r="D1261" s="4">
        <v>1</v>
      </c>
      <c r="E1261" s="4">
        <v>1</v>
      </c>
      <c r="F1261" s="4" t="s">
        <v>268</v>
      </c>
      <c r="G1261" s="4" t="s">
        <v>241</v>
      </c>
      <c r="H1261" s="4" t="s">
        <v>241</v>
      </c>
      <c r="I1261" s="4" t="s">
        <v>272</v>
      </c>
      <c r="J1261" s="4" t="s">
        <v>274</v>
      </c>
      <c r="K1261" s="4" t="s">
        <v>251</v>
      </c>
      <c r="L1261" s="4" t="s">
        <v>269</v>
      </c>
      <c r="M1261" s="5" t="s">
        <v>1915</v>
      </c>
      <c r="N1261" s="6">
        <f>1043</f>
        <v>1043</v>
      </c>
      <c r="O1261" s="4" t="s">
        <v>265</v>
      </c>
      <c r="P1261" s="6">
        <f>1</f>
        <v>1</v>
      </c>
      <c r="Q1261" s="6">
        <f>0</f>
        <v>0</v>
      </c>
      <c r="S1261" s="6">
        <f>0</f>
        <v>0</v>
      </c>
      <c r="T1261" s="6">
        <f>1</f>
        <v>1</v>
      </c>
      <c r="U1261" s="5" t="s">
        <v>245</v>
      </c>
      <c r="V1261" s="4" t="s">
        <v>270</v>
      </c>
      <c r="W1261" s="4" t="s">
        <v>271</v>
      </c>
      <c r="X1261" s="4" t="s">
        <v>273</v>
      </c>
      <c r="Y1261" s="4" t="s">
        <v>241</v>
      </c>
      <c r="AB1261" s="4" t="s">
        <v>241</v>
      </c>
      <c r="AD1261" s="5" t="s">
        <v>241</v>
      </c>
      <c r="AG1261" s="5" t="s">
        <v>246</v>
      </c>
      <c r="AH1261" s="4" t="s">
        <v>241</v>
      </c>
      <c r="AI1261" s="4" t="s">
        <v>247</v>
      </c>
      <c r="AJ1261" s="4" t="s">
        <v>248</v>
      </c>
      <c r="AZ1261" s="4" t="s">
        <v>249</v>
      </c>
      <c r="BA1261" s="4" t="s">
        <v>241</v>
      </c>
      <c r="BB1261" s="4" t="s">
        <v>250</v>
      </c>
      <c r="BC1261" s="4" t="s">
        <v>241</v>
      </c>
      <c r="BD1261" s="4" t="s">
        <v>252</v>
      </c>
      <c r="BE1261" s="4" t="s">
        <v>241</v>
      </c>
      <c r="BI1261" s="4" t="s">
        <v>253</v>
      </c>
      <c r="BJ1261" s="5" t="s">
        <v>246</v>
      </c>
      <c r="BK1261" s="4" t="s">
        <v>254</v>
      </c>
      <c r="BL1261" s="4" t="s">
        <v>255</v>
      </c>
      <c r="BM1261" s="4" t="s">
        <v>241</v>
      </c>
      <c r="BN1261" s="6">
        <f>0</f>
        <v>0</v>
      </c>
      <c r="BO1261" s="6">
        <f>0</f>
        <v>0</v>
      </c>
      <c r="BP1261" s="4" t="s">
        <v>256</v>
      </c>
      <c r="BQ1261" s="4" t="s">
        <v>257</v>
      </c>
      <c r="CE1261" s="4" t="s">
        <v>241</v>
      </c>
      <c r="CF1261" s="4" t="s">
        <v>241</v>
      </c>
      <c r="CJ1261" s="4" t="s">
        <v>276</v>
      </c>
      <c r="CK1261" s="4" t="s">
        <v>259</v>
      </c>
      <c r="CL1261" s="4" t="s">
        <v>241</v>
      </c>
      <c r="CO1261" s="5" t="s">
        <v>260</v>
      </c>
      <c r="CP1261" s="4" t="s">
        <v>241</v>
      </c>
      <c r="CQ1261" s="4" t="s">
        <v>261</v>
      </c>
      <c r="CR1261" s="4" t="s">
        <v>241</v>
      </c>
      <c r="CS1261" s="4" t="s">
        <v>241</v>
      </c>
      <c r="CT1261" s="4">
        <v>0</v>
      </c>
      <c r="CU1261" s="4" t="s">
        <v>262</v>
      </c>
      <c r="CV1261" s="4" t="s">
        <v>263</v>
      </c>
      <c r="CW1261" s="4" t="s">
        <v>263</v>
      </c>
      <c r="CX1261" s="4" t="s">
        <v>264</v>
      </c>
      <c r="DA1261" s="6">
        <f>1</f>
        <v>1</v>
      </c>
      <c r="DC1261" s="4" t="s">
        <v>277</v>
      </c>
      <c r="DD1261" s="4" t="s">
        <v>241</v>
      </c>
      <c r="DF1261" s="4" t="s">
        <v>277</v>
      </c>
      <c r="DG1261" s="6">
        <f>1043</f>
        <v>1043</v>
      </c>
      <c r="DI1261" s="4" t="s">
        <v>241</v>
      </c>
      <c r="DJ1261" s="4" t="s">
        <v>241</v>
      </c>
      <c r="DK1261" s="4" t="s">
        <v>241</v>
      </c>
      <c r="DL1261" s="4" t="s">
        <v>241</v>
      </c>
      <c r="DP1261" s="4" t="s">
        <v>241</v>
      </c>
      <c r="DQ1261" s="4" t="s">
        <v>241</v>
      </c>
      <c r="DR1261" s="4" t="s">
        <v>241</v>
      </c>
      <c r="DS1261" s="4" t="s">
        <v>241</v>
      </c>
      <c r="DV1261" s="4" t="s">
        <v>278</v>
      </c>
      <c r="DW1261" s="4" t="s">
        <v>1916</v>
      </c>
      <c r="HO1261" s="4" t="s">
        <v>267</v>
      </c>
    </row>
    <row r="1262" spans="1:223" ht="19.5" customHeight="1" x14ac:dyDescent="0.4">
      <c r="A1262" s="4">
        <v>1</v>
      </c>
      <c r="B1262" s="4" t="s">
        <v>239</v>
      </c>
      <c r="C1262" s="4">
        <v>2936</v>
      </c>
      <c r="D1262" s="4">
        <v>1</v>
      </c>
      <c r="E1262" s="4">
        <v>1</v>
      </c>
      <c r="F1262" s="4" t="s">
        <v>268</v>
      </c>
      <c r="G1262" s="4" t="s">
        <v>241</v>
      </c>
      <c r="H1262" s="4" t="s">
        <v>241</v>
      </c>
      <c r="I1262" s="4" t="s">
        <v>272</v>
      </c>
      <c r="J1262" s="4" t="s">
        <v>274</v>
      </c>
      <c r="K1262" s="4" t="s">
        <v>251</v>
      </c>
      <c r="L1262" s="4" t="s">
        <v>269</v>
      </c>
      <c r="M1262" s="5" t="s">
        <v>1962</v>
      </c>
      <c r="N1262" s="6">
        <f>177</f>
        <v>177</v>
      </c>
      <c r="O1262" s="4" t="s">
        <v>265</v>
      </c>
      <c r="P1262" s="6">
        <f>1</f>
        <v>1</v>
      </c>
      <c r="Q1262" s="6">
        <f>0</f>
        <v>0</v>
      </c>
      <c r="S1262" s="6">
        <f>0</f>
        <v>0</v>
      </c>
      <c r="T1262" s="6">
        <f>1</f>
        <v>1</v>
      </c>
      <c r="U1262" s="5" t="s">
        <v>245</v>
      </c>
      <c r="V1262" s="4" t="s">
        <v>270</v>
      </c>
      <c r="W1262" s="4" t="s">
        <v>271</v>
      </c>
      <c r="X1262" s="4" t="s">
        <v>273</v>
      </c>
      <c r="Y1262" s="4" t="s">
        <v>241</v>
      </c>
      <c r="AB1262" s="4" t="s">
        <v>241</v>
      </c>
      <c r="AD1262" s="5" t="s">
        <v>241</v>
      </c>
      <c r="AG1262" s="5" t="s">
        <v>246</v>
      </c>
      <c r="AH1262" s="4" t="s">
        <v>241</v>
      </c>
      <c r="AI1262" s="4" t="s">
        <v>247</v>
      </c>
      <c r="AJ1262" s="4" t="s">
        <v>248</v>
      </c>
      <c r="AZ1262" s="4" t="s">
        <v>249</v>
      </c>
      <c r="BA1262" s="4" t="s">
        <v>241</v>
      </c>
      <c r="BB1262" s="4" t="s">
        <v>250</v>
      </c>
      <c r="BC1262" s="4" t="s">
        <v>241</v>
      </c>
      <c r="BD1262" s="4" t="s">
        <v>252</v>
      </c>
      <c r="BE1262" s="4" t="s">
        <v>241</v>
      </c>
      <c r="BI1262" s="4" t="s">
        <v>253</v>
      </c>
      <c r="BJ1262" s="5" t="s">
        <v>246</v>
      </c>
      <c r="BK1262" s="4" t="s">
        <v>254</v>
      </c>
      <c r="BL1262" s="4" t="s">
        <v>255</v>
      </c>
      <c r="BM1262" s="4" t="s">
        <v>241</v>
      </c>
      <c r="BN1262" s="6">
        <f>0</f>
        <v>0</v>
      </c>
      <c r="BO1262" s="6">
        <f>0</f>
        <v>0</v>
      </c>
      <c r="BP1262" s="4" t="s">
        <v>256</v>
      </c>
      <c r="BQ1262" s="4" t="s">
        <v>257</v>
      </c>
      <c r="CE1262" s="4" t="s">
        <v>241</v>
      </c>
      <c r="CF1262" s="4" t="s">
        <v>241</v>
      </c>
      <c r="CJ1262" s="4" t="s">
        <v>276</v>
      </c>
      <c r="CK1262" s="4" t="s">
        <v>259</v>
      </c>
      <c r="CL1262" s="4" t="s">
        <v>241</v>
      </c>
      <c r="CO1262" s="5" t="s">
        <v>260</v>
      </c>
      <c r="CP1262" s="4" t="s">
        <v>241</v>
      </c>
      <c r="CQ1262" s="4" t="s">
        <v>261</v>
      </c>
      <c r="CR1262" s="4" t="s">
        <v>241</v>
      </c>
      <c r="CS1262" s="4" t="s">
        <v>241</v>
      </c>
      <c r="CT1262" s="4">
        <v>0</v>
      </c>
      <c r="CU1262" s="4" t="s">
        <v>262</v>
      </c>
      <c r="CV1262" s="4" t="s">
        <v>263</v>
      </c>
      <c r="CW1262" s="4" t="s">
        <v>263</v>
      </c>
      <c r="CX1262" s="4" t="s">
        <v>264</v>
      </c>
      <c r="DA1262" s="6">
        <f>1</f>
        <v>1</v>
      </c>
      <c r="DC1262" s="4" t="s">
        <v>277</v>
      </c>
      <c r="DD1262" s="4" t="s">
        <v>241</v>
      </c>
      <c r="DF1262" s="4" t="s">
        <v>277</v>
      </c>
      <c r="DG1262" s="6">
        <f>177</f>
        <v>177</v>
      </c>
      <c r="DI1262" s="4" t="s">
        <v>241</v>
      </c>
      <c r="DJ1262" s="4" t="s">
        <v>241</v>
      </c>
      <c r="DK1262" s="4" t="s">
        <v>241</v>
      </c>
      <c r="DL1262" s="4" t="s">
        <v>241</v>
      </c>
      <c r="DP1262" s="4" t="s">
        <v>241</v>
      </c>
      <c r="DQ1262" s="4" t="s">
        <v>241</v>
      </c>
      <c r="DR1262" s="4" t="s">
        <v>241</v>
      </c>
      <c r="DS1262" s="4" t="s">
        <v>241</v>
      </c>
      <c r="DV1262" s="4" t="s">
        <v>278</v>
      </c>
      <c r="DW1262" s="4" t="s">
        <v>854</v>
      </c>
      <c r="HO1262" s="4" t="s">
        <v>267</v>
      </c>
    </row>
    <row r="1263" spans="1:223" ht="19.5" customHeight="1" x14ac:dyDescent="0.4">
      <c r="A1263" s="4">
        <v>1</v>
      </c>
      <c r="B1263" s="4" t="s">
        <v>239</v>
      </c>
      <c r="C1263" s="4">
        <v>2937</v>
      </c>
      <c r="D1263" s="4">
        <v>1</v>
      </c>
      <c r="E1263" s="4">
        <v>1</v>
      </c>
      <c r="F1263" s="4" t="s">
        <v>268</v>
      </c>
      <c r="G1263" s="4" t="s">
        <v>241</v>
      </c>
      <c r="H1263" s="4" t="s">
        <v>241</v>
      </c>
      <c r="I1263" s="4" t="s">
        <v>272</v>
      </c>
      <c r="J1263" s="4" t="s">
        <v>274</v>
      </c>
      <c r="K1263" s="4" t="s">
        <v>251</v>
      </c>
      <c r="L1263" s="4" t="s">
        <v>269</v>
      </c>
      <c r="M1263" s="5" t="s">
        <v>1904</v>
      </c>
      <c r="N1263" s="6">
        <f>182</f>
        <v>182</v>
      </c>
      <c r="O1263" s="4" t="s">
        <v>265</v>
      </c>
      <c r="P1263" s="6">
        <f>1</f>
        <v>1</v>
      </c>
      <c r="Q1263" s="6">
        <f>0</f>
        <v>0</v>
      </c>
      <c r="S1263" s="6">
        <f>0</f>
        <v>0</v>
      </c>
      <c r="T1263" s="6">
        <f>1</f>
        <v>1</v>
      </c>
      <c r="U1263" s="5" t="s">
        <v>245</v>
      </c>
      <c r="V1263" s="4" t="s">
        <v>270</v>
      </c>
      <c r="W1263" s="4" t="s">
        <v>271</v>
      </c>
      <c r="X1263" s="4" t="s">
        <v>273</v>
      </c>
      <c r="Y1263" s="4" t="s">
        <v>241</v>
      </c>
      <c r="AB1263" s="4" t="s">
        <v>241</v>
      </c>
      <c r="AD1263" s="5" t="s">
        <v>241</v>
      </c>
      <c r="AG1263" s="5" t="s">
        <v>246</v>
      </c>
      <c r="AH1263" s="4" t="s">
        <v>241</v>
      </c>
      <c r="AI1263" s="4" t="s">
        <v>247</v>
      </c>
      <c r="AJ1263" s="4" t="s">
        <v>248</v>
      </c>
      <c r="AZ1263" s="4" t="s">
        <v>249</v>
      </c>
      <c r="BA1263" s="4" t="s">
        <v>241</v>
      </c>
      <c r="BB1263" s="4" t="s">
        <v>250</v>
      </c>
      <c r="BC1263" s="4" t="s">
        <v>241</v>
      </c>
      <c r="BD1263" s="4" t="s">
        <v>252</v>
      </c>
      <c r="BE1263" s="4" t="s">
        <v>241</v>
      </c>
      <c r="BI1263" s="4" t="s">
        <v>253</v>
      </c>
      <c r="BJ1263" s="5" t="s">
        <v>246</v>
      </c>
      <c r="BK1263" s="4" t="s">
        <v>254</v>
      </c>
      <c r="BL1263" s="4" t="s">
        <v>255</v>
      </c>
      <c r="BM1263" s="4" t="s">
        <v>241</v>
      </c>
      <c r="BN1263" s="6">
        <f>0</f>
        <v>0</v>
      </c>
      <c r="BO1263" s="6">
        <f>0</f>
        <v>0</v>
      </c>
      <c r="BP1263" s="4" t="s">
        <v>256</v>
      </c>
      <c r="BQ1263" s="4" t="s">
        <v>257</v>
      </c>
      <c r="CE1263" s="4" t="s">
        <v>241</v>
      </c>
      <c r="CF1263" s="4" t="s">
        <v>241</v>
      </c>
      <c r="CJ1263" s="4" t="s">
        <v>276</v>
      </c>
      <c r="CK1263" s="4" t="s">
        <v>259</v>
      </c>
      <c r="CL1263" s="4" t="s">
        <v>241</v>
      </c>
      <c r="CO1263" s="5" t="s">
        <v>260</v>
      </c>
      <c r="CP1263" s="4" t="s">
        <v>241</v>
      </c>
      <c r="CQ1263" s="4" t="s">
        <v>261</v>
      </c>
      <c r="CR1263" s="4" t="s">
        <v>241</v>
      </c>
      <c r="CS1263" s="4" t="s">
        <v>241</v>
      </c>
      <c r="CT1263" s="4">
        <v>0</v>
      </c>
      <c r="CU1263" s="4" t="s">
        <v>262</v>
      </c>
      <c r="CV1263" s="4" t="s">
        <v>263</v>
      </c>
      <c r="CW1263" s="4" t="s">
        <v>263</v>
      </c>
      <c r="CX1263" s="4" t="s">
        <v>264</v>
      </c>
      <c r="DA1263" s="6">
        <f>1</f>
        <v>1</v>
      </c>
      <c r="DC1263" s="4" t="s">
        <v>277</v>
      </c>
      <c r="DD1263" s="4" t="s">
        <v>241</v>
      </c>
      <c r="DF1263" s="4" t="s">
        <v>277</v>
      </c>
      <c r="DG1263" s="6">
        <f>182</f>
        <v>182</v>
      </c>
      <c r="DI1263" s="4" t="s">
        <v>241</v>
      </c>
      <c r="DJ1263" s="4" t="s">
        <v>241</v>
      </c>
      <c r="DK1263" s="4" t="s">
        <v>241</v>
      </c>
      <c r="DL1263" s="4" t="s">
        <v>241</v>
      </c>
      <c r="DP1263" s="4" t="s">
        <v>241</v>
      </c>
      <c r="DQ1263" s="4" t="s">
        <v>241</v>
      </c>
      <c r="DR1263" s="4" t="s">
        <v>241</v>
      </c>
      <c r="DS1263" s="4" t="s">
        <v>241</v>
      </c>
      <c r="DV1263" s="4" t="s">
        <v>278</v>
      </c>
      <c r="DW1263" s="4" t="s">
        <v>1905</v>
      </c>
      <c r="HO1263" s="4" t="s">
        <v>267</v>
      </c>
    </row>
    <row r="1264" spans="1:223" ht="19.5" customHeight="1" x14ac:dyDescent="0.4">
      <c r="A1264" s="4">
        <v>1</v>
      </c>
      <c r="B1264" s="4" t="s">
        <v>239</v>
      </c>
      <c r="C1264" s="4">
        <v>2938</v>
      </c>
      <c r="D1264" s="4">
        <v>1</v>
      </c>
      <c r="E1264" s="4">
        <v>1</v>
      </c>
      <c r="F1264" s="4" t="s">
        <v>268</v>
      </c>
      <c r="G1264" s="4" t="s">
        <v>241</v>
      </c>
      <c r="H1264" s="4" t="s">
        <v>241</v>
      </c>
      <c r="I1264" s="4" t="s">
        <v>272</v>
      </c>
      <c r="J1264" s="4" t="s">
        <v>274</v>
      </c>
      <c r="K1264" s="4" t="s">
        <v>251</v>
      </c>
      <c r="L1264" s="4" t="s">
        <v>269</v>
      </c>
      <c r="M1264" s="5" t="s">
        <v>1878</v>
      </c>
      <c r="N1264" s="6">
        <f>2417</f>
        <v>2417</v>
      </c>
      <c r="O1264" s="4" t="s">
        <v>265</v>
      </c>
      <c r="P1264" s="6">
        <f>1</f>
        <v>1</v>
      </c>
      <c r="Q1264" s="6">
        <f>0</f>
        <v>0</v>
      </c>
      <c r="S1264" s="6">
        <f>0</f>
        <v>0</v>
      </c>
      <c r="T1264" s="6">
        <f>1</f>
        <v>1</v>
      </c>
      <c r="U1264" s="5" t="s">
        <v>245</v>
      </c>
      <c r="V1264" s="4" t="s">
        <v>270</v>
      </c>
      <c r="W1264" s="4" t="s">
        <v>271</v>
      </c>
      <c r="X1264" s="4" t="s">
        <v>273</v>
      </c>
      <c r="Y1264" s="4" t="s">
        <v>241</v>
      </c>
      <c r="AB1264" s="4" t="s">
        <v>241</v>
      </c>
      <c r="AD1264" s="5" t="s">
        <v>241</v>
      </c>
      <c r="AG1264" s="5" t="s">
        <v>246</v>
      </c>
      <c r="AH1264" s="4" t="s">
        <v>241</v>
      </c>
      <c r="AI1264" s="4" t="s">
        <v>247</v>
      </c>
      <c r="AJ1264" s="4" t="s">
        <v>248</v>
      </c>
      <c r="AZ1264" s="4" t="s">
        <v>249</v>
      </c>
      <c r="BA1264" s="4" t="s">
        <v>241</v>
      </c>
      <c r="BB1264" s="4" t="s">
        <v>250</v>
      </c>
      <c r="BC1264" s="4" t="s">
        <v>241</v>
      </c>
      <c r="BD1264" s="4" t="s">
        <v>252</v>
      </c>
      <c r="BE1264" s="4" t="s">
        <v>241</v>
      </c>
      <c r="BI1264" s="4" t="s">
        <v>253</v>
      </c>
      <c r="BJ1264" s="5" t="s">
        <v>246</v>
      </c>
      <c r="BK1264" s="4" t="s">
        <v>254</v>
      </c>
      <c r="BL1264" s="4" t="s">
        <v>255</v>
      </c>
      <c r="BM1264" s="4" t="s">
        <v>241</v>
      </c>
      <c r="BN1264" s="6">
        <f>0</f>
        <v>0</v>
      </c>
      <c r="BO1264" s="6">
        <f>0</f>
        <v>0</v>
      </c>
      <c r="BP1264" s="4" t="s">
        <v>256</v>
      </c>
      <c r="BQ1264" s="4" t="s">
        <v>257</v>
      </c>
      <c r="CE1264" s="4" t="s">
        <v>241</v>
      </c>
      <c r="CF1264" s="4" t="s">
        <v>241</v>
      </c>
      <c r="CJ1264" s="4" t="s">
        <v>276</v>
      </c>
      <c r="CK1264" s="4" t="s">
        <v>259</v>
      </c>
      <c r="CL1264" s="4" t="s">
        <v>241</v>
      </c>
      <c r="CO1264" s="5" t="s">
        <v>260</v>
      </c>
      <c r="CP1264" s="4" t="s">
        <v>241</v>
      </c>
      <c r="CQ1264" s="4" t="s">
        <v>261</v>
      </c>
      <c r="CR1264" s="4" t="s">
        <v>241</v>
      </c>
      <c r="CS1264" s="4" t="s">
        <v>241</v>
      </c>
      <c r="CT1264" s="4">
        <v>0</v>
      </c>
      <c r="CU1264" s="4" t="s">
        <v>262</v>
      </c>
      <c r="CV1264" s="4" t="s">
        <v>263</v>
      </c>
      <c r="CW1264" s="4" t="s">
        <v>263</v>
      </c>
      <c r="CX1264" s="4" t="s">
        <v>264</v>
      </c>
      <c r="DA1264" s="6">
        <f>1</f>
        <v>1</v>
      </c>
      <c r="DC1264" s="4" t="s">
        <v>277</v>
      </c>
      <c r="DD1264" s="4" t="s">
        <v>241</v>
      </c>
      <c r="DF1264" s="4" t="s">
        <v>277</v>
      </c>
      <c r="DG1264" s="6">
        <f>2417</f>
        <v>2417</v>
      </c>
      <c r="DI1264" s="4" t="s">
        <v>241</v>
      </c>
      <c r="DJ1264" s="4" t="s">
        <v>241</v>
      </c>
      <c r="DK1264" s="4" t="s">
        <v>241</v>
      </c>
      <c r="DL1264" s="4" t="s">
        <v>241</v>
      </c>
      <c r="DP1264" s="4" t="s">
        <v>241</v>
      </c>
      <c r="DQ1264" s="4" t="s">
        <v>241</v>
      </c>
      <c r="DR1264" s="4" t="s">
        <v>241</v>
      </c>
      <c r="DS1264" s="4" t="s">
        <v>241</v>
      </c>
      <c r="DV1264" s="4" t="s">
        <v>278</v>
      </c>
      <c r="DW1264" s="4" t="s">
        <v>1879</v>
      </c>
      <c r="HO1264" s="4" t="s">
        <v>267</v>
      </c>
    </row>
    <row r="1265" spans="1:223" ht="19.5" customHeight="1" x14ac:dyDescent="0.4">
      <c r="A1265" s="4">
        <v>1</v>
      </c>
      <c r="B1265" s="4" t="s">
        <v>239</v>
      </c>
      <c r="C1265" s="4">
        <v>2939</v>
      </c>
      <c r="D1265" s="4">
        <v>1</v>
      </c>
      <c r="E1265" s="4">
        <v>1</v>
      </c>
      <c r="F1265" s="4" t="s">
        <v>268</v>
      </c>
      <c r="G1265" s="4" t="s">
        <v>241</v>
      </c>
      <c r="H1265" s="4" t="s">
        <v>241</v>
      </c>
      <c r="I1265" s="4" t="s">
        <v>272</v>
      </c>
      <c r="J1265" s="4" t="s">
        <v>274</v>
      </c>
      <c r="K1265" s="4" t="s">
        <v>251</v>
      </c>
      <c r="L1265" s="4" t="s">
        <v>269</v>
      </c>
      <c r="M1265" s="5" t="s">
        <v>2966</v>
      </c>
      <c r="N1265" s="6">
        <f>1686</f>
        <v>1686</v>
      </c>
      <c r="O1265" s="4" t="s">
        <v>265</v>
      </c>
      <c r="P1265" s="6">
        <f>1</f>
        <v>1</v>
      </c>
      <c r="Q1265" s="6">
        <f>0</f>
        <v>0</v>
      </c>
      <c r="S1265" s="6">
        <f>0</f>
        <v>0</v>
      </c>
      <c r="T1265" s="6">
        <f>1</f>
        <v>1</v>
      </c>
      <c r="U1265" s="5" t="s">
        <v>245</v>
      </c>
      <c r="V1265" s="4" t="s">
        <v>270</v>
      </c>
      <c r="W1265" s="4" t="s">
        <v>271</v>
      </c>
      <c r="X1265" s="4" t="s">
        <v>273</v>
      </c>
      <c r="Y1265" s="4" t="s">
        <v>241</v>
      </c>
      <c r="AB1265" s="4" t="s">
        <v>241</v>
      </c>
      <c r="AD1265" s="5" t="s">
        <v>241</v>
      </c>
      <c r="AG1265" s="5" t="s">
        <v>246</v>
      </c>
      <c r="AH1265" s="4" t="s">
        <v>241</v>
      </c>
      <c r="AI1265" s="4" t="s">
        <v>247</v>
      </c>
      <c r="AJ1265" s="4" t="s">
        <v>248</v>
      </c>
      <c r="AZ1265" s="4" t="s">
        <v>249</v>
      </c>
      <c r="BA1265" s="4" t="s">
        <v>241</v>
      </c>
      <c r="BB1265" s="4" t="s">
        <v>250</v>
      </c>
      <c r="BC1265" s="4" t="s">
        <v>241</v>
      </c>
      <c r="BD1265" s="4" t="s">
        <v>252</v>
      </c>
      <c r="BE1265" s="4" t="s">
        <v>241</v>
      </c>
      <c r="BI1265" s="4" t="s">
        <v>253</v>
      </c>
      <c r="BJ1265" s="5" t="s">
        <v>246</v>
      </c>
      <c r="BK1265" s="4" t="s">
        <v>254</v>
      </c>
      <c r="BL1265" s="4" t="s">
        <v>255</v>
      </c>
      <c r="BM1265" s="4" t="s">
        <v>241</v>
      </c>
      <c r="BN1265" s="6">
        <f>0</f>
        <v>0</v>
      </c>
      <c r="BO1265" s="6">
        <f>0</f>
        <v>0</v>
      </c>
      <c r="BP1265" s="4" t="s">
        <v>256</v>
      </c>
      <c r="BQ1265" s="4" t="s">
        <v>257</v>
      </c>
      <c r="CE1265" s="4" t="s">
        <v>241</v>
      </c>
      <c r="CF1265" s="4" t="s">
        <v>241</v>
      </c>
      <c r="CJ1265" s="4" t="s">
        <v>276</v>
      </c>
      <c r="CK1265" s="4" t="s">
        <v>259</v>
      </c>
      <c r="CL1265" s="4" t="s">
        <v>241</v>
      </c>
      <c r="CO1265" s="5" t="s">
        <v>260</v>
      </c>
      <c r="CP1265" s="4" t="s">
        <v>241</v>
      </c>
      <c r="CQ1265" s="4" t="s">
        <v>261</v>
      </c>
      <c r="CR1265" s="4" t="s">
        <v>241</v>
      </c>
      <c r="CS1265" s="4" t="s">
        <v>241</v>
      </c>
      <c r="CT1265" s="4">
        <v>0</v>
      </c>
      <c r="CU1265" s="4" t="s">
        <v>262</v>
      </c>
      <c r="CV1265" s="4" t="s">
        <v>263</v>
      </c>
      <c r="CW1265" s="4" t="s">
        <v>263</v>
      </c>
      <c r="CX1265" s="4" t="s">
        <v>264</v>
      </c>
      <c r="DA1265" s="6">
        <f>1</f>
        <v>1</v>
      </c>
      <c r="DC1265" s="4" t="s">
        <v>277</v>
      </c>
      <c r="DD1265" s="4" t="s">
        <v>241</v>
      </c>
      <c r="DF1265" s="4" t="s">
        <v>277</v>
      </c>
      <c r="DG1265" s="6">
        <f>1686</f>
        <v>1686</v>
      </c>
      <c r="DI1265" s="4" t="s">
        <v>241</v>
      </c>
      <c r="DJ1265" s="4" t="s">
        <v>241</v>
      </c>
      <c r="DK1265" s="4" t="s">
        <v>241</v>
      </c>
      <c r="DL1265" s="4" t="s">
        <v>241</v>
      </c>
      <c r="DP1265" s="4" t="s">
        <v>241</v>
      </c>
      <c r="DQ1265" s="4" t="s">
        <v>241</v>
      </c>
      <c r="DR1265" s="4" t="s">
        <v>241</v>
      </c>
      <c r="DS1265" s="4" t="s">
        <v>241</v>
      </c>
      <c r="DV1265" s="4" t="s">
        <v>278</v>
      </c>
      <c r="DW1265" s="4" t="s">
        <v>2967</v>
      </c>
      <c r="HO1265" s="4" t="s">
        <v>267</v>
      </c>
    </row>
    <row r="1266" spans="1:223" ht="19.5" customHeight="1" x14ac:dyDescent="0.4">
      <c r="A1266" s="4">
        <v>1</v>
      </c>
      <c r="B1266" s="4" t="s">
        <v>239</v>
      </c>
      <c r="C1266" s="4">
        <v>2940</v>
      </c>
      <c r="D1266" s="4">
        <v>1</v>
      </c>
      <c r="E1266" s="4">
        <v>1</v>
      </c>
      <c r="F1266" s="4" t="s">
        <v>268</v>
      </c>
      <c r="G1266" s="4" t="s">
        <v>241</v>
      </c>
      <c r="H1266" s="4" t="s">
        <v>241</v>
      </c>
      <c r="I1266" s="4" t="s">
        <v>272</v>
      </c>
      <c r="J1266" s="4" t="s">
        <v>274</v>
      </c>
      <c r="K1266" s="4" t="s">
        <v>251</v>
      </c>
      <c r="L1266" s="4" t="s">
        <v>269</v>
      </c>
      <c r="M1266" s="5" t="s">
        <v>2957</v>
      </c>
      <c r="N1266" s="6">
        <f>138</f>
        <v>138</v>
      </c>
      <c r="O1266" s="4" t="s">
        <v>265</v>
      </c>
      <c r="P1266" s="6">
        <f>1</f>
        <v>1</v>
      </c>
      <c r="Q1266" s="6">
        <f>0</f>
        <v>0</v>
      </c>
      <c r="S1266" s="6">
        <f>0</f>
        <v>0</v>
      </c>
      <c r="T1266" s="6">
        <f>1</f>
        <v>1</v>
      </c>
      <c r="U1266" s="5" t="s">
        <v>245</v>
      </c>
      <c r="V1266" s="4" t="s">
        <v>270</v>
      </c>
      <c r="W1266" s="4" t="s">
        <v>271</v>
      </c>
      <c r="X1266" s="4" t="s">
        <v>273</v>
      </c>
      <c r="Y1266" s="4" t="s">
        <v>241</v>
      </c>
      <c r="AB1266" s="4" t="s">
        <v>241</v>
      </c>
      <c r="AD1266" s="5" t="s">
        <v>241</v>
      </c>
      <c r="AG1266" s="5" t="s">
        <v>246</v>
      </c>
      <c r="AH1266" s="4" t="s">
        <v>241</v>
      </c>
      <c r="AI1266" s="4" t="s">
        <v>247</v>
      </c>
      <c r="AJ1266" s="4" t="s">
        <v>248</v>
      </c>
      <c r="AZ1266" s="4" t="s">
        <v>249</v>
      </c>
      <c r="BA1266" s="4" t="s">
        <v>241</v>
      </c>
      <c r="BB1266" s="4" t="s">
        <v>250</v>
      </c>
      <c r="BC1266" s="4" t="s">
        <v>241</v>
      </c>
      <c r="BD1266" s="4" t="s">
        <v>252</v>
      </c>
      <c r="BE1266" s="4" t="s">
        <v>241</v>
      </c>
      <c r="BI1266" s="4" t="s">
        <v>253</v>
      </c>
      <c r="BJ1266" s="5" t="s">
        <v>246</v>
      </c>
      <c r="BK1266" s="4" t="s">
        <v>254</v>
      </c>
      <c r="BL1266" s="4" t="s">
        <v>255</v>
      </c>
      <c r="BM1266" s="4" t="s">
        <v>241</v>
      </c>
      <c r="BN1266" s="6">
        <f>0</f>
        <v>0</v>
      </c>
      <c r="BO1266" s="6">
        <f>0</f>
        <v>0</v>
      </c>
      <c r="BP1266" s="4" t="s">
        <v>256</v>
      </c>
      <c r="BQ1266" s="4" t="s">
        <v>257</v>
      </c>
      <c r="CE1266" s="4" t="s">
        <v>241</v>
      </c>
      <c r="CF1266" s="4" t="s">
        <v>241</v>
      </c>
      <c r="CJ1266" s="4" t="s">
        <v>276</v>
      </c>
      <c r="CK1266" s="4" t="s">
        <v>259</v>
      </c>
      <c r="CL1266" s="4" t="s">
        <v>241</v>
      </c>
      <c r="CO1266" s="5" t="s">
        <v>260</v>
      </c>
      <c r="CP1266" s="4" t="s">
        <v>241</v>
      </c>
      <c r="CQ1266" s="4" t="s">
        <v>261</v>
      </c>
      <c r="CR1266" s="4" t="s">
        <v>241</v>
      </c>
      <c r="CS1266" s="4" t="s">
        <v>241</v>
      </c>
      <c r="CT1266" s="4">
        <v>0</v>
      </c>
      <c r="CU1266" s="4" t="s">
        <v>262</v>
      </c>
      <c r="CV1266" s="4" t="s">
        <v>263</v>
      </c>
      <c r="CW1266" s="4" t="s">
        <v>263</v>
      </c>
      <c r="CX1266" s="4" t="s">
        <v>264</v>
      </c>
      <c r="DA1266" s="6">
        <f>1</f>
        <v>1</v>
      </c>
      <c r="DC1266" s="4" t="s">
        <v>277</v>
      </c>
      <c r="DD1266" s="4" t="s">
        <v>241</v>
      </c>
      <c r="DF1266" s="4" t="s">
        <v>277</v>
      </c>
      <c r="DG1266" s="6">
        <f>138</f>
        <v>138</v>
      </c>
      <c r="DI1266" s="4" t="s">
        <v>241</v>
      </c>
      <c r="DJ1266" s="4" t="s">
        <v>241</v>
      </c>
      <c r="DK1266" s="4" t="s">
        <v>241</v>
      </c>
      <c r="DL1266" s="4" t="s">
        <v>241</v>
      </c>
      <c r="DP1266" s="4" t="s">
        <v>241</v>
      </c>
      <c r="DQ1266" s="4" t="s">
        <v>241</v>
      </c>
      <c r="DR1266" s="4" t="s">
        <v>241</v>
      </c>
      <c r="DS1266" s="4" t="s">
        <v>241</v>
      </c>
      <c r="DV1266" s="4" t="s">
        <v>278</v>
      </c>
      <c r="DW1266" s="4" t="s">
        <v>2958</v>
      </c>
      <c r="HO1266" s="4" t="s">
        <v>267</v>
      </c>
    </row>
    <row r="1267" spans="1:223" ht="19.5" customHeight="1" x14ac:dyDescent="0.4">
      <c r="A1267" s="4">
        <v>1</v>
      </c>
      <c r="B1267" s="4" t="s">
        <v>239</v>
      </c>
      <c r="C1267" s="4">
        <v>2941</v>
      </c>
      <c r="D1267" s="4">
        <v>1</v>
      </c>
      <c r="E1267" s="4">
        <v>1</v>
      </c>
      <c r="F1267" s="4" t="s">
        <v>268</v>
      </c>
      <c r="G1267" s="4" t="s">
        <v>241</v>
      </c>
      <c r="H1267" s="4" t="s">
        <v>241</v>
      </c>
      <c r="I1267" s="4" t="s">
        <v>272</v>
      </c>
      <c r="J1267" s="4" t="s">
        <v>274</v>
      </c>
      <c r="K1267" s="4" t="s">
        <v>251</v>
      </c>
      <c r="L1267" s="4" t="s">
        <v>269</v>
      </c>
      <c r="M1267" s="5" t="s">
        <v>1845</v>
      </c>
      <c r="N1267" s="6">
        <f>71</f>
        <v>71</v>
      </c>
      <c r="O1267" s="4" t="s">
        <v>265</v>
      </c>
      <c r="P1267" s="6">
        <f>1</f>
        <v>1</v>
      </c>
      <c r="Q1267" s="6">
        <f>0</f>
        <v>0</v>
      </c>
      <c r="S1267" s="6">
        <f>0</f>
        <v>0</v>
      </c>
      <c r="T1267" s="6">
        <f>1</f>
        <v>1</v>
      </c>
      <c r="U1267" s="5" t="s">
        <v>245</v>
      </c>
      <c r="V1267" s="4" t="s">
        <v>270</v>
      </c>
      <c r="W1267" s="4" t="s">
        <v>271</v>
      </c>
      <c r="X1267" s="4" t="s">
        <v>273</v>
      </c>
      <c r="Y1267" s="4" t="s">
        <v>241</v>
      </c>
      <c r="AB1267" s="4" t="s">
        <v>241</v>
      </c>
      <c r="AD1267" s="5" t="s">
        <v>241</v>
      </c>
      <c r="AG1267" s="5" t="s">
        <v>246</v>
      </c>
      <c r="AH1267" s="4" t="s">
        <v>241</v>
      </c>
      <c r="AI1267" s="4" t="s">
        <v>247</v>
      </c>
      <c r="AJ1267" s="4" t="s">
        <v>248</v>
      </c>
      <c r="AZ1267" s="4" t="s">
        <v>249</v>
      </c>
      <c r="BA1267" s="4" t="s">
        <v>241</v>
      </c>
      <c r="BB1267" s="4" t="s">
        <v>250</v>
      </c>
      <c r="BC1267" s="4" t="s">
        <v>241</v>
      </c>
      <c r="BD1267" s="4" t="s">
        <v>252</v>
      </c>
      <c r="BE1267" s="4" t="s">
        <v>241</v>
      </c>
      <c r="BI1267" s="4" t="s">
        <v>253</v>
      </c>
      <c r="BJ1267" s="5" t="s">
        <v>246</v>
      </c>
      <c r="BK1267" s="4" t="s">
        <v>254</v>
      </c>
      <c r="BL1267" s="4" t="s">
        <v>255</v>
      </c>
      <c r="BM1267" s="4" t="s">
        <v>241</v>
      </c>
      <c r="BN1267" s="6">
        <f>0</f>
        <v>0</v>
      </c>
      <c r="BO1267" s="6">
        <f>0</f>
        <v>0</v>
      </c>
      <c r="BP1267" s="4" t="s">
        <v>256</v>
      </c>
      <c r="BQ1267" s="4" t="s">
        <v>257</v>
      </c>
      <c r="CE1267" s="4" t="s">
        <v>241</v>
      </c>
      <c r="CF1267" s="4" t="s">
        <v>241</v>
      </c>
      <c r="CJ1267" s="4" t="s">
        <v>276</v>
      </c>
      <c r="CK1267" s="4" t="s">
        <v>259</v>
      </c>
      <c r="CL1267" s="4" t="s">
        <v>241</v>
      </c>
      <c r="CO1267" s="5" t="s">
        <v>260</v>
      </c>
      <c r="CP1267" s="4" t="s">
        <v>241</v>
      </c>
      <c r="CQ1267" s="4" t="s">
        <v>261</v>
      </c>
      <c r="CR1267" s="4" t="s">
        <v>241</v>
      </c>
      <c r="CS1267" s="4" t="s">
        <v>241</v>
      </c>
      <c r="CT1267" s="4">
        <v>0</v>
      </c>
      <c r="CU1267" s="4" t="s">
        <v>262</v>
      </c>
      <c r="CV1267" s="4" t="s">
        <v>263</v>
      </c>
      <c r="CW1267" s="4" t="s">
        <v>263</v>
      </c>
      <c r="CX1267" s="4" t="s">
        <v>264</v>
      </c>
      <c r="DA1267" s="6">
        <f>1</f>
        <v>1</v>
      </c>
      <c r="DC1267" s="4" t="s">
        <v>277</v>
      </c>
      <c r="DD1267" s="4" t="s">
        <v>241</v>
      </c>
      <c r="DF1267" s="4" t="s">
        <v>277</v>
      </c>
      <c r="DG1267" s="6">
        <f>71</f>
        <v>71</v>
      </c>
      <c r="DI1267" s="4" t="s">
        <v>241</v>
      </c>
      <c r="DJ1267" s="4" t="s">
        <v>241</v>
      </c>
      <c r="DK1267" s="4" t="s">
        <v>241</v>
      </c>
      <c r="DL1267" s="4" t="s">
        <v>241</v>
      </c>
      <c r="DP1267" s="4" t="s">
        <v>241</v>
      </c>
      <c r="DQ1267" s="4" t="s">
        <v>241</v>
      </c>
      <c r="DR1267" s="4" t="s">
        <v>241</v>
      </c>
      <c r="DS1267" s="4" t="s">
        <v>241</v>
      </c>
      <c r="DV1267" s="4" t="s">
        <v>278</v>
      </c>
      <c r="DW1267" s="4" t="s">
        <v>1846</v>
      </c>
      <c r="HO1267" s="4" t="s">
        <v>267</v>
      </c>
    </row>
    <row r="1268" spans="1:223" ht="19.5" customHeight="1" x14ac:dyDescent="0.4">
      <c r="A1268" s="4">
        <v>1</v>
      </c>
      <c r="B1268" s="4" t="s">
        <v>239</v>
      </c>
      <c r="C1268" s="4">
        <v>2942</v>
      </c>
      <c r="D1268" s="4">
        <v>1</v>
      </c>
      <c r="E1268" s="4">
        <v>1</v>
      </c>
      <c r="F1268" s="4" t="s">
        <v>268</v>
      </c>
      <c r="G1268" s="4" t="s">
        <v>241</v>
      </c>
      <c r="H1268" s="4" t="s">
        <v>241</v>
      </c>
      <c r="I1268" s="4" t="s">
        <v>272</v>
      </c>
      <c r="J1268" s="4" t="s">
        <v>274</v>
      </c>
      <c r="K1268" s="4" t="s">
        <v>251</v>
      </c>
      <c r="L1268" s="4" t="s">
        <v>269</v>
      </c>
      <c r="M1268" s="5" t="s">
        <v>1860</v>
      </c>
      <c r="N1268" s="6">
        <f>514</f>
        <v>514</v>
      </c>
      <c r="O1268" s="4" t="s">
        <v>265</v>
      </c>
      <c r="P1268" s="6">
        <f>1</f>
        <v>1</v>
      </c>
      <c r="Q1268" s="6">
        <f>0</f>
        <v>0</v>
      </c>
      <c r="S1268" s="6">
        <f>0</f>
        <v>0</v>
      </c>
      <c r="T1268" s="6">
        <f>1</f>
        <v>1</v>
      </c>
      <c r="U1268" s="5" t="s">
        <v>245</v>
      </c>
      <c r="V1268" s="4" t="s">
        <v>270</v>
      </c>
      <c r="W1268" s="4" t="s">
        <v>271</v>
      </c>
      <c r="X1268" s="4" t="s">
        <v>273</v>
      </c>
      <c r="Y1268" s="4" t="s">
        <v>241</v>
      </c>
      <c r="AB1268" s="4" t="s">
        <v>241</v>
      </c>
      <c r="AD1268" s="5" t="s">
        <v>241</v>
      </c>
      <c r="AG1268" s="5" t="s">
        <v>246</v>
      </c>
      <c r="AH1268" s="4" t="s">
        <v>241</v>
      </c>
      <c r="AI1268" s="4" t="s">
        <v>247</v>
      </c>
      <c r="AJ1268" s="4" t="s">
        <v>248</v>
      </c>
      <c r="AZ1268" s="4" t="s">
        <v>249</v>
      </c>
      <c r="BA1268" s="4" t="s">
        <v>241</v>
      </c>
      <c r="BB1268" s="4" t="s">
        <v>250</v>
      </c>
      <c r="BC1268" s="4" t="s">
        <v>241</v>
      </c>
      <c r="BD1268" s="4" t="s">
        <v>252</v>
      </c>
      <c r="BE1268" s="4" t="s">
        <v>241</v>
      </c>
      <c r="BI1268" s="4" t="s">
        <v>253</v>
      </c>
      <c r="BJ1268" s="5" t="s">
        <v>246</v>
      </c>
      <c r="BK1268" s="4" t="s">
        <v>254</v>
      </c>
      <c r="BL1268" s="4" t="s">
        <v>255</v>
      </c>
      <c r="BM1268" s="4" t="s">
        <v>241</v>
      </c>
      <c r="BN1268" s="6">
        <f>0</f>
        <v>0</v>
      </c>
      <c r="BO1268" s="6">
        <f>0</f>
        <v>0</v>
      </c>
      <c r="BP1268" s="4" t="s">
        <v>256</v>
      </c>
      <c r="BQ1268" s="4" t="s">
        <v>257</v>
      </c>
      <c r="CE1268" s="4" t="s">
        <v>241</v>
      </c>
      <c r="CF1268" s="4" t="s">
        <v>241</v>
      </c>
      <c r="CJ1268" s="4" t="s">
        <v>276</v>
      </c>
      <c r="CK1268" s="4" t="s">
        <v>259</v>
      </c>
      <c r="CL1268" s="4" t="s">
        <v>241</v>
      </c>
      <c r="CO1268" s="5" t="s">
        <v>260</v>
      </c>
      <c r="CP1268" s="4" t="s">
        <v>241</v>
      </c>
      <c r="CQ1268" s="4" t="s">
        <v>261</v>
      </c>
      <c r="CR1268" s="4" t="s">
        <v>241</v>
      </c>
      <c r="CS1268" s="4" t="s">
        <v>241</v>
      </c>
      <c r="CT1268" s="4">
        <v>0</v>
      </c>
      <c r="CU1268" s="4" t="s">
        <v>262</v>
      </c>
      <c r="CV1268" s="4" t="s">
        <v>263</v>
      </c>
      <c r="CW1268" s="4" t="s">
        <v>263</v>
      </c>
      <c r="CX1268" s="4" t="s">
        <v>264</v>
      </c>
      <c r="DA1268" s="6">
        <f>1</f>
        <v>1</v>
      </c>
      <c r="DC1268" s="4" t="s">
        <v>277</v>
      </c>
      <c r="DD1268" s="4" t="s">
        <v>241</v>
      </c>
      <c r="DF1268" s="4" t="s">
        <v>277</v>
      </c>
      <c r="DG1268" s="6">
        <f>514</f>
        <v>514</v>
      </c>
      <c r="DI1268" s="4" t="s">
        <v>241</v>
      </c>
      <c r="DJ1268" s="4" t="s">
        <v>241</v>
      </c>
      <c r="DK1268" s="4" t="s">
        <v>241</v>
      </c>
      <c r="DL1268" s="4" t="s">
        <v>241</v>
      </c>
      <c r="DP1268" s="4" t="s">
        <v>241</v>
      </c>
      <c r="DQ1268" s="4" t="s">
        <v>241</v>
      </c>
      <c r="DR1268" s="4" t="s">
        <v>241</v>
      </c>
      <c r="DS1268" s="4" t="s">
        <v>241</v>
      </c>
      <c r="DV1268" s="4" t="s">
        <v>278</v>
      </c>
      <c r="DW1268" s="4" t="s">
        <v>824</v>
      </c>
      <c r="HO1268" s="4" t="s">
        <v>267</v>
      </c>
    </row>
    <row r="1269" spans="1:223" ht="19.5" customHeight="1" x14ac:dyDescent="0.4">
      <c r="A1269" s="4">
        <v>1</v>
      </c>
      <c r="B1269" s="4" t="s">
        <v>239</v>
      </c>
      <c r="C1269" s="4">
        <v>2943</v>
      </c>
      <c r="D1269" s="4">
        <v>1</v>
      </c>
      <c r="E1269" s="4">
        <v>1</v>
      </c>
      <c r="F1269" s="4" t="s">
        <v>268</v>
      </c>
      <c r="G1269" s="4" t="s">
        <v>241</v>
      </c>
      <c r="H1269" s="4" t="s">
        <v>241</v>
      </c>
      <c r="I1269" s="4" t="s">
        <v>272</v>
      </c>
      <c r="J1269" s="4" t="s">
        <v>274</v>
      </c>
      <c r="K1269" s="4" t="s">
        <v>251</v>
      </c>
      <c r="L1269" s="4" t="s">
        <v>269</v>
      </c>
      <c r="M1269" s="5" t="s">
        <v>1815</v>
      </c>
      <c r="N1269" s="6">
        <f>1328</f>
        <v>1328</v>
      </c>
      <c r="O1269" s="4" t="s">
        <v>265</v>
      </c>
      <c r="P1269" s="6">
        <f>1</f>
        <v>1</v>
      </c>
      <c r="Q1269" s="6">
        <f>0</f>
        <v>0</v>
      </c>
      <c r="S1269" s="6">
        <f>0</f>
        <v>0</v>
      </c>
      <c r="T1269" s="6">
        <f>1</f>
        <v>1</v>
      </c>
      <c r="U1269" s="5" t="s">
        <v>245</v>
      </c>
      <c r="V1269" s="4" t="s">
        <v>270</v>
      </c>
      <c r="W1269" s="4" t="s">
        <v>271</v>
      </c>
      <c r="X1269" s="4" t="s">
        <v>273</v>
      </c>
      <c r="Y1269" s="4" t="s">
        <v>241</v>
      </c>
      <c r="AB1269" s="4" t="s">
        <v>241</v>
      </c>
      <c r="AD1269" s="5" t="s">
        <v>241</v>
      </c>
      <c r="AG1269" s="5" t="s">
        <v>246</v>
      </c>
      <c r="AH1269" s="4" t="s">
        <v>241</v>
      </c>
      <c r="AI1269" s="4" t="s">
        <v>247</v>
      </c>
      <c r="AJ1269" s="4" t="s">
        <v>248</v>
      </c>
      <c r="AZ1269" s="4" t="s">
        <v>249</v>
      </c>
      <c r="BA1269" s="4" t="s">
        <v>241</v>
      </c>
      <c r="BB1269" s="4" t="s">
        <v>250</v>
      </c>
      <c r="BC1269" s="4" t="s">
        <v>241</v>
      </c>
      <c r="BD1269" s="4" t="s">
        <v>252</v>
      </c>
      <c r="BE1269" s="4" t="s">
        <v>241</v>
      </c>
      <c r="BI1269" s="4" t="s">
        <v>253</v>
      </c>
      <c r="BJ1269" s="5" t="s">
        <v>246</v>
      </c>
      <c r="BK1269" s="4" t="s">
        <v>254</v>
      </c>
      <c r="BL1269" s="4" t="s">
        <v>255</v>
      </c>
      <c r="BM1269" s="4" t="s">
        <v>241</v>
      </c>
      <c r="BN1269" s="6">
        <f>0</f>
        <v>0</v>
      </c>
      <c r="BO1269" s="6">
        <f>0</f>
        <v>0</v>
      </c>
      <c r="BP1269" s="4" t="s">
        <v>256</v>
      </c>
      <c r="BQ1269" s="4" t="s">
        <v>257</v>
      </c>
      <c r="CE1269" s="4" t="s">
        <v>241</v>
      </c>
      <c r="CF1269" s="4" t="s">
        <v>241</v>
      </c>
      <c r="CJ1269" s="4" t="s">
        <v>276</v>
      </c>
      <c r="CK1269" s="4" t="s">
        <v>259</v>
      </c>
      <c r="CL1269" s="4" t="s">
        <v>241</v>
      </c>
      <c r="CO1269" s="5" t="s">
        <v>260</v>
      </c>
      <c r="CP1269" s="4" t="s">
        <v>241</v>
      </c>
      <c r="CQ1269" s="4" t="s">
        <v>261</v>
      </c>
      <c r="CR1269" s="4" t="s">
        <v>241</v>
      </c>
      <c r="CS1269" s="4" t="s">
        <v>241</v>
      </c>
      <c r="CT1269" s="4">
        <v>0</v>
      </c>
      <c r="CU1269" s="4" t="s">
        <v>262</v>
      </c>
      <c r="CV1269" s="4" t="s">
        <v>263</v>
      </c>
      <c r="CW1269" s="4" t="s">
        <v>263</v>
      </c>
      <c r="CX1269" s="4" t="s">
        <v>264</v>
      </c>
      <c r="DA1269" s="6">
        <f>1</f>
        <v>1</v>
      </c>
      <c r="DC1269" s="4" t="s">
        <v>277</v>
      </c>
      <c r="DD1269" s="4" t="s">
        <v>241</v>
      </c>
      <c r="DF1269" s="4" t="s">
        <v>277</v>
      </c>
      <c r="DG1269" s="6">
        <f>1328</f>
        <v>1328</v>
      </c>
      <c r="DI1269" s="4" t="s">
        <v>241</v>
      </c>
      <c r="DJ1269" s="4" t="s">
        <v>241</v>
      </c>
      <c r="DK1269" s="4" t="s">
        <v>241</v>
      </c>
      <c r="DL1269" s="4" t="s">
        <v>241</v>
      </c>
      <c r="DP1269" s="4" t="s">
        <v>241</v>
      </c>
      <c r="DQ1269" s="4" t="s">
        <v>241</v>
      </c>
      <c r="DR1269" s="4" t="s">
        <v>241</v>
      </c>
      <c r="DS1269" s="4" t="s">
        <v>241</v>
      </c>
      <c r="DV1269" s="4" t="s">
        <v>278</v>
      </c>
      <c r="DW1269" s="4" t="s">
        <v>822</v>
      </c>
      <c r="HO1269" s="4" t="s">
        <v>267</v>
      </c>
    </row>
    <row r="1270" spans="1:223" ht="19.5" customHeight="1" x14ac:dyDescent="0.4">
      <c r="A1270" s="4">
        <v>1</v>
      </c>
      <c r="B1270" s="4" t="s">
        <v>239</v>
      </c>
      <c r="C1270" s="4">
        <v>2944</v>
      </c>
      <c r="D1270" s="4">
        <v>1</v>
      </c>
      <c r="E1270" s="4">
        <v>1</v>
      </c>
      <c r="F1270" s="4" t="s">
        <v>268</v>
      </c>
      <c r="G1270" s="4" t="s">
        <v>241</v>
      </c>
      <c r="H1270" s="4" t="s">
        <v>241</v>
      </c>
      <c r="I1270" s="4" t="s">
        <v>272</v>
      </c>
      <c r="J1270" s="4" t="s">
        <v>274</v>
      </c>
      <c r="K1270" s="4" t="s">
        <v>251</v>
      </c>
      <c r="L1270" s="4" t="s">
        <v>269</v>
      </c>
      <c r="M1270" s="5" t="s">
        <v>1857</v>
      </c>
      <c r="N1270" s="6">
        <f>214</f>
        <v>214</v>
      </c>
      <c r="O1270" s="4" t="s">
        <v>265</v>
      </c>
      <c r="P1270" s="6">
        <f>1</f>
        <v>1</v>
      </c>
      <c r="Q1270" s="6">
        <f>0</f>
        <v>0</v>
      </c>
      <c r="S1270" s="6">
        <f>0</f>
        <v>0</v>
      </c>
      <c r="T1270" s="6">
        <f>1</f>
        <v>1</v>
      </c>
      <c r="U1270" s="5" t="s">
        <v>245</v>
      </c>
      <c r="V1270" s="4" t="s">
        <v>270</v>
      </c>
      <c r="W1270" s="4" t="s">
        <v>271</v>
      </c>
      <c r="X1270" s="4" t="s">
        <v>273</v>
      </c>
      <c r="Y1270" s="4" t="s">
        <v>241</v>
      </c>
      <c r="AB1270" s="4" t="s">
        <v>241</v>
      </c>
      <c r="AD1270" s="5" t="s">
        <v>241</v>
      </c>
      <c r="AG1270" s="5" t="s">
        <v>246</v>
      </c>
      <c r="AH1270" s="4" t="s">
        <v>241</v>
      </c>
      <c r="AI1270" s="4" t="s">
        <v>247</v>
      </c>
      <c r="AJ1270" s="4" t="s">
        <v>248</v>
      </c>
      <c r="AZ1270" s="4" t="s">
        <v>249</v>
      </c>
      <c r="BA1270" s="4" t="s">
        <v>241</v>
      </c>
      <c r="BB1270" s="4" t="s">
        <v>250</v>
      </c>
      <c r="BC1270" s="4" t="s">
        <v>241</v>
      </c>
      <c r="BD1270" s="4" t="s">
        <v>252</v>
      </c>
      <c r="BE1270" s="4" t="s">
        <v>241</v>
      </c>
      <c r="BI1270" s="4" t="s">
        <v>253</v>
      </c>
      <c r="BJ1270" s="5" t="s">
        <v>246</v>
      </c>
      <c r="BK1270" s="4" t="s">
        <v>254</v>
      </c>
      <c r="BL1270" s="4" t="s">
        <v>255</v>
      </c>
      <c r="BM1270" s="4" t="s">
        <v>241</v>
      </c>
      <c r="BN1270" s="6">
        <f>0</f>
        <v>0</v>
      </c>
      <c r="BO1270" s="6">
        <f>0</f>
        <v>0</v>
      </c>
      <c r="BP1270" s="4" t="s">
        <v>256</v>
      </c>
      <c r="BQ1270" s="4" t="s">
        <v>257</v>
      </c>
      <c r="CE1270" s="4" t="s">
        <v>241</v>
      </c>
      <c r="CF1270" s="4" t="s">
        <v>241</v>
      </c>
      <c r="CJ1270" s="4" t="s">
        <v>276</v>
      </c>
      <c r="CK1270" s="4" t="s">
        <v>259</v>
      </c>
      <c r="CL1270" s="4" t="s">
        <v>241</v>
      </c>
      <c r="CO1270" s="5" t="s">
        <v>260</v>
      </c>
      <c r="CP1270" s="4" t="s">
        <v>241</v>
      </c>
      <c r="CQ1270" s="4" t="s">
        <v>261</v>
      </c>
      <c r="CR1270" s="4" t="s">
        <v>241</v>
      </c>
      <c r="CS1270" s="4" t="s">
        <v>241</v>
      </c>
      <c r="CT1270" s="4">
        <v>0</v>
      </c>
      <c r="CU1270" s="4" t="s">
        <v>262</v>
      </c>
      <c r="CV1270" s="4" t="s">
        <v>263</v>
      </c>
      <c r="CW1270" s="4" t="s">
        <v>263</v>
      </c>
      <c r="CX1270" s="4" t="s">
        <v>264</v>
      </c>
      <c r="DA1270" s="6">
        <f>1</f>
        <v>1</v>
      </c>
      <c r="DC1270" s="4" t="s">
        <v>277</v>
      </c>
      <c r="DD1270" s="4" t="s">
        <v>241</v>
      </c>
      <c r="DF1270" s="4" t="s">
        <v>277</v>
      </c>
      <c r="DG1270" s="6">
        <f>214</f>
        <v>214</v>
      </c>
      <c r="DI1270" s="4" t="s">
        <v>241</v>
      </c>
      <c r="DJ1270" s="4" t="s">
        <v>241</v>
      </c>
      <c r="DK1270" s="4" t="s">
        <v>241</v>
      </c>
      <c r="DL1270" s="4" t="s">
        <v>241</v>
      </c>
      <c r="DP1270" s="4" t="s">
        <v>241</v>
      </c>
      <c r="DQ1270" s="4" t="s">
        <v>241</v>
      </c>
      <c r="DR1270" s="4" t="s">
        <v>241</v>
      </c>
      <c r="DS1270" s="4" t="s">
        <v>241</v>
      </c>
      <c r="DV1270" s="4" t="s">
        <v>278</v>
      </c>
      <c r="DW1270" s="4" t="s">
        <v>816</v>
      </c>
      <c r="HO1270" s="4" t="s">
        <v>267</v>
      </c>
    </row>
    <row r="1271" spans="1:223" ht="19.5" customHeight="1" x14ac:dyDescent="0.4">
      <c r="A1271" s="4">
        <v>1</v>
      </c>
      <c r="B1271" s="4" t="s">
        <v>239</v>
      </c>
      <c r="C1271" s="4">
        <v>2945</v>
      </c>
      <c r="D1271" s="4">
        <v>1</v>
      </c>
      <c r="E1271" s="4">
        <v>1</v>
      </c>
      <c r="F1271" s="4" t="s">
        <v>268</v>
      </c>
      <c r="G1271" s="4" t="s">
        <v>241</v>
      </c>
      <c r="H1271" s="4" t="s">
        <v>241</v>
      </c>
      <c r="I1271" s="4" t="s">
        <v>272</v>
      </c>
      <c r="J1271" s="4" t="s">
        <v>274</v>
      </c>
      <c r="K1271" s="4" t="s">
        <v>251</v>
      </c>
      <c r="L1271" s="4" t="s">
        <v>269</v>
      </c>
      <c r="M1271" s="5" t="s">
        <v>1872</v>
      </c>
      <c r="N1271" s="6">
        <f>19</f>
        <v>19</v>
      </c>
      <c r="O1271" s="4" t="s">
        <v>265</v>
      </c>
      <c r="P1271" s="6">
        <f>1</f>
        <v>1</v>
      </c>
      <c r="Q1271" s="6">
        <f>0</f>
        <v>0</v>
      </c>
      <c r="S1271" s="6">
        <f>0</f>
        <v>0</v>
      </c>
      <c r="T1271" s="6">
        <f>1</f>
        <v>1</v>
      </c>
      <c r="U1271" s="5" t="s">
        <v>245</v>
      </c>
      <c r="V1271" s="4" t="s">
        <v>270</v>
      </c>
      <c r="W1271" s="4" t="s">
        <v>271</v>
      </c>
      <c r="X1271" s="4" t="s">
        <v>273</v>
      </c>
      <c r="Y1271" s="4" t="s">
        <v>241</v>
      </c>
      <c r="AB1271" s="4" t="s">
        <v>241</v>
      </c>
      <c r="AD1271" s="5" t="s">
        <v>241</v>
      </c>
      <c r="AG1271" s="5" t="s">
        <v>246</v>
      </c>
      <c r="AH1271" s="4" t="s">
        <v>241</v>
      </c>
      <c r="AI1271" s="4" t="s">
        <v>247</v>
      </c>
      <c r="AJ1271" s="4" t="s">
        <v>248</v>
      </c>
      <c r="AZ1271" s="4" t="s">
        <v>249</v>
      </c>
      <c r="BA1271" s="4" t="s">
        <v>241</v>
      </c>
      <c r="BB1271" s="4" t="s">
        <v>250</v>
      </c>
      <c r="BC1271" s="4" t="s">
        <v>241</v>
      </c>
      <c r="BD1271" s="4" t="s">
        <v>252</v>
      </c>
      <c r="BE1271" s="4" t="s">
        <v>241</v>
      </c>
      <c r="BI1271" s="4" t="s">
        <v>253</v>
      </c>
      <c r="BJ1271" s="5" t="s">
        <v>246</v>
      </c>
      <c r="BK1271" s="4" t="s">
        <v>254</v>
      </c>
      <c r="BL1271" s="4" t="s">
        <v>255</v>
      </c>
      <c r="BM1271" s="4" t="s">
        <v>241</v>
      </c>
      <c r="BN1271" s="6">
        <f>0</f>
        <v>0</v>
      </c>
      <c r="BO1271" s="6">
        <f>0</f>
        <v>0</v>
      </c>
      <c r="BP1271" s="4" t="s">
        <v>256</v>
      </c>
      <c r="BQ1271" s="4" t="s">
        <v>257</v>
      </c>
      <c r="CE1271" s="4" t="s">
        <v>241</v>
      </c>
      <c r="CF1271" s="4" t="s">
        <v>241</v>
      </c>
      <c r="CJ1271" s="4" t="s">
        <v>276</v>
      </c>
      <c r="CK1271" s="4" t="s">
        <v>259</v>
      </c>
      <c r="CL1271" s="4" t="s">
        <v>241</v>
      </c>
      <c r="CO1271" s="5" t="s">
        <v>260</v>
      </c>
      <c r="CP1271" s="4" t="s">
        <v>241</v>
      </c>
      <c r="CQ1271" s="4" t="s">
        <v>261</v>
      </c>
      <c r="CR1271" s="4" t="s">
        <v>241</v>
      </c>
      <c r="CS1271" s="4" t="s">
        <v>241</v>
      </c>
      <c r="CT1271" s="4">
        <v>0</v>
      </c>
      <c r="CU1271" s="4" t="s">
        <v>262</v>
      </c>
      <c r="CV1271" s="4" t="s">
        <v>263</v>
      </c>
      <c r="CW1271" s="4" t="s">
        <v>263</v>
      </c>
      <c r="CX1271" s="4" t="s">
        <v>264</v>
      </c>
      <c r="DA1271" s="6">
        <f>1</f>
        <v>1</v>
      </c>
      <c r="DC1271" s="4" t="s">
        <v>277</v>
      </c>
      <c r="DD1271" s="4" t="s">
        <v>241</v>
      </c>
      <c r="DF1271" s="4" t="s">
        <v>277</v>
      </c>
      <c r="DG1271" s="6">
        <f>19</f>
        <v>19</v>
      </c>
      <c r="DI1271" s="4" t="s">
        <v>241</v>
      </c>
      <c r="DJ1271" s="4" t="s">
        <v>241</v>
      </c>
      <c r="DK1271" s="4" t="s">
        <v>241</v>
      </c>
      <c r="DL1271" s="4" t="s">
        <v>241</v>
      </c>
      <c r="DP1271" s="4" t="s">
        <v>241</v>
      </c>
      <c r="DQ1271" s="4" t="s">
        <v>241</v>
      </c>
      <c r="DR1271" s="4" t="s">
        <v>241</v>
      </c>
      <c r="DS1271" s="4" t="s">
        <v>241</v>
      </c>
      <c r="DV1271" s="4" t="s">
        <v>278</v>
      </c>
      <c r="DW1271" s="4" t="s">
        <v>1873</v>
      </c>
      <c r="HO1271" s="4" t="s">
        <v>267</v>
      </c>
    </row>
    <row r="1272" spans="1:223" ht="19.5" customHeight="1" x14ac:dyDescent="0.4">
      <c r="A1272" s="4">
        <v>1</v>
      </c>
      <c r="B1272" s="4" t="s">
        <v>239</v>
      </c>
      <c r="C1272" s="4">
        <v>2946</v>
      </c>
      <c r="D1272" s="4">
        <v>1</v>
      </c>
      <c r="E1272" s="4">
        <v>1</v>
      </c>
      <c r="F1272" s="4" t="s">
        <v>268</v>
      </c>
      <c r="G1272" s="4" t="s">
        <v>241</v>
      </c>
      <c r="H1272" s="4" t="s">
        <v>241</v>
      </c>
      <c r="I1272" s="4" t="s">
        <v>272</v>
      </c>
      <c r="J1272" s="4" t="s">
        <v>274</v>
      </c>
      <c r="K1272" s="4" t="s">
        <v>251</v>
      </c>
      <c r="L1272" s="4" t="s">
        <v>269</v>
      </c>
      <c r="M1272" s="5" t="s">
        <v>1863</v>
      </c>
      <c r="N1272" s="6">
        <f>911</f>
        <v>911</v>
      </c>
      <c r="O1272" s="4" t="s">
        <v>265</v>
      </c>
      <c r="P1272" s="6">
        <f>1</f>
        <v>1</v>
      </c>
      <c r="Q1272" s="6">
        <f>0</f>
        <v>0</v>
      </c>
      <c r="S1272" s="6">
        <f>0</f>
        <v>0</v>
      </c>
      <c r="T1272" s="6">
        <f>1</f>
        <v>1</v>
      </c>
      <c r="U1272" s="5" t="s">
        <v>245</v>
      </c>
      <c r="V1272" s="4" t="s">
        <v>270</v>
      </c>
      <c r="W1272" s="4" t="s">
        <v>271</v>
      </c>
      <c r="X1272" s="4" t="s">
        <v>273</v>
      </c>
      <c r="Y1272" s="4" t="s">
        <v>241</v>
      </c>
      <c r="AB1272" s="4" t="s">
        <v>241</v>
      </c>
      <c r="AD1272" s="5" t="s">
        <v>241</v>
      </c>
      <c r="AG1272" s="5" t="s">
        <v>246</v>
      </c>
      <c r="AH1272" s="4" t="s">
        <v>241</v>
      </c>
      <c r="AI1272" s="4" t="s">
        <v>247</v>
      </c>
      <c r="AJ1272" s="4" t="s">
        <v>248</v>
      </c>
      <c r="AZ1272" s="4" t="s">
        <v>249</v>
      </c>
      <c r="BA1272" s="4" t="s">
        <v>241</v>
      </c>
      <c r="BB1272" s="4" t="s">
        <v>250</v>
      </c>
      <c r="BC1272" s="4" t="s">
        <v>241</v>
      </c>
      <c r="BD1272" s="4" t="s">
        <v>252</v>
      </c>
      <c r="BE1272" s="4" t="s">
        <v>241</v>
      </c>
      <c r="BI1272" s="4" t="s">
        <v>253</v>
      </c>
      <c r="BJ1272" s="5" t="s">
        <v>246</v>
      </c>
      <c r="BK1272" s="4" t="s">
        <v>254</v>
      </c>
      <c r="BL1272" s="4" t="s">
        <v>255</v>
      </c>
      <c r="BM1272" s="4" t="s">
        <v>241</v>
      </c>
      <c r="BN1272" s="6">
        <f>0</f>
        <v>0</v>
      </c>
      <c r="BO1272" s="6">
        <f>0</f>
        <v>0</v>
      </c>
      <c r="BP1272" s="4" t="s">
        <v>256</v>
      </c>
      <c r="BQ1272" s="4" t="s">
        <v>257</v>
      </c>
      <c r="CE1272" s="4" t="s">
        <v>241</v>
      </c>
      <c r="CF1272" s="4" t="s">
        <v>241</v>
      </c>
      <c r="CJ1272" s="4" t="s">
        <v>276</v>
      </c>
      <c r="CK1272" s="4" t="s">
        <v>259</v>
      </c>
      <c r="CL1272" s="4" t="s">
        <v>241</v>
      </c>
      <c r="CO1272" s="5" t="s">
        <v>260</v>
      </c>
      <c r="CP1272" s="4" t="s">
        <v>241</v>
      </c>
      <c r="CQ1272" s="4" t="s">
        <v>261</v>
      </c>
      <c r="CR1272" s="4" t="s">
        <v>241</v>
      </c>
      <c r="CS1272" s="4" t="s">
        <v>241</v>
      </c>
      <c r="CT1272" s="4">
        <v>0</v>
      </c>
      <c r="CU1272" s="4" t="s">
        <v>262</v>
      </c>
      <c r="CV1272" s="4" t="s">
        <v>263</v>
      </c>
      <c r="CW1272" s="4" t="s">
        <v>263</v>
      </c>
      <c r="CX1272" s="4" t="s">
        <v>264</v>
      </c>
      <c r="DA1272" s="6">
        <f>1</f>
        <v>1</v>
      </c>
      <c r="DC1272" s="4" t="s">
        <v>277</v>
      </c>
      <c r="DD1272" s="4" t="s">
        <v>241</v>
      </c>
      <c r="DF1272" s="4" t="s">
        <v>277</v>
      </c>
      <c r="DG1272" s="6">
        <f>911</f>
        <v>911</v>
      </c>
      <c r="DI1272" s="4" t="s">
        <v>241</v>
      </c>
      <c r="DJ1272" s="4" t="s">
        <v>241</v>
      </c>
      <c r="DK1272" s="4" t="s">
        <v>241</v>
      </c>
      <c r="DL1272" s="4" t="s">
        <v>241</v>
      </c>
      <c r="DP1272" s="4" t="s">
        <v>241</v>
      </c>
      <c r="DQ1272" s="4" t="s">
        <v>241</v>
      </c>
      <c r="DR1272" s="4" t="s">
        <v>241</v>
      </c>
      <c r="DS1272" s="4" t="s">
        <v>241</v>
      </c>
      <c r="DV1272" s="4" t="s">
        <v>278</v>
      </c>
      <c r="DW1272" s="4" t="s">
        <v>804</v>
      </c>
      <c r="HO1272" s="4" t="s">
        <v>267</v>
      </c>
    </row>
    <row r="1273" spans="1:223" ht="19.5" customHeight="1" x14ac:dyDescent="0.4">
      <c r="A1273" s="4">
        <v>1</v>
      </c>
      <c r="B1273" s="4" t="s">
        <v>239</v>
      </c>
      <c r="C1273" s="4">
        <v>2947</v>
      </c>
      <c r="D1273" s="4">
        <v>1</v>
      </c>
      <c r="E1273" s="4">
        <v>1</v>
      </c>
      <c r="F1273" s="4" t="s">
        <v>268</v>
      </c>
      <c r="G1273" s="4" t="s">
        <v>241</v>
      </c>
      <c r="H1273" s="4" t="s">
        <v>241</v>
      </c>
      <c r="I1273" s="4" t="s">
        <v>272</v>
      </c>
      <c r="J1273" s="4" t="s">
        <v>274</v>
      </c>
      <c r="K1273" s="4" t="s">
        <v>251</v>
      </c>
      <c r="L1273" s="4" t="s">
        <v>269</v>
      </c>
      <c r="M1273" s="5" t="s">
        <v>1954</v>
      </c>
      <c r="N1273" s="6">
        <f>3224</f>
        <v>3224</v>
      </c>
      <c r="O1273" s="4" t="s">
        <v>265</v>
      </c>
      <c r="P1273" s="6">
        <f>1</f>
        <v>1</v>
      </c>
      <c r="Q1273" s="6">
        <f>0</f>
        <v>0</v>
      </c>
      <c r="S1273" s="6">
        <f>0</f>
        <v>0</v>
      </c>
      <c r="T1273" s="6">
        <f>1</f>
        <v>1</v>
      </c>
      <c r="U1273" s="5" t="s">
        <v>245</v>
      </c>
      <c r="V1273" s="4" t="s">
        <v>270</v>
      </c>
      <c r="W1273" s="4" t="s">
        <v>271</v>
      </c>
      <c r="X1273" s="4" t="s">
        <v>273</v>
      </c>
      <c r="Y1273" s="4" t="s">
        <v>241</v>
      </c>
      <c r="AB1273" s="4" t="s">
        <v>241</v>
      </c>
      <c r="AD1273" s="5" t="s">
        <v>241</v>
      </c>
      <c r="AG1273" s="5" t="s">
        <v>246</v>
      </c>
      <c r="AH1273" s="4" t="s">
        <v>241</v>
      </c>
      <c r="AI1273" s="4" t="s">
        <v>247</v>
      </c>
      <c r="AJ1273" s="4" t="s">
        <v>248</v>
      </c>
      <c r="AZ1273" s="4" t="s">
        <v>249</v>
      </c>
      <c r="BA1273" s="4" t="s">
        <v>241</v>
      </c>
      <c r="BB1273" s="4" t="s">
        <v>250</v>
      </c>
      <c r="BC1273" s="4" t="s">
        <v>241</v>
      </c>
      <c r="BD1273" s="4" t="s">
        <v>252</v>
      </c>
      <c r="BE1273" s="4" t="s">
        <v>241</v>
      </c>
      <c r="BI1273" s="4" t="s">
        <v>253</v>
      </c>
      <c r="BJ1273" s="5" t="s">
        <v>246</v>
      </c>
      <c r="BK1273" s="4" t="s">
        <v>254</v>
      </c>
      <c r="BL1273" s="4" t="s">
        <v>255</v>
      </c>
      <c r="BM1273" s="4" t="s">
        <v>241</v>
      </c>
      <c r="BN1273" s="6">
        <f>0</f>
        <v>0</v>
      </c>
      <c r="BO1273" s="6">
        <f>0</f>
        <v>0</v>
      </c>
      <c r="BP1273" s="4" t="s">
        <v>256</v>
      </c>
      <c r="BQ1273" s="4" t="s">
        <v>257</v>
      </c>
      <c r="CE1273" s="4" t="s">
        <v>241</v>
      </c>
      <c r="CF1273" s="4" t="s">
        <v>241</v>
      </c>
      <c r="CJ1273" s="4" t="s">
        <v>276</v>
      </c>
      <c r="CK1273" s="4" t="s">
        <v>259</v>
      </c>
      <c r="CL1273" s="4" t="s">
        <v>241</v>
      </c>
      <c r="CO1273" s="5" t="s">
        <v>260</v>
      </c>
      <c r="CP1273" s="4" t="s">
        <v>241</v>
      </c>
      <c r="CQ1273" s="4" t="s">
        <v>261</v>
      </c>
      <c r="CR1273" s="4" t="s">
        <v>241</v>
      </c>
      <c r="CS1273" s="4" t="s">
        <v>241</v>
      </c>
      <c r="CT1273" s="4">
        <v>0</v>
      </c>
      <c r="CU1273" s="4" t="s">
        <v>262</v>
      </c>
      <c r="CV1273" s="4" t="s">
        <v>263</v>
      </c>
      <c r="CW1273" s="4" t="s">
        <v>263</v>
      </c>
      <c r="CX1273" s="4" t="s">
        <v>264</v>
      </c>
      <c r="DA1273" s="6">
        <f>1</f>
        <v>1</v>
      </c>
      <c r="DC1273" s="4" t="s">
        <v>277</v>
      </c>
      <c r="DD1273" s="4" t="s">
        <v>241</v>
      </c>
      <c r="DF1273" s="4" t="s">
        <v>277</v>
      </c>
      <c r="DG1273" s="6">
        <f>3224</f>
        <v>3224</v>
      </c>
      <c r="DI1273" s="4" t="s">
        <v>241</v>
      </c>
      <c r="DJ1273" s="4" t="s">
        <v>241</v>
      </c>
      <c r="DK1273" s="4" t="s">
        <v>241</v>
      </c>
      <c r="DL1273" s="4" t="s">
        <v>241</v>
      </c>
      <c r="DP1273" s="4" t="s">
        <v>241</v>
      </c>
      <c r="DQ1273" s="4" t="s">
        <v>241</v>
      </c>
      <c r="DR1273" s="4" t="s">
        <v>241</v>
      </c>
      <c r="DS1273" s="4" t="s">
        <v>241</v>
      </c>
      <c r="DV1273" s="4" t="s">
        <v>278</v>
      </c>
      <c r="DW1273" s="4" t="s">
        <v>796</v>
      </c>
      <c r="HO1273" s="4" t="s">
        <v>267</v>
      </c>
    </row>
    <row r="1274" spans="1:223" ht="19.5" customHeight="1" x14ac:dyDescent="0.4">
      <c r="A1274" s="4">
        <v>1</v>
      </c>
      <c r="B1274" s="4" t="s">
        <v>239</v>
      </c>
      <c r="C1274" s="4">
        <v>2948</v>
      </c>
      <c r="D1274" s="4">
        <v>1</v>
      </c>
      <c r="E1274" s="4">
        <v>1</v>
      </c>
      <c r="F1274" s="4" t="s">
        <v>268</v>
      </c>
      <c r="G1274" s="4" t="s">
        <v>241</v>
      </c>
      <c r="H1274" s="4" t="s">
        <v>241</v>
      </c>
      <c r="I1274" s="4" t="s">
        <v>272</v>
      </c>
      <c r="J1274" s="4" t="s">
        <v>274</v>
      </c>
      <c r="K1274" s="4" t="s">
        <v>251</v>
      </c>
      <c r="L1274" s="4" t="s">
        <v>269</v>
      </c>
      <c r="M1274" s="5" t="s">
        <v>2259</v>
      </c>
      <c r="N1274" s="6">
        <f>369</f>
        <v>369</v>
      </c>
      <c r="O1274" s="4" t="s">
        <v>265</v>
      </c>
      <c r="P1274" s="6">
        <f>1</f>
        <v>1</v>
      </c>
      <c r="Q1274" s="6">
        <f>0</f>
        <v>0</v>
      </c>
      <c r="S1274" s="6">
        <f>0</f>
        <v>0</v>
      </c>
      <c r="T1274" s="6">
        <f>1</f>
        <v>1</v>
      </c>
      <c r="U1274" s="5" t="s">
        <v>245</v>
      </c>
      <c r="V1274" s="4" t="s">
        <v>270</v>
      </c>
      <c r="W1274" s="4" t="s">
        <v>271</v>
      </c>
      <c r="X1274" s="4" t="s">
        <v>273</v>
      </c>
      <c r="Y1274" s="4" t="s">
        <v>241</v>
      </c>
      <c r="AB1274" s="4" t="s">
        <v>241</v>
      </c>
      <c r="AD1274" s="5" t="s">
        <v>241</v>
      </c>
      <c r="AG1274" s="5" t="s">
        <v>246</v>
      </c>
      <c r="AH1274" s="4" t="s">
        <v>241</v>
      </c>
      <c r="AI1274" s="4" t="s">
        <v>247</v>
      </c>
      <c r="AJ1274" s="4" t="s">
        <v>248</v>
      </c>
      <c r="AZ1274" s="4" t="s">
        <v>249</v>
      </c>
      <c r="BA1274" s="4" t="s">
        <v>241</v>
      </c>
      <c r="BB1274" s="4" t="s">
        <v>250</v>
      </c>
      <c r="BC1274" s="4" t="s">
        <v>241</v>
      </c>
      <c r="BD1274" s="4" t="s">
        <v>252</v>
      </c>
      <c r="BE1274" s="4" t="s">
        <v>241</v>
      </c>
      <c r="BI1274" s="4" t="s">
        <v>253</v>
      </c>
      <c r="BJ1274" s="5" t="s">
        <v>246</v>
      </c>
      <c r="BK1274" s="4" t="s">
        <v>254</v>
      </c>
      <c r="BL1274" s="4" t="s">
        <v>255</v>
      </c>
      <c r="BM1274" s="4" t="s">
        <v>241</v>
      </c>
      <c r="BN1274" s="6">
        <f>0</f>
        <v>0</v>
      </c>
      <c r="BO1274" s="6">
        <f>0</f>
        <v>0</v>
      </c>
      <c r="BP1274" s="4" t="s">
        <v>256</v>
      </c>
      <c r="BQ1274" s="4" t="s">
        <v>257</v>
      </c>
      <c r="CE1274" s="4" t="s">
        <v>241</v>
      </c>
      <c r="CF1274" s="4" t="s">
        <v>241</v>
      </c>
      <c r="CJ1274" s="4" t="s">
        <v>276</v>
      </c>
      <c r="CK1274" s="4" t="s">
        <v>259</v>
      </c>
      <c r="CL1274" s="4" t="s">
        <v>241</v>
      </c>
      <c r="CO1274" s="5" t="s">
        <v>260</v>
      </c>
      <c r="CP1274" s="4" t="s">
        <v>241</v>
      </c>
      <c r="CQ1274" s="4" t="s">
        <v>261</v>
      </c>
      <c r="CR1274" s="4" t="s">
        <v>241</v>
      </c>
      <c r="CS1274" s="4" t="s">
        <v>241</v>
      </c>
      <c r="CT1274" s="4">
        <v>0</v>
      </c>
      <c r="CU1274" s="4" t="s">
        <v>262</v>
      </c>
      <c r="CV1274" s="4" t="s">
        <v>263</v>
      </c>
      <c r="CW1274" s="4" t="s">
        <v>263</v>
      </c>
      <c r="CX1274" s="4" t="s">
        <v>264</v>
      </c>
      <c r="DA1274" s="6">
        <f>1</f>
        <v>1</v>
      </c>
      <c r="DC1274" s="4" t="s">
        <v>277</v>
      </c>
      <c r="DD1274" s="4" t="s">
        <v>241</v>
      </c>
      <c r="DF1274" s="4" t="s">
        <v>277</v>
      </c>
      <c r="DG1274" s="6">
        <f>369</f>
        <v>369</v>
      </c>
      <c r="DI1274" s="4" t="s">
        <v>241</v>
      </c>
      <c r="DJ1274" s="4" t="s">
        <v>241</v>
      </c>
      <c r="DK1274" s="4" t="s">
        <v>241</v>
      </c>
      <c r="DL1274" s="4" t="s">
        <v>241</v>
      </c>
      <c r="DP1274" s="4" t="s">
        <v>241</v>
      </c>
      <c r="DQ1274" s="4" t="s">
        <v>241</v>
      </c>
      <c r="DR1274" s="4" t="s">
        <v>241</v>
      </c>
      <c r="DS1274" s="4" t="s">
        <v>241</v>
      </c>
      <c r="DV1274" s="4" t="s">
        <v>278</v>
      </c>
      <c r="DW1274" s="4" t="s">
        <v>790</v>
      </c>
      <c r="HO1274" s="4" t="s">
        <v>267</v>
      </c>
    </row>
    <row r="1275" spans="1:223" ht="19.5" customHeight="1" x14ac:dyDescent="0.4">
      <c r="A1275" s="4">
        <v>1</v>
      </c>
      <c r="B1275" s="4" t="s">
        <v>239</v>
      </c>
      <c r="C1275" s="4">
        <v>2949</v>
      </c>
      <c r="D1275" s="4">
        <v>1</v>
      </c>
      <c r="E1275" s="4">
        <v>1</v>
      </c>
      <c r="F1275" s="4" t="s">
        <v>268</v>
      </c>
      <c r="G1275" s="4" t="s">
        <v>241</v>
      </c>
      <c r="H1275" s="4" t="s">
        <v>241</v>
      </c>
      <c r="I1275" s="4" t="s">
        <v>272</v>
      </c>
      <c r="J1275" s="4" t="s">
        <v>274</v>
      </c>
      <c r="K1275" s="4" t="s">
        <v>251</v>
      </c>
      <c r="L1275" s="4" t="s">
        <v>269</v>
      </c>
      <c r="M1275" s="5" t="s">
        <v>2192</v>
      </c>
      <c r="N1275" s="6">
        <f>226</f>
        <v>226</v>
      </c>
      <c r="O1275" s="4" t="s">
        <v>265</v>
      </c>
      <c r="P1275" s="6">
        <f>1</f>
        <v>1</v>
      </c>
      <c r="Q1275" s="6">
        <f>0</f>
        <v>0</v>
      </c>
      <c r="S1275" s="6">
        <f>0</f>
        <v>0</v>
      </c>
      <c r="T1275" s="6">
        <f>1</f>
        <v>1</v>
      </c>
      <c r="U1275" s="5" t="s">
        <v>245</v>
      </c>
      <c r="V1275" s="4" t="s">
        <v>270</v>
      </c>
      <c r="W1275" s="4" t="s">
        <v>271</v>
      </c>
      <c r="X1275" s="4" t="s">
        <v>273</v>
      </c>
      <c r="Y1275" s="4" t="s">
        <v>241</v>
      </c>
      <c r="AB1275" s="4" t="s">
        <v>241</v>
      </c>
      <c r="AD1275" s="5" t="s">
        <v>241</v>
      </c>
      <c r="AG1275" s="5" t="s">
        <v>246</v>
      </c>
      <c r="AH1275" s="4" t="s">
        <v>241</v>
      </c>
      <c r="AI1275" s="4" t="s">
        <v>247</v>
      </c>
      <c r="AJ1275" s="4" t="s">
        <v>248</v>
      </c>
      <c r="AZ1275" s="4" t="s">
        <v>249</v>
      </c>
      <c r="BA1275" s="4" t="s">
        <v>241</v>
      </c>
      <c r="BB1275" s="4" t="s">
        <v>250</v>
      </c>
      <c r="BC1275" s="4" t="s">
        <v>241</v>
      </c>
      <c r="BD1275" s="4" t="s">
        <v>252</v>
      </c>
      <c r="BE1275" s="4" t="s">
        <v>241</v>
      </c>
      <c r="BI1275" s="4" t="s">
        <v>253</v>
      </c>
      <c r="BJ1275" s="5" t="s">
        <v>246</v>
      </c>
      <c r="BK1275" s="4" t="s">
        <v>254</v>
      </c>
      <c r="BL1275" s="4" t="s">
        <v>255</v>
      </c>
      <c r="BM1275" s="4" t="s">
        <v>241</v>
      </c>
      <c r="BN1275" s="6">
        <f>0</f>
        <v>0</v>
      </c>
      <c r="BO1275" s="6">
        <f>0</f>
        <v>0</v>
      </c>
      <c r="BP1275" s="4" t="s">
        <v>256</v>
      </c>
      <c r="BQ1275" s="4" t="s">
        <v>257</v>
      </c>
      <c r="CE1275" s="4" t="s">
        <v>241</v>
      </c>
      <c r="CF1275" s="4" t="s">
        <v>241</v>
      </c>
      <c r="CJ1275" s="4" t="s">
        <v>276</v>
      </c>
      <c r="CK1275" s="4" t="s">
        <v>259</v>
      </c>
      <c r="CL1275" s="4" t="s">
        <v>241</v>
      </c>
      <c r="CO1275" s="5" t="s">
        <v>260</v>
      </c>
      <c r="CP1275" s="4" t="s">
        <v>241</v>
      </c>
      <c r="CQ1275" s="4" t="s">
        <v>261</v>
      </c>
      <c r="CR1275" s="4" t="s">
        <v>241</v>
      </c>
      <c r="CS1275" s="4" t="s">
        <v>241</v>
      </c>
      <c r="CT1275" s="4">
        <v>0</v>
      </c>
      <c r="CU1275" s="4" t="s">
        <v>262</v>
      </c>
      <c r="CV1275" s="4" t="s">
        <v>263</v>
      </c>
      <c r="CW1275" s="4" t="s">
        <v>263</v>
      </c>
      <c r="CX1275" s="4" t="s">
        <v>264</v>
      </c>
      <c r="DA1275" s="6">
        <f>1</f>
        <v>1</v>
      </c>
      <c r="DC1275" s="4" t="s">
        <v>277</v>
      </c>
      <c r="DD1275" s="4" t="s">
        <v>241</v>
      </c>
      <c r="DF1275" s="4" t="s">
        <v>277</v>
      </c>
      <c r="DG1275" s="6">
        <f>226</f>
        <v>226</v>
      </c>
      <c r="DI1275" s="4" t="s">
        <v>241</v>
      </c>
      <c r="DJ1275" s="4" t="s">
        <v>241</v>
      </c>
      <c r="DK1275" s="4" t="s">
        <v>241</v>
      </c>
      <c r="DL1275" s="4" t="s">
        <v>241</v>
      </c>
      <c r="DP1275" s="4" t="s">
        <v>241</v>
      </c>
      <c r="DQ1275" s="4" t="s">
        <v>241</v>
      </c>
      <c r="DR1275" s="4" t="s">
        <v>241</v>
      </c>
      <c r="DS1275" s="4" t="s">
        <v>241</v>
      </c>
      <c r="DV1275" s="4" t="s">
        <v>278</v>
      </c>
      <c r="DW1275" s="4" t="s">
        <v>788</v>
      </c>
      <c r="HO1275" s="4" t="s">
        <v>267</v>
      </c>
    </row>
    <row r="1276" spans="1:223" ht="19.5" customHeight="1" x14ac:dyDescent="0.4">
      <c r="A1276" s="4">
        <v>1</v>
      </c>
      <c r="B1276" s="4" t="s">
        <v>239</v>
      </c>
      <c r="C1276" s="4">
        <v>2950</v>
      </c>
      <c r="D1276" s="4">
        <v>1</v>
      </c>
      <c r="E1276" s="4">
        <v>1</v>
      </c>
      <c r="F1276" s="4" t="s">
        <v>268</v>
      </c>
      <c r="G1276" s="4" t="s">
        <v>241</v>
      </c>
      <c r="H1276" s="4" t="s">
        <v>241</v>
      </c>
      <c r="I1276" s="4" t="s">
        <v>272</v>
      </c>
      <c r="J1276" s="4" t="s">
        <v>274</v>
      </c>
      <c r="K1276" s="4" t="s">
        <v>251</v>
      </c>
      <c r="L1276" s="4" t="s">
        <v>269</v>
      </c>
      <c r="M1276" s="5" t="s">
        <v>2959</v>
      </c>
      <c r="N1276" s="6">
        <f>1085</f>
        <v>1085</v>
      </c>
      <c r="O1276" s="4" t="s">
        <v>265</v>
      </c>
      <c r="P1276" s="6">
        <f>1</f>
        <v>1</v>
      </c>
      <c r="Q1276" s="6">
        <f>0</f>
        <v>0</v>
      </c>
      <c r="S1276" s="6">
        <f>0</f>
        <v>0</v>
      </c>
      <c r="T1276" s="6">
        <f>1</f>
        <v>1</v>
      </c>
      <c r="U1276" s="5" t="s">
        <v>245</v>
      </c>
      <c r="V1276" s="4" t="s">
        <v>270</v>
      </c>
      <c r="W1276" s="4" t="s">
        <v>271</v>
      </c>
      <c r="X1276" s="4" t="s">
        <v>273</v>
      </c>
      <c r="Y1276" s="4" t="s">
        <v>241</v>
      </c>
      <c r="AB1276" s="4" t="s">
        <v>241</v>
      </c>
      <c r="AD1276" s="5" t="s">
        <v>241</v>
      </c>
      <c r="AG1276" s="5" t="s">
        <v>246</v>
      </c>
      <c r="AH1276" s="4" t="s">
        <v>241</v>
      </c>
      <c r="AI1276" s="4" t="s">
        <v>247</v>
      </c>
      <c r="AJ1276" s="4" t="s">
        <v>248</v>
      </c>
      <c r="AZ1276" s="4" t="s">
        <v>249</v>
      </c>
      <c r="BA1276" s="4" t="s">
        <v>241</v>
      </c>
      <c r="BB1276" s="4" t="s">
        <v>250</v>
      </c>
      <c r="BC1276" s="4" t="s">
        <v>241</v>
      </c>
      <c r="BD1276" s="4" t="s">
        <v>252</v>
      </c>
      <c r="BE1276" s="4" t="s">
        <v>241</v>
      </c>
      <c r="BI1276" s="4" t="s">
        <v>253</v>
      </c>
      <c r="BJ1276" s="5" t="s">
        <v>246</v>
      </c>
      <c r="BK1276" s="4" t="s">
        <v>254</v>
      </c>
      <c r="BL1276" s="4" t="s">
        <v>255</v>
      </c>
      <c r="BM1276" s="4" t="s">
        <v>241</v>
      </c>
      <c r="BN1276" s="6">
        <f>0</f>
        <v>0</v>
      </c>
      <c r="BO1276" s="6">
        <f>0</f>
        <v>0</v>
      </c>
      <c r="BP1276" s="4" t="s">
        <v>256</v>
      </c>
      <c r="BQ1276" s="4" t="s">
        <v>257</v>
      </c>
      <c r="CE1276" s="4" t="s">
        <v>241</v>
      </c>
      <c r="CF1276" s="4" t="s">
        <v>241</v>
      </c>
      <c r="CJ1276" s="4" t="s">
        <v>276</v>
      </c>
      <c r="CK1276" s="4" t="s">
        <v>259</v>
      </c>
      <c r="CL1276" s="4" t="s">
        <v>241</v>
      </c>
      <c r="CO1276" s="5" t="s">
        <v>260</v>
      </c>
      <c r="CP1276" s="4" t="s">
        <v>241</v>
      </c>
      <c r="CQ1276" s="4" t="s">
        <v>261</v>
      </c>
      <c r="CR1276" s="4" t="s">
        <v>241</v>
      </c>
      <c r="CS1276" s="4" t="s">
        <v>241</v>
      </c>
      <c r="CT1276" s="4">
        <v>0</v>
      </c>
      <c r="CU1276" s="4" t="s">
        <v>262</v>
      </c>
      <c r="CV1276" s="4" t="s">
        <v>263</v>
      </c>
      <c r="CW1276" s="4" t="s">
        <v>263</v>
      </c>
      <c r="CX1276" s="4" t="s">
        <v>264</v>
      </c>
      <c r="DA1276" s="6">
        <f>1</f>
        <v>1</v>
      </c>
      <c r="DC1276" s="4" t="s">
        <v>277</v>
      </c>
      <c r="DD1276" s="4" t="s">
        <v>241</v>
      </c>
      <c r="DF1276" s="4" t="s">
        <v>277</v>
      </c>
      <c r="DG1276" s="6">
        <f>1085</f>
        <v>1085</v>
      </c>
      <c r="DI1276" s="4" t="s">
        <v>241</v>
      </c>
      <c r="DJ1276" s="4" t="s">
        <v>241</v>
      </c>
      <c r="DK1276" s="4" t="s">
        <v>241</v>
      </c>
      <c r="DL1276" s="4" t="s">
        <v>241</v>
      </c>
      <c r="DP1276" s="4" t="s">
        <v>241</v>
      </c>
      <c r="DQ1276" s="4" t="s">
        <v>241</v>
      </c>
      <c r="DR1276" s="4" t="s">
        <v>241</v>
      </c>
      <c r="DS1276" s="4" t="s">
        <v>241</v>
      </c>
      <c r="DV1276" s="4" t="s">
        <v>278</v>
      </c>
      <c r="DW1276" s="4" t="s">
        <v>764</v>
      </c>
      <c r="HO1276" s="4" t="s">
        <v>267</v>
      </c>
    </row>
    <row r="1277" spans="1:223" ht="19.5" customHeight="1" x14ac:dyDescent="0.4">
      <c r="A1277" s="4">
        <v>1</v>
      </c>
      <c r="B1277" s="4" t="s">
        <v>239</v>
      </c>
      <c r="C1277" s="4">
        <v>2951</v>
      </c>
      <c r="D1277" s="4">
        <v>1</v>
      </c>
      <c r="E1277" s="4">
        <v>1</v>
      </c>
      <c r="F1277" s="4" t="s">
        <v>268</v>
      </c>
      <c r="G1277" s="4" t="s">
        <v>241</v>
      </c>
      <c r="H1277" s="4" t="s">
        <v>241</v>
      </c>
      <c r="I1277" s="4" t="s">
        <v>272</v>
      </c>
      <c r="J1277" s="4" t="s">
        <v>274</v>
      </c>
      <c r="K1277" s="4" t="s">
        <v>251</v>
      </c>
      <c r="L1277" s="4" t="s">
        <v>269</v>
      </c>
      <c r="M1277" s="5" t="s">
        <v>1814</v>
      </c>
      <c r="N1277" s="6">
        <f>1817</f>
        <v>1817</v>
      </c>
      <c r="O1277" s="4" t="s">
        <v>265</v>
      </c>
      <c r="P1277" s="6">
        <f>1</f>
        <v>1</v>
      </c>
      <c r="Q1277" s="6">
        <f>0</f>
        <v>0</v>
      </c>
      <c r="S1277" s="6">
        <f>0</f>
        <v>0</v>
      </c>
      <c r="T1277" s="6">
        <f>1</f>
        <v>1</v>
      </c>
      <c r="U1277" s="5" t="s">
        <v>245</v>
      </c>
      <c r="V1277" s="4" t="s">
        <v>270</v>
      </c>
      <c r="W1277" s="4" t="s">
        <v>271</v>
      </c>
      <c r="X1277" s="4" t="s">
        <v>273</v>
      </c>
      <c r="Y1277" s="4" t="s">
        <v>241</v>
      </c>
      <c r="AB1277" s="4" t="s">
        <v>241</v>
      </c>
      <c r="AD1277" s="5" t="s">
        <v>241</v>
      </c>
      <c r="AG1277" s="5" t="s">
        <v>246</v>
      </c>
      <c r="AH1277" s="4" t="s">
        <v>241</v>
      </c>
      <c r="AI1277" s="4" t="s">
        <v>247</v>
      </c>
      <c r="AJ1277" s="4" t="s">
        <v>248</v>
      </c>
      <c r="AZ1277" s="4" t="s">
        <v>249</v>
      </c>
      <c r="BA1277" s="4" t="s">
        <v>241</v>
      </c>
      <c r="BB1277" s="4" t="s">
        <v>250</v>
      </c>
      <c r="BC1277" s="4" t="s">
        <v>241</v>
      </c>
      <c r="BD1277" s="4" t="s">
        <v>252</v>
      </c>
      <c r="BE1277" s="4" t="s">
        <v>241</v>
      </c>
      <c r="BI1277" s="4" t="s">
        <v>253</v>
      </c>
      <c r="BJ1277" s="5" t="s">
        <v>246</v>
      </c>
      <c r="BK1277" s="4" t="s">
        <v>254</v>
      </c>
      <c r="BL1277" s="4" t="s">
        <v>255</v>
      </c>
      <c r="BM1277" s="4" t="s">
        <v>241</v>
      </c>
      <c r="BN1277" s="6">
        <f>0</f>
        <v>0</v>
      </c>
      <c r="BO1277" s="6">
        <f>0</f>
        <v>0</v>
      </c>
      <c r="BP1277" s="4" t="s">
        <v>256</v>
      </c>
      <c r="BQ1277" s="4" t="s">
        <v>257</v>
      </c>
      <c r="CE1277" s="4" t="s">
        <v>241</v>
      </c>
      <c r="CF1277" s="4" t="s">
        <v>241</v>
      </c>
      <c r="CJ1277" s="4" t="s">
        <v>276</v>
      </c>
      <c r="CK1277" s="4" t="s">
        <v>259</v>
      </c>
      <c r="CL1277" s="4" t="s">
        <v>241</v>
      </c>
      <c r="CO1277" s="5" t="s">
        <v>260</v>
      </c>
      <c r="CP1277" s="4" t="s">
        <v>241</v>
      </c>
      <c r="CQ1277" s="4" t="s">
        <v>261</v>
      </c>
      <c r="CR1277" s="4" t="s">
        <v>241</v>
      </c>
      <c r="CS1277" s="4" t="s">
        <v>241</v>
      </c>
      <c r="CT1277" s="4">
        <v>0</v>
      </c>
      <c r="CU1277" s="4" t="s">
        <v>262</v>
      </c>
      <c r="CV1277" s="4" t="s">
        <v>263</v>
      </c>
      <c r="CW1277" s="4" t="s">
        <v>263</v>
      </c>
      <c r="CX1277" s="4" t="s">
        <v>264</v>
      </c>
      <c r="DA1277" s="6">
        <f>1</f>
        <v>1</v>
      </c>
      <c r="DC1277" s="4" t="s">
        <v>277</v>
      </c>
      <c r="DD1277" s="4" t="s">
        <v>241</v>
      </c>
      <c r="DF1277" s="4" t="s">
        <v>277</v>
      </c>
      <c r="DG1277" s="6">
        <f>1817</f>
        <v>1817</v>
      </c>
      <c r="DI1277" s="4" t="s">
        <v>241</v>
      </c>
      <c r="DJ1277" s="4" t="s">
        <v>241</v>
      </c>
      <c r="DK1277" s="4" t="s">
        <v>241</v>
      </c>
      <c r="DL1277" s="4" t="s">
        <v>241</v>
      </c>
      <c r="DP1277" s="4" t="s">
        <v>241</v>
      </c>
      <c r="DQ1277" s="4" t="s">
        <v>241</v>
      </c>
      <c r="DR1277" s="4" t="s">
        <v>241</v>
      </c>
      <c r="DS1277" s="4" t="s">
        <v>241</v>
      </c>
      <c r="DV1277" s="4" t="s">
        <v>278</v>
      </c>
      <c r="DW1277" s="4" t="s">
        <v>760</v>
      </c>
      <c r="HO1277" s="4" t="s">
        <v>267</v>
      </c>
    </row>
    <row r="1278" spans="1:223" ht="19.5" customHeight="1" x14ac:dyDescent="0.4">
      <c r="A1278" s="4">
        <v>1</v>
      </c>
      <c r="B1278" s="4" t="s">
        <v>239</v>
      </c>
      <c r="C1278" s="4">
        <v>2952</v>
      </c>
      <c r="D1278" s="4">
        <v>1</v>
      </c>
      <c r="E1278" s="4">
        <v>1</v>
      </c>
      <c r="F1278" s="4" t="s">
        <v>268</v>
      </c>
      <c r="G1278" s="4" t="s">
        <v>241</v>
      </c>
      <c r="H1278" s="4" t="s">
        <v>241</v>
      </c>
      <c r="I1278" s="4" t="s">
        <v>272</v>
      </c>
      <c r="J1278" s="4" t="s">
        <v>274</v>
      </c>
      <c r="K1278" s="4" t="s">
        <v>251</v>
      </c>
      <c r="L1278" s="4" t="s">
        <v>269</v>
      </c>
      <c r="M1278" s="5" t="s">
        <v>1824</v>
      </c>
      <c r="N1278" s="6">
        <f>901</f>
        <v>901</v>
      </c>
      <c r="O1278" s="4" t="s">
        <v>265</v>
      </c>
      <c r="P1278" s="6">
        <f>1</f>
        <v>1</v>
      </c>
      <c r="Q1278" s="6">
        <f>0</f>
        <v>0</v>
      </c>
      <c r="S1278" s="6">
        <f>0</f>
        <v>0</v>
      </c>
      <c r="T1278" s="6">
        <f>1</f>
        <v>1</v>
      </c>
      <c r="U1278" s="5" t="s">
        <v>245</v>
      </c>
      <c r="V1278" s="4" t="s">
        <v>270</v>
      </c>
      <c r="W1278" s="4" t="s">
        <v>271</v>
      </c>
      <c r="X1278" s="4" t="s">
        <v>273</v>
      </c>
      <c r="Y1278" s="4" t="s">
        <v>241</v>
      </c>
      <c r="AB1278" s="4" t="s">
        <v>241</v>
      </c>
      <c r="AD1278" s="5" t="s">
        <v>241</v>
      </c>
      <c r="AG1278" s="5" t="s">
        <v>246</v>
      </c>
      <c r="AH1278" s="4" t="s">
        <v>241</v>
      </c>
      <c r="AI1278" s="4" t="s">
        <v>247</v>
      </c>
      <c r="AJ1278" s="4" t="s">
        <v>248</v>
      </c>
      <c r="AZ1278" s="4" t="s">
        <v>249</v>
      </c>
      <c r="BA1278" s="4" t="s">
        <v>241</v>
      </c>
      <c r="BB1278" s="4" t="s">
        <v>250</v>
      </c>
      <c r="BC1278" s="4" t="s">
        <v>241</v>
      </c>
      <c r="BD1278" s="4" t="s">
        <v>252</v>
      </c>
      <c r="BE1278" s="4" t="s">
        <v>241</v>
      </c>
      <c r="BI1278" s="4" t="s">
        <v>253</v>
      </c>
      <c r="BJ1278" s="5" t="s">
        <v>246</v>
      </c>
      <c r="BK1278" s="4" t="s">
        <v>254</v>
      </c>
      <c r="BL1278" s="4" t="s">
        <v>255</v>
      </c>
      <c r="BM1278" s="4" t="s">
        <v>241</v>
      </c>
      <c r="BN1278" s="6">
        <f>0</f>
        <v>0</v>
      </c>
      <c r="BO1278" s="6">
        <f>0</f>
        <v>0</v>
      </c>
      <c r="BP1278" s="4" t="s">
        <v>256</v>
      </c>
      <c r="BQ1278" s="4" t="s">
        <v>257</v>
      </c>
      <c r="CE1278" s="4" t="s">
        <v>241</v>
      </c>
      <c r="CF1278" s="4" t="s">
        <v>241</v>
      </c>
      <c r="CJ1278" s="4" t="s">
        <v>276</v>
      </c>
      <c r="CK1278" s="4" t="s">
        <v>259</v>
      </c>
      <c r="CL1278" s="4" t="s">
        <v>241</v>
      </c>
      <c r="CO1278" s="5" t="s">
        <v>260</v>
      </c>
      <c r="CP1278" s="4" t="s">
        <v>241</v>
      </c>
      <c r="CQ1278" s="4" t="s">
        <v>261</v>
      </c>
      <c r="CR1278" s="4" t="s">
        <v>241</v>
      </c>
      <c r="CS1278" s="4" t="s">
        <v>241</v>
      </c>
      <c r="CT1278" s="4">
        <v>0</v>
      </c>
      <c r="CU1278" s="4" t="s">
        <v>262</v>
      </c>
      <c r="CV1278" s="4" t="s">
        <v>263</v>
      </c>
      <c r="CW1278" s="4" t="s">
        <v>263</v>
      </c>
      <c r="CX1278" s="4" t="s">
        <v>264</v>
      </c>
      <c r="DA1278" s="6">
        <f>1</f>
        <v>1</v>
      </c>
      <c r="DC1278" s="4" t="s">
        <v>277</v>
      </c>
      <c r="DD1278" s="4" t="s">
        <v>241</v>
      </c>
      <c r="DF1278" s="4" t="s">
        <v>277</v>
      </c>
      <c r="DG1278" s="6">
        <f>901</f>
        <v>901</v>
      </c>
      <c r="DI1278" s="4" t="s">
        <v>241</v>
      </c>
      <c r="DJ1278" s="4" t="s">
        <v>241</v>
      </c>
      <c r="DK1278" s="4" t="s">
        <v>241</v>
      </c>
      <c r="DL1278" s="4" t="s">
        <v>241</v>
      </c>
      <c r="DP1278" s="4" t="s">
        <v>241</v>
      </c>
      <c r="DQ1278" s="4" t="s">
        <v>241</v>
      </c>
      <c r="DR1278" s="4" t="s">
        <v>241</v>
      </c>
      <c r="DS1278" s="4" t="s">
        <v>241</v>
      </c>
      <c r="DV1278" s="4" t="s">
        <v>278</v>
      </c>
      <c r="DW1278" s="4" t="s">
        <v>754</v>
      </c>
      <c r="HO1278" s="4" t="s">
        <v>267</v>
      </c>
    </row>
    <row r="1279" spans="1:223" ht="19.5" customHeight="1" x14ac:dyDescent="0.4">
      <c r="A1279" s="4">
        <v>1</v>
      </c>
      <c r="B1279" s="4" t="s">
        <v>239</v>
      </c>
      <c r="C1279" s="4">
        <v>2953</v>
      </c>
      <c r="D1279" s="4">
        <v>1</v>
      </c>
      <c r="E1279" s="4">
        <v>1</v>
      </c>
      <c r="F1279" s="4" t="s">
        <v>268</v>
      </c>
      <c r="G1279" s="4" t="s">
        <v>241</v>
      </c>
      <c r="H1279" s="4" t="s">
        <v>241</v>
      </c>
      <c r="I1279" s="4" t="s">
        <v>272</v>
      </c>
      <c r="J1279" s="4" t="s">
        <v>274</v>
      </c>
      <c r="K1279" s="4" t="s">
        <v>251</v>
      </c>
      <c r="L1279" s="4" t="s">
        <v>269</v>
      </c>
      <c r="M1279" s="5" t="s">
        <v>1818</v>
      </c>
      <c r="N1279" s="6">
        <f>2753</f>
        <v>2753</v>
      </c>
      <c r="O1279" s="4" t="s">
        <v>265</v>
      </c>
      <c r="P1279" s="6">
        <f>1</f>
        <v>1</v>
      </c>
      <c r="Q1279" s="6">
        <f>0</f>
        <v>0</v>
      </c>
      <c r="S1279" s="6">
        <f>0</f>
        <v>0</v>
      </c>
      <c r="T1279" s="6">
        <f>1</f>
        <v>1</v>
      </c>
      <c r="U1279" s="5" t="s">
        <v>245</v>
      </c>
      <c r="V1279" s="4" t="s">
        <v>270</v>
      </c>
      <c r="W1279" s="4" t="s">
        <v>271</v>
      </c>
      <c r="X1279" s="4" t="s">
        <v>273</v>
      </c>
      <c r="Y1279" s="4" t="s">
        <v>241</v>
      </c>
      <c r="AB1279" s="4" t="s">
        <v>241</v>
      </c>
      <c r="AD1279" s="5" t="s">
        <v>241</v>
      </c>
      <c r="AG1279" s="5" t="s">
        <v>246</v>
      </c>
      <c r="AH1279" s="4" t="s">
        <v>241</v>
      </c>
      <c r="AI1279" s="4" t="s">
        <v>247</v>
      </c>
      <c r="AJ1279" s="4" t="s">
        <v>248</v>
      </c>
      <c r="AZ1279" s="4" t="s">
        <v>249</v>
      </c>
      <c r="BA1279" s="4" t="s">
        <v>241</v>
      </c>
      <c r="BB1279" s="4" t="s">
        <v>250</v>
      </c>
      <c r="BC1279" s="4" t="s">
        <v>241</v>
      </c>
      <c r="BD1279" s="4" t="s">
        <v>252</v>
      </c>
      <c r="BE1279" s="4" t="s">
        <v>241</v>
      </c>
      <c r="BI1279" s="4" t="s">
        <v>253</v>
      </c>
      <c r="BJ1279" s="5" t="s">
        <v>246</v>
      </c>
      <c r="BK1279" s="4" t="s">
        <v>254</v>
      </c>
      <c r="BL1279" s="4" t="s">
        <v>255</v>
      </c>
      <c r="BM1279" s="4" t="s">
        <v>241</v>
      </c>
      <c r="BN1279" s="6">
        <f>0</f>
        <v>0</v>
      </c>
      <c r="BO1279" s="6">
        <f>0</f>
        <v>0</v>
      </c>
      <c r="BP1279" s="4" t="s">
        <v>256</v>
      </c>
      <c r="BQ1279" s="4" t="s">
        <v>257</v>
      </c>
      <c r="CE1279" s="4" t="s">
        <v>241</v>
      </c>
      <c r="CF1279" s="4" t="s">
        <v>241</v>
      </c>
      <c r="CJ1279" s="4" t="s">
        <v>276</v>
      </c>
      <c r="CK1279" s="4" t="s">
        <v>259</v>
      </c>
      <c r="CL1279" s="4" t="s">
        <v>241</v>
      </c>
      <c r="CO1279" s="5" t="s">
        <v>260</v>
      </c>
      <c r="CP1279" s="4" t="s">
        <v>241</v>
      </c>
      <c r="CQ1279" s="4" t="s">
        <v>261</v>
      </c>
      <c r="CR1279" s="4" t="s">
        <v>241</v>
      </c>
      <c r="CS1279" s="4" t="s">
        <v>241</v>
      </c>
      <c r="CT1279" s="4">
        <v>0</v>
      </c>
      <c r="CU1279" s="4" t="s">
        <v>262</v>
      </c>
      <c r="CV1279" s="4" t="s">
        <v>263</v>
      </c>
      <c r="CW1279" s="4" t="s">
        <v>263</v>
      </c>
      <c r="CX1279" s="4" t="s">
        <v>264</v>
      </c>
      <c r="DA1279" s="6">
        <f>1</f>
        <v>1</v>
      </c>
      <c r="DC1279" s="4" t="s">
        <v>277</v>
      </c>
      <c r="DD1279" s="4" t="s">
        <v>241</v>
      </c>
      <c r="DF1279" s="4" t="s">
        <v>277</v>
      </c>
      <c r="DG1279" s="6">
        <f>2753</f>
        <v>2753</v>
      </c>
      <c r="DI1279" s="4" t="s">
        <v>241</v>
      </c>
      <c r="DJ1279" s="4" t="s">
        <v>241</v>
      </c>
      <c r="DK1279" s="4" t="s">
        <v>241</v>
      </c>
      <c r="DL1279" s="4" t="s">
        <v>241</v>
      </c>
      <c r="DP1279" s="4" t="s">
        <v>241</v>
      </c>
      <c r="DQ1279" s="4" t="s">
        <v>241</v>
      </c>
      <c r="DR1279" s="4" t="s">
        <v>241</v>
      </c>
      <c r="DS1279" s="4" t="s">
        <v>241</v>
      </c>
      <c r="DV1279" s="4" t="s">
        <v>278</v>
      </c>
      <c r="DW1279" s="4" t="s">
        <v>1819</v>
      </c>
      <c r="HO1279" s="4" t="s">
        <v>267</v>
      </c>
    </row>
    <row r="1280" spans="1:223" ht="19.5" customHeight="1" x14ac:dyDescent="0.4">
      <c r="A1280" s="4">
        <v>1</v>
      </c>
      <c r="B1280" s="4" t="s">
        <v>239</v>
      </c>
      <c r="C1280" s="4">
        <v>2954</v>
      </c>
      <c r="D1280" s="4">
        <v>1</v>
      </c>
      <c r="E1280" s="4">
        <v>1</v>
      </c>
      <c r="F1280" s="4" t="s">
        <v>268</v>
      </c>
      <c r="G1280" s="4" t="s">
        <v>241</v>
      </c>
      <c r="H1280" s="4" t="s">
        <v>241</v>
      </c>
      <c r="I1280" s="4" t="s">
        <v>272</v>
      </c>
      <c r="J1280" s="4" t="s">
        <v>274</v>
      </c>
      <c r="K1280" s="4" t="s">
        <v>251</v>
      </c>
      <c r="L1280" s="4" t="s">
        <v>269</v>
      </c>
      <c r="M1280" s="5" t="s">
        <v>1829</v>
      </c>
      <c r="N1280" s="6">
        <f>1428</f>
        <v>1428</v>
      </c>
      <c r="O1280" s="4" t="s">
        <v>265</v>
      </c>
      <c r="P1280" s="6">
        <f>1</f>
        <v>1</v>
      </c>
      <c r="Q1280" s="6">
        <f>0</f>
        <v>0</v>
      </c>
      <c r="S1280" s="6">
        <f>0</f>
        <v>0</v>
      </c>
      <c r="T1280" s="6">
        <f>1</f>
        <v>1</v>
      </c>
      <c r="U1280" s="5" t="s">
        <v>245</v>
      </c>
      <c r="V1280" s="4" t="s">
        <v>270</v>
      </c>
      <c r="W1280" s="4" t="s">
        <v>271</v>
      </c>
      <c r="X1280" s="4" t="s">
        <v>273</v>
      </c>
      <c r="Y1280" s="4" t="s">
        <v>241</v>
      </c>
      <c r="AB1280" s="4" t="s">
        <v>241</v>
      </c>
      <c r="AD1280" s="5" t="s">
        <v>241</v>
      </c>
      <c r="AG1280" s="5" t="s">
        <v>246</v>
      </c>
      <c r="AH1280" s="4" t="s">
        <v>241</v>
      </c>
      <c r="AI1280" s="4" t="s">
        <v>247</v>
      </c>
      <c r="AJ1280" s="4" t="s">
        <v>248</v>
      </c>
      <c r="AZ1280" s="4" t="s">
        <v>249</v>
      </c>
      <c r="BA1280" s="4" t="s">
        <v>241</v>
      </c>
      <c r="BB1280" s="4" t="s">
        <v>250</v>
      </c>
      <c r="BC1280" s="4" t="s">
        <v>241</v>
      </c>
      <c r="BD1280" s="4" t="s">
        <v>252</v>
      </c>
      <c r="BE1280" s="4" t="s">
        <v>241</v>
      </c>
      <c r="BI1280" s="4" t="s">
        <v>253</v>
      </c>
      <c r="BJ1280" s="5" t="s">
        <v>246</v>
      </c>
      <c r="BK1280" s="4" t="s">
        <v>254</v>
      </c>
      <c r="BL1280" s="4" t="s">
        <v>255</v>
      </c>
      <c r="BM1280" s="4" t="s">
        <v>241</v>
      </c>
      <c r="BN1280" s="6">
        <f>0</f>
        <v>0</v>
      </c>
      <c r="BO1280" s="6">
        <f>0</f>
        <v>0</v>
      </c>
      <c r="BP1280" s="4" t="s">
        <v>256</v>
      </c>
      <c r="BQ1280" s="4" t="s">
        <v>257</v>
      </c>
      <c r="CE1280" s="4" t="s">
        <v>241</v>
      </c>
      <c r="CF1280" s="4" t="s">
        <v>241</v>
      </c>
      <c r="CJ1280" s="4" t="s">
        <v>276</v>
      </c>
      <c r="CK1280" s="4" t="s">
        <v>259</v>
      </c>
      <c r="CL1280" s="4" t="s">
        <v>241</v>
      </c>
      <c r="CO1280" s="5" t="s">
        <v>260</v>
      </c>
      <c r="CP1280" s="4" t="s">
        <v>241</v>
      </c>
      <c r="CQ1280" s="4" t="s">
        <v>261</v>
      </c>
      <c r="CR1280" s="4" t="s">
        <v>241</v>
      </c>
      <c r="CS1280" s="4" t="s">
        <v>241</v>
      </c>
      <c r="CT1280" s="4">
        <v>0</v>
      </c>
      <c r="CU1280" s="4" t="s">
        <v>262</v>
      </c>
      <c r="CV1280" s="4" t="s">
        <v>263</v>
      </c>
      <c r="CW1280" s="4" t="s">
        <v>263</v>
      </c>
      <c r="CX1280" s="4" t="s">
        <v>264</v>
      </c>
      <c r="DA1280" s="6">
        <f>1</f>
        <v>1</v>
      </c>
      <c r="DC1280" s="4" t="s">
        <v>277</v>
      </c>
      <c r="DD1280" s="4" t="s">
        <v>241</v>
      </c>
      <c r="DF1280" s="4" t="s">
        <v>277</v>
      </c>
      <c r="DG1280" s="6">
        <f>1428</f>
        <v>1428</v>
      </c>
      <c r="DI1280" s="4" t="s">
        <v>241</v>
      </c>
      <c r="DJ1280" s="4" t="s">
        <v>241</v>
      </c>
      <c r="DK1280" s="4" t="s">
        <v>241</v>
      </c>
      <c r="DL1280" s="4" t="s">
        <v>241</v>
      </c>
      <c r="DP1280" s="4" t="s">
        <v>241</v>
      </c>
      <c r="DQ1280" s="4" t="s">
        <v>241</v>
      </c>
      <c r="DR1280" s="4" t="s">
        <v>241</v>
      </c>
      <c r="DS1280" s="4" t="s">
        <v>241</v>
      </c>
      <c r="DV1280" s="4" t="s">
        <v>278</v>
      </c>
      <c r="DW1280" s="4" t="s">
        <v>1830</v>
      </c>
      <c r="HO1280" s="4" t="s">
        <v>267</v>
      </c>
    </row>
    <row r="1281" spans="1:223" ht="19.5" customHeight="1" x14ac:dyDescent="0.4">
      <c r="A1281" s="4">
        <v>1</v>
      </c>
      <c r="B1281" s="4" t="s">
        <v>239</v>
      </c>
      <c r="C1281" s="4">
        <v>2955</v>
      </c>
      <c r="D1281" s="4">
        <v>1</v>
      </c>
      <c r="E1281" s="4">
        <v>1</v>
      </c>
      <c r="F1281" s="4" t="s">
        <v>268</v>
      </c>
      <c r="G1281" s="4" t="s">
        <v>241</v>
      </c>
      <c r="H1281" s="4" t="s">
        <v>241</v>
      </c>
      <c r="I1281" s="4" t="s">
        <v>272</v>
      </c>
      <c r="J1281" s="4" t="s">
        <v>274</v>
      </c>
      <c r="K1281" s="4" t="s">
        <v>251</v>
      </c>
      <c r="L1281" s="4" t="s">
        <v>269</v>
      </c>
      <c r="M1281" s="5" t="s">
        <v>2880</v>
      </c>
      <c r="N1281" s="6">
        <f>169</f>
        <v>169</v>
      </c>
      <c r="O1281" s="4" t="s">
        <v>265</v>
      </c>
      <c r="P1281" s="6">
        <f>1</f>
        <v>1</v>
      </c>
      <c r="Q1281" s="6">
        <f>0</f>
        <v>0</v>
      </c>
      <c r="S1281" s="6">
        <f>0</f>
        <v>0</v>
      </c>
      <c r="T1281" s="6">
        <f>1</f>
        <v>1</v>
      </c>
      <c r="U1281" s="5" t="s">
        <v>245</v>
      </c>
      <c r="V1281" s="4" t="s">
        <v>270</v>
      </c>
      <c r="W1281" s="4" t="s">
        <v>271</v>
      </c>
      <c r="X1281" s="4" t="s">
        <v>273</v>
      </c>
      <c r="Y1281" s="4" t="s">
        <v>241</v>
      </c>
      <c r="AB1281" s="4" t="s">
        <v>241</v>
      </c>
      <c r="AD1281" s="5" t="s">
        <v>241</v>
      </c>
      <c r="AG1281" s="5" t="s">
        <v>246</v>
      </c>
      <c r="AH1281" s="4" t="s">
        <v>241</v>
      </c>
      <c r="AI1281" s="4" t="s">
        <v>247</v>
      </c>
      <c r="AJ1281" s="4" t="s">
        <v>248</v>
      </c>
      <c r="AZ1281" s="4" t="s">
        <v>249</v>
      </c>
      <c r="BA1281" s="4" t="s">
        <v>241</v>
      </c>
      <c r="BB1281" s="4" t="s">
        <v>250</v>
      </c>
      <c r="BC1281" s="4" t="s">
        <v>241</v>
      </c>
      <c r="BD1281" s="4" t="s">
        <v>252</v>
      </c>
      <c r="BE1281" s="4" t="s">
        <v>241</v>
      </c>
      <c r="BI1281" s="4" t="s">
        <v>253</v>
      </c>
      <c r="BJ1281" s="5" t="s">
        <v>246</v>
      </c>
      <c r="BK1281" s="4" t="s">
        <v>254</v>
      </c>
      <c r="BL1281" s="4" t="s">
        <v>255</v>
      </c>
      <c r="BM1281" s="4" t="s">
        <v>241</v>
      </c>
      <c r="BN1281" s="6">
        <f>0</f>
        <v>0</v>
      </c>
      <c r="BO1281" s="6">
        <f>0</f>
        <v>0</v>
      </c>
      <c r="BP1281" s="4" t="s">
        <v>256</v>
      </c>
      <c r="BQ1281" s="4" t="s">
        <v>257</v>
      </c>
      <c r="CE1281" s="4" t="s">
        <v>241</v>
      </c>
      <c r="CF1281" s="4" t="s">
        <v>241</v>
      </c>
      <c r="CJ1281" s="4" t="s">
        <v>276</v>
      </c>
      <c r="CK1281" s="4" t="s">
        <v>259</v>
      </c>
      <c r="CL1281" s="4" t="s">
        <v>241</v>
      </c>
      <c r="CO1281" s="5" t="s">
        <v>260</v>
      </c>
      <c r="CP1281" s="4" t="s">
        <v>241</v>
      </c>
      <c r="CQ1281" s="4" t="s">
        <v>261</v>
      </c>
      <c r="CR1281" s="4" t="s">
        <v>241</v>
      </c>
      <c r="CS1281" s="4" t="s">
        <v>241</v>
      </c>
      <c r="CT1281" s="4">
        <v>0</v>
      </c>
      <c r="CU1281" s="4" t="s">
        <v>262</v>
      </c>
      <c r="CV1281" s="4" t="s">
        <v>263</v>
      </c>
      <c r="CW1281" s="4" t="s">
        <v>263</v>
      </c>
      <c r="CX1281" s="4" t="s">
        <v>264</v>
      </c>
      <c r="DA1281" s="6">
        <f>1</f>
        <v>1</v>
      </c>
      <c r="DC1281" s="4" t="s">
        <v>277</v>
      </c>
      <c r="DD1281" s="4" t="s">
        <v>241</v>
      </c>
      <c r="DF1281" s="4" t="s">
        <v>277</v>
      </c>
      <c r="DG1281" s="6">
        <f>169</f>
        <v>169</v>
      </c>
      <c r="DI1281" s="4" t="s">
        <v>241</v>
      </c>
      <c r="DJ1281" s="4" t="s">
        <v>241</v>
      </c>
      <c r="DK1281" s="4" t="s">
        <v>241</v>
      </c>
      <c r="DL1281" s="4" t="s">
        <v>241</v>
      </c>
      <c r="DP1281" s="4" t="s">
        <v>241</v>
      </c>
      <c r="DQ1281" s="4" t="s">
        <v>241</v>
      </c>
      <c r="DR1281" s="4" t="s">
        <v>241</v>
      </c>
      <c r="DS1281" s="4" t="s">
        <v>241</v>
      </c>
      <c r="DV1281" s="4" t="s">
        <v>278</v>
      </c>
      <c r="DW1281" s="4" t="s">
        <v>2881</v>
      </c>
      <c r="HO1281" s="4" t="s">
        <v>267</v>
      </c>
    </row>
    <row r="1282" spans="1:223" ht="19.5" customHeight="1" x14ac:dyDescent="0.4">
      <c r="A1282" s="4">
        <v>1</v>
      </c>
      <c r="B1282" s="4" t="s">
        <v>239</v>
      </c>
      <c r="C1282" s="4">
        <v>2956</v>
      </c>
      <c r="D1282" s="4">
        <v>1</v>
      </c>
      <c r="E1282" s="4">
        <v>1</v>
      </c>
      <c r="F1282" s="4" t="s">
        <v>268</v>
      </c>
      <c r="G1282" s="4" t="s">
        <v>241</v>
      </c>
      <c r="H1282" s="4" t="s">
        <v>241</v>
      </c>
      <c r="I1282" s="4" t="s">
        <v>272</v>
      </c>
      <c r="J1282" s="4" t="s">
        <v>274</v>
      </c>
      <c r="K1282" s="4" t="s">
        <v>251</v>
      </c>
      <c r="L1282" s="4" t="s">
        <v>269</v>
      </c>
      <c r="M1282" s="5" t="s">
        <v>2878</v>
      </c>
      <c r="N1282" s="6">
        <f>773</f>
        <v>773</v>
      </c>
      <c r="O1282" s="4" t="s">
        <v>265</v>
      </c>
      <c r="P1282" s="6">
        <f>1</f>
        <v>1</v>
      </c>
      <c r="Q1282" s="6">
        <f>0</f>
        <v>0</v>
      </c>
      <c r="S1282" s="6">
        <f>0</f>
        <v>0</v>
      </c>
      <c r="T1282" s="6">
        <f>1</f>
        <v>1</v>
      </c>
      <c r="U1282" s="5" t="s">
        <v>245</v>
      </c>
      <c r="V1282" s="4" t="s">
        <v>270</v>
      </c>
      <c r="W1282" s="4" t="s">
        <v>271</v>
      </c>
      <c r="X1282" s="4" t="s">
        <v>273</v>
      </c>
      <c r="Y1282" s="4" t="s">
        <v>241</v>
      </c>
      <c r="AB1282" s="4" t="s">
        <v>241</v>
      </c>
      <c r="AD1282" s="5" t="s">
        <v>241</v>
      </c>
      <c r="AG1282" s="5" t="s">
        <v>246</v>
      </c>
      <c r="AH1282" s="4" t="s">
        <v>241</v>
      </c>
      <c r="AI1282" s="4" t="s">
        <v>247</v>
      </c>
      <c r="AJ1282" s="4" t="s">
        <v>248</v>
      </c>
      <c r="AZ1282" s="4" t="s">
        <v>249</v>
      </c>
      <c r="BA1282" s="4" t="s">
        <v>241</v>
      </c>
      <c r="BB1282" s="4" t="s">
        <v>250</v>
      </c>
      <c r="BC1282" s="4" t="s">
        <v>241</v>
      </c>
      <c r="BD1282" s="4" t="s">
        <v>252</v>
      </c>
      <c r="BE1282" s="4" t="s">
        <v>241</v>
      </c>
      <c r="BI1282" s="4" t="s">
        <v>253</v>
      </c>
      <c r="BJ1282" s="5" t="s">
        <v>246</v>
      </c>
      <c r="BK1282" s="4" t="s">
        <v>254</v>
      </c>
      <c r="BL1282" s="4" t="s">
        <v>255</v>
      </c>
      <c r="BM1282" s="4" t="s">
        <v>241</v>
      </c>
      <c r="BN1282" s="6">
        <f>0</f>
        <v>0</v>
      </c>
      <c r="BO1282" s="6">
        <f>0</f>
        <v>0</v>
      </c>
      <c r="BP1282" s="4" t="s">
        <v>256</v>
      </c>
      <c r="BQ1282" s="4" t="s">
        <v>257</v>
      </c>
      <c r="CE1282" s="4" t="s">
        <v>241</v>
      </c>
      <c r="CF1282" s="4" t="s">
        <v>241</v>
      </c>
      <c r="CJ1282" s="4" t="s">
        <v>276</v>
      </c>
      <c r="CK1282" s="4" t="s">
        <v>259</v>
      </c>
      <c r="CL1282" s="4" t="s">
        <v>241</v>
      </c>
      <c r="CO1282" s="5" t="s">
        <v>260</v>
      </c>
      <c r="CP1282" s="4" t="s">
        <v>241</v>
      </c>
      <c r="CQ1282" s="4" t="s">
        <v>261</v>
      </c>
      <c r="CR1282" s="4" t="s">
        <v>241</v>
      </c>
      <c r="CS1282" s="4" t="s">
        <v>241</v>
      </c>
      <c r="CT1282" s="4">
        <v>0</v>
      </c>
      <c r="CU1282" s="4" t="s">
        <v>262</v>
      </c>
      <c r="CV1282" s="4" t="s">
        <v>263</v>
      </c>
      <c r="CW1282" s="4" t="s">
        <v>263</v>
      </c>
      <c r="CX1282" s="4" t="s">
        <v>264</v>
      </c>
      <c r="DA1282" s="6">
        <f>1</f>
        <v>1</v>
      </c>
      <c r="DC1282" s="4" t="s">
        <v>277</v>
      </c>
      <c r="DD1282" s="4" t="s">
        <v>241</v>
      </c>
      <c r="DF1282" s="4" t="s">
        <v>277</v>
      </c>
      <c r="DG1282" s="6">
        <f>773</f>
        <v>773</v>
      </c>
      <c r="DI1282" s="4" t="s">
        <v>241</v>
      </c>
      <c r="DJ1282" s="4" t="s">
        <v>241</v>
      </c>
      <c r="DK1282" s="4" t="s">
        <v>241</v>
      </c>
      <c r="DL1282" s="4" t="s">
        <v>241</v>
      </c>
      <c r="DP1282" s="4" t="s">
        <v>241</v>
      </c>
      <c r="DQ1282" s="4" t="s">
        <v>241</v>
      </c>
      <c r="DR1282" s="4" t="s">
        <v>241</v>
      </c>
      <c r="DS1282" s="4" t="s">
        <v>241</v>
      </c>
      <c r="DV1282" s="4" t="s">
        <v>278</v>
      </c>
      <c r="DW1282" s="4" t="s">
        <v>2879</v>
      </c>
      <c r="HO1282" s="4" t="s">
        <v>267</v>
      </c>
    </row>
    <row r="1283" spans="1:223" ht="19.5" customHeight="1" x14ac:dyDescent="0.4">
      <c r="A1283" s="4">
        <v>1</v>
      </c>
      <c r="B1283" s="4" t="s">
        <v>239</v>
      </c>
      <c r="C1283" s="4">
        <v>2957</v>
      </c>
      <c r="D1283" s="4">
        <v>1</v>
      </c>
      <c r="E1283" s="4">
        <v>1</v>
      </c>
      <c r="F1283" s="4" t="s">
        <v>268</v>
      </c>
      <c r="G1283" s="4" t="s">
        <v>241</v>
      </c>
      <c r="H1283" s="4" t="s">
        <v>241</v>
      </c>
      <c r="I1283" s="4" t="s">
        <v>272</v>
      </c>
      <c r="J1283" s="4" t="s">
        <v>274</v>
      </c>
      <c r="K1283" s="4" t="s">
        <v>251</v>
      </c>
      <c r="L1283" s="4" t="s">
        <v>269</v>
      </c>
      <c r="M1283" s="5" t="s">
        <v>2876</v>
      </c>
      <c r="N1283" s="6">
        <f>2262</f>
        <v>2262</v>
      </c>
      <c r="O1283" s="4" t="s">
        <v>265</v>
      </c>
      <c r="P1283" s="6">
        <f>1</f>
        <v>1</v>
      </c>
      <c r="Q1283" s="6">
        <f>0</f>
        <v>0</v>
      </c>
      <c r="S1283" s="6">
        <f>0</f>
        <v>0</v>
      </c>
      <c r="T1283" s="6">
        <f>1</f>
        <v>1</v>
      </c>
      <c r="U1283" s="5" t="s">
        <v>245</v>
      </c>
      <c r="V1283" s="4" t="s">
        <v>270</v>
      </c>
      <c r="W1283" s="4" t="s">
        <v>271</v>
      </c>
      <c r="X1283" s="4" t="s">
        <v>273</v>
      </c>
      <c r="Y1283" s="4" t="s">
        <v>241</v>
      </c>
      <c r="AB1283" s="4" t="s">
        <v>241</v>
      </c>
      <c r="AD1283" s="5" t="s">
        <v>241</v>
      </c>
      <c r="AG1283" s="5" t="s">
        <v>246</v>
      </c>
      <c r="AH1283" s="4" t="s">
        <v>241</v>
      </c>
      <c r="AI1283" s="4" t="s">
        <v>247</v>
      </c>
      <c r="AJ1283" s="4" t="s">
        <v>248</v>
      </c>
      <c r="AZ1283" s="4" t="s">
        <v>249</v>
      </c>
      <c r="BA1283" s="4" t="s">
        <v>241</v>
      </c>
      <c r="BB1283" s="4" t="s">
        <v>250</v>
      </c>
      <c r="BC1283" s="4" t="s">
        <v>241</v>
      </c>
      <c r="BD1283" s="4" t="s">
        <v>252</v>
      </c>
      <c r="BE1283" s="4" t="s">
        <v>241</v>
      </c>
      <c r="BI1283" s="4" t="s">
        <v>253</v>
      </c>
      <c r="BJ1283" s="5" t="s">
        <v>246</v>
      </c>
      <c r="BK1283" s="4" t="s">
        <v>254</v>
      </c>
      <c r="BL1283" s="4" t="s">
        <v>255</v>
      </c>
      <c r="BM1283" s="4" t="s">
        <v>241</v>
      </c>
      <c r="BN1283" s="6">
        <f>0</f>
        <v>0</v>
      </c>
      <c r="BO1283" s="6">
        <f>0</f>
        <v>0</v>
      </c>
      <c r="BP1283" s="4" t="s">
        <v>256</v>
      </c>
      <c r="BQ1283" s="4" t="s">
        <v>257</v>
      </c>
      <c r="CE1283" s="4" t="s">
        <v>241</v>
      </c>
      <c r="CF1283" s="4" t="s">
        <v>241</v>
      </c>
      <c r="CJ1283" s="4" t="s">
        <v>276</v>
      </c>
      <c r="CK1283" s="4" t="s">
        <v>259</v>
      </c>
      <c r="CL1283" s="4" t="s">
        <v>241</v>
      </c>
      <c r="CO1283" s="5" t="s">
        <v>260</v>
      </c>
      <c r="CP1283" s="4" t="s">
        <v>241</v>
      </c>
      <c r="CQ1283" s="4" t="s">
        <v>261</v>
      </c>
      <c r="CR1283" s="4" t="s">
        <v>241</v>
      </c>
      <c r="CS1283" s="4" t="s">
        <v>241</v>
      </c>
      <c r="CT1283" s="4">
        <v>0</v>
      </c>
      <c r="CU1283" s="4" t="s">
        <v>262</v>
      </c>
      <c r="CV1283" s="4" t="s">
        <v>263</v>
      </c>
      <c r="CW1283" s="4" t="s">
        <v>263</v>
      </c>
      <c r="CX1283" s="4" t="s">
        <v>264</v>
      </c>
      <c r="DA1283" s="6">
        <f>1</f>
        <v>1</v>
      </c>
      <c r="DC1283" s="4" t="s">
        <v>277</v>
      </c>
      <c r="DD1283" s="4" t="s">
        <v>241</v>
      </c>
      <c r="DF1283" s="4" t="s">
        <v>277</v>
      </c>
      <c r="DG1283" s="6">
        <f>2262</f>
        <v>2262</v>
      </c>
      <c r="DI1283" s="4" t="s">
        <v>241</v>
      </c>
      <c r="DJ1283" s="4" t="s">
        <v>241</v>
      </c>
      <c r="DK1283" s="4" t="s">
        <v>241</v>
      </c>
      <c r="DL1283" s="4" t="s">
        <v>241</v>
      </c>
      <c r="DP1283" s="4" t="s">
        <v>241</v>
      </c>
      <c r="DQ1283" s="4" t="s">
        <v>241</v>
      </c>
      <c r="DR1283" s="4" t="s">
        <v>241</v>
      </c>
      <c r="DS1283" s="4" t="s">
        <v>241</v>
      </c>
      <c r="DV1283" s="4" t="s">
        <v>278</v>
      </c>
      <c r="DW1283" s="4" t="s">
        <v>2877</v>
      </c>
      <c r="HO1283" s="4" t="s">
        <v>267</v>
      </c>
    </row>
    <row r="1284" spans="1:223" ht="19.5" customHeight="1" x14ac:dyDescent="0.4">
      <c r="A1284" s="4">
        <v>1</v>
      </c>
      <c r="B1284" s="4" t="s">
        <v>239</v>
      </c>
      <c r="C1284" s="4">
        <v>2958</v>
      </c>
      <c r="D1284" s="4">
        <v>1</v>
      </c>
      <c r="E1284" s="4">
        <v>1</v>
      </c>
      <c r="F1284" s="4" t="s">
        <v>268</v>
      </c>
      <c r="G1284" s="4" t="s">
        <v>241</v>
      </c>
      <c r="H1284" s="4" t="s">
        <v>241</v>
      </c>
      <c r="I1284" s="4" t="s">
        <v>272</v>
      </c>
      <c r="J1284" s="4" t="s">
        <v>274</v>
      </c>
      <c r="K1284" s="4" t="s">
        <v>251</v>
      </c>
      <c r="L1284" s="4" t="s">
        <v>269</v>
      </c>
      <c r="M1284" s="5" t="s">
        <v>2153</v>
      </c>
      <c r="N1284" s="6">
        <f>1956</f>
        <v>1956</v>
      </c>
      <c r="O1284" s="4" t="s">
        <v>265</v>
      </c>
      <c r="P1284" s="6">
        <f>1</f>
        <v>1</v>
      </c>
      <c r="Q1284" s="6">
        <f>0</f>
        <v>0</v>
      </c>
      <c r="S1284" s="6">
        <f>0</f>
        <v>0</v>
      </c>
      <c r="T1284" s="6">
        <f>1</f>
        <v>1</v>
      </c>
      <c r="U1284" s="5" t="s">
        <v>245</v>
      </c>
      <c r="V1284" s="4" t="s">
        <v>270</v>
      </c>
      <c r="W1284" s="4" t="s">
        <v>271</v>
      </c>
      <c r="X1284" s="4" t="s">
        <v>273</v>
      </c>
      <c r="Y1284" s="4" t="s">
        <v>241</v>
      </c>
      <c r="AB1284" s="4" t="s">
        <v>241</v>
      </c>
      <c r="AD1284" s="5" t="s">
        <v>241</v>
      </c>
      <c r="AG1284" s="5" t="s">
        <v>246</v>
      </c>
      <c r="AH1284" s="4" t="s">
        <v>241</v>
      </c>
      <c r="AI1284" s="4" t="s">
        <v>247</v>
      </c>
      <c r="AJ1284" s="4" t="s">
        <v>248</v>
      </c>
      <c r="AZ1284" s="4" t="s">
        <v>249</v>
      </c>
      <c r="BA1284" s="4" t="s">
        <v>241</v>
      </c>
      <c r="BB1284" s="4" t="s">
        <v>250</v>
      </c>
      <c r="BC1284" s="4" t="s">
        <v>241</v>
      </c>
      <c r="BD1284" s="4" t="s">
        <v>252</v>
      </c>
      <c r="BE1284" s="4" t="s">
        <v>241</v>
      </c>
      <c r="BI1284" s="4" t="s">
        <v>253</v>
      </c>
      <c r="BJ1284" s="5" t="s">
        <v>246</v>
      </c>
      <c r="BK1284" s="4" t="s">
        <v>254</v>
      </c>
      <c r="BL1284" s="4" t="s">
        <v>255</v>
      </c>
      <c r="BM1284" s="4" t="s">
        <v>241</v>
      </c>
      <c r="BN1284" s="6">
        <f>0</f>
        <v>0</v>
      </c>
      <c r="BO1284" s="6">
        <f>0</f>
        <v>0</v>
      </c>
      <c r="BP1284" s="4" t="s">
        <v>256</v>
      </c>
      <c r="BQ1284" s="4" t="s">
        <v>257</v>
      </c>
      <c r="CE1284" s="4" t="s">
        <v>241</v>
      </c>
      <c r="CF1284" s="4" t="s">
        <v>241</v>
      </c>
      <c r="CJ1284" s="4" t="s">
        <v>276</v>
      </c>
      <c r="CK1284" s="4" t="s">
        <v>259</v>
      </c>
      <c r="CL1284" s="4" t="s">
        <v>241</v>
      </c>
      <c r="CO1284" s="5" t="s">
        <v>260</v>
      </c>
      <c r="CP1284" s="4" t="s">
        <v>241</v>
      </c>
      <c r="CQ1284" s="4" t="s">
        <v>261</v>
      </c>
      <c r="CR1284" s="4" t="s">
        <v>241</v>
      </c>
      <c r="CS1284" s="4" t="s">
        <v>241</v>
      </c>
      <c r="CT1284" s="4">
        <v>0</v>
      </c>
      <c r="CU1284" s="4" t="s">
        <v>262</v>
      </c>
      <c r="CV1284" s="4" t="s">
        <v>263</v>
      </c>
      <c r="CW1284" s="4" t="s">
        <v>263</v>
      </c>
      <c r="CX1284" s="4" t="s">
        <v>264</v>
      </c>
      <c r="DA1284" s="6">
        <f>1</f>
        <v>1</v>
      </c>
      <c r="DC1284" s="4" t="s">
        <v>277</v>
      </c>
      <c r="DD1284" s="4" t="s">
        <v>241</v>
      </c>
      <c r="DF1284" s="4" t="s">
        <v>277</v>
      </c>
      <c r="DG1284" s="6">
        <f>1956</f>
        <v>1956</v>
      </c>
      <c r="DI1284" s="4" t="s">
        <v>241</v>
      </c>
      <c r="DJ1284" s="4" t="s">
        <v>241</v>
      </c>
      <c r="DK1284" s="4" t="s">
        <v>241</v>
      </c>
      <c r="DL1284" s="4" t="s">
        <v>241</v>
      </c>
      <c r="DP1284" s="4" t="s">
        <v>241</v>
      </c>
      <c r="DQ1284" s="4" t="s">
        <v>241</v>
      </c>
      <c r="DR1284" s="4" t="s">
        <v>241</v>
      </c>
      <c r="DS1284" s="4" t="s">
        <v>241</v>
      </c>
      <c r="DV1284" s="4" t="s">
        <v>278</v>
      </c>
      <c r="DW1284" s="4" t="s">
        <v>2154</v>
      </c>
      <c r="HO1284" s="4" t="s">
        <v>267</v>
      </c>
    </row>
    <row r="1285" spans="1:223" ht="19.5" customHeight="1" x14ac:dyDescent="0.4">
      <c r="A1285" s="4">
        <v>1</v>
      </c>
      <c r="B1285" s="4" t="s">
        <v>239</v>
      </c>
      <c r="C1285" s="4">
        <v>2959</v>
      </c>
      <c r="D1285" s="4">
        <v>1</v>
      </c>
      <c r="E1285" s="4">
        <v>1</v>
      </c>
      <c r="F1285" s="4" t="s">
        <v>268</v>
      </c>
      <c r="G1285" s="4" t="s">
        <v>241</v>
      </c>
      <c r="H1285" s="4" t="s">
        <v>241</v>
      </c>
      <c r="I1285" s="4" t="s">
        <v>272</v>
      </c>
      <c r="J1285" s="4" t="s">
        <v>274</v>
      </c>
      <c r="K1285" s="4" t="s">
        <v>251</v>
      </c>
      <c r="L1285" s="4" t="s">
        <v>269</v>
      </c>
      <c r="M1285" s="5" t="s">
        <v>2874</v>
      </c>
      <c r="N1285" s="6">
        <f>335</f>
        <v>335</v>
      </c>
      <c r="O1285" s="4" t="s">
        <v>265</v>
      </c>
      <c r="P1285" s="6">
        <f>1</f>
        <v>1</v>
      </c>
      <c r="Q1285" s="6">
        <f>0</f>
        <v>0</v>
      </c>
      <c r="S1285" s="6">
        <f>0</f>
        <v>0</v>
      </c>
      <c r="T1285" s="6">
        <f>1</f>
        <v>1</v>
      </c>
      <c r="U1285" s="5" t="s">
        <v>245</v>
      </c>
      <c r="V1285" s="4" t="s">
        <v>270</v>
      </c>
      <c r="W1285" s="4" t="s">
        <v>271</v>
      </c>
      <c r="X1285" s="4" t="s">
        <v>273</v>
      </c>
      <c r="Y1285" s="4" t="s">
        <v>241</v>
      </c>
      <c r="AB1285" s="4" t="s">
        <v>241</v>
      </c>
      <c r="AD1285" s="5" t="s">
        <v>241</v>
      </c>
      <c r="AG1285" s="5" t="s">
        <v>246</v>
      </c>
      <c r="AH1285" s="4" t="s">
        <v>241</v>
      </c>
      <c r="AI1285" s="4" t="s">
        <v>247</v>
      </c>
      <c r="AJ1285" s="4" t="s">
        <v>248</v>
      </c>
      <c r="AZ1285" s="4" t="s">
        <v>249</v>
      </c>
      <c r="BA1285" s="4" t="s">
        <v>241</v>
      </c>
      <c r="BB1285" s="4" t="s">
        <v>250</v>
      </c>
      <c r="BC1285" s="4" t="s">
        <v>241</v>
      </c>
      <c r="BD1285" s="4" t="s">
        <v>252</v>
      </c>
      <c r="BE1285" s="4" t="s">
        <v>241</v>
      </c>
      <c r="BI1285" s="4" t="s">
        <v>253</v>
      </c>
      <c r="BJ1285" s="5" t="s">
        <v>246</v>
      </c>
      <c r="BK1285" s="4" t="s">
        <v>254</v>
      </c>
      <c r="BL1285" s="4" t="s">
        <v>255</v>
      </c>
      <c r="BM1285" s="4" t="s">
        <v>241</v>
      </c>
      <c r="BN1285" s="6">
        <f>0</f>
        <v>0</v>
      </c>
      <c r="BO1285" s="6">
        <f>0</f>
        <v>0</v>
      </c>
      <c r="BP1285" s="4" t="s">
        <v>256</v>
      </c>
      <c r="BQ1285" s="4" t="s">
        <v>257</v>
      </c>
      <c r="CE1285" s="4" t="s">
        <v>241</v>
      </c>
      <c r="CF1285" s="4" t="s">
        <v>241</v>
      </c>
      <c r="CJ1285" s="4" t="s">
        <v>276</v>
      </c>
      <c r="CK1285" s="4" t="s">
        <v>259</v>
      </c>
      <c r="CL1285" s="4" t="s">
        <v>241</v>
      </c>
      <c r="CO1285" s="5" t="s">
        <v>260</v>
      </c>
      <c r="CP1285" s="4" t="s">
        <v>241</v>
      </c>
      <c r="CQ1285" s="4" t="s">
        <v>261</v>
      </c>
      <c r="CR1285" s="4" t="s">
        <v>241</v>
      </c>
      <c r="CS1285" s="4" t="s">
        <v>241</v>
      </c>
      <c r="CT1285" s="4">
        <v>0</v>
      </c>
      <c r="CU1285" s="4" t="s">
        <v>262</v>
      </c>
      <c r="CV1285" s="4" t="s">
        <v>263</v>
      </c>
      <c r="CW1285" s="4" t="s">
        <v>263</v>
      </c>
      <c r="CX1285" s="4" t="s">
        <v>264</v>
      </c>
      <c r="DA1285" s="6">
        <f>1</f>
        <v>1</v>
      </c>
      <c r="DC1285" s="4" t="s">
        <v>277</v>
      </c>
      <c r="DD1285" s="4" t="s">
        <v>241</v>
      </c>
      <c r="DF1285" s="4" t="s">
        <v>277</v>
      </c>
      <c r="DG1285" s="6">
        <f>335</f>
        <v>335</v>
      </c>
      <c r="DI1285" s="4" t="s">
        <v>241</v>
      </c>
      <c r="DJ1285" s="4" t="s">
        <v>241</v>
      </c>
      <c r="DK1285" s="4" t="s">
        <v>241</v>
      </c>
      <c r="DL1285" s="4" t="s">
        <v>241</v>
      </c>
      <c r="DP1285" s="4" t="s">
        <v>241</v>
      </c>
      <c r="DQ1285" s="4" t="s">
        <v>241</v>
      </c>
      <c r="DR1285" s="4" t="s">
        <v>241</v>
      </c>
      <c r="DS1285" s="4" t="s">
        <v>241</v>
      </c>
      <c r="DV1285" s="4" t="s">
        <v>278</v>
      </c>
      <c r="DW1285" s="4" t="s">
        <v>2875</v>
      </c>
      <c r="HO1285" s="4" t="s">
        <v>267</v>
      </c>
    </row>
    <row r="1286" spans="1:223" ht="19.5" customHeight="1" x14ac:dyDescent="0.4">
      <c r="A1286" s="4">
        <v>1</v>
      </c>
      <c r="B1286" s="4" t="s">
        <v>239</v>
      </c>
      <c r="C1286" s="4">
        <v>2960</v>
      </c>
      <c r="D1286" s="4">
        <v>1</v>
      </c>
      <c r="E1286" s="4">
        <v>1</v>
      </c>
      <c r="F1286" s="4" t="s">
        <v>268</v>
      </c>
      <c r="G1286" s="4" t="s">
        <v>241</v>
      </c>
      <c r="H1286" s="4" t="s">
        <v>241</v>
      </c>
      <c r="I1286" s="4" t="s">
        <v>272</v>
      </c>
      <c r="J1286" s="4" t="s">
        <v>274</v>
      </c>
      <c r="K1286" s="4" t="s">
        <v>251</v>
      </c>
      <c r="L1286" s="4" t="s">
        <v>269</v>
      </c>
      <c r="M1286" s="5" t="s">
        <v>2955</v>
      </c>
      <c r="N1286" s="6">
        <f>2499</f>
        <v>2499</v>
      </c>
      <c r="O1286" s="4" t="s">
        <v>265</v>
      </c>
      <c r="P1286" s="6">
        <f>1</f>
        <v>1</v>
      </c>
      <c r="Q1286" s="6">
        <f>0</f>
        <v>0</v>
      </c>
      <c r="S1286" s="6">
        <f>0</f>
        <v>0</v>
      </c>
      <c r="T1286" s="6">
        <f>1</f>
        <v>1</v>
      </c>
      <c r="U1286" s="5" t="s">
        <v>245</v>
      </c>
      <c r="V1286" s="4" t="s">
        <v>270</v>
      </c>
      <c r="W1286" s="4" t="s">
        <v>271</v>
      </c>
      <c r="X1286" s="4" t="s">
        <v>273</v>
      </c>
      <c r="Y1286" s="4" t="s">
        <v>241</v>
      </c>
      <c r="AB1286" s="4" t="s">
        <v>241</v>
      </c>
      <c r="AD1286" s="5" t="s">
        <v>241</v>
      </c>
      <c r="AG1286" s="5" t="s">
        <v>246</v>
      </c>
      <c r="AH1286" s="4" t="s">
        <v>241</v>
      </c>
      <c r="AI1286" s="4" t="s">
        <v>247</v>
      </c>
      <c r="AJ1286" s="4" t="s">
        <v>248</v>
      </c>
      <c r="AZ1286" s="4" t="s">
        <v>249</v>
      </c>
      <c r="BA1286" s="4" t="s">
        <v>241</v>
      </c>
      <c r="BB1286" s="4" t="s">
        <v>250</v>
      </c>
      <c r="BC1286" s="4" t="s">
        <v>241</v>
      </c>
      <c r="BD1286" s="4" t="s">
        <v>252</v>
      </c>
      <c r="BE1286" s="4" t="s">
        <v>241</v>
      </c>
      <c r="BI1286" s="4" t="s">
        <v>253</v>
      </c>
      <c r="BJ1286" s="5" t="s">
        <v>246</v>
      </c>
      <c r="BK1286" s="4" t="s">
        <v>254</v>
      </c>
      <c r="BL1286" s="4" t="s">
        <v>255</v>
      </c>
      <c r="BM1286" s="4" t="s">
        <v>241</v>
      </c>
      <c r="BN1286" s="6">
        <f>0</f>
        <v>0</v>
      </c>
      <c r="BO1286" s="6">
        <f>0</f>
        <v>0</v>
      </c>
      <c r="BP1286" s="4" t="s">
        <v>256</v>
      </c>
      <c r="BQ1286" s="4" t="s">
        <v>257</v>
      </c>
      <c r="CE1286" s="4" t="s">
        <v>241</v>
      </c>
      <c r="CF1286" s="4" t="s">
        <v>241</v>
      </c>
      <c r="CJ1286" s="4" t="s">
        <v>276</v>
      </c>
      <c r="CK1286" s="4" t="s">
        <v>259</v>
      </c>
      <c r="CL1286" s="4" t="s">
        <v>241</v>
      </c>
      <c r="CO1286" s="5" t="s">
        <v>260</v>
      </c>
      <c r="CP1286" s="4" t="s">
        <v>241</v>
      </c>
      <c r="CQ1286" s="4" t="s">
        <v>261</v>
      </c>
      <c r="CR1286" s="4" t="s">
        <v>241</v>
      </c>
      <c r="CS1286" s="4" t="s">
        <v>241</v>
      </c>
      <c r="CT1286" s="4">
        <v>0</v>
      </c>
      <c r="CU1286" s="4" t="s">
        <v>262</v>
      </c>
      <c r="CV1286" s="4" t="s">
        <v>263</v>
      </c>
      <c r="CW1286" s="4" t="s">
        <v>263</v>
      </c>
      <c r="CX1286" s="4" t="s">
        <v>264</v>
      </c>
      <c r="DA1286" s="6">
        <f>1</f>
        <v>1</v>
      </c>
      <c r="DC1286" s="4" t="s">
        <v>277</v>
      </c>
      <c r="DD1286" s="4" t="s">
        <v>241</v>
      </c>
      <c r="DF1286" s="4" t="s">
        <v>277</v>
      </c>
      <c r="DG1286" s="6">
        <f>2499</f>
        <v>2499</v>
      </c>
      <c r="DI1286" s="4" t="s">
        <v>241</v>
      </c>
      <c r="DJ1286" s="4" t="s">
        <v>241</v>
      </c>
      <c r="DK1286" s="4" t="s">
        <v>241</v>
      </c>
      <c r="DL1286" s="4" t="s">
        <v>241</v>
      </c>
      <c r="DP1286" s="4" t="s">
        <v>241</v>
      </c>
      <c r="DQ1286" s="4" t="s">
        <v>241</v>
      </c>
      <c r="DR1286" s="4" t="s">
        <v>241</v>
      </c>
      <c r="DS1286" s="4" t="s">
        <v>241</v>
      </c>
      <c r="DV1286" s="4" t="s">
        <v>278</v>
      </c>
      <c r="DW1286" s="4" t="s">
        <v>2956</v>
      </c>
      <c r="HO1286" s="4" t="s">
        <v>267</v>
      </c>
    </row>
    <row r="1287" spans="1:223" ht="19.5" customHeight="1" x14ac:dyDescent="0.4">
      <c r="A1287" s="4">
        <v>1</v>
      </c>
      <c r="B1287" s="4" t="s">
        <v>239</v>
      </c>
      <c r="C1287" s="4">
        <v>2961</v>
      </c>
      <c r="D1287" s="4">
        <v>1</v>
      </c>
      <c r="E1287" s="4">
        <v>1</v>
      </c>
      <c r="F1287" s="4" t="s">
        <v>268</v>
      </c>
      <c r="G1287" s="4" t="s">
        <v>241</v>
      </c>
      <c r="H1287" s="4" t="s">
        <v>241</v>
      </c>
      <c r="I1287" s="4" t="s">
        <v>272</v>
      </c>
      <c r="J1287" s="4" t="s">
        <v>274</v>
      </c>
      <c r="K1287" s="4" t="s">
        <v>251</v>
      </c>
      <c r="L1287" s="4" t="s">
        <v>269</v>
      </c>
      <c r="M1287" s="5" t="s">
        <v>2953</v>
      </c>
      <c r="N1287" s="6">
        <f>1261</f>
        <v>1261</v>
      </c>
      <c r="O1287" s="4" t="s">
        <v>265</v>
      </c>
      <c r="P1287" s="6">
        <f>1</f>
        <v>1</v>
      </c>
      <c r="Q1287" s="6">
        <f>0</f>
        <v>0</v>
      </c>
      <c r="S1287" s="6">
        <f>0</f>
        <v>0</v>
      </c>
      <c r="T1287" s="6">
        <f>1</f>
        <v>1</v>
      </c>
      <c r="U1287" s="5" t="s">
        <v>245</v>
      </c>
      <c r="V1287" s="4" t="s">
        <v>270</v>
      </c>
      <c r="W1287" s="4" t="s">
        <v>271</v>
      </c>
      <c r="X1287" s="4" t="s">
        <v>273</v>
      </c>
      <c r="Y1287" s="4" t="s">
        <v>241</v>
      </c>
      <c r="AB1287" s="4" t="s">
        <v>241</v>
      </c>
      <c r="AD1287" s="5" t="s">
        <v>241</v>
      </c>
      <c r="AG1287" s="5" t="s">
        <v>246</v>
      </c>
      <c r="AH1287" s="4" t="s">
        <v>241</v>
      </c>
      <c r="AI1287" s="4" t="s">
        <v>247</v>
      </c>
      <c r="AJ1287" s="4" t="s">
        <v>248</v>
      </c>
      <c r="AZ1287" s="4" t="s">
        <v>249</v>
      </c>
      <c r="BA1287" s="4" t="s">
        <v>241</v>
      </c>
      <c r="BB1287" s="4" t="s">
        <v>250</v>
      </c>
      <c r="BC1287" s="4" t="s">
        <v>241</v>
      </c>
      <c r="BD1287" s="4" t="s">
        <v>252</v>
      </c>
      <c r="BE1287" s="4" t="s">
        <v>241</v>
      </c>
      <c r="BI1287" s="4" t="s">
        <v>253</v>
      </c>
      <c r="BJ1287" s="5" t="s">
        <v>246</v>
      </c>
      <c r="BK1287" s="4" t="s">
        <v>254</v>
      </c>
      <c r="BL1287" s="4" t="s">
        <v>255</v>
      </c>
      <c r="BM1287" s="4" t="s">
        <v>241</v>
      </c>
      <c r="BN1287" s="6">
        <f>0</f>
        <v>0</v>
      </c>
      <c r="BO1287" s="6">
        <f>0</f>
        <v>0</v>
      </c>
      <c r="BP1287" s="4" t="s">
        <v>256</v>
      </c>
      <c r="BQ1287" s="4" t="s">
        <v>257</v>
      </c>
      <c r="CE1287" s="4" t="s">
        <v>241</v>
      </c>
      <c r="CF1287" s="4" t="s">
        <v>241</v>
      </c>
      <c r="CJ1287" s="4" t="s">
        <v>276</v>
      </c>
      <c r="CK1287" s="4" t="s">
        <v>259</v>
      </c>
      <c r="CL1287" s="4" t="s">
        <v>241</v>
      </c>
      <c r="CO1287" s="5" t="s">
        <v>260</v>
      </c>
      <c r="CP1287" s="4" t="s">
        <v>241</v>
      </c>
      <c r="CQ1287" s="4" t="s">
        <v>261</v>
      </c>
      <c r="CR1287" s="4" t="s">
        <v>241</v>
      </c>
      <c r="CS1287" s="4" t="s">
        <v>241</v>
      </c>
      <c r="CT1287" s="4">
        <v>0</v>
      </c>
      <c r="CU1287" s="4" t="s">
        <v>262</v>
      </c>
      <c r="CV1287" s="4" t="s">
        <v>263</v>
      </c>
      <c r="CW1287" s="4" t="s">
        <v>263</v>
      </c>
      <c r="CX1287" s="4" t="s">
        <v>264</v>
      </c>
      <c r="DA1287" s="6">
        <f>1</f>
        <v>1</v>
      </c>
      <c r="DC1287" s="4" t="s">
        <v>277</v>
      </c>
      <c r="DD1287" s="4" t="s">
        <v>241</v>
      </c>
      <c r="DF1287" s="4" t="s">
        <v>277</v>
      </c>
      <c r="DG1287" s="6">
        <f>1261</f>
        <v>1261</v>
      </c>
      <c r="DI1287" s="4" t="s">
        <v>241</v>
      </c>
      <c r="DJ1287" s="4" t="s">
        <v>241</v>
      </c>
      <c r="DK1287" s="4" t="s">
        <v>241</v>
      </c>
      <c r="DL1287" s="4" t="s">
        <v>241</v>
      </c>
      <c r="DP1287" s="4" t="s">
        <v>241</v>
      </c>
      <c r="DQ1287" s="4" t="s">
        <v>241</v>
      </c>
      <c r="DR1287" s="4" t="s">
        <v>241</v>
      </c>
      <c r="DS1287" s="4" t="s">
        <v>241</v>
      </c>
      <c r="DV1287" s="4" t="s">
        <v>278</v>
      </c>
      <c r="DW1287" s="4" t="s">
        <v>2954</v>
      </c>
      <c r="HO1287" s="4" t="s">
        <v>267</v>
      </c>
    </row>
    <row r="1288" spans="1:223" ht="19.5" customHeight="1" x14ac:dyDescent="0.4">
      <c r="A1288" s="4">
        <v>1</v>
      </c>
      <c r="B1288" s="4" t="s">
        <v>239</v>
      </c>
      <c r="C1288" s="4">
        <v>2962</v>
      </c>
      <c r="D1288" s="4">
        <v>1</v>
      </c>
      <c r="E1288" s="4">
        <v>1</v>
      </c>
      <c r="F1288" s="4" t="s">
        <v>268</v>
      </c>
      <c r="G1288" s="4" t="s">
        <v>241</v>
      </c>
      <c r="H1288" s="4" t="s">
        <v>241</v>
      </c>
      <c r="I1288" s="4" t="s">
        <v>272</v>
      </c>
      <c r="J1288" s="4" t="s">
        <v>274</v>
      </c>
      <c r="K1288" s="4" t="s">
        <v>251</v>
      </c>
      <c r="L1288" s="4" t="s">
        <v>269</v>
      </c>
      <c r="M1288" s="5" t="s">
        <v>2949</v>
      </c>
      <c r="N1288" s="6">
        <f>244</f>
        <v>244</v>
      </c>
      <c r="O1288" s="4" t="s">
        <v>265</v>
      </c>
      <c r="P1288" s="6">
        <f>1</f>
        <v>1</v>
      </c>
      <c r="Q1288" s="6">
        <f>0</f>
        <v>0</v>
      </c>
      <c r="S1288" s="6">
        <f>0</f>
        <v>0</v>
      </c>
      <c r="T1288" s="6">
        <f>1</f>
        <v>1</v>
      </c>
      <c r="U1288" s="5" t="s">
        <v>245</v>
      </c>
      <c r="V1288" s="4" t="s">
        <v>270</v>
      </c>
      <c r="W1288" s="4" t="s">
        <v>271</v>
      </c>
      <c r="X1288" s="4" t="s">
        <v>273</v>
      </c>
      <c r="Y1288" s="4" t="s">
        <v>241</v>
      </c>
      <c r="AB1288" s="4" t="s">
        <v>241</v>
      </c>
      <c r="AD1288" s="5" t="s">
        <v>241</v>
      </c>
      <c r="AG1288" s="5" t="s">
        <v>246</v>
      </c>
      <c r="AH1288" s="4" t="s">
        <v>241</v>
      </c>
      <c r="AI1288" s="4" t="s">
        <v>247</v>
      </c>
      <c r="AJ1288" s="4" t="s">
        <v>248</v>
      </c>
      <c r="AZ1288" s="4" t="s">
        <v>249</v>
      </c>
      <c r="BA1288" s="4" t="s">
        <v>241</v>
      </c>
      <c r="BB1288" s="4" t="s">
        <v>250</v>
      </c>
      <c r="BC1288" s="4" t="s">
        <v>241</v>
      </c>
      <c r="BD1288" s="4" t="s">
        <v>252</v>
      </c>
      <c r="BE1288" s="4" t="s">
        <v>241</v>
      </c>
      <c r="BI1288" s="4" t="s">
        <v>253</v>
      </c>
      <c r="BJ1288" s="5" t="s">
        <v>246</v>
      </c>
      <c r="BK1288" s="4" t="s">
        <v>254</v>
      </c>
      <c r="BL1288" s="4" t="s">
        <v>255</v>
      </c>
      <c r="BM1288" s="4" t="s">
        <v>241</v>
      </c>
      <c r="BN1288" s="6">
        <f>0</f>
        <v>0</v>
      </c>
      <c r="BO1288" s="6">
        <f>0</f>
        <v>0</v>
      </c>
      <c r="BP1288" s="4" t="s">
        <v>256</v>
      </c>
      <c r="BQ1288" s="4" t="s">
        <v>257</v>
      </c>
      <c r="CE1288" s="4" t="s">
        <v>241</v>
      </c>
      <c r="CF1288" s="4" t="s">
        <v>241</v>
      </c>
      <c r="CJ1288" s="4" t="s">
        <v>276</v>
      </c>
      <c r="CK1288" s="4" t="s">
        <v>259</v>
      </c>
      <c r="CL1288" s="4" t="s">
        <v>241</v>
      </c>
      <c r="CO1288" s="5" t="s">
        <v>260</v>
      </c>
      <c r="CP1288" s="4" t="s">
        <v>241</v>
      </c>
      <c r="CQ1288" s="4" t="s">
        <v>261</v>
      </c>
      <c r="CR1288" s="4" t="s">
        <v>241</v>
      </c>
      <c r="CS1288" s="4" t="s">
        <v>241</v>
      </c>
      <c r="CT1288" s="4">
        <v>0</v>
      </c>
      <c r="CU1288" s="4" t="s">
        <v>262</v>
      </c>
      <c r="CV1288" s="4" t="s">
        <v>263</v>
      </c>
      <c r="CW1288" s="4" t="s">
        <v>263</v>
      </c>
      <c r="CX1288" s="4" t="s">
        <v>264</v>
      </c>
      <c r="DA1288" s="6">
        <f>1</f>
        <v>1</v>
      </c>
      <c r="DC1288" s="4" t="s">
        <v>277</v>
      </c>
      <c r="DD1288" s="4" t="s">
        <v>241</v>
      </c>
      <c r="DF1288" s="4" t="s">
        <v>277</v>
      </c>
      <c r="DG1288" s="6">
        <f>244</f>
        <v>244</v>
      </c>
      <c r="DI1288" s="4" t="s">
        <v>241</v>
      </c>
      <c r="DJ1288" s="4" t="s">
        <v>241</v>
      </c>
      <c r="DK1288" s="4" t="s">
        <v>241</v>
      </c>
      <c r="DL1288" s="4" t="s">
        <v>241</v>
      </c>
      <c r="DP1288" s="4" t="s">
        <v>241</v>
      </c>
      <c r="DQ1288" s="4" t="s">
        <v>241</v>
      </c>
      <c r="DR1288" s="4" t="s">
        <v>241</v>
      </c>
      <c r="DS1288" s="4" t="s">
        <v>241</v>
      </c>
      <c r="DV1288" s="4" t="s">
        <v>278</v>
      </c>
      <c r="DW1288" s="4" t="s">
        <v>2950</v>
      </c>
      <c r="HO1288" s="4" t="s">
        <v>267</v>
      </c>
    </row>
    <row r="1289" spans="1:223" ht="19.5" customHeight="1" x14ac:dyDescent="0.4">
      <c r="A1289" s="4">
        <v>1</v>
      </c>
      <c r="B1289" s="4" t="s">
        <v>239</v>
      </c>
      <c r="C1289" s="4">
        <v>2963</v>
      </c>
      <c r="D1289" s="4">
        <v>1</v>
      </c>
      <c r="E1289" s="4">
        <v>1</v>
      </c>
      <c r="F1289" s="4" t="s">
        <v>268</v>
      </c>
      <c r="G1289" s="4" t="s">
        <v>241</v>
      </c>
      <c r="H1289" s="4" t="s">
        <v>241</v>
      </c>
      <c r="I1289" s="4" t="s">
        <v>272</v>
      </c>
      <c r="J1289" s="4" t="s">
        <v>274</v>
      </c>
      <c r="K1289" s="4" t="s">
        <v>251</v>
      </c>
      <c r="L1289" s="4" t="s">
        <v>269</v>
      </c>
      <c r="M1289" s="5" t="s">
        <v>2943</v>
      </c>
      <c r="N1289" s="6">
        <f>5141</f>
        <v>5141</v>
      </c>
      <c r="O1289" s="4" t="s">
        <v>265</v>
      </c>
      <c r="P1289" s="6">
        <f>1</f>
        <v>1</v>
      </c>
      <c r="Q1289" s="6">
        <f>0</f>
        <v>0</v>
      </c>
      <c r="S1289" s="6">
        <f>0</f>
        <v>0</v>
      </c>
      <c r="T1289" s="6">
        <f>1</f>
        <v>1</v>
      </c>
      <c r="U1289" s="5" t="s">
        <v>245</v>
      </c>
      <c r="V1289" s="4" t="s">
        <v>270</v>
      </c>
      <c r="W1289" s="4" t="s">
        <v>271</v>
      </c>
      <c r="X1289" s="4" t="s">
        <v>273</v>
      </c>
      <c r="Y1289" s="4" t="s">
        <v>241</v>
      </c>
      <c r="AB1289" s="4" t="s">
        <v>241</v>
      </c>
      <c r="AD1289" s="5" t="s">
        <v>241</v>
      </c>
      <c r="AG1289" s="5" t="s">
        <v>246</v>
      </c>
      <c r="AH1289" s="4" t="s">
        <v>241</v>
      </c>
      <c r="AI1289" s="4" t="s">
        <v>247</v>
      </c>
      <c r="AJ1289" s="4" t="s">
        <v>248</v>
      </c>
      <c r="AZ1289" s="4" t="s">
        <v>249</v>
      </c>
      <c r="BA1289" s="4" t="s">
        <v>241</v>
      </c>
      <c r="BB1289" s="4" t="s">
        <v>250</v>
      </c>
      <c r="BC1289" s="4" t="s">
        <v>241</v>
      </c>
      <c r="BD1289" s="4" t="s">
        <v>252</v>
      </c>
      <c r="BE1289" s="4" t="s">
        <v>241</v>
      </c>
      <c r="BI1289" s="4" t="s">
        <v>253</v>
      </c>
      <c r="BJ1289" s="5" t="s">
        <v>246</v>
      </c>
      <c r="BK1289" s="4" t="s">
        <v>254</v>
      </c>
      <c r="BL1289" s="4" t="s">
        <v>255</v>
      </c>
      <c r="BM1289" s="4" t="s">
        <v>241</v>
      </c>
      <c r="BN1289" s="6">
        <f>0</f>
        <v>0</v>
      </c>
      <c r="BO1289" s="6">
        <f>0</f>
        <v>0</v>
      </c>
      <c r="BP1289" s="4" t="s">
        <v>256</v>
      </c>
      <c r="BQ1289" s="4" t="s">
        <v>257</v>
      </c>
      <c r="CE1289" s="4" t="s">
        <v>241</v>
      </c>
      <c r="CF1289" s="4" t="s">
        <v>241</v>
      </c>
      <c r="CJ1289" s="4" t="s">
        <v>276</v>
      </c>
      <c r="CK1289" s="4" t="s">
        <v>259</v>
      </c>
      <c r="CL1289" s="4" t="s">
        <v>241</v>
      </c>
      <c r="CO1289" s="5" t="s">
        <v>260</v>
      </c>
      <c r="CP1289" s="4" t="s">
        <v>241</v>
      </c>
      <c r="CQ1289" s="4" t="s">
        <v>261</v>
      </c>
      <c r="CR1289" s="4" t="s">
        <v>241</v>
      </c>
      <c r="CS1289" s="4" t="s">
        <v>241</v>
      </c>
      <c r="CT1289" s="4">
        <v>0</v>
      </c>
      <c r="CU1289" s="4" t="s">
        <v>262</v>
      </c>
      <c r="CV1289" s="4" t="s">
        <v>263</v>
      </c>
      <c r="CW1289" s="4" t="s">
        <v>263</v>
      </c>
      <c r="CX1289" s="4" t="s">
        <v>264</v>
      </c>
      <c r="DA1289" s="6">
        <f>1</f>
        <v>1</v>
      </c>
      <c r="DC1289" s="4" t="s">
        <v>277</v>
      </c>
      <c r="DD1289" s="4" t="s">
        <v>241</v>
      </c>
      <c r="DF1289" s="4" t="s">
        <v>277</v>
      </c>
      <c r="DG1289" s="6">
        <f>5141</f>
        <v>5141</v>
      </c>
      <c r="DI1289" s="4" t="s">
        <v>241</v>
      </c>
      <c r="DJ1289" s="4" t="s">
        <v>241</v>
      </c>
      <c r="DK1289" s="4" t="s">
        <v>241</v>
      </c>
      <c r="DL1289" s="4" t="s">
        <v>241</v>
      </c>
      <c r="DP1289" s="4" t="s">
        <v>241</v>
      </c>
      <c r="DQ1289" s="4" t="s">
        <v>241</v>
      </c>
      <c r="DR1289" s="4" t="s">
        <v>241</v>
      </c>
      <c r="DS1289" s="4" t="s">
        <v>241</v>
      </c>
      <c r="DV1289" s="4" t="s">
        <v>278</v>
      </c>
      <c r="DW1289" s="4" t="s">
        <v>2944</v>
      </c>
      <c r="HO1289" s="4" t="s">
        <v>267</v>
      </c>
    </row>
    <row r="1290" spans="1:223" ht="19.5" customHeight="1" x14ac:dyDescent="0.4">
      <c r="A1290" s="4">
        <v>1</v>
      </c>
      <c r="B1290" s="4" t="s">
        <v>239</v>
      </c>
      <c r="C1290" s="4">
        <v>2964</v>
      </c>
      <c r="D1290" s="4">
        <v>1</v>
      </c>
      <c r="E1290" s="4">
        <v>1</v>
      </c>
      <c r="F1290" s="4" t="s">
        <v>268</v>
      </c>
      <c r="G1290" s="4" t="s">
        <v>241</v>
      </c>
      <c r="H1290" s="4" t="s">
        <v>241</v>
      </c>
      <c r="I1290" s="4" t="s">
        <v>272</v>
      </c>
      <c r="J1290" s="4" t="s">
        <v>274</v>
      </c>
      <c r="K1290" s="4" t="s">
        <v>251</v>
      </c>
      <c r="L1290" s="4" t="s">
        <v>269</v>
      </c>
      <c r="M1290" s="5" t="s">
        <v>2941</v>
      </c>
      <c r="N1290" s="6">
        <f>1209</f>
        <v>1209</v>
      </c>
      <c r="O1290" s="4" t="s">
        <v>265</v>
      </c>
      <c r="P1290" s="6">
        <f>1</f>
        <v>1</v>
      </c>
      <c r="Q1290" s="6">
        <f>0</f>
        <v>0</v>
      </c>
      <c r="S1290" s="6">
        <f>0</f>
        <v>0</v>
      </c>
      <c r="T1290" s="6">
        <f>1</f>
        <v>1</v>
      </c>
      <c r="U1290" s="5" t="s">
        <v>245</v>
      </c>
      <c r="V1290" s="4" t="s">
        <v>270</v>
      </c>
      <c r="W1290" s="4" t="s">
        <v>271</v>
      </c>
      <c r="X1290" s="4" t="s">
        <v>273</v>
      </c>
      <c r="Y1290" s="4" t="s">
        <v>241</v>
      </c>
      <c r="AB1290" s="4" t="s">
        <v>241</v>
      </c>
      <c r="AD1290" s="5" t="s">
        <v>241</v>
      </c>
      <c r="AG1290" s="5" t="s">
        <v>246</v>
      </c>
      <c r="AH1290" s="4" t="s">
        <v>241</v>
      </c>
      <c r="AI1290" s="4" t="s">
        <v>247</v>
      </c>
      <c r="AJ1290" s="4" t="s">
        <v>248</v>
      </c>
      <c r="AZ1290" s="4" t="s">
        <v>249</v>
      </c>
      <c r="BA1290" s="4" t="s">
        <v>241</v>
      </c>
      <c r="BB1290" s="4" t="s">
        <v>250</v>
      </c>
      <c r="BC1290" s="4" t="s">
        <v>241</v>
      </c>
      <c r="BD1290" s="4" t="s">
        <v>252</v>
      </c>
      <c r="BE1290" s="4" t="s">
        <v>241</v>
      </c>
      <c r="BI1290" s="4" t="s">
        <v>253</v>
      </c>
      <c r="BJ1290" s="5" t="s">
        <v>246</v>
      </c>
      <c r="BK1290" s="4" t="s">
        <v>254</v>
      </c>
      <c r="BL1290" s="4" t="s">
        <v>255</v>
      </c>
      <c r="BM1290" s="4" t="s">
        <v>241</v>
      </c>
      <c r="BN1290" s="6">
        <f>0</f>
        <v>0</v>
      </c>
      <c r="BO1290" s="6">
        <f>0</f>
        <v>0</v>
      </c>
      <c r="BP1290" s="4" t="s">
        <v>256</v>
      </c>
      <c r="BQ1290" s="4" t="s">
        <v>257</v>
      </c>
      <c r="CE1290" s="4" t="s">
        <v>241</v>
      </c>
      <c r="CF1290" s="4" t="s">
        <v>241</v>
      </c>
      <c r="CJ1290" s="4" t="s">
        <v>276</v>
      </c>
      <c r="CK1290" s="4" t="s">
        <v>259</v>
      </c>
      <c r="CL1290" s="4" t="s">
        <v>241</v>
      </c>
      <c r="CO1290" s="5" t="s">
        <v>260</v>
      </c>
      <c r="CP1290" s="4" t="s">
        <v>241</v>
      </c>
      <c r="CQ1290" s="4" t="s">
        <v>261</v>
      </c>
      <c r="CR1290" s="4" t="s">
        <v>241</v>
      </c>
      <c r="CS1290" s="4" t="s">
        <v>241</v>
      </c>
      <c r="CT1290" s="4">
        <v>0</v>
      </c>
      <c r="CU1290" s="4" t="s">
        <v>262</v>
      </c>
      <c r="CV1290" s="4" t="s">
        <v>263</v>
      </c>
      <c r="CW1290" s="4" t="s">
        <v>263</v>
      </c>
      <c r="CX1290" s="4" t="s">
        <v>264</v>
      </c>
      <c r="DA1290" s="6">
        <f>1</f>
        <v>1</v>
      </c>
      <c r="DC1290" s="4" t="s">
        <v>277</v>
      </c>
      <c r="DD1290" s="4" t="s">
        <v>241</v>
      </c>
      <c r="DF1290" s="4" t="s">
        <v>277</v>
      </c>
      <c r="DG1290" s="6">
        <f>1209</f>
        <v>1209</v>
      </c>
      <c r="DI1290" s="4" t="s">
        <v>241</v>
      </c>
      <c r="DJ1290" s="4" t="s">
        <v>241</v>
      </c>
      <c r="DK1290" s="4" t="s">
        <v>241</v>
      </c>
      <c r="DL1290" s="4" t="s">
        <v>241</v>
      </c>
      <c r="DP1290" s="4" t="s">
        <v>241</v>
      </c>
      <c r="DQ1290" s="4" t="s">
        <v>241</v>
      </c>
      <c r="DR1290" s="4" t="s">
        <v>241</v>
      </c>
      <c r="DS1290" s="4" t="s">
        <v>241</v>
      </c>
      <c r="DV1290" s="4" t="s">
        <v>278</v>
      </c>
      <c r="DW1290" s="4" t="s">
        <v>2942</v>
      </c>
      <c r="HO1290" s="4" t="s">
        <v>267</v>
      </c>
    </row>
    <row r="1291" spans="1:223" ht="19.5" customHeight="1" x14ac:dyDescent="0.4">
      <c r="A1291" s="4">
        <v>1</v>
      </c>
      <c r="B1291" s="4" t="s">
        <v>239</v>
      </c>
      <c r="C1291" s="4">
        <v>2965</v>
      </c>
      <c r="D1291" s="4">
        <v>1</v>
      </c>
      <c r="E1291" s="4">
        <v>1</v>
      </c>
      <c r="F1291" s="4" t="s">
        <v>268</v>
      </c>
      <c r="G1291" s="4" t="s">
        <v>241</v>
      </c>
      <c r="H1291" s="4" t="s">
        <v>241</v>
      </c>
      <c r="I1291" s="4" t="s">
        <v>272</v>
      </c>
      <c r="J1291" s="4" t="s">
        <v>274</v>
      </c>
      <c r="K1291" s="4" t="s">
        <v>251</v>
      </c>
      <c r="L1291" s="4" t="s">
        <v>269</v>
      </c>
      <c r="M1291" s="5" t="s">
        <v>2135</v>
      </c>
      <c r="N1291" s="6">
        <f>5894</f>
        <v>5894</v>
      </c>
      <c r="O1291" s="4" t="s">
        <v>265</v>
      </c>
      <c r="P1291" s="6">
        <f>1</f>
        <v>1</v>
      </c>
      <c r="Q1291" s="6">
        <f>0</f>
        <v>0</v>
      </c>
      <c r="S1291" s="6">
        <f>0</f>
        <v>0</v>
      </c>
      <c r="T1291" s="6">
        <f>1</f>
        <v>1</v>
      </c>
      <c r="U1291" s="5" t="s">
        <v>245</v>
      </c>
      <c r="V1291" s="4" t="s">
        <v>270</v>
      </c>
      <c r="W1291" s="4" t="s">
        <v>271</v>
      </c>
      <c r="X1291" s="4" t="s">
        <v>273</v>
      </c>
      <c r="Y1291" s="4" t="s">
        <v>241</v>
      </c>
      <c r="AB1291" s="4" t="s">
        <v>241</v>
      </c>
      <c r="AD1291" s="5" t="s">
        <v>241</v>
      </c>
      <c r="AG1291" s="5" t="s">
        <v>246</v>
      </c>
      <c r="AH1291" s="4" t="s">
        <v>241</v>
      </c>
      <c r="AI1291" s="4" t="s">
        <v>247</v>
      </c>
      <c r="AJ1291" s="4" t="s">
        <v>248</v>
      </c>
      <c r="AZ1291" s="4" t="s">
        <v>249</v>
      </c>
      <c r="BA1291" s="4" t="s">
        <v>241</v>
      </c>
      <c r="BB1291" s="4" t="s">
        <v>250</v>
      </c>
      <c r="BC1291" s="4" t="s">
        <v>241</v>
      </c>
      <c r="BD1291" s="4" t="s">
        <v>252</v>
      </c>
      <c r="BE1291" s="4" t="s">
        <v>241</v>
      </c>
      <c r="BI1291" s="4" t="s">
        <v>253</v>
      </c>
      <c r="BJ1291" s="5" t="s">
        <v>246</v>
      </c>
      <c r="BK1291" s="4" t="s">
        <v>254</v>
      </c>
      <c r="BL1291" s="4" t="s">
        <v>255</v>
      </c>
      <c r="BM1291" s="4" t="s">
        <v>241</v>
      </c>
      <c r="BN1291" s="6">
        <f>0</f>
        <v>0</v>
      </c>
      <c r="BO1291" s="6">
        <f>0</f>
        <v>0</v>
      </c>
      <c r="BP1291" s="4" t="s">
        <v>256</v>
      </c>
      <c r="BQ1291" s="4" t="s">
        <v>257</v>
      </c>
      <c r="CE1291" s="4" t="s">
        <v>241</v>
      </c>
      <c r="CF1291" s="4" t="s">
        <v>241</v>
      </c>
      <c r="CJ1291" s="4" t="s">
        <v>276</v>
      </c>
      <c r="CK1291" s="4" t="s">
        <v>259</v>
      </c>
      <c r="CL1291" s="4" t="s">
        <v>241</v>
      </c>
      <c r="CO1291" s="5" t="s">
        <v>260</v>
      </c>
      <c r="CP1291" s="4" t="s">
        <v>241</v>
      </c>
      <c r="CQ1291" s="4" t="s">
        <v>261</v>
      </c>
      <c r="CR1291" s="4" t="s">
        <v>241</v>
      </c>
      <c r="CS1291" s="4" t="s">
        <v>241</v>
      </c>
      <c r="CT1291" s="4">
        <v>0</v>
      </c>
      <c r="CU1291" s="4" t="s">
        <v>262</v>
      </c>
      <c r="CV1291" s="4" t="s">
        <v>263</v>
      </c>
      <c r="CW1291" s="4" t="s">
        <v>263</v>
      </c>
      <c r="CX1291" s="4" t="s">
        <v>264</v>
      </c>
      <c r="DA1291" s="6">
        <f>1</f>
        <v>1</v>
      </c>
      <c r="DC1291" s="4" t="s">
        <v>277</v>
      </c>
      <c r="DD1291" s="4" t="s">
        <v>241</v>
      </c>
      <c r="DF1291" s="4" t="s">
        <v>277</v>
      </c>
      <c r="DG1291" s="6">
        <f>5894</f>
        <v>5894</v>
      </c>
      <c r="DI1291" s="4" t="s">
        <v>241</v>
      </c>
      <c r="DJ1291" s="4" t="s">
        <v>241</v>
      </c>
      <c r="DK1291" s="4" t="s">
        <v>241</v>
      </c>
      <c r="DL1291" s="4" t="s">
        <v>241</v>
      </c>
      <c r="DP1291" s="4" t="s">
        <v>241</v>
      </c>
      <c r="DQ1291" s="4" t="s">
        <v>241</v>
      </c>
      <c r="DR1291" s="4" t="s">
        <v>241</v>
      </c>
      <c r="DS1291" s="4" t="s">
        <v>241</v>
      </c>
      <c r="DV1291" s="4" t="s">
        <v>278</v>
      </c>
      <c r="DW1291" s="4" t="s">
        <v>2136</v>
      </c>
      <c r="HO1291" s="4" t="s">
        <v>267</v>
      </c>
    </row>
    <row r="1292" spans="1:223" ht="19.5" customHeight="1" x14ac:dyDescent="0.4">
      <c r="A1292" s="4">
        <v>1</v>
      </c>
      <c r="B1292" s="4" t="s">
        <v>239</v>
      </c>
      <c r="C1292" s="4">
        <v>2966</v>
      </c>
      <c r="D1292" s="4">
        <v>1</v>
      </c>
      <c r="E1292" s="4">
        <v>1</v>
      </c>
      <c r="F1292" s="4" t="s">
        <v>268</v>
      </c>
      <c r="G1292" s="4" t="s">
        <v>241</v>
      </c>
      <c r="H1292" s="4" t="s">
        <v>241</v>
      </c>
      <c r="I1292" s="4" t="s">
        <v>272</v>
      </c>
      <c r="J1292" s="4" t="s">
        <v>274</v>
      </c>
      <c r="K1292" s="4" t="s">
        <v>251</v>
      </c>
      <c r="L1292" s="4" t="s">
        <v>269</v>
      </c>
      <c r="M1292" s="5" t="s">
        <v>2868</v>
      </c>
      <c r="N1292" s="6">
        <f>841</f>
        <v>841</v>
      </c>
      <c r="O1292" s="4" t="s">
        <v>265</v>
      </c>
      <c r="P1292" s="6">
        <f>1</f>
        <v>1</v>
      </c>
      <c r="Q1292" s="6">
        <f>0</f>
        <v>0</v>
      </c>
      <c r="S1292" s="6">
        <f>0</f>
        <v>0</v>
      </c>
      <c r="T1292" s="6">
        <f>1</f>
        <v>1</v>
      </c>
      <c r="U1292" s="5" t="s">
        <v>245</v>
      </c>
      <c r="V1292" s="4" t="s">
        <v>270</v>
      </c>
      <c r="W1292" s="4" t="s">
        <v>271</v>
      </c>
      <c r="X1292" s="4" t="s">
        <v>273</v>
      </c>
      <c r="Y1292" s="4" t="s">
        <v>241</v>
      </c>
      <c r="AB1292" s="4" t="s">
        <v>241</v>
      </c>
      <c r="AD1292" s="5" t="s">
        <v>241</v>
      </c>
      <c r="AG1292" s="5" t="s">
        <v>246</v>
      </c>
      <c r="AH1292" s="4" t="s">
        <v>241</v>
      </c>
      <c r="AI1292" s="4" t="s">
        <v>247</v>
      </c>
      <c r="AJ1292" s="4" t="s">
        <v>248</v>
      </c>
      <c r="AZ1292" s="4" t="s">
        <v>249</v>
      </c>
      <c r="BA1292" s="4" t="s">
        <v>241</v>
      </c>
      <c r="BB1292" s="4" t="s">
        <v>250</v>
      </c>
      <c r="BC1292" s="4" t="s">
        <v>241</v>
      </c>
      <c r="BD1292" s="4" t="s">
        <v>252</v>
      </c>
      <c r="BE1292" s="4" t="s">
        <v>241</v>
      </c>
      <c r="BI1292" s="4" t="s">
        <v>253</v>
      </c>
      <c r="BJ1292" s="5" t="s">
        <v>246</v>
      </c>
      <c r="BK1292" s="4" t="s">
        <v>254</v>
      </c>
      <c r="BL1292" s="4" t="s">
        <v>255</v>
      </c>
      <c r="BM1292" s="4" t="s">
        <v>241</v>
      </c>
      <c r="BN1292" s="6">
        <f>0</f>
        <v>0</v>
      </c>
      <c r="BO1292" s="6">
        <f>0</f>
        <v>0</v>
      </c>
      <c r="BP1292" s="4" t="s">
        <v>256</v>
      </c>
      <c r="BQ1292" s="4" t="s">
        <v>257</v>
      </c>
      <c r="CE1292" s="4" t="s">
        <v>241</v>
      </c>
      <c r="CF1292" s="4" t="s">
        <v>241</v>
      </c>
      <c r="CJ1292" s="4" t="s">
        <v>276</v>
      </c>
      <c r="CK1292" s="4" t="s">
        <v>259</v>
      </c>
      <c r="CL1292" s="4" t="s">
        <v>241</v>
      </c>
      <c r="CO1292" s="5" t="s">
        <v>260</v>
      </c>
      <c r="CP1292" s="4" t="s">
        <v>241</v>
      </c>
      <c r="CQ1292" s="4" t="s">
        <v>261</v>
      </c>
      <c r="CR1292" s="4" t="s">
        <v>241</v>
      </c>
      <c r="CS1292" s="4" t="s">
        <v>241</v>
      </c>
      <c r="CT1292" s="4">
        <v>0</v>
      </c>
      <c r="CU1292" s="4" t="s">
        <v>262</v>
      </c>
      <c r="CV1292" s="4" t="s">
        <v>263</v>
      </c>
      <c r="CW1292" s="4" t="s">
        <v>263</v>
      </c>
      <c r="CX1292" s="4" t="s">
        <v>264</v>
      </c>
      <c r="DA1292" s="6">
        <f>1</f>
        <v>1</v>
      </c>
      <c r="DC1292" s="4" t="s">
        <v>277</v>
      </c>
      <c r="DD1292" s="4" t="s">
        <v>241</v>
      </c>
      <c r="DF1292" s="4" t="s">
        <v>277</v>
      </c>
      <c r="DG1292" s="6">
        <f>841</f>
        <v>841</v>
      </c>
      <c r="DI1292" s="4" t="s">
        <v>241</v>
      </c>
      <c r="DJ1292" s="4" t="s">
        <v>241</v>
      </c>
      <c r="DK1292" s="4" t="s">
        <v>241</v>
      </c>
      <c r="DL1292" s="4" t="s">
        <v>241</v>
      </c>
      <c r="DP1292" s="4" t="s">
        <v>241</v>
      </c>
      <c r="DQ1292" s="4" t="s">
        <v>241</v>
      </c>
      <c r="DR1292" s="4" t="s">
        <v>241</v>
      </c>
      <c r="DS1292" s="4" t="s">
        <v>241</v>
      </c>
      <c r="DV1292" s="4" t="s">
        <v>278</v>
      </c>
      <c r="DW1292" s="4" t="s">
        <v>2869</v>
      </c>
      <c r="HO1292" s="4" t="s">
        <v>267</v>
      </c>
    </row>
    <row r="1293" spans="1:223" ht="19.5" customHeight="1" x14ac:dyDescent="0.4">
      <c r="A1293" s="4">
        <v>1</v>
      </c>
      <c r="B1293" s="4" t="s">
        <v>239</v>
      </c>
      <c r="C1293" s="4">
        <v>2967</v>
      </c>
      <c r="D1293" s="4">
        <v>1</v>
      </c>
      <c r="E1293" s="4">
        <v>1</v>
      </c>
      <c r="F1293" s="4" t="s">
        <v>268</v>
      </c>
      <c r="G1293" s="4" t="s">
        <v>241</v>
      </c>
      <c r="H1293" s="4" t="s">
        <v>241</v>
      </c>
      <c r="I1293" s="4" t="s">
        <v>272</v>
      </c>
      <c r="J1293" s="4" t="s">
        <v>274</v>
      </c>
      <c r="K1293" s="4" t="s">
        <v>251</v>
      </c>
      <c r="L1293" s="4" t="s">
        <v>269</v>
      </c>
      <c r="M1293" s="5" t="s">
        <v>2866</v>
      </c>
      <c r="N1293" s="6">
        <f>760</f>
        <v>760</v>
      </c>
      <c r="O1293" s="4" t="s">
        <v>265</v>
      </c>
      <c r="P1293" s="6">
        <f>1</f>
        <v>1</v>
      </c>
      <c r="Q1293" s="6">
        <f>0</f>
        <v>0</v>
      </c>
      <c r="S1293" s="6">
        <f>0</f>
        <v>0</v>
      </c>
      <c r="T1293" s="6">
        <f>1</f>
        <v>1</v>
      </c>
      <c r="U1293" s="5" t="s">
        <v>245</v>
      </c>
      <c r="V1293" s="4" t="s">
        <v>270</v>
      </c>
      <c r="W1293" s="4" t="s">
        <v>271</v>
      </c>
      <c r="X1293" s="4" t="s">
        <v>273</v>
      </c>
      <c r="Y1293" s="4" t="s">
        <v>241</v>
      </c>
      <c r="AB1293" s="4" t="s">
        <v>241</v>
      </c>
      <c r="AD1293" s="5" t="s">
        <v>241</v>
      </c>
      <c r="AG1293" s="5" t="s">
        <v>246</v>
      </c>
      <c r="AH1293" s="4" t="s">
        <v>241</v>
      </c>
      <c r="AI1293" s="4" t="s">
        <v>247</v>
      </c>
      <c r="AJ1293" s="4" t="s">
        <v>248</v>
      </c>
      <c r="AZ1293" s="4" t="s">
        <v>249</v>
      </c>
      <c r="BA1293" s="4" t="s">
        <v>241</v>
      </c>
      <c r="BB1293" s="4" t="s">
        <v>250</v>
      </c>
      <c r="BC1293" s="4" t="s">
        <v>241</v>
      </c>
      <c r="BD1293" s="4" t="s">
        <v>252</v>
      </c>
      <c r="BE1293" s="4" t="s">
        <v>241</v>
      </c>
      <c r="BI1293" s="4" t="s">
        <v>253</v>
      </c>
      <c r="BJ1293" s="5" t="s">
        <v>246</v>
      </c>
      <c r="BK1293" s="4" t="s">
        <v>254</v>
      </c>
      <c r="BL1293" s="4" t="s">
        <v>255</v>
      </c>
      <c r="BM1293" s="4" t="s">
        <v>241</v>
      </c>
      <c r="BN1293" s="6">
        <f>0</f>
        <v>0</v>
      </c>
      <c r="BO1293" s="6">
        <f>0</f>
        <v>0</v>
      </c>
      <c r="BP1293" s="4" t="s">
        <v>256</v>
      </c>
      <c r="BQ1293" s="4" t="s">
        <v>257</v>
      </c>
      <c r="CE1293" s="4" t="s">
        <v>241</v>
      </c>
      <c r="CF1293" s="4" t="s">
        <v>241</v>
      </c>
      <c r="CJ1293" s="4" t="s">
        <v>276</v>
      </c>
      <c r="CK1293" s="4" t="s">
        <v>259</v>
      </c>
      <c r="CL1293" s="4" t="s">
        <v>241</v>
      </c>
      <c r="CO1293" s="5" t="s">
        <v>260</v>
      </c>
      <c r="CP1293" s="4" t="s">
        <v>241</v>
      </c>
      <c r="CQ1293" s="4" t="s">
        <v>261</v>
      </c>
      <c r="CR1293" s="4" t="s">
        <v>241</v>
      </c>
      <c r="CS1293" s="4" t="s">
        <v>241</v>
      </c>
      <c r="CT1293" s="4">
        <v>0</v>
      </c>
      <c r="CU1293" s="4" t="s">
        <v>262</v>
      </c>
      <c r="CV1293" s="4" t="s">
        <v>263</v>
      </c>
      <c r="CW1293" s="4" t="s">
        <v>263</v>
      </c>
      <c r="CX1293" s="4" t="s">
        <v>264</v>
      </c>
      <c r="DA1293" s="6">
        <f>1</f>
        <v>1</v>
      </c>
      <c r="DC1293" s="4" t="s">
        <v>277</v>
      </c>
      <c r="DD1293" s="4" t="s">
        <v>241</v>
      </c>
      <c r="DF1293" s="4" t="s">
        <v>277</v>
      </c>
      <c r="DG1293" s="6">
        <f>760</f>
        <v>760</v>
      </c>
      <c r="DI1293" s="4" t="s">
        <v>241</v>
      </c>
      <c r="DJ1293" s="4" t="s">
        <v>241</v>
      </c>
      <c r="DK1293" s="4" t="s">
        <v>241</v>
      </c>
      <c r="DL1293" s="4" t="s">
        <v>241</v>
      </c>
      <c r="DP1293" s="4" t="s">
        <v>241</v>
      </c>
      <c r="DQ1293" s="4" t="s">
        <v>241</v>
      </c>
      <c r="DR1293" s="4" t="s">
        <v>241</v>
      </c>
      <c r="DS1293" s="4" t="s">
        <v>241</v>
      </c>
      <c r="DV1293" s="4" t="s">
        <v>278</v>
      </c>
      <c r="DW1293" s="4" t="s">
        <v>2867</v>
      </c>
      <c r="HO1293" s="4" t="s">
        <v>267</v>
      </c>
    </row>
    <row r="1294" spans="1:223" ht="19.5" customHeight="1" x14ac:dyDescent="0.4">
      <c r="A1294" s="4">
        <v>1</v>
      </c>
      <c r="B1294" s="4" t="s">
        <v>239</v>
      </c>
      <c r="C1294" s="4">
        <v>2968</v>
      </c>
      <c r="D1294" s="4">
        <v>1</v>
      </c>
      <c r="E1294" s="4">
        <v>1</v>
      </c>
      <c r="F1294" s="4" t="s">
        <v>268</v>
      </c>
      <c r="G1294" s="4" t="s">
        <v>241</v>
      </c>
      <c r="H1294" s="4" t="s">
        <v>241</v>
      </c>
      <c r="I1294" s="4" t="s">
        <v>272</v>
      </c>
      <c r="J1294" s="4" t="s">
        <v>274</v>
      </c>
      <c r="K1294" s="4" t="s">
        <v>251</v>
      </c>
      <c r="L1294" s="4" t="s">
        <v>269</v>
      </c>
      <c r="M1294" s="5" t="s">
        <v>2080</v>
      </c>
      <c r="N1294" s="6">
        <f>1023</f>
        <v>1023</v>
      </c>
      <c r="O1294" s="4" t="s">
        <v>265</v>
      </c>
      <c r="P1294" s="6">
        <f>1</f>
        <v>1</v>
      </c>
      <c r="Q1294" s="6">
        <f>0</f>
        <v>0</v>
      </c>
      <c r="S1294" s="6">
        <f>0</f>
        <v>0</v>
      </c>
      <c r="T1294" s="6">
        <f>1</f>
        <v>1</v>
      </c>
      <c r="U1294" s="5" t="s">
        <v>245</v>
      </c>
      <c r="V1294" s="4" t="s">
        <v>270</v>
      </c>
      <c r="W1294" s="4" t="s">
        <v>271</v>
      </c>
      <c r="X1294" s="4" t="s">
        <v>273</v>
      </c>
      <c r="Y1294" s="4" t="s">
        <v>241</v>
      </c>
      <c r="AB1294" s="4" t="s">
        <v>241</v>
      </c>
      <c r="AD1294" s="5" t="s">
        <v>241</v>
      </c>
      <c r="AG1294" s="5" t="s">
        <v>246</v>
      </c>
      <c r="AH1294" s="4" t="s">
        <v>241</v>
      </c>
      <c r="AI1294" s="4" t="s">
        <v>247</v>
      </c>
      <c r="AJ1294" s="4" t="s">
        <v>248</v>
      </c>
      <c r="AZ1294" s="4" t="s">
        <v>249</v>
      </c>
      <c r="BA1294" s="4" t="s">
        <v>241</v>
      </c>
      <c r="BB1294" s="4" t="s">
        <v>250</v>
      </c>
      <c r="BC1294" s="4" t="s">
        <v>241</v>
      </c>
      <c r="BD1294" s="4" t="s">
        <v>252</v>
      </c>
      <c r="BE1294" s="4" t="s">
        <v>241</v>
      </c>
      <c r="BI1294" s="4" t="s">
        <v>253</v>
      </c>
      <c r="BJ1294" s="5" t="s">
        <v>246</v>
      </c>
      <c r="BK1294" s="4" t="s">
        <v>254</v>
      </c>
      <c r="BL1294" s="4" t="s">
        <v>255</v>
      </c>
      <c r="BM1294" s="4" t="s">
        <v>241</v>
      </c>
      <c r="BN1294" s="6">
        <f>0</f>
        <v>0</v>
      </c>
      <c r="BO1294" s="6">
        <f>0</f>
        <v>0</v>
      </c>
      <c r="BP1294" s="4" t="s">
        <v>256</v>
      </c>
      <c r="BQ1294" s="4" t="s">
        <v>257</v>
      </c>
      <c r="CE1294" s="4" t="s">
        <v>241</v>
      </c>
      <c r="CF1294" s="4" t="s">
        <v>241</v>
      </c>
      <c r="CJ1294" s="4" t="s">
        <v>276</v>
      </c>
      <c r="CK1294" s="4" t="s">
        <v>259</v>
      </c>
      <c r="CL1294" s="4" t="s">
        <v>241</v>
      </c>
      <c r="CO1294" s="5" t="s">
        <v>260</v>
      </c>
      <c r="CP1294" s="4" t="s">
        <v>241</v>
      </c>
      <c r="CQ1294" s="4" t="s">
        <v>261</v>
      </c>
      <c r="CR1294" s="4" t="s">
        <v>241</v>
      </c>
      <c r="CS1294" s="4" t="s">
        <v>241</v>
      </c>
      <c r="CT1294" s="4">
        <v>0</v>
      </c>
      <c r="CU1294" s="4" t="s">
        <v>262</v>
      </c>
      <c r="CV1294" s="4" t="s">
        <v>263</v>
      </c>
      <c r="CW1294" s="4" t="s">
        <v>263</v>
      </c>
      <c r="CX1294" s="4" t="s">
        <v>264</v>
      </c>
      <c r="DA1294" s="6">
        <f>1</f>
        <v>1</v>
      </c>
      <c r="DC1294" s="4" t="s">
        <v>277</v>
      </c>
      <c r="DD1294" s="4" t="s">
        <v>241</v>
      </c>
      <c r="DF1294" s="4" t="s">
        <v>277</v>
      </c>
      <c r="DG1294" s="6">
        <f>1023</f>
        <v>1023</v>
      </c>
      <c r="DI1294" s="4" t="s">
        <v>241</v>
      </c>
      <c r="DJ1294" s="4" t="s">
        <v>241</v>
      </c>
      <c r="DK1294" s="4" t="s">
        <v>241</v>
      </c>
      <c r="DL1294" s="4" t="s">
        <v>241</v>
      </c>
      <c r="DP1294" s="4" t="s">
        <v>241</v>
      </c>
      <c r="DQ1294" s="4" t="s">
        <v>241</v>
      </c>
      <c r="DR1294" s="4" t="s">
        <v>241</v>
      </c>
      <c r="DS1294" s="4" t="s">
        <v>241</v>
      </c>
      <c r="DV1294" s="4" t="s">
        <v>278</v>
      </c>
      <c r="DW1294" s="4" t="s">
        <v>2081</v>
      </c>
      <c r="HO1294" s="4" t="s">
        <v>267</v>
      </c>
    </row>
    <row r="1295" spans="1:223" ht="19.5" customHeight="1" x14ac:dyDescent="0.4">
      <c r="A1295" s="4">
        <v>1</v>
      </c>
      <c r="B1295" s="4" t="s">
        <v>239</v>
      </c>
      <c r="C1295" s="4">
        <v>2969</v>
      </c>
      <c r="D1295" s="4">
        <v>1</v>
      </c>
      <c r="E1295" s="4">
        <v>1</v>
      </c>
      <c r="F1295" s="4" t="s">
        <v>268</v>
      </c>
      <c r="G1295" s="4" t="s">
        <v>241</v>
      </c>
      <c r="H1295" s="4" t="s">
        <v>241</v>
      </c>
      <c r="I1295" s="4" t="s">
        <v>272</v>
      </c>
      <c r="J1295" s="4" t="s">
        <v>274</v>
      </c>
      <c r="K1295" s="4" t="s">
        <v>251</v>
      </c>
      <c r="L1295" s="4" t="s">
        <v>269</v>
      </c>
      <c r="M1295" s="5" t="s">
        <v>2864</v>
      </c>
      <c r="N1295" s="6">
        <f>1059</f>
        <v>1059</v>
      </c>
      <c r="O1295" s="4" t="s">
        <v>265</v>
      </c>
      <c r="P1295" s="6">
        <f>1</f>
        <v>1</v>
      </c>
      <c r="Q1295" s="6">
        <f>0</f>
        <v>0</v>
      </c>
      <c r="S1295" s="6">
        <f>0</f>
        <v>0</v>
      </c>
      <c r="T1295" s="6">
        <f>1</f>
        <v>1</v>
      </c>
      <c r="U1295" s="5" t="s">
        <v>245</v>
      </c>
      <c r="V1295" s="4" t="s">
        <v>270</v>
      </c>
      <c r="W1295" s="4" t="s">
        <v>271</v>
      </c>
      <c r="X1295" s="4" t="s">
        <v>273</v>
      </c>
      <c r="Y1295" s="4" t="s">
        <v>241</v>
      </c>
      <c r="AB1295" s="4" t="s">
        <v>241</v>
      </c>
      <c r="AD1295" s="5" t="s">
        <v>241</v>
      </c>
      <c r="AG1295" s="5" t="s">
        <v>246</v>
      </c>
      <c r="AH1295" s="4" t="s">
        <v>241</v>
      </c>
      <c r="AI1295" s="4" t="s">
        <v>247</v>
      </c>
      <c r="AJ1295" s="4" t="s">
        <v>248</v>
      </c>
      <c r="AZ1295" s="4" t="s">
        <v>249</v>
      </c>
      <c r="BA1295" s="4" t="s">
        <v>241</v>
      </c>
      <c r="BB1295" s="4" t="s">
        <v>250</v>
      </c>
      <c r="BC1295" s="4" t="s">
        <v>241</v>
      </c>
      <c r="BD1295" s="4" t="s">
        <v>252</v>
      </c>
      <c r="BE1295" s="4" t="s">
        <v>241</v>
      </c>
      <c r="BI1295" s="4" t="s">
        <v>253</v>
      </c>
      <c r="BJ1295" s="5" t="s">
        <v>246</v>
      </c>
      <c r="BK1295" s="4" t="s">
        <v>254</v>
      </c>
      <c r="BL1295" s="4" t="s">
        <v>255</v>
      </c>
      <c r="BM1295" s="4" t="s">
        <v>241</v>
      </c>
      <c r="BN1295" s="6">
        <f>0</f>
        <v>0</v>
      </c>
      <c r="BO1295" s="6">
        <f>0</f>
        <v>0</v>
      </c>
      <c r="BP1295" s="4" t="s">
        <v>256</v>
      </c>
      <c r="BQ1295" s="4" t="s">
        <v>257</v>
      </c>
      <c r="CE1295" s="4" t="s">
        <v>241</v>
      </c>
      <c r="CF1295" s="4" t="s">
        <v>241</v>
      </c>
      <c r="CJ1295" s="4" t="s">
        <v>276</v>
      </c>
      <c r="CK1295" s="4" t="s">
        <v>259</v>
      </c>
      <c r="CL1295" s="4" t="s">
        <v>241</v>
      </c>
      <c r="CO1295" s="5" t="s">
        <v>260</v>
      </c>
      <c r="CP1295" s="4" t="s">
        <v>241</v>
      </c>
      <c r="CQ1295" s="4" t="s">
        <v>261</v>
      </c>
      <c r="CR1295" s="4" t="s">
        <v>241</v>
      </c>
      <c r="CS1295" s="4" t="s">
        <v>241</v>
      </c>
      <c r="CT1295" s="4">
        <v>0</v>
      </c>
      <c r="CU1295" s="4" t="s">
        <v>262</v>
      </c>
      <c r="CV1295" s="4" t="s">
        <v>263</v>
      </c>
      <c r="CW1295" s="4" t="s">
        <v>263</v>
      </c>
      <c r="CX1295" s="4" t="s">
        <v>264</v>
      </c>
      <c r="DA1295" s="6">
        <f>1</f>
        <v>1</v>
      </c>
      <c r="DC1295" s="4" t="s">
        <v>277</v>
      </c>
      <c r="DD1295" s="4" t="s">
        <v>241</v>
      </c>
      <c r="DF1295" s="4" t="s">
        <v>277</v>
      </c>
      <c r="DG1295" s="6">
        <f>1059</f>
        <v>1059</v>
      </c>
      <c r="DI1295" s="4" t="s">
        <v>241</v>
      </c>
      <c r="DJ1295" s="4" t="s">
        <v>241</v>
      </c>
      <c r="DK1295" s="4" t="s">
        <v>241</v>
      </c>
      <c r="DL1295" s="4" t="s">
        <v>241</v>
      </c>
      <c r="DP1295" s="4" t="s">
        <v>241</v>
      </c>
      <c r="DQ1295" s="4" t="s">
        <v>241</v>
      </c>
      <c r="DR1295" s="4" t="s">
        <v>241</v>
      </c>
      <c r="DS1295" s="4" t="s">
        <v>241</v>
      </c>
      <c r="DV1295" s="4" t="s">
        <v>278</v>
      </c>
      <c r="DW1295" s="4" t="s">
        <v>2865</v>
      </c>
      <c r="HO1295" s="4" t="s">
        <v>267</v>
      </c>
    </row>
    <row r="1296" spans="1:223" ht="19.5" customHeight="1" x14ac:dyDescent="0.4">
      <c r="A1296" s="4">
        <v>1</v>
      </c>
      <c r="B1296" s="4" t="s">
        <v>239</v>
      </c>
      <c r="C1296" s="4">
        <v>2970</v>
      </c>
      <c r="D1296" s="4">
        <v>1</v>
      </c>
      <c r="E1296" s="4">
        <v>1</v>
      </c>
      <c r="F1296" s="4" t="s">
        <v>268</v>
      </c>
      <c r="G1296" s="4" t="s">
        <v>241</v>
      </c>
      <c r="H1296" s="4" t="s">
        <v>241</v>
      </c>
      <c r="I1296" s="4" t="s">
        <v>272</v>
      </c>
      <c r="J1296" s="4" t="s">
        <v>274</v>
      </c>
      <c r="K1296" s="4" t="s">
        <v>251</v>
      </c>
      <c r="L1296" s="4" t="s">
        <v>269</v>
      </c>
      <c r="M1296" s="5" t="s">
        <v>2862</v>
      </c>
      <c r="N1296" s="6">
        <f>633</f>
        <v>633</v>
      </c>
      <c r="O1296" s="4" t="s">
        <v>265</v>
      </c>
      <c r="P1296" s="6">
        <f>1</f>
        <v>1</v>
      </c>
      <c r="Q1296" s="6">
        <f>0</f>
        <v>0</v>
      </c>
      <c r="S1296" s="6">
        <f>0</f>
        <v>0</v>
      </c>
      <c r="T1296" s="6">
        <f>1</f>
        <v>1</v>
      </c>
      <c r="U1296" s="5" t="s">
        <v>245</v>
      </c>
      <c r="V1296" s="4" t="s">
        <v>270</v>
      </c>
      <c r="W1296" s="4" t="s">
        <v>271</v>
      </c>
      <c r="X1296" s="4" t="s">
        <v>273</v>
      </c>
      <c r="Y1296" s="4" t="s">
        <v>241</v>
      </c>
      <c r="AB1296" s="4" t="s">
        <v>241</v>
      </c>
      <c r="AD1296" s="5" t="s">
        <v>241</v>
      </c>
      <c r="AG1296" s="5" t="s">
        <v>246</v>
      </c>
      <c r="AH1296" s="4" t="s">
        <v>241</v>
      </c>
      <c r="AI1296" s="4" t="s">
        <v>247</v>
      </c>
      <c r="AJ1296" s="4" t="s">
        <v>248</v>
      </c>
      <c r="AZ1296" s="4" t="s">
        <v>249</v>
      </c>
      <c r="BA1296" s="4" t="s">
        <v>241</v>
      </c>
      <c r="BB1296" s="4" t="s">
        <v>250</v>
      </c>
      <c r="BC1296" s="4" t="s">
        <v>241</v>
      </c>
      <c r="BD1296" s="4" t="s">
        <v>252</v>
      </c>
      <c r="BE1296" s="4" t="s">
        <v>241</v>
      </c>
      <c r="BI1296" s="4" t="s">
        <v>253</v>
      </c>
      <c r="BJ1296" s="5" t="s">
        <v>246</v>
      </c>
      <c r="BK1296" s="4" t="s">
        <v>254</v>
      </c>
      <c r="BL1296" s="4" t="s">
        <v>255</v>
      </c>
      <c r="BM1296" s="4" t="s">
        <v>241</v>
      </c>
      <c r="BN1296" s="6">
        <f>0</f>
        <v>0</v>
      </c>
      <c r="BO1296" s="6">
        <f>0</f>
        <v>0</v>
      </c>
      <c r="BP1296" s="4" t="s">
        <v>256</v>
      </c>
      <c r="BQ1296" s="4" t="s">
        <v>257</v>
      </c>
      <c r="CE1296" s="4" t="s">
        <v>241</v>
      </c>
      <c r="CF1296" s="4" t="s">
        <v>241</v>
      </c>
      <c r="CJ1296" s="4" t="s">
        <v>276</v>
      </c>
      <c r="CK1296" s="4" t="s">
        <v>259</v>
      </c>
      <c r="CL1296" s="4" t="s">
        <v>241</v>
      </c>
      <c r="CO1296" s="5" t="s">
        <v>260</v>
      </c>
      <c r="CP1296" s="4" t="s">
        <v>241</v>
      </c>
      <c r="CQ1296" s="4" t="s">
        <v>261</v>
      </c>
      <c r="CR1296" s="4" t="s">
        <v>241</v>
      </c>
      <c r="CS1296" s="4" t="s">
        <v>241</v>
      </c>
      <c r="CT1296" s="4">
        <v>0</v>
      </c>
      <c r="CU1296" s="4" t="s">
        <v>262</v>
      </c>
      <c r="CV1296" s="4" t="s">
        <v>263</v>
      </c>
      <c r="CW1296" s="4" t="s">
        <v>263</v>
      </c>
      <c r="CX1296" s="4" t="s">
        <v>264</v>
      </c>
      <c r="DA1296" s="6">
        <f>1</f>
        <v>1</v>
      </c>
      <c r="DC1296" s="4" t="s">
        <v>277</v>
      </c>
      <c r="DD1296" s="4" t="s">
        <v>241</v>
      </c>
      <c r="DF1296" s="4" t="s">
        <v>277</v>
      </c>
      <c r="DG1296" s="6">
        <f>633</f>
        <v>633</v>
      </c>
      <c r="DI1296" s="4" t="s">
        <v>241</v>
      </c>
      <c r="DJ1296" s="4" t="s">
        <v>241</v>
      </c>
      <c r="DK1296" s="4" t="s">
        <v>241</v>
      </c>
      <c r="DL1296" s="4" t="s">
        <v>241</v>
      </c>
      <c r="DP1296" s="4" t="s">
        <v>241</v>
      </c>
      <c r="DQ1296" s="4" t="s">
        <v>241</v>
      </c>
      <c r="DR1296" s="4" t="s">
        <v>241</v>
      </c>
      <c r="DS1296" s="4" t="s">
        <v>241</v>
      </c>
      <c r="DV1296" s="4" t="s">
        <v>278</v>
      </c>
      <c r="DW1296" s="4" t="s">
        <v>2863</v>
      </c>
      <c r="HO1296" s="4" t="s">
        <v>267</v>
      </c>
    </row>
    <row r="1297" spans="1:223" ht="19.5" customHeight="1" x14ac:dyDescent="0.4">
      <c r="A1297" s="4">
        <v>1</v>
      </c>
      <c r="B1297" s="4" t="s">
        <v>239</v>
      </c>
      <c r="C1297" s="4">
        <v>2971</v>
      </c>
      <c r="D1297" s="4">
        <v>1</v>
      </c>
      <c r="E1297" s="4">
        <v>1</v>
      </c>
      <c r="F1297" s="4" t="s">
        <v>268</v>
      </c>
      <c r="G1297" s="4" t="s">
        <v>241</v>
      </c>
      <c r="H1297" s="4" t="s">
        <v>241</v>
      </c>
      <c r="I1297" s="4" t="s">
        <v>272</v>
      </c>
      <c r="J1297" s="4" t="s">
        <v>274</v>
      </c>
      <c r="K1297" s="4" t="s">
        <v>251</v>
      </c>
      <c r="L1297" s="4" t="s">
        <v>269</v>
      </c>
      <c r="M1297" s="5" t="s">
        <v>2937</v>
      </c>
      <c r="N1297" s="6">
        <f>337</f>
        <v>337</v>
      </c>
      <c r="O1297" s="4" t="s">
        <v>265</v>
      </c>
      <c r="P1297" s="6">
        <f>1</f>
        <v>1</v>
      </c>
      <c r="Q1297" s="6">
        <f>0</f>
        <v>0</v>
      </c>
      <c r="S1297" s="6">
        <f>0</f>
        <v>0</v>
      </c>
      <c r="T1297" s="6">
        <f>1</f>
        <v>1</v>
      </c>
      <c r="U1297" s="5" t="s">
        <v>245</v>
      </c>
      <c r="V1297" s="4" t="s">
        <v>270</v>
      </c>
      <c r="W1297" s="4" t="s">
        <v>271</v>
      </c>
      <c r="X1297" s="4" t="s">
        <v>273</v>
      </c>
      <c r="Y1297" s="4" t="s">
        <v>241</v>
      </c>
      <c r="AB1297" s="4" t="s">
        <v>241</v>
      </c>
      <c r="AD1297" s="5" t="s">
        <v>241</v>
      </c>
      <c r="AG1297" s="5" t="s">
        <v>246</v>
      </c>
      <c r="AH1297" s="4" t="s">
        <v>241</v>
      </c>
      <c r="AI1297" s="4" t="s">
        <v>247</v>
      </c>
      <c r="AJ1297" s="4" t="s">
        <v>248</v>
      </c>
      <c r="AZ1297" s="4" t="s">
        <v>249</v>
      </c>
      <c r="BA1297" s="4" t="s">
        <v>241</v>
      </c>
      <c r="BB1297" s="4" t="s">
        <v>250</v>
      </c>
      <c r="BC1297" s="4" t="s">
        <v>241</v>
      </c>
      <c r="BD1297" s="4" t="s">
        <v>252</v>
      </c>
      <c r="BE1297" s="4" t="s">
        <v>241</v>
      </c>
      <c r="BI1297" s="4" t="s">
        <v>253</v>
      </c>
      <c r="BJ1297" s="5" t="s">
        <v>246</v>
      </c>
      <c r="BK1297" s="4" t="s">
        <v>254</v>
      </c>
      <c r="BL1297" s="4" t="s">
        <v>255</v>
      </c>
      <c r="BM1297" s="4" t="s">
        <v>241</v>
      </c>
      <c r="BN1297" s="6">
        <f>0</f>
        <v>0</v>
      </c>
      <c r="BO1297" s="6">
        <f>0</f>
        <v>0</v>
      </c>
      <c r="BP1297" s="4" t="s">
        <v>256</v>
      </c>
      <c r="BQ1297" s="4" t="s">
        <v>257</v>
      </c>
      <c r="CE1297" s="4" t="s">
        <v>241</v>
      </c>
      <c r="CF1297" s="4" t="s">
        <v>241</v>
      </c>
      <c r="CJ1297" s="4" t="s">
        <v>276</v>
      </c>
      <c r="CK1297" s="4" t="s">
        <v>259</v>
      </c>
      <c r="CL1297" s="4" t="s">
        <v>241</v>
      </c>
      <c r="CO1297" s="5" t="s">
        <v>260</v>
      </c>
      <c r="CP1297" s="4" t="s">
        <v>241</v>
      </c>
      <c r="CQ1297" s="4" t="s">
        <v>261</v>
      </c>
      <c r="CR1297" s="4" t="s">
        <v>241</v>
      </c>
      <c r="CS1297" s="4" t="s">
        <v>241</v>
      </c>
      <c r="CT1297" s="4">
        <v>0</v>
      </c>
      <c r="CU1297" s="4" t="s">
        <v>262</v>
      </c>
      <c r="CV1297" s="4" t="s">
        <v>263</v>
      </c>
      <c r="CW1297" s="4" t="s">
        <v>263</v>
      </c>
      <c r="CX1297" s="4" t="s">
        <v>264</v>
      </c>
      <c r="DA1297" s="6">
        <f>1</f>
        <v>1</v>
      </c>
      <c r="DC1297" s="4" t="s">
        <v>277</v>
      </c>
      <c r="DD1297" s="4" t="s">
        <v>241</v>
      </c>
      <c r="DF1297" s="4" t="s">
        <v>277</v>
      </c>
      <c r="DG1297" s="6">
        <f>337</f>
        <v>337</v>
      </c>
      <c r="DI1297" s="4" t="s">
        <v>241</v>
      </c>
      <c r="DJ1297" s="4" t="s">
        <v>241</v>
      </c>
      <c r="DK1297" s="4" t="s">
        <v>241</v>
      </c>
      <c r="DL1297" s="4" t="s">
        <v>241</v>
      </c>
      <c r="DP1297" s="4" t="s">
        <v>241</v>
      </c>
      <c r="DQ1297" s="4" t="s">
        <v>241</v>
      </c>
      <c r="DR1297" s="4" t="s">
        <v>241</v>
      </c>
      <c r="DS1297" s="4" t="s">
        <v>241</v>
      </c>
      <c r="DV1297" s="4" t="s">
        <v>278</v>
      </c>
      <c r="DW1297" s="4" t="s">
        <v>2938</v>
      </c>
      <c r="HO1297" s="4" t="s">
        <v>267</v>
      </c>
    </row>
    <row r="1298" spans="1:223" ht="19.5" customHeight="1" x14ac:dyDescent="0.4">
      <c r="A1298" s="4">
        <v>1</v>
      </c>
      <c r="B1298" s="4" t="s">
        <v>239</v>
      </c>
      <c r="C1298" s="4">
        <v>2972</v>
      </c>
      <c r="D1298" s="4">
        <v>1</v>
      </c>
      <c r="E1298" s="4">
        <v>1</v>
      </c>
      <c r="F1298" s="4" t="s">
        <v>268</v>
      </c>
      <c r="G1298" s="4" t="s">
        <v>241</v>
      </c>
      <c r="H1298" s="4" t="s">
        <v>241</v>
      </c>
      <c r="I1298" s="4" t="s">
        <v>272</v>
      </c>
      <c r="J1298" s="4" t="s">
        <v>274</v>
      </c>
      <c r="K1298" s="4" t="s">
        <v>251</v>
      </c>
      <c r="L1298" s="4" t="s">
        <v>269</v>
      </c>
      <c r="M1298" s="5" t="s">
        <v>2939</v>
      </c>
      <c r="N1298" s="6">
        <f>9994</f>
        <v>9994</v>
      </c>
      <c r="O1298" s="4" t="s">
        <v>265</v>
      </c>
      <c r="P1298" s="6">
        <f>1</f>
        <v>1</v>
      </c>
      <c r="Q1298" s="6">
        <f>0</f>
        <v>0</v>
      </c>
      <c r="S1298" s="6">
        <f>0</f>
        <v>0</v>
      </c>
      <c r="T1298" s="6">
        <f>1</f>
        <v>1</v>
      </c>
      <c r="U1298" s="5" t="s">
        <v>245</v>
      </c>
      <c r="V1298" s="4" t="s">
        <v>270</v>
      </c>
      <c r="W1298" s="4" t="s">
        <v>271</v>
      </c>
      <c r="X1298" s="4" t="s">
        <v>273</v>
      </c>
      <c r="Y1298" s="4" t="s">
        <v>241</v>
      </c>
      <c r="AB1298" s="4" t="s">
        <v>241</v>
      </c>
      <c r="AD1298" s="5" t="s">
        <v>241</v>
      </c>
      <c r="AG1298" s="5" t="s">
        <v>246</v>
      </c>
      <c r="AH1298" s="4" t="s">
        <v>241</v>
      </c>
      <c r="AI1298" s="4" t="s">
        <v>247</v>
      </c>
      <c r="AJ1298" s="4" t="s">
        <v>248</v>
      </c>
      <c r="AZ1298" s="4" t="s">
        <v>249</v>
      </c>
      <c r="BA1298" s="4" t="s">
        <v>241</v>
      </c>
      <c r="BB1298" s="4" t="s">
        <v>250</v>
      </c>
      <c r="BC1298" s="4" t="s">
        <v>241</v>
      </c>
      <c r="BD1298" s="4" t="s">
        <v>252</v>
      </c>
      <c r="BE1298" s="4" t="s">
        <v>241</v>
      </c>
      <c r="BI1298" s="4" t="s">
        <v>253</v>
      </c>
      <c r="BJ1298" s="5" t="s">
        <v>246</v>
      </c>
      <c r="BK1298" s="4" t="s">
        <v>254</v>
      </c>
      <c r="BL1298" s="4" t="s">
        <v>255</v>
      </c>
      <c r="BM1298" s="4" t="s">
        <v>241</v>
      </c>
      <c r="BN1298" s="6">
        <f>0</f>
        <v>0</v>
      </c>
      <c r="BO1298" s="6">
        <f>0</f>
        <v>0</v>
      </c>
      <c r="BP1298" s="4" t="s">
        <v>256</v>
      </c>
      <c r="BQ1298" s="4" t="s">
        <v>257</v>
      </c>
      <c r="CE1298" s="4" t="s">
        <v>241</v>
      </c>
      <c r="CF1298" s="4" t="s">
        <v>241</v>
      </c>
      <c r="CJ1298" s="4" t="s">
        <v>276</v>
      </c>
      <c r="CK1298" s="4" t="s">
        <v>259</v>
      </c>
      <c r="CL1298" s="4" t="s">
        <v>241</v>
      </c>
      <c r="CO1298" s="5" t="s">
        <v>260</v>
      </c>
      <c r="CP1298" s="4" t="s">
        <v>241</v>
      </c>
      <c r="CQ1298" s="4" t="s">
        <v>261</v>
      </c>
      <c r="CR1298" s="4" t="s">
        <v>241</v>
      </c>
      <c r="CS1298" s="4" t="s">
        <v>241</v>
      </c>
      <c r="CT1298" s="4">
        <v>0</v>
      </c>
      <c r="CU1298" s="4" t="s">
        <v>262</v>
      </c>
      <c r="CV1298" s="4" t="s">
        <v>263</v>
      </c>
      <c r="CW1298" s="4" t="s">
        <v>263</v>
      </c>
      <c r="CX1298" s="4" t="s">
        <v>264</v>
      </c>
      <c r="DA1298" s="6">
        <f>1</f>
        <v>1</v>
      </c>
      <c r="DC1298" s="4" t="s">
        <v>277</v>
      </c>
      <c r="DD1298" s="4" t="s">
        <v>241</v>
      </c>
      <c r="DF1298" s="4" t="s">
        <v>277</v>
      </c>
      <c r="DG1298" s="6">
        <f>9994</f>
        <v>9994</v>
      </c>
      <c r="DI1298" s="4" t="s">
        <v>241</v>
      </c>
      <c r="DJ1298" s="4" t="s">
        <v>241</v>
      </c>
      <c r="DK1298" s="4" t="s">
        <v>241</v>
      </c>
      <c r="DL1298" s="4" t="s">
        <v>241</v>
      </c>
      <c r="DP1298" s="4" t="s">
        <v>241</v>
      </c>
      <c r="DQ1298" s="4" t="s">
        <v>241</v>
      </c>
      <c r="DR1298" s="4" t="s">
        <v>241</v>
      </c>
      <c r="DS1298" s="4" t="s">
        <v>241</v>
      </c>
      <c r="DV1298" s="4" t="s">
        <v>278</v>
      </c>
      <c r="DW1298" s="4" t="s">
        <v>2940</v>
      </c>
      <c r="HO1298" s="4" t="s">
        <v>267</v>
      </c>
    </row>
    <row r="1299" spans="1:223" ht="19.5" customHeight="1" x14ac:dyDescent="0.4">
      <c r="A1299" s="4">
        <v>1</v>
      </c>
      <c r="B1299" s="4" t="s">
        <v>239</v>
      </c>
      <c r="C1299" s="4">
        <v>2973</v>
      </c>
      <c r="D1299" s="4">
        <v>1</v>
      </c>
      <c r="E1299" s="4">
        <v>1</v>
      </c>
      <c r="F1299" s="4" t="s">
        <v>268</v>
      </c>
      <c r="G1299" s="4" t="s">
        <v>241</v>
      </c>
      <c r="H1299" s="4" t="s">
        <v>241</v>
      </c>
      <c r="I1299" s="4" t="s">
        <v>272</v>
      </c>
      <c r="J1299" s="4" t="s">
        <v>274</v>
      </c>
      <c r="K1299" s="4" t="s">
        <v>251</v>
      </c>
      <c r="L1299" s="4" t="s">
        <v>269</v>
      </c>
      <c r="M1299" s="5" t="s">
        <v>2935</v>
      </c>
      <c r="N1299" s="6">
        <f>1975</f>
        <v>1975</v>
      </c>
      <c r="O1299" s="4" t="s">
        <v>265</v>
      </c>
      <c r="P1299" s="6">
        <f>1</f>
        <v>1</v>
      </c>
      <c r="Q1299" s="6">
        <f>0</f>
        <v>0</v>
      </c>
      <c r="S1299" s="6">
        <f>0</f>
        <v>0</v>
      </c>
      <c r="T1299" s="6">
        <f>1</f>
        <v>1</v>
      </c>
      <c r="U1299" s="5" t="s">
        <v>245</v>
      </c>
      <c r="V1299" s="4" t="s">
        <v>270</v>
      </c>
      <c r="W1299" s="4" t="s">
        <v>271</v>
      </c>
      <c r="X1299" s="4" t="s">
        <v>273</v>
      </c>
      <c r="Y1299" s="4" t="s">
        <v>241</v>
      </c>
      <c r="AB1299" s="4" t="s">
        <v>241</v>
      </c>
      <c r="AD1299" s="5" t="s">
        <v>241</v>
      </c>
      <c r="AG1299" s="5" t="s">
        <v>246</v>
      </c>
      <c r="AH1299" s="4" t="s">
        <v>241</v>
      </c>
      <c r="AI1299" s="4" t="s">
        <v>247</v>
      </c>
      <c r="AJ1299" s="4" t="s">
        <v>248</v>
      </c>
      <c r="AZ1299" s="4" t="s">
        <v>249</v>
      </c>
      <c r="BA1299" s="4" t="s">
        <v>241</v>
      </c>
      <c r="BB1299" s="4" t="s">
        <v>250</v>
      </c>
      <c r="BC1299" s="4" t="s">
        <v>241</v>
      </c>
      <c r="BD1299" s="4" t="s">
        <v>252</v>
      </c>
      <c r="BE1299" s="4" t="s">
        <v>241</v>
      </c>
      <c r="BI1299" s="4" t="s">
        <v>253</v>
      </c>
      <c r="BJ1299" s="5" t="s">
        <v>246</v>
      </c>
      <c r="BK1299" s="4" t="s">
        <v>254</v>
      </c>
      <c r="BL1299" s="4" t="s">
        <v>255</v>
      </c>
      <c r="BM1299" s="4" t="s">
        <v>241</v>
      </c>
      <c r="BN1299" s="6">
        <f>0</f>
        <v>0</v>
      </c>
      <c r="BO1299" s="6">
        <f>0</f>
        <v>0</v>
      </c>
      <c r="BP1299" s="4" t="s">
        <v>256</v>
      </c>
      <c r="BQ1299" s="4" t="s">
        <v>257</v>
      </c>
      <c r="CE1299" s="4" t="s">
        <v>241</v>
      </c>
      <c r="CF1299" s="4" t="s">
        <v>241</v>
      </c>
      <c r="CJ1299" s="4" t="s">
        <v>276</v>
      </c>
      <c r="CK1299" s="4" t="s">
        <v>259</v>
      </c>
      <c r="CL1299" s="4" t="s">
        <v>241</v>
      </c>
      <c r="CO1299" s="5" t="s">
        <v>260</v>
      </c>
      <c r="CP1299" s="4" t="s">
        <v>241</v>
      </c>
      <c r="CQ1299" s="4" t="s">
        <v>261</v>
      </c>
      <c r="CR1299" s="4" t="s">
        <v>241</v>
      </c>
      <c r="CS1299" s="4" t="s">
        <v>241</v>
      </c>
      <c r="CT1299" s="4">
        <v>0</v>
      </c>
      <c r="CU1299" s="4" t="s">
        <v>262</v>
      </c>
      <c r="CV1299" s="4" t="s">
        <v>263</v>
      </c>
      <c r="CW1299" s="4" t="s">
        <v>263</v>
      </c>
      <c r="CX1299" s="4" t="s">
        <v>264</v>
      </c>
      <c r="DA1299" s="6">
        <f>1</f>
        <v>1</v>
      </c>
      <c r="DC1299" s="4" t="s">
        <v>277</v>
      </c>
      <c r="DD1299" s="4" t="s">
        <v>241</v>
      </c>
      <c r="DF1299" s="4" t="s">
        <v>277</v>
      </c>
      <c r="DG1299" s="6">
        <f>1975</f>
        <v>1975</v>
      </c>
      <c r="DI1299" s="4" t="s">
        <v>241</v>
      </c>
      <c r="DJ1299" s="4" t="s">
        <v>241</v>
      </c>
      <c r="DK1299" s="4" t="s">
        <v>241</v>
      </c>
      <c r="DL1299" s="4" t="s">
        <v>241</v>
      </c>
      <c r="DP1299" s="4" t="s">
        <v>241</v>
      </c>
      <c r="DQ1299" s="4" t="s">
        <v>241</v>
      </c>
      <c r="DR1299" s="4" t="s">
        <v>241</v>
      </c>
      <c r="DS1299" s="4" t="s">
        <v>241</v>
      </c>
      <c r="DV1299" s="4" t="s">
        <v>278</v>
      </c>
      <c r="DW1299" s="4" t="s">
        <v>2936</v>
      </c>
      <c r="HO1299" s="4" t="s">
        <v>267</v>
      </c>
    </row>
    <row r="1300" spans="1:223" ht="19.5" customHeight="1" x14ac:dyDescent="0.4">
      <c r="A1300" s="4">
        <v>1</v>
      </c>
      <c r="B1300" s="4" t="s">
        <v>239</v>
      </c>
      <c r="C1300" s="4">
        <v>2974</v>
      </c>
      <c r="D1300" s="4">
        <v>1</v>
      </c>
      <c r="E1300" s="4">
        <v>1</v>
      </c>
      <c r="F1300" s="4" t="s">
        <v>268</v>
      </c>
      <c r="G1300" s="4" t="s">
        <v>241</v>
      </c>
      <c r="H1300" s="4" t="s">
        <v>241</v>
      </c>
      <c r="I1300" s="4" t="s">
        <v>272</v>
      </c>
      <c r="J1300" s="4" t="s">
        <v>274</v>
      </c>
      <c r="K1300" s="4" t="s">
        <v>251</v>
      </c>
      <c r="L1300" s="4" t="s">
        <v>269</v>
      </c>
      <c r="M1300" s="5" t="s">
        <v>2933</v>
      </c>
      <c r="N1300" s="6">
        <f>2590</f>
        <v>2590</v>
      </c>
      <c r="O1300" s="4" t="s">
        <v>265</v>
      </c>
      <c r="P1300" s="6">
        <f>1</f>
        <v>1</v>
      </c>
      <c r="Q1300" s="6">
        <f>0</f>
        <v>0</v>
      </c>
      <c r="S1300" s="6">
        <f>0</f>
        <v>0</v>
      </c>
      <c r="T1300" s="6">
        <f>1</f>
        <v>1</v>
      </c>
      <c r="U1300" s="5" t="s">
        <v>245</v>
      </c>
      <c r="V1300" s="4" t="s">
        <v>270</v>
      </c>
      <c r="W1300" s="4" t="s">
        <v>271</v>
      </c>
      <c r="X1300" s="4" t="s">
        <v>273</v>
      </c>
      <c r="Y1300" s="4" t="s">
        <v>241</v>
      </c>
      <c r="AB1300" s="4" t="s">
        <v>241</v>
      </c>
      <c r="AD1300" s="5" t="s">
        <v>241</v>
      </c>
      <c r="AG1300" s="5" t="s">
        <v>246</v>
      </c>
      <c r="AH1300" s="4" t="s">
        <v>241</v>
      </c>
      <c r="AI1300" s="4" t="s">
        <v>247</v>
      </c>
      <c r="AJ1300" s="4" t="s">
        <v>248</v>
      </c>
      <c r="AZ1300" s="4" t="s">
        <v>249</v>
      </c>
      <c r="BA1300" s="4" t="s">
        <v>241</v>
      </c>
      <c r="BB1300" s="4" t="s">
        <v>250</v>
      </c>
      <c r="BC1300" s="4" t="s">
        <v>241</v>
      </c>
      <c r="BD1300" s="4" t="s">
        <v>252</v>
      </c>
      <c r="BE1300" s="4" t="s">
        <v>241</v>
      </c>
      <c r="BI1300" s="4" t="s">
        <v>253</v>
      </c>
      <c r="BJ1300" s="5" t="s">
        <v>246</v>
      </c>
      <c r="BK1300" s="4" t="s">
        <v>254</v>
      </c>
      <c r="BL1300" s="4" t="s">
        <v>255</v>
      </c>
      <c r="BM1300" s="4" t="s">
        <v>241</v>
      </c>
      <c r="BN1300" s="6">
        <f>0</f>
        <v>0</v>
      </c>
      <c r="BO1300" s="6">
        <f>0</f>
        <v>0</v>
      </c>
      <c r="BP1300" s="4" t="s">
        <v>256</v>
      </c>
      <c r="BQ1300" s="4" t="s">
        <v>257</v>
      </c>
      <c r="CE1300" s="4" t="s">
        <v>241</v>
      </c>
      <c r="CF1300" s="4" t="s">
        <v>241</v>
      </c>
      <c r="CJ1300" s="4" t="s">
        <v>276</v>
      </c>
      <c r="CK1300" s="4" t="s">
        <v>259</v>
      </c>
      <c r="CL1300" s="4" t="s">
        <v>241</v>
      </c>
      <c r="CO1300" s="5" t="s">
        <v>260</v>
      </c>
      <c r="CP1300" s="4" t="s">
        <v>241</v>
      </c>
      <c r="CQ1300" s="4" t="s">
        <v>261</v>
      </c>
      <c r="CR1300" s="4" t="s">
        <v>241</v>
      </c>
      <c r="CS1300" s="4" t="s">
        <v>241</v>
      </c>
      <c r="CT1300" s="4">
        <v>0</v>
      </c>
      <c r="CU1300" s="4" t="s">
        <v>262</v>
      </c>
      <c r="CV1300" s="4" t="s">
        <v>263</v>
      </c>
      <c r="CW1300" s="4" t="s">
        <v>263</v>
      </c>
      <c r="CX1300" s="4" t="s">
        <v>264</v>
      </c>
      <c r="DA1300" s="6">
        <f>1</f>
        <v>1</v>
      </c>
      <c r="DC1300" s="4" t="s">
        <v>277</v>
      </c>
      <c r="DD1300" s="4" t="s">
        <v>241</v>
      </c>
      <c r="DF1300" s="4" t="s">
        <v>277</v>
      </c>
      <c r="DG1300" s="6">
        <f>2590</f>
        <v>2590</v>
      </c>
      <c r="DI1300" s="4" t="s">
        <v>241</v>
      </c>
      <c r="DJ1300" s="4" t="s">
        <v>241</v>
      </c>
      <c r="DK1300" s="4" t="s">
        <v>241</v>
      </c>
      <c r="DL1300" s="4" t="s">
        <v>241</v>
      </c>
      <c r="DP1300" s="4" t="s">
        <v>241</v>
      </c>
      <c r="DQ1300" s="4" t="s">
        <v>241</v>
      </c>
      <c r="DR1300" s="4" t="s">
        <v>241</v>
      </c>
      <c r="DS1300" s="4" t="s">
        <v>241</v>
      </c>
      <c r="DV1300" s="4" t="s">
        <v>278</v>
      </c>
      <c r="DW1300" s="4" t="s">
        <v>2934</v>
      </c>
      <c r="HO1300" s="4" t="s">
        <v>267</v>
      </c>
    </row>
    <row r="1301" spans="1:223" ht="19.5" customHeight="1" x14ac:dyDescent="0.4">
      <c r="A1301" s="4">
        <v>1</v>
      </c>
      <c r="B1301" s="4" t="s">
        <v>239</v>
      </c>
      <c r="C1301" s="4">
        <v>2975</v>
      </c>
      <c r="D1301" s="4">
        <v>1</v>
      </c>
      <c r="E1301" s="4">
        <v>1</v>
      </c>
      <c r="F1301" s="4" t="s">
        <v>268</v>
      </c>
      <c r="G1301" s="4" t="s">
        <v>241</v>
      </c>
      <c r="H1301" s="4" t="s">
        <v>241</v>
      </c>
      <c r="I1301" s="4" t="s">
        <v>272</v>
      </c>
      <c r="J1301" s="4" t="s">
        <v>274</v>
      </c>
      <c r="K1301" s="4" t="s">
        <v>251</v>
      </c>
      <c r="L1301" s="4" t="s">
        <v>269</v>
      </c>
      <c r="M1301" s="5" t="s">
        <v>2931</v>
      </c>
      <c r="N1301" s="6">
        <f>2746</f>
        <v>2746</v>
      </c>
      <c r="O1301" s="4" t="s">
        <v>265</v>
      </c>
      <c r="P1301" s="6">
        <f>1</f>
        <v>1</v>
      </c>
      <c r="Q1301" s="6">
        <f>0</f>
        <v>0</v>
      </c>
      <c r="S1301" s="6">
        <f>0</f>
        <v>0</v>
      </c>
      <c r="T1301" s="6">
        <f>1</f>
        <v>1</v>
      </c>
      <c r="U1301" s="5" t="s">
        <v>245</v>
      </c>
      <c r="V1301" s="4" t="s">
        <v>270</v>
      </c>
      <c r="W1301" s="4" t="s">
        <v>271</v>
      </c>
      <c r="X1301" s="4" t="s">
        <v>273</v>
      </c>
      <c r="Y1301" s="4" t="s">
        <v>241</v>
      </c>
      <c r="AB1301" s="4" t="s">
        <v>241</v>
      </c>
      <c r="AD1301" s="5" t="s">
        <v>241</v>
      </c>
      <c r="AG1301" s="5" t="s">
        <v>246</v>
      </c>
      <c r="AH1301" s="4" t="s">
        <v>241</v>
      </c>
      <c r="AI1301" s="4" t="s">
        <v>247</v>
      </c>
      <c r="AJ1301" s="4" t="s">
        <v>248</v>
      </c>
      <c r="AZ1301" s="4" t="s">
        <v>249</v>
      </c>
      <c r="BA1301" s="4" t="s">
        <v>241</v>
      </c>
      <c r="BB1301" s="4" t="s">
        <v>250</v>
      </c>
      <c r="BC1301" s="4" t="s">
        <v>241</v>
      </c>
      <c r="BD1301" s="4" t="s">
        <v>252</v>
      </c>
      <c r="BE1301" s="4" t="s">
        <v>241</v>
      </c>
      <c r="BI1301" s="4" t="s">
        <v>253</v>
      </c>
      <c r="BJ1301" s="5" t="s">
        <v>246</v>
      </c>
      <c r="BK1301" s="4" t="s">
        <v>254</v>
      </c>
      <c r="BL1301" s="4" t="s">
        <v>255</v>
      </c>
      <c r="BM1301" s="4" t="s">
        <v>241</v>
      </c>
      <c r="BN1301" s="6">
        <f>0</f>
        <v>0</v>
      </c>
      <c r="BO1301" s="6">
        <f>0</f>
        <v>0</v>
      </c>
      <c r="BP1301" s="4" t="s">
        <v>256</v>
      </c>
      <c r="BQ1301" s="4" t="s">
        <v>257</v>
      </c>
      <c r="CE1301" s="4" t="s">
        <v>241</v>
      </c>
      <c r="CF1301" s="4" t="s">
        <v>241</v>
      </c>
      <c r="CJ1301" s="4" t="s">
        <v>276</v>
      </c>
      <c r="CK1301" s="4" t="s">
        <v>259</v>
      </c>
      <c r="CL1301" s="4" t="s">
        <v>241</v>
      </c>
      <c r="CO1301" s="5" t="s">
        <v>260</v>
      </c>
      <c r="CP1301" s="4" t="s">
        <v>241</v>
      </c>
      <c r="CQ1301" s="4" t="s">
        <v>261</v>
      </c>
      <c r="CR1301" s="4" t="s">
        <v>241</v>
      </c>
      <c r="CS1301" s="4" t="s">
        <v>241</v>
      </c>
      <c r="CT1301" s="4">
        <v>0</v>
      </c>
      <c r="CU1301" s="4" t="s">
        <v>262</v>
      </c>
      <c r="CV1301" s="4" t="s">
        <v>263</v>
      </c>
      <c r="CW1301" s="4" t="s">
        <v>263</v>
      </c>
      <c r="CX1301" s="4" t="s">
        <v>264</v>
      </c>
      <c r="DA1301" s="6">
        <f>1</f>
        <v>1</v>
      </c>
      <c r="DC1301" s="4" t="s">
        <v>277</v>
      </c>
      <c r="DD1301" s="4" t="s">
        <v>241</v>
      </c>
      <c r="DF1301" s="4" t="s">
        <v>277</v>
      </c>
      <c r="DG1301" s="6">
        <f>2746</f>
        <v>2746</v>
      </c>
      <c r="DI1301" s="4" t="s">
        <v>241</v>
      </c>
      <c r="DJ1301" s="4" t="s">
        <v>241</v>
      </c>
      <c r="DK1301" s="4" t="s">
        <v>241</v>
      </c>
      <c r="DL1301" s="4" t="s">
        <v>241</v>
      </c>
      <c r="DP1301" s="4" t="s">
        <v>241</v>
      </c>
      <c r="DQ1301" s="4" t="s">
        <v>241</v>
      </c>
      <c r="DR1301" s="4" t="s">
        <v>241</v>
      </c>
      <c r="DS1301" s="4" t="s">
        <v>241</v>
      </c>
      <c r="DV1301" s="4" t="s">
        <v>278</v>
      </c>
      <c r="DW1301" s="4" t="s">
        <v>2932</v>
      </c>
      <c r="HO1301" s="4" t="s">
        <v>267</v>
      </c>
    </row>
    <row r="1302" spans="1:223" ht="19.5" customHeight="1" x14ac:dyDescent="0.4">
      <c r="A1302" s="4">
        <v>1</v>
      </c>
      <c r="B1302" s="4" t="s">
        <v>239</v>
      </c>
      <c r="C1302" s="4">
        <v>2976</v>
      </c>
      <c r="D1302" s="4">
        <v>1</v>
      </c>
      <c r="E1302" s="4">
        <v>1</v>
      </c>
      <c r="F1302" s="4" t="s">
        <v>268</v>
      </c>
      <c r="G1302" s="4" t="s">
        <v>241</v>
      </c>
      <c r="H1302" s="4" t="s">
        <v>241</v>
      </c>
      <c r="I1302" s="4" t="s">
        <v>272</v>
      </c>
      <c r="J1302" s="4" t="s">
        <v>274</v>
      </c>
      <c r="K1302" s="4" t="s">
        <v>251</v>
      </c>
      <c r="L1302" s="4" t="s">
        <v>269</v>
      </c>
      <c r="M1302" s="5" t="s">
        <v>2854</v>
      </c>
      <c r="N1302" s="6">
        <f>322</f>
        <v>322</v>
      </c>
      <c r="O1302" s="4" t="s">
        <v>265</v>
      </c>
      <c r="P1302" s="6">
        <f>1</f>
        <v>1</v>
      </c>
      <c r="Q1302" s="6">
        <f>0</f>
        <v>0</v>
      </c>
      <c r="S1302" s="6">
        <f>0</f>
        <v>0</v>
      </c>
      <c r="T1302" s="6">
        <f>1</f>
        <v>1</v>
      </c>
      <c r="U1302" s="5" t="s">
        <v>245</v>
      </c>
      <c r="V1302" s="4" t="s">
        <v>270</v>
      </c>
      <c r="W1302" s="4" t="s">
        <v>271</v>
      </c>
      <c r="X1302" s="4" t="s">
        <v>273</v>
      </c>
      <c r="Y1302" s="4" t="s">
        <v>241</v>
      </c>
      <c r="AB1302" s="4" t="s">
        <v>241</v>
      </c>
      <c r="AD1302" s="5" t="s">
        <v>241</v>
      </c>
      <c r="AG1302" s="5" t="s">
        <v>246</v>
      </c>
      <c r="AH1302" s="4" t="s">
        <v>241</v>
      </c>
      <c r="AI1302" s="4" t="s">
        <v>247</v>
      </c>
      <c r="AJ1302" s="4" t="s">
        <v>248</v>
      </c>
      <c r="AZ1302" s="4" t="s">
        <v>249</v>
      </c>
      <c r="BA1302" s="4" t="s">
        <v>241</v>
      </c>
      <c r="BB1302" s="4" t="s">
        <v>250</v>
      </c>
      <c r="BC1302" s="4" t="s">
        <v>241</v>
      </c>
      <c r="BD1302" s="4" t="s">
        <v>252</v>
      </c>
      <c r="BE1302" s="4" t="s">
        <v>241</v>
      </c>
      <c r="BI1302" s="4" t="s">
        <v>253</v>
      </c>
      <c r="BJ1302" s="5" t="s">
        <v>246</v>
      </c>
      <c r="BK1302" s="4" t="s">
        <v>254</v>
      </c>
      <c r="BL1302" s="4" t="s">
        <v>255</v>
      </c>
      <c r="BM1302" s="4" t="s">
        <v>241</v>
      </c>
      <c r="BN1302" s="6">
        <f>0</f>
        <v>0</v>
      </c>
      <c r="BO1302" s="6">
        <f>0</f>
        <v>0</v>
      </c>
      <c r="BP1302" s="4" t="s">
        <v>256</v>
      </c>
      <c r="BQ1302" s="4" t="s">
        <v>257</v>
      </c>
      <c r="CE1302" s="4" t="s">
        <v>241</v>
      </c>
      <c r="CF1302" s="4" t="s">
        <v>241</v>
      </c>
      <c r="CJ1302" s="4" t="s">
        <v>276</v>
      </c>
      <c r="CK1302" s="4" t="s">
        <v>259</v>
      </c>
      <c r="CL1302" s="4" t="s">
        <v>241</v>
      </c>
      <c r="CO1302" s="5" t="s">
        <v>260</v>
      </c>
      <c r="CP1302" s="4" t="s">
        <v>241</v>
      </c>
      <c r="CQ1302" s="4" t="s">
        <v>261</v>
      </c>
      <c r="CR1302" s="4" t="s">
        <v>241</v>
      </c>
      <c r="CS1302" s="4" t="s">
        <v>241</v>
      </c>
      <c r="CT1302" s="4">
        <v>0</v>
      </c>
      <c r="CU1302" s="4" t="s">
        <v>262</v>
      </c>
      <c r="CV1302" s="4" t="s">
        <v>263</v>
      </c>
      <c r="CW1302" s="4" t="s">
        <v>263</v>
      </c>
      <c r="CX1302" s="4" t="s">
        <v>264</v>
      </c>
      <c r="DA1302" s="6">
        <f>1</f>
        <v>1</v>
      </c>
      <c r="DC1302" s="4" t="s">
        <v>277</v>
      </c>
      <c r="DD1302" s="4" t="s">
        <v>241</v>
      </c>
      <c r="DF1302" s="4" t="s">
        <v>277</v>
      </c>
      <c r="DG1302" s="6">
        <f>322</f>
        <v>322</v>
      </c>
      <c r="DI1302" s="4" t="s">
        <v>241</v>
      </c>
      <c r="DJ1302" s="4" t="s">
        <v>241</v>
      </c>
      <c r="DK1302" s="4" t="s">
        <v>241</v>
      </c>
      <c r="DL1302" s="4" t="s">
        <v>241</v>
      </c>
      <c r="DP1302" s="4" t="s">
        <v>241</v>
      </c>
      <c r="DQ1302" s="4" t="s">
        <v>241</v>
      </c>
      <c r="DR1302" s="4" t="s">
        <v>241</v>
      </c>
      <c r="DS1302" s="4" t="s">
        <v>241</v>
      </c>
      <c r="DV1302" s="4" t="s">
        <v>278</v>
      </c>
      <c r="DW1302" s="4" t="s">
        <v>2855</v>
      </c>
      <c r="HO1302" s="4" t="s">
        <v>267</v>
      </c>
    </row>
    <row r="1303" spans="1:223" ht="19.5" customHeight="1" x14ac:dyDescent="0.4">
      <c r="A1303" s="4">
        <v>1</v>
      </c>
      <c r="B1303" s="4" t="s">
        <v>239</v>
      </c>
      <c r="C1303" s="4">
        <v>2977</v>
      </c>
      <c r="D1303" s="4">
        <v>1</v>
      </c>
      <c r="E1303" s="4">
        <v>1</v>
      </c>
      <c r="F1303" s="4" t="s">
        <v>268</v>
      </c>
      <c r="G1303" s="4" t="s">
        <v>241</v>
      </c>
      <c r="H1303" s="4" t="s">
        <v>241</v>
      </c>
      <c r="I1303" s="4" t="s">
        <v>272</v>
      </c>
      <c r="J1303" s="4" t="s">
        <v>274</v>
      </c>
      <c r="K1303" s="4" t="s">
        <v>251</v>
      </c>
      <c r="L1303" s="4" t="s">
        <v>269</v>
      </c>
      <c r="M1303" s="5" t="s">
        <v>2927</v>
      </c>
      <c r="N1303" s="6">
        <f>1884</f>
        <v>1884</v>
      </c>
      <c r="O1303" s="4" t="s">
        <v>265</v>
      </c>
      <c r="P1303" s="6">
        <f>1</f>
        <v>1</v>
      </c>
      <c r="Q1303" s="6">
        <f>0</f>
        <v>0</v>
      </c>
      <c r="S1303" s="6">
        <f>0</f>
        <v>0</v>
      </c>
      <c r="T1303" s="6">
        <f>1</f>
        <v>1</v>
      </c>
      <c r="U1303" s="5" t="s">
        <v>245</v>
      </c>
      <c r="V1303" s="4" t="s">
        <v>270</v>
      </c>
      <c r="W1303" s="4" t="s">
        <v>271</v>
      </c>
      <c r="X1303" s="4" t="s">
        <v>273</v>
      </c>
      <c r="Y1303" s="4" t="s">
        <v>241</v>
      </c>
      <c r="AB1303" s="4" t="s">
        <v>241</v>
      </c>
      <c r="AD1303" s="5" t="s">
        <v>241</v>
      </c>
      <c r="AG1303" s="5" t="s">
        <v>246</v>
      </c>
      <c r="AH1303" s="4" t="s">
        <v>241</v>
      </c>
      <c r="AI1303" s="4" t="s">
        <v>247</v>
      </c>
      <c r="AJ1303" s="4" t="s">
        <v>248</v>
      </c>
      <c r="AZ1303" s="4" t="s">
        <v>249</v>
      </c>
      <c r="BA1303" s="4" t="s">
        <v>241</v>
      </c>
      <c r="BB1303" s="4" t="s">
        <v>250</v>
      </c>
      <c r="BC1303" s="4" t="s">
        <v>241</v>
      </c>
      <c r="BD1303" s="4" t="s">
        <v>252</v>
      </c>
      <c r="BE1303" s="4" t="s">
        <v>241</v>
      </c>
      <c r="BI1303" s="4" t="s">
        <v>253</v>
      </c>
      <c r="BJ1303" s="5" t="s">
        <v>246</v>
      </c>
      <c r="BK1303" s="4" t="s">
        <v>254</v>
      </c>
      <c r="BL1303" s="4" t="s">
        <v>255</v>
      </c>
      <c r="BM1303" s="4" t="s">
        <v>241</v>
      </c>
      <c r="BN1303" s="6">
        <f>0</f>
        <v>0</v>
      </c>
      <c r="BO1303" s="6">
        <f>0</f>
        <v>0</v>
      </c>
      <c r="BP1303" s="4" t="s">
        <v>256</v>
      </c>
      <c r="BQ1303" s="4" t="s">
        <v>257</v>
      </c>
      <c r="CE1303" s="4" t="s">
        <v>241</v>
      </c>
      <c r="CF1303" s="4" t="s">
        <v>241</v>
      </c>
      <c r="CJ1303" s="4" t="s">
        <v>276</v>
      </c>
      <c r="CK1303" s="4" t="s">
        <v>259</v>
      </c>
      <c r="CL1303" s="4" t="s">
        <v>241</v>
      </c>
      <c r="CO1303" s="5" t="s">
        <v>260</v>
      </c>
      <c r="CP1303" s="4" t="s">
        <v>241</v>
      </c>
      <c r="CQ1303" s="4" t="s">
        <v>261</v>
      </c>
      <c r="CR1303" s="4" t="s">
        <v>241</v>
      </c>
      <c r="CS1303" s="4" t="s">
        <v>241</v>
      </c>
      <c r="CT1303" s="4">
        <v>0</v>
      </c>
      <c r="CU1303" s="4" t="s">
        <v>262</v>
      </c>
      <c r="CV1303" s="4" t="s">
        <v>263</v>
      </c>
      <c r="CW1303" s="4" t="s">
        <v>263</v>
      </c>
      <c r="CX1303" s="4" t="s">
        <v>264</v>
      </c>
      <c r="DA1303" s="6">
        <f>1</f>
        <v>1</v>
      </c>
      <c r="DC1303" s="4" t="s">
        <v>277</v>
      </c>
      <c r="DD1303" s="4" t="s">
        <v>241</v>
      </c>
      <c r="DF1303" s="4" t="s">
        <v>277</v>
      </c>
      <c r="DG1303" s="6">
        <f>1884</f>
        <v>1884</v>
      </c>
      <c r="DI1303" s="4" t="s">
        <v>241</v>
      </c>
      <c r="DJ1303" s="4" t="s">
        <v>241</v>
      </c>
      <c r="DK1303" s="4" t="s">
        <v>241</v>
      </c>
      <c r="DL1303" s="4" t="s">
        <v>241</v>
      </c>
      <c r="DP1303" s="4" t="s">
        <v>241</v>
      </c>
      <c r="DQ1303" s="4" t="s">
        <v>241</v>
      </c>
      <c r="DR1303" s="4" t="s">
        <v>241</v>
      </c>
      <c r="DS1303" s="4" t="s">
        <v>241</v>
      </c>
      <c r="DV1303" s="4" t="s">
        <v>278</v>
      </c>
      <c r="DW1303" s="4" t="s">
        <v>2928</v>
      </c>
      <c r="HO1303" s="4" t="s">
        <v>267</v>
      </c>
    </row>
    <row r="1304" spans="1:223" ht="19.5" customHeight="1" x14ac:dyDescent="0.4">
      <c r="A1304" s="4">
        <v>1</v>
      </c>
      <c r="B1304" s="4" t="s">
        <v>239</v>
      </c>
      <c r="C1304" s="4">
        <v>2978</v>
      </c>
      <c r="D1304" s="4">
        <v>1</v>
      </c>
      <c r="E1304" s="4">
        <v>1</v>
      </c>
      <c r="F1304" s="4" t="s">
        <v>268</v>
      </c>
      <c r="G1304" s="4" t="s">
        <v>241</v>
      </c>
      <c r="H1304" s="4" t="s">
        <v>241</v>
      </c>
      <c r="I1304" s="4" t="s">
        <v>272</v>
      </c>
      <c r="J1304" s="4" t="s">
        <v>274</v>
      </c>
      <c r="K1304" s="4" t="s">
        <v>251</v>
      </c>
      <c r="L1304" s="4" t="s">
        <v>269</v>
      </c>
      <c r="M1304" s="5" t="s">
        <v>2925</v>
      </c>
      <c r="N1304" s="6">
        <f>1921</f>
        <v>1921</v>
      </c>
      <c r="O1304" s="4" t="s">
        <v>265</v>
      </c>
      <c r="P1304" s="6">
        <f>1</f>
        <v>1</v>
      </c>
      <c r="Q1304" s="6">
        <f>0</f>
        <v>0</v>
      </c>
      <c r="S1304" s="6">
        <f>0</f>
        <v>0</v>
      </c>
      <c r="T1304" s="6">
        <f>1</f>
        <v>1</v>
      </c>
      <c r="U1304" s="5" t="s">
        <v>245</v>
      </c>
      <c r="V1304" s="4" t="s">
        <v>270</v>
      </c>
      <c r="W1304" s="4" t="s">
        <v>271</v>
      </c>
      <c r="X1304" s="4" t="s">
        <v>273</v>
      </c>
      <c r="Y1304" s="4" t="s">
        <v>241</v>
      </c>
      <c r="AB1304" s="4" t="s">
        <v>241</v>
      </c>
      <c r="AD1304" s="5" t="s">
        <v>241</v>
      </c>
      <c r="AG1304" s="5" t="s">
        <v>246</v>
      </c>
      <c r="AH1304" s="4" t="s">
        <v>241</v>
      </c>
      <c r="AI1304" s="4" t="s">
        <v>247</v>
      </c>
      <c r="AJ1304" s="4" t="s">
        <v>248</v>
      </c>
      <c r="AZ1304" s="4" t="s">
        <v>249</v>
      </c>
      <c r="BA1304" s="4" t="s">
        <v>241</v>
      </c>
      <c r="BB1304" s="4" t="s">
        <v>250</v>
      </c>
      <c r="BC1304" s="4" t="s">
        <v>241</v>
      </c>
      <c r="BD1304" s="4" t="s">
        <v>252</v>
      </c>
      <c r="BE1304" s="4" t="s">
        <v>241</v>
      </c>
      <c r="BI1304" s="4" t="s">
        <v>253</v>
      </c>
      <c r="BJ1304" s="5" t="s">
        <v>246</v>
      </c>
      <c r="BK1304" s="4" t="s">
        <v>254</v>
      </c>
      <c r="BL1304" s="4" t="s">
        <v>255</v>
      </c>
      <c r="BM1304" s="4" t="s">
        <v>241</v>
      </c>
      <c r="BN1304" s="6">
        <f>0</f>
        <v>0</v>
      </c>
      <c r="BO1304" s="6">
        <f>0</f>
        <v>0</v>
      </c>
      <c r="BP1304" s="4" t="s">
        <v>256</v>
      </c>
      <c r="BQ1304" s="4" t="s">
        <v>257</v>
      </c>
      <c r="CE1304" s="4" t="s">
        <v>241</v>
      </c>
      <c r="CF1304" s="4" t="s">
        <v>241</v>
      </c>
      <c r="CJ1304" s="4" t="s">
        <v>276</v>
      </c>
      <c r="CK1304" s="4" t="s">
        <v>259</v>
      </c>
      <c r="CL1304" s="4" t="s">
        <v>241</v>
      </c>
      <c r="CO1304" s="5" t="s">
        <v>260</v>
      </c>
      <c r="CP1304" s="4" t="s">
        <v>241</v>
      </c>
      <c r="CQ1304" s="4" t="s">
        <v>261</v>
      </c>
      <c r="CR1304" s="4" t="s">
        <v>241</v>
      </c>
      <c r="CS1304" s="4" t="s">
        <v>241</v>
      </c>
      <c r="CT1304" s="4">
        <v>0</v>
      </c>
      <c r="CU1304" s="4" t="s">
        <v>262</v>
      </c>
      <c r="CV1304" s="4" t="s">
        <v>263</v>
      </c>
      <c r="CW1304" s="4" t="s">
        <v>263</v>
      </c>
      <c r="CX1304" s="4" t="s">
        <v>264</v>
      </c>
      <c r="DA1304" s="6">
        <f>1</f>
        <v>1</v>
      </c>
      <c r="DC1304" s="4" t="s">
        <v>277</v>
      </c>
      <c r="DD1304" s="4" t="s">
        <v>241</v>
      </c>
      <c r="DF1304" s="4" t="s">
        <v>277</v>
      </c>
      <c r="DG1304" s="6">
        <f>1921</f>
        <v>1921</v>
      </c>
      <c r="DI1304" s="4" t="s">
        <v>241</v>
      </c>
      <c r="DJ1304" s="4" t="s">
        <v>241</v>
      </c>
      <c r="DK1304" s="4" t="s">
        <v>241</v>
      </c>
      <c r="DL1304" s="4" t="s">
        <v>241</v>
      </c>
      <c r="DP1304" s="4" t="s">
        <v>241</v>
      </c>
      <c r="DQ1304" s="4" t="s">
        <v>241</v>
      </c>
      <c r="DR1304" s="4" t="s">
        <v>241</v>
      </c>
      <c r="DS1304" s="4" t="s">
        <v>241</v>
      </c>
      <c r="DV1304" s="4" t="s">
        <v>278</v>
      </c>
      <c r="DW1304" s="4" t="s">
        <v>2926</v>
      </c>
      <c r="HO1304" s="4" t="s">
        <v>267</v>
      </c>
    </row>
    <row r="1305" spans="1:223" ht="19.5" customHeight="1" x14ac:dyDescent="0.4">
      <c r="A1305" s="4">
        <v>1</v>
      </c>
      <c r="B1305" s="4" t="s">
        <v>239</v>
      </c>
      <c r="C1305" s="4">
        <v>2979</v>
      </c>
      <c r="D1305" s="4">
        <v>1</v>
      </c>
      <c r="E1305" s="4">
        <v>1</v>
      </c>
      <c r="F1305" s="4" t="s">
        <v>268</v>
      </c>
      <c r="G1305" s="4" t="s">
        <v>241</v>
      </c>
      <c r="H1305" s="4" t="s">
        <v>241</v>
      </c>
      <c r="I1305" s="4" t="s">
        <v>272</v>
      </c>
      <c r="J1305" s="4" t="s">
        <v>274</v>
      </c>
      <c r="K1305" s="4" t="s">
        <v>251</v>
      </c>
      <c r="L1305" s="4" t="s">
        <v>269</v>
      </c>
      <c r="M1305" s="5" t="s">
        <v>2923</v>
      </c>
      <c r="N1305" s="6">
        <f>4303</f>
        <v>4303</v>
      </c>
      <c r="O1305" s="4" t="s">
        <v>265</v>
      </c>
      <c r="P1305" s="6">
        <f>1</f>
        <v>1</v>
      </c>
      <c r="Q1305" s="6">
        <f>0</f>
        <v>0</v>
      </c>
      <c r="S1305" s="6">
        <f>0</f>
        <v>0</v>
      </c>
      <c r="T1305" s="6">
        <f>1</f>
        <v>1</v>
      </c>
      <c r="U1305" s="5" t="s">
        <v>245</v>
      </c>
      <c r="V1305" s="4" t="s">
        <v>270</v>
      </c>
      <c r="W1305" s="4" t="s">
        <v>271</v>
      </c>
      <c r="X1305" s="4" t="s">
        <v>273</v>
      </c>
      <c r="Y1305" s="4" t="s">
        <v>241</v>
      </c>
      <c r="AB1305" s="4" t="s">
        <v>241</v>
      </c>
      <c r="AD1305" s="5" t="s">
        <v>241</v>
      </c>
      <c r="AG1305" s="5" t="s">
        <v>246</v>
      </c>
      <c r="AH1305" s="4" t="s">
        <v>241</v>
      </c>
      <c r="AI1305" s="4" t="s">
        <v>247</v>
      </c>
      <c r="AJ1305" s="4" t="s">
        <v>248</v>
      </c>
      <c r="AZ1305" s="4" t="s">
        <v>249</v>
      </c>
      <c r="BA1305" s="4" t="s">
        <v>241</v>
      </c>
      <c r="BB1305" s="4" t="s">
        <v>250</v>
      </c>
      <c r="BC1305" s="4" t="s">
        <v>241</v>
      </c>
      <c r="BD1305" s="4" t="s">
        <v>252</v>
      </c>
      <c r="BE1305" s="4" t="s">
        <v>241</v>
      </c>
      <c r="BI1305" s="4" t="s">
        <v>253</v>
      </c>
      <c r="BJ1305" s="5" t="s">
        <v>246</v>
      </c>
      <c r="BK1305" s="4" t="s">
        <v>254</v>
      </c>
      <c r="BL1305" s="4" t="s">
        <v>255</v>
      </c>
      <c r="BM1305" s="4" t="s">
        <v>241</v>
      </c>
      <c r="BN1305" s="6">
        <f>0</f>
        <v>0</v>
      </c>
      <c r="BO1305" s="6">
        <f>0</f>
        <v>0</v>
      </c>
      <c r="BP1305" s="4" t="s">
        <v>256</v>
      </c>
      <c r="BQ1305" s="4" t="s">
        <v>257</v>
      </c>
      <c r="CE1305" s="4" t="s">
        <v>241</v>
      </c>
      <c r="CF1305" s="4" t="s">
        <v>241</v>
      </c>
      <c r="CJ1305" s="4" t="s">
        <v>276</v>
      </c>
      <c r="CK1305" s="4" t="s">
        <v>259</v>
      </c>
      <c r="CL1305" s="4" t="s">
        <v>241</v>
      </c>
      <c r="CO1305" s="5" t="s">
        <v>260</v>
      </c>
      <c r="CP1305" s="4" t="s">
        <v>241</v>
      </c>
      <c r="CQ1305" s="4" t="s">
        <v>261</v>
      </c>
      <c r="CR1305" s="4" t="s">
        <v>241</v>
      </c>
      <c r="CS1305" s="4" t="s">
        <v>241</v>
      </c>
      <c r="CT1305" s="4">
        <v>0</v>
      </c>
      <c r="CU1305" s="4" t="s">
        <v>262</v>
      </c>
      <c r="CV1305" s="4" t="s">
        <v>263</v>
      </c>
      <c r="CW1305" s="4" t="s">
        <v>263</v>
      </c>
      <c r="CX1305" s="4" t="s">
        <v>264</v>
      </c>
      <c r="DA1305" s="6">
        <f>1</f>
        <v>1</v>
      </c>
      <c r="DC1305" s="4" t="s">
        <v>277</v>
      </c>
      <c r="DD1305" s="4" t="s">
        <v>241</v>
      </c>
      <c r="DF1305" s="4" t="s">
        <v>277</v>
      </c>
      <c r="DG1305" s="6">
        <f>4303</f>
        <v>4303</v>
      </c>
      <c r="DI1305" s="4" t="s">
        <v>241</v>
      </c>
      <c r="DJ1305" s="4" t="s">
        <v>241</v>
      </c>
      <c r="DK1305" s="4" t="s">
        <v>241</v>
      </c>
      <c r="DL1305" s="4" t="s">
        <v>241</v>
      </c>
      <c r="DP1305" s="4" t="s">
        <v>241</v>
      </c>
      <c r="DQ1305" s="4" t="s">
        <v>241</v>
      </c>
      <c r="DR1305" s="4" t="s">
        <v>241</v>
      </c>
      <c r="DS1305" s="4" t="s">
        <v>241</v>
      </c>
      <c r="DV1305" s="4" t="s">
        <v>278</v>
      </c>
      <c r="DW1305" s="4" t="s">
        <v>2924</v>
      </c>
      <c r="HO1305" s="4" t="s">
        <v>267</v>
      </c>
    </row>
    <row r="1306" spans="1:223" ht="19.5" customHeight="1" x14ac:dyDescent="0.4">
      <c r="A1306" s="4">
        <v>1</v>
      </c>
      <c r="B1306" s="4" t="s">
        <v>239</v>
      </c>
      <c r="C1306" s="4">
        <v>2980</v>
      </c>
      <c r="D1306" s="4">
        <v>1</v>
      </c>
      <c r="E1306" s="4">
        <v>1</v>
      </c>
      <c r="F1306" s="4" t="s">
        <v>268</v>
      </c>
      <c r="G1306" s="4" t="s">
        <v>241</v>
      </c>
      <c r="H1306" s="4" t="s">
        <v>241</v>
      </c>
      <c r="I1306" s="4" t="s">
        <v>272</v>
      </c>
      <c r="J1306" s="4" t="s">
        <v>274</v>
      </c>
      <c r="K1306" s="4" t="s">
        <v>251</v>
      </c>
      <c r="L1306" s="4" t="s">
        <v>269</v>
      </c>
      <c r="M1306" s="5" t="s">
        <v>2974</v>
      </c>
      <c r="N1306" s="6">
        <f>5119</f>
        <v>5119</v>
      </c>
      <c r="O1306" s="4" t="s">
        <v>265</v>
      </c>
      <c r="P1306" s="6">
        <f>1</f>
        <v>1</v>
      </c>
      <c r="Q1306" s="6">
        <f>0</f>
        <v>0</v>
      </c>
      <c r="S1306" s="6">
        <f>0</f>
        <v>0</v>
      </c>
      <c r="T1306" s="6">
        <f>1</f>
        <v>1</v>
      </c>
      <c r="U1306" s="5" t="s">
        <v>245</v>
      </c>
      <c r="V1306" s="4" t="s">
        <v>270</v>
      </c>
      <c r="W1306" s="4" t="s">
        <v>271</v>
      </c>
      <c r="X1306" s="4" t="s">
        <v>273</v>
      </c>
      <c r="Y1306" s="4" t="s">
        <v>241</v>
      </c>
      <c r="AB1306" s="4" t="s">
        <v>241</v>
      </c>
      <c r="AD1306" s="5" t="s">
        <v>241</v>
      </c>
      <c r="AG1306" s="5" t="s">
        <v>246</v>
      </c>
      <c r="AH1306" s="4" t="s">
        <v>241</v>
      </c>
      <c r="AI1306" s="4" t="s">
        <v>247</v>
      </c>
      <c r="AJ1306" s="4" t="s">
        <v>248</v>
      </c>
      <c r="AZ1306" s="4" t="s">
        <v>249</v>
      </c>
      <c r="BA1306" s="4" t="s">
        <v>241</v>
      </c>
      <c r="BB1306" s="4" t="s">
        <v>250</v>
      </c>
      <c r="BC1306" s="4" t="s">
        <v>241</v>
      </c>
      <c r="BD1306" s="4" t="s">
        <v>252</v>
      </c>
      <c r="BE1306" s="4" t="s">
        <v>241</v>
      </c>
      <c r="BI1306" s="4" t="s">
        <v>253</v>
      </c>
      <c r="BJ1306" s="5" t="s">
        <v>246</v>
      </c>
      <c r="BK1306" s="4" t="s">
        <v>254</v>
      </c>
      <c r="BL1306" s="4" t="s">
        <v>255</v>
      </c>
      <c r="BM1306" s="4" t="s">
        <v>241</v>
      </c>
      <c r="BN1306" s="6">
        <f>0</f>
        <v>0</v>
      </c>
      <c r="BO1306" s="6">
        <f>0</f>
        <v>0</v>
      </c>
      <c r="BP1306" s="4" t="s">
        <v>256</v>
      </c>
      <c r="BQ1306" s="4" t="s">
        <v>257</v>
      </c>
      <c r="CE1306" s="4" t="s">
        <v>241</v>
      </c>
      <c r="CF1306" s="4" t="s">
        <v>241</v>
      </c>
      <c r="CJ1306" s="4" t="s">
        <v>276</v>
      </c>
      <c r="CK1306" s="4" t="s">
        <v>259</v>
      </c>
      <c r="CL1306" s="4" t="s">
        <v>241</v>
      </c>
      <c r="CO1306" s="5" t="s">
        <v>260</v>
      </c>
      <c r="CP1306" s="4" t="s">
        <v>241</v>
      </c>
      <c r="CQ1306" s="4" t="s">
        <v>261</v>
      </c>
      <c r="CR1306" s="4" t="s">
        <v>241</v>
      </c>
      <c r="CS1306" s="4" t="s">
        <v>241</v>
      </c>
      <c r="CT1306" s="4">
        <v>0</v>
      </c>
      <c r="CU1306" s="4" t="s">
        <v>262</v>
      </c>
      <c r="CV1306" s="4" t="s">
        <v>263</v>
      </c>
      <c r="CW1306" s="4" t="s">
        <v>263</v>
      </c>
      <c r="CX1306" s="4" t="s">
        <v>264</v>
      </c>
      <c r="DA1306" s="6">
        <f>1</f>
        <v>1</v>
      </c>
      <c r="DC1306" s="4" t="s">
        <v>277</v>
      </c>
      <c r="DD1306" s="4" t="s">
        <v>241</v>
      </c>
      <c r="DF1306" s="4" t="s">
        <v>277</v>
      </c>
      <c r="DG1306" s="6">
        <f>5119</f>
        <v>5119</v>
      </c>
      <c r="DI1306" s="4" t="s">
        <v>241</v>
      </c>
      <c r="DJ1306" s="4" t="s">
        <v>241</v>
      </c>
      <c r="DK1306" s="4" t="s">
        <v>241</v>
      </c>
      <c r="DL1306" s="4" t="s">
        <v>241</v>
      </c>
      <c r="DP1306" s="4" t="s">
        <v>241</v>
      </c>
      <c r="DQ1306" s="4" t="s">
        <v>241</v>
      </c>
      <c r="DR1306" s="4" t="s">
        <v>241</v>
      </c>
      <c r="DS1306" s="4" t="s">
        <v>241</v>
      </c>
      <c r="DV1306" s="4" t="s">
        <v>278</v>
      </c>
      <c r="DW1306" s="4" t="s">
        <v>2975</v>
      </c>
      <c r="HO1306" s="4" t="s">
        <v>267</v>
      </c>
    </row>
    <row r="1307" spans="1:223" ht="19.5" customHeight="1" x14ac:dyDescent="0.4">
      <c r="A1307" s="4">
        <v>1</v>
      </c>
      <c r="B1307" s="4" t="s">
        <v>239</v>
      </c>
      <c r="C1307" s="4">
        <v>2981</v>
      </c>
      <c r="D1307" s="4">
        <v>1</v>
      </c>
      <c r="E1307" s="4">
        <v>1</v>
      </c>
      <c r="F1307" s="4" t="s">
        <v>268</v>
      </c>
      <c r="G1307" s="4" t="s">
        <v>241</v>
      </c>
      <c r="H1307" s="4" t="s">
        <v>241</v>
      </c>
      <c r="I1307" s="4" t="s">
        <v>272</v>
      </c>
      <c r="J1307" s="4" t="s">
        <v>274</v>
      </c>
      <c r="K1307" s="4" t="s">
        <v>251</v>
      </c>
      <c r="L1307" s="4" t="s">
        <v>269</v>
      </c>
      <c r="M1307" s="5" t="s">
        <v>2848</v>
      </c>
      <c r="N1307" s="6">
        <f>3520</f>
        <v>3520</v>
      </c>
      <c r="O1307" s="4" t="s">
        <v>265</v>
      </c>
      <c r="P1307" s="6">
        <f>1</f>
        <v>1</v>
      </c>
      <c r="Q1307" s="6">
        <f>0</f>
        <v>0</v>
      </c>
      <c r="S1307" s="6">
        <f>0</f>
        <v>0</v>
      </c>
      <c r="T1307" s="6">
        <f>1</f>
        <v>1</v>
      </c>
      <c r="U1307" s="5" t="s">
        <v>245</v>
      </c>
      <c r="V1307" s="4" t="s">
        <v>270</v>
      </c>
      <c r="W1307" s="4" t="s">
        <v>271</v>
      </c>
      <c r="X1307" s="4" t="s">
        <v>273</v>
      </c>
      <c r="Y1307" s="4" t="s">
        <v>241</v>
      </c>
      <c r="AB1307" s="4" t="s">
        <v>241</v>
      </c>
      <c r="AD1307" s="5" t="s">
        <v>241</v>
      </c>
      <c r="AG1307" s="5" t="s">
        <v>246</v>
      </c>
      <c r="AH1307" s="4" t="s">
        <v>241</v>
      </c>
      <c r="AI1307" s="4" t="s">
        <v>247</v>
      </c>
      <c r="AJ1307" s="4" t="s">
        <v>248</v>
      </c>
      <c r="AZ1307" s="4" t="s">
        <v>249</v>
      </c>
      <c r="BA1307" s="4" t="s">
        <v>241</v>
      </c>
      <c r="BB1307" s="4" t="s">
        <v>250</v>
      </c>
      <c r="BC1307" s="4" t="s">
        <v>241</v>
      </c>
      <c r="BD1307" s="4" t="s">
        <v>252</v>
      </c>
      <c r="BE1307" s="4" t="s">
        <v>241</v>
      </c>
      <c r="BI1307" s="4" t="s">
        <v>253</v>
      </c>
      <c r="BJ1307" s="5" t="s">
        <v>246</v>
      </c>
      <c r="BK1307" s="4" t="s">
        <v>254</v>
      </c>
      <c r="BL1307" s="4" t="s">
        <v>255</v>
      </c>
      <c r="BM1307" s="4" t="s">
        <v>241</v>
      </c>
      <c r="BN1307" s="6">
        <f>0</f>
        <v>0</v>
      </c>
      <c r="BO1307" s="6">
        <f>0</f>
        <v>0</v>
      </c>
      <c r="BP1307" s="4" t="s">
        <v>256</v>
      </c>
      <c r="BQ1307" s="4" t="s">
        <v>257</v>
      </c>
      <c r="CE1307" s="4" t="s">
        <v>241</v>
      </c>
      <c r="CF1307" s="4" t="s">
        <v>241</v>
      </c>
      <c r="CJ1307" s="4" t="s">
        <v>276</v>
      </c>
      <c r="CK1307" s="4" t="s">
        <v>259</v>
      </c>
      <c r="CL1307" s="4" t="s">
        <v>241</v>
      </c>
      <c r="CO1307" s="5" t="s">
        <v>260</v>
      </c>
      <c r="CP1307" s="4" t="s">
        <v>241</v>
      </c>
      <c r="CQ1307" s="4" t="s">
        <v>261</v>
      </c>
      <c r="CR1307" s="4" t="s">
        <v>241</v>
      </c>
      <c r="CS1307" s="4" t="s">
        <v>241</v>
      </c>
      <c r="CT1307" s="4">
        <v>0</v>
      </c>
      <c r="CU1307" s="4" t="s">
        <v>262</v>
      </c>
      <c r="CV1307" s="4" t="s">
        <v>263</v>
      </c>
      <c r="CW1307" s="4" t="s">
        <v>263</v>
      </c>
      <c r="CX1307" s="4" t="s">
        <v>264</v>
      </c>
      <c r="DA1307" s="6">
        <f>1</f>
        <v>1</v>
      </c>
      <c r="DC1307" s="4" t="s">
        <v>277</v>
      </c>
      <c r="DD1307" s="4" t="s">
        <v>241</v>
      </c>
      <c r="DF1307" s="4" t="s">
        <v>277</v>
      </c>
      <c r="DG1307" s="6">
        <f>3520</f>
        <v>3520</v>
      </c>
      <c r="DI1307" s="4" t="s">
        <v>241</v>
      </c>
      <c r="DJ1307" s="4" t="s">
        <v>241</v>
      </c>
      <c r="DK1307" s="4" t="s">
        <v>241</v>
      </c>
      <c r="DL1307" s="4" t="s">
        <v>241</v>
      </c>
      <c r="DP1307" s="4" t="s">
        <v>241</v>
      </c>
      <c r="DQ1307" s="4" t="s">
        <v>241</v>
      </c>
      <c r="DR1307" s="4" t="s">
        <v>241</v>
      </c>
      <c r="DS1307" s="4" t="s">
        <v>241</v>
      </c>
      <c r="DV1307" s="4" t="s">
        <v>278</v>
      </c>
      <c r="DW1307" s="4" t="s">
        <v>2849</v>
      </c>
      <c r="HO1307" s="4" t="s">
        <v>267</v>
      </c>
    </row>
    <row r="1308" spans="1:223" ht="19.5" customHeight="1" x14ac:dyDescent="0.4">
      <c r="A1308" s="4">
        <v>1</v>
      </c>
      <c r="B1308" s="4" t="s">
        <v>239</v>
      </c>
      <c r="C1308" s="4">
        <v>2982</v>
      </c>
      <c r="D1308" s="4">
        <v>1</v>
      </c>
      <c r="E1308" s="4">
        <v>1</v>
      </c>
      <c r="F1308" s="4" t="s">
        <v>268</v>
      </c>
      <c r="G1308" s="4" t="s">
        <v>241</v>
      </c>
      <c r="H1308" s="4" t="s">
        <v>241</v>
      </c>
      <c r="I1308" s="4" t="s">
        <v>272</v>
      </c>
      <c r="J1308" s="4" t="s">
        <v>274</v>
      </c>
      <c r="K1308" s="4" t="s">
        <v>251</v>
      </c>
      <c r="L1308" s="4" t="s">
        <v>269</v>
      </c>
      <c r="M1308" s="5" t="s">
        <v>2911</v>
      </c>
      <c r="N1308" s="6">
        <f>415</f>
        <v>415</v>
      </c>
      <c r="O1308" s="4" t="s">
        <v>265</v>
      </c>
      <c r="P1308" s="6">
        <f>1</f>
        <v>1</v>
      </c>
      <c r="Q1308" s="6">
        <f>0</f>
        <v>0</v>
      </c>
      <c r="S1308" s="6">
        <f>0</f>
        <v>0</v>
      </c>
      <c r="T1308" s="6">
        <f>1</f>
        <v>1</v>
      </c>
      <c r="U1308" s="5" t="s">
        <v>245</v>
      </c>
      <c r="V1308" s="4" t="s">
        <v>270</v>
      </c>
      <c r="W1308" s="4" t="s">
        <v>271</v>
      </c>
      <c r="X1308" s="4" t="s">
        <v>273</v>
      </c>
      <c r="Y1308" s="4" t="s">
        <v>241</v>
      </c>
      <c r="AB1308" s="4" t="s">
        <v>241</v>
      </c>
      <c r="AD1308" s="5" t="s">
        <v>241</v>
      </c>
      <c r="AG1308" s="5" t="s">
        <v>246</v>
      </c>
      <c r="AH1308" s="4" t="s">
        <v>241</v>
      </c>
      <c r="AI1308" s="4" t="s">
        <v>247</v>
      </c>
      <c r="AJ1308" s="4" t="s">
        <v>248</v>
      </c>
      <c r="AZ1308" s="4" t="s">
        <v>249</v>
      </c>
      <c r="BA1308" s="4" t="s">
        <v>241</v>
      </c>
      <c r="BB1308" s="4" t="s">
        <v>250</v>
      </c>
      <c r="BC1308" s="4" t="s">
        <v>241</v>
      </c>
      <c r="BD1308" s="4" t="s">
        <v>252</v>
      </c>
      <c r="BE1308" s="4" t="s">
        <v>241</v>
      </c>
      <c r="BI1308" s="4" t="s">
        <v>253</v>
      </c>
      <c r="BJ1308" s="5" t="s">
        <v>246</v>
      </c>
      <c r="BK1308" s="4" t="s">
        <v>254</v>
      </c>
      <c r="BL1308" s="4" t="s">
        <v>255</v>
      </c>
      <c r="BM1308" s="4" t="s">
        <v>241</v>
      </c>
      <c r="BN1308" s="6">
        <f>0</f>
        <v>0</v>
      </c>
      <c r="BO1308" s="6">
        <f>0</f>
        <v>0</v>
      </c>
      <c r="BP1308" s="4" t="s">
        <v>256</v>
      </c>
      <c r="BQ1308" s="4" t="s">
        <v>257</v>
      </c>
      <c r="CE1308" s="4" t="s">
        <v>241</v>
      </c>
      <c r="CF1308" s="4" t="s">
        <v>241</v>
      </c>
      <c r="CJ1308" s="4" t="s">
        <v>276</v>
      </c>
      <c r="CK1308" s="4" t="s">
        <v>259</v>
      </c>
      <c r="CL1308" s="4" t="s">
        <v>241</v>
      </c>
      <c r="CO1308" s="5" t="s">
        <v>260</v>
      </c>
      <c r="CP1308" s="4" t="s">
        <v>241</v>
      </c>
      <c r="CQ1308" s="4" t="s">
        <v>261</v>
      </c>
      <c r="CR1308" s="4" t="s">
        <v>241</v>
      </c>
      <c r="CS1308" s="4" t="s">
        <v>241</v>
      </c>
      <c r="CT1308" s="4">
        <v>0</v>
      </c>
      <c r="CU1308" s="4" t="s">
        <v>262</v>
      </c>
      <c r="CV1308" s="4" t="s">
        <v>263</v>
      </c>
      <c r="CW1308" s="4" t="s">
        <v>263</v>
      </c>
      <c r="CX1308" s="4" t="s">
        <v>264</v>
      </c>
      <c r="DA1308" s="6">
        <f>1</f>
        <v>1</v>
      </c>
      <c r="DC1308" s="4" t="s">
        <v>277</v>
      </c>
      <c r="DD1308" s="4" t="s">
        <v>241</v>
      </c>
      <c r="DF1308" s="4" t="s">
        <v>277</v>
      </c>
      <c r="DG1308" s="6">
        <f>415</f>
        <v>415</v>
      </c>
      <c r="DI1308" s="4" t="s">
        <v>241</v>
      </c>
      <c r="DJ1308" s="4" t="s">
        <v>241</v>
      </c>
      <c r="DK1308" s="4" t="s">
        <v>241</v>
      </c>
      <c r="DL1308" s="4" t="s">
        <v>241</v>
      </c>
      <c r="DP1308" s="4" t="s">
        <v>241</v>
      </c>
      <c r="DQ1308" s="4" t="s">
        <v>241</v>
      </c>
      <c r="DR1308" s="4" t="s">
        <v>241</v>
      </c>
      <c r="DS1308" s="4" t="s">
        <v>241</v>
      </c>
      <c r="DV1308" s="4" t="s">
        <v>278</v>
      </c>
      <c r="DW1308" s="4" t="s">
        <v>2912</v>
      </c>
      <c r="HO1308" s="4" t="s">
        <v>267</v>
      </c>
    </row>
    <row r="1309" spans="1:223" ht="19.5" customHeight="1" x14ac:dyDescent="0.4">
      <c r="A1309" s="4">
        <v>1</v>
      </c>
      <c r="B1309" s="4" t="s">
        <v>239</v>
      </c>
      <c r="C1309" s="4">
        <v>2983</v>
      </c>
      <c r="D1309" s="4">
        <v>1</v>
      </c>
      <c r="E1309" s="4">
        <v>1</v>
      </c>
      <c r="F1309" s="4" t="s">
        <v>268</v>
      </c>
      <c r="G1309" s="4" t="s">
        <v>241</v>
      </c>
      <c r="H1309" s="4" t="s">
        <v>241</v>
      </c>
      <c r="I1309" s="4" t="s">
        <v>272</v>
      </c>
      <c r="J1309" s="4" t="s">
        <v>274</v>
      </c>
      <c r="K1309" s="4" t="s">
        <v>251</v>
      </c>
      <c r="L1309" s="4" t="s">
        <v>269</v>
      </c>
      <c r="M1309" s="5" t="s">
        <v>2844</v>
      </c>
      <c r="N1309" s="6">
        <f>197</f>
        <v>197</v>
      </c>
      <c r="O1309" s="4" t="s">
        <v>265</v>
      </c>
      <c r="P1309" s="6">
        <f>1</f>
        <v>1</v>
      </c>
      <c r="Q1309" s="6">
        <f>0</f>
        <v>0</v>
      </c>
      <c r="S1309" s="6">
        <f>0</f>
        <v>0</v>
      </c>
      <c r="T1309" s="6">
        <f>1</f>
        <v>1</v>
      </c>
      <c r="U1309" s="5" t="s">
        <v>245</v>
      </c>
      <c r="V1309" s="4" t="s">
        <v>270</v>
      </c>
      <c r="W1309" s="4" t="s">
        <v>271</v>
      </c>
      <c r="X1309" s="4" t="s">
        <v>273</v>
      </c>
      <c r="Y1309" s="4" t="s">
        <v>241</v>
      </c>
      <c r="AB1309" s="4" t="s">
        <v>241</v>
      </c>
      <c r="AD1309" s="5" t="s">
        <v>241</v>
      </c>
      <c r="AG1309" s="5" t="s">
        <v>246</v>
      </c>
      <c r="AH1309" s="4" t="s">
        <v>241</v>
      </c>
      <c r="AI1309" s="4" t="s">
        <v>247</v>
      </c>
      <c r="AJ1309" s="4" t="s">
        <v>248</v>
      </c>
      <c r="AZ1309" s="4" t="s">
        <v>249</v>
      </c>
      <c r="BA1309" s="4" t="s">
        <v>241</v>
      </c>
      <c r="BB1309" s="4" t="s">
        <v>250</v>
      </c>
      <c r="BC1309" s="4" t="s">
        <v>241</v>
      </c>
      <c r="BD1309" s="4" t="s">
        <v>252</v>
      </c>
      <c r="BE1309" s="4" t="s">
        <v>241</v>
      </c>
      <c r="BI1309" s="4" t="s">
        <v>253</v>
      </c>
      <c r="BJ1309" s="5" t="s">
        <v>246</v>
      </c>
      <c r="BK1309" s="4" t="s">
        <v>254</v>
      </c>
      <c r="BL1309" s="4" t="s">
        <v>255</v>
      </c>
      <c r="BM1309" s="4" t="s">
        <v>241</v>
      </c>
      <c r="BN1309" s="6">
        <f>0</f>
        <v>0</v>
      </c>
      <c r="BO1309" s="6">
        <f>0</f>
        <v>0</v>
      </c>
      <c r="BP1309" s="4" t="s">
        <v>256</v>
      </c>
      <c r="BQ1309" s="4" t="s">
        <v>257</v>
      </c>
      <c r="CE1309" s="4" t="s">
        <v>241</v>
      </c>
      <c r="CF1309" s="4" t="s">
        <v>241</v>
      </c>
      <c r="CJ1309" s="4" t="s">
        <v>276</v>
      </c>
      <c r="CK1309" s="4" t="s">
        <v>259</v>
      </c>
      <c r="CL1309" s="4" t="s">
        <v>241</v>
      </c>
      <c r="CO1309" s="5" t="s">
        <v>260</v>
      </c>
      <c r="CP1309" s="4" t="s">
        <v>241</v>
      </c>
      <c r="CQ1309" s="4" t="s">
        <v>261</v>
      </c>
      <c r="CR1309" s="4" t="s">
        <v>241</v>
      </c>
      <c r="CS1309" s="4" t="s">
        <v>241</v>
      </c>
      <c r="CT1309" s="4">
        <v>0</v>
      </c>
      <c r="CU1309" s="4" t="s">
        <v>262</v>
      </c>
      <c r="CV1309" s="4" t="s">
        <v>263</v>
      </c>
      <c r="CW1309" s="4" t="s">
        <v>263</v>
      </c>
      <c r="CX1309" s="4" t="s">
        <v>264</v>
      </c>
      <c r="DA1309" s="6">
        <f>1</f>
        <v>1</v>
      </c>
      <c r="DC1309" s="4" t="s">
        <v>277</v>
      </c>
      <c r="DD1309" s="4" t="s">
        <v>241</v>
      </c>
      <c r="DF1309" s="4" t="s">
        <v>277</v>
      </c>
      <c r="DG1309" s="6">
        <f>197</f>
        <v>197</v>
      </c>
      <c r="DI1309" s="4" t="s">
        <v>241</v>
      </c>
      <c r="DJ1309" s="4" t="s">
        <v>241</v>
      </c>
      <c r="DK1309" s="4" t="s">
        <v>241</v>
      </c>
      <c r="DL1309" s="4" t="s">
        <v>241</v>
      </c>
      <c r="DP1309" s="4" t="s">
        <v>241</v>
      </c>
      <c r="DQ1309" s="4" t="s">
        <v>241</v>
      </c>
      <c r="DR1309" s="4" t="s">
        <v>241</v>
      </c>
      <c r="DS1309" s="4" t="s">
        <v>241</v>
      </c>
      <c r="DV1309" s="4" t="s">
        <v>278</v>
      </c>
      <c r="DW1309" s="4" t="s">
        <v>2845</v>
      </c>
      <c r="HO1309" s="4" t="s">
        <v>267</v>
      </c>
    </row>
    <row r="1310" spans="1:223" ht="19.5" customHeight="1" x14ac:dyDescent="0.4">
      <c r="A1310" s="4">
        <v>1</v>
      </c>
      <c r="B1310" s="4" t="s">
        <v>239</v>
      </c>
      <c r="C1310" s="4">
        <v>2984</v>
      </c>
      <c r="D1310" s="4">
        <v>1</v>
      </c>
      <c r="E1310" s="4">
        <v>1</v>
      </c>
      <c r="F1310" s="4" t="s">
        <v>268</v>
      </c>
      <c r="G1310" s="4" t="s">
        <v>241</v>
      </c>
      <c r="H1310" s="4" t="s">
        <v>241</v>
      </c>
      <c r="I1310" s="4" t="s">
        <v>272</v>
      </c>
      <c r="J1310" s="4" t="s">
        <v>274</v>
      </c>
      <c r="K1310" s="4" t="s">
        <v>251</v>
      </c>
      <c r="L1310" s="4" t="s">
        <v>269</v>
      </c>
      <c r="M1310" s="5" t="s">
        <v>2842</v>
      </c>
      <c r="N1310" s="6">
        <f>701</f>
        <v>701</v>
      </c>
      <c r="O1310" s="4" t="s">
        <v>265</v>
      </c>
      <c r="P1310" s="6">
        <f>1</f>
        <v>1</v>
      </c>
      <c r="Q1310" s="6">
        <f>0</f>
        <v>0</v>
      </c>
      <c r="S1310" s="6">
        <f>0</f>
        <v>0</v>
      </c>
      <c r="T1310" s="6">
        <f>1</f>
        <v>1</v>
      </c>
      <c r="U1310" s="5" t="s">
        <v>245</v>
      </c>
      <c r="V1310" s="4" t="s">
        <v>270</v>
      </c>
      <c r="W1310" s="4" t="s">
        <v>271</v>
      </c>
      <c r="X1310" s="4" t="s">
        <v>273</v>
      </c>
      <c r="Y1310" s="4" t="s">
        <v>241</v>
      </c>
      <c r="AB1310" s="4" t="s">
        <v>241</v>
      </c>
      <c r="AD1310" s="5" t="s">
        <v>241</v>
      </c>
      <c r="AG1310" s="5" t="s">
        <v>246</v>
      </c>
      <c r="AH1310" s="4" t="s">
        <v>241</v>
      </c>
      <c r="AI1310" s="4" t="s">
        <v>247</v>
      </c>
      <c r="AJ1310" s="4" t="s">
        <v>248</v>
      </c>
      <c r="AZ1310" s="4" t="s">
        <v>249</v>
      </c>
      <c r="BA1310" s="4" t="s">
        <v>241</v>
      </c>
      <c r="BB1310" s="4" t="s">
        <v>250</v>
      </c>
      <c r="BC1310" s="4" t="s">
        <v>241</v>
      </c>
      <c r="BD1310" s="4" t="s">
        <v>252</v>
      </c>
      <c r="BE1310" s="4" t="s">
        <v>241</v>
      </c>
      <c r="BI1310" s="4" t="s">
        <v>253</v>
      </c>
      <c r="BJ1310" s="5" t="s">
        <v>246</v>
      </c>
      <c r="BK1310" s="4" t="s">
        <v>254</v>
      </c>
      <c r="BL1310" s="4" t="s">
        <v>255</v>
      </c>
      <c r="BM1310" s="4" t="s">
        <v>241</v>
      </c>
      <c r="BN1310" s="6">
        <f>0</f>
        <v>0</v>
      </c>
      <c r="BO1310" s="6">
        <f>0</f>
        <v>0</v>
      </c>
      <c r="BP1310" s="4" t="s">
        <v>256</v>
      </c>
      <c r="BQ1310" s="4" t="s">
        <v>257</v>
      </c>
      <c r="CE1310" s="4" t="s">
        <v>241</v>
      </c>
      <c r="CF1310" s="4" t="s">
        <v>241</v>
      </c>
      <c r="CJ1310" s="4" t="s">
        <v>276</v>
      </c>
      <c r="CK1310" s="4" t="s">
        <v>259</v>
      </c>
      <c r="CL1310" s="4" t="s">
        <v>241</v>
      </c>
      <c r="CO1310" s="5" t="s">
        <v>260</v>
      </c>
      <c r="CP1310" s="4" t="s">
        <v>241</v>
      </c>
      <c r="CQ1310" s="4" t="s">
        <v>261</v>
      </c>
      <c r="CR1310" s="4" t="s">
        <v>241</v>
      </c>
      <c r="CS1310" s="4" t="s">
        <v>241</v>
      </c>
      <c r="CT1310" s="4">
        <v>0</v>
      </c>
      <c r="CU1310" s="4" t="s">
        <v>262</v>
      </c>
      <c r="CV1310" s="4" t="s">
        <v>263</v>
      </c>
      <c r="CW1310" s="4" t="s">
        <v>263</v>
      </c>
      <c r="CX1310" s="4" t="s">
        <v>264</v>
      </c>
      <c r="DA1310" s="6">
        <f>1</f>
        <v>1</v>
      </c>
      <c r="DC1310" s="4" t="s">
        <v>277</v>
      </c>
      <c r="DD1310" s="4" t="s">
        <v>241</v>
      </c>
      <c r="DF1310" s="4" t="s">
        <v>277</v>
      </c>
      <c r="DG1310" s="6">
        <f>701</f>
        <v>701</v>
      </c>
      <c r="DI1310" s="4" t="s">
        <v>241</v>
      </c>
      <c r="DJ1310" s="4" t="s">
        <v>241</v>
      </c>
      <c r="DK1310" s="4" t="s">
        <v>241</v>
      </c>
      <c r="DL1310" s="4" t="s">
        <v>241</v>
      </c>
      <c r="DP1310" s="4" t="s">
        <v>241</v>
      </c>
      <c r="DQ1310" s="4" t="s">
        <v>241</v>
      </c>
      <c r="DR1310" s="4" t="s">
        <v>241</v>
      </c>
      <c r="DS1310" s="4" t="s">
        <v>241</v>
      </c>
      <c r="DV1310" s="4" t="s">
        <v>278</v>
      </c>
      <c r="DW1310" s="4" t="s">
        <v>2843</v>
      </c>
      <c r="HO1310" s="4" t="s">
        <v>267</v>
      </c>
    </row>
    <row r="1311" spans="1:223" ht="19.5" customHeight="1" x14ac:dyDescent="0.4">
      <c r="A1311" s="4">
        <v>1</v>
      </c>
      <c r="B1311" s="4" t="s">
        <v>239</v>
      </c>
      <c r="C1311" s="4">
        <v>2985</v>
      </c>
      <c r="D1311" s="4">
        <v>1</v>
      </c>
      <c r="E1311" s="4">
        <v>1</v>
      </c>
      <c r="F1311" s="4" t="s">
        <v>268</v>
      </c>
      <c r="G1311" s="4" t="s">
        <v>241</v>
      </c>
      <c r="H1311" s="4" t="s">
        <v>241</v>
      </c>
      <c r="I1311" s="4" t="s">
        <v>272</v>
      </c>
      <c r="J1311" s="4" t="s">
        <v>274</v>
      </c>
      <c r="K1311" s="4" t="s">
        <v>251</v>
      </c>
      <c r="L1311" s="4" t="s">
        <v>269</v>
      </c>
      <c r="M1311" s="5" t="s">
        <v>2123</v>
      </c>
      <c r="N1311" s="6">
        <f>4109</f>
        <v>4109</v>
      </c>
      <c r="O1311" s="4" t="s">
        <v>265</v>
      </c>
      <c r="P1311" s="6">
        <f>1</f>
        <v>1</v>
      </c>
      <c r="Q1311" s="6">
        <f>0</f>
        <v>0</v>
      </c>
      <c r="S1311" s="6">
        <f>0</f>
        <v>0</v>
      </c>
      <c r="T1311" s="6">
        <f>1</f>
        <v>1</v>
      </c>
      <c r="U1311" s="5" t="s">
        <v>245</v>
      </c>
      <c r="V1311" s="4" t="s">
        <v>270</v>
      </c>
      <c r="W1311" s="4" t="s">
        <v>271</v>
      </c>
      <c r="X1311" s="4" t="s">
        <v>273</v>
      </c>
      <c r="Y1311" s="4" t="s">
        <v>241</v>
      </c>
      <c r="AB1311" s="4" t="s">
        <v>241</v>
      </c>
      <c r="AD1311" s="5" t="s">
        <v>241</v>
      </c>
      <c r="AG1311" s="5" t="s">
        <v>246</v>
      </c>
      <c r="AH1311" s="4" t="s">
        <v>241</v>
      </c>
      <c r="AI1311" s="4" t="s">
        <v>247</v>
      </c>
      <c r="AJ1311" s="4" t="s">
        <v>248</v>
      </c>
      <c r="AZ1311" s="4" t="s">
        <v>249</v>
      </c>
      <c r="BA1311" s="4" t="s">
        <v>241</v>
      </c>
      <c r="BB1311" s="4" t="s">
        <v>250</v>
      </c>
      <c r="BC1311" s="4" t="s">
        <v>241</v>
      </c>
      <c r="BD1311" s="4" t="s">
        <v>252</v>
      </c>
      <c r="BE1311" s="4" t="s">
        <v>241</v>
      </c>
      <c r="BI1311" s="4" t="s">
        <v>253</v>
      </c>
      <c r="BJ1311" s="5" t="s">
        <v>246</v>
      </c>
      <c r="BK1311" s="4" t="s">
        <v>254</v>
      </c>
      <c r="BL1311" s="4" t="s">
        <v>255</v>
      </c>
      <c r="BM1311" s="4" t="s">
        <v>241</v>
      </c>
      <c r="BN1311" s="6">
        <f>0</f>
        <v>0</v>
      </c>
      <c r="BO1311" s="6">
        <f>0</f>
        <v>0</v>
      </c>
      <c r="BP1311" s="4" t="s">
        <v>256</v>
      </c>
      <c r="BQ1311" s="4" t="s">
        <v>257</v>
      </c>
      <c r="CE1311" s="4" t="s">
        <v>241</v>
      </c>
      <c r="CF1311" s="4" t="s">
        <v>241</v>
      </c>
      <c r="CJ1311" s="4" t="s">
        <v>276</v>
      </c>
      <c r="CK1311" s="4" t="s">
        <v>259</v>
      </c>
      <c r="CL1311" s="4" t="s">
        <v>241</v>
      </c>
      <c r="CO1311" s="5" t="s">
        <v>260</v>
      </c>
      <c r="CP1311" s="4" t="s">
        <v>241</v>
      </c>
      <c r="CQ1311" s="4" t="s">
        <v>261</v>
      </c>
      <c r="CR1311" s="4" t="s">
        <v>241</v>
      </c>
      <c r="CS1311" s="4" t="s">
        <v>241</v>
      </c>
      <c r="CT1311" s="4">
        <v>0</v>
      </c>
      <c r="CU1311" s="4" t="s">
        <v>262</v>
      </c>
      <c r="CV1311" s="4" t="s">
        <v>263</v>
      </c>
      <c r="CW1311" s="4" t="s">
        <v>263</v>
      </c>
      <c r="CX1311" s="4" t="s">
        <v>264</v>
      </c>
      <c r="DA1311" s="6">
        <f>1</f>
        <v>1</v>
      </c>
      <c r="DC1311" s="4" t="s">
        <v>277</v>
      </c>
      <c r="DD1311" s="4" t="s">
        <v>241</v>
      </c>
      <c r="DF1311" s="4" t="s">
        <v>277</v>
      </c>
      <c r="DG1311" s="6">
        <f>4109</f>
        <v>4109</v>
      </c>
      <c r="DI1311" s="4" t="s">
        <v>241</v>
      </c>
      <c r="DJ1311" s="4" t="s">
        <v>241</v>
      </c>
      <c r="DK1311" s="4" t="s">
        <v>241</v>
      </c>
      <c r="DL1311" s="4" t="s">
        <v>241</v>
      </c>
      <c r="DP1311" s="4" t="s">
        <v>241</v>
      </c>
      <c r="DQ1311" s="4" t="s">
        <v>241</v>
      </c>
      <c r="DR1311" s="4" t="s">
        <v>241</v>
      </c>
      <c r="DS1311" s="4" t="s">
        <v>241</v>
      </c>
      <c r="DV1311" s="4" t="s">
        <v>278</v>
      </c>
      <c r="DW1311" s="4" t="s">
        <v>2124</v>
      </c>
      <c r="HO1311" s="4" t="s">
        <v>267</v>
      </c>
    </row>
    <row r="1312" spans="1:223" ht="19.5" customHeight="1" x14ac:dyDescent="0.4">
      <c r="A1312" s="4">
        <v>1</v>
      </c>
      <c r="B1312" s="4" t="s">
        <v>239</v>
      </c>
      <c r="C1312" s="4">
        <v>2986</v>
      </c>
      <c r="D1312" s="4">
        <v>1</v>
      </c>
      <c r="E1312" s="4">
        <v>1</v>
      </c>
      <c r="F1312" s="4" t="s">
        <v>268</v>
      </c>
      <c r="G1312" s="4" t="s">
        <v>241</v>
      </c>
      <c r="H1312" s="4" t="s">
        <v>241</v>
      </c>
      <c r="I1312" s="4" t="s">
        <v>272</v>
      </c>
      <c r="J1312" s="4" t="s">
        <v>274</v>
      </c>
      <c r="K1312" s="4" t="s">
        <v>251</v>
      </c>
      <c r="L1312" s="4" t="s">
        <v>269</v>
      </c>
      <c r="M1312" s="5" t="s">
        <v>2915</v>
      </c>
      <c r="N1312" s="6">
        <f>505</f>
        <v>505</v>
      </c>
      <c r="O1312" s="4" t="s">
        <v>265</v>
      </c>
      <c r="P1312" s="6">
        <f>1</f>
        <v>1</v>
      </c>
      <c r="Q1312" s="6">
        <f>0</f>
        <v>0</v>
      </c>
      <c r="S1312" s="6">
        <f>0</f>
        <v>0</v>
      </c>
      <c r="T1312" s="6">
        <f>1</f>
        <v>1</v>
      </c>
      <c r="U1312" s="5" t="s">
        <v>245</v>
      </c>
      <c r="V1312" s="4" t="s">
        <v>270</v>
      </c>
      <c r="W1312" s="4" t="s">
        <v>271</v>
      </c>
      <c r="X1312" s="4" t="s">
        <v>273</v>
      </c>
      <c r="Y1312" s="4" t="s">
        <v>241</v>
      </c>
      <c r="AB1312" s="4" t="s">
        <v>241</v>
      </c>
      <c r="AD1312" s="5" t="s">
        <v>241</v>
      </c>
      <c r="AG1312" s="5" t="s">
        <v>246</v>
      </c>
      <c r="AH1312" s="4" t="s">
        <v>241</v>
      </c>
      <c r="AI1312" s="4" t="s">
        <v>247</v>
      </c>
      <c r="AJ1312" s="4" t="s">
        <v>248</v>
      </c>
      <c r="AZ1312" s="4" t="s">
        <v>249</v>
      </c>
      <c r="BA1312" s="4" t="s">
        <v>241</v>
      </c>
      <c r="BB1312" s="4" t="s">
        <v>250</v>
      </c>
      <c r="BC1312" s="4" t="s">
        <v>241</v>
      </c>
      <c r="BD1312" s="4" t="s">
        <v>252</v>
      </c>
      <c r="BE1312" s="4" t="s">
        <v>241</v>
      </c>
      <c r="BI1312" s="4" t="s">
        <v>253</v>
      </c>
      <c r="BJ1312" s="5" t="s">
        <v>246</v>
      </c>
      <c r="BK1312" s="4" t="s">
        <v>254</v>
      </c>
      <c r="BL1312" s="4" t="s">
        <v>255</v>
      </c>
      <c r="BM1312" s="4" t="s">
        <v>241</v>
      </c>
      <c r="BN1312" s="6">
        <f>0</f>
        <v>0</v>
      </c>
      <c r="BO1312" s="6">
        <f>0</f>
        <v>0</v>
      </c>
      <c r="BP1312" s="4" t="s">
        <v>256</v>
      </c>
      <c r="BQ1312" s="4" t="s">
        <v>257</v>
      </c>
      <c r="CE1312" s="4" t="s">
        <v>241</v>
      </c>
      <c r="CF1312" s="4" t="s">
        <v>241</v>
      </c>
      <c r="CJ1312" s="4" t="s">
        <v>276</v>
      </c>
      <c r="CK1312" s="4" t="s">
        <v>259</v>
      </c>
      <c r="CL1312" s="4" t="s">
        <v>241</v>
      </c>
      <c r="CO1312" s="5" t="s">
        <v>260</v>
      </c>
      <c r="CP1312" s="4" t="s">
        <v>241</v>
      </c>
      <c r="CQ1312" s="4" t="s">
        <v>261</v>
      </c>
      <c r="CR1312" s="4" t="s">
        <v>241</v>
      </c>
      <c r="CS1312" s="4" t="s">
        <v>241</v>
      </c>
      <c r="CT1312" s="4">
        <v>0</v>
      </c>
      <c r="CU1312" s="4" t="s">
        <v>262</v>
      </c>
      <c r="CV1312" s="4" t="s">
        <v>263</v>
      </c>
      <c r="CW1312" s="4" t="s">
        <v>263</v>
      </c>
      <c r="CX1312" s="4" t="s">
        <v>264</v>
      </c>
      <c r="DA1312" s="6">
        <f>1</f>
        <v>1</v>
      </c>
      <c r="DC1312" s="4" t="s">
        <v>277</v>
      </c>
      <c r="DD1312" s="4" t="s">
        <v>241</v>
      </c>
      <c r="DF1312" s="4" t="s">
        <v>277</v>
      </c>
      <c r="DG1312" s="6">
        <f>505</f>
        <v>505</v>
      </c>
      <c r="DI1312" s="4" t="s">
        <v>241</v>
      </c>
      <c r="DJ1312" s="4" t="s">
        <v>241</v>
      </c>
      <c r="DK1312" s="4" t="s">
        <v>241</v>
      </c>
      <c r="DL1312" s="4" t="s">
        <v>241</v>
      </c>
      <c r="DP1312" s="4" t="s">
        <v>241</v>
      </c>
      <c r="DQ1312" s="4" t="s">
        <v>241</v>
      </c>
      <c r="DR1312" s="4" t="s">
        <v>241</v>
      </c>
      <c r="DS1312" s="4" t="s">
        <v>241</v>
      </c>
      <c r="DV1312" s="4" t="s">
        <v>278</v>
      </c>
      <c r="DW1312" s="4" t="s">
        <v>2916</v>
      </c>
      <c r="HO1312" s="4" t="s">
        <v>267</v>
      </c>
    </row>
    <row r="1313" spans="1:223" ht="19.5" customHeight="1" x14ac:dyDescent="0.4">
      <c r="A1313" s="4">
        <v>1</v>
      </c>
      <c r="B1313" s="4" t="s">
        <v>239</v>
      </c>
      <c r="C1313" s="4">
        <v>2987</v>
      </c>
      <c r="D1313" s="4">
        <v>1</v>
      </c>
      <c r="E1313" s="4">
        <v>1</v>
      </c>
      <c r="F1313" s="4" t="s">
        <v>268</v>
      </c>
      <c r="G1313" s="4" t="s">
        <v>241</v>
      </c>
      <c r="H1313" s="4" t="s">
        <v>241</v>
      </c>
      <c r="I1313" s="4" t="s">
        <v>272</v>
      </c>
      <c r="J1313" s="4" t="s">
        <v>274</v>
      </c>
      <c r="K1313" s="4" t="s">
        <v>251</v>
      </c>
      <c r="L1313" s="4" t="s">
        <v>269</v>
      </c>
      <c r="M1313" s="5" t="s">
        <v>2913</v>
      </c>
      <c r="N1313" s="6">
        <f>2388</f>
        <v>2388</v>
      </c>
      <c r="O1313" s="4" t="s">
        <v>265</v>
      </c>
      <c r="P1313" s="6">
        <f>1</f>
        <v>1</v>
      </c>
      <c r="Q1313" s="6">
        <f>0</f>
        <v>0</v>
      </c>
      <c r="S1313" s="6">
        <f>0</f>
        <v>0</v>
      </c>
      <c r="T1313" s="6">
        <f>1</f>
        <v>1</v>
      </c>
      <c r="U1313" s="5" t="s">
        <v>245</v>
      </c>
      <c r="V1313" s="4" t="s">
        <v>270</v>
      </c>
      <c r="W1313" s="4" t="s">
        <v>271</v>
      </c>
      <c r="X1313" s="4" t="s">
        <v>273</v>
      </c>
      <c r="Y1313" s="4" t="s">
        <v>241</v>
      </c>
      <c r="AB1313" s="4" t="s">
        <v>241</v>
      </c>
      <c r="AD1313" s="5" t="s">
        <v>241</v>
      </c>
      <c r="AG1313" s="5" t="s">
        <v>246</v>
      </c>
      <c r="AH1313" s="4" t="s">
        <v>241</v>
      </c>
      <c r="AI1313" s="4" t="s">
        <v>247</v>
      </c>
      <c r="AJ1313" s="4" t="s">
        <v>248</v>
      </c>
      <c r="AZ1313" s="4" t="s">
        <v>249</v>
      </c>
      <c r="BA1313" s="4" t="s">
        <v>241</v>
      </c>
      <c r="BB1313" s="4" t="s">
        <v>250</v>
      </c>
      <c r="BC1313" s="4" t="s">
        <v>241</v>
      </c>
      <c r="BD1313" s="4" t="s">
        <v>252</v>
      </c>
      <c r="BE1313" s="4" t="s">
        <v>241</v>
      </c>
      <c r="BI1313" s="4" t="s">
        <v>253</v>
      </c>
      <c r="BJ1313" s="5" t="s">
        <v>246</v>
      </c>
      <c r="BK1313" s="4" t="s">
        <v>254</v>
      </c>
      <c r="BL1313" s="4" t="s">
        <v>255</v>
      </c>
      <c r="BM1313" s="4" t="s">
        <v>241</v>
      </c>
      <c r="BN1313" s="6">
        <f>0</f>
        <v>0</v>
      </c>
      <c r="BO1313" s="6">
        <f>0</f>
        <v>0</v>
      </c>
      <c r="BP1313" s="4" t="s">
        <v>256</v>
      </c>
      <c r="BQ1313" s="4" t="s">
        <v>257</v>
      </c>
      <c r="CE1313" s="4" t="s">
        <v>241</v>
      </c>
      <c r="CF1313" s="4" t="s">
        <v>241</v>
      </c>
      <c r="CJ1313" s="4" t="s">
        <v>276</v>
      </c>
      <c r="CK1313" s="4" t="s">
        <v>259</v>
      </c>
      <c r="CL1313" s="4" t="s">
        <v>241</v>
      </c>
      <c r="CO1313" s="5" t="s">
        <v>260</v>
      </c>
      <c r="CP1313" s="4" t="s">
        <v>241</v>
      </c>
      <c r="CQ1313" s="4" t="s">
        <v>261</v>
      </c>
      <c r="CR1313" s="4" t="s">
        <v>241</v>
      </c>
      <c r="CS1313" s="4" t="s">
        <v>241</v>
      </c>
      <c r="CT1313" s="4">
        <v>0</v>
      </c>
      <c r="CU1313" s="4" t="s">
        <v>262</v>
      </c>
      <c r="CV1313" s="4" t="s">
        <v>263</v>
      </c>
      <c r="CW1313" s="4" t="s">
        <v>263</v>
      </c>
      <c r="CX1313" s="4" t="s">
        <v>264</v>
      </c>
      <c r="DA1313" s="6">
        <f>1</f>
        <v>1</v>
      </c>
      <c r="DC1313" s="4" t="s">
        <v>277</v>
      </c>
      <c r="DD1313" s="4" t="s">
        <v>241</v>
      </c>
      <c r="DF1313" s="4" t="s">
        <v>277</v>
      </c>
      <c r="DG1313" s="6">
        <f>2388</f>
        <v>2388</v>
      </c>
      <c r="DI1313" s="4" t="s">
        <v>241</v>
      </c>
      <c r="DJ1313" s="4" t="s">
        <v>241</v>
      </c>
      <c r="DK1313" s="4" t="s">
        <v>241</v>
      </c>
      <c r="DL1313" s="4" t="s">
        <v>241</v>
      </c>
      <c r="DP1313" s="4" t="s">
        <v>241</v>
      </c>
      <c r="DQ1313" s="4" t="s">
        <v>241</v>
      </c>
      <c r="DR1313" s="4" t="s">
        <v>241</v>
      </c>
      <c r="DS1313" s="4" t="s">
        <v>241</v>
      </c>
      <c r="DV1313" s="4" t="s">
        <v>278</v>
      </c>
      <c r="DW1313" s="4" t="s">
        <v>2914</v>
      </c>
      <c r="HO1313" s="4" t="s">
        <v>267</v>
      </c>
    </row>
    <row r="1314" spans="1:223" ht="19.5" customHeight="1" x14ac:dyDescent="0.4">
      <c r="A1314" s="4">
        <v>1</v>
      </c>
      <c r="B1314" s="4" t="s">
        <v>239</v>
      </c>
      <c r="C1314" s="4">
        <v>2988</v>
      </c>
      <c r="D1314" s="4">
        <v>1</v>
      </c>
      <c r="E1314" s="4">
        <v>1</v>
      </c>
      <c r="F1314" s="4" t="s">
        <v>268</v>
      </c>
      <c r="G1314" s="4" t="s">
        <v>241</v>
      </c>
      <c r="H1314" s="4" t="s">
        <v>241</v>
      </c>
      <c r="I1314" s="4" t="s">
        <v>272</v>
      </c>
      <c r="J1314" s="4" t="s">
        <v>274</v>
      </c>
      <c r="K1314" s="4" t="s">
        <v>251</v>
      </c>
      <c r="L1314" s="4" t="s">
        <v>269</v>
      </c>
      <c r="M1314" s="5" t="s">
        <v>2907</v>
      </c>
      <c r="N1314" s="6">
        <f>1478</f>
        <v>1478</v>
      </c>
      <c r="O1314" s="4" t="s">
        <v>265</v>
      </c>
      <c r="P1314" s="6">
        <f>1</f>
        <v>1</v>
      </c>
      <c r="Q1314" s="6">
        <f>0</f>
        <v>0</v>
      </c>
      <c r="S1314" s="6">
        <f>0</f>
        <v>0</v>
      </c>
      <c r="T1314" s="6">
        <f>1</f>
        <v>1</v>
      </c>
      <c r="U1314" s="5" t="s">
        <v>245</v>
      </c>
      <c r="V1314" s="4" t="s">
        <v>270</v>
      </c>
      <c r="W1314" s="4" t="s">
        <v>271</v>
      </c>
      <c r="X1314" s="4" t="s">
        <v>273</v>
      </c>
      <c r="Y1314" s="4" t="s">
        <v>241</v>
      </c>
      <c r="AB1314" s="4" t="s">
        <v>241</v>
      </c>
      <c r="AD1314" s="5" t="s">
        <v>241</v>
      </c>
      <c r="AG1314" s="5" t="s">
        <v>246</v>
      </c>
      <c r="AH1314" s="4" t="s">
        <v>241</v>
      </c>
      <c r="AI1314" s="4" t="s">
        <v>247</v>
      </c>
      <c r="AJ1314" s="4" t="s">
        <v>248</v>
      </c>
      <c r="AZ1314" s="4" t="s">
        <v>249</v>
      </c>
      <c r="BA1314" s="4" t="s">
        <v>241</v>
      </c>
      <c r="BB1314" s="4" t="s">
        <v>250</v>
      </c>
      <c r="BC1314" s="4" t="s">
        <v>241</v>
      </c>
      <c r="BD1314" s="4" t="s">
        <v>252</v>
      </c>
      <c r="BE1314" s="4" t="s">
        <v>241</v>
      </c>
      <c r="BI1314" s="4" t="s">
        <v>253</v>
      </c>
      <c r="BJ1314" s="5" t="s">
        <v>246</v>
      </c>
      <c r="BK1314" s="4" t="s">
        <v>254</v>
      </c>
      <c r="BL1314" s="4" t="s">
        <v>255</v>
      </c>
      <c r="BM1314" s="4" t="s">
        <v>241</v>
      </c>
      <c r="BN1314" s="6">
        <f>0</f>
        <v>0</v>
      </c>
      <c r="BO1314" s="6">
        <f>0</f>
        <v>0</v>
      </c>
      <c r="BP1314" s="4" t="s">
        <v>256</v>
      </c>
      <c r="BQ1314" s="4" t="s">
        <v>257</v>
      </c>
      <c r="CE1314" s="4" t="s">
        <v>241</v>
      </c>
      <c r="CF1314" s="4" t="s">
        <v>241</v>
      </c>
      <c r="CJ1314" s="4" t="s">
        <v>276</v>
      </c>
      <c r="CK1314" s="4" t="s">
        <v>259</v>
      </c>
      <c r="CL1314" s="4" t="s">
        <v>241</v>
      </c>
      <c r="CO1314" s="5" t="s">
        <v>260</v>
      </c>
      <c r="CP1314" s="4" t="s">
        <v>241</v>
      </c>
      <c r="CQ1314" s="4" t="s">
        <v>261</v>
      </c>
      <c r="CR1314" s="4" t="s">
        <v>241</v>
      </c>
      <c r="CS1314" s="4" t="s">
        <v>241</v>
      </c>
      <c r="CT1314" s="4">
        <v>0</v>
      </c>
      <c r="CU1314" s="4" t="s">
        <v>262</v>
      </c>
      <c r="CV1314" s="4" t="s">
        <v>263</v>
      </c>
      <c r="CW1314" s="4" t="s">
        <v>263</v>
      </c>
      <c r="CX1314" s="4" t="s">
        <v>264</v>
      </c>
      <c r="DA1314" s="6">
        <f>1</f>
        <v>1</v>
      </c>
      <c r="DC1314" s="4" t="s">
        <v>277</v>
      </c>
      <c r="DD1314" s="4" t="s">
        <v>241</v>
      </c>
      <c r="DF1314" s="4" t="s">
        <v>277</v>
      </c>
      <c r="DG1314" s="6">
        <f>1478</f>
        <v>1478</v>
      </c>
      <c r="DI1314" s="4" t="s">
        <v>241</v>
      </c>
      <c r="DJ1314" s="4" t="s">
        <v>241</v>
      </c>
      <c r="DK1314" s="4" t="s">
        <v>241</v>
      </c>
      <c r="DL1314" s="4" t="s">
        <v>241</v>
      </c>
      <c r="DP1314" s="4" t="s">
        <v>241</v>
      </c>
      <c r="DQ1314" s="4" t="s">
        <v>241</v>
      </c>
      <c r="DR1314" s="4" t="s">
        <v>241</v>
      </c>
      <c r="DS1314" s="4" t="s">
        <v>241</v>
      </c>
      <c r="DV1314" s="4" t="s">
        <v>278</v>
      </c>
      <c r="DW1314" s="4" t="s">
        <v>2908</v>
      </c>
      <c r="HO1314" s="4" t="s">
        <v>267</v>
      </c>
    </row>
    <row r="1315" spans="1:223" ht="19.5" customHeight="1" x14ac:dyDescent="0.4">
      <c r="A1315" s="4">
        <v>1</v>
      </c>
      <c r="B1315" s="4" t="s">
        <v>239</v>
      </c>
      <c r="C1315" s="4">
        <v>2989</v>
      </c>
      <c r="D1315" s="4">
        <v>1</v>
      </c>
      <c r="E1315" s="4">
        <v>1</v>
      </c>
      <c r="F1315" s="4" t="s">
        <v>268</v>
      </c>
      <c r="G1315" s="4" t="s">
        <v>241</v>
      </c>
      <c r="H1315" s="4" t="s">
        <v>241</v>
      </c>
      <c r="I1315" s="4" t="s">
        <v>272</v>
      </c>
      <c r="J1315" s="4" t="s">
        <v>274</v>
      </c>
      <c r="K1315" s="4" t="s">
        <v>251</v>
      </c>
      <c r="L1315" s="4" t="s">
        <v>269</v>
      </c>
      <c r="M1315" s="5" t="s">
        <v>2905</v>
      </c>
      <c r="N1315" s="6">
        <f>5594</f>
        <v>5594</v>
      </c>
      <c r="O1315" s="4" t="s">
        <v>265</v>
      </c>
      <c r="P1315" s="6">
        <f>1</f>
        <v>1</v>
      </c>
      <c r="Q1315" s="6">
        <f>0</f>
        <v>0</v>
      </c>
      <c r="S1315" s="6">
        <f>0</f>
        <v>0</v>
      </c>
      <c r="T1315" s="6">
        <f>1</f>
        <v>1</v>
      </c>
      <c r="U1315" s="5" t="s">
        <v>245</v>
      </c>
      <c r="V1315" s="4" t="s">
        <v>270</v>
      </c>
      <c r="W1315" s="4" t="s">
        <v>271</v>
      </c>
      <c r="X1315" s="4" t="s">
        <v>273</v>
      </c>
      <c r="Y1315" s="4" t="s">
        <v>241</v>
      </c>
      <c r="AB1315" s="4" t="s">
        <v>241</v>
      </c>
      <c r="AD1315" s="5" t="s">
        <v>241</v>
      </c>
      <c r="AG1315" s="5" t="s">
        <v>246</v>
      </c>
      <c r="AH1315" s="4" t="s">
        <v>241</v>
      </c>
      <c r="AI1315" s="4" t="s">
        <v>247</v>
      </c>
      <c r="AJ1315" s="4" t="s">
        <v>248</v>
      </c>
      <c r="AZ1315" s="4" t="s">
        <v>249</v>
      </c>
      <c r="BA1315" s="4" t="s">
        <v>241</v>
      </c>
      <c r="BB1315" s="4" t="s">
        <v>250</v>
      </c>
      <c r="BC1315" s="4" t="s">
        <v>241</v>
      </c>
      <c r="BD1315" s="4" t="s">
        <v>252</v>
      </c>
      <c r="BE1315" s="4" t="s">
        <v>241</v>
      </c>
      <c r="BI1315" s="4" t="s">
        <v>253</v>
      </c>
      <c r="BJ1315" s="5" t="s">
        <v>246</v>
      </c>
      <c r="BK1315" s="4" t="s">
        <v>254</v>
      </c>
      <c r="BL1315" s="4" t="s">
        <v>255</v>
      </c>
      <c r="BM1315" s="4" t="s">
        <v>241</v>
      </c>
      <c r="BN1315" s="6">
        <f>0</f>
        <v>0</v>
      </c>
      <c r="BO1315" s="6">
        <f>0</f>
        <v>0</v>
      </c>
      <c r="BP1315" s="4" t="s">
        <v>256</v>
      </c>
      <c r="BQ1315" s="4" t="s">
        <v>257</v>
      </c>
      <c r="CE1315" s="4" t="s">
        <v>241</v>
      </c>
      <c r="CF1315" s="4" t="s">
        <v>241</v>
      </c>
      <c r="CJ1315" s="4" t="s">
        <v>276</v>
      </c>
      <c r="CK1315" s="4" t="s">
        <v>259</v>
      </c>
      <c r="CL1315" s="4" t="s">
        <v>241</v>
      </c>
      <c r="CO1315" s="5" t="s">
        <v>260</v>
      </c>
      <c r="CP1315" s="4" t="s">
        <v>241</v>
      </c>
      <c r="CQ1315" s="4" t="s">
        <v>261</v>
      </c>
      <c r="CR1315" s="4" t="s">
        <v>241</v>
      </c>
      <c r="CS1315" s="4" t="s">
        <v>241</v>
      </c>
      <c r="CT1315" s="4">
        <v>0</v>
      </c>
      <c r="CU1315" s="4" t="s">
        <v>262</v>
      </c>
      <c r="CV1315" s="4" t="s">
        <v>263</v>
      </c>
      <c r="CW1315" s="4" t="s">
        <v>263</v>
      </c>
      <c r="CX1315" s="4" t="s">
        <v>264</v>
      </c>
      <c r="DA1315" s="6">
        <f>1</f>
        <v>1</v>
      </c>
      <c r="DC1315" s="4" t="s">
        <v>277</v>
      </c>
      <c r="DD1315" s="4" t="s">
        <v>241</v>
      </c>
      <c r="DF1315" s="4" t="s">
        <v>277</v>
      </c>
      <c r="DG1315" s="6">
        <f>5594</f>
        <v>5594</v>
      </c>
      <c r="DI1315" s="4" t="s">
        <v>241</v>
      </c>
      <c r="DJ1315" s="4" t="s">
        <v>241</v>
      </c>
      <c r="DK1315" s="4" t="s">
        <v>241</v>
      </c>
      <c r="DL1315" s="4" t="s">
        <v>241</v>
      </c>
      <c r="DP1315" s="4" t="s">
        <v>241</v>
      </c>
      <c r="DQ1315" s="4" t="s">
        <v>241</v>
      </c>
      <c r="DR1315" s="4" t="s">
        <v>241</v>
      </c>
      <c r="DS1315" s="4" t="s">
        <v>241</v>
      </c>
      <c r="DV1315" s="4" t="s">
        <v>278</v>
      </c>
      <c r="DW1315" s="4" t="s">
        <v>2906</v>
      </c>
      <c r="HO1315" s="4" t="s">
        <v>267</v>
      </c>
    </row>
    <row r="1316" spans="1:223" ht="19.5" customHeight="1" x14ac:dyDescent="0.4">
      <c r="A1316" s="4">
        <v>1</v>
      </c>
      <c r="B1316" s="4" t="s">
        <v>239</v>
      </c>
      <c r="C1316" s="4">
        <v>2990</v>
      </c>
      <c r="D1316" s="4">
        <v>1</v>
      </c>
      <c r="E1316" s="4">
        <v>1</v>
      </c>
      <c r="F1316" s="4" t="s">
        <v>268</v>
      </c>
      <c r="G1316" s="4" t="s">
        <v>241</v>
      </c>
      <c r="H1316" s="4" t="s">
        <v>241</v>
      </c>
      <c r="I1316" s="4" t="s">
        <v>272</v>
      </c>
      <c r="J1316" s="4" t="s">
        <v>274</v>
      </c>
      <c r="K1316" s="4" t="s">
        <v>251</v>
      </c>
      <c r="L1316" s="4" t="s">
        <v>269</v>
      </c>
      <c r="M1316" s="5" t="s">
        <v>2904</v>
      </c>
      <c r="N1316" s="6">
        <f>106</f>
        <v>106</v>
      </c>
      <c r="O1316" s="4" t="s">
        <v>265</v>
      </c>
      <c r="P1316" s="6">
        <f>1</f>
        <v>1</v>
      </c>
      <c r="Q1316" s="6">
        <f>0</f>
        <v>0</v>
      </c>
      <c r="S1316" s="6">
        <f>0</f>
        <v>0</v>
      </c>
      <c r="T1316" s="6">
        <f>1</f>
        <v>1</v>
      </c>
      <c r="U1316" s="5" t="s">
        <v>245</v>
      </c>
      <c r="V1316" s="4" t="s">
        <v>270</v>
      </c>
      <c r="W1316" s="4" t="s">
        <v>271</v>
      </c>
      <c r="X1316" s="4" t="s">
        <v>273</v>
      </c>
      <c r="Y1316" s="4" t="s">
        <v>241</v>
      </c>
      <c r="AB1316" s="4" t="s">
        <v>241</v>
      </c>
      <c r="AD1316" s="5" t="s">
        <v>241</v>
      </c>
      <c r="AG1316" s="5" t="s">
        <v>246</v>
      </c>
      <c r="AH1316" s="4" t="s">
        <v>241</v>
      </c>
      <c r="AI1316" s="4" t="s">
        <v>247</v>
      </c>
      <c r="AJ1316" s="4" t="s">
        <v>248</v>
      </c>
      <c r="AZ1316" s="4" t="s">
        <v>249</v>
      </c>
      <c r="BA1316" s="4" t="s">
        <v>241</v>
      </c>
      <c r="BB1316" s="4" t="s">
        <v>250</v>
      </c>
      <c r="BC1316" s="4" t="s">
        <v>241</v>
      </c>
      <c r="BD1316" s="4" t="s">
        <v>252</v>
      </c>
      <c r="BE1316" s="4" t="s">
        <v>241</v>
      </c>
      <c r="BI1316" s="4" t="s">
        <v>253</v>
      </c>
      <c r="BJ1316" s="5" t="s">
        <v>246</v>
      </c>
      <c r="BK1316" s="4" t="s">
        <v>254</v>
      </c>
      <c r="BL1316" s="4" t="s">
        <v>255</v>
      </c>
      <c r="BM1316" s="4" t="s">
        <v>241</v>
      </c>
      <c r="BN1316" s="6">
        <f>0</f>
        <v>0</v>
      </c>
      <c r="BO1316" s="6">
        <f>0</f>
        <v>0</v>
      </c>
      <c r="BP1316" s="4" t="s">
        <v>256</v>
      </c>
      <c r="BQ1316" s="4" t="s">
        <v>257</v>
      </c>
      <c r="CE1316" s="4" t="s">
        <v>241</v>
      </c>
      <c r="CF1316" s="4" t="s">
        <v>241</v>
      </c>
      <c r="CJ1316" s="4" t="s">
        <v>276</v>
      </c>
      <c r="CK1316" s="4" t="s">
        <v>259</v>
      </c>
      <c r="CL1316" s="4" t="s">
        <v>241</v>
      </c>
      <c r="CO1316" s="5" t="s">
        <v>260</v>
      </c>
      <c r="CP1316" s="4" t="s">
        <v>241</v>
      </c>
      <c r="CQ1316" s="4" t="s">
        <v>261</v>
      </c>
      <c r="CR1316" s="4" t="s">
        <v>241</v>
      </c>
      <c r="CS1316" s="4" t="s">
        <v>241</v>
      </c>
      <c r="CT1316" s="4">
        <v>0</v>
      </c>
      <c r="CU1316" s="4" t="s">
        <v>262</v>
      </c>
      <c r="CV1316" s="4" t="s">
        <v>263</v>
      </c>
      <c r="CW1316" s="4" t="s">
        <v>263</v>
      </c>
      <c r="CX1316" s="4" t="s">
        <v>264</v>
      </c>
      <c r="DA1316" s="6">
        <f>1</f>
        <v>1</v>
      </c>
      <c r="DC1316" s="4" t="s">
        <v>277</v>
      </c>
      <c r="DD1316" s="4" t="s">
        <v>241</v>
      </c>
      <c r="DF1316" s="4" t="s">
        <v>277</v>
      </c>
      <c r="DG1316" s="6">
        <f>106</f>
        <v>106</v>
      </c>
      <c r="DI1316" s="4" t="s">
        <v>241</v>
      </c>
      <c r="DJ1316" s="4" t="s">
        <v>241</v>
      </c>
      <c r="DK1316" s="4" t="s">
        <v>241</v>
      </c>
      <c r="DL1316" s="4" t="s">
        <v>241</v>
      </c>
      <c r="DP1316" s="4" t="s">
        <v>241</v>
      </c>
      <c r="DQ1316" s="4" t="s">
        <v>241</v>
      </c>
      <c r="DR1316" s="4" t="s">
        <v>241</v>
      </c>
      <c r="DS1316" s="4" t="s">
        <v>241</v>
      </c>
      <c r="DV1316" s="4" t="s">
        <v>278</v>
      </c>
      <c r="DW1316" s="4" t="s">
        <v>848</v>
      </c>
      <c r="HO1316" s="4" t="s">
        <v>267</v>
      </c>
    </row>
    <row r="1317" spans="1:223" ht="19.5" customHeight="1" x14ac:dyDescent="0.4">
      <c r="A1317" s="4">
        <v>1</v>
      </c>
      <c r="B1317" s="4" t="s">
        <v>239</v>
      </c>
      <c r="C1317" s="4">
        <v>2991</v>
      </c>
      <c r="D1317" s="4">
        <v>1</v>
      </c>
      <c r="E1317" s="4">
        <v>1</v>
      </c>
      <c r="F1317" s="4" t="s">
        <v>268</v>
      </c>
      <c r="G1317" s="4" t="s">
        <v>241</v>
      </c>
      <c r="H1317" s="4" t="s">
        <v>241</v>
      </c>
      <c r="I1317" s="4" t="s">
        <v>272</v>
      </c>
      <c r="J1317" s="4" t="s">
        <v>274</v>
      </c>
      <c r="K1317" s="4" t="s">
        <v>251</v>
      </c>
      <c r="L1317" s="4" t="s">
        <v>269</v>
      </c>
      <c r="M1317" s="5" t="s">
        <v>2839</v>
      </c>
      <c r="N1317" s="6">
        <f>681</f>
        <v>681</v>
      </c>
      <c r="O1317" s="4" t="s">
        <v>265</v>
      </c>
      <c r="P1317" s="6">
        <f>1</f>
        <v>1</v>
      </c>
      <c r="Q1317" s="6">
        <f>0</f>
        <v>0</v>
      </c>
      <c r="S1317" s="6">
        <f>0</f>
        <v>0</v>
      </c>
      <c r="T1317" s="6">
        <f>1</f>
        <v>1</v>
      </c>
      <c r="U1317" s="5" t="s">
        <v>245</v>
      </c>
      <c r="V1317" s="4" t="s">
        <v>270</v>
      </c>
      <c r="W1317" s="4" t="s">
        <v>271</v>
      </c>
      <c r="X1317" s="4" t="s">
        <v>273</v>
      </c>
      <c r="Y1317" s="4" t="s">
        <v>241</v>
      </c>
      <c r="AB1317" s="4" t="s">
        <v>241</v>
      </c>
      <c r="AD1317" s="5" t="s">
        <v>241</v>
      </c>
      <c r="AG1317" s="5" t="s">
        <v>246</v>
      </c>
      <c r="AH1317" s="4" t="s">
        <v>241</v>
      </c>
      <c r="AI1317" s="4" t="s">
        <v>247</v>
      </c>
      <c r="AJ1317" s="4" t="s">
        <v>248</v>
      </c>
      <c r="AZ1317" s="4" t="s">
        <v>249</v>
      </c>
      <c r="BA1317" s="4" t="s">
        <v>241</v>
      </c>
      <c r="BB1317" s="4" t="s">
        <v>250</v>
      </c>
      <c r="BC1317" s="4" t="s">
        <v>241</v>
      </c>
      <c r="BD1317" s="4" t="s">
        <v>252</v>
      </c>
      <c r="BE1317" s="4" t="s">
        <v>241</v>
      </c>
      <c r="BI1317" s="4" t="s">
        <v>253</v>
      </c>
      <c r="BJ1317" s="5" t="s">
        <v>246</v>
      </c>
      <c r="BK1317" s="4" t="s">
        <v>254</v>
      </c>
      <c r="BL1317" s="4" t="s">
        <v>255</v>
      </c>
      <c r="BM1317" s="4" t="s">
        <v>241</v>
      </c>
      <c r="BN1317" s="6">
        <f>0</f>
        <v>0</v>
      </c>
      <c r="BO1317" s="6">
        <f>0</f>
        <v>0</v>
      </c>
      <c r="BP1317" s="4" t="s">
        <v>256</v>
      </c>
      <c r="BQ1317" s="4" t="s">
        <v>257</v>
      </c>
      <c r="CE1317" s="4" t="s">
        <v>241</v>
      </c>
      <c r="CF1317" s="4" t="s">
        <v>241</v>
      </c>
      <c r="CJ1317" s="4" t="s">
        <v>276</v>
      </c>
      <c r="CK1317" s="4" t="s">
        <v>259</v>
      </c>
      <c r="CL1317" s="4" t="s">
        <v>241</v>
      </c>
      <c r="CO1317" s="5" t="s">
        <v>260</v>
      </c>
      <c r="CP1317" s="4" t="s">
        <v>241</v>
      </c>
      <c r="CQ1317" s="4" t="s">
        <v>261</v>
      </c>
      <c r="CR1317" s="4" t="s">
        <v>241</v>
      </c>
      <c r="CS1317" s="4" t="s">
        <v>241</v>
      </c>
      <c r="CT1317" s="4">
        <v>0</v>
      </c>
      <c r="CU1317" s="4" t="s">
        <v>262</v>
      </c>
      <c r="CV1317" s="4" t="s">
        <v>263</v>
      </c>
      <c r="CW1317" s="4" t="s">
        <v>263</v>
      </c>
      <c r="CX1317" s="4" t="s">
        <v>264</v>
      </c>
      <c r="DA1317" s="6">
        <f>1</f>
        <v>1</v>
      </c>
      <c r="DC1317" s="4" t="s">
        <v>277</v>
      </c>
      <c r="DD1317" s="4" t="s">
        <v>241</v>
      </c>
      <c r="DF1317" s="4" t="s">
        <v>277</v>
      </c>
      <c r="DG1317" s="6">
        <f>681</f>
        <v>681</v>
      </c>
      <c r="DI1317" s="4" t="s">
        <v>241</v>
      </c>
      <c r="DJ1317" s="4" t="s">
        <v>241</v>
      </c>
      <c r="DK1317" s="4" t="s">
        <v>241</v>
      </c>
      <c r="DL1317" s="4" t="s">
        <v>241</v>
      </c>
      <c r="DP1317" s="4" t="s">
        <v>241</v>
      </c>
      <c r="DQ1317" s="4" t="s">
        <v>241</v>
      </c>
      <c r="DR1317" s="4" t="s">
        <v>241</v>
      </c>
      <c r="DS1317" s="4" t="s">
        <v>241</v>
      </c>
      <c r="DV1317" s="4" t="s">
        <v>278</v>
      </c>
      <c r="DW1317" s="4" t="s">
        <v>850</v>
      </c>
      <c r="HO1317" s="4" t="s">
        <v>267</v>
      </c>
    </row>
    <row r="1318" spans="1:223" ht="19.5" customHeight="1" x14ac:dyDescent="0.4">
      <c r="A1318" s="4">
        <v>1</v>
      </c>
      <c r="B1318" s="4" t="s">
        <v>239</v>
      </c>
      <c r="C1318" s="4">
        <v>2992</v>
      </c>
      <c r="D1318" s="4">
        <v>1</v>
      </c>
      <c r="E1318" s="4">
        <v>1</v>
      </c>
      <c r="F1318" s="4" t="s">
        <v>268</v>
      </c>
      <c r="G1318" s="4" t="s">
        <v>241</v>
      </c>
      <c r="H1318" s="4" t="s">
        <v>241</v>
      </c>
      <c r="I1318" s="4" t="s">
        <v>272</v>
      </c>
      <c r="J1318" s="4" t="s">
        <v>274</v>
      </c>
      <c r="K1318" s="4" t="s">
        <v>251</v>
      </c>
      <c r="L1318" s="4" t="s">
        <v>269</v>
      </c>
      <c r="M1318" s="5" t="s">
        <v>2838</v>
      </c>
      <c r="N1318" s="6">
        <f>1301</f>
        <v>1301</v>
      </c>
      <c r="O1318" s="4" t="s">
        <v>265</v>
      </c>
      <c r="P1318" s="6">
        <f>1</f>
        <v>1</v>
      </c>
      <c r="Q1318" s="6">
        <f>0</f>
        <v>0</v>
      </c>
      <c r="S1318" s="6">
        <f>0</f>
        <v>0</v>
      </c>
      <c r="T1318" s="6">
        <f>1</f>
        <v>1</v>
      </c>
      <c r="U1318" s="5" t="s">
        <v>245</v>
      </c>
      <c r="V1318" s="4" t="s">
        <v>270</v>
      </c>
      <c r="W1318" s="4" t="s">
        <v>271</v>
      </c>
      <c r="X1318" s="4" t="s">
        <v>273</v>
      </c>
      <c r="Y1318" s="4" t="s">
        <v>241</v>
      </c>
      <c r="AB1318" s="4" t="s">
        <v>241</v>
      </c>
      <c r="AD1318" s="5" t="s">
        <v>241</v>
      </c>
      <c r="AG1318" s="5" t="s">
        <v>246</v>
      </c>
      <c r="AH1318" s="4" t="s">
        <v>241</v>
      </c>
      <c r="AI1318" s="4" t="s">
        <v>247</v>
      </c>
      <c r="AJ1318" s="4" t="s">
        <v>248</v>
      </c>
      <c r="AZ1318" s="4" t="s">
        <v>249</v>
      </c>
      <c r="BA1318" s="4" t="s">
        <v>241</v>
      </c>
      <c r="BB1318" s="4" t="s">
        <v>250</v>
      </c>
      <c r="BC1318" s="4" t="s">
        <v>241</v>
      </c>
      <c r="BD1318" s="4" t="s">
        <v>252</v>
      </c>
      <c r="BE1318" s="4" t="s">
        <v>241</v>
      </c>
      <c r="BI1318" s="4" t="s">
        <v>253</v>
      </c>
      <c r="BJ1318" s="5" t="s">
        <v>246</v>
      </c>
      <c r="BK1318" s="4" t="s">
        <v>254</v>
      </c>
      <c r="BL1318" s="4" t="s">
        <v>255</v>
      </c>
      <c r="BM1318" s="4" t="s">
        <v>241</v>
      </c>
      <c r="BN1318" s="6">
        <f>0</f>
        <v>0</v>
      </c>
      <c r="BO1318" s="6">
        <f>0</f>
        <v>0</v>
      </c>
      <c r="BP1318" s="4" t="s">
        <v>256</v>
      </c>
      <c r="BQ1318" s="4" t="s">
        <v>257</v>
      </c>
      <c r="CE1318" s="4" t="s">
        <v>241</v>
      </c>
      <c r="CF1318" s="4" t="s">
        <v>241</v>
      </c>
      <c r="CJ1318" s="4" t="s">
        <v>276</v>
      </c>
      <c r="CK1318" s="4" t="s">
        <v>259</v>
      </c>
      <c r="CL1318" s="4" t="s">
        <v>241</v>
      </c>
      <c r="CO1318" s="5" t="s">
        <v>260</v>
      </c>
      <c r="CP1318" s="4" t="s">
        <v>241</v>
      </c>
      <c r="CQ1318" s="4" t="s">
        <v>261</v>
      </c>
      <c r="CR1318" s="4" t="s">
        <v>241</v>
      </c>
      <c r="CS1318" s="4" t="s">
        <v>241</v>
      </c>
      <c r="CT1318" s="4">
        <v>0</v>
      </c>
      <c r="CU1318" s="4" t="s">
        <v>262</v>
      </c>
      <c r="CV1318" s="4" t="s">
        <v>263</v>
      </c>
      <c r="CW1318" s="4" t="s">
        <v>263</v>
      </c>
      <c r="CX1318" s="4" t="s">
        <v>264</v>
      </c>
      <c r="DA1318" s="6">
        <f>1</f>
        <v>1</v>
      </c>
      <c r="DC1318" s="4" t="s">
        <v>277</v>
      </c>
      <c r="DD1318" s="4" t="s">
        <v>241</v>
      </c>
      <c r="DF1318" s="4" t="s">
        <v>277</v>
      </c>
      <c r="DG1318" s="6">
        <f>1301</f>
        <v>1301</v>
      </c>
      <c r="DI1318" s="4" t="s">
        <v>241</v>
      </c>
      <c r="DJ1318" s="4" t="s">
        <v>241</v>
      </c>
      <c r="DK1318" s="4" t="s">
        <v>241</v>
      </c>
      <c r="DL1318" s="4" t="s">
        <v>241</v>
      </c>
      <c r="DP1318" s="4" t="s">
        <v>241</v>
      </c>
      <c r="DQ1318" s="4" t="s">
        <v>241</v>
      </c>
      <c r="DR1318" s="4" t="s">
        <v>241</v>
      </c>
      <c r="DS1318" s="4" t="s">
        <v>241</v>
      </c>
      <c r="DV1318" s="4" t="s">
        <v>278</v>
      </c>
      <c r="DW1318" s="4" t="s">
        <v>852</v>
      </c>
      <c r="HO1318" s="4" t="s">
        <v>267</v>
      </c>
    </row>
    <row r="1319" spans="1:223" ht="19.5" customHeight="1" x14ac:dyDescent="0.4">
      <c r="A1319" s="4">
        <v>1</v>
      </c>
      <c r="B1319" s="4" t="s">
        <v>239</v>
      </c>
      <c r="C1319" s="4">
        <v>2993</v>
      </c>
      <c r="D1319" s="4">
        <v>1</v>
      </c>
      <c r="E1319" s="4">
        <v>1</v>
      </c>
      <c r="F1319" s="4" t="s">
        <v>268</v>
      </c>
      <c r="G1319" s="4" t="s">
        <v>241</v>
      </c>
      <c r="H1319" s="4" t="s">
        <v>241</v>
      </c>
      <c r="I1319" s="4" t="s">
        <v>272</v>
      </c>
      <c r="J1319" s="4" t="s">
        <v>274</v>
      </c>
      <c r="K1319" s="4" t="s">
        <v>251</v>
      </c>
      <c r="L1319" s="4" t="s">
        <v>269</v>
      </c>
      <c r="M1319" s="5" t="s">
        <v>2835</v>
      </c>
      <c r="N1319" s="6">
        <f>150</f>
        <v>150</v>
      </c>
      <c r="O1319" s="4" t="s">
        <v>265</v>
      </c>
      <c r="P1319" s="6">
        <f>1</f>
        <v>1</v>
      </c>
      <c r="Q1319" s="6">
        <f>0</f>
        <v>0</v>
      </c>
      <c r="S1319" s="6">
        <f>0</f>
        <v>0</v>
      </c>
      <c r="T1319" s="6">
        <f>1</f>
        <v>1</v>
      </c>
      <c r="U1319" s="5" t="s">
        <v>245</v>
      </c>
      <c r="V1319" s="4" t="s">
        <v>270</v>
      </c>
      <c r="W1319" s="4" t="s">
        <v>271</v>
      </c>
      <c r="X1319" s="4" t="s">
        <v>273</v>
      </c>
      <c r="Y1319" s="4" t="s">
        <v>241</v>
      </c>
      <c r="AB1319" s="4" t="s">
        <v>241</v>
      </c>
      <c r="AD1319" s="5" t="s">
        <v>241</v>
      </c>
      <c r="AG1319" s="5" t="s">
        <v>246</v>
      </c>
      <c r="AH1319" s="4" t="s">
        <v>241</v>
      </c>
      <c r="AI1319" s="4" t="s">
        <v>247</v>
      </c>
      <c r="AJ1319" s="4" t="s">
        <v>248</v>
      </c>
      <c r="AZ1319" s="4" t="s">
        <v>249</v>
      </c>
      <c r="BA1319" s="4" t="s">
        <v>241</v>
      </c>
      <c r="BB1319" s="4" t="s">
        <v>250</v>
      </c>
      <c r="BC1319" s="4" t="s">
        <v>241</v>
      </c>
      <c r="BD1319" s="4" t="s">
        <v>252</v>
      </c>
      <c r="BE1319" s="4" t="s">
        <v>241</v>
      </c>
      <c r="BI1319" s="4" t="s">
        <v>253</v>
      </c>
      <c r="BJ1319" s="5" t="s">
        <v>246</v>
      </c>
      <c r="BK1319" s="4" t="s">
        <v>254</v>
      </c>
      <c r="BL1319" s="4" t="s">
        <v>255</v>
      </c>
      <c r="BM1319" s="4" t="s">
        <v>241</v>
      </c>
      <c r="BN1319" s="6">
        <f>0</f>
        <v>0</v>
      </c>
      <c r="BO1319" s="6">
        <f>0</f>
        <v>0</v>
      </c>
      <c r="BP1319" s="4" t="s">
        <v>256</v>
      </c>
      <c r="BQ1319" s="4" t="s">
        <v>257</v>
      </c>
      <c r="CE1319" s="4" t="s">
        <v>241</v>
      </c>
      <c r="CF1319" s="4" t="s">
        <v>241</v>
      </c>
      <c r="CJ1319" s="4" t="s">
        <v>276</v>
      </c>
      <c r="CK1319" s="4" t="s">
        <v>259</v>
      </c>
      <c r="CL1319" s="4" t="s">
        <v>241</v>
      </c>
      <c r="CO1319" s="5" t="s">
        <v>260</v>
      </c>
      <c r="CP1319" s="4" t="s">
        <v>241</v>
      </c>
      <c r="CQ1319" s="4" t="s">
        <v>261</v>
      </c>
      <c r="CR1319" s="4" t="s">
        <v>241</v>
      </c>
      <c r="CS1319" s="4" t="s">
        <v>241</v>
      </c>
      <c r="CT1319" s="4">
        <v>0</v>
      </c>
      <c r="CU1319" s="4" t="s">
        <v>262</v>
      </c>
      <c r="CV1319" s="4" t="s">
        <v>263</v>
      </c>
      <c r="CW1319" s="4" t="s">
        <v>263</v>
      </c>
      <c r="CX1319" s="4" t="s">
        <v>264</v>
      </c>
      <c r="DA1319" s="6">
        <f>1</f>
        <v>1</v>
      </c>
      <c r="DC1319" s="4" t="s">
        <v>277</v>
      </c>
      <c r="DD1319" s="4" t="s">
        <v>241</v>
      </c>
      <c r="DF1319" s="4" t="s">
        <v>277</v>
      </c>
      <c r="DG1319" s="6">
        <f>150</f>
        <v>150</v>
      </c>
      <c r="DI1319" s="4" t="s">
        <v>241</v>
      </c>
      <c r="DJ1319" s="4" t="s">
        <v>241</v>
      </c>
      <c r="DK1319" s="4" t="s">
        <v>241</v>
      </c>
      <c r="DL1319" s="4" t="s">
        <v>241</v>
      </c>
      <c r="DP1319" s="4" t="s">
        <v>241</v>
      </c>
      <c r="DQ1319" s="4" t="s">
        <v>241</v>
      </c>
      <c r="DR1319" s="4" t="s">
        <v>241</v>
      </c>
      <c r="DS1319" s="4" t="s">
        <v>241</v>
      </c>
      <c r="DV1319" s="4" t="s">
        <v>278</v>
      </c>
      <c r="DW1319" s="4" t="s">
        <v>858</v>
      </c>
      <c r="HO1319" s="4" t="s">
        <v>267</v>
      </c>
    </row>
    <row r="1320" spans="1:223" ht="19.5" customHeight="1" x14ac:dyDescent="0.4">
      <c r="A1320" s="4">
        <v>1</v>
      </c>
      <c r="B1320" s="4" t="s">
        <v>239</v>
      </c>
      <c r="C1320" s="4">
        <v>2994</v>
      </c>
      <c r="D1320" s="4">
        <v>1</v>
      </c>
      <c r="E1320" s="4">
        <v>1</v>
      </c>
      <c r="F1320" s="4" t="s">
        <v>268</v>
      </c>
      <c r="G1320" s="4" t="s">
        <v>241</v>
      </c>
      <c r="H1320" s="4" t="s">
        <v>241</v>
      </c>
      <c r="I1320" s="4" t="s">
        <v>272</v>
      </c>
      <c r="J1320" s="4" t="s">
        <v>274</v>
      </c>
      <c r="K1320" s="4" t="s">
        <v>251</v>
      </c>
      <c r="L1320" s="4" t="s">
        <v>269</v>
      </c>
      <c r="M1320" s="5" t="s">
        <v>2833</v>
      </c>
      <c r="N1320" s="6">
        <f>81</f>
        <v>81</v>
      </c>
      <c r="O1320" s="4" t="s">
        <v>265</v>
      </c>
      <c r="P1320" s="6">
        <f>1</f>
        <v>1</v>
      </c>
      <c r="Q1320" s="6">
        <f>0</f>
        <v>0</v>
      </c>
      <c r="S1320" s="6">
        <f>0</f>
        <v>0</v>
      </c>
      <c r="T1320" s="6">
        <f>1</f>
        <v>1</v>
      </c>
      <c r="U1320" s="5" t="s">
        <v>245</v>
      </c>
      <c r="V1320" s="4" t="s">
        <v>270</v>
      </c>
      <c r="W1320" s="4" t="s">
        <v>271</v>
      </c>
      <c r="X1320" s="4" t="s">
        <v>273</v>
      </c>
      <c r="Y1320" s="4" t="s">
        <v>241</v>
      </c>
      <c r="AB1320" s="4" t="s">
        <v>241</v>
      </c>
      <c r="AD1320" s="5" t="s">
        <v>241</v>
      </c>
      <c r="AG1320" s="5" t="s">
        <v>246</v>
      </c>
      <c r="AH1320" s="4" t="s">
        <v>241</v>
      </c>
      <c r="AI1320" s="4" t="s">
        <v>247</v>
      </c>
      <c r="AJ1320" s="4" t="s">
        <v>248</v>
      </c>
      <c r="AZ1320" s="4" t="s">
        <v>249</v>
      </c>
      <c r="BA1320" s="4" t="s">
        <v>241</v>
      </c>
      <c r="BB1320" s="4" t="s">
        <v>250</v>
      </c>
      <c r="BC1320" s="4" t="s">
        <v>241</v>
      </c>
      <c r="BD1320" s="4" t="s">
        <v>252</v>
      </c>
      <c r="BE1320" s="4" t="s">
        <v>241</v>
      </c>
      <c r="BI1320" s="4" t="s">
        <v>253</v>
      </c>
      <c r="BJ1320" s="5" t="s">
        <v>246</v>
      </c>
      <c r="BK1320" s="4" t="s">
        <v>254</v>
      </c>
      <c r="BL1320" s="4" t="s">
        <v>255</v>
      </c>
      <c r="BM1320" s="4" t="s">
        <v>241</v>
      </c>
      <c r="BN1320" s="6">
        <f>0</f>
        <v>0</v>
      </c>
      <c r="BO1320" s="6">
        <f>0</f>
        <v>0</v>
      </c>
      <c r="BP1320" s="4" t="s">
        <v>256</v>
      </c>
      <c r="BQ1320" s="4" t="s">
        <v>257</v>
      </c>
      <c r="CE1320" s="4" t="s">
        <v>241</v>
      </c>
      <c r="CF1320" s="4" t="s">
        <v>241</v>
      </c>
      <c r="CJ1320" s="4" t="s">
        <v>276</v>
      </c>
      <c r="CK1320" s="4" t="s">
        <v>259</v>
      </c>
      <c r="CL1320" s="4" t="s">
        <v>241</v>
      </c>
      <c r="CO1320" s="5" t="s">
        <v>260</v>
      </c>
      <c r="CP1320" s="4" t="s">
        <v>241</v>
      </c>
      <c r="CQ1320" s="4" t="s">
        <v>261</v>
      </c>
      <c r="CR1320" s="4" t="s">
        <v>241</v>
      </c>
      <c r="CS1320" s="4" t="s">
        <v>241</v>
      </c>
      <c r="CT1320" s="4">
        <v>0</v>
      </c>
      <c r="CU1320" s="4" t="s">
        <v>262</v>
      </c>
      <c r="CV1320" s="4" t="s">
        <v>263</v>
      </c>
      <c r="CW1320" s="4" t="s">
        <v>263</v>
      </c>
      <c r="CX1320" s="4" t="s">
        <v>264</v>
      </c>
      <c r="DA1320" s="6">
        <f>1</f>
        <v>1</v>
      </c>
      <c r="DC1320" s="4" t="s">
        <v>277</v>
      </c>
      <c r="DD1320" s="4" t="s">
        <v>241</v>
      </c>
      <c r="DF1320" s="4" t="s">
        <v>277</v>
      </c>
      <c r="DG1320" s="6">
        <f>81</f>
        <v>81</v>
      </c>
      <c r="DI1320" s="4" t="s">
        <v>241</v>
      </c>
      <c r="DJ1320" s="4" t="s">
        <v>241</v>
      </c>
      <c r="DK1320" s="4" t="s">
        <v>241</v>
      </c>
      <c r="DL1320" s="4" t="s">
        <v>241</v>
      </c>
      <c r="DP1320" s="4" t="s">
        <v>241</v>
      </c>
      <c r="DQ1320" s="4" t="s">
        <v>241</v>
      </c>
      <c r="DR1320" s="4" t="s">
        <v>241</v>
      </c>
      <c r="DS1320" s="4" t="s">
        <v>241</v>
      </c>
      <c r="DV1320" s="4" t="s">
        <v>278</v>
      </c>
      <c r="DW1320" s="4" t="s">
        <v>2834</v>
      </c>
      <c r="HO1320" s="4" t="s">
        <v>267</v>
      </c>
    </row>
    <row r="1321" spans="1:223" ht="19.5" customHeight="1" x14ac:dyDescent="0.4">
      <c r="A1321" s="4">
        <v>1</v>
      </c>
      <c r="B1321" s="4" t="s">
        <v>239</v>
      </c>
      <c r="C1321" s="4">
        <v>2995</v>
      </c>
      <c r="D1321" s="4">
        <v>1</v>
      </c>
      <c r="E1321" s="4">
        <v>1</v>
      </c>
      <c r="F1321" s="4" t="s">
        <v>268</v>
      </c>
      <c r="G1321" s="4" t="s">
        <v>241</v>
      </c>
      <c r="H1321" s="4" t="s">
        <v>241</v>
      </c>
      <c r="I1321" s="4" t="s">
        <v>272</v>
      </c>
      <c r="J1321" s="4" t="s">
        <v>274</v>
      </c>
      <c r="K1321" s="4" t="s">
        <v>251</v>
      </c>
      <c r="L1321" s="4" t="s">
        <v>269</v>
      </c>
      <c r="M1321" s="5" t="s">
        <v>2917</v>
      </c>
      <c r="N1321" s="6">
        <f>787</f>
        <v>787</v>
      </c>
      <c r="O1321" s="4" t="s">
        <v>265</v>
      </c>
      <c r="P1321" s="6">
        <f>1</f>
        <v>1</v>
      </c>
      <c r="Q1321" s="6">
        <f>0</f>
        <v>0</v>
      </c>
      <c r="S1321" s="6">
        <f>0</f>
        <v>0</v>
      </c>
      <c r="T1321" s="6">
        <f>1</f>
        <v>1</v>
      </c>
      <c r="U1321" s="5" t="s">
        <v>245</v>
      </c>
      <c r="V1321" s="4" t="s">
        <v>270</v>
      </c>
      <c r="W1321" s="4" t="s">
        <v>271</v>
      </c>
      <c r="X1321" s="4" t="s">
        <v>273</v>
      </c>
      <c r="Y1321" s="4" t="s">
        <v>241</v>
      </c>
      <c r="AB1321" s="4" t="s">
        <v>241</v>
      </c>
      <c r="AD1321" s="5" t="s">
        <v>241</v>
      </c>
      <c r="AG1321" s="5" t="s">
        <v>246</v>
      </c>
      <c r="AH1321" s="4" t="s">
        <v>241</v>
      </c>
      <c r="AI1321" s="4" t="s">
        <v>247</v>
      </c>
      <c r="AJ1321" s="4" t="s">
        <v>248</v>
      </c>
      <c r="AZ1321" s="4" t="s">
        <v>249</v>
      </c>
      <c r="BA1321" s="4" t="s">
        <v>241</v>
      </c>
      <c r="BB1321" s="4" t="s">
        <v>250</v>
      </c>
      <c r="BC1321" s="4" t="s">
        <v>241</v>
      </c>
      <c r="BD1321" s="4" t="s">
        <v>252</v>
      </c>
      <c r="BE1321" s="4" t="s">
        <v>241</v>
      </c>
      <c r="BI1321" s="4" t="s">
        <v>253</v>
      </c>
      <c r="BJ1321" s="5" t="s">
        <v>246</v>
      </c>
      <c r="BK1321" s="4" t="s">
        <v>254</v>
      </c>
      <c r="BL1321" s="4" t="s">
        <v>255</v>
      </c>
      <c r="BM1321" s="4" t="s">
        <v>241</v>
      </c>
      <c r="BN1321" s="6">
        <f>0</f>
        <v>0</v>
      </c>
      <c r="BO1321" s="6">
        <f>0</f>
        <v>0</v>
      </c>
      <c r="BP1321" s="4" t="s">
        <v>256</v>
      </c>
      <c r="BQ1321" s="4" t="s">
        <v>257</v>
      </c>
      <c r="CE1321" s="4" t="s">
        <v>241</v>
      </c>
      <c r="CF1321" s="4" t="s">
        <v>241</v>
      </c>
      <c r="CJ1321" s="4" t="s">
        <v>276</v>
      </c>
      <c r="CK1321" s="4" t="s">
        <v>259</v>
      </c>
      <c r="CL1321" s="4" t="s">
        <v>241</v>
      </c>
      <c r="CO1321" s="5" t="s">
        <v>260</v>
      </c>
      <c r="CP1321" s="4" t="s">
        <v>241</v>
      </c>
      <c r="CQ1321" s="4" t="s">
        <v>261</v>
      </c>
      <c r="CR1321" s="4" t="s">
        <v>241</v>
      </c>
      <c r="CS1321" s="4" t="s">
        <v>241</v>
      </c>
      <c r="CT1321" s="4">
        <v>0</v>
      </c>
      <c r="CU1321" s="4" t="s">
        <v>262</v>
      </c>
      <c r="CV1321" s="4" t="s">
        <v>263</v>
      </c>
      <c r="CW1321" s="4" t="s">
        <v>263</v>
      </c>
      <c r="CX1321" s="4" t="s">
        <v>264</v>
      </c>
      <c r="DA1321" s="6">
        <f>1</f>
        <v>1</v>
      </c>
      <c r="DC1321" s="4" t="s">
        <v>277</v>
      </c>
      <c r="DD1321" s="4" t="s">
        <v>241</v>
      </c>
      <c r="DF1321" s="4" t="s">
        <v>277</v>
      </c>
      <c r="DG1321" s="6">
        <f>787</f>
        <v>787</v>
      </c>
      <c r="DI1321" s="4" t="s">
        <v>241</v>
      </c>
      <c r="DJ1321" s="4" t="s">
        <v>241</v>
      </c>
      <c r="DK1321" s="4" t="s">
        <v>241</v>
      </c>
      <c r="DL1321" s="4" t="s">
        <v>241</v>
      </c>
      <c r="DP1321" s="4" t="s">
        <v>241</v>
      </c>
      <c r="DQ1321" s="4" t="s">
        <v>241</v>
      </c>
      <c r="DR1321" s="4" t="s">
        <v>241</v>
      </c>
      <c r="DS1321" s="4" t="s">
        <v>241</v>
      </c>
      <c r="DV1321" s="4" t="s">
        <v>278</v>
      </c>
      <c r="DW1321" s="4" t="s">
        <v>2918</v>
      </c>
      <c r="HO1321" s="4" t="s">
        <v>267</v>
      </c>
    </row>
    <row r="1322" spans="1:223" ht="19.5" customHeight="1" x14ac:dyDescent="0.4">
      <c r="A1322" s="4">
        <v>1</v>
      </c>
      <c r="B1322" s="4" t="s">
        <v>239</v>
      </c>
      <c r="C1322" s="4">
        <v>2996</v>
      </c>
      <c r="D1322" s="4">
        <v>1</v>
      </c>
      <c r="E1322" s="4">
        <v>1</v>
      </c>
      <c r="F1322" s="4" t="s">
        <v>268</v>
      </c>
      <c r="G1322" s="4" t="s">
        <v>241</v>
      </c>
      <c r="H1322" s="4" t="s">
        <v>241</v>
      </c>
      <c r="I1322" s="4" t="s">
        <v>272</v>
      </c>
      <c r="J1322" s="4" t="s">
        <v>274</v>
      </c>
      <c r="K1322" s="4" t="s">
        <v>251</v>
      </c>
      <c r="L1322" s="4" t="s">
        <v>269</v>
      </c>
      <c r="M1322" s="5" t="s">
        <v>2831</v>
      </c>
      <c r="N1322" s="6">
        <f>2490</f>
        <v>2490</v>
      </c>
      <c r="O1322" s="4" t="s">
        <v>265</v>
      </c>
      <c r="P1322" s="6">
        <f>1</f>
        <v>1</v>
      </c>
      <c r="Q1322" s="6">
        <f>0</f>
        <v>0</v>
      </c>
      <c r="S1322" s="6">
        <f>0</f>
        <v>0</v>
      </c>
      <c r="T1322" s="6">
        <f>1</f>
        <v>1</v>
      </c>
      <c r="U1322" s="5" t="s">
        <v>245</v>
      </c>
      <c r="V1322" s="4" t="s">
        <v>270</v>
      </c>
      <c r="W1322" s="4" t="s">
        <v>271</v>
      </c>
      <c r="X1322" s="4" t="s">
        <v>273</v>
      </c>
      <c r="Y1322" s="4" t="s">
        <v>241</v>
      </c>
      <c r="AB1322" s="4" t="s">
        <v>241</v>
      </c>
      <c r="AD1322" s="5" t="s">
        <v>241</v>
      </c>
      <c r="AG1322" s="5" t="s">
        <v>246</v>
      </c>
      <c r="AH1322" s="4" t="s">
        <v>241</v>
      </c>
      <c r="AI1322" s="4" t="s">
        <v>247</v>
      </c>
      <c r="AJ1322" s="4" t="s">
        <v>248</v>
      </c>
      <c r="AZ1322" s="4" t="s">
        <v>249</v>
      </c>
      <c r="BA1322" s="4" t="s">
        <v>241</v>
      </c>
      <c r="BB1322" s="4" t="s">
        <v>250</v>
      </c>
      <c r="BC1322" s="4" t="s">
        <v>241</v>
      </c>
      <c r="BD1322" s="4" t="s">
        <v>252</v>
      </c>
      <c r="BE1322" s="4" t="s">
        <v>241</v>
      </c>
      <c r="BI1322" s="4" t="s">
        <v>253</v>
      </c>
      <c r="BJ1322" s="5" t="s">
        <v>246</v>
      </c>
      <c r="BK1322" s="4" t="s">
        <v>254</v>
      </c>
      <c r="BL1322" s="4" t="s">
        <v>255</v>
      </c>
      <c r="BM1322" s="4" t="s">
        <v>241</v>
      </c>
      <c r="BN1322" s="6">
        <f>0</f>
        <v>0</v>
      </c>
      <c r="BO1322" s="6">
        <f>0</f>
        <v>0</v>
      </c>
      <c r="BP1322" s="4" t="s">
        <v>256</v>
      </c>
      <c r="BQ1322" s="4" t="s">
        <v>257</v>
      </c>
      <c r="CE1322" s="4" t="s">
        <v>241</v>
      </c>
      <c r="CF1322" s="4" t="s">
        <v>241</v>
      </c>
      <c r="CJ1322" s="4" t="s">
        <v>276</v>
      </c>
      <c r="CK1322" s="4" t="s">
        <v>259</v>
      </c>
      <c r="CL1322" s="4" t="s">
        <v>241</v>
      </c>
      <c r="CO1322" s="5" t="s">
        <v>260</v>
      </c>
      <c r="CP1322" s="4" t="s">
        <v>241</v>
      </c>
      <c r="CQ1322" s="4" t="s">
        <v>261</v>
      </c>
      <c r="CR1322" s="4" t="s">
        <v>241</v>
      </c>
      <c r="CS1322" s="4" t="s">
        <v>241</v>
      </c>
      <c r="CT1322" s="4">
        <v>0</v>
      </c>
      <c r="CU1322" s="4" t="s">
        <v>262</v>
      </c>
      <c r="CV1322" s="4" t="s">
        <v>263</v>
      </c>
      <c r="CW1322" s="4" t="s">
        <v>263</v>
      </c>
      <c r="CX1322" s="4" t="s">
        <v>264</v>
      </c>
      <c r="DA1322" s="6">
        <f>1</f>
        <v>1</v>
      </c>
      <c r="DC1322" s="4" t="s">
        <v>277</v>
      </c>
      <c r="DD1322" s="4" t="s">
        <v>241</v>
      </c>
      <c r="DF1322" s="4" t="s">
        <v>277</v>
      </c>
      <c r="DG1322" s="6">
        <f>2490</f>
        <v>2490</v>
      </c>
      <c r="DI1322" s="4" t="s">
        <v>241</v>
      </c>
      <c r="DJ1322" s="4" t="s">
        <v>241</v>
      </c>
      <c r="DK1322" s="4" t="s">
        <v>241</v>
      </c>
      <c r="DL1322" s="4" t="s">
        <v>241</v>
      </c>
      <c r="DP1322" s="4" t="s">
        <v>241</v>
      </c>
      <c r="DQ1322" s="4" t="s">
        <v>241</v>
      </c>
      <c r="DR1322" s="4" t="s">
        <v>241</v>
      </c>
      <c r="DS1322" s="4" t="s">
        <v>241</v>
      </c>
      <c r="DV1322" s="4" t="s">
        <v>278</v>
      </c>
      <c r="DW1322" s="4" t="s">
        <v>2832</v>
      </c>
      <c r="HO1322" s="4" t="s">
        <v>267</v>
      </c>
    </row>
    <row r="1323" spans="1:223" ht="19.5" customHeight="1" x14ac:dyDescent="0.4">
      <c r="A1323" s="4">
        <v>1</v>
      </c>
      <c r="B1323" s="4" t="s">
        <v>239</v>
      </c>
      <c r="C1323" s="4">
        <v>2997</v>
      </c>
      <c r="D1323" s="4">
        <v>1</v>
      </c>
      <c r="E1323" s="4">
        <v>1</v>
      </c>
      <c r="F1323" s="4" t="s">
        <v>268</v>
      </c>
      <c r="G1323" s="4" t="s">
        <v>241</v>
      </c>
      <c r="H1323" s="4" t="s">
        <v>241</v>
      </c>
      <c r="I1323" s="4" t="s">
        <v>272</v>
      </c>
      <c r="J1323" s="4" t="s">
        <v>274</v>
      </c>
      <c r="K1323" s="4" t="s">
        <v>251</v>
      </c>
      <c r="L1323" s="4" t="s">
        <v>269</v>
      </c>
      <c r="M1323" s="5" t="s">
        <v>1847</v>
      </c>
      <c r="N1323" s="6">
        <f>284</f>
        <v>284</v>
      </c>
      <c r="O1323" s="4" t="s">
        <v>265</v>
      </c>
      <c r="P1323" s="6">
        <f>1</f>
        <v>1</v>
      </c>
      <c r="Q1323" s="6">
        <f>0</f>
        <v>0</v>
      </c>
      <c r="S1323" s="6">
        <f>0</f>
        <v>0</v>
      </c>
      <c r="T1323" s="6">
        <f>1</f>
        <v>1</v>
      </c>
      <c r="U1323" s="5" t="s">
        <v>245</v>
      </c>
      <c r="V1323" s="4" t="s">
        <v>270</v>
      </c>
      <c r="W1323" s="4" t="s">
        <v>271</v>
      </c>
      <c r="X1323" s="4" t="s">
        <v>273</v>
      </c>
      <c r="Y1323" s="4" t="s">
        <v>241</v>
      </c>
      <c r="AB1323" s="4" t="s">
        <v>241</v>
      </c>
      <c r="AD1323" s="5" t="s">
        <v>241</v>
      </c>
      <c r="AG1323" s="5" t="s">
        <v>246</v>
      </c>
      <c r="AH1323" s="4" t="s">
        <v>241</v>
      </c>
      <c r="AI1323" s="4" t="s">
        <v>247</v>
      </c>
      <c r="AJ1323" s="4" t="s">
        <v>248</v>
      </c>
      <c r="AZ1323" s="4" t="s">
        <v>249</v>
      </c>
      <c r="BA1323" s="4" t="s">
        <v>241</v>
      </c>
      <c r="BB1323" s="4" t="s">
        <v>250</v>
      </c>
      <c r="BC1323" s="4" t="s">
        <v>241</v>
      </c>
      <c r="BD1323" s="4" t="s">
        <v>252</v>
      </c>
      <c r="BE1323" s="4" t="s">
        <v>241</v>
      </c>
      <c r="BI1323" s="4" t="s">
        <v>253</v>
      </c>
      <c r="BJ1323" s="5" t="s">
        <v>246</v>
      </c>
      <c r="BK1323" s="4" t="s">
        <v>254</v>
      </c>
      <c r="BL1323" s="4" t="s">
        <v>255</v>
      </c>
      <c r="BM1323" s="4" t="s">
        <v>241</v>
      </c>
      <c r="BN1323" s="6">
        <f>0</f>
        <v>0</v>
      </c>
      <c r="BO1323" s="6">
        <f>0</f>
        <v>0</v>
      </c>
      <c r="BP1323" s="4" t="s">
        <v>256</v>
      </c>
      <c r="BQ1323" s="4" t="s">
        <v>257</v>
      </c>
      <c r="CE1323" s="4" t="s">
        <v>241</v>
      </c>
      <c r="CF1323" s="4" t="s">
        <v>241</v>
      </c>
      <c r="CJ1323" s="4" t="s">
        <v>276</v>
      </c>
      <c r="CK1323" s="4" t="s">
        <v>259</v>
      </c>
      <c r="CL1323" s="4" t="s">
        <v>241</v>
      </c>
      <c r="CO1323" s="5" t="s">
        <v>260</v>
      </c>
      <c r="CP1323" s="4" t="s">
        <v>241</v>
      </c>
      <c r="CQ1323" s="4" t="s">
        <v>261</v>
      </c>
      <c r="CR1323" s="4" t="s">
        <v>241</v>
      </c>
      <c r="CS1323" s="4" t="s">
        <v>241</v>
      </c>
      <c r="CT1323" s="4">
        <v>0</v>
      </c>
      <c r="CU1323" s="4" t="s">
        <v>262</v>
      </c>
      <c r="CV1323" s="4" t="s">
        <v>263</v>
      </c>
      <c r="CW1323" s="4" t="s">
        <v>263</v>
      </c>
      <c r="CX1323" s="4" t="s">
        <v>264</v>
      </c>
      <c r="DA1323" s="6">
        <f>1</f>
        <v>1</v>
      </c>
      <c r="DC1323" s="4" t="s">
        <v>277</v>
      </c>
      <c r="DD1323" s="4" t="s">
        <v>241</v>
      </c>
      <c r="DF1323" s="4" t="s">
        <v>277</v>
      </c>
      <c r="DG1323" s="6">
        <f>284</f>
        <v>284</v>
      </c>
      <c r="DI1323" s="4" t="s">
        <v>241</v>
      </c>
      <c r="DJ1323" s="4" t="s">
        <v>241</v>
      </c>
      <c r="DK1323" s="4" t="s">
        <v>241</v>
      </c>
      <c r="DL1323" s="4" t="s">
        <v>241</v>
      </c>
      <c r="DP1323" s="4" t="s">
        <v>241</v>
      </c>
      <c r="DQ1323" s="4" t="s">
        <v>241</v>
      </c>
      <c r="DR1323" s="4" t="s">
        <v>241</v>
      </c>
      <c r="DS1323" s="4" t="s">
        <v>241</v>
      </c>
      <c r="DV1323" s="4" t="s">
        <v>278</v>
      </c>
      <c r="DW1323" s="4" t="s">
        <v>1848</v>
      </c>
      <c r="HO1323" s="4" t="s">
        <v>267</v>
      </c>
    </row>
    <row r="1324" spans="1:223" ht="19.5" customHeight="1" x14ac:dyDescent="0.4">
      <c r="A1324" s="4">
        <v>1</v>
      </c>
      <c r="B1324" s="4" t="s">
        <v>239</v>
      </c>
      <c r="C1324" s="4">
        <v>2998</v>
      </c>
      <c r="D1324" s="4">
        <v>1</v>
      </c>
      <c r="E1324" s="4">
        <v>1</v>
      </c>
      <c r="F1324" s="4" t="s">
        <v>268</v>
      </c>
      <c r="G1324" s="4" t="s">
        <v>241</v>
      </c>
      <c r="H1324" s="4" t="s">
        <v>241</v>
      </c>
      <c r="I1324" s="4" t="s">
        <v>272</v>
      </c>
      <c r="J1324" s="4" t="s">
        <v>274</v>
      </c>
      <c r="K1324" s="4" t="s">
        <v>251</v>
      </c>
      <c r="L1324" s="4" t="s">
        <v>269</v>
      </c>
      <c r="M1324" s="5" t="s">
        <v>2902</v>
      </c>
      <c r="N1324" s="6">
        <f>958</f>
        <v>958</v>
      </c>
      <c r="O1324" s="4" t="s">
        <v>265</v>
      </c>
      <c r="P1324" s="6">
        <f>1</f>
        <v>1</v>
      </c>
      <c r="Q1324" s="6">
        <f>0</f>
        <v>0</v>
      </c>
      <c r="S1324" s="6">
        <f>0</f>
        <v>0</v>
      </c>
      <c r="T1324" s="6">
        <f>1</f>
        <v>1</v>
      </c>
      <c r="U1324" s="5" t="s">
        <v>245</v>
      </c>
      <c r="V1324" s="4" t="s">
        <v>270</v>
      </c>
      <c r="W1324" s="4" t="s">
        <v>271</v>
      </c>
      <c r="X1324" s="4" t="s">
        <v>273</v>
      </c>
      <c r="Y1324" s="4" t="s">
        <v>241</v>
      </c>
      <c r="AB1324" s="4" t="s">
        <v>241</v>
      </c>
      <c r="AD1324" s="5" t="s">
        <v>241</v>
      </c>
      <c r="AG1324" s="5" t="s">
        <v>246</v>
      </c>
      <c r="AH1324" s="4" t="s">
        <v>241</v>
      </c>
      <c r="AI1324" s="4" t="s">
        <v>247</v>
      </c>
      <c r="AJ1324" s="4" t="s">
        <v>248</v>
      </c>
      <c r="AZ1324" s="4" t="s">
        <v>249</v>
      </c>
      <c r="BA1324" s="4" t="s">
        <v>241</v>
      </c>
      <c r="BB1324" s="4" t="s">
        <v>250</v>
      </c>
      <c r="BC1324" s="4" t="s">
        <v>241</v>
      </c>
      <c r="BD1324" s="4" t="s">
        <v>252</v>
      </c>
      <c r="BE1324" s="4" t="s">
        <v>241</v>
      </c>
      <c r="BI1324" s="4" t="s">
        <v>253</v>
      </c>
      <c r="BJ1324" s="5" t="s">
        <v>246</v>
      </c>
      <c r="BK1324" s="4" t="s">
        <v>254</v>
      </c>
      <c r="BL1324" s="4" t="s">
        <v>255</v>
      </c>
      <c r="BM1324" s="4" t="s">
        <v>241</v>
      </c>
      <c r="BN1324" s="6">
        <f>0</f>
        <v>0</v>
      </c>
      <c r="BO1324" s="6">
        <f>0</f>
        <v>0</v>
      </c>
      <c r="BP1324" s="4" t="s">
        <v>256</v>
      </c>
      <c r="BQ1324" s="4" t="s">
        <v>257</v>
      </c>
      <c r="CE1324" s="4" t="s">
        <v>241</v>
      </c>
      <c r="CF1324" s="4" t="s">
        <v>241</v>
      </c>
      <c r="CJ1324" s="4" t="s">
        <v>276</v>
      </c>
      <c r="CK1324" s="4" t="s">
        <v>259</v>
      </c>
      <c r="CL1324" s="4" t="s">
        <v>241</v>
      </c>
      <c r="CO1324" s="5" t="s">
        <v>260</v>
      </c>
      <c r="CP1324" s="4" t="s">
        <v>241</v>
      </c>
      <c r="CQ1324" s="4" t="s">
        <v>261</v>
      </c>
      <c r="CR1324" s="4" t="s">
        <v>241</v>
      </c>
      <c r="CS1324" s="4" t="s">
        <v>241</v>
      </c>
      <c r="CT1324" s="4">
        <v>0</v>
      </c>
      <c r="CU1324" s="4" t="s">
        <v>262</v>
      </c>
      <c r="CV1324" s="4" t="s">
        <v>263</v>
      </c>
      <c r="CW1324" s="4" t="s">
        <v>263</v>
      </c>
      <c r="CX1324" s="4" t="s">
        <v>264</v>
      </c>
      <c r="DA1324" s="6">
        <f>1</f>
        <v>1</v>
      </c>
      <c r="DC1324" s="4" t="s">
        <v>277</v>
      </c>
      <c r="DD1324" s="4" t="s">
        <v>241</v>
      </c>
      <c r="DF1324" s="4" t="s">
        <v>277</v>
      </c>
      <c r="DG1324" s="6">
        <f>958</f>
        <v>958</v>
      </c>
      <c r="DI1324" s="4" t="s">
        <v>241</v>
      </c>
      <c r="DJ1324" s="4" t="s">
        <v>241</v>
      </c>
      <c r="DK1324" s="4" t="s">
        <v>241</v>
      </c>
      <c r="DL1324" s="4" t="s">
        <v>241</v>
      </c>
      <c r="DP1324" s="4" t="s">
        <v>241</v>
      </c>
      <c r="DQ1324" s="4" t="s">
        <v>241</v>
      </c>
      <c r="DR1324" s="4" t="s">
        <v>241</v>
      </c>
      <c r="DS1324" s="4" t="s">
        <v>241</v>
      </c>
      <c r="DV1324" s="4" t="s">
        <v>278</v>
      </c>
      <c r="DW1324" s="4" t="s">
        <v>2903</v>
      </c>
      <c r="HO1324" s="4" t="s">
        <v>267</v>
      </c>
    </row>
    <row r="1325" spans="1:223" ht="19.5" customHeight="1" x14ac:dyDescent="0.4">
      <c r="A1325" s="4">
        <v>1</v>
      </c>
      <c r="B1325" s="4" t="s">
        <v>239</v>
      </c>
      <c r="C1325" s="4">
        <v>2999</v>
      </c>
      <c r="D1325" s="4">
        <v>1</v>
      </c>
      <c r="E1325" s="4">
        <v>1</v>
      </c>
      <c r="F1325" s="4" t="s">
        <v>268</v>
      </c>
      <c r="G1325" s="4" t="s">
        <v>241</v>
      </c>
      <c r="H1325" s="4" t="s">
        <v>241</v>
      </c>
      <c r="I1325" s="4" t="s">
        <v>272</v>
      </c>
      <c r="J1325" s="4" t="s">
        <v>274</v>
      </c>
      <c r="K1325" s="4" t="s">
        <v>251</v>
      </c>
      <c r="L1325" s="4" t="s">
        <v>269</v>
      </c>
      <c r="M1325" s="5" t="s">
        <v>2827</v>
      </c>
      <c r="N1325" s="6">
        <f>1565</f>
        <v>1565</v>
      </c>
      <c r="O1325" s="4" t="s">
        <v>265</v>
      </c>
      <c r="P1325" s="6">
        <f>1</f>
        <v>1</v>
      </c>
      <c r="Q1325" s="6">
        <f>0</f>
        <v>0</v>
      </c>
      <c r="S1325" s="6">
        <f>0</f>
        <v>0</v>
      </c>
      <c r="T1325" s="6">
        <f>1</f>
        <v>1</v>
      </c>
      <c r="U1325" s="5" t="s">
        <v>245</v>
      </c>
      <c r="V1325" s="4" t="s">
        <v>270</v>
      </c>
      <c r="W1325" s="4" t="s">
        <v>271</v>
      </c>
      <c r="X1325" s="4" t="s">
        <v>273</v>
      </c>
      <c r="Y1325" s="4" t="s">
        <v>241</v>
      </c>
      <c r="AB1325" s="4" t="s">
        <v>241</v>
      </c>
      <c r="AD1325" s="5" t="s">
        <v>241</v>
      </c>
      <c r="AG1325" s="5" t="s">
        <v>246</v>
      </c>
      <c r="AH1325" s="4" t="s">
        <v>241</v>
      </c>
      <c r="AI1325" s="4" t="s">
        <v>247</v>
      </c>
      <c r="AJ1325" s="4" t="s">
        <v>248</v>
      </c>
      <c r="AZ1325" s="4" t="s">
        <v>249</v>
      </c>
      <c r="BA1325" s="4" t="s">
        <v>241</v>
      </c>
      <c r="BB1325" s="4" t="s">
        <v>250</v>
      </c>
      <c r="BC1325" s="4" t="s">
        <v>241</v>
      </c>
      <c r="BD1325" s="4" t="s">
        <v>252</v>
      </c>
      <c r="BE1325" s="4" t="s">
        <v>241</v>
      </c>
      <c r="BI1325" s="4" t="s">
        <v>253</v>
      </c>
      <c r="BJ1325" s="5" t="s">
        <v>246</v>
      </c>
      <c r="BK1325" s="4" t="s">
        <v>254</v>
      </c>
      <c r="BL1325" s="4" t="s">
        <v>255</v>
      </c>
      <c r="BM1325" s="4" t="s">
        <v>241</v>
      </c>
      <c r="BN1325" s="6">
        <f>0</f>
        <v>0</v>
      </c>
      <c r="BO1325" s="6">
        <f>0</f>
        <v>0</v>
      </c>
      <c r="BP1325" s="4" t="s">
        <v>256</v>
      </c>
      <c r="BQ1325" s="4" t="s">
        <v>257</v>
      </c>
      <c r="CE1325" s="4" t="s">
        <v>241</v>
      </c>
      <c r="CF1325" s="4" t="s">
        <v>241</v>
      </c>
      <c r="CJ1325" s="4" t="s">
        <v>276</v>
      </c>
      <c r="CK1325" s="4" t="s">
        <v>259</v>
      </c>
      <c r="CL1325" s="4" t="s">
        <v>241</v>
      </c>
      <c r="CO1325" s="5" t="s">
        <v>260</v>
      </c>
      <c r="CP1325" s="4" t="s">
        <v>241</v>
      </c>
      <c r="CQ1325" s="4" t="s">
        <v>261</v>
      </c>
      <c r="CR1325" s="4" t="s">
        <v>241</v>
      </c>
      <c r="CS1325" s="4" t="s">
        <v>241</v>
      </c>
      <c r="CT1325" s="4">
        <v>0</v>
      </c>
      <c r="CU1325" s="4" t="s">
        <v>262</v>
      </c>
      <c r="CV1325" s="4" t="s">
        <v>263</v>
      </c>
      <c r="CW1325" s="4" t="s">
        <v>263</v>
      </c>
      <c r="CX1325" s="4" t="s">
        <v>264</v>
      </c>
      <c r="DA1325" s="6">
        <f>1</f>
        <v>1</v>
      </c>
      <c r="DC1325" s="4" t="s">
        <v>277</v>
      </c>
      <c r="DD1325" s="4" t="s">
        <v>241</v>
      </c>
      <c r="DF1325" s="4" t="s">
        <v>277</v>
      </c>
      <c r="DG1325" s="6">
        <f>1565</f>
        <v>1565</v>
      </c>
      <c r="DI1325" s="4" t="s">
        <v>241</v>
      </c>
      <c r="DJ1325" s="4" t="s">
        <v>241</v>
      </c>
      <c r="DK1325" s="4" t="s">
        <v>241</v>
      </c>
      <c r="DL1325" s="4" t="s">
        <v>241</v>
      </c>
      <c r="DP1325" s="4" t="s">
        <v>241</v>
      </c>
      <c r="DQ1325" s="4" t="s">
        <v>241</v>
      </c>
      <c r="DR1325" s="4" t="s">
        <v>241</v>
      </c>
      <c r="DS1325" s="4" t="s">
        <v>241</v>
      </c>
      <c r="DV1325" s="4" t="s">
        <v>278</v>
      </c>
      <c r="DW1325" s="4" t="s">
        <v>2828</v>
      </c>
      <c r="HO1325" s="4" t="s">
        <v>267</v>
      </c>
    </row>
    <row r="1326" spans="1:223" ht="19.5" customHeight="1" x14ac:dyDescent="0.4">
      <c r="A1326" s="4">
        <v>1</v>
      </c>
      <c r="B1326" s="4" t="s">
        <v>239</v>
      </c>
      <c r="C1326" s="4">
        <v>3000</v>
      </c>
      <c r="D1326" s="4">
        <v>1</v>
      </c>
      <c r="E1326" s="4">
        <v>1</v>
      </c>
      <c r="F1326" s="4" t="s">
        <v>268</v>
      </c>
      <c r="G1326" s="4" t="s">
        <v>241</v>
      </c>
      <c r="H1326" s="4" t="s">
        <v>241</v>
      </c>
      <c r="I1326" s="4" t="s">
        <v>272</v>
      </c>
      <c r="J1326" s="4" t="s">
        <v>274</v>
      </c>
      <c r="K1326" s="4" t="s">
        <v>251</v>
      </c>
      <c r="L1326" s="4" t="s">
        <v>269</v>
      </c>
      <c r="M1326" s="5" t="s">
        <v>2898</v>
      </c>
      <c r="N1326" s="6">
        <f>169</f>
        <v>169</v>
      </c>
      <c r="O1326" s="4" t="s">
        <v>265</v>
      </c>
      <c r="P1326" s="6">
        <f>1</f>
        <v>1</v>
      </c>
      <c r="Q1326" s="6">
        <f>0</f>
        <v>0</v>
      </c>
      <c r="S1326" s="6">
        <f>0</f>
        <v>0</v>
      </c>
      <c r="T1326" s="6">
        <f>1</f>
        <v>1</v>
      </c>
      <c r="U1326" s="5" t="s">
        <v>245</v>
      </c>
      <c r="V1326" s="4" t="s">
        <v>270</v>
      </c>
      <c r="W1326" s="4" t="s">
        <v>271</v>
      </c>
      <c r="X1326" s="4" t="s">
        <v>273</v>
      </c>
      <c r="Y1326" s="4" t="s">
        <v>241</v>
      </c>
      <c r="AB1326" s="4" t="s">
        <v>241</v>
      </c>
      <c r="AD1326" s="5" t="s">
        <v>241</v>
      </c>
      <c r="AG1326" s="5" t="s">
        <v>246</v>
      </c>
      <c r="AH1326" s="4" t="s">
        <v>241</v>
      </c>
      <c r="AI1326" s="4" t="s">
        <v>247</v>
      </c>
      <c r="AJ1326" s="4" t="s">
        <v>248</v>
      </c>
      <c r="AZ1326" s="4" t="s">
        <v>249</v>
      </c>
      <c r="BA1326" s="4" t="s">
        <v>241</v>
      </c>
      <c r="BB1326" s="4" t="s">
        <v>250</v>
      </c>
      <c r="BC1326" s="4" t="s">
        <v>241</v>
      </c>
      <c r="BD1326" s="4" t="s">
        <v>252</v>
      </c>
      <c r="BE1326" s="4" t="s">
        <v>241</v>
      </c>
      <c r="BI1326" s="4" t="s">
        <v>253</v>
      </c>
      <c r="BJ1326" s="5" t="s">
        <v>246</v>
      </c>
      <c r="BK1326" s="4" t="s">
        <v>254</v>
      </c>
      <c r="BL1326" s="4" t="s">
        <v>255</v>
      </c>
      <c r="BM1326" s="4" t="s">
        <v>241</v>
      </c>
      <c r="BN1326" s="6">
        <f>0</f>
        <v>0</v>
      </c>
      <c r="BO1326" s="6">
        <f>0</f>
        <v>0</v>
      </c>
      <c r="BP1326" s="4" t="s">
        <v>256</v>
      </c>
      <c r="BQ1326" s="4" t="s">
        <v>257</v>
      </c>
      <c r="CE1326" s="4" t="s">
        <v>241</v>
      </c>
      <c r="CF1326" s="4" t="s">
        <v>241</v>
      </c>
      <c r="CJ1326" s="4" t="s">
        <v>276</v>
      </c>
      <c r="CK1326" s="4" t="s">
        <v>259</v>
      </c>
      <c r="CL1326" s="4" t="s">
        <v>241</v>
      </c>
      <c r="CO1326" s="5" t="s">
        <v>260</v>
      </c>
      <c r="CP1326" s="4" t="s">
        <v>241</v>
      </c>
      <c r="CQ1326" s="4" t="s">
        <v>261</v>
      </c>
      <c r="CR1326" s="4" t="s">
        <v>241</v>
      </c>
      <c r="CS1326" s="4" t="s">
        <v>241</v>
      </c>
      <c r="CT1326" s="4">
        <v>0</v>
      </c>
      <c r="CU1326" s="4" t="s">
        <v>262</v>
      </c>
      <c r="CV1326" s="4" t="s">
        <v>263</v>
      </c>
      <c r="CW1326" s="4" t="s">
        <v>263</v>
      </c>
      <c r="CX1326" s="4" t="s">
        <v>264</v>
      </c>
      <c r="DA1326" s="6">
        <f>1</f>
        <v>1</v>
      </c>
      <c r="DC1326" s="4" t="s">
        <v>277</v>
      </c>
      <c r="DD1326" s="4" t="s">
        <v>241</v>
      </c>
      <c r="DF1326" s="4" t="s">
        <v>277</v>
      </c>
      <c r="DG1326" s="6">
        <f>169</f>
        <v>169</v>
      </c>
      <c r="DI1326" s="4" t="s">
        <v>241</v>
      </c>
      <c r="DJ1326" s="4" t="s">
        <v>241</v>
      </c>
      <c r="DK1326" s="4" t="s">
        <v>241</v>
      </c>
      <c r="DL1326" s="4" t="s">
        <v>241</v>
      </c>
      <c r="DP1326" s="4" t="s">
        <v>241</v>
      </c>
      <c r="DQ1326" s="4" t="s">
        <v>241</v>
      </c>
      <c r="DR1326" s="4" t="s">
        <v>241</v>
      </c>
      <c r="DS1326" s="4" t="s">
        <v>241</v>
      </c>
      <c r="DV1326" s="4" t="s">
        <v>278</v>
      </c>
      <c r="DW1326" s="4" t="s">
        <v>2899</v>
      </c>
      <c r="HO1326" s="4" t="s">
        <v>267</v>
      </c>
    </row>
    <row r="1327" spans="1:223" ht="19.5" customHeight="1" x14ac:dyDescent="0.4">
      <c r="A1327" s="4">
        <v>1</v>
      </c>
      <c r="B1327" s="4" t="s">
        <v>239</v>
      </c>
      <c r="C1327" s="4">
        <v>3001</v>
      </c>
      <c r="D1327" s="4">
        <v>1</v>
      </c>
      <c r="E1327" s="4">
        <v>1</v>
      </c>
      <c r="F1327" s="4" t="s">
        <v>268</v>
      </c>
      <c r="G1327" s="4" t="s">
        <v>241</v>
      </c>
      <c r="H1327" s="4" t="s">
        <v>241</v>
      </c>
      <c r="I1327" s="4" t="s">
        <v>272</v>
      </c>
      <c r="J1327" s="4" t="s">
        <v>274</v>
      </c>
      <c r="K1327" s="4" t="s">
        <v>251</v>
      </c>
      <c r="L1327" s="4" t="s">
        <v>269</v>
      </c>
      <c r="M1327" s="5" t="s">
        <v>2896</v>
      </c>
      <c r="N1327" s="6">
        <f>95</f>
        <v>95</v>
      </c>
      <c r="O1327" s="4" t="s">
        <v>265</v>
      </c>
      <c r="P1327" s="6">
        <f>1</f>
        <v>1</v>
      </c>
      <c r="Q1327" s="6">
        <f>0</f>
        <v>0</v>
      </c>
      <c r="S1327" s="6">
        <f>0</f>
        <v>0</v>
      </c>
      <c r="T1327" s="6">
        <f>1</f>
        <v>1</v>
      </c>
      <c r="U1327" s="5" t="s">
        <v>245</v>
      </c>
      <c r="V1327" s="4" t="s">
        <v>270</v>
      </c>
      <c r="W1327" s="4" t="s">
        <v>271</v>
      </c>
      <c r="X1327" s="4" t="s">
        <v>273</v>
      </c>
      <c r="Y1327" s="4" t="s">
        <v>241</v>
      </c>
      <c r="AB1327" s="4" t="s">
        <v>241</v>
      </c>
      <c r="AD1327" s="5" t="s">
        <v>241</v>
      </c>
      <c r="AG1327" s="5" t="s">
        <v>246</v>
      </c>
      <c r="AH1327" s="4" t="s">
        <v>241</v>
      </c>
      <c r="AI1327" s="4" t="s">
        <v>247</v>
      </c>
      <c r="AJ1327" s="4" t="s">
        <v>248</v>
      </c>
      <c r="AZ1327" s="4" t="s">
        <v>249</v>
      </c>
      <c r="BA1327" s="4" t="s">
        <v>241</v>
      </c>
      <c r="BB1327" s="4" t="s">
        <v>250</v>
      </c>
      <c r="BC1327" s="4" t="s">
        <v>241</v>
      </c>
      <c r="BD1327" s="4" t="s">
        <v>252</v>
      </c>
      <c r="BE1327" s="4" t="s">
        <v>241</v>
      </c>
      <c r="BI1327" s="4" t="s">
        <v>253</v>
      </c>
      <c r="BJ1327" s="5" t="s">
        <v>246</v>
      </c>
      <c r="BK1327" s="4" t="s">
        <v>254</v>
      </c>
      <c r="BL1327" s="4" t="s">
        <v>255</v>
      </c>
      <c r="BM1327" s="4" t="s">
        <v>241</v>
      </c>
      <c r="BN1327" s="6">
        <f>0</f>
        <v>0</v>
      </c>
      <c r="BO1327" s="6">
        <f>0</f>
        <v>0</v>
      </c>
      <c r="BP1327" s="4" t="s">
        <v>256</v>
      </c>
      <c r="BQ1327" s="4" t="s">
        <v>257</v>
      </c>
      <c r="CE1327" s="4" t="s">
        <v>241</v>
      </c>
      <c r="CF1327" s="4" t="s">
        <v>241</v>
      </c>
      <c r="CJ1327" s="4" t="s">
        <v>276</v>
      </c>
      <c r="CK1327" s="4" t="s">
        <v>259</v>
      </c>
      <c r="CL1327" s="4" t="s">
        <v>241</v>
      </c>
      <c r="CO1327" s="5" t="s">
        <v>260</v>
      </c>
      <c r="CP1327" s="4" t="s">
        <v>241</v>
      </c>
      <c r="CQ1327" s="4" t="s">
        <v>261</v>
      </c>
      <c r="CR1327" s="4" t="s">
        <v>241</v>
      </c>
      <c r="CS1327" s="4" t="s">
        <v>241</v>
      </c>
      <c r="CT1327" s="4">
        <v>0</v>
      </c>
      <c r="CU1327" s="4" t="s">
        <v>262</v>
      </c>
      <c r="CV1327" s="4" t="s">
        <v>263</v>
      </c>
      <c r="CW1327" s="4" t="s">
        <v>263</v>
      </c>
      <c r="CX1327" s="4" t="s">
        <v>264</v>
      </c>
      <c r="DA1327" s="6">
        <f>1</f>
        <v>1</v>
      </c>
      <c r="DC1327" s="4" t="s">
        <v>277</v>
      </c>
      <c r="DD1327" s="4" t="s">
        <v>241</v>
      </c>
      <c r="DF1327" s="4" t="s">
        <v>277</v>
      </c>
      <c r="DG1327" s="6">
        <f>95</f>
        <v>95</v>
      </c>
      <c r="DI1327" s="4" t="s">
        <v>241</v>
      </c>
      <c r="DJ1327" s="4" t="s">
        <v>241</v>
      </c>
      <c r="DK1327" s="4" t="s">
        <v>241</v>
      </c>
      <c r="DL1327" s="4" t="s">
        <v>241</v>
      </c>
      <c r="DP1327" s="4" t="s">
        <v>241</v>
      </c>
      <c r="DQ1327" s="4" t="s">
        <v>241</v>
      </c>
      <c r="DR1327" s="4" t="s">
        <v>241</v>
      </c>
      <c r="DS1327" s="4" t="s">
        <v>241</v>
      </c>
      <c r="DV1327" s="4" t="s">
        <v>278</v>
      </c>
      <c r="DW1327" s="4" t="s">
        <v>2897</v>
      </c>
      <c r="HO1327" s="4" t="s">
        <v>267</v>
      </c>
    </row>
    <row r="1328" spans="1:223" ht="19.5" customHeight="1" x14ac:dyDescent="0.4">
      <c r="A1328" s="4">
        <v>1</v>
      </c>
      <c r="B1328" s="4" t="s">
        <v>239</v>
      </c>
      <c r="C1328" s="4">
        <v>3002</v>
      </c>
      <c r="D1328" s="4">
        <v>1</v>
      </c>
      <c r="E1328" s="4">
        <v>1</v>
      </c>
      <c r="F1328" s="4" t="s">
        <v>268</v>
      </c>
      <c r="G1328" s="4" t="s">
        <v>241</v>
      </c>
      <c r="H1328" s="4" t="s">
        <v>241</v>
      </c>
      <c r="I1328" s="4" t="s">
        <v>272</v>
      </c>
      <c r="J1328" s="4" t="s">
        <v>274</v>
      </c>
      <c r="K1328" s="4" t="s">
        <v>251</v>
      </c>
      <c r="L1328" s="4" t="s">
        <v>269</v>
      </c>
      <c r="M1328" s="5" t="s">
        <v>2894</v>
      </c>
      <c r="N1328" s="6">
        <f>1206</f>
        <v>1206</v>
      </c>
      <c r="O1328" s="4" t="s">
        <v>265</v>
      </c>
      <c r="P1328" s="6">
        <f>1</f>
        <v>1</v>
      </c>
      <c r="Q1328" s="6">
        <f>0</f>
        <v>0</v>
      </c>
      <c r="S1328" s="6">
        <f>0</f>
        <v>0</v>
      </c>
      <c r="T1328" s="6">
        <f>1</f>
        <v>1</v>
      </c>
      <c r="U1328" s="5" t="s">
        <v>245</v>
      </c>
      <c r="V1328" s="4" t="s">
        <v>270</v>
      </c>
      <c r="W1328" s="4" t="s">
        <v>271</v>
      </c>
      <c r="X1328" s="4" t="s">
        <v>273</v>
      </c>
      <c r="Y1328" s="4" t="s">
        <v>241</v>
      </c>
      <c r="AB1328" s="4" t="s">
        <v>241</v>
      </c>
      <c r="AD1328" s="5" t="s">
        <v>241</v>
      </c>
      <c r="AG1328" s="5" t="s">
        <v>246</v>
      </c>
      <c r="AH1328" s="4" t="s">
        <v>241</v>
      </c>
      <c r="AI1328" s="4" t="s">
        <v>247</v>
      </c>
      <c r="AJ1328" s="4" t="s">
        <v>248</v>
      </c>
      <c r="AZ1328" s="4" t="s">
        <v>249</v>
      </c>
      <c r="BA1328" s="4" t="s">
        <v>241</v>
      </c>
      <c r="BB1328" s="4" t="s">
        <v>250</v>
      </c>
      <c r="BC1328" s="4" t="s">
        <v>241</v>
      </c>
      <c r="BD1328" s="4" t="s">
        <v>252</v>
      </c>
      <c r="BE1328" s="4" t="s">
        <v>241</v>
      </c>
      <c r="BI1328" s="4" t="s">
        <v>253</v>
      </c>
      <c r="BJ1328" s="5" t="s">
        <v>246</v>
      </c>
      <c r="BK1328" s="4" t="s">
        <v>254</v>
      </c>
      <c r="BL1328" s="4" t="s">
        <v>255</v>
      </c>
      <c r="BM1328" s="4" t="s">
        <v>241</v>
      </c>
      <c r="BN1328" s="6">
        <f>0</f>
        <v>0</v>
      </c>
      <c r="BO1328" s="6">
        <f>0</f>
        <v>0</v>
      </c>
      <c r="BP1328" s="4" t="s">
        <v>256</v>
      </c>
      <c r="BQ1328" s="4" t="s">
        <v>257</v>
      </c>
      <c r="CE1328" s="4" t="s">
        <v>241</v>
      </c>
      <c r="CF1328" s="4" t="s">
        <v>241</v>
      </c>
      <c r="CJ1328" s="4" t="s">
        <v>276</v>
      </c>
      <c r="CK1328" s="4" t="s">
        <v>259</v>
      </c>
      <c r="CL1328" s="4" t="s">
        <v>241</v>
      </c>
      <c r="CO1328" s="5" t="s">
        <v>260</v>
      </c>
      <c r="CP1328" s="4" t="s">
        <v>241</v>
      </c>
      <c r="CQ1328" s="4" t="s">
        <v>261</v>
      </c>
      <c r="CR1328" s="4" t="s">
        <v>241</v>
      </c>
      <c r="CS1328" s="4" t="s">
        <v>241</v>
      </c>
      <c r="CT1328" s="4">
        <v>0</v>
      </c>
      <c r="CU1328" s="4" t="s">
        <v>262</v>
      </c>
      <c r="CV1328" s="4" t="s">
        <v>263</v>
      </c>
      <c r="CW1328" s="4" t="s">
        <v>263</v>
      </c>
      <c r="CX1328" s="4" t="s">
        <v>264</v>
      </c>
      <c r="DA1328" s="6">
        <f>1</f>
        <v>1</v>
      </c>
      <c r="DC1328" s="4" t="s">
        <v>277</v>
      </c>
      <c r="DD1328" s="4" t="s">
        <v>241</v>
      </c>
      <c r="DF1328" s="4" t="s">
        <v>277</v>
      </c>
      <c r="DG1328" s="6">
        <f>1206</f>
        <v>1206</v>
      </c>
      <c r="DI1328" s="4" t="s">
        <v>241</v>
      </c>
      <c r="DJ1328" s="4" t="s">
        <v>241</v>
      </c>
      <c r="DK1328" s="4" t="s">
        <v>241</v>
      </c>
      <c r="DL1328" s="4" t="s">
        <v>241</v>
      </c>
      <c r="DP1328" s="4" t="s">
        <v>241</v>
      </c>
      <c r="DQ1328" s="4" t="s">
        <v>241</v>
      </c>
      <c r="DR1328" s="4" t="s">
        <v>241</v>
      </c>
      <c r="DS1328" s="4" t="s">
        <v>241</v>
      </c>
      <c r="DV1328" s="4" t="s">
        <v>278</v>
      </c>
      <c r="DW1328" s="4" t="s">
        <v>2895</v>
      </c>
      <c r="HO1328" s="4" t="s">
        <v>267</v>
      </c>
    </row>
    <row r="1329" spans="1:223" ht="19.5" customHeight="1" x14ac:dyDescent="0.4">
      <c r="A1329" s="4">
        <v>1</v>
      </c>
      <c r="B1329" s="4" t="s">
        <v>239</v>
      </c>
      <c r="C1329" s="4">
        <v>3003</v>
      </c>
      <c r="D1329" s="4">
        <v>1</v>
      </c>
      <c r="E1329" s="4">
        <v>1</v>
      </c>
      <c r="F1329" s="4" t="s">
        <v>268</v>
      </c>
      <c r="G1329" s="4" t="s">
        <v>241</v>
      </c>
      <c r="H1329" s="4" t="s">
        <v>241</v>
      </c>
      <c r="I1329" s="4" t="s">
        <v>272</v>
      </c>
      <c r="J1329" s="4" t="s">
        <v>274</v>
      </c>
      <c r="K1329" s="4" t="s">
        <v>251</v>
      </c>
      <c r="L1329" s="4" t="s">
        <v>269</v>
      </c>
      <c r="M1329" s="5" t="s">
        <v>2892</v>
      </c>
      <c r="N1329" s="6">
        <f>2286</f>
        <v>2286</v>
      </c>
      <c r="O1329" s="4" t="s">
        <v>265</v>
      </c>
      <c r="P1329" s="6">
        <f>1</f>
        <v>1</v>
      </c>
      <c r="Q1329" s="6">
        <f>0</f>
        <v>0</v>
      </c>
      <c r="S1329" s="6">
        <f>0</f>
        <v>0</v>
      </c>
      <c r="T1329" s="6">
        <f>1</f>
        <v>1</v>
      </c>
      <c r="U1329" s="5" t="s">
        <v>245</v>
      </c>
      <c r="V1329" s="4" t="s">
        <v>270</v>
      </c>
      <c r="W1329" s="4" t="s">
        <v>271</v>
      </c>
      <c r="X1329" s="4" t="s">
        <v>273</v>
      </c>
      <c r="Y1329" s="4" t="s">
        <v>241</v>
      </c>
      <c r="AB1329" s="4" t="s">
        <v>241</v>
      </c>
      <c r="AD1329" s="5" t="s">
        <v>241</v>
      </c>
      <c r="AG1329" s="5" t="s">
        <v>246</v>
      </c>
      <c r="AH1329" s="4" t="s">
        <v>241</v>
      </c>
      <c r="AI1329" s="4" t="s">
        <v>247</v>
      </c>
      <c r="AJ1329" s="4" t="s">
        <v>248</v>
      </c>
      <c r="AZ1329" s="4" t="s">
        <v>249</v>
      </c>
      <c r="BA1329" s="4" t="s">
        <v>241</v>
      </c>
      <c r="BB1329" s="4" t="s">
        <v>250</v>
      </c>
      <c r="BC1329" s="4" t="s">
        <v>241</v>
      </c>
      <c r="BD1329" s="4" t="s">
        <v>252</v>
      </c>
      <c r="BE1329" s="4" t="s">
        <v>241</v>
      </c>
      <c r="BI1329" s="4" t="s">
        <v>253</v>
      </c>
      <c r="BJ1329" s="5" t="s">
        <v>246</v>
      </c>
      <c r="BK1329" s="4" t="s">
        <v>254</v>
      </c>
      <c r="BL1329" s="4" t="s">
        <v>255</v>
      </c>
      <c r="BM1329" s="4" t="s">
        <v>241</v>
      </c>
      <c r="BN1329" s="6">
        <f>0</f>
        <v>0</v>
      </c>
      <c r="BO1329" s="6">
        <f>0</f>
        <v>0</v>
      </c>
      <c r="BP1329" s="4" t="s">
        <v>256</v>
      </c>
      <c r="BQ1329" s="4" t="s">
        <v>257</v>
      </c>
      <c r="CE1329" s="4" t="s">
        <v>241</v>
      </c>
      <c r="CF1329" s="4" t="s">
        <v>241</v>
      </c>
      <c r="CJ1329" s="4" t="s">
        <v>276</v>
      </c>
      <c r="CK1329" s="4" t="s">
        <v>259</v>
      </c>
      <c r="CL1329" s="4" t="s">
        <v>241</v>
      </c>
      <c r="CO1329" s="5" t="s">
        <v>260</v>
      </c>
      <c r="CP1329" s="4" t="s">
        <v>241</v>
      </c>
      <c r="CQ1329" s="4" t="s">
        <v>261</v>
      </c>
      <c r="CR1329" s="4" t="s">
        <v>241</v>
      </c>
      <c r="CS1329" s="4" t="s">
        <v>241</v>
      </c>
      <c r="CT1329" s="4">
        <v>0</v>
      </c>
      <c r="CU1329" s="4" t="s">
        <v>262</v>
      </c>
      <c r="CV1329" s="4" t="s">
        <v>263</v>
      </c>
      <c r="CW1329" s="4" t="s">
        <v>263</v>
      </c>
      <c r="CX1329" s="4" t="s">
        <v>264</v>
      </c>
      <c r="DA1329" s="6">
        <f>1</f>
        <v>1</v>
      </c>
      <c r="DC1329" s="4" t="s">
        <v>277</v>
      </c>
      <c r="DD1329" s="4" t="s">
        <v>241</v>
      </c>
      <c r="DF1329" s="4" t="s">
        <v>277</v>
      </c>
      <c r="DG1329" s="6">
        <f>2286</f>
        <v>2286</v>
      </c>
      <c r="DI1329" s="4" t="s">
        <v>241</v>
      </c>
      <c r="DJ1329" s="4" t="s">
        <v>241</v>
      </c>
      <c r="DK1329" s="4" t="s">
        <v>241</v>
      </c>
      <c r="DL1329" s="4" t="s">
        <v>241</v>
      </c>
      <c r="DP1329" s="4" t="s">
        <v>241</v>
      </c>
      <c r="DQ1329" s="4" t="s">
        <v>241</v>
      </c>
      <c r="DR1329" s="4" t="s">
        <v>241</v>
      </c>
      <c r="DS1329" s="4" t="s">
        <v>241</v>
      </c>
      <c r="DV1329" s="4" t="s">
        <v>278</v>
      </c>
      <c r="DW1329" s="4" t="s">
        <v>2893</v>
      </c>
      <c r="HO1329" s="4" t="s">
        <v>267</v>
      </c>
    </row>
    <row r="1330" spans="1:223" ht="19.5" customHeight="1" x14ac:dyDescent="0.4">
      <c r="A1330" s="4">
        <v>1</v>
      </c>
      <c r="B1330" s="4" t="s">
        <v>239</v>
      </c>
      <c r="C1330" s="4">
        <v>3004</v>
      </c>
      <c r="D1330" s="4">
        <v>1</v>
      </c>
      <c r="E1330" s="4">
        <v>1</v>
      </c>
      <c r="F1330" s="4" t="s">
        <v>268</v>
      </c>
      <c r="G1330" s="4" t="s">
        <v>241</v>
      </c>
      <c r="H1330" s="4" t="s">
        <v>241</v>
      </c>
      <c r="I1330" s="4" t="s">
        <v>272</v>
      </c>
      <c r="J1330" s="4" t="s">
        <v>274</v>
      </c>
      <c r="K1330" s="4" t="s">
        <v>251</v>
      </c>
      <c r="L1330" s="4" t="s">
        <v>269</v>
      </c>
      <c r="M1330" s="5" t="s">
        <v>1946</v>
      </c>
      <c r="N1330" s="6">
        <f>976</f>
        <v>976</v>
      </c>
      <c r="O1330" s="4" t="s">
        <v>265</v>
      </c>
      <c r="P1330" s="6">
        <f>1</f>
        <v>1</v>
      </c>
      <c r="Q1330" s="6">
        <f>0</f>
        <v>0</v>
      </c>
      <c r="S1330" s="6">
        <f>0</f>
        <v>0</v>
      </c>
      <c r="T1330" s="6">
        <f>1</f>
        <v>1</v>
      </c>
      <c r="U1330" s="5" t="s">
        <v>245</v>
      </c>
      <c r="V1330" s="4" t="s">
        <v>270</v>
      </c>
      <c r="W1330" s="4" t="s">
        <v>271</v>
      </c>
      <c r="X1330" s="4" t="s">
        <v>273</v>
      </c>
      <c r="Y1330" s="4" t="s">
        <v>241</v>
      </c>
      <c r="AB1330" s="4" t="s">
        <v>241</v>
      </c>
      <c r="AD1330" s="5" t="s">
        <v>241</v>
      </c>
      <c r="AG1330" s="5" t="s">
        <v>246</v>
      </c>
      <c r="AH1330" s="4" t="s">
        <v>241</v>
      </c>
      <c r="AI1330" s="4" t="s">
        <v>247</v>
      </c>
      <c r="AJ1330" s="4" t="s">
        <v>248</v>
      </c>
      <c r="AZ1330" s="4" t="s">
        <v>249</v>
      </c>
      <c r="BA1330" s="4" t="s">
        <v>241</v>
      </c>
      <c r="BB1330" s="4" t="s">
        <v>250</v>
      </c>
      <c r="BC1330" s="4" t="s">
        <v>241</v>
      </c>
      <c r="BD1330" s="4" t="s">
        <v>252</v>
      </c>
      <c r="BE1330" s="4" t="s">
        <v>241</v>
      </c>
      <c r="BI1330" s="4" t="s">
        <v>253</v>
      </c>
      <c r="BJ1330" s="5" t="s">
        <v>246</v>
      </c>
      <c r="BK1330" s="4" t="s">
        <v>254</v>
      </c>
      <c r="BL1330" s="4" t="s">
        <v>255</v>
      </c>
      <c r="BM1330" s="4" t="s">
        <v>241</v>
      </c>
      <c r="BN1330" s="6">
        <f>0</f>
        <v>0</v>
      </c>
      <c r="BO1330" s="6">
        <f>0</f>
        <v>0</v>
      </c>
      <c r="BP1330" s="4" t="s">
        <v>256</v>
      </c>
      <c r="BQ1330" s="4" t="s">
        <v>257</v>
      </c>
      <c r="CE1330" s="4" t="s">
        <v>241</v>
      </c>
      <c r="CF1330" s="4" t="s">
        <v>241</v>
      </c>
      <c r="CJ1330" s="4" t="s">
        <v>276</v>
      </c>
      <c r="CK1330" s="4" t="s">
        <v>259</v>
      </c>
      <c r="CL1330" s="4" t="s">
        <v>241</v>
      </c>
      <c r="CO1330" s="5" t="s">
        <v>260</v>
      </c>
      <c r="CP1330" s="4" t="s">
        <v>241</v>
      </c>
      <c r="CQ1330" s="4" t="s">
        <v>261</v>
      </c>
      <c r="CR1330" s="4" t="s">
        <v>241</v>
      </c>
      <c r="CS1330" s="4" t="s">
        <v>241</v>
      </c>
      <c r="CT1330" s="4">
        <v>0</v>
      </c>
      <c r="CU1330" s="4" t="s">
        <v>262</v>
      </c>
      <c r="CV1330" s="4" t="s">
        <v>263</v>
      </c>
      <c r="CW1330" s="4" t="s">
        <v>263</v>
      </c>
      <c r="CX1330" s="4" t="s">
        <v>264</v>
      </c>
      <c r="DA1330" s="6">
        <f>1</f>
        <v>1</v>
      </c>
      <c r="DC1330" s="4" t="s">
        <v>277</v>
      </c>
      <c r="DD1330" s="4" t="s">
        <v>241</v>
      </c>
      <c r="DF1330" s="4" t="s">
        <v>277</v>
      </c>
      <c r="DG1330" s="6">
        <f>976</f>
        <v>976</v>
      </c>
      <c r="DI1330" s="4" t="s">
        <v>241</v>
      </c>
      <c r="DJ1330" s="4" t="s">
        <v>241</v>
      </c>
      <c r="DK1330" s="4" t="s">
        <v>241</v>
      </c>
      <c r="DL1330" s="4" t="s">
        <v>241</v>
      </c>
      <c r="DP1330" s="4" t="s">
        <v>241</v>
      </c>
      <c r="DQ1330" s="4" t="s">
        <v>241</v>
      </c>
      <c r="DR1330" s="4" t="s">
        <v>241</v>
      </c>
      <c r="DS1330" s="4" t="s">
        <v>241</v>
      </c>
      <c r="DV1330" s="4" t="s">
        <v>278</v>
      </c>
      <c r="DW1330" s="4" t="s">
        <v>1947</v>
      </c>
      <c r="HO1330" s="4" t="s">
        <v>267</v>
      </c>
    </row>
    <row r="1331" spans="1:223" ht="19.5" customHeight="1" x14ac:dyDescent="0.4">
      <c r="A1331" s="4">
        <v>1</v>
      </c>
      <c r="B1331" s="4" t="s">
        <v>239</v>
      </c>
      <c r="C1331" s="4">
        <v>3005</v>
      </c>
      <c r="D1331" s="4">
        <v>1</v>
      </c>
      <c r="E1331" s="4">
        <v>1</v>
      </c>
      <c r="F1331" s="4" t="s">
        <v>268</v>
      </c>
      <c r="G1331" s="4" t="s">
        <v>241</v>
      </c>
      <c r="H1331" s="4" t="s">
        <v>241</v>
      </c>
      <c r="I1331" s="4" t="s">
        <v>272</v>
      </c>
      <c r="J1331" s="4" t="s">
        <v>274</v>
      </c>
      <c r="K1331" s="4" t="s">
        <v>251</v>
      </c>
      <c r="L1331" s="4" t="s">
        <v>269</v>
      </c>
      <c r="M1331" s="5" t="s">
        <v>2888</v>
      </c>
      <c r="N1331" s="6">
        <f>2701</f>
        <v>2701</v>
      </c>
      <c r="O1331" s="4" t="s">
        <v>265</v>
      </c>
      <c r="P1331" s="6">
        <f>1</f>
        <v>1</v>
      </c>
      <c r="Q1331" s="6">
        <f>0</f>
        <v>0</v>
      </c>
      <c r="S1331" s="6">
        <f>0</f>
        <v>0</v>
      </c>
      <c r="T1331" s="6">
        <f>1</f>
        <v>1</v>
      </c>
      <c r="U1331" s="5" t="s">
        <v>245</v>
      </c>
      <c r="V1331" s="4" t="s">
        <v>270</v>
      </c>
      <c r="W1331" s="4" t="s">
        <v>271</v>
      </c>
      <c r="X1331" s="4" t="s">
        <v>273</v>
      </c>
      <c r="Y1331" s="4" t="s">
        <v>241</v>
      </c>
      <c r="AB1331" s="4" t="s">
        <v>241</v>
      </c>
      <c r="AD1331" s="5" t="s">
        <v>241</v>
      </c>
      <c r="AG1331" s="5" t="s">
        <v>246</v>
      </c>
      <c r="AH1331" s="4" t="s">
        <v>241</v>
      </c>
      <c r="AI1331" s="4" t="s">
        <v>247</v>
      </c>
      <c r="AJ1331" s="4" t="s">
        <v>248</v>
      </c>
      <c r="AZ1331" s="4" t="s">
        <v>249</v>
      </c>
      <c r="BA1331" s="4" t="s">
        <v>241</v>
      </c>
      <c r="BB1331" s="4" t="s">
        <v>250</v>
      </c>
      <c r="BC1331" s="4" t="s">
        <v>241</v>
      </c>
      <c r="BD1331" s="4" t="s">
        <v>252</v>
      </c>
      <c r="BE1331" s="4" t="s">
        <v>241</v>
      </c>
      <c r="BI1331" s="4" t="s">
        <v>253</v>
      </c>
      <c r="BJ1331" s="5" t="s">
        <v>246</v>
      </c>
      <c r="BK1331" s="4" t="s">
        <v>254</v>
      </c>
      <c r="BL1331" s="4" t="s">
        <v>255</v>
      </c>
      <c r="BM1331" s="4" t="s">
        <v>241</v>
      </c>
      <c r="BN1331" s="6">
        <f>0</f>
        <v>0</v>
      </c>
      <c r="BO1331" s="6">
        <f>0</f>
        <v>0</v>
      </c>
      <c r="BP1331" s="4" t="s">
        <v>256</v>
      </c>
      <c r="BQ1331" s="4" t="s">
        <v>257</v>
      </c>
      <c r="CE1331" s="4" t="s">
        <v>241</v>
      </c>
      <c r="CF1331" s="4" t="s">
        <v>241</v>
      </c>
      <c r="CJ1331" s="4" t="s">
        <v>276</v>
      </c>
      <c r="CK1331" s="4" t="s">
        <v>259</v>
      </c>
      <c r="CL1331" s="4" t="s">
        <v>241</v>
      </c>
      <c r="CO1331" s="5" t="s">
        <v>260</v>
      </c>
      <c r="CP1331" s="4" t="s">
        <v>241</v>
      </c>
      <c r="CQ1331" s="4" t="s">
        <v>261</v>
      </c>
      <c r="CR1331" s="4" t="s">
        <v>241</v>
      </c>
      <c r="CS1331" s="4" t="s">
        <v>241</v>
      </c>
      <c r="CT1331" s="4">
        <v>0</v>
      </c>
      <c r="CU1331" s="4" t="s">
        <v>262</v>
      </c>
      <c r="CV1331" s="4" t="s">
        <v>263</v>
      </c>
      <c r="CW1331" s="4" t="s">
        <v>263</v>
      </c>
      <c r="CX1331" s="4" t="s">
        <v>264</v>
      </c>
      <c r="DA1331" s="6">
        <f>1</f>
        <v>1</v>
      </c>
      <c r="DC1331" s="4" t="s">
        <v>277</v>
      </c>
      <c r="DD1331" s="4" t="s">
        <v>241</v>
      </c>
      <c r="DF1331" s="4" t="s">
        <v>277</v>
      </c>
      <c r="DG1331" s="6">
        <f>2701</f>
        <v>2701</v>
      </c>
      <c r="DI1331" s="4" t="s">
        <v>241</v>
      </c>
      <c r="DJ1331" s="4" t="s">
        <v>241</v>
      </c>
      <c r="DK1331" s="4" t="s">
        <v>241</v>
      </c>
      <c r="DL1331" s="4" t="s">
        <v>241</v>
      </c>
      <c r="DP1331" s="4" t="s">
        <v>241</v>
      </c>
      <c r="DQ1331" s="4" t="s">
        <v>241</v>
      </c>
      <c r="DR1331" s="4" t="s">
        <v>241</v>
      </c>
      <c r="DS1331" s="4" t="s">
        <v>241</v>
      </c>
      <c r="DV1331" s="4" t="s">
        <v>278</v>
      </c>
      <c r="DW1331" s="4" t="s">
        <v>2889</v>
      </c>
      <c r="HO1331" s="4" t="s">
        <v>267</v>
      </c>
    </row>
    <row r="1332" spans="1:223" ht="19.5" customHeight="1" x14ac:dyDescent="0.4">
      <c r="A1332" s="4">
        <v>1</v>
      </c>
      <c r="B1332" s="4" t="s">
        <v>239</v>
      </c>
      <c r="C1332" s="4">
        <v>3006</v>
      </c>
      <c r="D1332" s="4">
        <v>1</v>
      </c>
      <c r="E1332" s="4">
        <v>1</v>
      </c>
      <c r="F1332" s="4" t="s">
        <v>268</v>
      </c>
      <c r="G1332" s="4" t="s">
        <v>241</v>
      </c>
      <c r="H1332" s="4" t="s">
        <v>241</v>
      </c>
      <c r="I1332" s="4" t="s">
        <v>272</v>
      </c>
      <c r="J1332" s="4" t="s">
        <v>274</v>
      </c>
      <c r="K1332" s="4" t="s">
        <v>251</v>
      </c>
      <c r="L1332" s="4" t="s">
        <v>269</v>
      </c>
      <c r="M1332" s="5" t="s">
        <v>2890</v>
      </c>
      <c r="N1332" s="6">
        <f>1448</f>
        <v>1448</v>
      </c>
      <c r="O1332" s="4" t="s">
        <v>265</v>
      </c>
      <c r="P1332" s="6">
        <f>1</f>
        <v>1</v>
      </c>
      <c r="Q1332" s="6">
        <f>0</f>
        <v>0</v>
      </c>
      <c r="S1332" s="6">
        <f>0</f>
        <v>0</v>
      </c>
      <c r="T1332" s="6">
        <f>1</f>
        <v>1</v>
      </c>
      <c r="U1332" s="5" t="s">
        <v>245</v>
      </c>
      <c r="V1332" s="4" t="s">
        <v>270</v>
      </c>
      <c r="W1332" s="4" t="s">
        <v>271</v>
      </c>
      <c r="X1332" s="4" t="s">
        <v>273</v>
      </c>
      <c r="Y1332" s="4" t="s">
        <v>241</v>
      </c>
      <c r="AB1332" s="4" t="s">
        <v>241</v>
      </c>
      <c r="AD1332" s="5" t="s">
        <v>241</v>
      </c>
      <c r="AG1332" s="5" t="s">
        <v>246</v>
      </c>
      <c r="AH1332" s="4" t="s">
        <v>241</v>
      </c>
      <c r="AI1332" s="4" t="s">
        <v>247</v>
      </c>
      <c r="AJ1332" s="4" t="s">
        <v>248</v>
      </c>
      <c r="AZ1332" s="4" t="s">
        <v>249</v>
      </c>
      <c r="BA1332" s="4" t="s">
        <v>241</v>
      </c>
      <c r="BB1332" s="4" t="s">
        <v>250</v>
      </c>
      <c r="BC1332" s="4" t="s">
        <v>241</v>
      </c>
      <c r="BD1332" s="4" t="s">
        <v>252</v>
      </c>
      <c r="BE1332" s="4" t="s">
        <v>241</v>
      </c>
      <c r="BI1332" s="4" t="s">
        <v>253</v>
      </c>
      <c r="BJ1332" s="5" t="s">
        <v>246</v>
      </c>
      <c r="BK1332" s="4" t="s">
        <v>254</v>
      </c>
      <c r="BL1332" s="4" t="s">
        <v>255</v>
      </c>
      <c r="BM1332" s="4" t="s">
        <v>241</v>
      </c>
      <c r="BN1332" s="6">
        <f>0</f>
        <v>0</v>
      </c>
      <c r="BO1332" s="6">
        <f>0</f>
        <v>0</v>
      </c>
      <c r="BP1332" s="4" t="s">
        <v>256</v>
      </c>
      <c r="BQ1332" s="4" t="s">
        <v>257</v>
      </c>
      <c r="CE1332" s="4" t="s">
        <v>241</v>
      </c>
      <c r="CF1332" s="4" t="s">
        <v>241</v>
      </c>
      <c r="CJ1332" s="4" t="s">
        <v>276</v>
      </c>
      <c r="CK1332" s="4" t="s">
        <v>259</v>
      </c>
      <c r="CL1332" s="4" t="s">
        <v>241</v>
      </c>
      <c r="CO1332" s="5" t="s">
        <v>260</v>
      </c>
      <c r="CP1332" s="4" t="s">
        <v>241</v>
      </c>
      <c r="CQ1332" s="4" t="s">
        <v>261</v>
      </c>
      <c r="CR1332" s="4" t="s">
        <v>241</v>
      </c>
      <c r="CS1332" s="4" t="s">
        <v>241</v>
      </c>
      <c r="CT1332" s="4">
        <v>0</v>
      </c>
      <c r="CU1332" s="4" t="s">
        <v>262</v>
      </c>
      <c r="CV1332" s="4" t="s">
        <v>263</v>
      </c>
      <c r="CW1332" s="4" t="s">
        <v>263</v>
      </c>
      <c r="CX1332" s="4" t="s">
        <v>264</v>
      </c>
      <c r="DA1332" s="6">
        <f>1</f>
        <v>1</v>
      </c>
      <c r="DC1332" s="4" t="s">
        <v>277</v>
      </c>
      <c r="DD1332" s="4" t="s">
        <v>241</v>
      </c>
      <c r="DF1332" s="4" t="s">
        <v>277</v>
      </c>
      <c r="DG1332" s="6">
        <f>1448</f>
        <v>1448</v>
      </c>
      <c r="DI1332" s="4" t="s">
        <v>241</v>
      </c>
      <c r="DJ1332" s="4" t="s">
        <v>241</v>
      </c>
      <c r="DK1332" s="4" t="s">
        <v>241</v>
      </c>
      <c r="DL1332" s="4" t="s">
        <v>241</v>
      </c>
      <c r="DP1332" s="4" t="s">
        <v>241</v>
      </c>
      <c r="DQ1332" s="4" t="s">
        <v>241</v>
      </c>
      <c r="DR1332" s="4" t="s">
        <v>241</v>
      </c>
      <c r="DS1332" s="4" t="s">
        <v>241</v>
      </c>
      <c r="DV1332" s="4" t="s">
        <v>278</v>
      </c>
      <c r="DW1332" s="4" t="s">
        <v>2891</v>
      </c>
      <c r="HO1332" s="4" t="s">
        <v>267</v>
      </c>
    </row>
    <row r="1333" spans="1:223" ht="19.5" customHeight="1" x14ac:dyDescent="0.4">
      <c r="A1333" s="4">
        <v>1</v>
      </c>
      <c r="B1333" s="4" t="s">
        <v>239</v>
      </c>
      <c r="C1333" s="4">
        <v>3007</v>
      </c>
      <c r="D1333" s="4">
        <v>1</v>
      </c>
      <c r="E1333" s="4">
        <v>1</v>
      </c>
      <c r="F1333" s="4" t="s">
        <v>268</v>
      </c>
      <c r="G1333" s="4" t="s">
        <v>241</v>
      </c>
      <c r="H1333" s="4" t="s">
        <v>241</v>
      </c>
      <c r="I1333" s="4" t="s">
        <v>272</v>
      </c>
      <c r="J1333" s="4" t="s">
        <v>274</v>
      </c>
      <c r="K1333" s="4" t="s">
        <v>251</v>
      </c>
      <c r="L1333" s="4" t="s">
        <v>269</v>
      </c>
      <c r="M1333" s="5" t="s">
        <v>2886</v>
      </c>
      <c r="N1333" s="6">
        <f>1463</f>
        <v>1463</v>
      </c>
      <c r="O1333" s="4" t="s">
        <v>265</v>
      </c>
      <c r="P1333" s="6">
        <f>1</f>
        <v>1</v>
      </c>
      <c r="Q1333" s="6">
        <f>0</f>
        <v>0</v>
      </c>
      <c r="S1333" s="6">
        <f>0</f>
        <v>0</v>
      </c>
      <c r="T1333" s="6">
        <f>1</f>
        <v>1</v>
      </c>
      <c r="U1333" s="5" t="s">
        <v>245</v>
      </c>
      <c r="V1333" s="4" t="s">
        <v>270</v>
      </c>
      <c r="W1333" s="4" t="s">
        <v>271</v>
      </c>
      <c r="X1333" s="4" t="s">
        <v>273</v>
      </c>
      <c r="Y1333" s="4" t="s">
        <v>241</v>
      </c>
      <c r="AB1333" s="4" t="s">
        <v>241</v>
      </c>
      <c r="AD1333" s="5" t="s">
        <v>241</v>
      </c>
      <c r="AG1333" s="5" t="s">
        <v>246</v>
      </c>
      <c r="AH1333" s="4" t="s">
        <v>241</v>
      </c>
      <c r="AI1333" s="4" t="s">
        <v>247</v>
      </c>
      <c r="AJ1333" s="4" t="s">
        <v>248</v>
      </c>
      <c r="AZ1333" s="4" t="s">
        <v>249</v>
      </c>
      <c r="BA1333" s="4" t="s">
        <v>241</v>
      </c>
      <c r="BB1333" s="4" t="s">
        <v>250</v>
      </c>
      <c r="BC1333" s="4" t="s">
        <v>241</v>
      </c>
      <c r="BD1333" s="4" t="s">
        <v>252</v>
      </c>
      <c r="BE1333" s="4" t="s">
        <v>241</v>
      </c>
      <c r="BI1333" s="4" t="s">
        <v>253</v>
      </c>
      <c r="BJ1333" s="5" t="s">
        <v>246</v>
      </c>
      <c r="BK1333" s="4" t="s">
        <v>254</v>
      </c>
      <c r="BL1333" s="4" t="s">
        <v>255</v>
      </c>
      <c r="BM1333" s="4" t="s">
        <v>241</v>
      </c>
      <c r="BN1333" s="6">
        <f>0</f>
        <v>0</v>
      </c>
      <c r="BO1333" s="6">
        <f>0</f>
        <v>0</v>
      </c>
      <c r="BP1333" s="4" t="s">
        <v>256</v>
      </c>
      <c r="BQ1333" s="4" t="s">
        <v>257</v>
      </c>
      <c r="CE1333" s="4" t="s">
        <v>241</v>
      </c>
      <c r="CF1333" s="4" t="s">
        <v>241</v>
      </c>
      <c r="CJ1333" s="4" t="s">
        <v>276</v>
      </c>
      <c r="CK1333" s="4" t="s">
        <v>259</v>
      </c>
      <c r="CL1333" s="4" t="s">
        <v>241</v>
      </c>
      <c r="CO1333" s="5" t="s">
        <v>260</v>
      </c>
      <c r="CP1333" s="4" t="s">
        <v>241</v>
      </c>
      <c r="CQ1333" s="4" t="s">
        <v>261</v>
      </c>
      <c r="CR1333" s="4" t="s">
        <v>241</v>
      </c>
      <c r="CS1333" s="4" t="s">
        <v>241</v>
      </c>
      <c r="CT1333" s="4">
        <v>0</v>
      </c>
      <c r="CU1333" s="4" t="s">
        <v>262</v>
      </c>
      <c r="CV1333" s="4" t="s">
        <v>263</v>
      </c>
      <c r="CW1333" s="4" t="s">
        <v>263</v>
      </c>
      <c r="CX1333" s="4" t="s">
        <v>264</v>
      </c>
      <c r="DA1333" s="6">
        <f>1</f>
        <v>1</v>
      </c>
      <c r="DC1333" s="4" t="s">
        <v>277</v>
      </c>
      <c r="DD1333" s="4" t="s">
        <v>241</v>
      </c>
      <c r="DF1333" s="4" t="s">
        <v>277</v>
      </c>
      <c r="DG1333" s="6">
        <f>1463</f>
        <v>1463</v>
      </c>
      <c r="DI1333" s="4" t="s">
        <v>241</v>
      </c>
      <c r="DJ1333" s="4" t="s">
        <v>241</v>
      </c>
      <c r="DK1333" s="4" t="s">
        <v>241</v>
      </c>
      <c r="DL1333" s="4" t="s">
        <v>241</v>
      </c>
      <c r="DP1333" s="4" t="s">
        <v>241</v>
      </c>
      <c r="DQ1333" s="4" t="s">
        <v>241</v>
      </c>
      <c r="DR1333" s="4" t="s">
        <v>241</v>
      </c>
      <c r="DS1333" s="4" t="s">
        <v>241</v>
      </c>
      <c r="DV1333" s="4" t="s">
        <v>278</v>
      </c>
      <c r="DW1333" s="4" t="s">
        <v>2887</v>
      </c>
      <c r="HO1333" s="4" t="s">
        <v>267</v>
      </c>
    </row>
    <row r="1334" spans="1:223" ht="19.5" customHeight="1" x14ac:dyDescent="0.4">
      <c r="A1334" s="4">
        <v>1</v>
      </c>
      <c r="B1334" s="4" t="s">
        <v>239</v>
      </c>
      <c r="C1334" s="4">
        <v>3008</v>
      </c>
      <c r="D1334" s="4">
        <v>1</v>
      </c>
      <c r="E1334" s="4">
        <v>1</v>
      </c>
      <c r="F1334" s="4" t="s">
        <v>268</v>
      </c>
      <c r="G1334" s="4" t="s">
        <v>241</v>
      </c>
      <c r="H1334" s="4" t="s">
        <v>241</v>
      </c>
      <c r="I1334" s="4" t="s">
        <v>272</v>
      </c>
      <c r="J1334" s="4" t="s">
        <v>274</v>
      </c>
      <c r="K1334" s="4" t="s">
        <v>251</v>
      </c>
      <c r="L1334" s="4" t="s">
        <v>269</v>
      </c>
      <c r="M1334" s="5" t="s">
        <v>1933</v>
      </c>
      <c r="N1334" s="6">
        <f>519</f>
        <v>519</v>
      </c>
      <c r="O1334" s="4" t="s">
        <v>265</v>
      </c>
      <c r="P1334" s="6">
        <f>1</f>
        <v>1</v>
      </c>
      <c r="Q1334" s="6">
        <f>0</f>
        <v>0</v>
      </c>
      <c r="S1334" s="6">
        <f>0</f>
        <v>0</v>
      </c>
      <c r="T1334" s="6">
        <f>1</f>
        <v>1</v>
      </c>
      <c r="U1334" s="5" t="s">
        <v>245</v>
      </c>
      <c r="V1334" s="4" t="s">
        <v>270</v>
      </c>
      <c r="W1334" s="4" t="s">
        <v>271</v>
      </c>
      <c r="X1334" s="4" t="s">
        <v>273</v>
      </c>
      <c r="Y1334" s="4" t="s">
        <v>241</v>
      </c>
      <c r="AB1334" s="4" t="s">
        <v>241</v>
      </c>
      <c r="AD1334" s="5" t="s">
        <v>241</v>
      </c>
      <c r="AG1334" s="5" t="s">
        <v>246</v>
      </c>
      <c r="AH1334" s="4" t="s">
        <v>241</v>
      </c>
      <c r="AI1334" s="4" t="s">
        <v>247</v>
      </c>
      <c r="AJ1334" s="4" t="s">
        <v>248</v>
      </c>
      <c r="AZ1334" s="4" t="s">
        <v>249</v>
      </c>
      <c r="BA1334" s="4" t="s">
        <v>241</v>
      </c>
      <c r="BB1334" s="4" t="s">
        <v>250</v>
      </c>
      <c r="BC1334" s="4" t="s">
        <v>241</v>
      </c>
      <c r="BD1334" s="4" t="s">
        <v>252</v>
      </c>
      <c r="BE1334" s="4" t="s">
        <v>241</v>
      </c>
      <c r="BI1334" s="4" t="s">
        <v>253</v>
      </c>
      <c r="BJ1334" s="5" t="s">
        <v>246</v>
      </c>
      <c r="BK1334" s="4" t="s">
        <v>254</v>
      </c>
      <c r="BL1334" s="4" t="s">
        <v>255</v>
      </c>
      <c r="BM1334" s="4" t="s">
        <v>241</v>
      </c>
      <c r="BN1334" s="6">
        <f>0</f>
        <v>0</v>
      </c>
      <c r="BO1334" s="6">
        <f>0</f>
        <v>0</v>
      </c>
      <c r="BP1334" s="4" t="s">
        <v>256</v>
      </c>
      <c r="BQ1334" s="4" t="s">
        <v>257</v>
      </c>
      <c r="CE1334" s="4" t="s">
        <v>241</v>
      </c>
      <c r="CF1334" s="4" t="s">
        <v>241</v>
      </c>
      <c r="CJ1334" s="4" t="s">
        <v>276</v>
      </c>
      <c r="CK1334" s="4" t="s">
        <v>259</v>
      </c>
      <c r="CL1334" s="4" t="s">
        <v>241</v>
      </c>
      <c r="CO1334" s="5" t="s">
        <v>260</v>
      </c>
      <c r="CP1334" s="4" t="s">
        <v>241</v>
      </c>
      <c r="CQ1334" s="4" t="s">
        <v>261</v>
      </c>
      <c r="CR1334" s="4" t="s">
        <v>241</v>
      </c>
      <c r="CS1334" s="4" t="s">
        <v>241</v>
      </c>
      <c r="CT1334" s="4">
        <v>0</v>
      </c>
      <c r="CU1334" s="4" t="s">
        <v>262</v>
      </c>
      <c r="CV1334" s="4" t="s">
        <v>263</v>
      </c>
      <c r="CW1334" s="4" t="s">
        <v>263</v>
      </c>
      <c r="CX1334" s="4" t="s">
        <v>264</v>
      </c>
      <c r="DA1334" s="6">
        <f>1</f>
        <v>1</v>
      </c>
      <c r="DC1334" s="4" t="s">
        <v>277</v>
      </c>
      <c r="DD1334" s="4" t="s">
        <v>241</v>
      </c>
      <c r="DF1334" s="4" t="s">
        <v>277</v>
      </c>
      <c r="DG1334" s="6">
        <f>519</f>
        <v>519</v>
      </c>
      <c r="DI1334" s="4" t="s">
        <v>241</v>
      </c>
      <c r="DJ1334" s="4" t="s">
        <v>241</v>
      </c>
      <c r="DK1334" s="4" t="s">
        <v>241</v>
      </c>
      <c r="DL1334" s="4" t="s">
        <v>241</v>
      </c>
      <c r="DP1334" s="4" t="s">
        <v>241</v>
      </c>
      <c r="DQ1334" s="4" t="s">
        <v>241</v>
      </c>
      <c r="DR1334" s="4" t="s">
        <v>241</v>
      </c>
      <c r="DS1334" s="4" t="s">
        <v>241</v>
      </c>
      <c r="DV1334" s="4" t="s">
        <v>278</v>
      </c>
      <c r="DW1334" s="4" t="s">
        <v>1934</v>
      </c>
      <c r="HO1334" s="4" t="s">
        <v>267</v>
      </c>
    </row>
    <row r="1335" spans="1:223" ht="19.5" customHeight="1" x14ac:dyDescent="0.4">
      <c r="A1335" s="4">
        <v>1</v>
      </c>
      <c r="B1335" s="4" t="s">
        <v>239</v>
      </c>
      <c r="C1335" s="4">
        <v>3009</v>
      </c>
      <c r="D1335" s="4">
        <v>1</v>
      </c>
      <c r="E1335" s="4">
        <v>1</v>
      </c>
      <c r="F1335" s="4" t="s">
        <v>268</v>
      </c>
      <c r="G1335" s="4" t="s">
        <v>241</v>
      </c>
      <c r="H1335" s="4" t="s">
        <v>241</v>
      </c>
      <c r="I1335" s="4" t="s">
        <v>272</v>
      </c>
      <c r="J1335" s="4" t="s">
        <v>274</v>
      </c>
      <c r="K1335" s="4" t="s">
        <v>251</v>
      </c>
      <c r="L1335" s="4" t="s">
        <v>269</v>
      </c>
      <c r="M1335" s="5" t="s">
        <v>1855</v>
      </c>
      <c r="N1335" s="6">
        <f>412</f>
        <v>412</v>
      </c>
      <c r="O1335" s="4" t="s">
        <v>265</v>
      </c>
      <c r="P1335" s="6">
        <f>1</f>
        <v>1</v>
      </c>
      <c r="Q1335" s="6">
        <f>0</f>
        <v>0</v>
      </c>
      <c r="S1335" s="6">
        <f>0</f>
        <v>0</v>
      </c>
      <c r="T1335" s="6">
        <f>1</f>
        <v>1</v>
      </c>
      <c r="U1335" s="5" t="s">
        <v>245</v>
      </c>
      <c r="V1335" s="4" t="s">
        <v>270</v>
      </c>
      <c r="W1335" s="4" t="s">
        <v>271</v>
      </c>
      <c r="X1335" s="4" t="s">
        <v>273</v>
      </c>
      <c r="Y1335" s="4" t="s">
        <v>241</v>
      </c>
      <c r="AB1335" s="4" t="s">
        <v>241</v>
      </c>
      <c r="AD1335" s="5" t="s">
        <v>241</v>
      </c>
      <c r="AG1335" s="5" t="s">
        <v>246</v>
      </c>
      <c r="AH1335" s="4" t="s">
        <v>241</v>
      </c>
      <c r="AI1335" s="4" t="s">
        <v>247</v>
      </c>
      <c r="AJ1335" s="4" t="s">
        <v>248</v>
      </c>
      <c r="AZ1335" s="4" t="s">
        <v>249</v>
      </c>
      <c r="BA1335" s="4" t="s">
        <v>241</v>
      </c>
      <c r="BB1335" s="4" t="s">
        <v>250</v>
      </c>
      <c r="BC1335" s="4" t="s">
        <v>241</v>
      </c>
      <c r="BD1335" s="4" t="s">
        <v>252</v>
      </c>
      <c r="BE1335" s="4" t="s">
        <v>241</v>
      </c>
      <c r="BI1335" s="4" t="s">
        <v>253</v>
      </c>
      <c r="BJ1335" s="5" t="s">
        <v>246</v>
      </c>
      <c r="BK1335" s="4" t="s">
        <v>254</v>
      </c>
      <c r="BL1335" s="4" t="s">
        <v>255</v>
      </c>
      <c r="BM1335" s="4" t="s">
        <v>241</v>
      </c>
      <c r="BN1335" s="6">
        <f>0</f>
        <v>0</v>
      </c>
      <c r="BO1335" s="6">
        <f>0</f>
        <v>0</v>
      </c>
      <c r="BP1335" s="4" t="s">
        <v>256</v>
      </c>
      <c r="BQ1335" s="4" t="s">
        <v>257</v>
      </c>
      <c r="CE1335" s="4" t="s">
        <v>241</v>
      </c>
      <c r="CF1335" s="4" t="s">
        <v>241</v>
      </c>
      <c r="CJ1335" s="4" t="s">
        <v>276</v>
      </c>
      <c r="CK1335" s="4" t="s">
        <v>259</v>
      </c>
      <c r="CL1335" s="4" t="s">
        <v>241</v>
      </c>
      <c r="CO1335" s="5" t="s">
        <v>260</v>
      </c>
      <c r="CP1335" s="4" t="s">
        <v>241</v>
      </c>
      <c r="CQ1335" s="4" t="s">
        <v>261</v>
      </c>
      <c r="CR1335" s="4" t="s">
        <v>241</v>
      </c>
      <c r="CS1335" s="4" t="s">
        <v>241</v>
      </c>
      <c r="CT1335" s="4">
        <v>0</v>
      </c>
      <c r="CU1335" s="4" t="s">
        <v>262</v>
      </c>
      <c r="CV1335" s="4" t="s">
        <v>263</v>
      </c>
      <c r="CW1335" s="4" t="s">
        <v>263</v>
      </c>
      <c r="CX1335" s="4" t="s">
        <v>264</v>
      </c>
      <c r="DA1335" s="6">
        <f>1</f>
        <v>1</v>
      </c>
      <c r="DC1335" s="4" t="s">
        <v>277</v>
      </c>
      <c r="DD1335" s="4" t="s">
        <v>241</v>
      </c>
      <c r="DF1335" s="4" t="s">
        <v>277</v>
      </c>
      <c r="DG1335" s="6">
        <f>412</f>
        <v>412</v>
      </c>
      <c r="DI1335" s="4" t="s">
        <v>241</v>
      </c>
      <c r="DJ1335" s="4" t="s">
        <v>241</v>
      </c>
      <c r="DK1335" s="4" t="s">
        <v>241</v>
      </c>
      <c r="DL1335" s="4" t="s">
        <v>241</v>
      </c>
      <c r="DP1335" s="4" t="s">
        <v>241</v>
      </c>
      <c r="DQ1335" s="4" t="s">
        <v>241</v>
      </c>
      <c r="DR1335" s="4" t="s">
        <v>241</v>
      </c>
      <c r="DS1335" s="4" t="s">
        <v>241</v>
      </c>
      <c r="DV1335" s="4" t="s">
        <v>278</v>
      </c>
      <c r="DW1335" s="4" t="s">
        <v>1856</v>
      </c>
      <c r="HO1335" s="4" t="s">
        <v>267</v>
      </c>
    </row>
    <row r="1336" spans="1:223" ht="19.5" customHeight="1" x14ac:dyDescent="0.4">
      <c r="A1336" s="4">
        <v>1</v>
      </c>
      <c r="B1336" s="4" t="s">
        <v>239</v>
      </c>
      <c r="C1336" s="4">
        <v>3010</v>
      </c>
      <c r="D1336" s="4">
        <v>1</v>
      </c>
      <c r="E1336" s="4">
        <v>1</v>
      </c>
      <c r="F1336" s="4" t="s">
        <v>268</v>
      </c>
      <c r="G1336" s="4" t="s">
        <v>241</v>
      </c>
      <c r="H1336" s="4" t="s">
        <v>241</v>
      </c>
      <c r="I1336" s="4" t="s">
        <v>272</v>
      </c>
      <c r="J1336" s="4" t="s">
        <v>274</v>
      </c>
      <c r="K1336" s="4" t="s">
        <v>251</v>
      </c>
      <c r="L1336" s="4" t="s">
        <v>269</v>
      </c>
      <c r="M1336" s="5" t="s">
        <v>2882</v>
      </c>
      <c r="N1336" s="6">
        <f>388</f>
        <v>388</v>
      </c>
      <c r="O1336" s="4" t="s">
        <v>265</v>
      </c>
      <c r="P1336" s="6">
        <f>1</f>
        <v>1</v>
      </c>
      <c r="Q1336" s="6">
        <f>0</f>
        <v>0</v>
      </c>
      <c r="S1336" s="6">
        <f>0</f>
        <v>0</v>
      </c>
      <c r="T1336" s="6">
        <f>1</f>
        <v>1</v>
      </c>
      <c r="U1336" s="5" t="s">
        <v>245</v>
      </c>
      <c r="V1336" s="4" t="s">
        <v>270</v>
      </c>
      <c r="W1336" s="4" t="s">
        <v>271</v>
      </c>
      <c r="X1336" s="4" t="s">
        <v>273</v>
      </c>
      <c r="Y1336" s="4" t="s">
        <v>241</v>
      </c>
      <c r="AB1336" s="4" t="s">
        <v>241</v>
      </c>
      <c r="AD1336" s="5" t="s">
        <v>241</v>
      </c>
      <c r="AG1336" s="5" t="s">
        <v>246</v>
      </c>
      <c r="AH1336" s="4" t="s">
        <v>241</v>
      </c>
      <c r="AI1336" s="4" t="s">
        <v>247</v>
      </c>
      <c r="AJ1336" s="4" t="s">
        <v>248</v>
      </c>
      <c r="AZ1336" s="4" t="s">
        <v>249</v>
      </c>
      <c r="BA1336" s="4" t="s">
        <v>241</v>
      </c>
      <c r="BB1336" s="4" t="s">
        <v>250</v>
      </c>
      <c r="BC1336" s="4" t="s">
        <v>241</v>
      </c>
      <c r="BD1336" s="4" t="s">
        <v>252</v>
      </c>
      <c r="BE1336" s="4" t="s">
        <v>241</v>
      </c>
      <c r="BI1336" s="4" t="s">
        <v>253</v>
      </c>
      <c r="BJ1336" s="5" t="s">
        <v>246</v>
      </c>
      <c r="BK1336" s="4" t="s">
        <v>254</v>
      </c>
      <c r="BL1336" s="4" t="s">
        <v>255</v>
      </c>
      <c r="BM1336" s="4" t="s">
        <v>241</v>
      </c>
      <c r="BN1336" s="6">
        <f>0</f>
        <v>0</v>
      </c>
      <c r="BO1336" s="6">
        <f>0</f>
        <v>0</v>
      </c>
      <c r="BP1336" s="4" t="s">
        <v>256</v>
      </c>
      <c r="BQ1336" s="4" t="s">
        <v>257</v>
      </c>
      <c r="CE1336" s="4" t="s">
        <v>241</v>
      </c>
      <c r="CF1336" s="4" t="s">
        <v>241</v>
      </c>
      <c r="CJ1336" s="4" t="s">
        <v>276</v>
      </c>
      <c r="CK1336" s="4" t="s">
        <v>259</v>
      </c>
      <c r="CL1336" s="4" t="s">
        <v>241</v>
      </c>
      <c r="CO1336" s="5" t="s">
        <v>260</v>
      </c>
      <c r="CP1336" s="4" t="s">
        <v>241</v>
      </c>
      <c r="CQ1336" s="4" t="s">
        <v>261</v>
      </c>
      <c r="CR1336" s="4" t="s">
        <v>241</v>
      </c>
      <c r="CS1336" s="4" t="s">
        <v>241</v>
      </c>
      <c r="CT1336" s="4">
        <v>0</v>
      </c>
      <c r="CU1336" s="4" t="s">
        <v>262</v>
      </c>
      <c r="CV1336" s="4" t="s">
        <v>263</v>
      </c>
      <c r="CW1336" s="4" t="s">
        <v>263</v>
      </c>
      <c r="CX1336" s="4" t="s">
        <v>264</v>
      </c>
      <c r="DA1336" s="6">
        <f>1</f>
        <v>1</v>
      </c>
      <c r="DC1336" s="4" t="s">
        <v>277</v>
      </c>
      <c r="DD1336" s="4" t="s">
        <v>241</v>
      </c>
      <c r="DF1336" s="4" t="s">
        <v>277</v>
      </c>
      <c r="DG1336" s="6">
        <f>388</f>
        <v>388</v>
      </c>
      <c r="DI1336" s="4" t="s">
        <v>241</v>
      </c>
      <c r="DJ1336" s="4" t="s">
        <v>241</v>
      </c>
      <c r="DK1336" s="4" t="s">
        <v>241</v>
      </c>
      <c r="DL1336" s="4" t="s">
        <v>241</v>
      </c>
      <c r="DP1336" s="4" t="s">
        <v>241</v>
      </c>
      <c r="DQ1336" s="4" t="s">
        <v>241</v>
      </c>
      <c r="DR1336" s="4" t="s">
        <v>241</v>
      </c>
      <c r="DS1336" s="4" t="s">
        <v>241</v>
      </c>
      <c r="DV1336" s="4" t="s">
        <v>278</v>
      </c>
      <c r="DW1336" s="4" t="s">
        <v>2883</v>
      </c>
      <c r="HO1336" s="4" t="s">
        <v>267</v>
      </c>
    </row>
    <row r="1337" spans="1:223" ht="19.5" customHeight="1" x14ac:dyDescent="0.4">
      <c r="A1337" s="4">
        <v>1</v>
      </c>
      <c r="B1337" s="4" t="s">
        <v>239</v>
      </c>
      <c r="C1337" s="4">
        <v>3011</v>
      </c>
      <c r="D1337" s="4">
        <v>1</v>
      </c>
      <c r="E1337" s="4">
        <v>1</v>
      </c>
      <c r="F1337" s="4" t="s">
        <v>268</v>
      </c>
      <c r="G1337" s="4" t="s">
        <v>241</v>
      </c>
      <c r="H1337" s="4" t="s">
        <v>241</v>
      </c>
      <c r="I1337" s="4" t="s">
        <v>272</v>
      </c>
      <c r="J1337" s="4" t="s">
        <v>274</v>
      </c>
      <c r="K1337" s="4" t="s">
        <v>251</v>
      </c>
      <c r="L1337" s="4" t="s">
        <v>269</v>
      </c>
      <c r="M1337" s="5" t="s">
        <v>2884</v>
      </c>
      <c r="N1337" s="6">
        <f>5345</f>
        <v>5345</v>
      </c>
      <c r="O1337" s="4" t="s">
        <v>265</v>
      </c>
      <c r="P1337" s="6">
        <f>1</f>
        <v>1</v>
      </c>
      <c r="Q1337" s="6">
        <f>0</f>
        <v>0</v>
      </c>
      <c r="S1337" s="6">
        <f>0</f>
        <v>0</v>
      </c>
      <c r="T1337" s="6">
        <f>1</f>
        <v>1</v>
      </c>
      <c r="U1337" s="5" t="s">
        <v>245</v>
      </c>
      <c r="V1337" s="4" t="s">
        <v>270</v>
      </c>
      <c r="W1337" s="4" t="s">
        <v>271</v>
      </c>
      <c r="X1337" s="4" t="s">
        <v>273</v>
      </c>
      <c r="Y1337" s="4" t="s">
        <v>241</v>
      </c>
      <c r="AB1337" s="4" t="s">
        <v>241</v>
      </c>
      <c r="AD1337" s="5" t="s">
        <v>241</v>
      </c>
      <c r="AG1337" s="5" t="s">
        <v>246</v>
      </c>
      <c r="AH1337" s="4" t="s">
        <v>241</v>
      </c>
      <c r="AI1337" s="4" t="s">
        <v>247</v>
      </c>
      <c r="AJ1337" s="4" t="s">
        <v>248</v>
      </c>
      <c r="AZ1337" s="4" t="s">
        <v>249</v>
      </c>
      <c r="BA1337" s="4" t="s">
        <v>241</v>
      </c>
      <c r="BB1337" s="4" t="s">
        <v>250</v>
      </c>
      <c r="BC1337" s="4" t="s">
        <v>241</v>
      </c>
      <c r="BD1337" s="4" t="s">
        <v>252</v>
      </c>
      <c r="BE1337" s="4" t="s">
        <v>241</v>
      </c>
      <c r="BI1337" s="4" t="s">
        <v>253</v>
      </c>
      <c r="BJ1337" s="5" t="s">
        <v>246</v>
      </c>
      <c r="BK1337" s="4" t="s">
        <v>254</v>
      </c>
      <c r="BL1337" s="4" t="s">
        <v>255</v>
      </c>
      <c r="BM1337" s="4" t="s">
        <v>241</v>
      </c>
      <c r="BN1337" s="6">
        <f>0</f>
        <v>0</v>
      </c>
      <c r="BO1337" s="6">
        <f>0</f>
        <v>0</v>
      </c>
      <c r="BP1337" s="4" t="s">
        <v>256</v>
      </c>
      <c r="BQ1337" s="4" t="s">
        <v>257</v>
      </c>
      <c r="CE1337" s="4" t="s">
        <v>241</v>
      </c>
      <c r="CF1337" s="4" t="s">
        <v>241</v>
      </c>
      <c r="CJ1337" s="4" t="s">
        <v>276</v>
      </c>
      <c r="CK1337" s="4" t="s">
        <v>259</v>
      </c>
      <c r="CL1337" s="4" t="s">
        <v>241</v>
      </c>
      <c r="CO1337" s="5" t="s">
        <v>260</v>
      </c>
      <c r="CP1337" s="4" t="s">
        <v>241</v>
      </c>
      <c r="CQ1337" s="4" t="s">
        <v>261</v>
      </c>
      <c r="CR1337" s="4" t="s">
        <v>241</v>
      </c>
      <c r="CS1337" s="4" t="s">
        <v>241</v>
      </c>
      <c r="CT1337" s="4">
        <v>0</v>
      </c>
      <c r="CU1337" s="4" t="s">
        <v>262</v>
      </c>
      <c r="CV1337" s="4" t="s">
        <v>263</v>
      </c>
      <c r="CW1337" s="4" t="s">
        <v>263</v>
      </c>
      <c r="CX1337" s="4" t="s">
        <v>264</v>
      </c>
      <c r="DA1337" s="6">
        <f>1</f>
        <v>1</v>
      </c>
      <c r="DC1337" s="4" t="s">
        <v>277</v>
      </c>
      <c r="DD1337" s="4" t="s">
        <v>241</v>
      </c>
      <c r="DF1337" s="4" t="s">
        <v>277</v>
      </c>
      <c r="DG1337" s="6">
        <f>5345</f>
        <v>5345</v>
      </c>
      <c r="DI1337" s="4" t="s">
        <v>241</v>
      </c>
      <c r="DJ1337" s="4" t="s">
        <v>241</v>
      </c>
      <c r="DK1337" s="4" t="s">
        <v>241</v>
      </c>
      <c r="DL1337" s="4" t="s">
        <v>241</v>
      </c>
      <c r="DP1337" s="4" t="s">
        <v>241</v>
      </c>
      <c r="DQ1337" s="4" t="s">
        <v>241</v>
      </c>
      <c r="DR1337" s="4" t="s">
        <v>241</v>
      </c>
      <c r="DS1337" s="4" t="s">
        <v>241</v>
      </c>
      <c r="DV1337" s="4" t="s">
        <v>278</v>
      </c>
      <c r="DW1337" s="4" t="s">
        <v>2885</v>
      </c>
      <c r="HO1337" s="4" t="s">
        <v>267</v>
      </c>
    </row>
    <row r="1338" spans="1:223" ht="19.5" customHeight="1" x14ac:dyDescent="0.4">
      <c r="A1338" s="4">
        <v>1</v>
      </c>
      <c r="B1338" s="4" t="s">
        <v>239</v>
      </c>
      <c r="C1338" s="4">
        <v>3012</v>
      </c>
      <c r="D1338" s="4">
        <v>1</v>
      </c>
      <c r="E1338" s="4">
        <v>1</v>
      </c>
      <c r="F1338" s="4" t="s">
        <v>268</v>
      </c>
      <c r="G1338" s="4" t="s">
        <v>241</v>
      </c>
      <c r="H1338" s="4" t="s">
        <v>241</v>
      </c>
      <c r="I1338" s="4" t="s">
        <v>272</v>
      </c>
      <c r="J1338" s="4" t="s">
        <v>274</v>
      </c>
      <c r="K1338" s="4" t="s">
        <v>251</v>
      </c>
      <c r="L1338" s="4" t="s">
        <v>269</v>
      </c>
      <c r="M1338" s="5" t="s">
        <v>2823</v>
      </c>
      <c r="N1338" s="6">
        <f>1979</f>
        <v>1979</v>
      </c>
      <c r="O1338" s="4" t="s">
        <v>265</v>
      </c>
      <c r="P1338" s="6">
        <f>1</f>
        <v>1</v>
      </c>
      <c r="Q1338" s="6">
        <f>0</f>
        <v>0</v>
      </c>
      <c r="S1338" s="6">
        <f>0</f>
        <v>0</v>
      </c>
      <c r="T1338" s="6">
        <f>1</f>
        <v>1</v>
      </c>
      <c r="U1338" s="5" t="s">
        <v>245</v>
      </c>
      <c r="V1338" s="4" t="s">
        <v>270</v>
      </c>
      <c r="W1338" s="4" t="s">
        <v>271</v>
      </c>
      <c r="X1338" s="4" t="s">
        <v>273</v>
      </c>
      <c r="Y1338" s="4" t="s">
        <v>241</v>
      </c>
      <c r="AB1338" s="4" t="s">
        <v>241</v>
      </c>
      <c r="AD1338" s="5" t="s">
        <v>241</v>
      </c>
      <c r="AG1338" s="5" t="s">
        <v>246</v>
      </c>
      <c r="AH1338" s="4" t="s">
        <v>241</v>
      </c>
      <c r="AI1338" s="4" t="s">
        <v>247</v>
      </c>
      <c r="AJ1338" s="4" t="s">
        <v>248</v>
      </c>
      <c r="AZ1338" s="4" t="s">
        <v>249</v>
      </c>
      <c r="BA1338" s="4" t="s">
        <v>241</v>
      </c>
      <c r="BB1338" s="4" t="s">
        <v>250</v>
      </c>
      <c r="BC1338" s="4" t="s">
        <v>241</v>
      </c>
      <c r="BD1338" s="4" t="s">
        <v>252</v>
      </c>
      <c r="BE1338" s="4" t="s">
        <v>241</v>
      </c>
      <c r="BI1338" s="4" t="s">
        <v>253</v>
      </c>
      <c r="BJ1338" s="5" t="s">
        <v>246</v>
      </c>
      <c r="BK1338" s="4" t="s">
        <v>254</v>
      </c>
      <c r="BL1338" s="4" t="s">
        <v>255</v>
      </c>
      <c r="BM1338" s="4" t="s">
        <v>241</v>
      </c>
      <c r="BN1338" s="6">
        <f>0</f>
        <v>0</v>
      </c>
      <c r="BO1338" s="6">
        <f>0</f>
        <v>0</v>
      </c>
      <c r="BP1338" s="4" t="s">
        <v>256</v>
      </c>
      <c r="BQ1338" s="4" t="s">
        <v>257</v>
      </c>
      <c r="CE1338" s="4" t="s">
        <v>241</v>
      </c>
      <c r="CF1338" s="4" t="s">
        <v>241</v>
      </c>
      <c r="CJ1338" s="4" t="s">
        <v>276</v>
      </c>
      <c r="CK1338" s="4" t="s">
        <v>259</v>
      </c>
      <c r="CL1338" s="4" t="s">
        <v>241</v>
      </c>
      <c r="CO1338" s="5" t="s">
        <v>260</v>
      </c>
      <c r="CP1338" s="4" t="s">
        <v>241</v>
      </c>
      <c r="CQ1338" s="4" t="s">
        <v>261</v>
      </c>
      <c r="CR1338" s="4" t="s">
        <v>241</v>
      </c>
      <c r="CS1338" s="4" t="s">
        <v>241</v>
      </c>
      <c r="CT1338" s="4">
        <v>0</v>
      </c>
      <c r="CU1338" s="4" t="s">
        <v>262</v>
      </c>
      <c r="CV1338" s="4" t="s">
        <v>263</v>
      </c>
      <c r="CW1338" s="4" t="s">
        <v>263</v>
      </c>
      <c r="CX1338" s="4" t="s">
        <v>264</v>
      </c>
      <c r="DA1338" s="6">
        <f>1</f>
        <v>1</v>
      </c>
      <c r="DC1338" s="4" t="s">
        <v>277</v>
      </c>
      <c r="DD1338" s="4" t="s">
        <v>241</v>
      </c>
      <c r="DF1338" s="4" t="s">
        <v>277</v>
      </c>
      <c r="DG1338" s="6">
        <f>1979</f>
        <v>1979</v>
      </c>
      <c r="DI1338" s="4" t="s">
        <v>241</v>
      </c>
      <c r="DJ1338" s="4" t="s">
        <v>241</v>
      </c>
      <c r="DK1338" s="4" t="s">
        <v>241</v>
      </c>
      <c r="DL1338" s="4" t="s">
        <v>241</v>
      </c>
      <c r="DP1338" s="4" t="s">
        <v>241</v>
      </c>
      <c r="DQ1338" s="4" t="s">
        <v>241</v>
      </c>
      <c r="DR1338" s="4" t="s">
        <v>241</v>
      </c>
      <c r="DS1338" s="4" t="s">
        <v>241</v>
      </c>
      <c r="DV1338" s="4" t="s">
        <v>278</v>
      </c>
      <c r="DW1338" s="4" t="s">
        <v>2824</v>
      </c>
      <c r="HO1338" s="4" t="s">
        <v>267</v>
      </c>
    </row>
    <row r="1339" spans="1:223" ht="19.5" customHeight="1" x14ac:dyDescent="0.4">
      <c r="A1339" s="4">
        <v>1</v>
      </c>
      <c r="B1339" s="4" t="s">
        <v>239</v>
      </c>
      <c r="C1339" s="4">
        <v>3013</v>
      </c>
      <c r="D1339" s="4">
        <v>1</v>
      </c>
      <c r="E1339" s="4">
        <v>1</v>
      </c>
      <c r="F1339" s="4" t="s">
        <v>268</v>
      </c>
      <c r="G1339" s="4" t="s">
        <v>241</v>
      </c>
      <c r="H1339" s="4" t="s">
        <v>241</v>
      </c>
      <c r="I1339" s="4" t="s">
        <v>272</v>
      </c>
      <c r="J1339" s="4" t="s">
        <v>274</v>
      </c>
      <c r="K1339" s="4" t="s">
        <v>251</v>
      </c>
      <c r="L1339" s="4" t="s">
        <v>269</v>
      </c>
      <c r="M1339" s="5" t="s">
        <v>2829</v>
      </c>
      <c r="N1339" s="6">
        <f>5161</f>
        <v>5161</v>
      </c>
      <c r="O1339" s="4" t="s">
        <v>265</v>
      </c>
      <c r="P1339" s="6">
        <f>1</f>
        <v>1</v>
      </c>
      <c r="Q1339" s="6">
        <f>0</f>
        <v>0</v>
      </c>
      <c r="S1339" s="6">
        <f>0</f>
        <v>0</v>
      </c>
      <c r="T1339" s="6">
        <f>1</f>
        <v>1</v>
      </c>
      <c r="U1339" s="5" t="s">
        <v>245</v>
      </c>
      <c r="V1339" s="4" t="s">
        <v>270</v>
      </c>
      <c r="W1339" s="4" t="s">
        <v>271</v>
      </c>
      <c r="X1339" s="4" t="s">
        <v>273</v>
      </c>
      <c r="Y1339" s="4" t="s">
        <v>241</v>
      </c>
      <c r="AB1339" s="4" t="s">
        <v>241</v>
      </c>
      <c r="AD1339" s="5" t="s">
        <v>241</v>
      </c>
      <c r="AG1339" s="5" t="s">
        <v>246</v>
      </c>
      <c r="AH1339" s="4" t="s">
        <v>241</v>
      </c>
      <c r="AI1339" s="4" t="s">
        <v>247</v>
      </c>
      <c r="AJ1339" s="4" t="s">
        <v>248</v>
      </c>
      <c r="AZ1339" s="4" t="s">
        <v>249</v>
      </c>
      <c r="BA1339" s="4" t="s">
        <v>241</v>
      </c>
      <c r="BB1339" s="4" t="s">
        <v>250</v>
      </c>
      <c r="BC1339" s="4" t="s">
        <v>241</v>
      </c>
      <c r="BD1339" s="4" t="s">
        <v>252</v>
      </c>
      <c r="BE1339" s="4" t="s">
        <v>241</v>
      </c>
      <c r="BI1339" s="4" t="s">
        <v>253</v>
      </c>
      <c r="BJ1339" s="5" t="s">
        <v>246</v>
      </c>
      <c r="BK1339" s="4" t="s">
        <v>254</v>
      </c>
      <c r="BL1339" s="4" t="s">
        <v>255</v>
      </c>
      <c r="BM1339" s="4" t="s">
        <v>241</v>
      </c>
      <c r="BN1339" s="6">
        <f>0</f>
        <v>0</v>
      </c>
      <c r="BO1339" s="6">
        <f>0</f>
        <v>0</v>
      </c>
      <c r="BP1339" s="4" t="s">
        <v>256</v>
      </c>
      <c r="BQ1339" s="4" t="s">
        <v>257</v>
      </c>
      <c r="CE1339" s="4" t="s">
        <v>241</v>
      </c>
      <c r="CF1339" s="4" t="s">
        <v>241</v>
      </c>
      <c r="CJ1339" s="4" t="s">
        <v>276</v>
      </c>
      <c r="CK1339" s="4" t="s">
        <v>259</v>
      </c>
      <c r="CL1339" s="4" t="s">
        <v>241</v>
      </c>
      <c r="CO1339" s="5" t="s">
        <v>260</v>
      </c>
      <c r="CP1339" s="4" t="s">
        <v>241</v>
      </c>
      <c r="CQ1339" s="4" t="s">
        <v>261</v>
      </c>
      <c r="CR1339" s="4" t="s">
        <v>241</v>
      </c>
      <c r="CS1339" s="4" t="s">
        <v>241</v>
      </c>
      <c r="CT1339" s="4">
        <v>0</v>
      </c>
      <c r="CU1339" s="4" t="s">
        <v>262</v>
      </c>
      <c r="CV1339" s="4" t="s">
        <v>263</v>
      </c>
      <c r="CW1339" s="4" t="s">
        <v>263</v>
      </c>
      <c r="CX1339" s="4" t="s">
        <v>264</v>
      </c>
      <c r="DA1339" s="6">
        <f>1</f>
        <v>1</v>
      </c>
      <c r="DC1339" s="4" t="s">
        <v>277</v>
      </c>
      <c r="DD1339" s="4" t="s">
        <v>241</v>
      </c>
      <c r="DF1339" s="4" t="s">
        <v>277</v>
      </c>
      <c r="DG1339" s="6">
        <f>5161</f>
        <v>5161</v>
      </c>
      <c r="DI1339" s="4" t="s">
        <v>241</v>
      </c>
      <c r="DJ1339" s="4" t="s">
        <v>241</v>
      </c>
      <c r="DK1339" s="4" t="s">
        <v>241</v>
      </c>
      <c r="DL1339" s="4" t="s">
        <v>241</v>
      </c>
      <c r="DP1339" s="4" t="s">
        <v>241</v>
      </c>
      <c r="DQ1339" s="4" t="s">
        <v>241</v>
      </c>
      <c r="DR1339" s="4" t="s">
        <v>241</v>
      </c>
      <c r="DS1339" s="4" t="s">
        <v>241</v>
      </c>
      <c r="DV1339" s="4" t="s">
        <v>278</v>
      </c>
      <c r="DW1339" s="4" t="s">
        <v>2830</v>
      </c>
      <c r="HO1339" s="4" t="s">
        <v>267</v>
      </c>
    </row>
    <row r="1340" spans="1:223" ht="19.5" customHeight="1" x14ac:dyDescent="0.4">
      <c r="A1340" s="4">
        <v>1</v>
      </c>
      <c r="B1340" s="4" t="s">
        <v>239</v>
      </c>
      <c r="C1340" s="4">
        <v>3014</v>
      </c>
      <c r="D1340" s="4">
        <v>1</v>
      </c>
      <c r="E1340" s="4">
        <v>1</v>
      </c>
      <c r="F1340" s="4" t="s">
        <v>268</v>
      </c>
      <c r="G1340" s="4" t="s">
        <v>241</v>
      </c>
      <c r="H1340" s="4" t="s">
        <v>241</v>
      </c>
      <c r="I1340" s="4" t="s">
        <v>272</v>
      </c>
      <c r="J1340" s="4" t="s">
        <v>274</v>
      </c>
      <c r="K1340" s="4" t="s">
        <v>251</v>
      </c>
      <c r="L1340" s="4" t="s">
        <v>269</v>
      </c>
      <c r="M1340" s="5" t="s">
        <v>1894</v>
      </c>
      <c r="N1340" s="6">
        <f>1355</f>
        <v>1355</v>
      </c>
      <c r="O1340" s="4" t="s">
        <v>265</v>
      </c>
      <c r="P1340" s="6">
        <f>1</f>
        <v>1</v>
      </c>
      <c r="Q1340" s="6">
        <f>0</f>
        <v>0</v>
      </c>
      <c r="S1340" s="6">
        <f>0</f>
        <v>0</v>
      </c>
      <c r="T1340" s="6">
        <f>1</f>
        <v>1</v>
      </c>
      <c r="U1340" s="5" t="s">
        <v>245</v>
      </c>
      <c r="V1340" s="4" t="s">
        <v>270</v>
      </c>
      <c r="W1340" s="4" t="s">
        <v>271</v>
      </c>
      <c r="X1340" s="4" t="s">
        <v>273</v>
      </c>
      <c r="Y1340" s="4" t="s">
        <v>241</v>
      </c>
      <c r="AB1340" s="4" t="s">
        <v>241</v>
      </c>
      <c r="AD1340" s="5" t="s">
        <v>241</v>
      </c>
      <c r="AG1340" s="5" t="s">
        <v>246</v>
      </c>
      <c r="AH1340" s="4" t="s">
        <v>241</v>
      </c>
      <c r="AI1340" s="4" t="s">
        <v>247</v>
      </c>
      <c r="AJ1340" s="4" t="s">
        <v>248</v>
      </c>
      <c r="AZ1340" s="4" t="s">
        <v>249</v>
      </c>
      <c r="BA1340" s="4" t="s">
        <v>241</v>
      </c>
      <c r="BB1340" s="4" t="s">
        <v>250</v>
      </c>
      <c r="BC1340" s="4" t="s">
        <v>241</v>
      </c>
      <c r="BD1340" s="4" t="s">
        <v>252</v>
      </c>
      <c r="BE1340" s="4" t="s">
        <v>241</v>
      </c>
      <c r="BI1340" s="4" t="s">
        <v>253</v>
      </c>
      <c r="BJ1340" s="5" t="s">
        <v>246</v>
      </c>
      <c r="BK1340" s="4" t="s">
        <v>254</v>
      </c>
      <c r="BL1340" s="4" t="s">
        <v>255</v>
      </c>
      <c r="BM1340" s="4" t="s">
        <v>241</v>
      </c>
      <c r="BN1340" s="6">
        <f>0</f>
        <v>0</v>
      </c>
      <c r="BO1340" s="6">
        <f>0</f>
        <v>0</v>
      </c>
      <c r="BP1340" s="4" t="s">
        <v>256</v>
      </c>
      <c r="BQ1340" s="4" t="s">
        <v>257</v>
      </c>
      <c r="CE1340" s="4" t="s">
        <v>241</v>
      </c>
      <c r="CF1340" s="4" t="s">
        <v>241</v>
      </c>
      <c r="CJ1340" s="4" t="s">
        <v>276</v>
      </c>
      <c r="CK1340" s="4" t="s">
        <v>259</v>
      </c>
      <c r="CL1340" s="4" t="s">
        <v>241</v>
      </c>
      <c r="CO1340" s="5" t="s">
        <v>260</v>
      </c>
      <c r="CP1340" s="4" t="s">
        <v>241</v>
      </c>
      <c r="CQ1340" s="4" t="s">
        <v>261</v>
      </c>
      <c r="CR1340" s="4" t="s">
        <v>241</v>
      </c>
      <c r="CS1340" s="4" t="s">
        <v>241</v>
      </c>
      <c r="CT1340" s="4">
        <v>0</v>
      </c>
      <c r="CU1340" s="4" t="s">
        <v>262</v>
      </c>
      <c r="CV1340" s="4" t="s">
        <v>263</v>
      </c>
      <c r="CW1340" s="4" t="s">
        <v>263</v>
      </c>
      <c r="CX1340" s="4" t="s">
        <v>264</v>
      </c>
      <c r="DA1340" s="6">
        <f>1</f>
        <v>1</v>
      </c>
      <c r="DC1340" s="4" t="s">
        <v>277</v>
      </c>
      <c r="DD1340" s="4" t="s">
        <v>241</v>
      </c>
      <c r="DF1340" s="4" t="s">
        <v>277</v>
      </c>
      <c r="DG1340" s="6">
        <f>1355</f>
        <v>1355</v>
      </c>
      <c r="DI1340" s="4" t="s">
        <v>241</v>
      </c>
      <c r="DJ1340" s="4" t="s">
        <v>241</v>
      </c>
      <c r="DK1340" s="4" t="s">
        <v>241</v>
      </c>
      <c r="DL1340" s="4" t="s">
        <v>241</v>
      </c>
      <c r="DP1340" s="4" t="s">
        <v>241</v>
      </c>
      <c r="DQ1340" s="4" t="s">
        <v>241</v>
      </c>
      <c r="DR1340" s="4" t="s">
        <v>241</v>
      </c>
      <c r="DS1340" s="4" t="s">
        <v>241</v>
      </c>
      <c r="DV1340" s="4" t="s">
        <v>278</v>
      </c>
      <c r="DW1340" s="4" t="s">
        <v>1895</v>
      </c>
      <c r="HO1340" s="4" t="s">
        <v>267</v>
      </c>
    </row>
    <row r="1341" spans="1:223" ht="19.5" customHeight="1" x14ac:dyDescent="0.4">
      <c r="A1341" s="4">
        <v>1</v>
      </c>
      <c r="B1341" s="4" t="s">
        <v>239</v>
      </c>
      <c r="C1341" s="4">
        <v>3015</v>
      </c>
      <c r="D1341" s="4">
        <v>1</v>
      </c>
      <c r="E1341" s="4">
        <v>1</v>
      </c>
      <c r="F1341" s="4" t="s">
        <v>268</v>
      </c>
      <c r="G1341" s="4" t="s">
        <v>241</v>
      </c>
      <c r="H1341" s="4" t="s">
        <v>241</v>
      </c>
      <c r="I1341" s="4" t="s">
        <v>272</v>
      </c>
      <c r="J1341" s="4" t="s">
        <v>274</v>
      </c>
      <c r="K1341" s="4" t="s">
        <v>251</v>
      </c>
      <c r="L1341" s="4" t="s">
        <v>269</v>
      </c>
      <c r="M1341" s="5" t="s">
        <v>1880</v>
      </c>
      <c r="N1341" s="6">
        <f>3543</f>
        <v>3543</v>
      </c>
      <c r="O1341" s="4" t="s">
        <v>265</v>
      </c>
      <c r="P1341" s="6">
        <f>1</f>
        <v>1</v>
      </c>
      <c r="Q1341" s="6">
        <f>0</f>
        <v>0</v>
      </c>
      <c r="S1341" s="6">
        <f>0</f>
        <v>0</v>
      </c>
      <c r="T1341" s="6">
        <f>1</f>
        <v>1</v>
      </c>
      <c r="U1341" s="5" t="s">
        <v>245</v>
      </c>
      <c r="V1341" s="4" t="s">
        <v>270</v>
      </c>
      <c r="W1341" s="4" t="s">
        <v>271</v>
      </c>
      <c r="X1341" s="4" t="s">
        <v>273</v>
      </c>
      <c r="Y1341" s="4" t="s">
        <v>241</v>
      </c>
      <c r="AB1341" s="4" t="s">
        <v>241</v>
      </c>
      <c r="AD1341" s="5" t="s">
        <v>241</v>
      </c>
      <c r="AG1341" s="5" t="s">
        <v>246</v>
      </c>
      <c r="AH1341" s="4" t="s">
        <v>241</v>
      </c>
      <c r="AI1341" s="4" t="s">
        <v>247</v>
      </c>
      <c r="AJ1341" s="4" t="s">
        <v>248</v>
      </c>
      <c r="AZ1341" s="4" t="s">
        <v>249</v>
      </c>
      <c r="BA1341" s="4" t="s">
        <v>241</v>
      </c>
      <c r="BB1341" s="4" t="s">
        <v>250</v>
      </c>
      <c r="BC1341" s="4" t="s">
        <v>241</v>
      </c>
      <c r="BD1341" s="4" t="s">
        <v>252</v>
      </c>
      <c r="BE1341" s="4" t="s">
        <v>241</v>
      </c>
      <c r="BI1341" s="4" t="s">
        <v>253</v>
      </c>
      <c r="BJ1341" s="5" t="s">
        <v>246</v>
      </c>
      <c r="BK1341" s="4" t="s">
        <v>254</v>
      </c>
      <c r="BL1341" s="4" t="s">
        <v>255</v>
      </c>
      <c r="BM1341" s="4" t="s">
        <v>241</v>
      </c>
      <c r="BN1341" s="6">
        <f>0</f>
        <v>0</v>
      </c>
      <c r="BO1341" s="6">
        <f>0</f>
        <v>0</v>
      </c>
      <c r="BP1341" s="4" t="s">
        <v>256</v>
      </c>
      <c r="BQ1341" s="4" t="s">
        <v>257</v>
      </c>
      <c r="CE1341" s="4" t="s">
        <v>241</v>
      </c>
      <c r="CF1341" s="4" t="s">
        <v>241</v>
      </c>
      <c r="CJ1341" s="4" t="s">
        <v>276</v>
      </c>
      <c r="CK1341" s="4" t="s">
        <v>259</v>
      </c>
      <c r="CL1341" s="4" t="s">
        <v>241</v>
      </c>
      <c r="CO1341" s="5" t="s">
        <v>260</v>
      </c>
      <c r="CP1341" s="4" t="s">
        <v>241</v>
      </c>
      <c r="CQ1341" s="4" t="s">
        <v>261</v>
      </c>
      <c r="CR1341" s="4" t="s">
        <v>241</v>
      </c>
      <c r="CS1341" s="4" t="s">
        <v>241</v>
      </c>
      <c r="CT1341" s="4">
        <v>0</v>
      </c>
      <c r="CU1341" s="4" t="s">
        <v>262</v>
      </c>
      <c r="CV1341" s="4" t="s">
        <v>263</v>
      </c>
      <c r="CW1341" s="4" t="s">
        <v>263</v>
      </c>
      <c r="CX1341" s="4" t="s">
        <v>264</v>
      </c>
      <c r="DA1341" s="6">
        <f>1</f>
        <v>1</v>
      </c>
      <c r="DC1341" s="4" t="s">
        <v>277</v>
      </c>
      <c r="DD1341" s="4" t="s">
        <v>241</v>
      </c>
      <c r="DF1341" s="4" t="s">
        <v>277</v>
      </c>
      <c r="DG1341" s="6">
        <f>3543</f>
        <v>3543</v>
      </c>
      <c r="DI1341" s="4" t="s">
        <v>241</v>
      </c>
      <c r="DJ1341" s="4" t="s">
        <v>241</v>
      </c>
      <c r="DK1341" s="4" t="s">
        <v>241</v>
      </c>
      <c r="DL1341" s="4" t="s">
        <v>241</v>
      </c>
      <c r="DP1341" s="4" t="s">
        <v>241</v>
      </c>
      <c r="DQ1341" s="4" t="s">
        <v>241</v>
      </c>
      <c r="DR1341" s="4" t="s">
        <v>241</v>
      </c>
      <c r="DS1341" s="4" t="s">
        <v>241</v>
      </c>
      <c r="DV1341" s="4" t="s">
        <v>278</v>
      </c>
      <c r="DW1341" s="4" t="s">
        <v>1881</v>
      </c>
      <c r="HO1341" s="4" t="s">
        <v>267</v>
      </c>
    </row>
    <row r="1342" spans="1:223" ht="19.5" customHeight="1" x14ac:dyDescent="0.4">
      <c r="A1342" s="4">
        <v>1</v>
      </c>
      <c r="B1342" s="4" t="s">
        <v>239</v>
      </c>
      <c r="C1342" s="4">
        <v>3016</v>
      </c>
      <c r="D1342" s="4">
        <v>1</v>
      </c>
      <c r="E1342" s="4">
        <v>1</v>
      </c>
      <c r="F1342" s="4" t="s">
        <v>268</v>
      </c>
      <c r="G1342" s="4" t="s">
        <v>241</v>
      </c>
      <c r="H1342" s="4" t="s">
        <v>241</v>
      </c>
      <c r="I1342" s="4" t="s">
        <v>272</v>
      </c>
      <c r="J1342" s="4" t="s">
        <v>274</v>
      </c>
      <c r="K1342" s="4" t="s">
        <v>251</v>
      </c>
      <c r="L1342" s="4" t="s">
        <v>269</v>
      </c>
      <c r="M1342" s="5" t="s">
        <v>1853</v>
      </c>
      <c r="N1342" s="6">
        <f>724</f>
        <v>724</v>
      </c>
      <c r="O1342" s="4" t="s">
        <v>265</v>
      </c>
      <c r="P1342" s="6">
        <f>1</f>
        <v>1</v>
      </c>
      <c r="Q1342" s="6">
        <f>0</f>
        <v>0</v>
      </c>
      <c r="S1342" s="6">
        <f>0</f>
        <v>0</v>
      </c>
      <c r="T1342" s="6">
        <f>1</f>
        <v>1</v>
      </c>
      <c r="U1342" s="5" t="s">
        <v>245</v>
      </c>
      <c r="V1342" s="4" t="s">
        <v>270</v>
      </c>
      <c r="W1342" s="4" t="s">
        <v>271</v>
      </c>
      <c r="X1342" s="4" t="s">
        <v>273</v>
      </c>
      <c r="Y1342" s="4" t="s">
        <v>241</v>
      </c>
      <c r="AB1342" s="4" t="s">
        <v>241</v>
      </c>
      <c r="AD1342" s="5" t="s">
        <v>241</v>
      </c>
      <c r="AG1342" s="5" t="s">
        <v>246</v>
      </c>
      <c r="AH1342" s="4" t="s">
        <v>241</v>
      </c>
      <c r="AI1342" s="4" t="s">
        <v>247</v>
      </c>
      <c r="AJ1342" s="4" t="s">
        <v>248</v>
      </c>
      <c r="AZ1342" s="4" t="s">
        <v>249</v>
      </c>
      <c r="BA1342" s="4" t="s">
        <v>241</v>
      </c>
      <c r="BB1342" s="4" t="s">
        <v>250</v>
      </c>
      <c r="BC1342" s="4" t="s">
        <v>241</v>
      </c>
      <c r="BD1342" s="4" t="s">
        <v>252</v>
      </c>
      <c r="BE1342" s="4" t="s">
        <v>241</v>
      </c>
      <c r="BI1342" s="4" t="s">
        <v>253</v>
      </c>
      <c r="BJ1342" s="5" t="s">
        <v>246</v>
      </c>
      <c r="BK1342" s="4" t="s">
        <v>254</v>
      </c>
      <c r="BL1342" s="4" t="s">
        <v>255</v>
      </c>
      <c r="BM1342" s="4" t="s">
        <v>241</v>
      </c>
      <c r="BN1342" s="6">
        <f>0</f>
        <v>0</v>
      </c>
      <c r="BO1342" s="6">
        <f>0</f>
        <v>0</v>
      </c>
      <c r="BP1342" s="4" t="s">
        <v>256</v>
      </c>
      <c r="BQ1342" s="4" t="s">
        <v>257</v>
      </c>
      <c r="CE1342" s="4" t="s">
        <v>241</v>
      </c>
      <c r="CF1342" s="4" t="s">
        <v>241</v>
      </c>
      <c r="CJ1342" s="4" t="s">
        <v>276</v>
      </c>
      <c r="CK1342" s="4" t="s">
        <v>259</v>
      </c>
      <c r="CL1342" s="4" t="s">
        <v>241</v>
      </c>
      <c r="CO1342" s="5" t="s">
        <v>260</v>
      </c>
      <c r="CP1342" s="4" t="s">
        <v>241</v>
      </c>
      <c r="CQ1342" s="4" t="s">
        <v>261</v>
      </c>
      <c r="CR1342" s="4" t="s">
        <v>241</v>
      </c>
      <c r="CS1342" s="4" t="s">
        <v>241</v>
      </c>
      <c r="CT1342" s="4">
        <v>0</v>
      </c>
      <c r="CU1342" s="4" t="s">
        <v>262</v>
      </c>
      <c r="CV1342" s="4" t="s">
        <v>263</v>
      </c>
      <c r="CW1342" s="4" t="s">
        <v>263</v>
      </c>
      <c r="CX1342" s="4" t="s">
        <v>264</v>
      </c>
      <c r="DA1342" s="6">
        <f>1</f>
        <v>1</v>
      </c>
      <c r="DC1342" s="4" t="s">
        <v>277</v>
      </c>
      <c r="DD1342" s="4" t="s">
        <v>241</v>
      </c>
      <c r="DF1342" s="4" t="s">
        <v>277</v>
      </c>
      <c r="DG1342" s="6">
        <f>724</f>
        <v>724</v>
      </c>
      <c r="DI1342" s="4" t="s">
        <v>241</v>
      </c>
      <c r="DJ1342" s="4" t="s">
        <v>241</v>
      </c>
      <c r="DK1342" s="4" t="s">
        <v>241</v>
      </c>
      <c r="DL1342" s="4" t="s">
        <v>241</v>
      </c>
      <c r="DP1342" s="4" t="s">
        <v>241</v>
      </c>
      <c r="DQ1342" s="4" t="s">
        <v>241</v>
      </c>
      <c r="DR1342" s="4" t="s">
        <v>241</v>
      </c>
      <c r="DS1342" s="4" t="s">
        <v>241</v>
      </c>
      <c r="DV1342" s="4" t="s">
        <v>278</v>
      </c>
      <c r="DW1342" s="4" t="s">
        <v>1854</v>
      </c>
      <c r="HO1342" s="4" t="s">
        <v>267</v>
      </c>
    </row>
    <row r="1343" spans="1:223" ht="19.5" customHeight="1" x14ac:dyDescent="0.4">
      <c r="A1343" s="4">
        <v>1</v>
      </c>
      <c r="B1343" s="4" t="s">
        <v>239</v>
      </c>
      <c r="C1343" s="4">
        <v>3017</v>
      </c>
      <c r="D1343" s="4">
        <v>1</v>
      </c>
      <c r="E1343" s="4">
        <v>1</v>
      </c>
      <c r="F1343" s="4" t="s">
        <v>268</v>
      </c>
      <c r="G1343" s="4" t="s">
        <v>241</v>
      </c>
      <c r="H1343" s="4" t="s">
        <v>241</v>
      </c>
      <c r="I1343" s="4" t="s">
        <v>272</v>
      </c>
      <c r="J1343" s="4" t="s">
        <v>274</v>
      </c>
      <c r="K1343" s="4" t="s">
        <v>251</v>
      </c>
      <c r="L1343" s="4" t="s">
        <v>269</v>
      </c>
      <c r="M1343" s="5" t="s">
        <v>1929</v>
      </c>
      <c r="N1343" s="6">
        <f>662</f>
        <v>662</v>
      </c>
      <c r="O1343" s="4" t="s">
        <v>265</v>
      </c>
      <c r="P1343" s="6">
        <f>1</f>
        <v>1</v>
      </c>
      <c r="Q1343" s="6">
        <f>0</f>
        <v>0</v>
      </c>
      <c r="S1343" s="6">
        <f>0</f>
        <v>0</v>
      </c>
      <c r="T1343" s="6">
        <f>1</f>
        <v>1</v>
      </c>
      <c r="U1343" s="5" t="s">
        <v>245</v>
      </c>
      <c r="V1343" s="4" t="s">
        <v>270</v>
      </c>
      <c r="W1343" s="4" t="s">
        <v>271</v>
      </c>
      <c r="X1343" s="4" t="s">
        <v>273</v>
      </c>
      <c r="Y1343" s="4" t="s">
        <v>241</v>
      </c>
      <c r="AB1343" s="4" t="s">
        <v>241</v>
      </c>
      <c r="AD1343" s="5" t="s">
        <v>241</v>
      </c>
      <c r="AG1343" s="5" t="s">
        <v>246</v>
      </c>
      <c r="AH1343" s="4" t="s">
        <v>241</v>
      </c>
      <c r="AI1343" s="4" t="s">
        <v>247</v>
      </c>
      <c r="AJ1343" s="4" t="s">
        <v>248</v>
      </c>
      <c r="AZ1343" s="4" t="s">
        <v>249</v>
      </c>
      <c r="BA1343" s="4" t="s">
        <v>241</v>
      </c>
      <c r="BB1343" s="4" t="s">
        <v>250</v>
      </c>
      <c r="BC1343" s="4" t="s">
        <v>241</v>
      </c>
      <c r="BD1343" s="4" t="s">
        <v>252</v>
      </c>
      <c r="BE1343" s="4" t="s">
        <v>241</v>
      </c>
      <c r="BI1343" s="4" t="s">
        <v>253</v>
      </c>
      <c r="BJ1343" s="5" t="s">
        <v>246</v>
      </c>
      <c r="BK1343" s="4" t="s">
        <v>254</v>
      </c>
      <c r="BL1343" s="4" t="s">
        <v>255</v>
      </c>
      <c r="BM1343" s="4" t="s">
        <v>241</v>
      </c>
      <c r="BN1343" s="6">
        <f>0</f>
        <v>0</v>
      </c>
      <c r="BO1343" s="6">
        <f>0</f>
        <v>0</v>
      </c>
      <c r="BP1343" s="4" t="s">
        <v>256</v>
      </c>
      <c r="BQ1343" s="4" t="s">
        <v>257</v>
      </c>
      <c r="CE1343" s="4" t="s">
        <v>241</v>
      </c>
      <c r="CF1343" s="4" t="s">
        <v>241</v>
      </c>
      <c r="CJ1343" s="4" t="s">
        <v>276</v>
      </c>
      <c r="CK1343" s="4" t="s">
        <v>259</v>
      </c>
      <c r="CL1343" s="4" t="s">
        <v>241</v>
      </c>
      <c r="CO1343" s="5" t="s">
        <v>260</v>
      </c>
      <c r="CP1343" s="4" t="s">
        <v>241</v>
      </c>
      <c r="CQ1343" s="4" t="s">
        <v>261</v>
      </c>
      <c r="CR1343" s="4" t="s">
        <v>241</v>
      </c>
      <c r="CS1343" s="4" t="s">
        <v>241</v>
      </c>
      <c r="CT1343" s="4">
        <v>0</v>
      </c>
      <c r="CU1343" s="4" t="s">
        <v>262</v>
      </c>
      <c r="CV1343" s="4" t="s">
        <v>263</v>
      </c>
      <c r="CW1343" s="4" t="s">
        <v>263</v>
      </c>
      <c r="CX1343" s="4" t="s">
        <v>264</v>
      </c>
      <c r="DA1343" s="6">
        <f>1</f>
        <v>1</v>
      </c>
      <c r="DC1343" s="4" t="s">
        <v>277</v>
      </c>
      <c r="DD1343" s="4" t="s">
        <v>241</v>
      </c>
      <c r="DF1343" s="4" t="s">
        <v>277</v>
      </c>
      <c r="DG1343" s="6">
        <f>662</f>
        <v>662</v>
      </c>
      <c r="DI1343" s="4" t="s">
        <v>241</v>
      </c>
      <c r="DJ1343" s="4" t="s">
        <v>241</v>
      </c>
      <c r="DK1343" s="4" t="s">
        <v>241</v>
      </c>
      <c r="DL1343" s="4" t="s">
        <v>241</v>
      </c>
      <c r="DP1343" s="4" t="s">
        <v>241</v>
      </c>
      <c r="DQ1343" s="4" t="s">
        <v>241</v>
      </c>
      <c r="DR1343" s="4" t="s">
        <v>241</v>
      </c>
      <c r="DS1343" s="4" t="s">
        <v>241</v>
      </c>
      <c r="DV1343" s="4" t="s">
        <v>278</v>
      </c>
      <c r="DW1343" s="4" t="s">
        <v>1930</v>
      </c>
      <c r="HO1343" s="4" t="s">
        <v>267</v>
      </c>
    </row>
    <row r="1344" spans="1:223" ht="19.5" customHeight="1" x14ac:dyDescent="0.4">
      <c r="A1344" s="4">
        <v>1</v>
      </c>
      <c r="B1344" s="4" t="s">
        <v>239</v>
      </c>
      <c r="C1344" s="4">
        <v>3018</v>
      </c>
      <c r="D1344" s="4">
        <v>1</v>
      </c>
      <c r="E1344" s="4">
        <v>1</v>
      </c>
      <c r="F1344" s="4" t="s">
        <v>268</v>
      </c>
      <c r="G1344" s="4" t="s">
        <v>241</v>
      </c>
      <c r="H1344" s="4" t="s">
        <v>241</v>
      </c>
      <c r="I1344" s="4" t="s">
        <v>272</v>
      </c>
      <c r="J1344" s="4" t="s">
        <v>274</v>
      </c>
      <c r="K1344" s="4" t="s">
        <v>251</v>
      </c>
      <c r="L1344" s="4" t="s">
        <v>269</v>
      </c>
      <c r="M1344" s="5" t="s">
        <v>1952</v>
      </c>
      <c r="N1344" s="6">
        <f>2265</f>
        <v>2265</v>
      </c>
      <c r="O1344" s="4" t="s">
        <v>265</v>
      </c>
      <c r="P1344" s="6">
        <f>1</f>
        <v>1</v>
      </c>
      <c r="Q1344" s="6">
        <f>0</f>
        <v>0</v>
      </c>
      <c r="S1344" s="6">
        <f>0</f>
        <v>0</v>
      </c>
      <c r="T1344" s="6">
        <f>1</f>
        <v>1</v>
      </c>
      <c r="U1344" s="5" t="s">
        <v>245</v>
      </c>
      <c r="V1344" s="4" t="s">
        <v>270</v>
      </c>
      <c r="W1344" s="4" t="s">
        <v>271</v>
      </c>
      <c r="X1344" s="4" t="s">
        <v>273</v>
      </c>
      <c r="Y1344" s="4" t="s">
        <v>241</v>
      </c>
      <c r="AB1344" s="4" t="s">
        <v>241</v>
      </c>
      <c r="AD1344" s="5" t="s">
        <v>241</v>
      </c>
      <c r="AG1344" s="5" t="s">
        <v>246</v>
      </c>
      <c r="AH1344" s="4" t="s">
        <v>241</v>
      </c>
      <c r="AI1344" s="4" t="s">
        <v>247</v>
      </c>
      <c r="AJ1344" s="4" t="s">
        <v>248</v>
      </c>
      <c r="AZ1344" s="4" t="s">
        <v>249</v>
      </c>
      <c r="BA1344" s="4" t="s">
        <v>241</v>
      </c>
      <c r="BB1344" s="4" t="s">
        <v>250</v>
      </c>
      <c r="BC1344" s="4" t="s">
        <v>241</v>
      </c>
      <c r="BD1344" s="4" t="s">
        <v>252</v>
      </c>
      <c r="BE1344" s="4" t="s">
        <v>241</v>
      </c>
      <c r="BI1344" s="4" t="s">
        <v>253</v>
      </c>
      <c r="BJ1344" s="5" t="s">
        <v>246</v>
      </c>
      <c r="BK1344" s="4" t="s">
        <v>254</v>
      </c>
      <c r="BL1344" s="4" t="s">
        <v>255</v>
      </c>
      <c r="BM1344" s="4" t="s">
        <v>241</v>
      </c>
      <c r="BN1344" s="6">
        <f>0</f>
        <v>0</v>
      </c>
      <c r="BO1344" s="6">
        <f>0</f>
        <v>0</v>
      </c>
      <c r="BP1344" s="4" t="s">
        <v>256</v>
      </c>
      <c r="BQ1344" s="4" t="s">
        <v>257</v>
      </c>
      <c r="CE1344" s="4" t="s">
        <v>241</v>
      </c>
      <c r="CF1344" s="4" t="s">
        <v>241</v>
      </c>
      <c r="CJ1344" s="4" t="s">
        <v>276</v>
      </c>
      <c r="CK1344" s="4" t="s">
        <v>259</v>
      </c>
      <c r="CL1344" s="4" t="s">
        <v>241</v>
      </c>
      <c r="CO1344" s="5" t="s">
        <v>260</v>
      </c>
      <c r="CP1344" s="4" t="s">
        <v>241</v>
      </c>
      <c r="CQ1344" s="4" t="s">
        <v>261</v>
      </c>
      <c r="CR1344" s="4" t="s">
        <v>241</v>
      </c>
      <c r="CS1344" s="4" t="s">
        <v>241</v>
      </c>
      <c r="CT1344" s="4">
        <v>0</v>
      </c>
      <c r="CU1344" s="4" t="s">
        <v>262</v>
      </c>
      <c r="CV1344" s="4" t="s">
        <v>263</v>
      </c>
      <c r="CW1344" s="4" t="s">
        <v>263</v>
      </c>
      <c r="CX1344" s="4" t="s">
        <v>264</v>
      </c>
      <c r="DA1344" s="6">
        <f>1</f>
        <v>1</v>
      </c>
      <c r="DC1344" s="4" t="s">
        <v>277</v>
      </c>
      <c r="DD1344" s="4" t="s">
        <v>241</v>
      </c>
      <c r="DF1344" s="4" t="s">
        <v>277</v>
      </c>
      <c r="DG1344" s="6">
        <f>2265</f>
        <v>2265</v>
      </c>
      <c r="DI1344" s="4" t="s">
        <v>241</v>
      </c>
      <c r="DJ1344" s="4" t="s">
        <v>241</v>
      </c>
      <c r="DK1344" s="4" t="s">
        <v>241</v>
      </c>
      <c r="DL1344" s="4" t="s">
        <v>241</v>
      </c>
      <c r="DP1344" s="4" t="s">
        <v>241</v>
      </c>
      <c r="DQ1344" s="4" t="s">
        <v>241</v>
      </c>
      <c r="DR1344" s="4" t="s">
        <v>241</v>
      </c>
      <c r="DS1344" s="4" t="s">
        <v>241</v>
      </c>
      <c r="DV1344" s="4" t="s">
        <v>278</v>
      </c>
      <c r="DW1344" s="4" t="s">
        <v>1953</v>
      </c>
      <c r="HO1344" s="4" t="s">
        <v>267</v>
      </c>
    </row>
    <row r="1345" spans="1:223" ht="19.5" customHeight="1" x14ac:dyDescent="0.4">
      <c r="A1345" s="4">
        <v>1</v>
      </c>
      <c r="B1345" s="4" t="s">
        <v>239</v>
      </c>
      <c r="C1345" s="4">
        <v>3019</v>
      </c>
      <c r="D1345" s="4">
        <v>1</v>
      </c>
      <c r="E1345" s="4">
        <v>1</v>
      </c>
      <c r="F1345" s="4" t="s">
        <v>268</v>
      </c>
      <c r="G1345" s="4" t="s">
        <v>241</v>
      </c>
      <c r="H1345" s="4" t="s">
        <v>241</v>
      </c>
      <c r="I1345" s="4" t="s">
        <v>272</v>
      </c>
      <c r="J1345" s="4" t="s">
        <v>274</v>
      </c>
      <c r="K1345" s="4" t="s">
        <v>251</v>
      </c>
      <c r="L1345" s="4" t="s">
        <v>269</v>
      </c>
      <c r="M1345" s="5" t="s">
        <v>1977</v>
      </c>
      <c r="N1345" s="6">
        <f>218</f>
        <v>218</v>
      </c>
      <c r="O1345" s="4" t="s">
        <v>265</v>
      </c>
      <c r="P1345" s="6">
        <f>1</f>
        <v>1</v>
      </c>
      <c r="Q1345" s="6">
        <f>0</f>
        <v>0</v>
      </c>
      <c r="S1345" s="6">
        <f>0</f>
        <v>0</v>
      </c>
      <c r="T1345" s="6">
        <f>1</f>
        <v>1</v>
      </c>
      <c r="U1345" s="5" t="s">
        <v>245</v>
      </c>
      <c r="V1345" s="4" t="s">
        <v>270</v>
      </c>
      <c r="W1345" s="4" t="s">
        <v>271</v>
      </c>
      <c r="X1345" s="4" t="s">
        <v>273</v>
      </c>
      <c r="Y1345" s="4" t="s">
        <v>241</v>
      </c>
      <c r="AB1345" s="4" t="s">
        <v>241</v>
      </c>
      <c r="AD1345" s="5" t="s">
        <v>241</v>
      </c>
      <c r="AG1345" s="5" t="s">
        <v>246</v>
      </c>
      <c r="AH1345" s="4" t="s">
        <v>241</v>
      </c>
      <c r="AI1345" s="4" t="s">
        <v>247</v>
      </c>
      <c r="AJ1345" s="4" t="s">
        <v>248</v>
      </c>
      <c r="AZ1345" s="4" t="s">
        <v>249</v>
      </c>
      <c r="BA1345" s="4" t="s">
        <v>241</v>
      </c>
      <c r="BB1345" s="4" t="s">
        <v>250</v>
      </c>
      <c r="BC1345" s="4" t="s">
        <v>241</v>
      </c>
      <c r="BD1345" s="4" t="s">
        <v>252</v>
      </c>
      <c r="BE1345" s="4" t="s">
        <v>241</v>
      </c>
      <c r="BI1345" s="4" t="s">
        <v>253</v>
      </c>
      <c r="BJ1345" s="5" t="s">
        <v>246</v>
      </c>
      <c r="BK1345" s="4" t="s">
        <v>254</v>
      </c>
      <c r="BL1345" s="4" t="s">
        <v>255</v>
      </c>
      <c r="BM1345" s="4" t="s">
        <v>241</v>
      </c>
      <c r="BN1345" s="6">
        <f>0</f>
        <v>0</v>
      </c>
      <c r="BO1345" s="6">
        <f>0</f>
        <v>0</v>
      </c>
      <c r="BP1345" s="4" t="s">
        <v>256</v>
      </c>
      <c r="BQ1345" s="4" t="s">
        <v>257</v>
      </c>
      <c r="CE1345" s="4" t="s">
        <v>241</v>
      </c>
      <c r="CF1345" s="4" t="s">
        <v>241</v>
      </c>
      <c r="CJ1345" s="4" t="s">
        <v>276</v>
      </c>
      <c r="CK1345" s="4" t="s">
        <v>259</v>
      </c>
      <c r="CL1345" s="4" t="s">
        <v>241</v>
      </c>
      <c r="CO1345" s="5" t="s">
        <v>260</v>
      </c>
      <c r="CP1345" s="4" t="s">
        <v>241</v>
      </c>
      <c r="CQ1345" s="4" t="s">
        <v>261</v>
      </c>
      <c r="CR1345" s="4" t="s">
        <v>241</v>
      </c>
      <c r="CS1345" s="4" t="s">
        <v>241</v>
      </c>
      <c r="CT1345" s="4">
        <v>0</v>
      </c>
      <c r="CU1345" s="4" t="s">
        <v>262</v>
      </c>
      <c r="CV1345" s="4" t="s">
        <v>263</v>
      </c>
      <c r="CW1345" s="4" t="s">
        <v>263</v>
      </c>
      <c r="CX1345" s="4" t="s">
        <v>264</v>
      </c>
      <c r="DA1345" s="6">
        <f>1</f>
        <v>1</v>
      </c>
      <c r="DC1345" s="4" t="s">
        <v>277</v>
      </c>
      <c r="DD1345" s="4" t="s">
        <v>241</v>
      </c>
      <c r="DF1345" s="4" t="s">
        <v>277</v>
      </c>
      <c r="DG1345" s="6">
        <f>218</f>
        <v>218</v>
      </c>
      <c r="DI1345" s="4" t="s">
        <v>241</v>
      </c>
      <c r="DJ1345" s="4" t="s">
        <v>241</v>
      </c>
      <c r="DK1345" s="4" t="s">
        <v>241</v>
      </c>
      <c r="DL1345" s="4" t="s">
        <v>241</v>
      </c>
      <c r="DP1345" s="4" t="s">
        <v>241</v>
      </c>
      <c r="DQ1345" s="4" t="s">
        <v>241</v>
      </c>
      <c r="DR1345" s="4" t="s">
        <v>241</v>
      </c>
      <c r="DS1345" s="4" t="s">
        <v>241</v>
      </c>
      <c r="DV1345" s="4" t="s">
        <v>278</v>
      </c>
      <c r="DW1345" s="4" t="s">
        <v>1978</v>
      </c>
      <c r="HO1345" s="4" t="s">
        <v>267</v>
      </c>
    </row>
    <row r="1346" spans="1:223" ht="19.5" customHeight="1" x14ac:dyDescent="0.4">
      <c r="A1346" s="4">
        <v>1</v>
      </c>
      <c r="B1346" s="4" t="s">
        <v>239</v>
      </c>
      <c r="C1346" s="4">
        <v>3020</v>
      </c>
      <c r="D1346" s="4">
        <v>1</v>
      </c>
      <c r="E1346" s="4">
        <v>1</v>
      </c>
      <c r="F1346" s="4" t="s">
        <v>268</v>
      </c>
      <c r="G1346" s="4" t="s">
        <v>241</v>
      </c>
      <c r="H1346" s="4" t="s">
        <v>241</v>
      </c>
      <c r="I1346" s="4" t="s">
        <v>272</v>
      </c>
      <c r="J1346" s="4" t="s">
        <v>274</v>
      </c>
      <c r="K1346" s="4" t="s">
        <v>251</v>
      </c>
      <c r="L1346" s="4" t="s">
        <v>269</v>
      </c>
      <c r="M1346" s="5" t="s">
        <v>1950</v>
      </c>
      <c r="N1346" s="6">
        <f>232</f>
        <v>232</v>
      </c>
      <c r="O1346" s="4" t="s">
        <v>265</v>
      </c>
      <c r="P1346" s="6">
        <f>1</f>
        <v>1</v>
      </c>
      <c r="Q1346" s="6">
        <f>0</f>
        <v>0</v>
      </c>
      <c r="S1346" s="6">
        <f>0</f>
        <v>0</v>
      </c>
      <c r="T1346" s="6">
        <f>1</f>
        <v>1</v>
      </c>
      <c r="U1346" s="5" t="s">
        <v>245</v>
      </c>
      <c r="V1346" s="4" t="s">
        <v>270</v>
      </c>
      <c r="W1346" s="4" t="s">
        <v>271</v>
      </c>
      <c r="X1346" s="4" t="s">
        <v>273</v>
      </c>
      <c r="Y1346" s="4" t="s">
        <v>241</v>
      </c>
      <c r="AB1346" s="4" t="s">
        <v>241</v>
      </c>
      <c r="AD1346" s="5" t="s">
        <v>241</v>
      </c>
      <c r="AG1346" s="5" t="s">
        <v>246</v>
      </c>
      <c r="AH1346" s="4" t="s">
        <v>241</v>
      </c>
      <c r="AI1346" s="4" t="s">
        <v>247</v>
      </c>
      <c r="AJ1346" s="4" t="s">
        <v>248</v>
      </c>
      <c r="AZ1346" s="4" t="s">
        <v>249</v>
      </c>
      <c r="BA1346" s="4" t="s">
        <v>241</v>
      </c>
      <c r="BB1346" s="4" t="s">
        <v>250</v>
      </c>
      <c r="BC1346" s="4" t="s">
        <v>241</v>
      </c>
      <c r="BD1346" s="4" t="s">
        <v>252</v>
      </c>
      <c r="BE1346" s="4" t="s">
        <v>241</v>
      </c>
      <c r="BI1346" s="4" t="s">
        <v>253</v>
      </c>
      <c r="BJ1346" s="5" t="s">
        <v>246</v>
      </c>
      <c r="BK1346" s="4" t="s">
        <v>254</v>
      </c>
      <c r="BL1346" s="4" t="s">
        <v>255</v>
      </c>
      <c r="BM1346" s="4" t="s">
        <v>241</v>
      </c>
      <c r="BN1346" s="6">
        <f>0</f>
        <v>0</v>
      </c>
      <c r="BO1346" s="6">
        <f>0</f>
        <v>0</v>
      </c>
      <c r="BP1346" s="4" t="s">
        <v>256</v>
      </c>
      <c r="BQ1346" s="4" t="s">
        <v>257</v>
      </c>
      <c r="CE1346" s="4" t="s">
        <v>241</v>
      </c>
      <c r="CF1346" s="4" t="s">
        <v>241</v>
      </c>
      <c r="CJ1346" s="4" t="s">
        <v>276</v>
      </c>
      <c r="CK1346" s="4" t="s">
        <v>259</v>
      </c>
      <c r="CL1346" s="4" t="s">
        <v>241</v>
      </c>
      <c r="CO1346" s="5" t="s">
        <v>260</v>
      </c>
      <c r="CP1346" s="4" t="s">
        <v>241</v>
      </c>
      <c r="CQ1346" s="4" t="s">
        <v>261</v>
      </c>
      <c r="CR1346" s="4" t="s">
        <v>241</v>
      </c>
      <c r="CS1346" s="4" t="s">
        <v>241</v>
      </c>
      <c r="CT1346" s="4">
        <v>0</v>
      </c>
      <c r="CU1346" s="4" t="s">
        <v>262</v>
      </c>
      <c r="CV1346" s="4" t="s">
        <v>263</v>
      </c>
      <c r="CW1346" s="4" t="s">
        <v>263</v>
      </c>
      <c r="CX1346" s="4" t="s">
        <v>264</v>
      </c>
      <c r="DA1346" s="6">
        <f>1</f>
        <v>1</v>
      </c>
      <c r="DC1346" s="4" t="s">
        <v>277</v>
      </c>
      <c r="DD1346" s="4" t="s">
        <v>241</v>
      </c>
      <c r="DF1346" s="4" t="s">
        <v>277</v>
      </c>
      <c r="DG1346" s="6">
        <f>232</f>
        <v>232</v>
      </c>
      <c r="DI1346" s="4" t="s">
        <v>241</v>
      </c>
      <c r="DJ1346" s="4" t="s">
        <v>241</v>
      </c>
      <c r="DK1346" s="4" t="s">
        <v>241</v>
      </c>
      <c r="DL1346" s="4" t="s">
        <v>241</v>
      </c>
      <c r="DP1346" s="4" t="s">
        <v>241</v>
      </c>
      <c r="DQ1346" s="4" t="s">
        <v>241</v>
      </c>
      <c r="DR1346" s="4" t="s">
        <v>241</v>
      </c>
      <c r="DS1346" s="4" t="s">
        <v>241</v>
      </c>
      <c r="DV1346" s="4" t="s">
        <v>278</v>
      </c>
      <c r="DW1346" s="4" t="s">
        <v>1951</v>
      </c>
      <c r="HO1346" s="4" t="s">
        <v>267</v>
      </c>
    </row>
    <row r="1347" spans="1:223" ht="19.5" customHeight="1" x14ac:dyDescent="0.4">
      <c r="A1347" s="4">
        <v>1</v>
      </c>
      <c r="B1347" s="4" t="s">
        <v>239</v>
      </c>
      <c r="C1347" s="4">
        <v>3021</v>
      </c>
      <c r="D1347" s="4">
        <v>1</v>
      </c>
      <c r="E1347" s="4">
        <v>1</v>
      </c>
      <c r="F1347" s="4" t="s">
        <v>268</v>
      </c>
      <c r="G1347" s="4" t="s">
        <v>241</v>
      </c>
      <c r="H1347" s="4" t="s">
        <v>241</v>
      </c>
      <c r="I1347" s="4" t="s">
        <v>272</v>
      </c>
      <c r="J1347" s="4" t="s">
        <v>274</v>
      </c>
      <c r="K1347" s="4" t="s">
        <v>251</v>
      </c>
      <c r="L1347" s="4" t="s">
        <v>269</v>
      </c>
      <c r="M1347" s="5" t="s">
        <v>1892</v>
      </c>
      <c r="N1347" s="6">
        <f>881</f>
        <v>881</v>
      </c>
      <c r="O1347" s="4" t="s">
        <v>265</v>
      </c>
      <c r="P1347" s="6">
        <f>1</f>
        <v>1</v>
      </c>
      <c r="Q1347" s="6">
        <f>0</f>
        <v>0</v>
      </c>
      <c r="S1347" s="6">
        <f>0</f>
        <v>0</v>
      </c>
      <c r="T1347" s="6">
        <f>1</f>
        <v>1</v>
      </c>
      <c r="U1347" s="5" t="s">
        <v>245</v>
      </c>
      <c r="V1347" s="4" t="s">
        <v>270</v>
      </c>
      <c r="W1347" s="4" t="s">
        <v>271</v>
      </c>
      <c r="X1347" s="4" t="s">
        <v>273</v>
      </c>
      <c r="Y1347" s="4" t="s">
        <v>241</v>
      </c>
      <c r="AB1347" s="4" t="s">
        <v>241</v>
      </c>
      <c r="AD1347" s="5" t="s">
        <v>241</v>
      </c>
      <c r="AG1347" s="5" t="s">
        <v>246</v>
      </c>
      <c r="AH1347" s="4" t="s">
        <v>241</v>
      </c>
      <c r="AI1347" s="4" t="s">
        <v>247</v>
      </c>
      <c r="AJ1347" s="4" t="s">
        <v>248</v>
      </c>
      <c r="AZ1347" s="4" t="s">
        <v>249</v>
      </c>
      <c r="BA1347" s="4" t="s">
        <v>241</v>
      </c>
      <c r="BB1347" s="4" t="s">
        <v>250</v>
      </c>
      <c r="BC1347" s="4" t="s">
        <v>241</v>
      </c>
      <c r="BD1347" s="4" t="s">
        <v>252</v>
      </c>
      <c r="BE1347" s="4" t="s">
        <v>241</v>
      </c>
      <c r="BI1347" s="4" t="s">
        <v>253</v>
      </c>
      <c r="BJ1347" s="5" t="s">
        <v>246</v>
      </c>
      <c r="BK1347" s="4" t="s">
        <v>254</v>
      </c>
      <c r="BL1347" s="4" t="s">
        <v>255</v>
      </c>
      <c r="BM1347" s="4" t="s">
        <v>241</v>
      </c>
      <c r="BN1347" s="6">
        <f>0</f>
        <v>0</v>
      </c>
      <c r="BO1347" s="6">
        <f>0</f>
        <v>0</v>
      </c>
      <c r="BP1347" s="4" t="s">
        <v>256</v>
      </c>
      <c r="BQ1347" s="4" t="s">
        <v>257</v>
      </c>
      <c r="CE1347" s="4" t="s">
        <v>241</v>
      </c>
      <c r="CF1347" s="4" t="s">
        <v>241</v>
      </c>
      <c r="CJ1347" s="4" t="s">
        <v>276</v>
      </c>
      <c r="CK1347" s="4" t="s">
        <v>259</v>
      </c>
      <c r="CL1347" s="4" t="s">
        <v>241</v>
      </c>
      <c r="CO1347" s="5" t="s">
        <v>260</v>
      </c>
      <c r="CP1347" s="4" t="s">
        <v>241</v>
      </c>
      <c r="CQ1347" s="4" t="s">
        <v>261</v>
      </c>
      <c r="CR1347" s="4" t="s">
        <v>241</v>
      </c>
      <c r="CS1347" s="4" t="s">
        <v>241</v>
      </c>
      <c r="CT1347" s="4">
        <v>0</v>
      </c>
      <c r="CU1347" s="4" t="s">
        <v>262</v>
      </c>
      <c r="CV1347" s="4" t="s">
        <v>263</v>
      </c>
      <c r="CW1347" s="4" t="s">
        <v>263</v>
      </c>
      <c r="CX1347" s="4" t="s">
        <v>264</v>
      </c>
      <c r="DA1347" s="6">
        <f>1</f>
        <v>1</v>
      </c>
      <c r="DC1347" s="4" t="s">
        <v>277</v>
      </c>
      <c r="DD1347" s="4" t="s">
        <v>241</v>
      </c>
      <c r="DF1347" s="4" t="s">
        <v>277</v>
      </c>
      <c r="DG1347" s="6">
        <f>881</f>
        <v>881</v>
      </c>
      <c r="DI1347" s="4" t="s">
        <v>241</v>
      </c>
      <c r="DJ1347" s="4" t="s">
        <v>241</v>
      </c>
      <c r="DK1347" s="4" t="s">
        <v>241</v>
      </c>
      <c r="DL1347" s="4" t="s">
        <v>241</v>
      </c>
      <c r="DP1347" s="4" t="s">
        <v>241</v>
      </c>
      <c r="DQ1347" s="4" t="s">
        <v>241</v>
      </c>
      <c r="DR1347" s="4" t="s">
        <v>241</v>
      </c>
      <c r="DS1347" s="4" t="s">
        <v>241</v>
      </c>
      <c r="DV1347" s="4" t="s">
        <v>278</v>
      </c>
      <c r="DW1347" s="4" t="s">
        <v>1893</v>
      </c>
      <c r="HO1347" s="4" t="s">
        <v>267</v>
      </c>
    </row>
    <row r="1348" spans="1:223" ht="19.5" customHeight="1" x14ac:dyDescent="0.4">
      <c r="A1348" s="4">
        <v>1</v>
      </c>
      <c r="B1348" s="4" t="s">
        <v>239</v>
      </c>
      <c r="C1348" s="4">
        <v>3022</v>
      </c>
      <c r="D1348" s="4">
        <v>1</v>
      </c>
      <c r="E1348" s="4">
        <v>1</v>
      </c>
      <c r="F1348" s="4" t="s">
        <v>268</v>
      </c>
      <c r="G1348" s="4" t="s">
        <v>241</v>
      </c>
      <c r="H1348" s="4" t="s">
        <v>241</v>
      </c>
      <c r="I1348" s="4" t="s">
        <v>272</v>
      </c>
      <c r="J1348" s="4" t="s">
        <v>274</v>
      </c>
      <c r="K1348" s="4" t="s">
        <v>251</v>
      </c>
      <c r="L1348" s="4" t="s">
        <v>269</v>
      </c>
      <c r="M1348" s="5" t="s">
        <v>1919</v>
      </c>
      <c r="N1348" s="6">
        <f>3064</f>
        <v>3064</v>
      </c>
      <c r="O1348" s="4" t="s">
        <v>265</v>
      </c>
      <c r="P1348" s="6">
        <f>1</f>
        <v>1</v>
      </c>
      <c r="Q1348" s="6">
        <f>0</f>
        <v>0</v>
      </c>
      <c r="S1348" s="6">
        <f>0</f>
        <v>0</v>
      </c>
      <c r="T1348" s="6">
        <f>1</f>
        <v>1</v>
      </c>
      <c r="U1348" s="5" t="s">
        <v>245</v>
      </c>
      <c r="V1348" s="4" t="s">
        <v>270</v>
      </c>
      <c r="W1348" s="4" t="s">
        <v>271</v>
      </c>
      <c r="X1348" s="4" t="s">
        <v>273</v>
      </c>
      <c r="Y1348" s="4" t="s">
        <v>241</v>
      </c>
      <c r="AB1348" s="4" t="s">
        <v>241</v>
      </c>
      <c r="AD1348" s="5" t="s">
        <v>241</v>
      </c>
      <c r="AG1348" s="5" t="s">
        <v>246</v>
      </c>
      <c r="AH1348" s="4" t="s">
        <v>241</v>
      </c>
      <c r="AI1348" s="4" t="s">
        <v>247</v>
      </c>
      <c r="AJ1348" s="4" t="s">
        <v>248</v>
      </c>
      <c r="AZ1348" s="4" t="s">
        <v>249</v>
      </c>
      <c r="BA1348" s="4" t="s">
        <v>241</v>
      </c>
      <c r="BB1348" s="4" t="s">
        <v>250</v>
      </c>
      <c r="BC1348" s="4" t="s">
        <v>241</v>
      </c>
      <c r="BD1348" s="4" t="s">
        <v>252</v>
      </c>
      <c r="BE1348" s="4" t="s">
        <v>241</v>
      </c>
      <c r="BI1348" s="4" t="s">
        <v>253</v>
      </c>
      <c r="BJ1348" s="5" t="s">
        <v>246</v>
      </c>
      <c r="BK1348" s="4" t="s">
        <v>254</v>
      </c>
      <c r="BL1348" s="4" t="s">
        <v>255</v>
      </c>
      <c r="BM1348" s="4" t="s">
        <v>241</v>
      </c>
      <c r="BN1348" s="6">
        <f>0</f>
        <v>0</v>
      </c>
      <c r="BO1348" s="6">
        <f>0</f>
        <v>0</v>
      </c>
      <c r="BP1348" s="4" t="s">
        <v>256</v>
      </c>
      <c r="BQ1348" s="4" t="s">
        <v>257</v>
      </c>
      <c r="CE1348" s="4" t="s">
        <v>241</v>
      </c>
      <c r="CF1348" s="4" t="s">
        <v>241</v>
      </c>
      <c r="CJ1348" s="4" t="s">
        <v>276</v>
      </c>
      <c r="CK1348" s="4" t="s">
        <v>259</v>
      </c>
      <c r="CL1348" s="4" t="s">
        <v>241</v>
      </c>
      <c r="CO1348" s="5" t="s">
        <v>260</v>
      </c>
      <c r="CP1348" s="4" t="s">
        <v>241</v>
      </c>
      <c r="CQ1348" s="4" t="s">
        <v>261</v>
      </c>
      <c r="CR1348" s="4" t="s">
        <v>241</v>
      </c>
      <c r="CS1348" s="4" t="s">
        <v>241</v>
      </c>
      <c r="CT1348" s="4">
        <v>0</v>
      </c>
      <c r="CU1348" s="4" t="s">
        <v>262</v>
      </c>
      <c r="CV1348" s="4" t="s">
        <v>263</v>
      </c>
      <c r="CW1348" s="4" t="s">
        <v>263</v>
      </c>
      <c r="CX1348" s="4" t="s">
        <v>264</v>
      </c>
      <c r="DA1348" s="6">
        <f>1</f>
        <v>1</v>
      </c>
      <c r="DC1348" s="4" t="s">
        <v>277</v>
      </c>
      <c r="DD1348" s="4" t="s">
        <v>241</v>
      </c>
      <c r="DF1348" s="4" t="s">
        <v>277</v>
      </c>
      <c r="DG1348" s="6">
        <f>3064</f>
        <v>3064</v>
      </c>
      <c r="DI1348" s="4" t="s">
        <v>241</v>
      </c>
      <c r="DJ1348" s="4" t="s">
        <v>241</v>
      </c>
      <c r="DK1348" s="4" t="s">
        <v>241</v>
      </c>
      <c r="DL1348" s="4" t="s">
        <v>241</v>
      </c>
      <c r="DP1348" s="4" t="s">
        <v>241</v>
      </c>
      <c r="DQ1348" s="4" t="s">
        <v>241</v>
      </c>
      <c r="DR1348" s="4" t="s">
        <v>241</v>
      </c>
      <c r="DS1348" s="4" t="s">
        <v>241</v>
      </c>
      <c r="DV1348" s="4" t="s">
        <v>278</v>
      </c>
      <c r="DW1348" s="4" t="s">
        <v>1920</v>
      </c>
      <c r="HO1348" s="4" t="s">
        <v>267</v>
      </c>
    </row>
    <row r="1349" spans="1:223" ht="19.5" customHeight="1" x14ac:dyDescent="0.4">
      <c r="A1349" s="4">
        <v>1</v>
      </c>
      <c r="B1349" s="4" t="s">
        <v>239</v>
      </c>
      <c r="C1349" s="4">
        <v>3023</v>
      </c>
      <c r="D1349" s="4">
        <v>1</v>
      </c>
      <c r="E1349" s="4">
        <v>1</v>
      </c>
      <c r="F1349" s="4" t="s">
        <v>268</v>
      </c>
      <c r="G1349" s="4" t="s">
        <v>241</v>
      </c>
      <c r="H1349" s="4" t="s">
        <v>241</v>
      </c>
      <c r="I1349" s="4" t="s">
        <v>272</v>
      </c>
      <c r="J1349" s="4" t="s">
        <v>274</v>
      </c>
      <c r="K1349" s="4" t="s">
        <v>251</v>
      </c>
      <c r="L1349" s="4" t="s">
        <v>269</v>
      </c>
      <c r="M1349" s="5" t="s">
        <v>1618</v>
      </c>
      <c r="N1349" s="6">
        <f>2418</f>
        <v>2418</v>
      </c>
      <c r="O1349" s="4" t="s">
        <v>265</v>
      </c>
      <c r="P1349" s="6">
        <f>1</f>
        <v>1</v>
      </c>
      <c r="Q1349" s="6">
        <f>0</f>
        <v>0</v>
      </c>
      <c r="S1349" s="6">
        <f>0</f>
        <v>0</v>
      </c>
      <c r="T1349" s="6">
        <f>1</f>
        <v>1</v>
      </c>
      <c r="U1349" s="5" t="s">
        <v>245</v>
      </c>
      <c r="V1349" s="4" t="s">
        <v>270</v>
      </c>
      <c r="W1349" s="4" t="s">
        <v>271</v>
      </c>
      <c r="X1349" s="4" t="s">
        <v>273</v>
      </c>
      <c r="Y1349" s="4" t="s">
        <v>241</v>
      </c>
      <c r="AB1349" s="4" t="s">
        <v>241</v>
      </c>
      <c r="AD1349" s="5" t="s">
        <v>241</v>
      </c>
      <c r="AG1349" s="5" t="s">
        <v>246</v>
      </c>
      <c r="AH1349" s="4" t="s">
        <v>241</v>
      </c>
      <c r="AI1349" s="4" t="s">
        <v>247</v>
      </c>
      <c r="AJ1349" s="4" t="s">
        <v>248</v>
      </c>
      <c r="AZ1349" s="4" t="s">
        <v>249</v>
      </c>
      <c r="BA1349" s="4" t="s">
        <v>241</v>
      </c>
      <c r="BB1349" s="4" t="s">
        <v>250</v>
      </c>
      <c r="BC1349" s="4" t="s">
        <v>241</v>
      </c>
      <c r="BD1349" s="4" t="s">
        <v>252</v>
      </c>
      <c r="BE1349" s="4" t="s">
        <v>241</v>
      </c>
      <c r="BI1349" s="4" t="s">
        <v>253</v>
      </c>
      <c r="BJ1349" s="5" t="s">
        <v>246</v>
      </c>
      <c r="BK1349" s="4" t="s">
        <v>254</v>
      </c>
      <c r="BL1349" s="4" t="s">
        <v>255</v>
      </c>
      <c r="BM1349" s="4" t="s">
        <v>241</v>
      </c>
      <c r="BN1349" s="6">
        <f>0</f>
        <v>0</v>
      </c>
      <c r="BO1349" s="6">
        <f>0</f>
        <v>0</v>
      </c>
      <c r="BP1349" s="4" t="s">
        <v>256</v>
      </c>
      <c r="BQ1349" s="4" t="s">
        <v>257</v>
      </c>
      <c r="CE1349" s="4" t="s">
        <v>241</v>
      </c>
      <c r="CF1349" s="4" t="s">
        <v>241</v>
      </c>
      <c r="CJ1349" s="4" t="s">
        <v>276</v>
      </c>
      <c r="CK1349" s="4" t="s">
        <v>259</v>
      </c>
      <c r="CL1349" s="4" t="s">
        <v>241</v>
      </c>
      <c r="CO1349" s="5" t="s">
        <v>260</v>
      </c>
      <c r="CP1349" s="4" t="s">
        <v>241</v>
      </c>
      <c r="CQ1349" s="4" t="s">
        <v>261</v>
      </c>
      <c r="CR1349" s="4" t="s">
        <v>241</v>
      </c>
      <c r="CS1349" s="4" t="s">
        <v>241</v>
      </c>
      <c r="CT1349" s="4">
        <v>0</v>
      </c>
      <c r="CU1349" s="4" t="s">
        <v>262</v>
      </c>
      <c r="CV1349" s="4" t="s">
        <v>263</v>
      </c>
      <c r="CW1349" s="4" t="s">
        <v>263</v>
      </c>
      <c r="CX1349" s="4" t="s">
        <v>264</v>
      </c>
      <c r="DA1349" s="6">
        <f>1</f>
        <v>1</v>
      </c>
      <c r="DC1349" s="4" t="s">
        <v>277</v>
      </c>
      <c r="DD1349" s="4" t="s">
        <v>241</v>
      </c>
      <c r="DF1349" s="4" t="s">
        <v>277</v>
      </c>
      <c r="DG1349" s="6">
        <f>2418</f>
        <v>2418</v>
      </c>
      <c r="DI1349" s="4" t="s">
        <v>241</v>
      </c>
      <c r="DJ1349" s="4" t="s">
        <v>241</v>
      </c>
      <c r="DK1349" s="4" t="s">
        <v>241</v>
      </c>
      <c r="DL1349" s="4" t="s">
        <v>241</v>
      </c>
      <c r="DP1349" s="4" t="s">
        <v>241</v>
      </c>
      <c r="DQ1349" s="4" t="s">
        <v>241</v>
      </c>
      <c r="DR1349" s="4" t="s">
        <v>241</v>
      </c>
      <c r="DS1349" s="4" t="s">
        <v>241</v>
      </c>
      <c r="DV1349" s="4" t="s">
        <v>278</v>
      </c>
      <c r="DW1349" s="4" t="s">
        <v>1619</v>
      </c>
      <c r="HO1349" s="4" t="s">
        <v>267</v>
      </c>
    </row>
    <row r="1350" spans="1:223" ht="19.5" customHeight="1" x14ac:dyDescent="0.4">
      <c r="A1350" s="4">
        <v>1</v>
      </c>
      <c r="B1350" s="4" t="s">
        <v>239</v>
      </c>
      <c r="C1350" s="4">
        <v>3024</v>
      </c>
      <c r="D1350" s="4">
        <v>1</v>
      </c>
      <c r="E1350" s="4">
        <v>1</v>
      </c>
      <c r="F1350" s="4" t="s">
        <v>268</v>
      </c>
      <c r="G1350" s="4" t="s">
        <v>241</v>
      </c>
      <c r="H1350" s="4" t="s">
        <v>241</v>
      </c>
      <c r="I1350" s="4" t="s">
        <v>272</v>
      </c>
      <c r="J1350" s="4" t="s">
        <v>274</v>
      </c>
      <c r="K1350" s="4" t="s">
        <v>251</v>
      </c>
      <c r="L1350" s="4" t="s">
        <v>269</v>
      </c>
      <c r="M1350" s="5" t="s">
        <v>1782</v>
      </c>
      <c r="N1350" s="6">
        <f>3871</f>
        <v>3871</v>
      </c>
      <c r="O1350" s="4" t="s">
        <v>265</v>
      </c>
      <c r="P1350" s="6">
        <f>1</f>
        <v>1</v>
      </c>
      <c r="Q1350" s="6">
        <f>0</f>
        <v>0</v>
      </c>
      <c r="S1350" s="6">
        <f>0</f>
        <v>0</v>
      </c>
      <c r="T1350" s="6">
        <f>1</f>
        <v>1</v>
      </c>
      <c r="U1350" s="5" t="s">
        <v>245</v>
      </c>
      <c r="V1350" s="4" t="s">
        <v>270</v>
      </c>
      <c r="W1350" s="4" t="s">
        <v>271</v>
      </c>
      <c r="X1350" s="4" t="s">
        <v>273</v>
      </c>
      <c r="Y1350" s="4" t="s">
        <v>241</v>
      </c>
      <c r="AB1350" s="4" t="s">
        <v>241</v>
      </c>
      <c r="AD1350" s="5" t="s">
        <v>241</v>
      </c>
      <c r="AG1350" s="5" t="s">
        <v>246</v>
      </c>
      <c r="AH1350" s="4" t="s">
        <v>241</v>
      </c>
      <c r="AI1350" s="4" t="s">
        <v>247</v>
      </c>
      <c r="AJ1350" s="4" t="s">
        <v>248</v>
      </c>
      <c r="AZ1350" s="4" t="s">
        <v>249</v>
      </c>
      <c r="BA1350" s="4" t="s">
        <v>241</v>
      </c>
      <c r="BB1350" s="4" t="s">
        <v>250</v>
      </c>
      <c r="BC1350" s="4" t="s">
        <v>241</v>
      </c>
      <c r="BD1350" s="4" t="s">
        <v>252</v>
      </c>
      <c r="BE1350" s="4" t="s">
        <v>241</v>
      </c>
      <c r="BI1350" s="4" t="s">
        <v>253</v>
      </c>
      <c r="BJ1350" s="5" t="s">
        <v>246</v>
      </c>
      <c r="BK1350" s="4" t="s">
        <v>254</v>
      </c>
      <c r="BL1350" s="4" t="s">
        <v>255</v>
      </c>
      <c r="BM1350" s="4" t="s">
        <v>241</v>
      </c>
      <c r="BN1350" s="6">
        <f>0</f>
        <v>0</v>
      </c>
      <c r="BO1350" s="6">
        <f>0</f>
        <v>0</v>
      </c>
      <c r="BP1350" s="4" t="s">
        <v>256</v>
      </c>
      <c r="BQ1350" s="4" t="s">
        <v>257</v>
      </c>
      <c r="CE1350" s="4" t="s">
        <v>241</v>
      </c>
      <c r="CF1350" s="4" t="s">
        <v>241</v>
      </c>
      <c r="CJ1350" s="4" t="s">
        <v>276</v>
      </c>
      <c r="CK1350" s="4" t="s">
        <v>259</v>
      </c>
      <c r="CL1350" s="4" t="s">
        <v>241</v>
      </c>
      <c r="CO1350" s="5" t="s">
        <v>260</v>
      </c>
      <c r="CP1350" s="4" t="s">
        <v>241</v>
      </c>
      <c r="CQ1350" s="4" t="s">
        <v>261</v>
      </c>
      <c r="CR1350" s="4" t="s">
        <v>241</v>
      </c>
      <c r="CS1350" s="4" t="s">
        <v>241</v>
      </c>
      <c r="CT1350" s="4">
        <v>0</v>
      </c>
      <c r="CU1350" s="4" t="s">
        <v>262</v>
      </c>
      <c r="CV1350" s="4" t="s">
        <v>263</v>
      </c>
      <c r="CW1350" s="4" t="s">
        <v>263</v>
      </c>
      <c r="CX1350" s="4" t="s">
        <v>264</v>
      </c>
      <c r="DA1350" s="6">
        <f>1</f>
        <v>1</v>
      </c>
      <c r="DC1350" s="4" t="s">
        <v>277</v>
      </c>
      <c r="DD1350" s="4" t="s">
        <v>241</v>
      </c>
      <c r="DF1350" s="4" t="s">
        <v>277</v>
      </c>
      <c r="DG1350" s="6">
        <f>3871</f>
        <v>3871</v>
      </c>
      <c r="DI1350" s="4" t="s">
        <v>241</v>
      </c>
      <c r="DJ1350" s="4" t="s">
        <v>241</v>
      </c>
      <c r="DK1350" s="4" t="s">
        <v>241</v>
      </c>
      <c r="DL1350" s="4" t="s">
        <v>241</v>
      </c>
      <c r="DP1350" s="4" t="s">
        <v>241</v>
      </c>
      <c r="DQ1350" s="4" t="s">
        <v>241</v>
      </c>
      <c r="DR1350" s="4" t="s">
        <v>241</v>
      </c>
      <c r="DS1350" s="4" t="s">
        <v>241</v>
      </c>
      <c r="DV1350" s="4" t="s">
        <v>278</v>
      </c>
      <c r="DW1350" s="4" t="s">
        <v>1783</v>
      </c>
      <c r="HO1350" s="4" t="s">
        <v>267</v>
      </c>
    </row>
    <row r="1351" spans="1:223" ht="19.5" customHeight="1" x14ac:dyDescent="0.4">
      <c r="A1351" s="4">
        <v>1</v>
      </c>
      <c r="B1351" s="4" t="s">
        <v>239</v>
      </c>
      <c r="C1351" s="4">
        <v>3025</v>
      </c>
      <c r="D1351" s="4">
        <v>1</v>
      </c>
      <c r="E1351" s="4">
        <v>1</v>
      </c>
      <c r="F1351" s="4" t="s">
        <v>268</v>
      </c>
      <c r="G1351" s="4" t="s">
        <v>241</v>
      </c>
      <c r="H1351" s="4" t="s">
        <v>241</v>
      </c>
      <c r="I1351" s="4" t="s">
        <v>272</v>
      </c>
      <c r="J1351" s="4" t="s">
        <v>274</v>
      </c>
      <c r="K1351" s="4" t="s">
        <v>251</v>
      </c>
      <c r="L1351" s="4" t="s">
        <v>269</v>
      </c>
      <c r="M1351" s="5" t="s">
        <v>1756</v>
      </c>
      <c r="N1351" s="6">
        <f>4265</f>
        <v>4265</v>
      </c>
      <c r="O1351" s="4" t="s">
        <v>265</v>
      </c>
      <c r="P1351" s="6">
        <f>1</f>
        <v>1</v>
      </c>
      <c r="Q1351" s="6">
        <f>0</f>
        <v>0</v>
      </c>
      <c r="S1351" s="6">
        <f>0</f>
        <v>0</v>
      </c>
      <c r="T1351" s="6">
        <f>1</f>
        <v>1</v>
      </c>
      <c r="U1351" s="5" t="s">
        <v>245</v>
      </c>
      <c r="V1351" s="4" t="s">
        <v>270</v>
      </c>
      <c r="W1351" s="4" t="s">
        <v>271</v>
      </c>
      <c r="X1351" s="4" t="s">
        <v>273</v>
      </c>
      <c r="Y1351" s="4" t="s">
        <v>241</v>
      </c>
      <c r="AB1351" s="4" t="s">
        <v>241</v>
      </c>
      <c r="AD1351" s="5" t="s">
        <v>241</v>
      </c>
      <c r="AG1351" s="5" t="s">
        <v>246</v>
      </c>
      <c r="AH1351" s="4" t="s">
        <v>241</v>
      </c>
      <c r="AI1351" s="4" t="s">
        <v>247</v>
      </c>
      <c r="AJ1351" s="4" t="s">
        <v>248</v>
      </c>
      <c r="AZ1351" s="4" t="s">
        <v>249</v>
      </c>
      <c r="BA1351" s="4" t="s">
        <v>241</v>
      </c>
      <c r="BB1351" s="4" t="s">
        <v>250</v>
      </c>
      <c r="BC1351" s="4" t="s">
        <v>241</v>
      </c>
      <c r="BD1351" s="4" t="s">
        <v>252</v>
      </c>
      <c r="BE1351" s="4" t="s">
        <v>241</v>
      </c>
      <c r="BI1351" s="4" t="s">
        <v>253</v>
      </c>
      <c r="BJ1351" s="5" t="s">
        <v>246</v>
      </c>
      <c r="BK1351" s="4" t="s">
        <v>254</v>
      </c>
      <c r="BL1351" s="4" t="s">
        <v>255</v>
      </c>
      <c r="BM1351" s="4" t="s">
        <v>241</v>
      </c>
      <c r="BN1351" s="6">
        <f>0</f>
        <v>0</v>
      </c>
      <c r="BO1351" s="6">
        <f>0</f>
        <v>0</v>
      </c>
      <c r="BP1351" s="4" t="s">
        <v>256</v>
      </c>
      <c r="BQ1351" s="4" t="s">
        <v>257</v>
      </c>
      <c r="CE1351" s="4" t="s">
        <v>241</v>
      </c>
      <c r="CF1351" s="4" t="s">
        <v>241</v>
      </c>
      <c r="CJ1351" s="4" t="s">
        <v>276</v>
      </c>
      <c r="CK1351" s="4" t="s">
        <v>259</v>
      </c>
      <c r="CL1351" s="4" t="s">
        <v>241</v>
      </c>
      <c r="CO1351" s="5" t="s">
        <v>260</v>
      </c>
      <c r="CP1351" s="4" t="s">
        <v>241</v>
      </c>
      <c r="CQ1351" s="4" t="s">
        <v>261</v>
      </c>
      <c r="CR1351" s="4" t="s">
        <v>241</v>
      </c>
      <c r="CS1351" s="4" t="s">
        <v>241</v>
      </c>
      <c r="CT1351" s="4">
        <v>0</v>
      </c>
      <c r="CU1351" s="4" t="s">
        <v>262</v>
      </c>
      <c r="CV1351" s="4" t="s">
        <v>263</v>
      </c>
      <c r="CW1351" s="4" t="s">
        <v>263</v>
      </c>
      <c r="CX1351" s="4" t="s">
        <v>264</v>
      </c>
      <c r="DA1351" s="6">
        <f>1</f>
        <v>1</v>
      </c>
      <c r="DC1351" s="4" t="s">
        <v>277</v>
      </c>
      <c r="DD1351" s="4" t="s">
        <v>241</v>
      </c>
      <c r="DF1351" s="4" t="s">
        <v>277</v>
      </c>
      <c r="DG1351" s="6">
        <f>4265</f>
        <v>4265</v>
      </c>
      <c r="DI1351" s="4" t="s">
        <v>241</v>
      </c>
      <c r="DJ1351" s="4" t="s">
        <v>241</v>
      </c>
      <c r="DK1351" s="4" t="s">
        <v>241</v>
      </c>
      <c r="DL1351" s="4" t="s">
        <v>241</v>
      </c>
      <c r="DP1351" s="4" t="s">
        <v>241</v>
      </c>
      <c r="DQ1351" s="4" t="s">
        <v>241</v>
      </c>
      <c r="DR1351" s="4" t="s">
        <v>241</v>
      </c>
      <c r="DS1351" s="4" t="s">
        <v>241</v>
      </c>
      <c r="DV1351" s="4" t="s">
        <v>278</v>
      </c>
      <c r="DW1351" s="4" t="s">
        <v>1757</v>
      </c>
      <c r="HO1351" s="4" t="s">
        <v>267</v>
      </c>
    </row>
    <row r="1352" spans="1:223" ht="19.5" customHeight="1" x14ac:dyDescent="0.4">
      <c r="A1352" s="4">
        <v>1</v>
      </c>
      <c r="B1352" s="4" t="s">
        <v>239</v>
      </c>
      <c r="C1352" s="4">
        <v>3026</v>
      </c>
      <c r="D1352" s="4">
        <v>1</v>
      </c>
      <c r="E1352" s="4">
        <v>1</v>
      </c>
      <c r="F1352" s="4" t="s">
        <v>268</v>
      </c>
      <c r="G1352" s="4" t="s">
        <v>241</v>
      </c>
      <c r="H1352" s="4" t="s">
        <v>241</v>
      </c>
      <c r="I1352" s="4" t="s">
        <v>272</v>
      </c>
      <c r="J1352" s="4" t="s">
        <v>274</v>
      </c>
      <c r="K1352" s="4" t="s">
        <v>251</v>
      </c>
      <c r="L1352" s="4" t="s">
        <v>269</v>
      </c>
      <c r="M1352" s="5" t="s">
        <v>1806</v>
      </c>
      <c r="N1352" s="6">
        <f>6420</f>
        <v>6420</v>
      </c>
      <c r="O1352" s="4" t="s">
        <v>265</v>
      </c>
      <c r="P1352" s="6">
        <f>1</f>
        <v>1</v>
      </c>
      <c r="Q1352" s="6">
        <f>0</f>
        <v>0</v>
      </c>
      <c r="S1352" s="6">
        <f>0</f>
        <v>0</v>
      </c>
      <c r="T1352" s="6">
        <f>1</f>
        <v>1</v>
      </c>
      <c r="U1352" s="5" t="s">
        <v>245</v>
      </c>
      <c r="V1352" s="4" t="s">
        <v>270</v>
      </c>
      <c r="W1352" s="4" t="s">
        <v>271</v>
      </c>
      <c r="X1352" s="4" t="s">
        <v>273</v>
      </c>
      <c r="Y1352" s="4" t="s">
        <v>241</v>
      </c>
      <c r="AB1352" s="4" t="s">
        <v>241</v>
      </c>
      <c r="AD1352" s="5" t="s">
        <v>241</v>
      </c>
      <c r="AG1352" s="5" t="s">
        <v>246</v>
      </c>
      <c r="AH1352" s="4" t="s">
        <v>241</v>
      </c>
      <c r="AI1352" s="4" t="s">
        <v>247</v>
      </c>
      <c r="AJ1352" s="4" t="s">
        <v>248</v>
      </c>
      <c r="AZ1352" s="4" t="s">
        <v>249</v>
      </c>
      <c r="BA1352" s="4" t="s">
        <v>241</v>
      </c>
      <c r="BB1352" s="4" t="s">
        <v>250</v>
      </c>
      <c r="BC1352" s="4" t="s">
        <v>241</v>
      </c>
      <c r="BD1352" s="4" t="s">
        <v>252</v>
      </c>
      <c r="BE1352" s="4" t="s">
        <v>241</v>
      </c>
      <c r="BI1352" s="4" t="s">
        <v>253</v>
      </c>
      <c r="BJ1352" s="5" t="s">
        <v>246</v>
      </c>
      <c r="BK1352" s="4" t="s">
        <v>254</v>
      </c>
      <c r="BL1352" s="4" t="s">
        <v>255</v>
      </c>
      <c r="BM1352" s="4" t="s">
        <v>241</v>
      </c>
      <c r="BN1352" s="6">
        <f>0</f>
        <v>0</v>
      </c>
      <c r="BO1352" s="6">
        <f>0</f>
        <v>0</v>
      </c>
      <c r="BP1352" s="4" t="s">
        <v>256</v>
      </c>
      <c r="BQ1352" s="4" t="s">
        <v>257</v>
      </c>
      <c r="CE1352" s="4" t="s">
        <v>241</v>
      </c>
      <c r="CF1352" s="4" t="s">
        <v>241</v>
      </c>
      <c r="CJ1352" s="4" t="s">
        <v>276</v>
      </c>
      <c r="CK1352" s="4" t="s">
        <v>259</v>
      </c>
      <c r="CL1352" s="4" t="s">
        <v>241</v>
      </c>
      <c r="CO1352" s="5" t="s">
        <v>260</v>
      </c>
      <c r="CP1352" s="4" t="s">
        <v>241</v>
      </c>
      <c r="CQ1352" s="4" t="s">
        <v>261</v>
      </c>
      <c r="CR1352" s="4" t="s">
        <v>241</v>
      </c>
      <c r="CS1352" s="4" t="s">
        <v>241</v>
      </c>
      <c r="CT1352" s="4">
        <v>0</v>
      </c>
      <c r="CU1352" s="4" t="s">
        <v>262</v>
      </c>
      <c r="CV1352" s="4" t="s">
        <v>263</v>
      </c>
      <c r="CW1352" s="4" t="s">
        <v>263</v>
      </c>
      <c r="CX1352" s="4" t="s">
        <v>264</v>
      </c>
      <c r="DA1352" s="6">
        <f>1</f>
        <v>1</v>
      </c>
      <c r="DC1352" s="4" t="s">
        <v>277</v>
      </c>
      <c r="DD1352" s="4" t="s">
        <v>241</v>
      </c>
      <c r="DF1352" s="4" t="s">
        <v>277</v>
      </c>
      <c r="DG1352" s="6">
        <f>6420</f>
        <v>6420</v>
      </c>
      <c r="DI1352" s="4" t="s">
        <v>241</v>
      </c>
      <c r="DJ1352" s="4" t="s">
        <v>241</v>
      </c>
      <c r="DK1352" s="4" t="s">
        <v>241</v>
      </c>
      <c r="DL1352" s="4" t="s">
        <v>241</v>
      </c>
      <c r="DP1352" s="4" t="s">
        <v>241</v>
      </c>
      <c r="DQ1352" s="4" t="s">
        <v>241</v>
      </c>
      <c r="DR1352" s="4" t="s">
        <v>241</v>
      </c>
      <c r="DS1352" s="4" t="s">
        <v>241</v>
      </c>
      <c r="DV1352" s="4" t="s">
        <v>278</v>
      </c>
      <c r="DW1352" s="4" t="s">
        <v>1807</v>
      </c>
      <c r="HO1352" s="4" t="s">
        <v>267</v>
      </c>
    </row>
    <row r="1353" spans="1:223" ht="19.5" customHeight="1" x14ac:dyDescent="0.4">
      <c r="A1353" s="4">
        <v>1</v>
      </c>
      <c r="B1353" s="4" t="s">
        <v>239</v>
      </c>
      <c r="C1353" s="4">
        <v>3027</v>
      </c>
      <c r="D1353" s="4">
        <v>1</v>
      </c>
      <c r="E1353" s="4">
        <v>1</v>
      </c>
      <c r="F1353" s="4" t="s">
        <v>268</v>
      </c>
      <c r="G1353" s="4" t="s">
        <v>241</v>
      </c>
      <c r="H1353" s="4" t="s">
        <v>241</v>
      </c>
      <c r="I1353" s="4" t="s">
        <v>272</v>
      </c>
      <c r="J1353" s="4" t="s">
        <v>274</v>
      </c>
      <c r="K1353" s="4" t="s">
        <v>251</v>
      </c>
      <c r="L1353" s="4" t="s">
        <v>269</v>
      </c>
      <c r="M1353" s="5" t="s">
        <v>1590</v>
      </c>
      <c r="N1353" s="6">
        <f>1432</f>
        <v>1432</v>
      </c>
      <c r="O1353" s="4" t="s">
        <v>265</v>
      </c>
      <c r="P1353" s="6">
        <f>1</f>
        <v>1</v>
      </c>
      <c r="Q1353" s="6">
        <f>0</f>
        <v>0</v>
      </c>
      <c r="S1353" s="6">
        <f>0</f>
        <v>0</v>
      </c>
      <c r="T1353" s="6">
        <f>1</f>
        <v>1</v>
      </c>
      <c r="U1353" s="5" t="s">
        <v>245</v>
      </c>
      <c r="V1353" s="4" t="s">
        <v>270</v>
      </c>
      <c r="W1353" s="4" t="s">
        <v>271</v>
      </c>
      <c r="X1353" s="4" t="s">
        <v>273</v>
      </c>
      <c r="Y1353" s="4" t="s">
        <v>241</v>
      </c>
      <c r="AB1353" s="4" t="s">
        <v>241</v>
      </c>
      <c r="AD1353" s="5" t="s">
        <v>241</v>
      </c>
      <c r="AG1353" s="5" t="s">
        <v>246</v>
      </c>
      <c r="AH1353" s="4" t="s">
        <v>241</v>
      </c>
      <c r="AI1353" s="4" t="s">
        <v>247</v>
      </c>
      <c r="AJ1353" s="4" t="s">
        <v>248</v>
      </c>
      <c r="AZ1353" s="4" t="s">
        <v>249</v>
      </c>
      <c r="BA1353" s="4" t="s">
        <v>241</v>
      </c>
      <c r="BB1353" s="4" t="s">
        <v>250</v>
      </c>
      <c r="BC1353" s="4" t="s">
        <v>241</v>
      </c>
      <c r="BD1353" s="4" t="s">
        <v>252</v>
      </c>
      <c r="BE1353" s="4" t="s">
        <v>241</v>
      </c>
      <c r="BI1353" s="4" t="s">
        <v>253</v>
      </c>
      <c r="BJ1353" s="5" t="s">
        <v>246</v>
      </c>
      <c r="BK1353" s="4" t="s">
        <v>254</v>
      </c>
      <c r="BL1353" s="4" t="s">
        <v>255</v>
      </c>
      <c r="BM1353" s="4" t="s">
        <v>241</v>
      </c>
      <c r="BN1353" s="6">
        <f>0</f>
        <v>0</v>
      </c>
      <c r="BO1353" s="6">
        <f>0</f>
        <v>0</v>
      </c>
      <c r="BP1353" s="4" t="s">
        <v>256</v>
      </c>
      <c r="BQ1353" s="4" t="s">
        <v>257</v>
      </c>
      <c r="CE1353" s="4" t="s">
        <v>241</v>
      </c>
      <c r="CF1353" s="4" t="s">
        <v>241</v>
      </c>
      <c r="CJ1353" s="4" t="s">
        <v>276</v>
      </c>
      <c r="CK1353" s="4" t="s">
        <v>259</v>
      </c>
      <c r="CL1353" s="4" t="s">
        <v>241</v>
      </c>
      <c r="CO1353" s="5" t="s">
        <v>260</v>
      </c>
      <c r="CP1353" s="4" t="s">
        <v>241</v>
      </c>
      <c r="CQ1353" s="4" t="s">
        <v>261</v>
      </c>
      <c r="CR1353" s="4" t="s">
        <v>241</v>
      </c>
      <c r="CS1353" s="4" t="s">
        <v>241</v>
      </c>
      <c r="CT1353" s="4">
        <v>0</v>
      </c>
      <c r="CU1353" s="4" t="s">
        <v>262</v>
      </c>
      <c r="CV1353" s="4" t="s">
        <v>263</v>
      </c>
      <c r="CW1353" s="4" t="s">
        <v>263</v>
      </c>
      <c r="CX1353" s="4" t="s">
        <v>264</v>
      </c>
      <c r="DA1353" s="6">
        <f>1</f>
        <v>1</v>
      </c>
      <c r="DC1353" s="4" t="s">
        <v>277</v>
      </c>
      <c r="DD1353" s="4" t="s">
        <v>241</v>
      </c>
      <c r="DF1353" s="4" t="s">
        <v>277</v>
      </c>
      <c r="DG1353" s="6">
        <f>1432</f>
        <v>1432</v>
      </c>
      <c r="DI1353" s="4" t="s">
        <v>241</v>
      </c>
      <c r="DJ1353" s="4" t="s">
        <v>241</v>
      </c>
      <c r="DK1353" s="4" t="s">
        <v>241</v>
      </c>
      <c r="DL1353" s="4" t="s">
        <v>241</v>
      </c>
      <c r="DP1353" s="4" t="s">
        <v>241</v>
      </c>
      <c r="DQ1353" s="4" t="s">
        <v>241</v>
      </c>
      <c r="DR1353" s="4" t="s">
        <v>241</v>
      </c>
      <c r="DS1353" s="4" t="s">
        <v>241</v>
      </c>
      <c r="DV1353" s="4" t="s">
        <v>278</v>
      </c>
      <c r="DW1353" s="4" t="s">
        <v>1591</v>
      </c>
      <c r="HO1353" s="4" t="s">
        <v>267</v>
      </c>
    </row>
    <row r="1354" spans="1:223" ht="19.5" customHeight="1" x14ac:dyDescent="0.4">
      <c r="A1354" s="4">
        <v>1</v>
      </c>
      <c r="B1354" s="4" t="s">
        <v>239</v>
      </c>
      <c r="C1354" s="4">
        <v>3028</v>
      </c>
      <c r="D1354" s="4">
        <v>1</v>
      </c>
      <c r="E1354" s="4">
        <v>1</v>
      </c>
      <c r="F1354" s="4" t="s">
        <v>268</v>
      </c>
      <c r="G1354" s="4" t="s">
        <v>241</v>
      </c>
      <c r="H1354" s="4" t="s">
        <v>241</v>
      </c>
      <c r="I1354" s="4" t="s">
        <v>272</v>
      </c>
      <c r="J1354" s="4" t="s">
        <v>274</v>
      </c>
      <c r="K1354" s="4" t="s">
        <v>251</v>
      </c>
      <c r="L1354" s="4" t="s">
        <v>269</v>
      </c>
      <c r="M1354" s="5" t="s">
        <v>1890</v>
      </c>
      <c r="N1354" s="6">
        <f>2056</f>
        <v>2056</v>
      </c>
      <c r="O1354" s="4" t="s">
        <v>265</v>
      </c>
      <c r="P1354" s="6">
        <f>1</f>
        <v>1</v>
      </c>
      <c r="Q1354" s="6">
        <f>0</f>
        <v>0</v>
      </c>
      <c r="S1354" s="6">
        <f>0</f>
        <v>0</v>
      </c>
      <c r="T1354" s="6">
        <f>1</f>
        <v>1</v>
      </c>
      <c r="U1354" s="5" t="s">
        <v>245</v>
      </c>
      <c r="V1354" s="4" t="s">
        <v>270</v>
      </c>
      <c r="W1354" s="4" t="s">
        <v>271</v>
      </c>
      <c r="X1354" s="4" t="s">
        <v>273</v>
      </c>
      <c r="Y1354" s="4" t="s">
        <v>241</v>
      </c>
      <c r="AB1354" s="4" t="s">
        <v>241</v>
      </c>
      <c r="AD1354" s="5" t="s">
        <v>241</v>
      </c>
      <c r="AG1354" s="5" t="s">
        <v>246</v>
      </c>
      <c r="AH1354" s="4" t="s">
        <v>241</v>
      </c>
      <c r="AI1354" s="4" t="s">
        <v>247</v>
      </c>
      <c r="AJ1354" s="4" t="s">
        <v>248</v>
      </c>
      <c r="AZ1354" s="4" t="s">
        <v>249</v>
      </c>
      <c r="BA1354" s="4" t="s">
        <v>241</v>
      </c>
      <c r="BB1354" s="4" t="s">
        <v>250</v>
      </c>
      <c r="BC1354" s="4" t="s">
        <v>241</v>
      </c>
      <c r="BD1354" s="4" t="s">
        <v>252</v>
      </c>
      <c r="BE1354" s="4" t="s">
        <v>241</v>
      </c>
      <c r="BI1354" s="4" t="s">
        <v>253</v>
      </c>
      <c r="BJ1354" s="5" t="s">
        <v>246</v>
      </c>
      <c r="BK1354" s="4" t="s">
        <v>254</v>
      </c>
      <c r="BL1354" s="4" t="s">
        <v>255</v>
      </c>
      <c r="BM1354" s="4" t="s">
        <v>241</v>
      </c>
      <c r="BN1354" s="6">
        <f>0</f>
        <v>0</v>
      </c>
      <c r="BO1354" s="6">
        <f>0</f>
        <v>0</v>
      </c>
      <c r="BP1354" s="4" t="s">
        <v>256</v>
      </c>
      <c r="BQ1354" s="4" t="s">
        <v>257</v>
      </c>
      <c r="CE1354" s="4" t="s">
        <v>241</v>
      </c>
      <c r="CF1354" s="4" t="s">
        <v>241</v>
      </c>
      <c r="CJ1354" s="4" t="s">
        <v>276</v>
      </c>
      <c r="CK1354" s="4" t="s">
        <v>259</v>
      </c>
      <c r="CL1354" s="4" t="s">
        <v>241</v>
      </c>
      <c r="CO1354" s="5" t="s">
        <v>260</v>
      </c>
      <c r="CP1354" s="4" t="s">
        <v>241</v>
      </c>
      <c r="CQ1354" s="4" t="s">
        <v>261</v>
      </c>
      <c r="CR1354" s="4" t="s">
        <v>241</v>
      </c>
      <c r="CS1354" s="4" t="s">
        <v>241</v>
      </c>
      <c r="CT1354" s="4">
        <v>0</v>
      </c>
      <c r="CU1354" s="4" t="s">
        <v>262</v>
      </c>
      <c r="CV1354" s="4" t="s">
        <v>263</v>
      </c>
      <c r="CW1354" s="4" t="s">
        <v>263</v>
      </c>
      <c r="CX1354" s="4" t="s">
        <v>264</v>
      </c>
      <c r="DA1354" s="6">
        <f>1</f>
        <v>1</v>
      </c>
      <c r="DC1354" s="4" t="s">
        <v>277</v>
      </c>
      <c r="DD1354" s="4" t="s">
        <v>241</v>
      </c>
      <c r="DF1354" s="4" t="s">
        <v>277</v>
      </c>
      <c r="DG1354" s="6">
        <f>2056</f>
        <v>2056</v>
      </c>
      <c r="DI1354" s="4" t="s">
        <v>241</v>
      </c>
      <c r="DJ1354" s="4" t="s">
        <v>241</v>
      </c>
      <c r="DK1354" s="4" t="s">
        <v>241</v>
      </c>
      <c r="DL1354" s="4" t="s">
        <v>241</v>
      </c>
      <c r="DP1354" s="4" t="s">
        <v>241</v>
      </c>
      <c r="DQ1354" s="4" t="s">
        <v>241</v>
      </c>
      <c r="DR1354" s="4" t="s">
        <v>241</v>
      </c>
      <c r="DS1354" s="4" t="s">
        <v>241</v>
      </c>
      <c r="DV1354" s="4" t="s">
        <v>278</v>
      </c>
      <c r="DW1354" s="4" t="s">
        <v>1891</v>
      </c>
      <c r="HO1354" s="4" t="s">
        <v>267</v>
      </c>
    </row>
    <row r="1355" spans="1:223" ht="19.5" customHeight="1" x14ac:dyDescent="0.4">
      <c r="A1355" s="4">
        <v>1</v>
      </c>
      <c r="B1355" s="4" t="s">
        <v>239</v>
      </c>
      <c r="C1355" s="4">
        <v>3029</v>
      </c>
      <c r="D1355" s="4">
        <v>1</v>
      </c>
      <c r="E1355" s="4">
        <v>1</v>
      </c>
      <c r="F1355" s="4" t="s">
        <v>268</v>
      </c>
      <c r="G1355" s="4" t="s">
        <v>241</v>
      </c>
      <c r="H1355" s="4" t="s">
        <v>241</v>
      </c>
      <c r="I1355" s="4" t="s">
        <v>272</v>
      </c>
      <c r="J1355" s="4" t="s">
        <v>274</v>
      </c>
      <c r="K1355" s="4" t="s">
        <v>251</v>
      </c>
      <c r="L1355" s="4" t="s">
        <v>269</v>
      </c>
      <c r="M1355" s="5" t="s">
        <v>1866</v>
      </c>
      <c r="N1355" s="6">
        <f>2113</f>
        <v>2113</v>
      </c>
      <c r="O1355" s="4" t="s">
        <v>265</v>
      </c>
      <c r="P1355" s="6">
        <f>1</f>
        <v>1</v>
      </c>
      <c r="Q1355" s="6">
        <f>0</f>
        <v>0</v>
      </c>
      <c r="S1355" s="6">
        <f>0</f>
        <v>0</v>
      </c>
      <c r="T1355" s="6">
        <f>1</f>
        <v>1</v>
      </c>
      <c r="U1355" s="5" t="s">
        <v>245</v>
      </c>
      <c r="V1355" s="4" t="s">
        <v>270</v>
      </c>
      <c r="W1355" s="4" t="s">
        <v>271</v>
      </c>
      <c r="X1355" s="4" t="s">
        <v>273</v>
      </c>
      <c r="Y1355" s="4" t="s">
        <v>241</v>
      </c>
      <c r="AB1355" s="4" t="s">
        <v>241</v>
      </c>
      <c r="AD1355" s="5" t="s">
        <v>241</v>
      </c>
      <c r="AG1355" s="5" t="s">
        <v>246</v>
      </c>
      <c r="AH1355" s="4" t="s">
        <v>241</v>
      </c>
      <c r="AI1355" s="4" t="s">
        <v>247</v>
      </c>
      <c r="AJ1355" s="4" t="s">
        <v>248</v>
      </c>
      <c r="AZ1355" s="4" t="s">
        <v>249</v>
      </c>
      <c r="BA1355" s="4" t="s">
        <v>241</v>
      </c>
      <c r="BB1355" s="4" t="s">
        <v>250</v>
      </c>
      <c r="BC1355" s="4" t="s">
        <v>241</v>
      </c>
      <c r="BD1355" s="4" t="s">
        <v>252</v>
      </c>
      <c r="BE1355" s="4" t="s">
        <v>241</v>
      </c>
      <c r="BI1355" s="4" t="s">
        <v>253</v>
      </c>
      <c r="BJ1355" s="5" t="s">
        <v>246</v>
      </c>
      <c r="BK1355" s="4" t="s">
        <v>254</v>
      </c>
      <c r="BL1355" s="4" t="s">
        <v>255</v>
      </c>
      <c r="BM1355" s="4" t="s">
        <v>241</v>
      </c>
      <c r="BN1355" s="6">
        <f>0</f>
        <v>0</v>
      </c>
      <c r="BO1355" s="6">
        <f>0</f>
        <v>0</v>
      </c>
      <c r="BP1355" s="4" t="s">
        <v>256</v>
      </c>
      <c r="BQ1355" s="4" t="s">
        <v>257</v>
      </c>
      <c r="CE1355" s="4" t="s">
        <v>241</v>
      </c>
      <c r="CF1355" s="4" t="s">
        <v>241</v>
      </c>
      <c r="CJ1355" s="4" t="s">
        <v>276</v>
      </c>
      <c r="CK1355" s="4" t="s">
        <v>259</v>
      </c>
      <c r="CL1355" s="4" t="s">
        <v>241</v>
      </c>
      <c r="CO1355" s="5" t="s">
        <v>260</v>
      </c>
      <c r="CP1355" s="4" t="s">
        <v>241</v>
      </c>
      <c r="CQ1355" s="4" t="s">
        <v>261</v>
      </c>
      <c r="CR1355" s="4" t="s">
        <v>241</v>
      </c>
      <c r="CS1355" s="4" t="s">
        <v>241</v>
      </c>
      <c r="CT1355" s="4">
        <v>0</v>
      </c>
      <c r="CU1355" s="4" t="s">
        <v>262</v>
      </c>
      <c r="CV1355" s="4" t="s">
        <v>263</v>
      </c>
      <c r="CW1355" s="4" t="s">
        <v>263</v>
      </c>
      <c r="CX1355" s="4" t="s">
        <v>264</v>
      </c>
      <c r="DA1355" s="6">
        <f>1</f>
        <v>1</v>
      </c>
      <c r="DC1355" s="4" t="s">
        <v>277</v>
      </c>
      <c r="DD1355" s="4" t="s">
        <v>241</v>
      </c>
      <c r="DF1355" s="4" t="s">
        <v>277</v>
      </c>
      <c r="DG1355" s="6">
        <f>2113</f>
        <v>2113</v>
      </c>
      <c r="DI1355" s="4" t="s">
        <v>241</v>
      </c>
      <c r="DJ1355" s="4" t="s">
        <v>241</v>
      </c>
      <c r="DK1355" s="4" t="s">
        <v>241</v>
      </c>
      <c r="DL1355" s="4" t="s">
        <v>241</v>
      </c>
      <c r="DP1355" s="4" t="s">
        <v>241</v>
      </c>
      <c r="DQ1355" s="4" t="s">
        <v>241</v>
      </c>
      <c r="DR1355" s="4" t="s">
        <v>241</v>
      </c>
      <c r="DS1355" s="4" t="s">
        <v>241</v>
      </c>
      <c r="DV1355" s="4" t="s">
        <v>278</v>
      </c>
      <c r="DW1355" s="4" t="s">
        <v>1867</v>
      </c>
      <c r="HO1355" s="4" t="s">
        <v>267</v>
      </c>
    </row>
    <row r="1356" spans="1:223" ht="19.5" customHeight="1" x14ac:dyDescent="0.4">
      <c r="A1356" s="4">
        <v>1</v>
      </c>
      <c r="B1356" s="4" t="s">
        <v>239</v>
      </c>
      <c r="C1356" s="4">
        <v>3030</v>
      </c>
      <c r="D1356" s="4">
        <v>1</v>
      </c>
      <c r="E1356" s="4">
        <v>1</v>
      </c>
      <c r="F1356" s="4" t="s">
        <v>268</v>
      </c>
      <c r="G1356" s="4" t="s">
        <v>241</v>
      </c>
      <c r="H1356" s="4" t="s">
        <v>241</v>
      </c>
      <c r="I1356" s="4" t="s">
        <v>272</v>
      </c>
      <c r="J1356" s="4" t="s">
        <v>274</v>
      </c>
      <c r="K1356" s="4" t="s">
        <v>251</v>
      </c>
      <c r="L1356" s="4" t="s">
        <v>269</v>
      </c>
      <c r="M1356" s="5" t="s">
        <v>1902</v>
      </c>
      <c r="N1356" s="6">
        <f>1891</f>
        <v>1891</v>
      </c>
      <c r="O1356" s="4" t="s">
        <v>265</v>
      </c>
      <c r="P1356" s="6">
        <f>1</f>
        <v>1</v>
      </c>
      <c r="Q1356" s="6">
        <f>0</f>
        <v>0</v>
      </c>
      <c r="S1356" s="6">
        <f>0</f>
        <v>0</v>
      </c>
      <c r="T1356" s="6">
        <f>1</f>
        <v>1</v>
      </c>
      <c r="U1356" s="5" t="s">
        <v>245</v>
      </c>
      <c r="V1356" s="4" t="s">
        <v>270</v>
      </c>
      <c r="W1356" s="4" t="s">
        <v>271</v>
      </c>
      <c r="X1356" s="4" t="s">
        <v>273</v>
      </c>
      <c r="Y1356" s="4" t="s">
        <v>241</v>
      </c>
      <c r="AB1356" s="4" t="s">
        <v>241</v>
      </c>
      <c r="AD1356" s="5" t="s">
        <v>241</v>
      </c>
      <c r="AG1356" s="5" t="s">
        <v>246</v>
      </c>
      <c r="AH1356" s="4" t="s">
        <v>241</v>
      </c>
      <c r="AI1356" s="4" t="s">
        <v>247</v>
      </c>
      <c r="AJ1356" s="4" t="s">
        <v>248</v>
      </c>
      <c r="AZ1356" s="4" t="s">
        <v>249</v>
      </c>
      <c r="BA1356" s="4" t="s">
        <v>241</v>
      </c>
      <c r="BB1356" s="4" t="s">
        <v>250</v>
      </c>
      <c r="BC1356" s="4" t="s">
        <v>241</v>
      </c>
      <c r="BD1356" s="4" t="s">
        <v>252</v>
      </c>
      <c r="BE1356" s="4" t="s">
        <v>241</v>
      </c>
      <c r="BI1356" s="4" t="s">
        <v>253</v>
      </c>
      <c r="BJ1356" s="5" t="s">
        <v>246</v>
      </c>
      <c r="BK1356" s="4" t="s">
        <v>254</v>
      </c>
      <c r="BL1356" s="4" t="s">
        <v>255</v>
      </c>
      <c r="BM1356" s="4" t="s">
        <v>241</v>
      </c>
      <c r="BN1356" s="6">
        <f>0</f>
        <v>0</v>
      </c>
      <c r="BO1356" s="6">
        <f>0</f>
        <v>0</v>
      </c>
      <c r="BP1356" s="4" t="s">
        <v>256</v>
      </c>
      <c r="BQ1356" s="4" t="s">
        <v>257</v>
      </c>
      <c r="CE1356" s="4" t="s">
        <v>241</v>
      </c>
      <c r="CF1356" s="4" t="s">
        <v>241</v>
      </c>
      <c r="CJ1356" s="4" t="s">
        <v>276</v>
      </c>
      <c r="CK1356" s="4" t="s">
        <v>259</v>
      </c>
      <c r="CL1356" s="4" t="s">
        <v>241</v>
      </c>
      <c r="CO1356" s="5" t="s">
        <v>260</v>
      </c>
      <c r="CP1356" s="4" t="s">
        <v>241</v>
      </c>
      <c r="CQ1356" s="4" t="s">
        <v>261</v>
      </c>
      <c r="CR1356" s="4" t="s">
        <v>241</v>
      </c>
      <c r="CS1356" s="4" t="s">
        <v>241</v>
      </c>
      <c r="CT1356" s="4">
        <v>0</v>
      </c>
      <c r="CU1356" s="4" t="s">
        <v>262</v>
      </c>
      <c r="CV1356" s="4" t="s">
        <v>263</v>
      </c>
      <c r="CW1356" s="4" t="s">
        <v>263</v>
      </c>
      <c r="CX1356" s="4" t="s">
        <v>264</v>
      </c>
      <c r="DA1356" s="6">
        <f>1</f>
        <v>1</v>
      </c>
      <c r="DC1356" s="4" t="s">
        <v>277</v>
      </c>
      <c r="DD1356" s="4" t="s">
        <v>241</v>
      </c>
      <c r="DF1356" s="4" t="s">
        <v>277</v>
      </c>
      <c r="DG1356" s="6">
        <f>1891</f>
        <v>1891</v>
      </c>
      <c r="DI1356" s="4" t="s">
        <v>241</v>
      </c>
      <c r="DJ1356" s="4" t="s">
        <v>241</v>
      </c>
      <c r="DK1356" s="4" t="s">
        <v>241</v>
      </c>
      <c r="DL1356" s="4" t="s">
        <v>241</v>
      </c>
      <c r="DP1356" s="4" t="s">
        <v>241</v>
      </c>
      <c r="DQ1356" s="4" t="s">
        <v>241</v>
      </c>
      <c r="DR1356" s="4" t="s">
        <v>241</v>
      </c>
      <c r="DS1356" s="4" t="s">
        <v>241</v>
      </c>
      <c r="DV1356" s="4" t="s">
        <v>278</v>
      </c>
      <c r="DW1356" s="4" t="s">
        <v>1903</v>
      </c>
      <c r="HO1356" s="4" t="s">
        <v>267</v>
      </c>
    </row>
    <row r="1357" spans="1:223" ht="19.5" customHeight="1" x14ac:dyDescent="0.4">
      <c r="A1357" s="4">
        <v>1</v>
      </c>
      <c r="B1357" s="4" t="s">
        <v>239</v>
      </c>
      <c r="C1357" s="4">
        <v>3031</v>
      </c>
      <c r="D1357" s="4">
        <v>1</v>
      </c>
      <c r="E1357" s="4">
        <v>1</v>
      </c>
      <c r="F1357" s="4" t="s">
        <v>268</v>
      </c>
      <c r="G1357" s="4" t="s">
        <v>241</v>
      </c>
      <c r="H1357" s="4" t="s">
        <v>241</v>
      </c>
      <c r="I1357" s="4" t="s">
        <v>272</v>
      </c>
      <c r="J1357" s="4" t="s">
        <v>274</v>
      </c>
      <c r="K1357" s="4" t="s">
        <v>251</v>
      </c>
      <c r="L1357" s="4" t="s">
        <v>269</v>
      </c>
      <c r="M1357" s="5" t="s">
        <v>1888</v>
      </c>
      <c r="N1357" s="6">
        <f>2642</f>
        <v>2642</v>
      </c>
      <c r="O1357" s="4" t="s">
        <v>265</v>
      </c>
      <c r="P1357" s="6">
        <f>1</f>
        <v>1</v>
      </c>
      <c r="Q1357" s="6">
        <f>0</f>
        <v>0</v>
      </c>
      <c r="S1357" s="6">
        <f>0</f>
        <v>0</v>
      </c>
      <c r="T1357" s="6">
        <f>1</f>
        <v>1</v>
      </c>
      <c r="U1357" s="5" t="s">
        <v>245</v>
      </c>
      <c r="V1357" s="4" t="s">
        <v>270</v>
      </c>
      <c r="W1357" s="4" t="s">
        <v>271</v>
      </c>
      <c r="X1357" s="4" t="s">
        <v>273</v>
      </c>
      <c r="Y1357" s="4" t="s">
        <v>241</v>
      </c>
      <c r="AB1357" s="4" t="s">
        <v>241</v>
      </c>
      <c r="AD1357" s="5" t="s">
        <v>241</v>
      </c>
      <c r="AG1357" s="5" t="s">
        <v>246</v>
      </c>
      <c r="AH1357" s="4" t="s">
        <v>241</v>
      </c>
      <c r="AI1357" s="4" t="s">
        <v>247</v>
      </c>
      <c r="AJ1357" s="4" t="s">
        <v>248</v>
      </c>
      <c r="AZ1357" s="4" t="s">
        <v>249</v>
      </c>
      <c r="BA1357" s="4" t="s">
        <v>241</v>
      </c>
      <c r="BB1357" s="4" t="s">
        <v>250</v>
      </c>
      <c r="BC1357" s="4" t="s">
        <v>241</v>
      </c>
      <c r="BD1357" s="4" t="s">
        <v>252</v>
      </c>
      <c r="BE1357" s="4" t="s">
        <v>241</v>
      </c>
      <c r="BI1357" s="4" t="s">
        <v>253</v>
      </c>
      <c r="BJ1357" s="5" t="s">
        <v>246</v>
      </c>
      <c r="BK1357" s="4" t="s">
        <v>254</v>
      </c>
      <c r="BL1357" s="4" t="s">
        <v>255</v>
      </c>
      <c r="BM1357" s="4" t="s">
        <v>241</v>
      </c>
      <c r="BN1357" s="6">
        <f>0</f>
        <v>0</v>
      </c>
      <c r="BO1357" s="6">
        <f>0</f>
        <v>0</v>
      </c>
      <c r="BP1357" s="4" t="s">
        <v>256</v>
      </c>
      <c r="BQ1357" s="4" t="s">
        <v>257</v>
      </c>
      <c r="CE1357" s="4" t="s">
        <v>241</v>
      </c>
      <c r="CF1357" s="4" t="s">
        <v>241</v>
      </c>
      <c r="CJ1357" s="4" t="s">
        <v>276</v>
      </c>
      <c r="CK1357" s="4" t="s">
        <v>259</v>
      </c>
      <c r="CL1357" s="4" t="s">
        <v>241</v>
      </c>
      <c r="CO1357" s="5" t="s">
        <v>260</v>
      </c>
      <c r="CP1357" s="4" t="s">
        <v>241</v>
      </c>
      <c r="CQ1357" s="4" t="s">
        <v>261</v>
      </c>
      <c r="CR1357" s="4" t="s">
        <v>241</v>
      </c>
      <c r="CS1357" s="4" t="s">
        <v>241</v>
      </c>
      <c r="CT1357" s="4">
        <v>0</v>
      </c>
      <c r="CU1357" s="4" t="s">
        <v>262</v>
      </c>
      <c r="CV1357" s="4" t="s">
        <v>263</v>
      </c>
      <c r="CW1357" s="4" t="s">
        <v>263</v>
      </c>
      <c r="CX1357" s="4" t="s">
        <v>264</v>
      </c>
      <c r="DA1357" s="6">
        <f>1</f>
        <v>1</v>
      </c>
      <c r="DC1357" s="4" t="s">
        <v>277</v>
      </c>
      <c r="DD1357" s="4" t="s">
        <v>241</v>
      </c>
      <c r="DF1357" s="4" t="s">
        <v>277</v>
      </c>
      <c r="DG1357" s="6">
        <f>2642</f>
        <v>2642</v>
      </c>
      <c r="DI1357" s="4" t="s">
        <v>241</v>
      </c>
      <c r="DJ1357" s="4" t="s">
        <v>241</v>
      </c>
      <c r="DK1357" s="4" t="s">
        <v>241</v>
      </c>
      <c r="DL1357" s="4" t="s">
        <v>241</v>
      </c>
      <c r="DP1357" s="4" t="s">
        <v>241</v>
      </c>
      <c r="DQ1357" s="4" t="s">
        <v>241</v>
      </c>
      <c r="DR1357" s="4" t="s">
        <v>241</v>
      </c>
      <c r="DS1357" s="4" t="s">
        <v>241</v>
      </c>
      <c r="DV1357" s="4" t="s">
        <v>278</v>
      </c>
      <c r="DW1357" s="4" t="s">
        <v>1889</v>
      </c>
      <c r="HO1357" s="4" t="s">
        <v>267</v>
      </c>
    </row>
    <row r="1358" spans="1:223" ht="19.5" customHeight="1" x14ac:dyDescent="0.4">
      <c r="A1358" s="4">
        <v>1</v>
      </c>
      <c r="B1358" s="4" t="s">
        <v>239</v>
      </c>
      <c r="C1358" s="4">
        <v>3032</v>
      </c>
      <c r="D1358" s="4">
        <v>1</v>
      </c>
      <c r="E1358" s="4">
        <v>1</v>
      </c>
      <c r="F1358" s="4" t="s">
        <v>268</v>
      </c>
      <c r="G1358" s="4" t="s">
        <v>241</v>
      </c>
      <c r="H1358" s="4" t="s">
        <v>241</v>
      </c>
      <c r="I1358" s="4" t="s">
        <v>272</v>
      </c>
      <c r="J1358" s="4" t="s">
        <v>274</v>
      </c>
      <c r="K1358" s="4" t="s">
        <v>251</v>
      </c>
      <c r="L1358" s="4" t="s">
        <v>269</v>
      </c>
      <c r="M1358" s="5" t="s">
        <v>1849</v>
      </c>
      <c r="N1358" s="6">
        <f>598</f>
        <v>598</v>
      </c>
      <c r="O1358" s="4" t="s">
        <v>265</v>
      </c>
      <c r="P1358" s="6">
        <f>1</f>
        <v>1</v>
      </c>
      <c r="Q1358" s="6">
        <f>0</f>
        <v>0</v>
      </c>
      <c r="S1358" s="6">
        <f>0</f>
        <v>0</v>
      </c>
      <c r="T1358" s="6">
        <f>1</f>
        <v>1</v>
      </c>
      <c r="U1358" s="5" t="s">
        <v>245</v>
      </c>
      <c r="V1358" s="4" t="s">
        <v>270</v>
      </c>
      <c r="W1358" s="4" t="s">
        <v>271</v>
      </c>
      <c r="X1358" s="4" t="s">
        <v>273</v>
      </c>
      <c r="Y1358" s="4" t="s">
        <v>241</v>
      </c>
      <c r="AB1358" s="4" t="s">
        <v>241</v>
      </c>
      <c r="AD1358" s="5" t="s">
        <v>241</v>
      </c>
      <c r="AG1358" s="5" t="s">
        <v>246</v>
      </c>
      <c r="AH1358" s="4" t="s">
        <v>241</v>
      </c>
      <c r="AI1358" s="4" t="s">
        <v>247</v>
      </c>
      <c r="AJ1358" s="4" t="s">
        <v>248</v>
      </c>
      <c r="AZ1358" s="4" t="s">
        <v>249</v>
      </c>
      <c r="BA1358" s="4" t="s">
        <v>241</v>
      </c>
      <c r="BB1358" s="4" t="s">
        <v>250</v>
      </c>
      <c r="BC1358" s="4" t="s">
        <v>241</v>
      </c>
      <c r="BD1358" s="4" t="s">
        <v>252</v>
      </c>
      <c r="BE1358" s="4" t="s">
        <v>241</v>
      </c>
      <c r="BI1358" s="4" t="s">
        <v>253</v>
      </c>
      <c r="BJ1358" s="5" t="s">
        <v>246</v>
      </c>
      <c r="BK1358" s="4" t="s">
        <v>254</v>
      </c>
      <c r="BL1358" s="4" t="s">
        <v>255</v>
      </c>
      <c r="BM1358" s="4" t="s">
        <v>241</v>
      </c>
      <c r="BN1358" s="6">
        <f>0</f>
        <v>0</v>
      </c>
      <c r="BO1358" s="6">
        <f>0</f>
        <v>0</v>
      </c>
      <c r="BP1358" s="4" t="s">
        <v>256</v>
      </c>
      <c r="BQ1358" s="4" t="s">
        <v>257</v>
      </c>
      <c r="CE1358" s="4" t="s">
        <v>241</v>
      </c>
      <c r="CF1358" s="4" t="s">
        <v>241</v>
      </c>
      <c r="CJ1358" s="4" t="s">
        <v>276</v>
      </c>
      <c r="CK1358" s="4" t="s">
        <v>259</v>
      </c>
      <c r="CL1358" s="4" t="s">
        <v>241</v>
      </c>
      <c r="CO1358" s="5" t="s">
        <v>260</v>
      </c>
      <c r="CP1358" s="4" t="s">
        <v>241</v>
      </c>
      <c r="CQ1358" s="4" t="s">
        <v>261</v>
      </c>
      <c r="CR1358" s="4" t="s">
        <v>241</v>
      </c>
      <c r="CS1358" s="4" t="s">
        <v>241</v>
      </c>
      <c r="CT1358" s="4">
        <v>0</v>
      </c>
      <c r="CU1358" s="4" t="s">
        <v>262</v>
      </c>
      <c r="CV1358" s="4" t="s">
        <v>263</v>
      </c>
      <c r="CW1358" s="4" t="s">
        <v>263</v>
      </c>
      <c r="CX1358" s="4" t="s">
        <v>264</v>
      </c>
      <c r="DA1358" s="6">
        <f>1</f>
        <v>1</v>
      </c>
      <c r="DC1358" s="4" t="s">
        <v>277</v>
      </c>
      <c r="DD1358" s="4" t="s">
        <v>241</v>
      </c>
      <c r="DF1358" s="4" t="s">
        <v>277</v>
      </c>
      <c r="DG1358" s="6">
        <f>598</f>
        <v>598</v>
      </c>
      <c r="DI1358" s="4" t="s">
        <v>241</v>
      </c>
      <c r="DJ1358" s="4" t="s">
        <v>241</v>
      </c>
      <c r="DK1358" s="4" t="s">
        <v>241</v>
      </c>
      <c r="DL1358" s="4" t="s">
        <v>241</v>
      </c>
      <c r="DP1358" s="4" t="s">
        <v>241</v>
      </c>
      <c r="DQ1358" s="4" t="s">
        <v>241</v>
      </c>
      <c r="DR1358" s="4" t="s">
        <v>241</v>
      </c>
      <c r="DS1358" s="4" t="s">
        <v>241</v>
      </c>
      <c r="DV1358" s="4" t="s">
        <v>278</v>
      </c>
      <c r="DW1358" s="4" t="s">
        <v>1850</v>
      </c>
      <c r="HO1358" s="4" t="s">
        <v>267</v>
      </c>
    </row>
    <row r="1359" spans="1:223" ht="19.5" customHeight="1" x14ac:dyDescent="0.4">
      <c r="A1359" s="4">
        <v>1</v>
      </c>
      <c r="B1359" s="4" t="s">
        <v>239</v>
      </c>
      <c r="C1359" s="4">
        <v>3033</v>
      </c>
      <c r="D1359" s="4">
        <v>1</v>
      </c>
      <c r="E1359" s="4">
        <v>1</v>
      </c>
      <c r="F1359" s="4" t="s">
        <v>268</v>
      </c>
      <c r="G1359" s="4" t="s">
        <v>241</v>
      </c>
      <c r="H1359" s="4" t="s">
        <v>241</v>
      </c>
      <c r="I1359" s="4" t="s">
        <v>272</v>
      </c>
      <c r="J1359" s="4" t="s">
        <v>274</v>
      </c>
      <c r="K1359" s="4" t="s">
        <v>251</v>
      </c>
      <c r="L1359" s="4" t="s">
        <v>269</v>
      </c>
      <c r="M1359" s="5" t="s">
        <v>1917</v>
      </c>
      <c r="N1359" s="6">
        <f>1142</f>
        <v>1142</v>
      </c>
      <c r="O1359" s="4" t="s">
        <v>265</v>
      </c>
      <c r="P1359" s="6">
        <f>1</f>
        <v>1</v>
      </c>
      <c r="Q1359" s="6">
        <f>0</f>
        <v>0</v>
      </c>
      <c r="S1359" s="6">
        <f>0</f>
        <v>0</v>
      </c>
      <c r="T1359" s="6">
        <f>1</f>
        <v>1</v>
      </c>
      <c r="U1359" s="5" t="s">
        <v>245</v>
      </c>
      <c r="V1359" s="4" t="s">
        <v>270</v>
      </c>
      <c r="W1359" s="4" t="s">
        <v>271</v>
      </c>
      <c r="X1359" s="4" t="s">
        <v>273</v>
      </c>
      <c r="Y1359" s="4" t="s">
        <v>241</v>
      </c>
      <c r="AB1359" s="4" t="s">
        <v>241</v>
      </c>
      <c r="AD1359" s="5" t="s">
        <v>241</v>
      </c>
      <c r="AG1359" s="5" t="s">
        <v>246</v>
      </c>
      <c r="AH1359" s="4" t="s">
        <v>241</v>
      </c>
      <c r="AI1359" s="4" t="s">
        <v>247</v>
      </c>
      <c r="AJ1359" s="4" t="s">
        <v>248</v>
      </c>
      <c r="AZ1359" s="4" t="s">
        <v>249</v>
      </c>
      <c r="BA1359" s="4" t="s">
        <v>241</v>
      </c>
      <c r="BB1359" s="4" t="s">
        <v>250</v>
      </c>
      <c r="BC1359" s="4" t="s">
        <v>241</v>
      </c>
      <c r="BD1359" s="4" t="s">
        <v>252</v>
      </c>
      <c r="BE1359" s="4" t="s">
        <v>241</v>
      </c>
      <c r="BI1359" s="4" t="s">
        <v>253</v>
      </c>
      <c r="BJ1359" s="5" t="s">
        <v>246</v>
      </c>
      <c r="BK1359" s="4" t="s">
        <v>254</v>
      </c>
      <c r="BL1359" s="4" t="s">
        <v>255</v>
      </c>
      <c r="BM1359" s="4" t="s">
        <v>241</v>
      </c>
      <c r="BN1359" s="6">
        <f>0</f>
        <v>0</v>
      </c>
      <c r="BO1359" s="6">
        <f>0</f>
        <v>0</v>
      </c>
      <c r="BP1359" s="4" t="s">
        <v>256</v>
      </c>
      <c r="BQ1359" s="4" t="s">
        <v>257</v>
      </c>
      <c r="CE1359" s="4" t="s">
        <v>241</v>
      </c>
      <c r="CF1359" s="4" t="s">
        <v>241</v>
      </c>
      <c r="CJ1359" s="4" t="s">
        <v>276</v>
      </c>
      <c r="CK1359" s="4" t="s">
        <v>259</v>
      </c>
      <c r="CL1359" s="4" t="s">
        <v>241</v>
      </c>
      <c r="CO1359" s="5" t="s">
        <v>260</v>
      </c>
      <c r="CP1359" s="4" t="s">
        <v>241</v>
      </c>
      <c r="CQ1359" s="4" t="s">
        <v>261</v>
      </c>
      <c r="CR1359" s="4" t="s">
        <v>241</v>
      </c>
      <c r="CS1359" s="4" t="s">
        <v>241</v>
      </c>
      <c r="CT1359" s="4">
        <v>0</v>
      </c>
      <c r="CU1359" s="4" t="s">
        <v>262</v>
      </c>
      <c r="CV1359" s="4" t="s">
        <v>263</v>
      </c>
      <c r="CW1359" s="4" t="s">
        <v>263</v>
      </c>
      <c r="CX1359" s="4" t="s">
        <v>264</v>
      </c>
      <c r="DA1359" s="6">
        <f>1</f>
        <v>1</v>
      </c>
      <c r="DC1359" s="4" t="s">
        <v>277</v>
      </c>
      <c r="DD1359" s="4" t="s">
        <v>241</v>
      </c>
      <c r="DF1359" s="4" t="s">
        <v>277</v>
      </c>
      <c r="DG1359" s="6">
        <f>1142</f>
        <v>1142</v>
      </c>
      <c r="DI1359" s="4" t="s">
        <v>241</v>
      </c>
      <c r="DJ1359" s="4" t="s">
        <v>241</v>
      </c>
      <c r="DK1359" s="4" t="s">
        <v>241</v>
      </c>
      <c r="DL1359" s="4" t="s">
        <v>241</v>
      </c>
      <c r="DP1359" s="4" t="s">
        <v>241</v>
      </c>
      <c r="DQ1359" s="4" t="s">
        <v>241</v>
      </c>
      <c r="DR1359" s="4" t="s">
        <v>241</v>
      </c>
      <c r="DS1359" s="4" t="s">
        <v>241</v>
      </c>
      <c r="DV1359" s="4" t="s">
        <v>278</v>
      </c>
      <c r="DW1359" s="4" t="s">
        <v>1918</v>
      </c>
      <c r="HO1359" s="4" t="s">
        <v>267</v>
      </c>
    </row>
    <row r="1360" spans="1:223" ht="19.5" customHeight="1" x14ac:dyDescent="0.4">
      <c r="A1360" s="4">
        <v>1</v>
      </c>
      <c r="B1360" s="4" t="s">
        <v>239</v>
      </c>
      <c r="C1360" s="4">
        <v>3034</v>
      </c>
      <c r="D1360" s="4">
        <v>1</v>
      </c>
      <c r="E1360" s="4">
        <v>1</v>
      </c>
      <c r="F1360" s="4" t="s">
        <v>268</v>
      </c>
      <c r="G1360" s="4" t="s">
        <v>241</v>
      </c>
      <c r="H1360" s="4" t="s">
        <v>241</v>
      </c>
      <c r="I1360" s="4" t="s">
        <v>272</v>
      </c>
      <c r="J1360" s="4" t="s">
        <v>274</v>
      </c>
      <c r="K1360" s="4" t="s">
        <v>251</v>
      </c>
      <c r="L1360" s="4" t="s">
        <v>269</v>
      </c>
      <c r="M1360" s="5" t="s">
        <v>1921</v>
      </c>
      <c r="N1360" s="6">
        <f>2476</f>
        <v>2476</v>
      </c>
      <c r="O1360" s="4" t="s">
        <v>265</v>
      </c>
      <c r="P1360" s="6">
        <f>1</f>
        <v>1</v>
      </c>
      <c r="Q1360" s="6">
        <f>0</f>
        <v>0</v>
      </c>
      <c r="S1360" s="6">
        <f>0</f>
        <v>0</v>
      </c>
      <c r="T1360" s="6">
        <f>1</f>
        <v>1</v>
      </c>
      <c r="U1360" s="5" t="s">
        <v>245</v>
      </c>
      <c r="V1360" s="4" t="s">
        <v>270</v>
      </c>
      <c r="W1360" s="4" t="s">
        <v>271</v>
      </c>
      <c r="X1360" s="4" t="s">
        <v>273</v>
      </c>
      <c r="Y1360" s="4" t="s">
        <v>241</v>
      </c>
      <c r="AB1360" s="4" t="s">
        <v>241</v>
      </c>
      <c r="AD1360" s="5" t="s">
        <v>241</v>
      </c>
      <c r="AG1360" s="5" t="s">
        <v>246</v>
      </c>
      <c r="AH1360" s="4" t="s">
        <v>241</v>
      </c>
      <c r="AI1360" s="4" t="s">
        <v>247</v>
      </c>
      <c r="AJ1360" s="4" t="s">
        <v>248</v>
      </c>
      <c r="AZ1360" s="4" t="s">
        <v>249</v>
      </c>
      <c r="BA1360" s="4" t="s">
        <v>241</v>
      </c>
      <c r="BB1360" s="4" t="s">
        <v>250</v>
      </c>
      <c r="BC1360" s="4" t="s">
        <v>241</v>
      </c>
      <c r="BD1360" s="4" t="s">
        <v>252</v>
      </c>
      <c r="BE1360" s="4" t="s">
        <v>241</v>
      </c>
      <c r="BI1360" s="4" t="s">
        <v>253</v>
      </c>
      <c r="BJ1360" s="5" t="s">
        <v>246</v>
      </c>
      <c r="BK1360" s="4" t="s">
        <v>254</v>
      </c>
      <c r="BL1360" s="4" t="s">
        <v>255</v>
      </c>
      <c r="BM1360" s="4" t="s">
        <v>241</v>
      </c>
      <c r="BN1360" s="6">
        <f>0</f>
        <v>0</v>
      </c>
      <c r="BO1360" s="6">
        <f>0</f>
        <v>0</v>
      </c>
      <c r="BP1360" s="4" t="s">
        <v>256</v>
      </c>
      <c r="BQ1360" s="4" t="s">
        <v>257</v>
      </c>
      <c r="CE1360" s="4" t="s">
        <v>241</v>
      </c>
      <c r="CF1360" s="4" t="s">
        <v>241</v>
      </c>
      <c r="CJ1360" s="4" t="s">
        <v>276</v>
      </c>
      <c r="CK1360" s="4" t="s">
        <v>259</v>
      </c>
      <c r="CL1360" s="4" t="s">
        <v>241</v>
      </c>
      <c r="CO1360" s="5" t="s">
        <v>260</v>
      </c>
      <c r="CP1360" s="4" t="s">
        <v>241</v>
      </c>
      <c r="CQ1360" s="4" t="s">
        <v>261</v>
      </c>
      <c r="CR1360" s="4" t="s">
        <v>241</v>
      </c>
      <c r="CS1360" s="4" t="s">
        <v>241</v>
      </c>
      <c r="CT1360" s="4">
        <v>0</v>
      </c>
      <c r="CU1360" s="4" t="s">
        <v>262</v>
      </c>
      <c r="CV1360" s="4" t="s">
        <v>263</v>
      </c>
      <c r="CW1360" s="4" t="s">
        <v>263</v>
      </c>
      <c r="CX1360" s="4" t="s">
        <v>264</v>
      </c>
      <c r="DA1360" s="6">
        <f>1</f>
        <v>1</v>
      </c>
      <c r="DC1360" s="4" t="s">
        <v>277</v>
      </c>
      <c r="DD1360" s="4" t="s">
        <v>241</v>
      </c>
      <c r="DF1360" s="4" t="s">
        <v>277</v>
      </c>
      <c r="DG1360" s="6">
        <f>2476</f>
        <v>2476</v>
      </c>
      <c r="DI1360" s="4" t="s">
        <v>241</v>
      </c>
      <c r="DJ1360" s="4" t="s">
        <v>241</v>
      </c>
      <c r="DK1360" s="4" t="s">
        <v>241</v>
      </c>
      <c r="DL1360" s="4" t="s">
        <v>241</v>
      </c>
      <c r="DP1360" s="4" t="s">
        <v>241</v>
      </c>
      <c r="DQ1360" s="4" t="s">
        <v>241</v>
      </c>
      <c r="DR1360" s="4" t="s">
        <v>241</v>
      </c>
      <c r="DS1360" s="4" t="s">
        <v>241</v>
      </c>
      <c r="DV1360" s="4" t="s">
        <v>278</v>
      </c>
      <c r="DW1360" s="4" t="s">
        <v>1922</v>
      </c>
      <c r="HO1360" s="4" t="s">
        <v>267</v>
      </c>
    </row>
    <row r="1361" spans="1:223" ht="19.5" customHeight="1" x14ac:dyDescent="0.4">
      <c r="A1361" s="4">
        <v>1</v>
      </c>
      <c r="B1361" s="4" t="s">
        <v>239</v>
      </c>
      <c r="C1361" s="4">
        <v>3035</v>
      </c>
      <c r="D1361" s="4">
        <v>1</v>
      </c>
      <c r="E1361" s="4">
        <v>1</v>
      </c>
      <c r="F1361" s="4" t="s">
        <v>268</v>
      </c>
      <c r="G1361" s="4" t="s">
        <v>241</v>
      </c>
      <c r="H1361" s="4" t="s">
        <v>241</v>
      </c>
      <c r="I1361" s="4" t="s">
        <v>272</v>
      </c>
      <c r="J1361" s="4" t="s">
        <v>274</v>
      </c>
      <c r="K1361" s="4" t="s">
        <v>251</v>
      </c>
      <c r="L1361" s="4" t="s">
        <v>269</v>
      </c>
      <c r="M1361" s="5" t="s">
        <v>1841</v>
      </c>
      <c r="N1361" s="6">
        <f>2822</f>
        <v>2822</v>
      </c>
      <c r="O1361" s="4" t="s">
        <v>265</v>
      </c>
      <c r="P1361" s="6">
        <f>1</f>
        <v>1</v>
      </c>
      <c r="Q1361" s="6">
        <f>0</f>
        <v>0</v>
      </c>
      <c r="S1361" s="6">
        <f>0</f>
        <v>0</v>
      </c>
      <c r="T1361" s="6">
        <f>1</f>
        <v>1</v>
      </c>
      <c r="U1361" s="5" t="s">
        <v>245</v>
      </c>
      <c r="V1361" s="4" t="s">
        <v>270</v>
      </c>
      <c r="W1361" s="4" t="s">
        <v>271</v>
      </c>
      <c r="X1361" s="4" t="s">
        <v>273</v>
      </c>
      <c r="Y1361" s="4" t="s">
        <v>241</v>
      </c>
      <c r="AB1361" s="4" t="s">
        <v>241</v>
      </c>
      <c r="AD1361" s="5" t="s">
        <v>241</v>
      </c>
      <c r="AG1361" s="5" t="s">
        <v>246</v>
      </c>
      <c r="AH1361" s="4" t="s">
        <v>241</v>
      </c>
      <c r="AI1361" s="4" t="s">
        <v>247</v>
      </c>
      <c r="AJ1361" s="4" t="s">
        <v>248</v>
      </c>
      <c r="AZ1361" s="4" t="s">
        <v>249</v>
      </c>
      <c r="BA1361" s="4" t="s">
        <v>241</v>
      </c>
      <c r="BB1361" s="4" t="s">
        <v>250</v>
      </c>
      <c r="BC1361" s="4" t="s">
        <v>241</v>
      </c>
      <c r="BD1361" s="4" t="s">
        <v>252</v>
      </c>
      <c r="BE1361" s="4" t="s">
        <v>241</v>
      </c>
      <c r="BI1361" s="4" t="s">
        <v>253</v>
      </c>
      <c r="BJ1361" s="5" t="s">
        <v>246</v>
      </c>
      <c r="BK1361" s="4" t="s">
        <v>254</v>
      </c>
      <c r="BL1361" s="4" t="s">
        <v>255</v>
      </c>
      <c r="BM1361" s="4" t="s">
        <v>241</v>
      </c>
      <c r="BN1361" s="6">
        <f>0</f>
        <v>0</v>
      </c>
      <c r="BO1361" s="6">
        <f>0</f>
        <v>0</v>
      </c>
      <c r="BP1361" s="4" t="s">
        <v>256</v>
      </c>
      <c r="BQ1361" s="4" t="s">
        <v>257</v>
      </c>
      <c r="CE1361" s="4" t="s">
        <v>241</v>
      </c>
      <c r="CF1361" s="4" t="s">
        <v>241</v>
      </c>
      <c r="CJ1361" s="4" t="s">
        <v>276</v>
      </c>
      <c r="CK1361" s="4" t="s">
        <v>259</v>
      </c>
      <c r="CL1361" s="4" t="s">
        <v>241</v>
      </c>
      <c r="CO1361" s="5" t="s">
        <v>260</v>
      </c>
      <c r="CP1361" s="4" t="s">
        <v>241</v>
      </c>
      <c r="CQ1361" s="4" t="s">
        <v>261</v>
      </c>
      <c r="CR1361" s="4" t="s">
        <v>241</v>
      </c>
      <c r="CS1361" s="4" t="s">
        <v>241</v>
      </c>
      <c r="CT1361" s="4">
        <v>0</v>
      </c>
      <c r="CU1361" s="4" t="s">
        <v>262</v>
      </c>
      <c r="CV1361" s="4" t="s">
        <v>263</v>
      </c>
      <c r="CW1361" s="4" t="s">
        <v>263</v>
      </c>
      <c r="CX1361" s="4" t="s">
        <v>264</v>
      </c>
      <c r="DA1361" s="6">
        <f>1</f>
        <v>1</v>
      </c>
      <c r="DC1361" s="4" t="s">
        <v>277</v>
      </c>
      <c r="DD1361" s="4" t="s">
        <v>241</v>
      </c>
      <c r="DF1361" s="4" t="s">
        <v>277</v>
      </c>
      <c r="DG1361" s="6">
        <f>2822</f>
        <v>2822</v>
      </c>
      <c r="DI1361" s="4" t="s">
        <v>241</v>
      </c>
      <c r="DJ1361" s="4" t="s">
        <v>241</v>
      </c>
      <c r="DK1361" s="4" t="s">
        <v>241</v>
      </c>
      <c r="DL1361" s="4" t="s">
        <v>241</v>
      </c>
      <c r="DP1361" s="4" t="s">
        <v>241</v>
      </c>
      <c r="DQ1361" s="4" t="s">
        <v>241</v>
      </c>
      <c r="DR1361" s="4" t="s">
        <v>241</v>
      </c>
      <c r="DS1361" s="4" t="s">
        <v>241</v>
      </c>
      <c r="DV1361" s="4" t="s">
        <v>278</v>
      </c>
      <c r="DW1361" s="4" t="s">
        <v>1842</v>
      </c>
      <c r="HO1361" s="4" t="s">
        <v>267</v>
      </c>
    </row>
    <row r="1362" spans="1:223" ht="19.5" customHeight="1" x14ac:dyDescent="0.4">
      <c r="A1362" s="4">
        <v>1</v>
      </c>
      <c r="B1362" s="4" t="s">
        <v>239</v>
      </c>
      <c r="C1362" s="4">
        <v>3036</v>
      </c>
      <c r="D1362" s="4">
        <v>1</v>
      </c>
      <c r="E1362" s="4">
        <v>1</v>
      </c>
      <c r="F1362" s="4" t="s">
        <v>268</v>
      </c>
      <c r="G1362" s="4" t="s">
        <v>241</v>
      </c>
      <c r="H1362" s="4" t="s">
        <v>241</v>
      </c>
      <c r="I1362" s="4" t="s">
        <v>272</v>
      </c>
      <c r="J1362" s="4" t="s">
        <v>274</v>
      </c>
      <c r="K1362" s="4" t="s">
        <v>251</v>
      </c>
      <c r="L1362" s="4" t="s">
        <v>269</v>
      </c>
      <c r="M1362" s="5" t="s">
        <v>1861</v>
      </c>
      <c r="N1362" s="6">
        <f>2504</f>
        <v>2504</v>
      </c>
      <c r="O1362" s="4" t="s">
        <v>265</v>
      </c>
      <c r="P1362" s="6">
        <f>1</f>
        <v>1</v>
      </c>
      <c r="Q1362" s="6">
        <f>0</f>
        <v>0</v>
      </c>
      <c r="S1362" s="6">
        <f>0</f>
        <v>0</v>
      </c>
      <c r="T1362" s="6">
        <f>1</f>
        <v>1</v>
      </c>
      <c r="U1362" s="5" t="s">
        <v>245</v>
      </c>
      <c r="V1362" s="4" t="s">
        <v>270</v>
      </c>
      <c r="W1362" s="4" t="s">
        <v>271</v>
      </c>
      <c r="X1362" s="4" t="s">
        <v>273</v>
      </c>
      <c r="Y1362" s="4" t="s">
        <v>241</v>
      </c>
      <c r="AB1362" s="4" t="s">
        <v>241</v>
      </c>
      <c r="AD1362" s="5" t="s">
        <v>241</v>
      </c>
      <c r="AG1362" s="5" t="s">
        <v>246</v>
      </c>
      <c r="AH1362" s="4" t="s">
        <v>241</v>
      </c>
      <c r="AI1362" s="4" t="s">
        <v>247</v>
      </c>
      <c r="AJ1362" s="4" t="s">
        <v>248</v>
      </c>
      <c r="AZ1362" s="4" t="s">
        <v>249</v>
      </c>
      <c r="BA1362" s="4" t="s">
        <v>241</v>
      </c>
      <c r="BB1362" s="4" t="s">
        <v>250</v>
      </c>
      <c r="BC1362" s="4" t="s">
        <v>241</v>
      </c>
      <c r="BD1362" s="4" t="s">
        <v>252</v>
      </c>
      <c r="BE1362" s="4" t="s">
        <v>241</v>
      </c>
      <c r="BI1362" s="4" t="s">
        <v>253</v>
      </c>
      <c r="BJ1362" s="5" t="s">
        <v>246</v>
      </c>
      <c r="BK1362" s="4" t="s">
        <v>254</v>
      </c>
      <c r="BL1362" s="4" t="s">
        <v>255</v>
      </c>
      <c r="BM1362" s="4" t="s">
        <v>241</v>
      </c>
      <c r="BN1362" s="6">
        <f>0</f>
        <v>0</v>
      </c>
      <c r="BO1362" s="6">
        <f>0</f>
        <v>0</v>
      </c>
      <c r="BP1362" s="4" t="s">
        <v>256</v>
      </c>
      <c r="BQ1362" s="4" t="s">
        <v>257</v>
      </c>
      <c r="CE1362" s="4" t="s">
        <v>241</v>
      </c>
      <c r="CF1362" s="4" t="s">
        <v>241</v>
      </c>
      <c r="CJ1362" s="4" t="s">
        <v>276</v>
      </c>
      <c r="CK1362" s="4" t="s">
        <v>259</v>
      </c>
      <c r="CL1362" s="4" t="s">
        <v>241</v>
      </c>
      <c r="CO1362" s="5" t="s">
        <v>260</v>
      </c>
      <c r="CP1362" s="4" t="s">
        <v>241</v>
      </c>
      <c r="CQ1362" s="4" t="s">
        <v>261</v>
      </c>
      <c r="CR1362" s="4" t="s">
        <v>241</v>
      </c>
      <c r="CS1362" s="4" t="s">
        <v>241</v>
      </c>
      <c r="CT1362" s="4">
        <v>0</v>
      </c>
      <c r="CU1362" s="4" t="s">
        <v>262</v>
      </c>
      <c r="CV1362" s="4" t="s">
        <v>263</v>
      </c>
      <c r="CW1362" s="4" t="s">
        <v>263</v>
      </c>
      <c r="CX1362" s="4" t="s">
        <v>264</v>
      </c>
      <c r="DA1362" s="6">
        <f>1</f>
        <v>1</v>
      </c>
      <c r="DC1362" s="4" t="s">
        <v>277</v>
      </c>
      <c r="DD1362" s="4" t="s">
        <v>241</v>
      </c>
      <c r="DF1362" s="4" t="s">
        <v>277</v>
      </c>
      <c r="DG1362" s="6">
        <f>2504</f>
        <v>2504</v>
      </c>
      <c r="DI1362" s="4" t="s">
        <v>241</v>
      </c>
      <c r="DJ1362" s="4" t="s">
        <v>241</v>
      </c>
      <c r="DK1362" s="4" t="s">
        <v>241</v>
      </c>
      <c r="DL1362" s="4" t="s">
        <v>241</v>
      </c>
      <c r="DP1362" s="4" t="s">
        <v>241</v>
      </c>
      <c r="DQ1362" s="4" t="s">
        <v>241</v>
      </c>
      <c r="DR1362" s="4" t="s">
        <v>241</v>
      </c>
      <c r="DS1362" s="4" t="s">
        <v>241</v>
      </c>
      <c r="DV1362" s="4" t="s">
        <v>278</v>
      </c>
      <c r="DW1362" s="4" t="s">
        <v>1862</v>
      </c>
      <c r="HO1362" s="4" t="s">
        <v>267</v>
      </c>
    </row>
    <row r="1363" spans="1:223" ht="19.5" customHeight="1" x14ac:dyDescent="0.4">
      <c r="A1363" s="4">
        <v>1</v>
      </c>
      <c r="B1363" s="4" t="s">
        <v>239</v>
      </c>
      <c r="C1363" s="4">
        <v>3037</v>
      </c>
      <c r="D1363" s="4">
        <v>1</v>
      </c>
      <c r="E1363" s="4">
        <v>1</v>
      </c>
      <c r="F1363" s="4" t="s">
        <v>268</v>
      </c>
      <c r="G1363" s="4" t="s">
        <v>241</v>
      </c>
      <c r="H1363" s="4" t="s">
        <v>241</v>
      </c>
      <c r="I1363" s="4" t="s">
        <v>272</v>
      </c>
      <c r="J1363" s="4" t="s">
        <v>274</v>
      </c>
      <c r="K1363" s="4" t="s">
        <v>251</v>
      </c>
      <c r="L1363" s="4" t="s">
        <v>269</v>
      </c>
      <c r="M1363" s="5" t="s">
        <v>1864</v>
      </c>
      <c r="N1363" s="6">
        <f>742</f>
        <v>742</v>
      </c>
      <c r="O1363" s="4" t="s">
        <v>265</v>
      </c>
      <c r="P1363" s="6">
        <f>1</f>
        <v>1</v>
      </c>
      <c r="Q1363" s="6">
        <f>0</f>
        <v>0</v>
      </c>
      <c r="S1363" s="6">
        <f>0</f>
        <v>0</v>
      </c>
      <c r="T1363" s="6">
        <f>1</f>
        <v>1</v>
      </c>
      <c r="U1363" s="5" t="s">
        <v>245</v>
      </c>
      <c r="V1363" s="4" t="s">
        <v>270</v>
      </c>
      <c r="W1363" s="4" t="s">
        <v>271</v>
      </c>
      <c r="X1363" s="4" t="s">
        <v>273</v>
      </c>
      <c r="Y1363" s="4" t="s">
        <v>241</v>
      </c>
      <c r="AB1363" s="4" t="s">
        <v>241</v>
      </c>
      <c r="AD1363" s="5" t="s">
        <v>241</v>
      </c>
      <c r="AG1363" s="5" t="s">
        <v>246</v>
      </c>
      <c r="AH1363" s="4" t="s">
        <v>241</v>
      </c>
      <c r="AI1363" s="4" t="s">
        <v>247</v>
      </c>
      <c r="AJ1363" s="4" t="s">
        <v>248</v>
      </c>
      <c r="AZ1363" s="4" t="s">
        <v>249</v>
      </c>
      <c r="BA1363" s="4" t="s">
        <v>241</v>
      </c>
      <c r="BB1363" s="4" t="s">
        <v>250</v>
      </c>
      <c r="BC1363" s="4" t="s">
        <v>241</v>
      </c>
      <c r="BD1363" s="4" t="s">
        <v>252</v>
      </c>
      <c r="BE1363" s="4" t="s">
        <v>241</v>
      </c>
      <c r="BI1363" s="4" t="s">
        <v>253</v>
      </c>
      <c r="BJ1363" s="5" t="s">
        <v>246</v>
      </c>
      <c r="BK1363" s="4" t="s">
        <v>254</v>
      </c>
      <c r="BL1363" s="4" t="s">
        <v>255</v>
      </c>
      <c r="BM1363" s="4" t="s">
        <v>241</v>
      </c>
      <c r="BN1363" s="6">
        <f>0</f>
        <v>0</v>
      </c>
      <c r="BO1363" s="6">
        <f>0</f>
        <v>0</v>
      </c>
      <c r="BP1363" s="4" t="s">
        <v>256</v>
      </c>
      <c r="BQ1363" s="4" t="s">
        <v>257</v>
      </c>
      <c r="CE1363" s="4" t="s">
        <v>241</v>
      </c>
      <c r="CF1363" s="4" t="s">
        <v>241</v>
      </c>
      <c r="CJ1363" s="4" t="s">
        <v>276</v>
      </c>
      <c r="CK1363" s="4" t="s">
        <v>259</v>
      </c>
      <c r="CL1363" s="4" t="s">
        <v>241</v>
      </c>
      <c r="CO1363" s="5" t="s">
        <v>260</v>
      </c>
      <c r="CP1363" s="4" t="s">
        <v>241</v>
      </c>
      <c r="CQ1363" s="4" t="s">
        <v>261</v>
      </c>
      <c r="CR1363" s="4" t="s">
        <v>241</v>
      </c>
      <c r="CS1363" s="4" t="s">
        <v>241</v>
      </c>
      <c r="CT1363" s="4">
        <v>0</v>
      </c>
      <c r="CU1363" s="4" t="s">
        <v>262</v>
      </c>
      <c r="CV1363" s="4" t="s">
        <v>263</v>
      </c>
      <c r="CW1363" s="4" t="s">
        <v>263</v>
      </c>
      <c r="CX1363" s="4" t="s">
        <v>264</v>
      </c>
      <c r="DA1363" s="6">
        <f>1</f>
        <v>1</v>
      </c>
      <c r="DC1363" s="4" t="s">
        <v>277</v>
      </c>
      <c r="DD1363" s="4" t="s">
        <v>241</v>
      </c>
      <c r="DF1363" s="4" t="s">
        <v>277</v>
      </c>
      <c r="DG1363" s="6">
        <f>742</f>
        <v>742</v>
      </c>
      <c r="DI1363" s="4" t="s">
        <v>241</v>
      </c>
      <c r="DJ1363" s="4" t="s">
        <v>241</v>
      </c>
      <c r="DK1363" s="4" t="s">
        <v>241</v>
      </c>
      <c r="DL1363" s="4" t="s">
        <v>241</v>
      </c>
      <c r="DP1363" s="4" t="s">
        <v>241</v>
      </c>
      <c r="DQ1363" s="4" t="s">
        <v>241</v>
      </c>
      <c r="DR1363" s="4" t="s">
        <v>241</v>
      </c>
      <c r="DS1363" s="4" t="s">
        <v>241</v>
      </c>
      <c r="DV1363" s="4" t="s">
        <v>278</v>
      </c>
      <c r="DW1363" s="4" t="s">
        <v>1865</v>
      </c>
      <c r="HO1363" s="4" t="s">
        <v>267</v>
      </c>
    </row>
    <row r="1364" spans="1:223" ht="19.5" customHeight="1" x14ac:dyDescent="0.4">
      <c r="A1364" s="4">
        <v>1</v>
      </c>
      <c r="B1364" s="4" t="s">
        <v>239</v>
      </c>
      <c r="C1364" s="4">
        <v>3038</v>
      </c>
      <c r="D1364" s="4">
        <v>1</v>
      </c>
      <c r="E1364" s="4">
        <v>1</v>
      </c>
      <c r="F1364" s="4" t="s">
        <v>268</v>
      </c>
      <c r="G1364" s="4" t="s">
        <v>241</v>
      </c>
      <c r="H1364" s="4" t="s">
        <v>241</v>
      </c>
      <c r="I1364" s="4" t="s">
        <v>272</v>
      </c>
      <c r="J1364" s="4" t="s">
        <v>274</v>
      </c>
      <c r="K1364" s="4" t="s">
        <v>251</v>
      </c>
      <c r="L1364" s="4" t="s">
        <v>269</v>
      </c>
      <c r="M1364" s="5" t="s">
        <v>1936</v>
      </c>
      <c r="N1364" s="6">
        <f>8361</f>
        <v>8361</v>
      </c>
      <c r="O1364" s="4" t="s">
        <v>265</v>
      </c>
      <c r="P1364" s="6">
        <f>1</f>
        <v>1</v>
      </c>
      <c r="Q1364" s="6">
        <f>0</f>
        <v>0</v>
      </c>
      <c r="S1364" s="6">
        <f>0</f>
        <v>0</v>
      </c>
      <c r="T1364" s="6">
        <f>1</f>
        <v>1</v>
      </c>
      <c r="U1364" s="5" t="s">
        <v>245</v>
      </c>
      <c r="V1364" s="4" t="s">
        <v>270</v>
      </c>
      <c r="W1364" s="4" t="s">
        <v>271</v>
      </c>
      <c r="X1364" s="4" t="s">
        <v>273</v>
      </c>
      <c r="Y1364" s="4" t="s">
        <v>241</v>
      </c>
      <c r="AB1364" s="4" t="s">
        <v>241</v>
      </c>
      <c r="AD1364" s="5" t="s">
        <v>241</v>
      </c>
      <c r="AG1364" s="5" t="s">
        <v>246</v>
      </c>
      <c r="AH1364" s="4" t="s">
        <v>241</v>
      </c>
      <c r="AI1364" s="4" t="s">
        <v>247</v>
      </c>
      <c r="AJ1364" s="4" t="s">
        <v>248</v>
      </c>
      <c r="AZ1364" s="4" t="s">
        <v>249</v>
      </c>
      <c r="BA1364" s="4" t="s">
        <v>241</v>
      </c>
      <c r="BB1364" s="4" t="s">
        <v>250</v>
      </c>
      <c r="BC1364" s="4" t="s">
        <v>241</v>
      </c>
      <c r="BD1364" s="4" t="s">
        <v>252</v>
      </c>
      <c r="BE1364" s="4" t="s">
        <v>241</v>
      </c>
      <c r="BI1364" s="4" t="s">
        <v>253</v>
      </c>
      <c r="BJ1364" s="5" t="s">
        <v>246</v>
      </c>
      <c r="BK1364" s="4" t="s">
        <v>254</v>
      </c>
      <c r="BL1364" s="4" t="s">
        <v>255</v>
      </c>
      <c r="BM1364" s="4" t="s">
        <v>241</v>
      </c>
      <c r="BN1364" s="6">
        <f>0</f>
        <v>0</v>
      </c>
      <c r="BO1364" s="6">
        <f>0</f>
        <v>0</v>
      </c>
      <c r="BP1364" s="4" t="s">
        <v>256</v>
      </c>
      <c r="BQ1364" s="4" t="s">
        <v>257</v>
      </c>
      <c r="CE1364" s="4" t="s">
        <v>241</v>
      </c>
      <c r="CF1364" s="4" t="s">
        <v>241</v>
      </c>
      <c r="CJ1364" s="4" t="s">
        <v>276</v>
      </c>
      <c r="CK1364" s="4" t="s">
        <v>259</v>
      </c>
      <c r="CL1364" s="4" t="s">
        <v>241</v>
      </c>
      <c r="CO1364" s="5" t="s">
        <v>260</v>
      </c>
      <c r="CP1364" s="4" t="s">
        <v>241</v>
      </c>
      <c r="CQ1364" s="4" t="s">
        <v>261</v>
      </c>
      <c r="CR1364" s="4" t="s">
        <v>241</v>
      </c>
      <c r="CS1364" s="4" t="s">
        <v>241</v>
      </c>
      <c r="CT1364" s="4">
        <v>0</v>
      </c>
      <c r="CU1364" s="4" t="s">
        <v>262</v>
      </c>
      <c r="CV1364" s="4" t="s">
        <v>263</v>
      </c>
      <c r="CW1364" s="4" t="s">
        <v>263</v>
      </c>
      <c r="CX1364" s="4" t="s">
        <v>264</v>
      </c>
      <c r="DA1364" s="6">
        <f>1</f>
        <v>1</v>
      </c>
      <c r="DC1364" s="4" t="s">
        <v>277</v>
      </c>
      <c r="DD1364" s="4" t="s">
        <v>241</v>
      </c>
      <c r="DF1364" s="4" t="s">
        <v>277</v>
      </c>
      <c r="DG1364" s="6">
        <f>8361</f>
        <v>8361</v>
      </c>
      <c r="DI1364" s="4" t="s">
        <v>241</v>
      </c>
      <c r="DJ1364" s="4" t="s">
        <v>241</v>
      </c>
      <c r="DK1364" s="4" t="s">
        <v>241</v>
      </c>
      <c r="DL1364" s="4" t="s">
        <v>241</v>
      </c>
      <c r="DP1364" s="4" t="s">
        <v>241</v>
      </c>
      <c r="DQ1364" s="4" t="s">
        <v>241</v>
      </c>
      <c r="DR1364" s="4" t="s">
        <v>241</v>
      </c>
      <c r="DS1364" s="4" t="s">
        <v>241</v>
      </c>
      <c r="DV1364" s="4" t="s">
        <v>278</v>
      </c>
      <c r="DW1364" s="4" t="s">
        <v>1937</v>
      </c>
      <c r="HO1364" s="4" t="s">
        <v>267</v>
      </c>
    </row>
    <row r="1365" spans="1:223" ht="19.5" customHeight="1" x14ac:dyDescent="0.4">
      <c r="A1365" s="4">
        <v>1</v>
      </c>
      <c r="B1365" s="4" t="s">
        <v>239</v>
      </c>
      <c r="C1365" s="4">
        <v>3039</v>
      </c>
      <c r="D1365" s="4">
        <v>1</v>
      </c>
      <c r="E1365" s="4">
        <v>1</v>
      </c>
      <c r="F1365" s="4" t="s">
        <v>268</v>
      </c>
      <c r="G1365" s="4" t="s">
        <v>241</v>
      </c>
      <c r="H1365" s="4" t="s">
        <v>241</v>
      </c>
      <c r="I1365" s="4" t="s">
        <v>272</v>
      </c>
      <c r="J1365" s="4" t="s">
        <v>274</v>
      </c>
      <c r="K1365" s="4" t="s">
        <v>251</v>
      </c>
      <c r="L1365" s="4" t="s">
        <v>269</v>
      </c>
      <c r="M1365" s="5" t="s">
        <v>1851</v>
      </c>
      <c r="N1365" s="6">
        <f>1886</f>
        <v>1886</v>
      </c>
      <c r="O1365" s="4" t="s">
        <v>265</v>
      </c>
      <c r="P1365" s="6">
        <f>1</f>
        <v>1</v>
      </c>
      <c r="Q1365" s="6">
        <f>0</f>
        <v>0</v>
      </c>
      <c r="S1365" s="6">
        <f>0</f>
        <v>0</v>
      </c>
      <c r="T1365" s="6">
        <f>1</f>
        <v>1</v>
      </c>
      <c r="U1365" s="5" t="s">
        <v>245</v>
      </c>
      <c r="V1365" s="4" t="s">
        <v>270</v>
      </c>
      <c r="W1365" s="4" t="s">
        <v>271</v>
      </c>
      <c r="X1365" s="4" t="s">
        <v>273</v>
      </c>
      <c r="Y1365" s="4" t="s">
        <v>241</v>
      </c>
      <c r="AB1365" s="4" t="s">
        <v>241</v>
      </c>
      <c r="AD1365" s="5" t="s">
        <v>241</v>
      </c>
      <c r="AG1365" s="5" t="s">
        <v>246</v>
      </c>
      <c r="AH1365" s="4" t="s">
        <v>241</v>
      </c>
      <c r="AI1365" s="4" t="s">
        <v>247</v>
      </c>
      <c r="AJ1365" s="4" t="s">
        <v>248</v>
      </c>
      <c r="AZ1365" s="4" t="s">
        <v>249</v>
      </c>
      <c r="BA1365" s="4" t="s">
        <v>241</v>
      </c>
      <c r="BB1365" s="4" t="s">
        <v>250</v>
      </c>
      <c r="BC1365" s="4" t="s">
        <v>241</v>
      </c>
      <c r="BD1365" s="4" t="s">
        <v>252</v>
      </c>
      <c r="BE1365" s="4" t="s">
        <v>241</v>
      </c>
      <c r="BI1365" s="4" t="s">
        <v>253</v>
      </c>
      <c r="BJ1365" s="5" t="s">
        <v>246</v>
      </c>
      <c r="BK1365" s="4" t="s">
        <v>254</v>
      </c>
      <c r="BL1365" s="4" t="s">
        <v>255</v>
      </c>
      <c r="BM1365" s="4" t="s">
        <v>241</v>
      </c>
      <c r="BN1365" s="6">
        <f>0</f>
        <v>0</v>
      </c>
      <c r="BO1365" s="6">
        <f>0</f>
        <v>0</v>
      </c>
      <c r="BP1365" s="4" t="s">
        <v>256</v>
      </c>
      <c r="BQ1365" s="4" t="s">
        <v>257</v>
      </c>
      <c r="CE1365" s="4" t="s">
        <v>241</v>
      </c>
      <c r="CF1365" s="4" t="s">
        <v>241</v>
      </c>
      <c r="CJ1365" s="4" t="s">
        <v>276</v>
      </c>
      <c r="CK1365" s="4" t="s">
        <v>259</v>
      </c>
      <c r="CL1365" s="4" t="s">
        <v>241</v>
      </c>
      <c r="CO1365" s="5" t="s">
        <v>260</v>
      </c>
      <c r="CP1365" s="4" t="s">
        <v>241</v>
      </c>
      <c r="CQ1365" s="4" t="s">
        <v>261</v>
      </c>
      <c r="CR1365" s="4" t="s">
        <v>241</v>
      </c>
      <c r="CS1365" s="4" t="s">
        <v>241</v>
      </c>
      <c r="CT1365" s="4">
        <v>0</v>
      </c>
      <c r="CU1365" s="4" t="s">
        <v>262</v>
      </c>
      <c r="CV1365" s="4" t="s">
        <v>263</v>
      </c>
      <c r="CW1365" s="4" t="s">
        <v>263</v>
      </c>
      <c r="CX1365" s="4" t="s">
        <v>264</v>
      </c>
      <c r="DA1365" s="6">
        <f>1</f>
        <v>1</v>
      </c>
      <c r="DC1365" s="4" t="s">
        <v>277</v>
      </c>
      <c r="DD1365" s="4" t="s">
        <v>241</v>
      </c>
      <c r="DF1365" s="4" t="s">
        <v>277</v>
      </c>
      <c r="DG1365" s="6">
        <f>1886</f>
        <v>1886</v>
      </c>
      <c r="DI1365" s="4" t="s">
        <v>241</v>
      </c>
      <c r="DJ1365" s="4" t="s">
        <v>241</v>
      </c>
      <c r="DK1365" s="4" t="s">
        <v>241</v>
      </c>
      <c r="DL1365" s="4" t="s">
        <v>241</v>
      </c>
      <c r="DP1365" s="4" t="s">
        <v>241</v>
      </c>
      <c r="DQ1365" s="4" t="s">
        <v>241</v>
      </c>
      <c r="DR1365" s="4" t="s">
        <v>241</v>
      </c>
      <c r="DS1365" s="4" t="s">
        <v>241</v>
      </c>
      <c r="DV1365" s="4" t="s">
        <v>278</v>
      </c>
      <c r="DW1365" s="4" t="s">
        <v>1852</v>
      </c>
      <c r="HO1365" s="4" t="s">
        <v>267</v>
      </c>
    </row>
    <row r="1366" spans="1:223" ht="19.5" customHeight="1" x14ac:dyDescent="0.4">
      <c r="A1366" s="4">
        <v>1</v>
      </c>
      <c r="B1366" s="4" t="s">
        <v>239</v>
      </c>
      <c r="C1366" s="4">
        <v>3040</v>
      </c>
      <c r="D1366" s="4">
        <v>1</v>
      </c>
      <c r="E1366" s="4">
        <v>1</v>
      </c>
      <c r="F1366" s="4" t="s">
        <v>268</v>
      </c>
      <c r="G1366" s="4" t="s">
        <v>241</v>
      </c>
      <c r="H1366" s="4" t="s">
        <v>241</v>
      </c>
      <c r="I1366" s="4" t="s">
        <v>272</v>
      </c>
      <c r="J1366" s="4" t="s">
        <v>274</v>
      </c>
      <c r="K1366" s="4" t="s">
        <v>251</v>
      </c>
      <c r="L1366" s="4" t="s">
        <v>269</v>
      </c>
      <c r="M1366" s="5" t="s">
        <v>1858</v>
      </c>
      <c r="N1366" s="6">
        <f>2832</f>
        <v>2832</v>
      </c>
      <c r="O1366" s="4" t="s">
        <v>265</v>
      </c>
      <c r="P1366" s="6">
        <f>1</f>
        <v>1</v>
      </c>
      <c r="Q1366" s="6">
        <f>0</f>
        <v>0</v>
      </c>
      <c r="S1366" s="6">
        <f>0</f>
        <v>0</v>
      </c>
      <c r="T1366" s="6">
        <f>1</f>
        <v>1</v>
      </c>
      <c r="U1366" s="5" t="s">
        <v>245</v>
      </c>
      <c r="V1366" s="4" t="s">
        <v>270</v>
      </c>
      <c r="W1366" s="4" t="s">
        <v>271</v>
      </c>
      <c r="X1366" s="4" t="s">
        <v>273</v>
      </c>
      <c r="Y1366" s="4" t="s">
        <v>241</v>
      </c>
      <c r="AB1366" s="4" t="s">
        <v>241</v>
      </c>
      <c r="AD1366" s="5" t="s">
        <v>241</v>
      </c>
      <c r="AG1366" s="5" t="s">
        <v>246</v>
      </c>
      <c r="AH1366" s="4" t="s">
        <v>241</v>
      </c>
      <c r="AI1366" s="4" t="s">
        <v>247</v>
      </c>
      <c r="AJ1366" s="4" t="s">
        <v>248</v>
      </c>
      <c r="AZ1366" s="4" t="s">
        <v>249</v>
      </c>
      <c r="BA1366" s="4" t="s">
        <v>241</v>
      </c>
      <c r="BB1366" s="4" t="s">
        <v>250</v>
      </c>
      <c r="BC1366" s="4" t="s">
        <v>241</v>
      </c>
      <c r="BD1366" s="4" t="s">
        <v>252</v>
      </c>
      <c r="BE1366" s="4" t="s">
        <v>241</v>
      </c>
      <c r="BI1366" s="4" t="s">
        <v>253</v>
      </c>
      <c r="BJ1366" s="5" t="s">
        <v>246</v>
      </c>
      <c r="BK1366" s="4" t="s">
        <v>254</v>
      </c>
      <c r="BL1366" s="4" t="s">
        <v>255</v>
      </c>
      <c r="BM1366" s="4" t="s">
        <v>241</v>
      </c>
      <c r="BN1366" s="6">
        <f>0</f>
        <v>0</v>
      </c>
      <c r="BO1366" s="6">
        <f>0</f>
        <v>0</v>
      </c>
      <c r="BP1366" s="4" t="s">
        <v>256</v>
      </c>
      <c r="BQ1366" s="4" t="s">
        <v>257</v>
      </c>
      <c r="CE1366" s="4" t="s">
        <v>241</v>
      </c>
      <c r="CF1366" s="4" t="s">
        <v>241</v>
      </c>
      <c r="CJ1366" s="4" t="s">
        <v>276</v>
      </c>
      <c r="CK1366" s="4" t="s">
        <v>259</v>
      </c>
      <c r="CL1366" s="4" t="s">
        <v>241</v>
      </c>
      <c r="CO1366" s="5" t="s">
        <v>260</v>
      </c>
      <c r="CP1366" s="4" t="s">
        <v>241</v>
      </c>
      <c r="CQ1366" s="4" t="s">
        <v>261</v>
      </c>
      <c r="CR1366" s="4" t="s">
        <v>241</v>
      </c>
      <c r="CS1366" s="4" t="s">
        <v>241</v>
      </c>
      <c r="CT1366" s="4">
        <v>0</v>
      </c>
      <c r="CU1366" s="4" t="s">
        <v>262</v>
      </c>
      <c r="CV1366" s="4" t="s">
        <v>263</v>
      </c>
      <c r="CW1366" s="4" t="s">
        <v>263</v>
      </c>
      <c r="CX1366" s="4" t="s">
        <v>264</v>
      </c>
      <c r="DA1366" s="6">
        <f>1</f>
        <v>1</v>
      </c>
      <c r="DC1366" s="4" t="s">
        <v>277</v>
      </c>
      <c r="DD1366" s="4" t="s">
        <v>241</v>
      </c>
      <c r="DF1366" s="4" t="s">
        <v>277</v>
      </c>
      <c r="DG1366" s="6">
        <f>2832</f>
        <v>2832</v>
      </c>
      <c r="DI1366" s="4" t="s">
        <v>241</v>
      </c>
      <c r="DJ1366" s="4" t="s">
        <v>241</v>
      </c>
      <c r="DK1366" s="4" t="s">
        <v>241</v>
      </c>
      <c r="DL1366" s="4" t="s">
        <v>241</v>
      </c>
      <c r="DP1366" s="4" t="s">
        <v>241</v>
      </c>
      <c r="DQ1366" s="4" t="s">
        <v>241</v>
      </c>
      <c r="DR1366" s="4" t="s">
        <v>241</v>
      </c>
      <c r="DS1366" s="4" t="s">
        <v>241</v>
      </c>
      <c r="DV1366" s="4" t="s">
        <v>278</v>
      </c>
      <c r="DW1366" s="4" t="s">
        <v>1859</v>
      </c>
      <c r="HO1366" s="4" t="s">
        <v>267</v>
      </c>
    </row>
    <row r="1367" spans="1:223" ht="19.5" customHeight="1" x14ac:dyDescent="0.4">
      <c r="A1367" s="4">
        <v>1</v>
      </c>
      <c r="B1367" s="4" t="s">
        <v>239</v>
      </c>
      <c r="C1367" s="4">
        <v>3041</v>
      </c>
      <c r="D1367" s="4">
        <v>1</v>
      </c>
      <c r="E1367" s="4">
        <v>1</v>
      </c>
      <c r="F1367" s="4" t="s">
        <v>268</v>
      </c>
      <c r="G1367" s="4" t="s">
        <v>241</v>
      </c>
      <c r="H1367" s="4" t="s">
        <v>241</v>
      </c>
      <c r="I1367" s="4" t="s">
        <v>272</v>
      </c>
      <c r="J1367" s="4" t="s">
        <v>274</v>
      </c>
      <c r="K1367" s="4" t="s">
        <v>251</v>
      </c>
      <c r="L1367" s="4" t="s">
        <v>269</v>
      </c>
      <c r="M1367" s="5" t="s">
        <v>1837</v>
      </c>
      <c r="N1367" s="6">
        <f>2345</f>
        <v>2345</v>
      </c>
      <c r="O1367" s="4" t="s">
        <v>265</v>
      </c>
      <c r="P1367" s="6">
        <f>1</f>
        <v>1</v>
      </c>
      <c r="Q1367" s="6">
        <f>0</f>
        <v>0</v>
      </c>
      <c r="S1367" s="6">
        <f>0</f>
        <v>0</v>
      </c>
      <c r="T1367" s="6">
        <f>1</f>
        <v>1</v>
      </c>
      <c r="U1367" s="5" t="s">
        <v>245</v>
      </c>
      <c r="V1367" s="4" t="s">
        <v>270</v>
      </c>
      <c r="W1367" s="4" t="s">
        <v>271</v>
      </c>
      <c r="X1367" s="4" t="s">
        <v>273</v>
      </c>
      <c r="Y1367" s="4" t="s">
        <v>241</v>
      </c>
      <c r="AB1367" s="4" t="s">
        <v>241</v>
      </c>
      <c r="AD1367" s="5" t="s">
        <v>241</v>
      </c>
      <c r="AG1367" s="5" t="s">
        <v>246</v>
      </c>
      <c r="AH1367" s="4" t="s">
        <v>241</v>
      </c>
      <c r="AI1367" s="4" t="s">
        <v>247</v>
      </c>
      <c r="AJ1367" s="4" t="s">
        <v>248</v>
      </c>
      <c r="AZ1367" s="4" t="s">
        <v>249</v>
      </c>
      <c r="BA1367" s="4" t="s">
        <v>241</v>
      </c>
      <c r="BB1367" s="4" t="s">
        <v>250</v>
      </c>
      <c r="BC1367" s="4" t="s">
        <v>241</v>
      </c>
      <c r="BD1367" s="4" t="s">
        <v>252</v>
      </c>
      <c r="BE1367" s="4" t="s">
        <v>241</v>
      </c>
      <c r="BI1367" s="4" t="s">
        <v>253</v>
      </c>
      <c r="BJ1367" s="5" t="s">
        <v>246</v>
      </c>
      <c r="BK1367" s="4" t="s">
        <v>254</v>
      </c>
      <c r="BL1367" s="4" t="s">
        <v>255</v>
      </c>
      <c r="BM1367" s="4" t="s">
        <v>241</v>
      </c>
      <c r="BN1367" s="6">
        <f>0</f>
        <v>0</v>
      </c>
      <c r="BO1367" s="6">
        <f>0</f>
        <v>0</v>
      </c>
      <c r="BP1367" s="4" t="s">
        <v>256</v>
      </c>
      <c r="BQ1367" s="4" t="s">
        <v>257</v>
      </c>
      <c r="CE1367" s="4" t="s">
        <v>241</v>
      </c>
      <c r="CF1367" s="4" t="s">
        <v>241</v>
      </c>
      <c r="CJ1367" s="4" t="s">
        <v>276</v>
      </c>
      <c r="CK1367" s="4" t="s">
        <v>259</v>
      </c>
      <c r="CL1367" s="4" t="s">
        <v>241</v>
      </c>
      <c r="CO1367" s="5" t="s">
        <v>260</v>
      </c>
      <c r="CP1367" s="4" t="s">
        <v>241</v>
      </c>
      <c r="CQ1367" s="4" t="s">
        <v>261</v>
      </c>
      <c r="CR1367" s="4" t="s">
        <v>241</v>
      </c>
      <c r="CS1367" s="4" t="s">
        <v>241</v>
      </c>
      <c r="CT1367" s="4">
        <v>0</v>
      </c>
      <c r="CU1367" s="4" t="s">
        <v>262</v>
      </c>
      <c r="CV1367" s="4" t="s">
        <v>263</v>
      </c>
      <c r="CW1367" s="4" t="s">
        <v>263</v>
      </c>
      <c r="CX1367" s="4" t="s">
        <v>264</v>
      </c>
      <c r="DA1367" s="6">
        <f>1</f>
        <v>1</v>
      </c>
      <c r="DC1367" s="4" t="s">
        <v>277</v>
      </c>
      <c r="DD1367" s="4" t="s">
        <v>241</v>
      </c>
      <c r="DF1367" s="4" t="s">
        <v>277</v>
      </c>
      <c r="DG1367" s="6">
        <f>2345</f>
        <v>2345</v>
      </c>
      <c r="DI1367" s="4" t="s">
        <v>241</v>
      </c>
      <c r="DJ1367" s="4" t="s">
        <v>241</v>
      </c>
      <c r="DK1367" s="4" t="s">
        <v>241</v>
      </c>
      <c r="DL1367" s="4" t="s">
        <v>241</v>
      </c>
      <c r="DP1367" s="4" t="s">
        <v>241</v>
      </c>
      <c r="DQ1367" s="4" t="s">
        <v>241</v>
      </c>
      <c r="DR1367" s="4" t="s">
        <v>241</v>
      </c>
      <c r="DS1367" s="4" t="s">
        <v>241</v>
      </c>
      <c r="DV1367" s="4" t="s">
        <v>278</v>
      </c>
      <c r="DW1367" s="4" t="s">
        <v>1838</v>
      </c>
      <c r="HO1367" s="4" t="s">
        <v>267</v>
      </c>
    </row>
    <row r="1368" spans="1:223" ht="19.5" customHeight="1" x14ac:dyDescent="0.4">
      <c r="A1368" s="4">
        <v>1</v>
      </c>
      <c r="B1368" s="4" t="s">
        <v>239</v>
      </c>
      <c r="C1368" s="4">
        <v>3042</v>
      </c>
      <c r="D1368" s="4">
        <v>1</v>
      </c>
      <c r="E1368" s="4">
        <v>1</v>
      </c>
      <c r="F1368" s="4" t="s">
        <v>268</v>
      </c>
      <c r="G1368" s="4" t="s">
        <v>241</v>
      </c>
      <c r="H1368" s="4" t="s">
        <v>241</v>
      </c>
      <c r="I1368" s="4" t="s">
        <v>272</v>
      </c>
      <c r="J1368" s="4" t="s">
        <v>274</v>
      </c>
      <c r="K1368" s="4" t="s">
        <v>251</v>
      </c>
      <c r="L1368" s="4" t="s">
        <v>269</v>
      </c>
      <c r="M1368" s="5" t="s">
        <v>1843</v>
      </c>
      <c r="N1368" s="6">
        <f>1989</f>
        <v>1989</v>
      </c>
      <c r="O1368" s="4" t="s">
        <v>265</v>
      </c>
      <c r="P1368" s="6">
        <f>1</f>
        <v>1</v>
      </c>
      <c r="Q1368" s="6">
        <f>0</f>
        <v>0</v>
      </c>
      <c r="S1368" s="6">
        <f>0</f>
        <v>0</v>
      </c>
      <c r="T1368" s="6">
        <f>1</f>
        <v>1</v>
      </c>
      <c r="U1368" s="5" t="s">
        <v>245</v>
      </c>
      <c r="V1368" s="4" t="s">
        <v>270</v>
      </c>
      <c r="W1368" s="4" t="s">
        <v>271</v>
      </c>
      <c r="X1368" s="4" t="s">
        <v>273</v>
      </c>
      <c r="Y1368" s="4" t="s">
        <v>241</v>
      </c>
      <c r="AB1368" s="4" t="s">
        <v>241</v>
      </c>
      <c r="AD1368" s="5" t="s">
        <v>241</v>
      </c>
      <c r="AG1368" s="5" t="s">
        <v>246</v>
      </c>
      <c r="AH1368" s="4" t="s">
        <v>241</v>
      </c>
      <c r="AI1368" s="4" t="s">
        <v>247</v>
      </c>
      <c r="AJ1368" s="4" t="s">
        <v>248</v>
      </c>
      <c r="AZ1368" s="4" t="s">
        <v>249</v>
      </c>
      <c r="BA1368" s="4" t="s">
        <v>241</v>
      </c>
      <c r="BB1368" s="4" t="s">
        <v>250</v>
      </c>
      <c r="BC1368" s="4" t="s">
        <v>241</v>
      </c>
      <c r="BD1368" s="4" t="s">
        <v>252</v>
      </c>
      <c r="BE1368" s="4" t="s">
        <v>241</v>
      </c>
      <c r="BI1368" s="4" t="s">
        <v>253</v>
      </c>
      <c r="BJ1368" s="5" t="s">
        <v>246</v>
      </c>
      <c r="BK1368" s="4" t="s">
        <v>254</v>
      </c>
      <c r="BL1368" s="4" t="s">
        <v>255</v>
      </c>
      <c r="BM1368" s="4" t="s">
        <v>241</v>
      </c>
      <c r="BN1368" s="6">
        <f>0</f>
        <v>0</v>
      </c>
      <c r="BO1368" s="6">
        <f>0</f>
        <v>0</v>
      </c>
      <c r="BP1368" s="4" t="s">
        <v>256</v>
      </c>
      <c r="BQ1368" s="4" t="s">
        <v>257</v>
      </c>
      <c r="CE1368" s="4" t="s">
        <v>241</v>
      </c>
      <c r="CF1368" s="4" t="s">
        <v>241</v>
      </c>
      <c r="CJ1368" s="4" t="s">
        <v>276</v>
      </c>
      <c r="CK1368" s="4" t="s">
        <v>259</v>
      </c>
      <c r="CL1368" s="4" t="s">
        <v>241</v>
      </c>
      <c r="CO1368" s="5" t="s">
        <v>260</v>
      </c>
      <c r="CP1368" s="4" t="s">
        <v>241</v>
      </c>
      <c r="CQ1368" s="4" t="s">
        <v>261</v>
      </c>
      <c r="CR1368" s="4" t="s">
        <v>241</v>
      </c>
      <c r="CS1368" s="4" t="s">
        <v>241</v>
      </c>
      <c r="CT1368" s="4">
        <v>0</v>
      </c>
      <c r="CU1368" s="4" t="s">
        <v>262</v>
      </c>
      <c r="CV1368" s="4" t="s">
        <v>263</v>
      </c>
      <c r="CW1368" s="4" t="s">
        <v>263</v>
      </c>
      <c r="CX1368" s="4" t="s">
        <v>264</v>
      </c>
      <c r="DA1368" s="6">
        <f>1</f>
        <v>1</v>
      </c>
      <c r="DC1368" s="4" t="s">
        <v>277</v>
      </c>
      <c r="DD1368" s="4" t="s">
        <v>241</v>
      </c>
      <c r="DF1368" s="4" t="s">
        <v>277</v>
      </c>
      <c r="DG1368" s="6">
        <f>1989</f>
        <v>1989</v>
      </c>
      <c r="DI1368" s="4" t="s">
        <v>241</v>
      </c>
      <c r="DJ1368" s="4" t="s">
        <v>241</v>
      </c>
      <c r="DK1368" s="4" t="s">
        <v>241</v>
      </c>
      <c r="DL1368" s="4" t="s">
        <v>241</v>
      </c>
      <c r="DP1368" s="4" t="s">
        <v>241</v>
      </c>
      <c r="DQ1368" s="4" t="s">
        <v>241</v>
      </c>
      <c r="DR1368" s="4" t="s">
        <v>241</v>
      </c>
      <c r="DS1368" s="4" t="s">
        <v>241</v>
      </c>
      <c r="DV1368" s="4" t="s">
        <v>278</v>
      </c>
      <c r="DW1368" s="4" t="s">
        <v>1844</v>
      </c>
      <c r="HO1368" s="4" t="s">
        <v>267</v>
      </c>
    </row>
    <row r="1369" spans="1:223" ht="19.5" customHeight="1" x14ac:dyDescent="0.4">
      <c r="A1369" s="4">
        <v>1</v>
      </c>
      <c r="B1369" s="4" t="s">
        <v>239</v>
      </c>
      <c r="C1369" s="4">
        <v>3043</v>
      </c>
      <c r="D1369" s="4">
        <v>1</v>
      </c>
      <c r="E1369" s="4">
        <v>1</v>
      </c>
      <c r="F1369" s="4" t="s">
        <v>268</v>
      </c>
      <c r="G1369" s="4" t="s">
        <v>241</v>
      </c>
      <c r="H1369" s="4" t="s">
        <v>241</v>
      </c>
      <c r="I1369" s="4" t="s">
        <v>272</v>
      </c>
      <c r="J1369" s="4" t="s">
        <v>274</v>
      </c>
      <c r="K1369" s="4" t="s">
        <v>251</v>
      </c>
      <c r="L1369" s="4" t="s">
        <v>269</v>
      </c>
      <c r="M1369" s="5" t="s">
        <v>1839</v>
      </c>
      <c r="N1369" s="6">
        <f>219</f>
        <v>219</v>
      </c>
      <c r="O1369" s="4" t="s">
        <v>265</v>
      </c>
      <c r="P1369" s="6">
        <f>1</f>
        <v>1</v>
      </c>
      <c r="Q1369" s="6">
        <f>0</f>
        <v>0</v>
      </c>
      <c r="S1369" s="6">
        <f>0</f>
        <v>0</v>
      </c>
      <c r="T1369" s="6">
        <f>1</f>
        <v>1</v>
      </c>
      <c r="U1369" s="5" t="s">
        <v>245</v>
      </c>
      <c r="V1369" s="4" t="s">
        <v>270</v>
      </c>
      <c r="W1369" s="4" t="s">
        <v>271</v>
      </c>
      <c r="X1369" s="4" t="s">
        <v>273</v>
      </c>
      <c r="Y1369" s="4" t="s">
        <v>241</v>
      </c>
      <c r="AB1369" s="4" t="s">
        <v>241</v>
      </c>
      <c r="AD1369" s="5" t="s">
        <v>241</v>
      </c>
      <c r="AG1369" s="5" t="s">
        <v>246</v>
      </c>
      <c r="AH1369" s="4" t="s">
        <v>241</v>
      </c>
      <c r="AI1369" s="4" t="s">
        <v>247</v>
      </c>
      <c r="AJ1369" s="4" t="s">
        <v>248</v>
      </c>
      <c r="AZ1369" s="4" t="s">
        <v>249</v>
      </c>
      <c r="BA1369" s="4" t="s">
        <v>241</v>
      </c>
      <c r="BB1369" s="4" t="s">
        <v>250</v>
      </c>
      <c r="BC1369" s="4" t="s">
        <v>241</v>
      </c>
      <c r="BD1369" s="4" t="s">
        <v>252</v>
      </c>
      <c r="BE1369" s="4" t="s">
        <v>241</v>
      </c>
      <c r="BI1369" s="4" t="s">
        <v>253</v>
      </c>
      <c r="BJ1369" s="5" t="s">
        <v>246</v>
      </c>
      <c r="BK1369" s="4" t="s">
        <v>254</v>
      </c>
      <c r="BL1369" s="4" t="s">
        <v>255</v>
      </c>
      <c r="BM1369" s="4" t="s">
        <v>241</v>
      </c>
      <c r="BN1369" s="6">
        <f>0</f>
        <v>0</v>
      </c>
      <c r="BO1369" s="6">
        <f>0</f>
        <v>0</v>
      </c>
      <c r="BP1369" s="4" t="s">
        <v>256</v>
      </c>
      <c r="BQ1369" s="4" t="s">
        <v>257</v>
      </c>
      <c r="CE1369" s="4" t="s">
        <v>241</v>
      </c>
      <c r="CF1369" s="4" t="s">
        <v>241</v>
      </c>
      <c r="CJ1369" s="4" t="s">
        <v>276</v>
      </c>
      <c r="CK1369" s="4" t="s">
        <v>259</v>
      </c>
      <c r="CL1369" s="4" t="s">
        <v>241</v>
      </c>
      <c r="CO1369" s="5" t="s">
        <v>260</v>
      </c>
      <c r="CP1369" s="4" t="s">
        <v>241</v>
      </c>
      <c r="CQ1369" s="4" t="s">
        <v>261</v>
      </c>
      <c r="CR1369" s="4" t="s">
        <v>241</v>
      </c>
      <c r="CS1369" s="4" t="s">
        <v>241</v>
      </c>
      <c r="CT1369" s="4">
        <v>0</v>
      </c>
      <c r="CU1369" s="4" t="s">
        <v>262</v>
      </c>
      <c r="CV1369" s="4" t="s">
        <v>263</v>
      </c>
      <c r="CW1369" s="4" t="s">
        <v>263</v>
      </c>
      <c r="CX1369" s="4" t="s">
        <v>264</v>
      </c>
      <c r="DA1369" s="6">
        <f>1</f>
        <v>1</v>
      </c>
      <c r="DC1369" s="4" t="s">
        <v>277</v>
      </c>
      <c r="DD1369" s="4" t="s">
        <v>241</v>
      </c>
      <c r="DF1369" s="4" t="s">
        <v>277</v>
      </c>
      <c r="DG1369" s="6">
        <f>219</f>
        <v>219</v>
      </c>
      <c r="DI1369" s="4" t="s">
        <v>241</v>
      </c>
      <c r="DJ1369" s="4" t="s">
        <v>241</v>
      </c>
      <c r="DK1369" s="4" t="s">
        <v>241</v>
      </c>
      <c r="DL1369" s="4" t="s">
        <v>241</v>
      </c>
      <c r="DP1369" s="4" t="s">
        <v>241</v>
      </c>
      <c r="DQ1369" s="4" t="s">
        <v>241</v>
      </c>
      <c r="DR1369" s="4" t="s">
        <v>241</v>
      </c>
      <c r="DS1369" s="4" t="s">
        <v>241</v>
      </c>
      <c r="DV1369" s="4" t="s">
        <v>278</v>
      </c>
      <c r="DW1369" s="4" t="s">
        <v>1840</v>
      </c>
      <c r="HO1369" s="4" t="s">
        <v>267</v>
      </c>
    </row>
    <row r="1370" spans="1:223" ht="19.5" customHeight="1" x14ac:dyDescent="0.4">
      <c r="A1370" s="4">
        <v>1</v>
      </c>
      <c r="B1370" s="4" t="s">
        <v>239</v>
      </c>
      <c r="C1370" s="4">
        <v>3044</v>
      </c>
      <c r="D1370" s="4">
        <v>1</v>
      </c>
      <c r="E1370" s="4">
        <v>1</v>
      </c>
      <c r="F1370" s="4" t="s">
        <v>268</v>
      </c>
      <c r="G1370" s="4" t="s">
        <v>241</v>
      </c>
      <c r="H1370" s="4" t="s">
        <v>241</v>
      </c>
      <c r="I1370" s="4" t="s">
        <v>272</v>
      </c>
      <c r="J1370" s="4" t="s">
        <v>274</v>
      </c>
      <c r="K1370" s="4" t="s">
        <v>251</v>
      </c>
      <c r="L1370" s="4" t="s">
        <v>269</v>
      </c>
      <c r="M1370" s="5" t="s">
        <v>1874</v>
      </c>
      <c r="N1370" s="6">
        <f>7676</f>
        <v>7676</v>
      </c>
      <c r="O1370" s="4" t="s">
        <v>265</v>
      </c>
      <c r="P1370" s="6">
        <f>1</f>
        <v>1</v>
      </c>
      <c r="Q1370" s="6">
        <f>0</f>
        <v>0</v>
      </c>
      <c r="S1370" s="6">
        <f>0</f>
        <v>0</v>
      </c>
      <c r="T1370" s="6">
        <f>1</f>
        <v>1</v>
      </c>
      <c r="U1370" s="5" t="s">
        <v>245</v>
      </c>
      <c r="V1370" s="4" t="s">
        <v>270</v>
      </c>
      <c r="W1370" s="4" t="s">
        <v>271</v>
      </c>
      <c r="X1370" s="4" t="s">
        <v>273</v>
      </c>
      <c r="Y1370" s="4" t="s">
        <v>241</v>
      </c>
      <c r="AB1370" s="4" t="s">
        <v>241</v>
      </c>
      <c r="AD1370" s="5" t="s">
        <v>241</v>
      </c>
      <c r="AG1370" s="5" t="s">
        <v>246</v>
      </c>
      <c r="AH1370" s="4" t="s">
        <v>241</v>
      </c>
      <c r="AI1370" s="4" t="s">
        <v>247</v>
      </c>
      <c r="AJ1370" s="4" t="s">
        <v>248</v>
      </c>
      <c r="AZ1370" s="4" t="s">
        <v>249</v>
      </c>
      <c r="BA1370" s="4" t="s">
        <v>241</v>
      </c>
      <c r="BB1370" s="4" t="s">
        <v>250</v>
      </c>
      <c r="BC1370" s="4" t="s">
        <v>241</v>
      </c>
      <c r="BD1370" s="4" t="s">
        <v>252</v>
      </c>
      <c r="BE1370" s="4" t="s">
        <v>241</v>
      </c>
      <c r="BI1370" s="4" t="s">
        <v>253</v>
      </c>
      <c r="BJ1370" s="5" t="s">
        <v>246</v>
      </c>
      <c r="BK1370" s="4" t="s">
        <v>254</v>
      </c>
      <c r="BL1370" s="4" t="s">
        <v>255</v>
      </c>
      <c r="BM1370" s="4" t="s">
        <v>241</v>
      </c>
      <c r="BN1370" s="6">
        <f>0</f>
        <v>0</v>
      </c>
      <c r="BO1370" s="6">
        <f>0</f>
        <v>0</v>
      </c>
      <c r="BP1370" s="4" t="s">
        <v>256</v>
      </c>
      <c r="BQ1370" s="4" t="s">
        <v>257</v>
      </c>
      <c r="CE1370" s="4" t="s">
        <v>241</v>
      </c>
      <c r="CF1370" s="4" t="s">
        <v>241</v>
      </c>
      <c r="CJ1370" s="4" t="s">
        <v>276</v>
      </c>
      <c r="CK1370" s="4" t="s">
        <v>259</v>
      </c>
      <c r="CL1370" s="4" t="s">
        <v>241</v>
      </c>
      <c r="CO1370" s="5" t="s">
        <v>260</v>
      </c>
      <c r="CP1370" s="4" t="s">
        <v>241</v>
      </c>
      <c r="CQ1370" s="4" t="s">
        <v>261</v>
      </c>
      <c r="CR1370" s="4" t="s">
        <v>241</v>
      </c>
      <c r="CS1370" s="4" t="s">
        <v>241</v>
      </c>
      <c r="CT1370" s="4">
        <v>0</v>
      </c>
      <c r="CU1370" s="4" t="s">
        <v>262</v>
      </c>
      <c r="CV1370" s="4" t="s">
        <v>263</v>
      </c>
      <c r="CW1370" s="4" t="s">
        <v>263</v>
      </c>
      <c r="CX1370" s="4" t="s">
        <v>264</v>
      </c>
      <c r="DA1370" s="6">
        <f>1</f>
        <v>1</v>
      </c>
      <c r="DC1370" s="4" t="s">
        <v>277</v>
      </c>
      <c r="DD1370" s="4" t="s">
        <v>241</v>
      </c>
      <c r="DF1370" s="4" t="s">
        <v>277</v>
      </c>
      <c r="DG1370" s="6">
        <f>7676</f>
        <v>7676</v>
      </c>
      <c r="DI1370" s="4" t="s">
        <v>241</v>
      </c>
      <c r="DJ1370" s="4" t="s">
        <v>241</v>
      </c>
      <c r="DK1370" s="4" t="s">
        <v>241</v>
      </c>
      <c r="DL1370" s="4" t="s">
        <v>241</v>
      </c>
      <c r="DP1370" s="4" t="s">
        <v>241</v>
      </c>
      <c r="DQ1370" s="4" t="s">
        <v>241</v>
      </c>
      <c r="DR1370" s="4" t="s">
        <v>241</v>
      </c>
      <c r="DS1370" s="4" t="s">
        <v>241</v>
      </c>
      <c r="DV1370" s="4" t="s">
        <v>278</v>
      </c>
      <c r="DW1370" s="4" t="s">
        <v>1875</v>
      </c>
      <c r="HO1370" s="4" t="s">
        <v>267</v>
      </c>
    </row>
    <row r="1371" spans="1:223" ht="19.5" customHeight="1" x14ac:dyDescent="0.4">
      <c r="A1371" s="4">
        <v>1</v>
      </c>
      <c r="B1371" s="4" t="s">
        <v>239</v>
      </c>
      <c r="C1371" s="4">
        <v>3045</v>
      </c>
      <c r="D1371" s="4">
        <v>1</v>
      </c>
      <c r="E1371" s="4">
        <v>1</v>
      </c>
      <c r="F1371" s="4" t="s">
        <v>268</v>
      </c>
      <c r="G1371" s="4" t="s">
        <v>241</v>
      </c>
      <c r="H1371" s="4" t="s">
        <v>241</v>
      </c>
      <c r="I1371" s="4" t="s">
        <v>272</v>
      </c>
      <c r="J1371" s="4" t="s">
        <v>274</v>
      </c>
      <c r="K1371" s="4" t="s">
        <v>251</v>
      </c>
      <c r="L1371" s="4" t="s">
        <v>269</v>
      </c>
      <c r="M1371" s="5" t="s">
        <v>1940</v>
      </c>
      <c r="N1371" s="6">
        <f>526</f>
        <v>526</v>
      </c>
      <c r="O1371" s="4" t="s">
        <v>265</v>
      </c>
      <c r="P1371" s="6">
        <f>1</f>
        <v>1</v>
      </c>
      <c r="Q1371" s="6">
        <f>0</f>
        <v>0</v>
      </c>
      <c r="S1371" s="6">
        <f>0</f>
        <v>0</v>
      </c>
      <c r="T1371" s="6">
        <f>1</f>
        <v>1</v>
      </c>
      <c r="U1371" s="5" t="s">
        <v>245</v>
      </c>
      <c r="V1371" s="4" t="s">
        <v>270</v>
      </c>
      <c r="W1371" s="4" t="s">
        <v>271</v>
      </c>
      <c r="X1371" s="4" t="s">
        <v>273</v>
      </c>
      <c r="Y1371" s="4" t="s">
        <v>241</v>
      </c>
      <c r="AB1371" s="4" t="s">
        <v>241</v>
      </c>
      <c r="AD1371" s="5" t="s">
        <v>241</v>
      </c>
      <c r="AG1371" s="5" t="s">
        <v>246</v>
      </c>
      <c r="AH1371" s="4" t="s">
        <v>241</v>
      </c>
      <c r="AI1371" s="4" t="s">
        <v>247</v>
      </c>
      <c r="AJ1371" s="4" t="s">
        <v>248</v>
      </c>
      <c r="AZ1371" s="4" t="s">
        <v>249</v>
      </c>
      <c r="BA1371" s="4" t="s">
        <v>241</v>
      </c>
      <c r="BB1371" s="4" t="s">
        <v>250</v>
      </c>
      <c r="BC1371" s="4" t="s">
        <v>241</v>
      </c>
      <c r="BD1371" s="4" t="s">
        <v>252</v>
      </c>
      <c r="BE1371" s="4" t="s">
        <v>241</v>
      </c>
      <c r="BI1371" s="4" t="s">
        <v>253</v>
      </c>
      <c r="BJ1371" s="5" t="s">
        <v>246</v>
      </c>
      <c r="BK1371" s="4" t="s">
        <v>254</v>
      </c>
      <c r="BL1371" s="4" t="s">
        <v>255</v>
      </c>
      <c r="BM1371" s="4" t="s">
        <v>241</v>
      </c>
      <c r="BN1371" s="6">
        <f>0</f>
        <v>0</v>
      </c>
      <c r="BO1371" s="6">
        <f>0</f>
        <v>0</v>
      </c>
      <c r="BP1371" s="4" t="s">
        <v>256</v>
      </c>
      <c r="BQ1371" s="4" t="s">
        <v>257</v>
      </c>
      <c r="CE1371" s="4" t="s">
        <v>241</v>
      </c>
      <c r="CF1371" s="4" t="s">
        <v>241</v>
      </c>
      <c r="CJ1371" s="4" t="s">
        <v>276</v>
      </c>
      <c r="CK1371" s="4" t="s">
        <v>259</v>
      </c>
      <c r="CL1371" s="4" t="s">
        <v>241</v>
      </c>
      <c r="CO1371" s="5" t="s">
        <v>260</v>
      </c>
      <c r="CP1371" s="4" t="s">
        <v>241</v>
      </c>
      <c r="CQ1371" s="4" t="s">
        <v>261</v>
      </c>
      <c r="CR1371" s="4" t="s">
        <v>241</v>
      </c>
      <c r="CS1371" s="4" t="s">
        <v>241</v>
      </c>
      <c r="CT1371" s="4">
        <v>0</v>
      </c>
      <c r="CU1371" s="4" t="s">
        <v>262</v>
      </c>
      <c r="CV1371" s="4" t="s">
        <v>263</v>
      </c>
      <c r="CW1371" s="4" t="s">
        <v>263</v>
      </c>
      <c r="CX1371" s="4" t="s">
        <v>264</v>
      </c>
      <c r="DA1371" s="6">
        <f>1</f>
        <v>1</v>
      </c>
      <c r="DC1371" s="4" t="s">
        <v>277</v>
      </c>
      <c r="DD1371" s="4" t="s">
        <v>241</v>
      </c>
      <c r="DF1371" s="4" t="s">
        <v>277</v>
      </c>
      <c r="DG1371" s="6">
        <f>526</f>
        <v>526</v>
      </c>
      <c r="DI1371" s="4" t="s">
        <v>241</v>
      </c>
      <c r="DJ1371" s="4" t="s">
        <v>241</v>
      </c>
      <c r="DK1371" s="4" t="s">
        <v>241</v>
      </c>
      <c r="DL1371" s="4" t="s">
        <v>241</v>
      </c>
      <c r="DP1371" s="4" t="s">
        <v>241</v>
      </c>
      <c r="DQ1371" s="4" t="s">
        <v>241</v>
      </c>
      <c r="DR1371" s="4" t="s">
        <v>241</v>
      </c>
      <c r="DS1371" s="4" t="s">
        <v>241</v>
      </c>
      <c r="DV1371" s="4" t="s">
        <v>278</v>
      </c>
      <c r="DW1371" s="4" t="s">
        <v>1941</v>
      </c>
      <c r="HO1371" s="4" t="s">
        <v>267</v>
      </c>
    </row>
    <row r="1372" spans="1:223" ht="19.5" customHeight="1" x14ac:dyDescent="0.4">
      <c r="A1372" s="4">
        <v>1</v>
      </c>
      <c r="B1372" s="4" t="s">
        <v>239</v>
      </c>
      <c r="C1372" s="4">
        <v>3046</v>
      </c>
      <c r="D1372" s="4">
        <v>1</v>
      </c>
      <c r="E1372" s="4">
        <v>1</v>
      </c>
      <c r="F1372" s="4" t="s">
        <v>268</v>
      </c>
      <c r="G1372" s="4" t="s">
        <v>241</v>
      </c>
      <c r="H1372" s="4" t="s">
        <v>241</v>
      </c>
      <c r="I1372" s="4" t="s">
        <v>272</v>
      </c>
      <c r="J1372" s="4" t="s">
        <v>274</v>
      </c>
      <c r="K1372" s="4" t="s">
        <v>251</v>
      </c>
      <c r="L1372" s="4" t="s">
        <v>269</v>
      </c>
      <c r="M1372" s="5" t="s">
        <v>1925</v>
      </c>
      <c r="N1372" s="6">
        <f>177</f>
        <v>177</v>
      </c>
      <c r="O1372" s="4" t="s">
        <v>265</v>
      </c>
      <c r="P1372" s="6">
        <f>1</f>
        <v>1</v>
      </c>
      <c r="Q1372" s="6">
        <f>0</f>
        <v>0</v>
      </c>
      <c r="S1372" s="6">
        <f>0</f>
        <v>0</v>
      </c>
      <c r="T1372" s="6">
        <f>1</f>
        <v>1</v>
      </c>
      <c r="U1372" s="5" t="s">
        <v>245</v>
      </c>
      <c r="V1372" s="4" t="s">
        <v>270</v>
      </c>
      <c r="W1372" s="4" t="s">
        <v>271</v>
      </c>
      <c r="X1372" s="4" t="s">
        <v>273</v>
      </c>
      <c r="Y1372" s="4" t="s">
        <v>241</v>
      </c>
      <c r="AB1372" s="4" t="s">
        <v>241</v>
      </c>
      <c r="AD1372" s="5" t="s">
        <v>241</v>
      </c>
      <c r="AG1372" s="5" t="s">
        <v>246</v>
      </c>
      <c r="AH1372" s="4" t="s">
        <v>241</v>
      </c>
      <c r="AI1372" s="4" t="s">
        <v>247</v>
      </c>
      <c r="AJ1372" s="4" t="s">
        <v>248</v>
      </c>
      <c r="AZ1372" s="4" t="s">
        <v>249</v>
      </c>
      <c r="BA1372" s="4" t="s">
        <v>241</v>
      </c>
      <c r="BB1372" s="4" t="s">
        <v>250</v>
      </c>
      <c r="BC1372" s="4" t="s">
        <v>241</v>
      </c>
      <c r="BD1372" s="4" t="s">
        <v>252</v>
      </c>
      <c r="BE1372" s="4" t="s">
        <v>241</v>
      </c>
      <c r="BI1372" s="4" t="s">
        <v>253</v>
      </c>
      <c r="BJ1372" s="5" t="s">
        <v>246</v>
      </c>
      <c r="BK1372" s="4" t="s">
        <v>254</v>
      </c>
      <c r="BL1372" s="4" t="s">
        <v>255</v>
      </c>
      <c r="BM1372" s="4" t="s">
        <v>241</v>
      </c>
      <c r="BN1372" s="6">
        <f>0</f>
        <v>0</v>
      </c>
      <c r="BO1372" s="6">
        <f>0</f>
        <v>0</v>
      </c>
      <c r="BP1372" s="4" t="s">
        <v>256</v>
      </c>
      <c r="BQ1372" s="4" t="s">
        <v>257</v>
      </c>
      <c r="CE1372" s="4" t="s">
        <v>241</v>
      </c>
      <c r="CF1372" s="4" t="s">
        <v>241</v>
      </c>
      <c r="CJ1372" s="4" t="s">
        <v>276</v>
      </c>
      <c r="CK1372" s="4" t="s">
        <v>259</v>
      </c>
      <c r="CL1372" s="4" t="s">
        <v>241</v>
      </c>
      <c r="CO1372" s="5" t="s">
        <v>260</v>
      </c>
      <c r="CP1372" s="4" t="s">
        <v>241</v>
      </c>
      <c r="CQ1372" s="4" t="s">
        <v>261</v>
      </c>
      <c r="CR1372" s="4" t="s">
        <v>241</v>
      </c>
      <c r="CS1372" s="4" t="s">
        <v>241</v>
      </c>
      <c r="CT1372" s="4">
        <v>0</v>
      </c>
      <c r="CU1372" s="4" t="s">
        <v>262</v>
      </c>
      <c r="CV1372" s="4" t="s">
        <v>263</v>
      </c>
      <c r="CW1372" s="4" t="s">
        <v>263</v>
      </c>
      <c r="CX1372" s="4" t="s">
        <v>264</v>
      </c>
      <c r="DA1372" s="6">
        <f>1</f>
        <v>1</v>
      </c>
      <c r="DC1372" s="4" t="s">
        <v>277</v>
      </c>
      <c r="DD1372" s="4" t="s">
        <v>241</v>
      </c>
      <c r="DF1372" s="4" t="s">
        <v>277</v>
      </c>
      <c r="DG1372" s="6">
        <f>177</f>
        <v>177</v>
      </c>
      <c r="DI1372" s="4" t="s">
        <v>241</v>
      </c>
      <c r="DJ1372" s="4" t="s">
        <v>241</v>
      </c>
      <c r="DK1372" s="4" t="s">
        <v>241</v>
      </c>
      <c r="DL1372" s="4" t="s">
        <v>241</v>
      </c>
      <c r="DP1372" s="4" t="s">
        <v>241</v>
      </c>
      <c r="DQ1372" s="4" t="s">
        <v>241</v>
      </c>
      <c r="DR1372" s="4" t="s">
        <v>241</v>
      </c>
      <c r="DS1372" s="4" t="s">
        <v>241</v>
      </c>
      <c r="DV1372" s="4" t="s">
        <v>278</v>
      </c>
      <c r="DW1372" s="4" t="s">
        <v>1926</v>
      </c>
      <c r="HO1372" s="4" t="s">
        <v>267</v>
      </c>
    </row>
    <row r="1373" spans="1:223" ht="19.5" customHeight="1" x14ac:dyDescent="0.4">
      <c r="A1373" s="4">
        <v>1</v>
      </c>
      <c r="B1373" s="4" t="s">
        <v>239</v>
      </c>
      <c r="C1373" s="4">
        <v>3047</v>
      </c>
      <c r="D1373" s="4">
        <v>1</v>
      </c>
      <c r="E1373" s="4">
        <v>1</v>
      </c>
      <c r="F1373" s="4" t="s">
        <v>268</v>
      </c>
      <c r="G1373" s="4" t="s">
        <v>241</v>
      </c>
      <c r="H1373" s="4" t="s">
        <v>241</v>
      </c>
      <c r="I1373" s="4" t="s">
        <v>272</v>
      </c>
      <c r="J1373" s="4" t="s">
        <v>274</v>
      </c>
      <c r="K1373" s="4" t="s">
        <v>251</v>
      </c>
      <c r="L1373" s="4" t="s">
        <v>269</v>
      </c>
      <c r="M1373" s="5" t="s">
        <v>1944</v>
      </c>
      <c r="N1373" s="6">
        <f>244</f>
        <v>244</v>
      </c>
      <c r="O1373" s="4" t="s">
        <v>265</v>
      </c>
      <c r="P1373" s="6">
        <f>1</f>
        <v>1</v>
      </c>
      <c r="Q1373" s="6">
        <f>0</f>
        <v>0</v>
      </c>
      <c r="S1373" s="6">
        <f>0</f>
        <v>0</v>
      </c>
      <c r="T1373" s="6">
        <f>1</f>
        <v>1</v>
      </c>
      <c r="U1373" s="5" t="s">
        <v>245</v>
      </c>
      <c r="V1373" s="4" t="s">
        <v>270</v>
      </c>
      <c r="W1373" s="4" t="s">
        <v>271</v>
      </c>
      <c r="X1373" s="4" t="s">
        <v>273</v>
      </c>
      <c r="Y1373" s="4" t="s">
        <v>241</v>
      </c>
      <c r="AB1373" s="4" t="s">
        <v>241</v>
      </c>
      <c r="AD1373" s="5" t="s">
        <v>241</v>
      </c>
      <c r="AG1373" s="5" t="s">
        <v>246</v>
      </c>
      <c r="AH1373" s="4" t="s">
        <v>241</v>
      </c>
      <c r="AI1373" s="4" t="s">
        <v>247</v>
      </c>
      <c r="AJ1373" s="4" t="s">
        <v>248</v>
      </c>
      <c r="AZ1373" s="4" t="s">
        <v>249</v>
      </c>
      <c r="BA1373" s="4" t="s">
        <v>241</v>
      </c>
      <c r="BB1373" s="4" t="s">
        <v>250</v>
      </c>
      <c r="BC1373" s="4" t="s">
        <v>241</v>
      </c>
      <c r="BD1373" s="4" t="s">
        <v>252</v>
      </c>
      <c r="BE1373" s="4" t="s">
        <v>241</v>
      </c>
      <c r="BI1373" s="4" t="s">
        <v>253</v>
      </c>
      <c r="BJ1373" s="5" t="s">
        <v>246</v>
      </c>
      <c r="BK1373" s="4" t="s">
        <v>254</v>
      </c>
      <c r="BL1373" s="4" t="s">
        <v>255</v>
      </c>
      <c r="BM1373" s="4" t="s">
        <v>241</v>
      </c>
      <c r="BN1373" s="6">
        <f>0</f>
        <v>0</v>
      </c>
      <c r="BO1373" s="6">
        <f>0</f>
        <v>0</v>
      </c>
      <c r="BP1373" s="4" t="s">
        <v>256</v>
      </c>
      <c r="BQ1373" s="4" t="s">
        <v>257</v>
      </c>
      <c r="CE1373" s="4" t="s">
        <v>241</v>
      </c>
      <c r="CF1373" s="4" t="s">
        <v>241</v>
      </c>
      <c r="CJ1373" s="4" t="s">
        <v>276</v>
      </c>
      <c r="CK1373" s="4" t="s">
        <v>259</v>
      </c>
      <c r="CL1373" s="4" t="s">
        <v>241</v>
      </c>
      <c r="CO1373" s="5" t="s">
        <v>260</v>
      </c>
      <c r="CP1373" s="4" t="s">
        <v>241</v>
      </c>
      <c r="CQ1373" s="4" t="s">
        <v>261</v>
      </c>
      <c r="CR1373" s="4" t="s">
        <v>241</v>
      </c>
      <c r="CS1373" s="4" t="s">
        <v>241</v>
      </c>
      <c r="CT1373" s="4">
        <v>0</v>
      </c>
      <c r="CU1373" s="4" t="s">
        <v>262</v>
      </c>
      <c r="CV1373" s="4" t="s">
        <v>263</v>
      </c>
      <c r="CW1373" s="4" t="s">
        <v>263</v>
      </c>
      <c r="CX1373" s="4" t="s">
        <v>264</v>
      </c>
      <c r="DA1373" s="6">
        <f>1</f>
        <v>1</v>
      </c>
      <c r="DC1373" s="4" t="s">
        <v>277</v>
      </c>
      <c r="DD1373" s="4" t="s">
        <v>241</v>
      </c>
      <c r="DF1373" s="4" t="s">
        <v>277</v>
      </c>
      <c r="DG1373" s="6">
        <f>244</f>
        <v>244</v>
      </c>
      <c r="DI1373" s="4" t="s">
        <v>241</v>
      </c>
      <c r="DJ1373" s="4" t="s">
        <v>241</v>
      </c>
      <c r="DK1373" s="4" t="s">
        <v>241</v>
      </c>
      <c r="DL1373" s="4" t="s">
        <v>241</v>
      </c>
      <c r="DP1373" s="4" t="s">
        <v>241</v>
      </c>
      <c r="DQ1373" s="4" t="s">
        <v>241</v>
      </c>
      <c r="DR1373" s="4" t="s">
        <v>241</v>
      </c>
      <c r="DS1373" s="4" t="s">
        <v>241</v>
      </c>
      <c r="DV1373" s="4" t="s">
        <v>278</v>
      </c>
      <c r="DW1373" s="4" t="s">
        <v>1945</v>
      </c>
      <c r="HO1373" s="4" t="s">
        <v>267</v>
      </c>
    </row>
    <row r="1374" spans="1:223" ht="19.5" customHeight="1" x14ac:dyDescent="0.4">
      <c r="A1374" s="4">
        <v>1</v>
      </c>
      <c r="B1374" s="4" t="s">
        <v>239</v>
      </c>
      <c r="C1374" s="4">
        <v>3048</v>
      </c>
      <c r="D1374" s="4">
        <v>1</v>
      </c>
      <c r="E1374" s="4">
        <v>1</v>
      </c>
      <c r="F1374" s="4" t="s">
        <v>268</v>
      </c>
      <c r="G1374" s="4" t="s">
        <v>241</v>
      </c>
      <c r="H1374" s="4" t="s">
        <v>241</v>
      </c>
      <c r="I1374" s="4" t="s">
        <v>272</v>
      </c>
      <c r="J1374" s="4" t="s">
        <v>274</v>
      </c>
      <c r="K1374" s="4" t="s">
        <v>251</v>
      </c>
      <c r="L1374" s="4" t="s">
        <v>269</v>
      </c>
      <c r="M1374" s="5" t="s">
        <v>2800</v>
      </c>
      <c r="N1374" s="6">
        <f>2978</f>
        <v>2978</v>
      </c>
      <c r="O1374" s="4" t="s">
        <v>265</v>
      </c>
      <c r="P1374" s="6">
        <f>1</f>
        <v>1</v>
      </c>
      <c r="Q1374" s="6">
        <f>0</f>
        <v>0</v>
      </c>
      <c r="S1374" s="6">
        <f>0</f>
        <v>0</v>
      </c>
      <c r="T1374" s="6">
        <f>1</f>
        <v>1</v>
      </c>
      <c r="U1374" s="5" t="s">
        <v>245</v>
      </c>
      <c r="V1374" s="4" t="s">
        <v>270</v>
      </c>
      <c r="W1374" s="4" t="s">
        <v>271</v>
      </c>
      <c r="X1374" s="4" t="s">
        <v>273</v>
      </c>
      <c r="Y1374" s="4" t="s">
        <v>241</v>
      </c>
      <c r="AB1374" s="4" t="s">
        <v>241</v>
      </c>
      <c r="AD1374" s="5" t="s">
        <v>241</v>
      </c>
      <c r="AG1374" s="5" t="s">
        <v>246</v>
      </c>
      <c r="AH1374" s="4" t="s">
        <v>241</v>
      </c>
      <c r="AI1374" s="4" t="s">
        <v>247</v>
      </c>
      <c r="AJ1374" s="4" t="s">
        <v>248</v>
      </c>
      <c r="AZ1374" s="4" t="s">
        <v>249</v>
      </c>
      <c r="BA1374" s="4" t="s">
        <v>241</v>
      </c>
      <c r="BB1374" s="4" t="s">
        <v>250</v>
      </c>
      <c r="BC1374" s="4" t="s">
        <v>241</v>
      </c>
      <c r="BD1374" s="4" t="s">
        <v>252</v>
      </c>
      <c r="BE1374" s="4" t="s">
        <v>241</v>
      </c>
      <c r="BI1374" s="4" t="s">
        <v>253</v>
      </c>
      <c r="BJ1374" s="5" t="s">
        <v>246</v>
      </c>
      <c r="BK1374" s="4" t="s">
        <v>254</v>
      </c>
      <c r="BL1374" s="4" t="s">
        <v>255</v>
      </c>
      <c r="BM1374" s="4" t="s">
        <v>241</v>
      </c>
      <c r="BN1374" s="6">
        <f>0</f>
        <v>0</v>
      </c>
      <c r="BO1374" s="6">
        <f>0</f>
        <v>0</v>
      </c>
      <c r="BP1374" s="4" t="s">
        <v>256</v>
      </c>
      <c r="BQ1374" s="4" t="s">
        <v>257</v>
      </c>
      <c r="CE1374" s="4" t="s">
        <v>241</v>
      </c>
      <c r="CF1374" s="4" t="s">
        <v>241</v>
      </c>
      <c r="CJ1374" s="4" t="s">
        <v>276</v>
      </c>
      <c r="CK1374" s="4" t="s">
        <v>259</v>
      </c>
      <c r="CL1374" s="4" t="s">
        <v>241</v>
      </c>
      <c r="CO1374" s="5" t="s">
        <v>260</v>
      </c>
      <c r="CP1374" s="4" t="s">
        <v>241</v>
      </c>
      <c r="CQ1374" s="4" t="s">
        <v>261</v>
      </c>
      <c r="CR1374" s="4" t="s">
        <v>241</v>
      </c>
      <c r="CS1374" s="4" t="s">
        <v>241</v>
      </c>
      <c r="CT1374" s="4">
        <v>0</v>
      </c>
      <c r="CU1374" s="4" t="s">
        <v>262</v>
      </c>
      <c r="CV1374" s="4" t="s">
        <v>263</v>
      </c>
      <c r="CW1374" s="4" t="s">
        <v>263</v>
      </c>
      <c r="CX1374" s="4" t="s">
        <v>264</v>
      </c>
      <c r="DA1374" s="6">
        <f>1</f>
        <v>1</v>
      </c>
      <c r="DC1374" s="4" t="s">
        <v>277</v>
      </c>
      <c r="DD1374" s="4" t="s">
        <v>241</v>
      </c>
      <c r="DF1374" s="4" t="s">
        <v>277</v>
      </c>
      <c r="DG1374" s="6">
        <f>2978</f>
        <v>2978</v>
      </c>
      <c r="DI1374" s="4" t="s">
        <v>241</v>
      </c>
      <c r="DJ1374" s="4" t="s">
        <v>241</v>
      </c>
      <c r="DK1374" s="4" t="s">
        <v>241</v>
      </c>
      <c r="DL1374" s="4" t="s">
        <v>241</v>
      </c>
      <c r="DP1374" s="4" t="s">
        <v>241</v>
      </c>
      <c r="DQ1374" s="4" t="s">
        <v>241</v>
      </c>
      <c r="DR1374" s="4" t="s">
        <v>241</v>
      </c>
      <c r="DS1374" s="4" t="s">
        <v>241</v>
      </c>
      <c r="DV1374" s="4" t="s">
        <v>278</v>
      </c>
      <c r="DW1374" s="4" t="s">
        <v>2801</v>
      </c>
      <c r="HO1374" s="4" t="s">
        <v>267</v>
      </c>
    </row>
    <row r="1375" spans="1:223" ht="19.5" customHeight="1" x14ac:dyDescent="0.4">
      <c r="A1375" s="4">
        <v>1</v>
      </c>
      <c r="B1375" s="4" t="s">
        <v>239</v>
      </c>
      <c r="C1375" s="4">
        <v>3049</v>
      </c>
      <c r="D1375" s="4">
        <v>1</v>
      </c>
      <c r="E1375" s="4">
        <v>1</v>
      </c>
      <c r="F1375" s="4" t="s">
        <v>268</v>
      </c>
      <c r="G1375" s="4" t="s">
        <v>241</v>
      </c>
      <c r="H1375" s="4" t="s">
        <v>241</v>
      </c>
      <c r="I1375" s="4" t="s">
        <v>272</v>
      </c>
      <c r="J1375" s="4" t="s">
        <v>274</v>
      </c>
      <c r="K1375" s="4" t="s">
        <v>251</v>
      </c>
      <c r="L1375" s="4" t="s">
        <v>269</v>
      </c>
      <c r="M1375" s="5" t="s">
        <v>2299</v>
      </c>
      <c r="N1375" s="6">
        <f>662</f>
        <v>662</v>
      </c>
      <c r="O1375" s="4" t="s">
        <v>265</v>
      </c>
      <c r="P1375" s="6">
        <f>1</f>
        <v>1</v>
      </c>
      <c r="Q1375" s="6">
        <f>0</f>
        <v>0</v>
      </c>
      <c r="S1375" s="6">
        <f>0</f>
        <v>0</v>
      </c>
      <c r="T1375" s="6">
        <f>1</f>
        <v>1</v>
      </c>
      <c r="U1375" s="5" t="s">
        <v>245</v>
      </c>
      <c r="V1375" s="4" t="s">
        <v>270</v>
      </c>
      <c r="W1375" s="4" t="s">
        <v>271</v>
      </c>
      <c r="X1375" s="4" t="s">
        <v>273</v>
      </c>
      <c r="Y1375" s="4" t="s">
        <v>241</v>
      </c>
      <c r="AB1375" s="4" t="s">
        <v>241</v>
      </c>
      <c r="AD1375" s="5" t="s">
        <v>241</v>
      </c>
      <c r="AG1375" s="5" t="s">
        <v>246</v>
      </c>
      <c r="AH1375" s="4" t="s">
        <v>241</v>
      </c>
      <c r="AI1375" s="4" t="s">
        <v>247</v>
      </c>
      <c r="AJ1375" s="4" t="s">
        <v>248</v>
      </c>
      <c r="AZ1375" s="4" t="s">
        <v>249</v>
      </c>
      <c r="BA1375" s="4" t="s">
        <v>241</v>
      </c>
      <c r="BB1375" s="4" t="s">
        <v>250</v>
      </c>
      <c r="BC1375" s="4" t="s">
        <v>241</v>
      </c>
      <c r="BD1375" s="4" t="s">
        <v>252</v>
      </c>
      <c r="BE1375" s="4" t="s">
        <v>241</v>
      </c>
      <c r="BI1375" s="4" t="s">
        <v>253</v>
      </c>
      <c r="BJ1375" s="5" t="s">
        <v>246</v>
      </c>
      <c r="BK1375" s="4" t="s">
        <v>254</v>
      </c>
      <c r="BL1375" s="4" t="s">
        <v>255</v>
      </c>
      <c r="BM1375" s="4" t="s">
        <v>241</v>
      </c>
      <c r="BN1375" s="6">
        <f>0</f>
        <v>0</v>
      </c>
      <c r="BO1375" s="6">
        <f>0</f>
        <v>0</v>
      </c>
      <c r="BP1375" s="4" t="s">
        <v>256</v>
      </c>
      <c r="BQ1375" s="4" t="s">
        <v>257</v>
      </c>
      <c r="CE1375" s="4" t="s">
        <v>241</v>
      </c>
      <c r="CF1375" s="4" t="s">
        <v>241</v>
      </c>
      <c r="CJ1375" s="4" t="s">
        <v>276</v>
      </c>
      <c r="CK1375" s="4" t="s">
        <v>259</v>
      </c>
      <c r="CL1375" s="4" t="s">
        <v>241</v>
      </c>
      <c r="CO1375" s="5" t="s">
        <v>260</v>
      </c>
      <c r="CP1375" s="4" t="s">
        <v>241</v>
      </c>
      <c r="CQ1375" s="4" t="s">
        <v>261</v>
      </c>
      <c r="CR1375" s="4" t="s">
        <v>241</v>
      </c>
      <c r="CS1375" s="4" t="s">
        <v>241</v>
      </c>
      <c r="CT1375" s="4">
        <v>0</v>
      </c>
      <c r="CU1375" s="4" t="s">
        <v>262</v>
      </c>
      <c r="CV1375" s="4" t="s">
        <v>263</v>
      </c>
      <c r="CW1375" s="4" t="s">
        <v>263</v>
      </c>
      <c r="CX1375" s="4" t="s">
        <v>264</v>
      </c>
      <c r="DA1375" s="6">
        <f>1</f>
        <v>1</v>
      </c>
      <c r="DC1375" s="4" t="s">
        <v>277</v>
      </c>
      <c r="DD1375" s="4" t="s">
        <v>241</v>
      </c>
      <c r="DF1375" s="4" t="s">
        <v>277</v>
      </c>
      <c r="DG1375" s="6">
        <f>662</f>
        <v>662</v>
      </c>
      <c r="DI1375" s="4" t="s">
        <v>241</v>
      </c>
      <c r="DJ1375" s="4" t="s">
        <v>241</v>
      </c>
      <c r="DK1375" s="4" t="s">
        <v>241</v>
      </c>
      <c r="DL1375" s="4" t="s">
        <v>241</v>
      </c>
      <c r="DP1375" s="4" t="s">
        <v>241</v>
      </c>
      <c r="DQ1375" s="4" t="s">
        <v>241</v>
      </c>
      <c r="DR1375" s="4" t="s">
        <v>241</v>
      </c>
      <c r="DS1375" s="4" t="s">
        <v>241</v>
      </c>
      <c r="DV1375" s="4" t="s">
        <v>278</v>
      </c>
      <c r="DW1375" s="4" t="s">
        <v>2300</v>
      </c>
      <c r="HO1375" s="4" t="s">
        <v>267</v>
      </c>
    </row>
    <row r="1376" spans="1:223" ht="19.5" customHeight="1" x14ac:dyDescent="0.4">
      <c r="A1376" s="4">
        <v>1</v>
      </c>
      <c r="B1376" s="4" t="s">
        <v>239</v>
      </c>
      <c r="C1376" s="4">
        <v>3050</v>
      </c>
      <c r="D1376" s="4">
        <v>1</v>
      </c>
      <c r="E1376" s="4">
        <v>1</v>
      </c>
      <c r="F1376" s="4" t="s">
        <v>268</v>
      </c>
      <c r="G1376" s="4" t="s">
        <v>241</v>
      </c>
      <c r="H1376" s="4" t="s">
        <v>241</v>
      </c>
      <c r="I1376" s="4" t="s">
        <v>272</v>
      </c>
      <c r="J1376" s="4" t="s">
        <v>274</v>
      </c>
      <c r="K1376" s="4" t="s">
        <v>251</v>
      </c>
      <c r="L1376" s="4" t="s">
        <v>269</v>
      </c>
      <c r="M1376" s="5" t="s">
        <v>2712</v>
      </c>
      <c r="N1376" s="6">
        <f>2253</f>
        <v>2253</v>
      </c>
      <c r="O1376" s="4" t="s">
        <v>265</v>
      </c>
      <c r="P1376" s="6">
        <f>1</f>
        <v>1</v>
      </c>
      <c r="Q1376" s="6">
        <f>0</f>
        <v>0</v>
      </c>
      <c r="S1376" s="6">
        <f>0</f>
        <v>0</v>
      </c>
      <c r="T1376" s="6">
        <f>1</f>
        <v>1</v>
      </c>
      <c r="U1376" s="5" t="s">
        <v>245</v>
      </c>
      <c r="V1376" s="4" t="s">
        <v>270</v>
      </c>
      <c r="W1376" s="4" t="s">
        <v>271</v>
      </c>
      <c r="X1376" s="4" t="s">
        <v>273</v>
      </c>
      <c r="Y1376" s="4" t="s">
        <v>241</v>
      </c>
      <c r="AB1376" s="4" t="s">
        <v>241</v>
      </c>
      <c r="AD1376" s="5" t="s">
        <v>241</v>
      </c>
      <c r="AG1376" s="5" t="s">
        <v>246</v>
      </c>
      <c r="AH1376" s="4" t="s">
        <v>241</v>
      </c>
      <c r="AI1376" s="4" t="s">
        <v>247</v>
      </c>
      <c r="AJ1376" s="4" t="s">
        <v>248</v>
      </c>
      <c r="AZ1376" s="4" t="s">
        <v>249</v>
      </c>
      <c r="BA1376" s="4" t="s">
        <v>241</v>
      </c>
      <c r="BB1376" s="4" t="s">
        <v>250</v>
      </c>
      <c r="BC1376" s="4" t="s">
        <v>241</v>
      </c>
      <c r="BD1376" s="4" t="s">
        <v>252</v>
      </c>
      <c r="BE1376" s="4" t="s">
        <v>241</v>
      </c>
      <c r="BI1376" s="4" t="s">
        <v>253</v>
      </c>
      <c r="BJ1376" s="5" t="s">
        <v>246</v>
      </c>
      <c r="BK1376" s="4" t="s">
        <v>254</v>
      </c>
      <c r="BL1376" s="4" t="s">
        <v>255</v>
      </c>
      <c r="BM1376" s="4" t="s">
        <v>241</v>
      </c>
      <c r="BN1376" s="6">
        <f>0</f>
        <v>0</v>
      </c>
      <c r="BO1376" s="6">
        <f>0</f>
        <v>0</v>
      </c>
      <c r="BP1376" s="4" t="s">
        <v>256</v>
      </c>
      <c r="BQ1376" s="4" t="s">
        <v>257</v>
      </c>
      <c r="CE1376" s="4" t="s">
        <v>241</v>
      </c>
      <c r="CF1376" s="4" t="s">
        <v>241</v>
      </c>
      <c r="CJ1376" s="4" t="s">
        <v>276</v>
      </c>
      <c r="CK1376" s="4" t="s">
        <v>259</v>
      </c>
      <c r="CL1376" s="4" t="s">
        <v>241</v>
      </c>
      <c r="CO1376" s="5" t="s">
        <v>260</v>
      </c>
      <c r="CP1376" s="4" t="s">
        <v>241</v>
      </c>
      <c r="CQ1376" s="4" t="s">
        <v>261</v>
      </c>
      <c r="CR1376" s="4" t="s">
        <v>241</v>
      </c>
      <c r="CS1376" s="4" t="s">
        <v>241</v>
      </c>
      <c r="CT1376" s="4">
        <v>0</v>
      </c>
      <c r="CU1376" s="4" t="s">
        <v>262</v>
      </c>
      <c r="CV1376" s="4" t="s">
        <v>263</v>
      </c>
      <c r="CW1376" s="4" t="s">
        <v>263</v>
      </c>
      <c r="CX1376" s="4" t="s">
        <v>264</v>
      </c>
      <c r="DA1376" s="6">
        <f>1</f>
        <v>1</v>
      </c>
      <c r="DC1376" s="4" t="s">
        <v>277</v>
      </c>
      <c r="DD1376" s="4" t="s">
        <v>241</v>
      </c>
      <c r="DF1376" s="4" t="s">
        <v>277</v>
      </c>
      <c r="DG1376" s="6">
        <f>2253</f>
        <v>2253</v>
      </c>
      <c r="DI1376" s="4" t="s">
        <v>241</v>
      </c>
      <c r="DJ1376" s="4" t="s">
        <v>241</v>
      </c>
      <c r="DK1376" s="4" t="s">
        <v>241</v>
      </c>
      <c r="DL1376" s="4" t="s">
        <v>241</v>
      </c>
      <c r="DP1376" s="4" t="s">
        <v>241</v>
      </c>
      <c r="DQ1376" s="4" t="s">
        <v>241</v>
      </c>
      <c r="DR1376" s="4" t="s">
        <v>241</v>
      </c>
      <c r="DS1376" s="4" t="s">
        <v>241</v>
      </c>
      <c r="DV1376" s="4" t="s">
        <v>278</v>
      </c>
      <c r="DW1376" s="4" t="s">
        <v>2713</v>
      </c>
      <c r="HO1376" s="4" t="s">
        <v>267</v>
      </c>
    </row>
    <row r="1377" spans="1:223" ht="19.5" customHeight="1" x14ac:dyDescent="0.4">
      <c r="A1377" s="4">
        <v>1</v>
      </c>
      <c r="B1377" s="4" t="s">
        <v>239</v>
      </c>
      <c r="C1377" s="4">
        <v>3051</v>
      </c>
      <c r="D1377" s="4">
        <v>1</v>
      </c>
      <c r="E1377" s="4">
        <v>1</v>
      </c>
      <c r="F1377" s="4" t="s">
        <v>268</v>
      </c>
      <c r="G1377" s="4" t="s">
        <v>241</v>
      </c>
      <c r="H1377" s="4" t="s">
        <v>241</v>
      </c>
      <c r="I1377" s="4" t="s">
        <v>272</v>
      </c>
      <c r="J1377" s="4" t="s">
        <v>274</v>
      </c>
      <c r="K1377" s="4" t="s">
        <v>251</v>
      </c>
      <c r="L1377" s="4" t="s">
        <v>269</v>
      </c>
      <c r="M1377" s="5" t="s">
        <v>1810</v>
      </c>
      <c r="N1377" s="6">
        <f>1617</f>
        <v>1617</v>
      </c>
      <c r="O1377" s="4" t="s">
        <v>265</v>
      </c>
      <c r="P1377" s="6">
        <f>1</f>
        <v>1</v>
      </c>
      <c r="Q1377" s="6">
        <f>0</f>
        <v>0</v>
      </c>
      <c r="S1377" s="6">
        <f>0</f>
        <v>0</v>
      </c>
      <c r="T1377" s="6">
        <f>1</f>
        <v>1</v>
      </c>
      <c r="U1377" s="5" t="s">
        <v>245</v>
      </c>
      <c r="V1377" s="4" t="s">
        <v>270</v>
      </c>
      <c r="W1377" s="4" t="s">
        <v>271</v>
      </c>
      <c r="X1377" s="4" t="s">
        <v>273</v>
      </c>
      <c r="Y1377" s="4" t="s">
        <v>241</v>
      </c>
      <c r="AB1377" s="4" t="s">
        <v>241</v>
      </c>
      <c r="AD1377" s="5" t="s">
        <v>241</v>
      </c>
      <c r="AG1377" s="5" t="s">
        <v>246</v>
      </c>
      <c r="AH1377" s="4" t="s">
        <v>241</v>
      </c>
      <c r="AI1377" s="4" t="s">
        <v>247</v>
      </c>
      <c r="AJ1377" s="4" t="s">
        <v>248</v>
      </c>
      <c r="AZ1377" s="4" t="s">
        <v>249</v>
      </c>
      <c r="BA1377" s="4" t="s">
        <v>241</v>
      </c>
      <c r="BB1377" s="4" t="s">
        <v>250</v>
      </c>
      <c r="BC1377" s="4" t="s">
        <v>241</v>
      </c>
      <c r="BD1377" s="4" t="s">
        <v>252</v>
      </c>
      <c r="BE1377" s="4" t="s">
        <v>241</v>
      </c>
      <c r="BI1377" s="4" t="s">
        <v>253</v>
      </c>
      <c r="BJ1377" s="5" t="s">
        <v>246</v>
      </c>
      <c r="BK1377" s="4" t="s">
        <v>254</v>
      </c>
      <c r="BL1377" s="4" t="s">
        <v>255</v>
      </c>
      <c r="BM1377" s="4" t="s">
        <v>241</v>
      </c>
      <c r="BN1377" s="6">
        <f>0</f>
        <v>0</v>
      </c>
      <c r="BO1377" s="6">
        <f>0</f>
        <v>0</v>
      </c>
      <c r="BP1377" s="4" t="s">
        <v>256</v>
      </c>
      <c r="BQ1377" s="4" t="s">
        <v>257</v>
      </c>
      <c r="CE1377" s="4" t="s">
        <v>241</v>
      </c>
      <c r="CF1377" s="4" t="s">
        <v>241</v>
      </c>
      <c r="CJ1377" s="4" t="s">
        <v>276</v>
      </c>
      <c r="CK1377" s="4" t="s">
        <v>259</v>
      </c>
      <c r="CL1377" s="4" t="s">
        <v>241</v>
      </c>
      <c r="CO1377" s="5" t="s">
        <v>260</v>
      </c>
      <c r="CP1377" s="4" t="s">
        <v>241</v>
      </c>
      <c r="CQ1377" s="4" t="s">
        <v>261</v>
      </c>
      <c r="CR1377" s="4" t="s">
        <v>241</v>
      </c>
      <c r="CS1377" s="4" t="s">
        <v>241</v>
      </c>
      <c r="CT1377" s="4">
        <v>0</v>
      </c>
      <c r="CU1377" s="4" t="s">
        <v>262</v>
      </c>
      <c r="CV1377" s="4" t="s">
        <v>263</v>
      </c>
      <c r="CW1377" s="4" t="s">
        <v>263</v>
      </c>
      <c r="CX1377" s="4" t="s">
        <v>264</v>
      </c>
      <c r="DA1377" s="6">
        <f>1</f>
        <v>1</v>
      </c>
      <c r="DC1377" s="4" t="s">
        <v>277</v>
      </c>
      <c r="DD1377" s="4" t="s">
        <v>241</v>
      </c>
      <c r="DF1377" s="4" t="s">
        <v>277</v>
      </c>
      <c r="DG1377" s="6">
        <f>1617</f>
        <v>1617</v>
      </c>
      <c r="DI1377" s="4" t="s">
        <v>241</v>
      </c>
      <c r="DJ1377" s="4" t="s">
        <v>241</v>
      </c>
      <c r="DK1377" s="4" t="s">
        <v>241</v>
      </c>
      <c r="DL1377" s="4" t="s">
        <v>241</v>
      </c>
      <c r="DP1377" s="4" t="s">
        <v>241</v>
      </c>
      <c r="DQ1377" s="4" t="s">
        <v>241</v>
      </c>
      <c r="DR1377" s="4" t="s">
        <v>241</v>
      </c>
      <c r="DS1377" s="4" t="s">
        <v>241</v>
      </c>
      <c r="DV1377" s="4" t="s">
        <v>278</v>
      </c>
      <c r="DW1377" s="4" t="s">
        <v>1811</v>
      </c>
      <c r="HO1377" s="4" t="s">
        <v>267</v>
      </c>
    </row>
    <row r="1378" spans="1:223" ht="19.5" customHeight="1" x14ac:dyDescent="0.4">
      <c r="A1378" s="4">
        <v>1</v>
      </c>
      <c r="B1378" s="4" t="s">
        <v>239</v>
      </c>
      <c r="C1378" s="4">
        <v>3052</v>
      </c>
      <c r="D1378" s="4">
        <v>1</v>
      </c>
      <c r="E1378" s="4">
        <v>1</v>
      </c>
      <c r="F1378" s="4" t="s">
        <v>268</v>
      </c>
      <c r="G1378" s="4" t="s">
        <v>241</v>
      </c>
      <c r="H1378" s="4" t="s">
        <v>241</v>
      </c>
      <c r="I1378" s="4" t="s">
        <v>272</v>
      </c>
      <c r="J1378" s="4" t="s">
        <v>274</v>
      </c>
      <c r="K1378" s="4" t="s">
        <v>251</v>
      </c>
      <c r="L1378" s="4" t="s">
        <v>269</v>
      </c>
      <c r="M1378" s="5" t="s">
        <v>1808</v>
      </c>
      <c r="N1378" s="6">
        <f>159</f>
        <v>159</v>
      </c>
      <c r="O1378" s="4" t="s">
        <v>265</v>
      </c>
      <c r="P1378" s="6">
        <f>1</f>
        <v>1</v>
      </c>
      <c r="Q1378" s="6">
        <f>0</f>
        <v>0</v>
      </c>
      <c r="S1378" s="6">
        <f>0</f>
        <v>0</v>
      </c>
      <c r="T1378" s="6">
        <f>1</f>
        <v>1</v>
      </c>
      <c r="U1378" s="5" t="s">
        <v>245</v>
      </c>
      <c r="V1378" s="4" t="s">
        <v>270</v>
      </c>
      <c r="W1378" s="4" t="s">
        <v>271</v>
      </c>
      <c r="X1378" s="4" t="s">
        <v>273</v>
      </c>
      <c r="Y1378" s="4" t="s">
        <v>241</v>
      </c>
      <c r="AB1378" s="4" t="s">
        <v>241</v>
      </c>
      <c r="AD1378" s="5" t="s">
        <v>241</v>
      </c>
      <c r="AG1378" s="5" t="s">
        <v>246</v>
      </c>
      <c r="AH1378" s="4" t="s">
        <v>241</v>
      </c>
      <c r="AI1378" s="4" t="s">
        <v>247</v>
      </c>
      <c r="AJ1378" s="4" t="s">
        <v>248</v>
      </c>
      <c r="AZ1378" s="4" t="s">
        <v>249</v>
      </c>
      <c r="BA1378" s="4" t="s">
        <v>241</v>
      </c>
      <c r="BB1378" s="4" t="s">
        <v>250</v>
      </c>
      <c r="BC1378" s="4" t="s">
        <v>241</v>
      </c>
      <c r="BD1378" s="4" t="s">
        <v>252</v>
      </c>
      <c r="BE1378" s="4" t="s">
        <v>241</v>
      </c>
      <c r="BI1378" s="4" t="s">
        <v>253</v>
      </c>
      <c r="BJ1378" s="5" t="s">
        <v>246</v>
      </c>
      <c r="BK1378" s="4" t="s">
        <v>254</v>
      </c>
      <c r="BL1378" s="4" t="s">
        <v>255</v>
      </c>
      <c r="BM1378" s="4" t="s">
        <v>241</v>
      </c>
      <c r="BN1378" s="6">
        <f>0</f>
        <v>0</v>
      </c>
      <c r="BO1378" s="6">
        <f>0</f>
        <v>0</v>
      </c>
      <c r="BP1378" s="4" t="s">
        <v>256</v>
      </c>
      <c r="BQ1378" s="4" t="s">
        <v>257</v>
      </c>
      <c r="CE1378" s="4" t="s">
        <v>241</v>
      </c>
      <c r="CF1378" s="4" t="s">
        <v>241</v>
      </c>
      <c r="CJ1378" s="4" t="s">
        <v>276</v>
      </c>
      <c r="CK1378" s="4" t="s">
        <v>259</v>
      </c>
      <c r="CL1378" s="4" t="s">
        <v>241</v>
      </c>
      <c r="CO1378" s="5" t="s">
        <v>260</v>
      </c>
      <c r="CP1378" s="4" t="s">
        <v>241</v>
      </c>
      <c r="CQ1378" s="4" t="s">
        <v>261</v>
      </c>
      <c r="CR1378" s="4" t="s">
        <v>241</v>
      </c>
      <c r="CS1378" s="4" t="s">
        <v>241</v>
      </c>
      <c r="CT1378" s="4">
        <v>0</v>
      </c>
      <c r="CU1378" s="4" t="s">
        <v>262</v>
      </c>
      <c r="CV1378" s="4" t="s">
        <v>263</v>
      </c>
      <c r="CW1378" s="4" t="s">
        <v>263</v>
      </c>
      <c r="CX1378" s="4" t="s">
        <v>264</v>
      </c>
      <c r="DA1378" s="6">
        <f>1</f>
        <v>1</v>
      </c>
      <c r="DC1378" s="4" t="s">
        <v>277</v>
      </c>
      <c r="DD1378" s="4" t="s">
        <v>241</v>
      </c>
      <c r="DF1378" s="4" t="s">
        <v>277</v>
      </c>
      <c r="DG1378" s="6">
        <f>159</f>
        <v>159</v>
      </c>
      <c r="DI1378" s="4" t="s">
        <v>241</v>
      </c>
      <c r="DJ1378" s="4" t="s">
        <v>241</v>
      </c>
      <c r="DK1378" s="4" t="s">
        <v>241</v>
      </c>
      <c r="DL1378" s="4" t="s">
        <v>241</v>
      </c>
      <c r="DP1378" s="4" t="s">
        <v>241</v>
      </c>
      <c r="DQ1378" s="4" t="s">
        <v>241</v>
      </c>
      <c r="DR1378" s="4" t="s">
        <v>241</v>
      </c>
      <c r="DS1378" s="4" t="s">
        <v>241</v>
      </c>
      <c r="DV1378" s="4" t="s">
        <v>278</v>
      </c>
      <c r="DW1378" s="4" t="s">
        <v>1809</v>
      </c>
      <c r="HO1378" s="4" t="s">
        <v>267</v>
      </c>
    </row>
    <row r="1379" spans="1:223" ht="19.5" customHeight="1" x14ac:dyDescent="0.4">
      <c r="A1379" s="4">
        <v>1</v>
      </c>
      <c r="B1379" s="4" t="s">
        <v>239</v>
      </c>
      <c r="C1379" s="4">
        <v>3053</v>
      </c>
      <c r="D1379" s="4">
        <v>1</v>
      </c>
      <c r="E1379" s="4">
        <v>1</v>
      </c>
      <c r="F1379" s="4" t="s">
        <v>268</v>
      </c>
      <c r="G1379" s="4" t="s">
        <v>241</v>
      </c>
      <c r="H1379" s="4" t="s">
        <v>241</v>
      </c>
      <c r="I1379" s="4" t="s">
        <v>272</v>
      </c>
      <c r="J1379" s="4" t="s">
        <v>274</v>
      </c>
      <c r="K1379" s="4" t="s">
        <v>251</v>
      </c>
      <c r="L1379" s="4" t="s">
        <v>269</v>
      </c>
      <c r="M1379" s="5" t="s">
        <v>2798</v>
      </c>
      <c r="N1379" s="6">
        <f>1559</f>
        <v>1559</v>
      </c>
      <c r="O1379" s="4" t="s">
        <v>265</v>
      </c>
      <c r="P1379" s="6">
        <f>1</f>
        <v>1</v>
      </c>
      <c r="Q1379" s="6">
        <f>0</f>
        <v>0</v>
      </c>
      <c r="S1379" s="6">
        <f>0</f>
        <v>0</v>
      </c>
      <c r="T1379" s="6">
        <f>1</f>
        <v>1</v>
      </c>
      <c r="U1379" s="5" t="s">
        <v>245</v>
      </c>
      <c r="V1379" s="4" t="s">
        <v>270</v>
      </c>
      <c r="W1379" s="4" t="s">
        <v>271</v>
      </c>
      <c r="X1379" s="4" t="s">
        <v>273</v>
      </c>
      <c r="Y1379" s="4" t="s">
        <v>241</v>
      </c>
      <c r="AB1379" s="4" t="s">
        <v>241</v>
      </c>
      <c r="AD1379" s="5" t="s">
        <v>241</v>
      </c>
      <c r="AG1379" s="5" t="s">
        <v>246</v>
      </c>
      <c r="AH1379" s="4" t="s">
        <v>241</v>
      </c>
      <c r="AI1379" s="4" t="s">
        <v>247</v>
      </c>
      <c r="AJ1379" s="4" t="s">
        <v>248</v>
      </c>
      <c r="AZ1379" s="4" t="s">
        <v>249</v>
      </c>
      <c r="BA1379" s="4" t="s">
        <v>241</v>
      </c>
      <c r="BB1379" s="4" t="s">
        <v>250</v>
      </c>
      <c r="BC1379" s="4" t="s">
        <v>241</v>
      </c>
      <c r="BD1379" s="4" t="s">
        <v>252</v>
      </c>
      <c r="BE1379" s="4" t="s">
        <v>241</v>
      </c>
      <c r="BI1379" s="4" t="s">
        <v>253</v>
      </c>
      <c r="BJ1379" s="5" t="s">
        <v>246</v>
      </c>
      <c r="BK1379" s="4" t="s">
        <v>254</v>
      </c>
      <c r="BL1379" s="4" t="s">
        <v>255</v>
      </c>
      <c r="BM1379" s="4" t="s">
        <v>241</v>
      </c>
      <c r="BN1379" s="6">
        <f>0</f>
        <v>0</v>
      </c>
      <c r="BO1379" s="6">
        <f>0</f>
        <v>0</v>
      </c>
      <c r="BP1379" s="4" t="s">
        <v>256</v>
      </c>
      <c r="BQ1379" s="4" t="s">
        <v>257</v>
      </c>
      <c r="CE1379" s="4" t="s">
        <v>241</v>
      </c>
      <c r="CF1379" s="4" t="s">
        <v>241</v>
      </c>
      <c r="CJ1379" s="4" t="s">
        <v>276</v>
      </c>
      <c r="CK1379" s="4" t="s">
        <v>259</v>
      </c>
      <c r="CL1379" s="4" t="s">
        <v>241</v>
      </c>
      <c r="CO1379" s="5" t="s">
        <v>260</v>
      </c>
      <c r="CP1379" s="4" t="s">
        <v>241</v>
      </c>
      <c r="CQ1379" s="4" t="s">
        <v>261</v>
      </c>
      <c r="CR1379" s="4" t="s">
        <v>241</v>
      </c>
      <c r="CS1379" s="4" t="s">
        <v>241</v>
      </c>
      <c r="CT1379" s="4">
        <v>0</v>
      </c>
      <c r="CU1379" s="4" t="s">
        <v>262</v>
      </c>
      <c r="CV1379" s="4" t="s">
        <v>263</v>
      </c>
      <c r="CW1379" s="4" t="s">
        <v>263</v>
      </c>
      <c r="CX1379" s="4" t="s">
        <v>264</v>
      </c>
      <c r="DA1379" s="6">
        <f>1</f>
        <v>1</v>
      </c>
      <c r="DC1379" s="4" t="s">
        <v>277</v>
      </c>
      <c r="DD1379" s="4" t="s">
        <v>241</v>
      </c>
      <c r="DF1379" s="4" t="s">
        <v>277</v>
      </c>
      <c r="DG1379" s="6">
        <f>1559</f>
        <v>1559</v>
      </c>
      <c r="DI1379" s="4" t="s">
        <v>241</v>
      </c>
      <c r="DJ1379" s="4" t="s">
        <v>241</v>
      </c>
      <c r="DK1379" s="4" t="s">
        <v>241</v>
      </c>
      <c r="DL1379" s="4" t="s">
        <v>241</v>
      </c>
      <c r="DP1379" s="4" t="s">
        <v>241</v>
      </c>
      <c r="DQ1379" s="4" t="s">
        <v>241</v>
      </c>
      <c r="DR1379" s="4" t="s">
        <v>241</v>
      </c>
      <c r="DS1379" s="4" t="s">
        <v>241</v>
      </c>
      <c r="DV1379" s="4" t="s">
        <v>278</v>
      </c>
      <c r="DW1379" s="4" t="s">
        <v>2799</v>
      </c>
      <c r="HO1379" s="4" t="s">
        <v>267</v>
      </c>
    </row>
    <row r="1380" spans="1:223" ht="19.5" customHeight="1" x14ac:dyDescent="0.4">
      <c r="A1380" s="4">
        <v>1</v>
      </c>
      <c r="B1380" s="4" t="s">
        <v>239</v>
      </c>
      <c r="C1380" s="4">
        <v>3054</v>
      </c>
      <c r="D1380" s="4">
        <v>1</v>
      </c>
      <c r="E1380" s="4">
        <v>1</v>
      </c>
      <c r="F1380" s="4" t="s">
        <v>268</v>
      </c>
      <c r="G1380" s="4" t="s">
        <v>241</v>
      </c>
      <c r="H1380" s="4" t="s">
        <v>241</v>
      </c>
      <c r="I1380" s="4" t="s">
        <v>272</v>
      </c>
      <c r="J1380" s="4" t="s">
        <v>274</v>
      </c>
      <c r="K1380" s="4" t="s">
        <v>251</v>
      </c>
      <c r="L1380" s="4" t="s">
        <v>269</v>
      </c>
      <c r="M1380" s="5" t="s">
        <v>2794</v>
      </c>
      <c r="N1380" s="6">
        <f>275</f>
        <v>275</v>
      </c>
      <c r="O1380" s="4" t="s">
        <v>265</v>
      </c>
      <c r="P1380" s="6">
        <f>1</f>
        <v>1</v>
      </c>
      <c r="Q1380" s="6">
        <f>0</f>
        <v>0</v>
      </c>
      <c r="S1380" s="6">
        <f>0</f>
        <v>0</v>
      </c>
      <c r="T1380" s="6">
        <f>1</f>
        <v>1</v>
      </c>
      <c r="U1380" s="5" t="s">
        <v>245</v>
      </c>
      <c r="V1380" s="4" t="s">
        <v>270</v>
      </c>
      <c r="W1380" s="4" t="s">
        <v>271</v>
      </c>
      <c r="X1380" s="4" t="s">
        <v>273</v>
      </c>
      <c r="Y1380" s="4" t="s">
        <v>241</v>
      </c>
      <c r="AB1380" s="4" t="s">
        <v>241</v>
      </c>
      <c r="AD1380" s="5" t="s">
        <v>241</v>
      </c>
      <c r="AG1380" s="5" t="s">
        <v>246</v>
      </c>
      <c r="AH1380" s="4" t="s">
        <v>241</v>
      </c>
      <c r="AI1380" s="4" t="s">
        <v>247</v>
      </c>
      <c r="AJ1380" s="4" t="s">
        <v>248</v>
      </c>
      <c r="AZ1380" s="4" t="s">
        <v>249</v>
      </c>
      <c r="BA1380" s="4" t="s">
        <v>241</v>
      </c>
      <c r="BB1380" s="4" t="s">
        <v>250</v>
      </c>
      <c r="BC1380" s="4" t="s">
        <v>241</v>
      </c>
      <c r="BD1380" s="4" t="s">
        <v>252</v>
      </c>
      <c r="BE1380" s="4" t="s">
        <v>241</v>
      </c>
      <c r="BI1380" s="4" t="s">
        <v>253</v>
      </c>
      <c r="BJ1380" s="5" t="s">
        <v>246</v>
      </c>
      <c r="BK1380" s="4" t="s">
        <v>254</v>
      </c>
      <c r="BL1380" s="4" t="s">
        <v>255</v>
      </c>
      <c r="BM1380" s="4" t="s">
        <v>241</v>
      </c>
      <c r="BN1380" s="6">
        <f>0</f>
        <v>0</v>
      </c>
      <c r="BO1380" s="6">
        <f>0</f>
        <v>0</v>
      </c>
      <c r="BP1380" s="4" t="s">
        <v>256</v>
      </c>
      <c r="BQ1380" s="4" t="s">
        <v>257</v>
      </c>
      <c r="CE1380" s="4" t="s">
        <v>241</v>
      </c>
      <c r="CF1380" s="4" t="s">
        <v>241</v>
      </c>
      <c r="CJ1380" s="4" t="s">
        <v>276</v>
      </c>
      <c r="CK1380" s="4" t="s">
        <v>259</v>
      </c>
      <c r="CL1380" s="4" t="s">
        <v>241</v>
      </c>
      <c r="CO1380" s="5" t="s">
        <v>260</v>
      </c>
      <c r="CP1380" s="4" t="s">
        <v>241</v>
      </c>
      <c r="CQ1380" s="4" t="s">
        <v>261</v>
      </c>
      <c r="CR1380" s="4" t="s">
        <v>241</v>
      </c>
      <c r="CS1380" s="4" t="s">
        <v>241</v>
      </c>
      <c r="CT1380" s="4">
        <v>0</v>
      </c>
      <c r="CU1380" s="4" t="s">
        <v>262</v>
      </c>
      <c r="CV1380" s="4" t="s">
        <v>263</v>
      </c>
      <c r="CW1380" s="4" t="s">
        <v>263</v>
      </c>
      <c r="CX1380" s="4" t="s">
        <v>264</v>
      </c>
      <c r="DA1380" s="6">
        <f>1</f>
        <v>1</v>
      </c>
      <c r="DC1380" s="4" t="s">
        <v>277</v>
      </c>
      <c r="DD1380" s="4" t="s">
        <v>241</v>
      </c>
      <c r="DF1380" s="4" t="s">
        <v>277</v>
      </c>
      <c r="DG1380" s="6">
        <f>275</f>
        <v>275</v>
      </c>
      <c r="DI1380" s="4" t="s">
        <v>241</v>
      </c>
      <c r="DJ1380" s="4" t="s">
        <v>241</v>
      </c>
      <c r="DK1380" s="4" t="s">
        <v>241</v>
      </c>
      <c r="DL1380" s="4" t="s">
        <v>241</v>
      </c>
      <c r="DP1380" s="4" t="s">
        <v>241</v>
      </c>
      <c r="DQ1380" s="4" t="s">
        <v>241</v>
      </c>
      <c r="DR1380" s="4" t="s">
        <v>241</v>
      </c>
      <c r="DS1380" s="4" t="s">
        <v>241</v>
      </c>
      <c r="DV1380" s="4" t="s">
        <v>278</v>
      </c>
      <c r="DW1380" s="4" t="s">
        <v>2795</v>
      </c>
      <c r="HO1380" s="4" t="s">
        <v>267</v>
      </c>
    </row>
    <row r="1381" spans="1:223" ht="19.5" customHeight="1" x14ac:dyDescent="0.4">
      <c r="A1381" s="4">
        <v>1</v>
      </c>
      <c r="B1381" s="4" t="s">
        <v>239</v>
      </c>
      <c r="C1381" s="4">
        <v>3055</v>
      </c>
      <c r="D1381" s="4">
        <v>1</v>
      </c>
      <c r="E1381" s="4">
        <v>1</v>
      </c>
      <c r="F1381" s="4" t="s">
        <v>268</v>
      </c>
      <c r="G1381" s="4" t="s">
        <v>241</v>
      </c>
      <c r="H1381" s="4" t="s">
        <v>241</v>
      </c>
      <c r="I1381" s="4" t="s">
        <v>272</v>
      </c>
      <c r="J1381" s="4" t="s">
        <v>274</v>
      </c>
      <c r="K1381" s="4" t="s">
        <v>251</v>
      </c>
      <c r="L1381" s="4" t="s">
        <v>269</v>
      </c>
      <c r="M1381" s="5" t="s">
        <v>2790</v>
      </c>
      <c r="N1381" s="6">
        <f>1382</f>
        <v>1382</v>
      </c>
      <c r="O1381" s="4" t="s">
        <v>265</v>
      </c>
      <c r="P1381" s="6">
        <f>1</f>
        <v>1</v>
      </c>
      <c r="Q1381" s="6">
        <f>0</f>
        <v>0</v>
      </c>
      <c r="S1381" s="6">
        <f>0</f>
        <v>0</v>
      </c>
      <c r="T1381" s="6">
        <f>1</f>
        <v>1</v>
      </c>
      <c r="U1381" s="5" t="s">
        <v>245</v>
      </c>
      <c r="V1381" s="4" t="s">
        <v>270</v>
      </c>
      <c r="W1381" s="4" t="s">
        <v>271</v>
      </c>
      <c r="X1381" s="4" t="s">
        <v>273</v>
      </c>
      <c r="Y1381" s="4" t="s">
        <v>241</v>
      </c>
      <c r="AB1381" s="4" t="s">
        <v>241</v>
      </c>
      <c r="AD1381" s="5" t="s">
        <v>241</v>
      </c>
      <c r="AG1381" s="5" t="s">
        <v>246</v>
      </c>
      <c r="AH1381" s="4" t="s">
        <v>241</v>
      </c>
      <c r="AI1381" s="4" t="s">
        <v>247</v>
      </c>
      <c r="AJ1381" s="4" t="s">
        <v>248</v>
      </c>
      <c r="AZ1381" s="4" t="s">
        <v>249</v>
      </c>
      <c r="BA1381" s="4" t="s">
        <v>241</v>
      </c>
      <c r="BB1381" s="4" t="s">
        <v>250</v>
      </c>
      <c r="BC1381" s="4" t="s">
        <v>241</v>
      </c>
      <c r="BD1381" s="4" t="s">
        <v>252</v>
      </c>
      <c r="BE1381" s="4" t="s">
        <v>241</v>
      </c>
      <c r="BI1381" s="4" t="s">
        <v>253</v>
      </c>
      <c r="BJ1381" s="5" t="s">
        <v>246</v>
      </c>
      <c r="BK1381" s="4" t="s">
        <v>254</v>
      </c>
      <c r="BL1381" s="4" t="s">
        <v>255</v>
      </c>
      <c r="BM1381" s="4" t="s">
        <v>241</v>
      </c>
      <c r="BN1381" s="6">
        <f>0</f>
        <v>0</v>
      </c>
      <c r="BO1381" s="6">
        <f>0</f>
        <v>0</v>
      </c>
      <c r="BP1381" s="4" t="s">
        <v>256</v>
      </c>
      <c r="BQ1381" s="4" t="s">
        <v>257</v>
      </c>
      <c r="CE1381" s="4" t="s">
        <v>241</v>
      </c>
      <c r="CF1381" s="4" t="s">
        <v>241</v>
      </c>
      <c r="CJ1381" s="4" t="s">
        <v>276</v>
      </c>
      <c r="CK1381" s="4" t="s">
        <v>259</v>
      </c>
      <c r="CL1381" s="4" t="s">
        <v>241</v>
      </c>
      <c r="CO1381" s="5" t="s">
        <v>260</v>
      </c>
      <c r="CP1381" s="4" t="s">
        <v>241</v>
      </c>
      <c r="CQ1381" s="4" t="s">
        <v>261</v>
      </c>
      <c r="CR1381" s="4" t="s">
        <v>241</v>
      </c>
      <c r="CS1381" s="4" t="s">
        <v>241</v>
      </c>
      <c r="CT1381" s="4">
        <v>0</v>
      </c>
      <c r="CU1381" s="4" t="s">
        <v>262</v>
      </c>
      <c r="CV1381" s="4" t="s">
        <v>263</v>
      </c>
      <c r="CW1381" s="4" t="s">
        <v>263</v>
      </c>
      <c r="CX1381" s="4" t="s">
        <v>264</v>
      </c>
      <c r="DA1381" s="6">
        <f>1</f>
        <v>1</v>
      </c>
      <c r="DC1381" s="4" t="s">
        <v>277</v>
      </c>
      <c r="DD1381" s="4" t="s">
        <v>241</v>
      </c>
      <c r="DF1381" s="4" t="s">
        <v>277</v>
      </c>
      <c r="DG1381" s="6">
        <f>1382</f>
        <v>1382</v>
      </c>
      <c r="DI1381" s="4" t="s">
        <v>241</v>
      </c>
      <c r="DJ1381" s="4" t="s">
        <v>241</v>
      </c>
      <c r="DK1381" s="4" t="s">
        <v>241</v>
      </c>
      <c r="DL1381" s="4" t="s">
        <v>241</v>
      </c>
      <c r="DP1381" s="4" t="s">
        <v>241</v>
      </c>
      <c r="DQ1381" s="4" t="s">
        <v>241</v>
      </c>
      <c r="DR1381" s="4" t="s">
        <v>241</v>
      </c>
      <c r="DS1381" s="4" t="s">
        <v>241</v>
      </c>
      <c r="DV1381" s="4" t="s">
        <v>278</v>
      </c>
      <c r="DW1381" s="4" t="s">
        <v>2791</v>
      </c>
      <c r="HO1381" s="4" t="s">
        <v>267</v>
      </c>
    </row>
    <row r="1382" spans="1:223" ht="19.5" customHeight="1" x14ac:dyDescent="0.4">
      <c r="A1382" s="4">
        <v>1</v>
      </c>
      <c r="B1382" s="4" t="s">
        <v>239</v>
      </c>
      <c r="C1382" s="4">
        <v>3056</v>
      </c>
      <c r="D1382" s="4">
        <v>1</v>
      </c>
      <c r="E1382" s="4">
        <v>1</v>
      </c>
      <c r="F1382" s="4" t="s">
        <v>268</v>
      </c>
      <c r="G1382" s="4" t="s">
        <v>241</v>
      </c>
      <c r="H1382" s="4" t="s">
        <v>241</v>
      </c>
      <c r="I1382" s="4" t="s">
        <v>272</v>
      </c>
      <c r="J1382" s="4" t="s">
        <v>274</v>
      </c>
      <c r="K1382" s="4" t="s">
        <v>251</v>
      </c>
      <c r="L1382" s="4" t="s">
        <v>269</v>
      </c>
      <c r="M1382" s="5" t="s">
        <v>2788</v>
      </c>
      <c r="N1382" s="6">
        <f>848</f>
        <v>848</v>
      </c>
      <c r="O1382" s="4" t="s">
        <v>265</v>
      </c>
      <c r="P1382" s="6">
        <f>1</f>
        <v>1</v>
      </c>
      <c r="Q1382" s="6">
        <f>0</f>
        <v>0</v>
      </c>
      <c r="S1382" s="6">
        <f>0</f>
        <v>0</v>
      </c>
      <c r="T1382" s="6">
        <f>1</f>
        <v>1</v>
      </c>
      <c r="U1382" s="5" t="s">
        <v>245</v>
      </c>
      <c r="V1382" s="4" t="s">
        <v>270</v>
      </c>
      <c r="W1382" s="4" t="s">
        <v>271</v>
      </c>
      <c r="X1382" s="4" t="s">
        <v>273</v>
      </c>
      <c r="Y1382" s="4" t="s">
        <v>241</v>
      </c>
      <c r="AB1382" s="4" t="s">
        <v>241</v>
      </c>
      <c r="AD1382" s="5" t="s">
        <v>241</v>
      </c>
      <c r="AG1382" s="5" t="s">
        <v>246</v>
      </c>
      <c r="AH1382" s="4" t="s">
        <v>241</v>
      </c>
      <c r="AI1382" s="4" t="s">
        <v>247</v>
      </c>
      <c r="AJ1382" s="4" t="s">
        <v>248</v>
      </c>
      <c r="AZ1382" s="4" t="s">
        <v>249</v>
      </c>
      <c r="BA1382" s="4" t="s">
        <v>241</v>
      </c>
      <c r="BB1382" s="4" t="s">
        <v>250</v>
      </c>
      <c r="BC1382" s="4" t="s">
        <v>241</v>
      </c>
      <c r="BD1382" s="4" t="s">
        <v>252</v>
      </c>
      <c r="BE1382" s="4" t="s">
        <v>241</v>
      </c>
      <c r="BI1382" s="4" t="s">
        <v>253</v>
      </c>
      <c r="BJ1382" s="5" t="s">
        <v>246</v>
      </c>
      <c r="BK1382" s="4" t="s">
        <v>254</v>
      </c>
      <c r="BL1382" s="4" t="s">
        <v>255</v>
      </c>
      <c r="BM1382" s="4" t="s">
        <v>241</v>
      </c>
      <c r="BN1382" s="6">
        <f>0</f>
        <v>0</v>
      </c>
      <c r="BO1382" s="6">
        <f>0</f>
        <v>0</v>
      </c>
      <c r="BP1382" s="4" t="s">
        <v>256</v>
      </c>
      <c r="BQ1382" s="4" t="s">
        <v>257</v>
      </c>
      <c r="CE1382" s="4" t="s">
        <v>241</v>
      </c>
      <c r="CF1382" s="4" t="s">
        <v>241</v>
      </c>
      <c r="CJ1382" s="4" t="s">
        <v>276</v>
      </c>
      <c r="CK1382" s="4" t="s">
        <v>259</v>
      </c>
      <c r="CL1382" s="4" t="s">
        <v>241</v>
      </c>
      <c r="CO1382" s="5" t="s">
        <v>260</v>
      </c>
      <c r="CP1382" s="4" t="s">
        <v>241</v>
      </c>
      <c r="CQ1382" s="4" t="s">
        <v>261</v>
      </c>
      <c r="CR1382" s="4" t="s">
        <v>241</v>
      </c>
      <c r="CS1382" s="4" t="s">
        <v>241</v>
      </c>
      <c r="CT1382" s="4">
        <v>0</v>
      </c>
      <c r="CU1382" s="4" t="s">
        <v>262</v>
      </c>
      <c r="CV1382" s="4" t="s">
        <v>263</v>
      </c>
      <c r="CW1382" s="4" t="s">
        <v>263</v>
      </c>
      <c r="CX1382" s="4" t="s">
        <v>264</v>
      </c>
      <c r="DA1382" s="6">
        <f>1</f>
        <v>1</v>
      </c>
      <c r="DC1382" s="4" t="s">
        <v>277</v>
      </c>
      <c r="DD1382" s="4" t="s">
        <v>241</v>
      </c>
      <c r="DF1382" s="4" t="s">
        <v>277</v>
      </c>
      <c r="DG1382" s="6">
        <f>848</f>
        <v>848</v>
      </c>
      <c r="DI1382" s="4" t="s">
        <v>241</v>
      </c>
      <c r="DJ1382" s="4" t="s">
        <v>241</v>
      </c>
      <c r="DK1382" s="4" t="s">
        <v>241</v>
      </c>
      <c r="DL1382" s="4" t="s">
        <v>241</v>
      </c>
      <c r="DP1382" s="4" t="s">
        <v>241</v>
      </c>
      <c r="DQ1382" s="4" t="s">
        <v>241</v>
      </c>
      <c r="DR1382" s="4" t="s">
        <v>241</v>
      </c>
      <c r="DS1382" s="4" t="s">
        <v>241</v>
      </c>
      <c r="DV1382" s="4" t="s">
        <v>278</v>
      </c>
      <c r="DW1382" s="4" t="s">
        <v>2789</v>
      </c>
      <c r="HO1382" s="4" t="s">
        <v>267</v>
      </c>
    </row>
    <row r="1383" spans="1:223" ht="19.5" customHeight="1" x14ac:dyDescent="0.4">
      <c r="A1383" s="4">
        <v>1</v>
      </c>
      <c r="B1383" s="4" t="s">
        <v>239</v>
      </c>
      <c r="C1383" s="4">
        <v>3057</v>
      </c>
      <c r="D1383" s="4">
        <v>1</v>
      </c>
      <c r="E1383" s="4">
        <v>1</v>
      </c>
      <c r="F1383" s="4" t="s">
        <v>268</v>
      </c>
      <c r="G1383" s="4" t="s">
        <v>241</v>
      </c>
      <c r="H1383" s="4" t="s">
        <v>241</v>
      </c>
      <c r="I1383" s="4" t="s">
        <v>272</v>
      </c>
      <c r="J1383" s="4" t="s">
        <v>274</v>
      </c>
      <c r="K1383" s="4" t="s">
        <v>251</v>
      </c>
      <c r="L1383" s="4" t="s">
        <v>269</v>
      </c>
      <c r="M1383" s="5" t="s">
        <v>2786</v>
      </c>
      <c r="N1383" s="6">
        <f>2586</f>
        <v>2586</v>
      </c>
      <c r="O1383" s="4" t="s">
        <v>265</v>
      </c>
      <c r="P1383" s="6">
        <f>1</f>
        <v>1</v>
      </c>
      <c r="Q1383" s="6">
        <f>0</f>
        <v>0</v>
      </c>
      <c r="S1383" s="6">
        <f>0</f>
        <v>0</v>
      </c>
      <c r="T1383" s="6">
        <f>1</f>
        <v>1</v>
      </c>
      <c r="U1383" s="5" t="s">
        <v>245</v>
      </c>
      <c r="V1383" s="4" t="s">
        <v>270</v>
      </c>
      <c r="W1383" s="4" t="s">
        <v>271</v>
      </c>
      <c r="X1383" s="4" t="s">
        <v>273</v>
      </c>
      <c r="Y1383" s="4" t="s">
        <v>241</v>
      </c>
      <c r="AB1383" s="4" t="s">
        <v>241</v>
      </c>
      <c r="AD1383" s="5" t="s">
        <v>241</v>
      </c>
      <c r="AG1383" s="5" t="s">
        <v>246</v>
      </c>
      <c r="AH1383" s="4" t="s">
        <v>241</v>
      </c>
      <c r="AI1383" s="4" t="s">
        <v>247</v>
      </c>
      <c r="AJ1383" s="4" t="s">
        <v>248</v>
      </c>
      <c r="AZ1383" s="4" t="s">
        <v>249</v>
      </c>
      <c r="BA1383" s="4" t="s">
        <v>241</v>
      </c>
      <c r="BB1383" s="4" t="s">
        <v>250</v>
      </c>
      <c r="BC1383" s="4" t="s">
        <v>241</v>
      </c>
      <c r="BD1383" s="4" t="s">
        <v>252</v>
      </c>
      <c r="BE1383" s="4" t="s">
        <v>241</v>
      </c>
      <c r="BI1383" s="4" t="s">
        <v>253</v>
      </c>
      <c r="BJ1383" s="5" t="s">
        <v>246</v>
      </c>
      <c r="BK1383" s="4" t="s">
        <v>254</v>
      </c>
      <c r="BL1383" s="4" t="s">
        <v>255</v>
      </c>
      <c r="BM1383" s="4" t="s">
        <v>241</v>
      </c>
      <c r="BN1383" s="6">
        <f>0</f>
        <v>0</v>
      </c>
      <c r="BO1383" s="6">
        <f>0</f>
        <v>0</v>
      </c>
      <c r="BP1383" s="4" t="s">
        <v>256</v>
      </c>
      <c r="BQ1383" s="4" t="s">
        <v>257</v>
      </c>
      <c r="CE1383" s="4" t="s">
        <v>241</v>
      </c>
      <c r="CF1383" s="4" t="s">
        <v>241</v>
      </c>
      <c r="CJ1383" s="4" t="s">
        <v>276</v>
      </c>
      <c r="CK1383" s="4" t="s">
        <v>259</v>
      </c>
      <c r="CL1383" s="4" t="s">
        <v>241</v>
      </c>
      <c r="CO1383" s="5" t="s">
        <v>260</v>
      </c>
      <c r="CP1383" s="4" t="s">
        <v>241</v>
      </c>
      <c r="CQ1383" s="4" t="s">
        <v>261</v>
      </c>
      <c r="CR1383" s="4" t="s">
        <v>241</v>
      </c>
      <c r="CS1383" s="4" t="s">
        <v>241</v>
      </c>
      <c r="CT1383" s="4">
        <v>0</v>
      </c>
      <c r="CU1383" s="4" t="s">
        <v>262</v>
      </c>
      <c r="CV1383" s="4" t="s">
        <v>263</v>
      </c>
      <c r="CW1383" s="4" t="s">
        <v>263</v>
      </c>
      <c r="CX1383" s="4" t="s">
        <v>264</v>
      </c>
      <c r="DA1383" s="6">
        <f>1</f>
        <v>1</v>
      </c>
      <c r="DC1383" s="4" t="s">
        <v>277</v>
      </c>
      <c r="DD1383" s="4" t="s">
        <v>241</v>
      </c>
      <c r="DF1383" s="4" t="s">
        <v>277</v>
      </c>
      <c r="DG1383" s="6">
        <f>2586</f>
        <v>2586</v>
      </c>
      <c r="DI1383" s="4" t="s">
        <v>241</v>
      </c>
      <c r="DJ1383" s="4" t="s">
        <v>241</v>
      </c>
      <c r="DK1383" s="4" t="s">
        <v>241</v>
      </c>
      <c r="DL1383" s="4" t="s">
        <v>241</v>
      </c>
      <c r="DP1383" s="4" t="s">
        <v>241</v>
      </c>
      <c r="DQ1383" s="4" t="s">
        <v>241</v>
      </c>
      <c r="DR1383" s="4" t="s">
        <v>241</v>
      </c>
      <c r="DS1383" s="4" t="s">
        <v>241</v>
      </c>
      <c r="DV1383" s="4" t="s">
        <v>278</v>
      </c>
      <c r="DW1383" s="4" t="s">
        <v>2787</v>
      </c>
      <c r="HO1383" s="4" t="s">
        <v>267</v>
      </c>
    </row>
    <row r="1384" spans="1:223" ht="19.5" customHeight="1" x14ac:dyDescent="0.4">
      <c r="A1384" s="4">
        <v>1</v>
      </c>
      <c r="B1384" s="4" t="s">
        <v>239</v>
      </c>
      <c r="C1384" s="4">
        <v>3058</v>
      </c>
      <c r="D1384" s="4">
        <v>1</v>
      </c>
      <c r="E1384" s="4">
        <v>1</v>
      </c>
      <c r="F1384" s="4" t="s">
        <v>268</v>
      </c>
      <c r="G1384" s="4" t="s">
        <v>241</v>
      </c>
      <c r="H1384" s="4" t="s">
        <v>241</v>
      </c>
      <c r="I1384" s="4" t="s">
        <v>272</v>
      </c>
      <c r="J1384" s="4" t="s">
        <v>274</v>
      </c>
      <c r="K1384" s="4" t="s">
        <v>251</v>
      </c>
      <c r="L1384" s="4" t="s">
        <v>269</v>
      </c>
      <c r="M1384" s="5" t="s">
        <v>2784</v>
      </c>
      <c r="N1384" s="6">
        <f>643</f>
        <v>643</v>
      </c>
      <c r="O1384" s="4" t="s">
        <v>265</v>
      </c>
      <c r="P1384" s="6">
        <f>1</f>
        <v>1</v>
      </c>
      <c r="Q1384" s="6">
        <f>0</f>
        <v>0</v>
      </c>
      <c r="S1384" s="6">
        <f>0</f>
        <v>0</v>
      </c>
      <c r="T1384" s="6">
        <f>1</f>
        <v>1</v>
      </c>
      <c r="U1384" s="5" t="s">
        <v>245</v>
      </c>
      <c r="V1384" s="4" t="s">
        <v>270</v>
      </c>
      <c r="W1384" s="4" t="s">
        <v>271</v>
      </c>
      <c r="X1384" s="4" t="s">
        <v>273</v>
      </c>
      <c r="Y1384" s="4" t="s">
        <v>241</v>
      </c>
      <c r="AB1384" s="4" t="s">
        <v>241</v>
      </c>
      <c r="AD1384" s="5" t="s">
        <v>241</v>
      </c>
      <c r="AG1384" s="5" t="s">
        <v>246</v>
      </c>
      <c r="AH1384" s="4" t="s">
        <v>241</v>
      </c>
      <c r="AI1384" s="4" t="s">
        <v>247</v>
      </c>
      <c r="AJ1384" s="4" t="s">
        <v>248</v>
      </c>
      <c r="AZ1384" s="4" t="s">
        <v>249</v>
      </c>
      <c r="BA1384" s="4" t="s">
        <v>241</v>
      </c>
      <c r="BB1384" s="4" t="s">
        <v>250</v>
      </c>
      <c r="BC1384" s="4" t="s">
        <v>241</v>
      </c>
      <c r="BD1384" s="4" t="s">
        <v>252</v>
      </c>
      <c r="BE1384" s="4" t="s">
        <v>241</v>
      </c>
      <c r="BI1384" s="4" t="s">
        <v>253</v>
      </c>
      <c r="BJ1384" s="5" t="s">
        <v>246</v>
      </c>
      <c r="BK1384" s="4" t="s">
        <v>254</v>
      </c>
      <c r="BL1384" s="4" t="s">
        <v>255</v>
      </c>
      <c r="BM1384" s="4" t="s">
        <v>241</v>
      </c>
      <c r="BN1384" s="6">
        <f>0</f>
        <v>0</v>
      </c>
      <c r="BO1384" s="6">
        <f>0</f>
        <v>0</v>
      </c>
      <c r="BP1384" s="4" t="s">
        <v>256</v>
      </c>
      <c r="BQ1384" s="4" t="s">
        <v>257</v>
      </c>
      <c r="CE1384" s="4" t="s">
        <v>241</v>
      </c>
      <c r="CF1384" s="4" t="s">
        <v>241</v>
      </c>
      <c r="CJ1384" s="4" t="s">
        <v>276</v>
      </c>
      <c r="CK1384" s="4" t="s">
        <v>259</v>
      </c>
      <c r="CL1384" s="4" t="s">
        <v>241</v>
      </c>
      <c r="CO1384" s="5" t="s">
        <v>260</v>
      </c>
      <c r="CP1384" s="4" t="s">
        <v>241</v>
      </c>
      <c r="CQ1384" s="4" t="s">
        <v>261</v>
      </c>
      <c r="CR1384" s="4" t="s">
        <v>241</v>
      </c>
      <c r="CS1384" s="4" t="s">
        <v>241</v>
      </c>
      <c r="CT1384" s="4">
        <v>0</v>
      </c>
      <c r="CU1384" s="4" t="s">
        <v>262</v>
      </c>
      <c r="CV1384" s="4" t="s">
        <v>263</v>
      </c>
      <c r="CW1384" s="4" t="s">
        <v>263</v>
      </c>
      <c r="CX1384" s="4" t="s">
        <v>264</v>
      </c>
      <c r="DA1384" s="6">
        <f>1</f>
        <v>1</v>
      </c>
      <c r="DC1384" s="4" t="s">
        <v>277</v>
      </c>
      <c r="DD1384" s="4" t="s">
        <v>241</v>
      </c>
      <c r="DF1384" s="4" t="s">
        <v>277</v>
      </c>
      <c r="DG1384" s="6">
        <f>643</f>
        <v>643</v>
      </c>
      <c r="DI1384" s="4" t="s">
        <v>241</v>
      </c>
      <c r="DJ1384" s="4" t="s">
        <v>241</v>
      </c>
      <c r="DK1384" s="4" t="s">
        <v>241</v>
      </c>
      <c r="DL1384" s="4" t="s">
        <v>241</v>
      </c>
      <c r="DP1384" s="4" t="s">
        <v>241</v>
      </c>
      <c r="DQ1384" s="4" t="s">
        <v>241</v>
      </c>
      <c r="DR1384" s="4" t="s">
        <v>241</v>
      </c>
      <c r="DS1384" s="4" t="s">
        <v>241</v>
      </c>
      <c r="DV1384" s="4" t="s">
        <v>278</v>
      </c>
      <c r="DW1384" s="4" t="s">
        <v>2785</v>
      </c>
      <c r="HO1384" s="4" t="s">
        <v>267</v>
      </c>
    </row>
    <row r="1385" spans="1:223" ht="19.5" customHeight="1" x14ac:dyDescent="0.4">
      <c r="A1385" s="4">
        <v>1</v>
      </c>
      <c r="B1385" s="4" t="s">
        <v>239</v>
      </c>
      <c r="C1385" s="4">
        <v>3059</v>
      </c>
      <c r="D1385" s="4">
        <v>1</v>
      </c>
      <c r="E1385" s="4">
        <v>1</v>
      </c>
      <c r="F1385" s="4" t="s">
        <v>268</v>
      </c>
      <c r="G1385" s="4" t="s">
        <v>241</v>
      </c>
      <c r="H1385" s="4" t="s">
        <v>241</v>
      </c>
      <c r="I1385" s="4" t="s">
        <v>272</v>
      </c>
      <c r="J1385" s="4" t="s">
        <v>274</v>
      </c>
      <c r="K1385" s="4" t="s">
        <v>251</v>
      </c>
      <c r="L1385" s="4" t="s">
        <v>269</v>
      </c>
      <c r="M1385" s="5" t="s">
        <v>2782</v>
      </c>
      <c r="N1385" s="6">
        <f>1394</f>
        <v>1394</v>
      </c>
      <c r="O1385" s="4" t="s">
        <v>265</v>
      </c>
      <c r="P1385" s="6">
        <f>1</f>
        <v>1</v>
      </c>
      <c r="Q1385" s="6">
        <f>0</f>
        <v>0</v>
      </c>
      <c r="S1385" s="6">
        <f>0</f>
        <v>0</v>
      </c>
      <c r="T1385" s="6">
        <f>1</f>
        <v>1</v>
      </c>
      <c r="U1385" s="5" t="s">
        <v>245</v>
      </c>
      <c r="V1385" s="4" t="s">
        <v>270</v>
      </c>
      <c r="W1385" s="4" t="s">
        <v>271</v>
      </c>
      <c r="X1385" s="4" t="s">
        <v>273</v>
      </c>
      <c r="Y1385" s="4" t="s">
        <v>241</v>
      </c>
      <c r="AB1385" s="4" t="s">
        <v>241</v>
      </c>
      <c r="AD1385" s="5" t="s">
        <v>241</v>
      </c>
      <c r="AG1385" s="5" t="s">
        <v>246</v>
      </c>
      <c r="AH1385" s="4" t="s">
        <v>241</v>
      </c>
      <c r="AI1385" s="4" t="s">
        <v>247</v>
      </c>
      <c r="AJ1385" s="4" t="s">
        <v>248</v>
      </c>
      <c r="AZ1385" s="4" t="s">
        <v>249</v>
      </c>
      <c r="BA1385" s="4" t="s">
        <v>241</v>
      </c>
      <c r="BB1385" s="4" t="s">
        <v>250</v>
      </c>
      <c r="BC1385" s="4" t="s">
        <v>241</v>
      </c>
      <c r="BD1385" s="4" t="s">
        <v>252</v>
      </c>
      <c r="BE1385" s="4" t="s">
        <v>241</v>
      </c>
      <c r="BI1385" s="4" t="s">
        <v>253</v>
      </c>
      <c r="BJ1385" s="5" t="s">
        <v>246</v>
      </c>
      <c r="BK1385" s="4" t="s">
        <v>254</v>
      </c>
      <c r="BL1385" s="4" t="s">
        <v>255</v>
      </c>
      <c r="BM1385" s="4" t="s">
        <v>241</v>
      </c>
      <c r="BN1385" s="6">
        <f>0</f>
        <v>0</v>
      </c>
      <c r="BO1385" s="6">
        <f>0</f>
        <v>0</v>
      </c>
      <c r="BP1385" s="4" t="s">
        <v>256</v>
      </c>
      <c r="BQ1385" s="4" t="s">
        <v>257</v>
      </c>
      <c r="CE1385" s="4" t="s">
        <v>241</v>
      </c>
      <c r="CF1385" s="4" t="s">
        <v>241</v>
      </c>
      <c r="CJ1385" s="4" t="s">
        <v>276</v>
      </c>
      <c r="CK1385" s="4" t="s">
        <v>259</v>
      </c>
      <c r="CL1385" s="4" t="s">
        <v>241</v>
      </c>
      <c r="CO1385" s="5" t="s">
        <v>260</v>
      </c>
      <c r="CP1385" s="4" t="s">
        <v>241</v>
      </c>
      <c r="CQ1385" s="4" t="s">
        <v>261</v>
      </c>
      <c r="CR1385" s="4" t="s">
        <v>241</v>
      </c>
      <c r="CS1385" s="4" t="s">
        <v>241</v>
      </c>
      <c r="CT1385" s="4">
        <v>0</v>
      </c>
      <c r="CU1385" s="4" t="s">
        <v>262</v>
      </c>
      <c r="CV1385" s="4" t="s">
        <v>263</v>
      </c>
      <c r="CW1385" s="4" t="s">
        <v>263</v>
      </c>
      <c r="CX1385" s="4" t="s">
        <v>264</v>
      </c>
      <c r="DA1385" s="6">
        <f>1</f>
        <v>1</v>
      </c>
      <c r="DC1385" s="4" t="s">
        <v>277</v>
      </c>
      <c r="DD1385" s="4" t="s">
        <v>241</v>
      </c>
      <c r="DF1385" s="4" t="s">
        <v>277</v>
      </c>
      <c r="DG1385" s="6">
        <f>1394</f>
        <v>1394</v>
      </c>
      <c r="DI1385" s="4" t="s">
        <v>241</v>
      </c>
      <c r="DJ1385" s="4" t="s">
        <v>241</v>
      </c>
      <c r="DK1385" s="4" t="s">
        <v>241</v>
      </c>
      <c r="DL1385" s="4" t="s">
        <v>241</v>
      </c>
      <c r="DP1385" s="4" t="s">
        <v>241</v>
      </c>
      <c r="DQ1385" s="4" t="s">
        <v>241</v>
      </c>
      <c r="DR1385" s="4" t="s">
        <v>241</v>
      </c>
      <c r="DS1385" s="4" t="s">
        <v>241</v>
      </c>
      <c r="DV1385" s="4" t="s">
        <v>278</v>
      </c>
      <c r="DW1385" s="4" t="s">
        <v>2783</v>
      </c>
      <c r="HO1385" s="4" t="s">
        <v>267</v>
      </c>
    </row>
    <row r="1386" spans="1:223" ht="19.5" customHeight="1" x14ac:dyDescent="0.4">
      <c r="A1386" s="4">
        <v>1</v>
      </c>
      <c r="B1386" s="4" t="s">
        <v>239</v>
      </c>
      <c r="C1386" s="4">
        <v>3060</v>
      </c>
      <c r="D1386" s="4">
        <v>1</v>
      </c>
      <c r="E1386" s="4">
        <v>1</v>
      </c>
      <c r="F1386" s="4" t="s">
        <v>268</v>
      </c>
      <c r="G1386" s="4" t="s">
        <v>241</v>
      </c>
      <c r="H1386" s="4" t="s">
        <v>241</v>
      </c>
      <c r="I1386" s="4" t="s">
        <v>272</v>
      </c>
      <c r="J1386" s="4" t="s">
        <v>274</v>
      </c>
      <c r="K1386" s="4" t="s">
        <v>251</v>
      </c>
      <c r="L1386" s="4" t="s">
        <v>269</v>
      </c>
      <c r="M1386" s="5" t="s">
        <v>2780</v>
      </c>
      <c r="N1386" s="6">
        <f>558</f>
        <v>558</v>
      </c>
      <c r="O1386" s="4" t="s">
        <v>265</v>
      </c>
      <c r="P1386" s="6">
        <f>1</f>
        <v>1</v>
      </c>
      <c r="Q1386" s="6">
        <f>0</f>
        <v>0</v>
      </c>
      <c r="S1386" s="6">
        <f>0</f>
        <v>0</v>
      </c>
      <c r="T1386" s="6">
        <f>1</f>
        <v>1</v>
      </c>
      <c r="U1386" s="5" t="s">
        <v>245</v>
      </c>
      <c r="V1386" s="4" t="s">
        <v>270</v>
      </c>
      <c r="W1386" s="4" t="s">
        <v>271</v>
      </c>
      <c r="X1386" s="4" t="s">
        <v>273</v>
      </c>
      <c r="Y1386" s="4" t="s">
        <v>241</v>
      </c>
      <c r="AB1386" s="4" t="s">
        <v>241</v>
      </c>
      <c r="AD1386" s="5" t="s">
        <v>241</v>
      </c>
      <c r="AG1386" s="5" t="s">
        <v>246</v>
      </c>
      <c r="AH1386" s="4" t="s">
        <v>241</v>
      </c>
      <c r="AI1386" s="4" t="s">
        <v>247</v>
      </c>
      <c r="AJ1386" s="4" t="s">
        <v>248</v>
      </c>
      <c r="AZ1386" s="4" t="s">
        <v>249</v>
      </c>
      <c r="BA1386" s="4" t="s">
        <v>241</v>
      </c>
      <c r="BB1386" s="4" t="s">
        <v>250</v>
      </c>
      <c r="BC1386" s="4" t="s">
        <v>241</v>
      </c>
      <c r="BD1386" s="4" t="s">
        <v>252</v>
      </c>
      <c r="BE1386" s="4" t="s">
        <v>241</v>
      </c>
      <c r="BI1386" s="4" t="s">
        <v>253</v>
      </c>
      <c r="BJ1386" s="5" t="s">
        <v>246</v>
      </c>
      <c r="BK1386" s="4" t="s">
        <v>254</v>
      </c>
      <c r="BL1386" s="4" t="s">
        <v>255</v>
      </c>
      <c r="BM1386" s="4" t="s">
        <v>241</v>
      </c>
      <c r="BN1386" s="6">
        <f>0</f>
        <v>0</v>
      </c>
      <c r="BO1386" s="6">
        <f>0</f>
        <v>0</v>
      </c>
      <c r="BP1386" s="4" t="s">
        <v>256</v>
      </c>
      <c r="BQ1386" s="4" t="s">
        <v>257</v>
      </c>
      <c r="CE1386" s="4" t="s">
        <v>241</v>
      </c>
      <c r="CF1386" s="4" t="s">
        <v>241</v>
      </c>
      <c r="CJ1386" s="4" t="s">
        <v>276</v>
      </c>
      <c r="CK1386" s="4" t="s">
        <v>259</v>
      </c>
      <c r="CL1386" s="4" t="s">
        <v>241</v>
      </c>
      <c r="CO1386" s="5" t="s">
        <v>260</v>
      </c>
      <c r="CP1386" s="4" t="s">
        <v>241</v>
      </c>
      <c r="CQ1386" s="4" t="s">
        <v>261</v>
      </c>
      <c r="CR1386" s="4" t="s">
        <v>241</v>
      </c>
      <c r="CS1386" s="4" t="s">
        <v>241</v>
      </c>
      <c r="CT1386" s="4">
        <v>0</v>
      </c>
      <c r="CU1386" s="4" t="s">
        <v>262</v>
      </c>
      <c r="CV1386" s="4" t="s">
        <v>263</v>
      </c>
      <c r="CW1386" s="4" t="s">
        <v>263</v>
      </c>
      <c r="CX1386" s="4" t="s">
        <v>264</v>
      </c>
      <c r="DA1386" s="6">
        <f>1</f>
        <v>1</v>
      </c>
      <c r="DC1386" s="4" t="s">
        <v>277</v>
      </c>
      <c r="DD1386" s="4" t="s">
        <v>241</v>
      </c>
      <c r="DF1386" s="4" t="s">
        <v>277</v>
      </c>
      <c r="DG1386" s="6">
        <f>558</f>
        <v>558</v>
      </c>
      <c r="DI1386" s="4" t="s">
        <v>241</v>
      </c>
      <c r="DJ1386" s="4" t="s">
        <v>241</v>
      </c>
      <c r="DK1386" s="4" t="s">
        <v>241</v>
      </c>
      <c r="DL1386" s="4" t="s">
        <v>241</v>
      </c>
      <c r="DP1386" s="4" t="s">
        <v>241</v>
      </c>
      <c r="DQ1386" s="4" t="s">
        <v>241</v>
      </c>
      <c r="DR1386" s="4" t="s">
        <v>241</v>
      </c>
      <c r="DS1386" s="4" t="s">
        <v>241</v>
      </c>
      <c r="DV1386" s="4" t="s">
        <v>278</v>
      </c>
      <c r="DW1386" s="4" t="s">
        <v>2781</v>
      </c>
      <c r="HO1386" s="4" t="s">
        <v>267</v>
      </c>
    </row>
    <row r="1387" spans="1:223" ht="19.5" customHeight="1" x14ac:dyDescent="0.4">
      <c r="A1387" s="4">
        <v>1</v>
      </c>
      <c r="B1387" s="4" t="s">
        <v>239</v>
      </c>
      <c r="C1387" s="4">
        <v>3061</v>
      </c>
      <c r="D1387" s="4">
        <v>1</v>
      </c>
      <c r="E1387" s="4">
        <v>1</v>
      </c>
      <c r="F1387" s="4" t="s">
        <v>268</v>
      </c>
      <c r="G1387" s="4" t="s">
        <v>241</v>
      </c>
      <c r="H1387" s="4" t="s">
        <v>241</v>
      </c>
      <c r="I1387" s="4" t="s">
        <v>272</v>
      </c>
      <c r="J1387" s="4" t="s">
        <v>274</v>
      </c>
      <c r="K1387" s="4" t="s">
        <v>251</v>
      </c>
      <c r="L1387" s="4" t="s">
        <v>269</v>
      </c>
      <c r="M1387" s="5" t="s">
        <v>2778</v>
      </c>
      <c r="N1387" s="6">
        <f>1456</f>
        <v>1456</v>
      </c>
      <c r="O1387" s="4" t="s">
        <v>265</v>
      </c>
      <c r="P1387" s="6">
        <f>1</f>
        <v>1</v>
      </c>
      <c r="Q1387" s="6">
        <f>0</f>
        <v>0</v>
      </c>
      <c r="S1387" s="6">
        <f>0</f>
        <v>0</v>
      </c>
      <c r="T1387" s="6">
        <f>1</f>
        <v>1</v>
      </c>
      <c r="U1387" s="5" t="s">
        <v>245</v>
      </c>
      <c r="V1387" s="4" t="s">
        <v>270</v>
      </c>
      <c r="W1387" s="4" t="s">
        <v>271</v>
      </c>
      <c r="X1387" s="4" t="s">
        <v>273</v>
      </c>
      <c r="Y1387" s="4" t="s">
        <v>241</v>
      </c>
      <c r="AB1387" s="4" t="s">
        <v>241</v>
      </c>
      <c r="AD1387" s="5" t="s">
        <v>241</v>
      </c>
      <c r="AG1387" s="5" t="s">
        <v>246</v>
      </c>
      <c r="AH1387" s="4" t="s">
        <v>241</v>
      </c>
      <c r="AI1387" s="4" t="s">
        <v>247</v>
      </c>
      <c r="AJ1387" s="4" t="s">
        <v>248</v>
      </c>
      <c r="AZ1387" s="4" t="s">
        <v>249</v>
      </c>
      <c r="BA1387" s="4" t="s">
        <v>241</v>
      </c>
      <c r="BB1387" s="4" t="s">
        <v>250</v>
      </c>
      <c r="BC1387" s="4" t="s">
        <v>241</v>
      </c>
      <c r="BD1387" s="4" t="s">
        <v>252</v>
      </c>
      <c r="BE1387" s="4" t="s">
        <v>241</v>
      </c>
      <c r="BI1387" s="4" t="s">
        <v>253</v>
      </c>
      <c r="BJ1387" s="5" t="s">
        <v>246</v>
      </c>
      <c r="BK1387" s="4" t="s">
        <v>254</v>
      </c>
      <c r="BL1387" s="4" t="s">
        <v>255</v>
      </c>
      <c r="BM1387" s="4" t="s">
        <v>241</v>
      </c>
      <c r="BN1387" s="6">
        <f>0</f>
        <v>0</v>
      </c>
      <c r="BO1387" s="6">
        <f>0</f>
        <v>0</v>
      </c>
      <c r="BP1387" s="4" t="s">
        <v>256</v>
      </c>
      <c r="BQ1387" s="4" t="s">
        <v>257</v>
      </c>
      <c r="CE1387" s="4" t="s">
        <v>241</v>
      </c>
      <c r="CF1387" s="4" t="s">
        <v>241</v>
      </c>
      <c r="CJ1387" s="4" t="s">
        <v>276</v>
      </c>
      <c r="CK1387" s="4" t="s">
        <v>259</v>
      </c>
      <c r="CL1387" s="4" t="s">
        <v>241</v>
      </c>
      <c r="CO1387" s="5" t="s">
        <v>260</v>
      </c>
      <c r="CP1387" s="4" t="s">
        <v>241</v>
      </c>
      <c r="CQ1387" s="4" t="s">
        <v>261</v>
      </c>
      <c r="CR1387" s="4" t="s">
        <v>241</v>
      </c>
      <c r="CS1387" s="4" t="s">
        <v>241</v>
      </c>
      <c r="CT1387" s="4">
        <v>0</v>
      </c>
      <c r="CU1387" s="4" t="s">
        <v>262</v>
      </c>
      <c r="CV1387" s="4" t="s">
        <v>263</v>
      </c>
      <c r="CW1387" s="4" t="s">
        <v>263</v>
      </c>
      <c r="CX1387" s="4" t="s">
        <v>264</v>
      </c>
      <c r="DA1387" s="6">
        <f>1</f>
        <v>1</v>
      </c>
      <c r="DC1387" s="4" t="s">
        <v>277</v>
      </c>
      <c r="DD1387" s="4" t="s">
        <v>241</v>
      </c>
      <c r="DF1387" s="4" t="s">
        <v>277</v>
      </c>
      <c r="DG1387" s="6">
        <f>1456</f>
        <v>1456</v>
      </c>
      <c r="DI1387" s="4" t="s">
        <v>241</v>
      </c>
      <c r="DJ1387" s="4" t="s">
        <v>241</v>
      </c>
      <c r="DK1387" s="4" t="s">
        <v>241</v>
      </c>
      <c r="DL1387" s="4" t="s">
        <v>241</v>
      </c>
      <c r="DP1387" s="4" t="s">
        <v>241</v>
      </c>
      <c r="DQ1387" s="4" t="s">
        <v>241</v>
      </c>
      <c r="DR1387" s="4" t="s">
        <v>241</v>
      </c>
      <c r="DS1387" s="4" t="s">
        <v>241</v>
      </c>
      <c r="DV1387" s="4" t="s">
        <v>278</v>
      </c>
      <c r="DW1387" s="4" t="s">
        <v>2779</v>
      </c>
      <c r="HO1387" s="4" t="s">
        <v>267</v>
      </c>
    </row>
    <row r="1388" spans="1:223" ht="19.5" customHeight="1" x14ac:dyDescent="0.4">
      <c r="A1388" s="4">
        <v>1</v>
      </c>
      <c r="B1388" s="4" t="s">
        <v>239</v>
      </c>
      <c r="C1388" s="4">
        <v>3062</v>
      </c>
      <c r="D1388" s="4">
        <v>1</v>
      </c>
      <c r="E1388" s="4">
        <v>1</v>
      </c>
      <c r="F1388" s="4" t="s">
        <v>268</v>
      </c>
      <c r="G1388" s="4" t="s">
        <v>241</v>
      </c>
      <c r="H1388" s="4" t="s">
        <v>241</v>
      </c>
      <c r="I1388" s="4" t="s">
        <v>272</v>
      </c>
      <c r="J1388" s="4" t="s">
        <v>274</v>
      </c>
      <c r="K1388" s="4" t="s">
        <v>251</v>
      </c>
      <c r="L1388" s="4" t="s">
        <v>269</v>
      </c>
      <c r="M1388" s="5" t="s">
        <v>2776</v>
      </c>
      <c r="N1388" s="6">
        <f>592</f>
        <v>592</v>
      </c>
      <c r="O1388" s="4" t="s">
        <v>265</v>
      </c>
      <c r="P1388" s="6">
        <f>1</f>
        <v>1</v>
      </c>
      <c r="Q1388" s="6">
        <f>0</f>
        <v>0</v>
      </c>
      <c r="S1388" s="6">
        <f>0</f>
        <v>0</v>
      </c>
      <c r="T1388" s="6">
        <f>1</f>
        <v>1</v>
      </c>
      <c r="U1388" s="5" t="s">
        <v>245</v>
      </c>
      <c r="V1388" s="4" t="s">
        <v>270</v>
      </c>
      <c r="W1388" s="4" t="s">
        <v>271</v>
      </c>
      <c r="X1388" s="4" t="s">
        <v>273</v>
      </c>
      <c r="Y1388" s="4" t="s">
        <v>241</v>
      </c>
      <c r="AB1388" s="4" t="s">
        <v>241</v>
      </c>
      <c r="AD1388" s="5" t="s">
        <v>241</v>
      </c>
      <c r="AG1388" s="5" t="s">
        <v>246</v>
      </c>
      <c r="AH1388" s="4" t="s">
        <v>241</v>
      </c>
      <c r="AI1388" s="4" t="s">
        <v>247</v>
      </c>
      <c r="AJ1388" s="4" t="s">
        <v>248</v>
      </c>
      <c r="AZ1388" s="4" t="s">
        <v>249</v>
      </c>
      <c r="BA1388" s="4" t="s">
        <v>241</v>
      </c>
      <c r="BB1388" s="4" t="s">
        <v>250</v>
      </c>
      <c r="BC1388" s="4" t="s">
        <v>241</v>
      </c>
      <c r="BD1388" s="4" t="s">
        <v>252</v>
      </c>
      <c r="BE1388" s="4" t="s">
        <v>241</v>
      </c>
      <c r="BI1388" s="4" t="s">
        <v>253</v>
      </c>
      <c r="BJ1388" s="5" t="s">
        <v>246</v>
      </c>
      <c r="BK1388" s="4" t="s">
        <v>254</v>
      </c>
      <c r="BL1388" s="4" t="s">
        <v>255</v>
      </c>
      <c r="BM1388" s="4" t="s">
        <v>241</v>
      </c>
      <c r="BN1388" s="6">
        <f>0</f>
        <v>0</v>
      </c>
      <c r="BO1388" s="6">
        <f>0</f>
        <v>0</v>
      </c>
      <c r="BP1388" s="4" t="s">
        <v>256</v>
      </c>
      <c r="BQ1388" s="4" t="s">
        <v>257</v>
      </c>
      <c r="CE1388" s="4" t="s">
        <v>241</v>
      </c>
      <c r="CF1388" s="4" t="s">
        <v>241</v>
      </c>
      <c r="CJ1388" s="4" t="s">
        <v>276</v>
      </c>
      <c r="CK1388" s="4" t="s">
        <v>259</v>
      </c>
      <c r="CL1388" s="4" t="s">
        <v>241</v>
      </c>
      <c r="CO1388" s="5" t="s">
        <v>260</v>
      </c>
      <c r="CP1388" s="4" t="s">
        <v>241</v>
      </c>
      <c r="CQ1388" s="4" t="s">
        <v>261</v>
      </c>
      <c r="CR1388" s="4" t="s">
        <v>241</v>
      </c>
      <c r="CS1388" s="4" t="s">
        <v>241</v>
      </c>
      <c r="CT1388" s="4">
        <v>0</v>
      </c>
      <c r="CU1388" s="4" t="s">
        <v>262</v>
      </c>
      <c r="CV1388" s="4" t="s">
        <v>263</v>
      </c>
      <c r="CW1388" s="4" t="s">
        <v>263</v>
      </c>
      <c r="CX1388" s="4" t="s">
        <v>264</v>
      </c>
      <c r="DA1388" s="6">
        <f>1</f>
        <v>1</v>
      </c>
      <c r="DC1388" s="4" t="s">
        <v>277</v>
      </c>
      <c r="DD1388" s="4" t="s">
        <v>241</v>
      </c>
      <c r="DF1388" s="4" t="s">
        <v>277</v>
      </c>
      <c r="DG1388" s="6">
        <f>592</f>
        <v>592</v>
      </c>
      <c r="DI1388" s="4" t="s">
        <v>241</v>
      </c>
      <c r="DJ1388" s="4" t="s">
        <v>241</v>
      </c>
      <c r="DK1388" s="4" t="s">
        <v>241</v>
      </c>
      <c r="DL1388" s="4" t="s">
        <v>241</v>
      </c>
      <c r="DP1388" s="4" t="s">
        <v>241</v>
      </c>
      <c r="DQ1388" s="4" t="s">
        <v>241</v>
      </c>
      <c r="DR1388" s="4" t="s">
        <v>241</v>
      </c>
      <c r="DS1388" s="4" t="s">
        <v>241</v>
      </c>
      <c r="DV1388" s="4" t="s">
        <v>278</v>
      </c>
      <c r="DW1388" s="4" t="s">
        <v>2777</v>
      </c>
      <c r="HO1388" s="4" t="s">
        <v>267</v>
      </c>
    </row>
    <row r="1389" spans="1:223" ht="19.5" customHeight="1" x14ac:dyDescent="0.4">
      <c r="A1389" s="4">
        <v>1</v>
      </c>
      <c r="B1389" s="4" t="s">
        <v>239</v>
      </c>
      <c r="C1389" s="4">
        <v>3063</v>
      </c>
      <c r="D1389" s="4">
        <v>1</v>
      </c>
      <c r="E1389" s="4">
        <v>1</v>
      </c>
      <c r="F1389" s="4" t="s">
        <v>268</v>
      </c>
      <c r="G1389" s="4" t="s">
        <v>241</v>
      </c>
      <c r="H1389" s="4" t="s">
        <v>241</v>
      </c>
      <c r="I1389" s="4" t="s">
        <v>272</v>
      </c>
      <c r="J1389" s="4" t="s">
        <v>274</v>
      </c>
      <c r="K1389" s="4" t="s">
        <v>251</v>
      </c>
      <c r="L1389" s="4" t="s">
        <v>269</v>
      </c>
      <c r="M1389" s="5" t="s">
        <v>2772</v>
      </c>
      <c r="N1389" s="6">
        <f>259</f>
        <v>259</v>
      </c>
      <c r="O1389" s="4" t="s">
        <v>265</v>
      </c>
      <c r="P1389" s="6">
        <f>1</f>
        <v>1</v>
      </c>
      <c r="Q1389" s="6">
        <f>0</f>
        <v>0</v>
      </c>
      <c r="S1389" s="6">
        <f>0</f>
        <v>0</v>
      </c>
      <c r="T1389" s="6">
        <f>1</f>
        <v>1</v>
      </c>
      <c r="U1389" s="5" t="s">
        <v>245</v>
      </c>
      <c r="V1389" s="4" t="s">
        <v>270</v>
      </c>
      <c r="W1389" s="4" t="s">
        <v>271</v>
      </c>
      <c r="X1389" s="4" t="s">
        <v>273</v>
      </c>
      <c r="Y1389" s="4" t="s">
        <v>241</v>
      </c>
      <c r="AB1389" s="4" t="s">
        <v>241</v>
      </c>
      <c r="AD1389" s="5" t="s">
        <v>241</v>
      </c>
      <c r="AG1389" s="5" t="s">
        <v>246</v>
      </c>
      <c r="AH1389" s="4" t="s">
        <v>241</v>
      </c>
      <c r="AI1389" s="4" t="s">
        <v>247</v>
      </c>
      <c r="AJ1389" s="4" t="s">
        <v>248</v>
      </c>
      <c r="AZ1389" s="4" t="s">
        <v>249</v>
      </c>
      <c r="BA1389" s="4" t="s">
        <v>241</v>
      </c>
      <c r="BB1389" s="4" t="s">
        <v>250</v>
      </c>
      <c r="BC1389" s="4" t="s">
        <v>241</v>
      </c>
      <c r="BD1389" s="4" t="s">
        <v>252</v>
      </c>
      <c r="BE1389" s="4" t="s">
        <v>241</v>
      </c>
      <c r="BI1389" s="4" t="s">
        <v>253</v>
      </c>
      <c r="BJ1389" s="5" t="s">
        <v>246</v>
      </c>
      <c r="BK1389" s="4" t="s">
        <v>254</v>
      </c>
      <c r="BL1389" s="4" t="s">
        <v>255</v>
      </c>
      <c r="BM1389" s="4" t="s">
        <v>241</v>
      </c>
      <c r="BN1389" s="6">
        <f>0</f>
        <v>0</v>
      </c>
      <c r="BO1389" s="6">
        <f>0</f>
        <v>0</v>
      </c>
      <c r="BP1389" s="4" t="s">
        <v>256</v>
      </c>
      <c r="BQ1389" s="4" t="s">
        <v>257</v>
      </c>
      <c r="CE1389" s="4" t="s">
        <v>241</v>
      </c>
      <c r="CF1389" s="4" t="s">
        <v>241</v>
      </c>
      <c r="CJ1389" s="4" t="s">
        <v>276</v>
      </c>
      <c r="CK1389" s="4" t="s">
        <v>259</v>
      </c>
      <c r="CL1389" s="4" t="s">
        <v>241</v>
      </c>
      <c r="CO1389" s="5" t="s">
        <v>260</v>
      </c>
      <c r="CP1389" s="4" t="s">
        <v>241</v>
      </c>
      <c r="CQ1389" s="4" t="s">
        <v>261</v>
      </c>
      <c r="CR1389" s="4" t="s">
        <v>241</v>
      </c>
      <c r="CS1389" s="4" t="s">
        <v>241</v>
      </c>
      <c r="CT1389" s="4">
        <v>0</v>
      </c>
      <c r="CU1389" s="4" t="s">
        <v>262</v>
      </c>
      <c r="CV1389" s="4" t="s">
        <v>263</v>
      </c>
      <c r="CW1389" s="4" t="s">
        <v>263</v>
      </c>
      <c r="CX1389" s="4" t="s">
        <v>264</v>
      </c>
      <c r="DA1389" s="6">
        <f>1</f>
        <v>1</v>
      </c>
      <c r="DC1389" s="4" t="s">
        <v>277</v>
      </c>
      <c r="DD1389" s="4" t="s">
        <v>241</v>
      </c>
      <c r="DF1389" s="4" t="s">
        <v>277</v>
      </c>
      <c r="DG1389" s="6">
        <f>259</f>
        <v>259</v>
      </c>
      <c r="DI1389" s="4" t="s">
        <v>241</v>
      </c>
      <c r="DJ1389" s="4" t="s">
        <v>241</v>
      </c>
      <c r="DK1389" s="4" t="s">
        <v>241</v>
      </c>
      <c r="DL1389" s="4" t="s">
        <v>241</v>
      </c>
      <c r="DP1389" s="4" t="s">
        <v>241</v>
      </c>
      <c r="DQ1389" s="4" t="s">
        <v>241</v>
      </c>
      <c r="DR1389" s="4" t="s">
        <v>241</v>
      </c>
      <c r="DS1389" s="4" t="s">
        <v>241</v>
      </c>
      <c r="DV1389" s="4" t="s">
        <v>278</v>
      </c>
      <c r="DW1389" s="4" t="s">
        <v>2773</v>
      </c>
      <c r="HO1389" s="4" t="s">
        <v>267</v>
      </c>
    </row>
    <row r="1390" spans="1:223" ht="19.5" customHeight="1" x14ac:dyDescent="0.4">
      <c r="A1390" s="4">
        <v>1</v>
      </c>
      <c r="B1390" s="4" t="s">
        <v>239</v>
      </c>
      <c r="C1390" s="4">
        <v>3064</v>
      </c>
      <c r="D1390" s="4">
        <v>1</v>
      </c>
      <c r="E1390" s="4">
        <v>1</v>
      </c>
      <c r="F1390" s="4" t="s">
        <v>268</v>
      </c>
      <c r="G1390" s="4" t="s">
        <v>241</v>
      </c>
      <c r="H1390" s="4" t="s">
        <v>241</v>
      </c>
      <c r="I1390" s="4" t="s">
        <v>272</v>
      </c>
      <c r="J1390" s="4" t="s">
        <v>274</v>
      </c>
      <c r="K1390" s="4" t="s">
        <v>251</v>
      </c>
      <c r="L1390" s="4" t="s">
        <v>269</v>
      </c>
      <c r="M1390" s="5" t="s">
        <v>2770</v>
      </c>
      <c r="N1390" s="6">
        <f>2081</f>
        <v>2081</v>
      </c>
      <c r="O1390" s="4" t="s">
        <v>265</v>
      </c>
      <c r="P1390" s="6">
        <f>1</f>
        <v>1</v>
      </c>
      <c r="Q1390" s="6">
        <f>0</f>
        <v>0</v>
      </c>
      <c r="S1390" s="6">
        <f>0</f>
        <v>0</v>
      </c>
      <c r="T1390" s="6">
        <f>1</f>
        <v>1</v>
      </c>
      <c r="U1390" s="5" t="s">
        <v>245</v>
      </c>
      <c r="V1390" s="4" t="s">
        <v>270</v>
      </c>
      <c r="W1390" s="4" t="s">
        <v>271</v>
      </c>
      <c r="X1390" s="4" t="s">
        <v>273</v>
      </c>
      <c r="Y1390" s="4" t="s">
        <v>241</v>
      </c>
      <c r="AB1390" s="4" t="s">
        <v>241</v>
      </c>
      <c r="AD1390" s="5" t="s">
        <v>241</v>
      </c>
      <c r="AG1390" s="5" t="s">
        <v>246</v>
      </c>
      <c r="AH1390" s="4" t="s">
        <v>241</v>
      </c>
      <c r="AI1390" s="4" t="s">
        <v>247</v>
      </c>
      <c r="AJ1390" s="4" t="s">
        <v>248</v>
      </c>
      <c r="AZ1390" s="4" t="s">
        <v>249</v>
      </c>
      <c r="BA1390" s="4" t="s">
        <v>241</v>
      </c>
      <c r="BB1390" s="4" t="s">
        <v>250</v>
      </c>
      <c r="BC1390" s="4" t="s">
        <v>241</v>
      </c>
      <c r="BD1390" s="4" t="s">
        <v>252</v>
      </c>
      <c r="BE1390" s="4" t="s">
        <v>241</v>
      </c>
      <c r="BI1390" s="4" t="s">
        <v>253</v>
      </c>
      <c r="BJ1390" s="5" t="s">
        <v>246</v>
      </c>
      <c r="BK1390" s="4" t="s">
        <v>254</v>
      </c>
      <c r="BL1390" s="4" t="s">
        <v>255</v>
      </c>
      <c r="BM1390" s="4" t="s">
        <v>241</v>
      </c>
      <c r="BN1390" s="6">
        <f>0</f>
        <v>0</v>
      </c>
      <c r="BO1390" s="6">
        <f>0</f>
        <v>0</v>
      </c>
      <c r="BP1390" s="4" t="s">
        <v>256</v>
      </c>
      <c r="BQ1390" s="4" t="s">
        <v>257</v>
      </c>
      <c r="CE1390" s="4" t="s">
        <v>241</v>
      </c>
      <c r="CF1390" s="4" t="s">
        <v>241</v>
      </c>
      <c r="CJ1390" s="4" t="s">
        <v>276</v>
      </c>
      <c r="CK1390" s="4" t="s">
        <v>259</v>
      </c>
      <c r="CL1390" s="4" t="s">
        <v>241</v>
      </c>
      <c r="CO1390" s="5" t="s">
        <v>260</v>
      </c>
      <c r="CP1390" s="4" t="s">
        <v>241</v>
      </c>
      <c r="CQ1390" s="4" t="s">
        <v>261</v>
      </c>
      <c r="CR1390" s="4" t="s">
        <v>241</v>
      </c>
      <c r="CS1390" s="4" t="s">
        <v>241</v>
      </c>
      <c r="CT1390" s="4">
        <v>0</v>
      </c>
      <c r="CU1390" s="4" t="s">
        <v>262</v>
      </c>
      <c r="CV1390" s="4" t="s">
        <v>263</v>
      </c>
      <c r="CW1390" s="4" t="s">
        <v>263</v>
      </c>
      <c r="CX1390" s="4" t="s">
        <v>264</v>
      </c>
      <c r="DA1390" s="6">
        <f>1</f>
        <v>1</v>
      </c>
      <c r="DC1390" s="4" t="s">
        <v>277</v>
      </c>
      <c r="DD1390" s="4" t="s">
        <v>241</v>
      </c>
      <c r="DF1390" s="4" t="s">
        <v>277</v>
      </c>
      <c r="DG1390" s="6">
        <f>2081</f>
        <v>2081</v>
      </c>
      <c r="DI1390" s="4" t="s">
        <v>241</v>
      </c>
      <c r="DJ1390" s="4" t="s">
        <v>241</v>
      </c>
      <c r="DK1390" s="4" t="s">
        <v>241</v>
      </c>
      <c r="DL1390" s="4" t="s">
        <v>241</v>
      </c>
      <c r="DP1390" s="4" t="s">
        <v>241</v>
      </c>
      <c r="DQ1390" s="4" t="s">
        <v>241</v>
      </c>
      <c r="DR1390" s="4" t="s">
        <v>241</v>
      </c>
      <c r="DS1390" s="4" t="s">
        <v>241</v>
      </c>
      <c r="DV1390" s="4" t="s">
        <v>278</v>
      </c>
      <c r="DW1390" s="4" t="s">
        <v>2771</v>
      </c>
      <c r="HO1390" s="4" t="s">
        <v>267</v>
      </c>
    </row>
    <row r="1391" spans="1:223" ht="19.5" customHeight="1" x14ac:dyDescent="0.4">
      <c r="A1391" s="4">
        <v>1</v>
      </c>
      <c r="B1391" s="4" t="s">
        <v>239</v>
      </c>
      <c r="C1391" s="4">
        <v>3065</v>
      </c>
      <c r="D1391" s="4">
        <v>1</v>
      </c>
      <c r="E1391" s="4">
        <v>1</v>
      </c>
      <c r="F1391" s="4" t="s">
        <v>268</v>
      </c>
      <c r="G1391" s="4" t="s">
        <v>241</v>
      </c>
      <c r="H1391" s="4" t="s">
        <v>241</v>
      </c>
      <c r="I1391" s="4" t="s">
        <v>272</v>
      </c>
      <c r="J1391" s="4" t="s">
        <v>274</v>
      </c>
      <c r="K1391" s="4" t="s">
        <v>251</v>
      </c>
      <c r="L1391" s="4" t="s">
        <v>269</v>
      </c>
      <c r="M1391" s="5" t="s">
        <v>2768</v>
      </c>
      <c r="N1391" s="6">
        <f>1174</f>
        <v>1174</v>
      </c>
      <c r="O1391" s="4" t="s">
        <v>265</v>
      </c>
      <c r="P1391" s="6">
        <f>1</f>
        <v>1</v>
      </c>
      <c r="Q1391" s="6">
        <f>0</f>
        <v>0</v>
      </c>
      <c r="S1391" s="6">
        <f>0</f>
        <v>0</v>
      </c>
      <c r="T1391" s="6">
        <f>1</f>
        <v>1</v>
      </c>
      <c r="U1391" s="5" t="s">
        <v>245</v>
      </c>
      <c r="V1391" s="4" t="s">
        <v>270</v>
      </c>
      <c r="W1391" s="4" t="s">
        <v>271</v>
      </c>
      <c r="X1391" s="4" t="s">
        <v>273</v>
      </c>
      <c r="Y1391" s="4" t="s">
        <v>241</v>
      </c>
      <c r="AB1391" s="4" t="s">
        <v>241</v>
      </c>
      <c r="AD1391" s="5" t="s">
        <v>241</v>
      </c>
      <c r="AG1391" s="5" t="s">
        <v>246</v>
      </c>
      <c r="AH1391" s="4" t="s">
        <v>241</v>
      </c>
      <c r="AI1391" s="4" t="s">
        <v>247</v>
      </c>
      <c r="AJ1391" s="4" t="s">
        <v>248</v>
      </c>
      <c r="AZ1391" s="4" t="s">
        <v>249</v>
      </c>
      <c r="BA1391" s="4" t="s">
        <v>241</v>
      </c>
      <c r="BB1391" s="4" t="s">
        <v>250</v>
      </c>
      <c r="BC1391" s="4" t="s">
        <v>241</v>
      </c>
      <c r="BD1391" s="4" t="s">
        <v>252</v>
      </c>
      <c r="BE1391" s="4" t="s">
        <v>241</v>
      </c>
      <c r="BI1391" s="4" t="s">
        <v>253</v>
      </c>
      <c r="BJ1391" s="5" t="s">
        <v>246</v>
      </c>
      <c r="BK1391" s="4" t="s">
        <v>254</v>
      </c>
      <c r="BL1391" s="4" t="s">
        <v>255</v>
      </c>
      <c r="BM1391" s="4" t="s">
        <v>241</v>
      </c>
      <c r="BN1391" s="6">
        <f>0</f>
        <v>0</v>
      </c>
      <c r="BO1391" s="6">
        <f>0</f>
        <v>0</v>
      </c>
      <c r="BP1391" s="4" t="s">
        <v>256</v>
      </c>
      <c r="BQ1391" s="4" t="s">
        <v>257</v>
      </c>
      <c r="CE1391" s="4" t="s">
        <v>241</v>
      </c>
      <c r="CF1391" s="4" t="s">
        <v>241</v>
      </c>
      <c r="CJ1391" s="4" t="s">
        <v>276</v>
      </c>
      <c r="CK1391" s="4" t="s">
        <v>259</v>
      </c>
      <c r="CL1391" s="4" t="s">
        <v>241</v>
      </c>
      <c r="CO1391" s="5" t="s">
        <v>260</v>
      </c>
      <c r="CP1391" s="4" t="s">
        <v>241</v>
      </c>
      <c r="CQ1391" s="4" t="s">
        <v>261</v>
      </c>
      <c r="CR1391" s="4" t="s">
        <v>241</v>
      </c>
      <c r="CS1391" s="4" t="s">
        <v>241</v>
      </c>
      <c r="CT1391" s="4">
        <v>0</v>
      </c>
      <c r="CU1391" s="4" t="s">
        <v>262</v>
      </c>
      <c r="CV1391" s="4" t="s">
        <v>263</v>
      </c>
      <c r="CW1391" s="4" t="s">
        <v>263</v>
      </c>
      <c r="CX1391" s="4" t="s">
        <v>264</v>
      </c>
      <c r="DA1391" s="6">
        <f>1</f>
        <v>1</v>
      </c>
      <c r="DC1391" s="4" t="s">
        <v>277</v>
      </c>
      <c r="DD1391" s="4" t="s">
        <v>241</v>
      </c>
      <c r="DF1391" s="4" t="s">
        <v>277</v>
      </c>
      <c r="DG1391" s="6">
        <f>1174</f>
        <v>1174</v>
      </c>
      <c r="DI1391" s="4" t="s">
        <v>241</v>
      </c>
      <c r="DJ1391" s="4" t="s">
        <v>241</v>
      </c>
      <c r="DK1391" s="4" t="s">
        <v>241</v>
      </c>
      <c r="DL1391" s="4" t="s">
        <v>241</v>
      </c>
      <c r="DP1391" s="4" t="s">
        <v>241</v>
      </c>
      <c r="DQ1391" s="4" t="s">
        <v>241</v>
      </c>
      <c r="DR1391" s="4" t="s">
        <v>241</v>
      </c>
      <c r="DS1391" s="4" t="s">
        <v>241</v>
      </c>
      <c r="DV1391" s="4" t="s">
        <v>278</v>
      </c>
      <c r="DW1391" s="4" t="s">
        <v>2769</v>
      </c>
      <c r="HO1391" s="4" t="s">
        <v>267</v>
      </c>
    </row>
    <row r="1392" spans="1:223" ht="19.5" customHeight="1" x14ac:dyDescent="0.4">
      <c r="A1392" s="4">
        <v>1</v>
      </c>
      <c r="B1392" s="4" t="s">
        <v>239</v>
      </c>
      <c r="C1392" s="4">
        <v>3066</v>
      </c>
      <c r="D1392" s="4">
        <v>1</v>
      </c>
      <c r="E1392" s="4">
        <v>1</v>
      </c>
      <c r="F1392" s="4" t="s">
        <v>268</v>
      </c>
      <c r="G1392" s="4" t="s">
        <v>241</v>
      </c>
      <c r="H1392" s="4" t="s">
        <v>241</v>
      </c>
      <c r="I1392" s="4" t="s">
        <v>272</v>
      </c>
      <c r="J1392" s="4" t="s">
        <v>274</v>
      </c>
      <c r="K1392" s="4" t="s">
        <v>251</v>
      </c>
      <c r="L1392" s="4" t="s">
        <v>269</v>
      </c>
      <c r="M1392" s="5" t="s">
        <v>2764</v>
      </c>
      <c r="N1392" s="6">
        <f>1175</f>
        <v>1175</v>
      </c>
      <c r="O1392" s="4" t="s">
        <v>265</v>
      </c>
      <c r="P1392" s="6">
        <f>1</f>
        <v>1</v>
      </c>
      <c r="Q1392" s="6">
        <f>0</f>
        <v>0</v>
      </c>
      <c r="S1392" s="6">
        <f>0</f>
        <v>0</v>
      </c>
      <c r="T1392" s="6">
        <f>1</f>
        <v>1</v>
      </c>
      <c r="U1392" s="5" t="s">
        <v>245</v>
      </c>
      <c r="V1392" s="4" t="s">
        <v>270</v>
      </c>
      <c r="W1392" s="4" t="s">
        <v>271</v>
      </c>
      <c r="X1392" s="4" t="s">
        <v>273</v>
      </c>
      <c r="Y1392" s="4" t="s">
        <v>241</v>
      </c>
      <c r="AB1392" s="4" t="s">
        <v>241</v>
      </c>
      <c r="AD1392" s="5" t="s">
        <v>241</v>
      </c>
      <c r="AG1392" s="5" t="s">
        <v>246</v>
      </c>
      <c r="AH1392" s="4" t="s">
        <v>241</v>
      </c>
      <c r="AI1392" s="4" t="s">
        <v>247</v>
      </c>
      <c r="AJ1392" s="4" t="s">
        <v>248</v>
      </c>
      <c r="AZ1392" s="4" t="s">
        <v>249</v>
      </c>
      <c r="BA1392" s="4" t="s">
        <v>241</v>
      </c>
      <c r="BB1392" s="4" t="s">
        <v>250</v>
      </c>
      <c r="BC1392" s="4" t="s">
        <v>241</v>
      </c>
      <c r="BD1392" s="4" t="s">
        <v>252</v>
      </c>
      <c r="BE1392" s="4" t="s">
        <v>241</v>
      </c>
      <c r="BI1392" s="4" t="s">
        <v>253</v>
      </c>
      <c r="BJ1392" s="5" t="s">
        <v>246</v>
      </c>
      <c r="BK1392" s="4" t="s">
        <v>254</v>
      </c>
      <c r="BL1392" s="4" t="s">
        <v>255</v>
      </c>
      <c r="BM1392" s="4" t="s">
        <v>241</v>
      </c>
      <c r="BN1392" s="6">
        <f>0</f>
        <v>0</v>
      </c>
      <c r="BO1392" s="6">
        <f>0</f>
        <v>0</v>
      </c>
      <c r="BP1392" s="4" t="s">
        <v>256</v>
      </c>
      <c r="BQ1392" s="4" t="s">
        <v>257</v>
      </c>
      <c r="CE1392" s="4" t="s">
        <v>241</v>
      </c>
      <c r="CF1392" s="4" t="s">
        <v>241</v>
      </c>
      <c r="CJ1392" s="4" t="s">
        <v>276</v>
      </c>
      <c r="CK1392" s="4" t="s">
        <v>259</v>
      </c>
      <c r="CL1392" s="4" t="s">
        <v>241</v>
      </c>
      <c r="CO1392" s="5" t="s">
        <v>260</v>
      </c>
      <c r="CP1392" s="4" t="s">
        <v>241</v>
      </c>
      <c r="CQ1392" s="4" t="s">
        <v>261</v>
      </c>
      <c r="CR1392" s="4" t="s">
        <v>241</v>
      </c>
      <c r="CS1392" s="4" t="s">
        <v>241</v>
      </c>
      <c r="CT1392" s="4">
        <v>0</v>
      </c>
      <c r="CU1392" s="4" t="s">
        <v>262</v>
      </c>
      <c r="CV1392" s="4" t="s">
        <v>263</v>
      </c>
      <c r="CW1392" s="4" t="s">
        <v>263</v>
      </c>
      <c r="CX1392" s="4" t="s">
        <v>264</v>
      </c>
      <c r="DA1392" s="6">
        <f>1</f>
        <v>1</v>
      </c>
      <c r="DC1392" s="4" t="s">
        <v>277</v>
      </c>
      <c r="DD1392" s="4" t="s">
        <v>241</v>
      </c>
      <c r="DF1392" s="4" t="s">
        <v>277</v>
      </c>
      <c r="DG1392" s="6">
        <f>1175</f>
        <v>1175</v>
      </c>
      <c r="DI1392" s="4" t="s">
        <v>241</v>
      </c>
      <c r="DJ1392" s="4" t="s">
        <v>241</v>
      </c>
      <c r="DK1392" s="4" t="s">
        <v>241</v>
      </c>
      <c r="DL1392" s="4" t="s">
        <v>241</v>
      </c>
      <c r="DP1392" s="4" t="s">
        <v>241</v>
      </c>
      <c r="DQ1392" s="4" t="s">
        <v>241</v>
      </c>
      <c r="DR1392" s="4" t="s">
        <v>241</v>
      </c>
      <c r="DS1392" s="4" t="s">
        <v>241</v>
      </c>
      <c r="DV1392" s="4" t="s">
        <v>278</v>
      </c>
      <c r="DW1392" s="4" t="s">
        <v>2765</v>
      </c>
      <c r="HO1392" s="4" t="s">
        <v>267</v>
      </c>
    </row>
    <row r="1393" spans="1:223" ht="19.5" customHeight="1" x14ac:dyDescent="0.4">
      <c r="A1393" s="4">
        <v>1</v>
      </c>
      <c r="B1393" s="4" t="s">
        <v>239</v>
      </c>
      <c r="C1393" s="4">
        <v>3067</v>
      </c>
      <c r="D1393" s="4">
        <v>1</v>
      </c>
      <c r="E1393" s="4">
        <v>1</v>
      </c>
      <c r="F1393" s="4" t="s">
        <v>268</v>
      </c>
      <c r="G1393" s="4" t="s">
        <v>241</v>
      </c>
      <c r="H1393" s="4" t="s">
        <v>241</v>
      </c>
      <c r="I1393" s="4" t="s">
        <v>272</v>
      </c>
      <c r="J1393" s="4" t="s">
        <v>274</v>
      </c>
      <c r="K1393" s="4" t="s">
        <v>251</v>
      </c>
      <c r="L1393" s="4" t="s">
        <v>269</v>
      </c>
      <c r="M1393" s="5" t="s">
        <v>2762</v>
      </c>
      <c r="N1393" s="6">
        <f>444</f>
        <v>444</v>
      </c>
      <c r="O1393" s="4" t="s">
        <v>265</v>
      </c>
      <c r="P1393" s="6">
        <f>1</f>
        <v>1</v>
      </c>
      <c r="Q1393" s="6">
        <f>0</f>
        <v>0</v>
      </c>
      <c r="S1393" s="6">
        <f>0</f>
        <v>0</v>
      </c>
      <c r="T1393" s="6">
        <f>1</f>
        <v>1</v>
      </c>
      <c r="U1393" s="5" t="s">
        <v>245</v>
      </c>
      <c r="V1393" s="4" t="s">
        <v>270</v>
      </c>
      <c r="W1393" s="4" t="s">
        <v>271</v>
      </c>
      <c r="X1393" s="4" t="s">
        <v>273</v>
      </c>
      <c r="Y1393" s="4" t="s">
        <v>241</v>
      </c>
      <c r="AB1393" s="4" t="s">
        <v>241</v>
      </c>
      <c r="AD1393" s="5" t="s">
        <v>241</v>
      </c>
      <c r="AG1393" s="5" t="s">
        <v>246</v>
      </c>
      <c r="AH1393" s="4" t="s">
        <v>241</v>
      </c>
      <c r="AI1393" s="4" t="s">
        <v>247</v>
      </c>
      <c r="AJ1393" s="4" t="s">
        <v>248</v>
      </c>
      <c r="AZ1393" s="4" t="s">
        <v>249</v>
      </c>
      <c r="BA1393" s="4" t="s">
        <v>241</v>
      </c>
      <c r="BB1393" s="4" t="s">
        <v>250</v>
      </c>
      <c r="BC1393" s="4" t="s">
        <v>241</v>
      </c>
      <c r="BD1393" s="4" t="s">
        <v>252</v>
      </c>
      <c r="BE1393" s="4" t="s">
        <v>241</v>
      </c>
      <c r="BI1393" s="4" t="s">
        <v>253</v>
      </c>
      <c r="BJ1393" s="5" t="s">
        <v>246</v>
      </c>
      <c r="BK1393" s="4" t="s">
        <v>254</v>
      </c>
      <c r="BL1393" s="4" t="s">
        <v>255</v>
      </c>
      <c r="BM1393" s="4" t="s">
        <v>241</v>
      </c>
      <c r="BN1393" s="6">
        <f>0</f>
        <v>0</v>
      </c>
      <c r="BO1393" s="6">
        <f>0</f>
        <v>0</v>
      </c>
      <c r="BP1393" s="4" t="s">
        <v>256</v>
      </c>
      <c r="BQ1393" s="4" t="s">
        <v>257</v>
      </c>
      <c r="CE1393" s="4" t="s">
        <v>241</v>
      </c>
      <c r="CF1393" s="4" t="s">
        <v>241</v>
      </c>
      <c r="CJ1393" s="4" t="s">
        <v>276</v>
      </c>
      <c r="CK1393" s="4" t="s">
        <v>259</v>
      </c>
      <c r="CL1393" s="4" t="s">
        <v>241</v>
      </c>
      <c r="CO1393" s="5" t="s">
        <v>260</v>
      </c>
      <c r="CP1393" s="4" t="s">
        <v>241</v>
      </c>
      <c r="CQ1393" s="4" t="s">
        <v>261</v>
      </c>
      <c r="CR1393" s="4" t="s">
        <v>241</v>
      </c>
      <c r="CS1393" s="4" t="s">
        <v>241</v>
      </c>
      <c r="CT1393" s="4">
        <v>0</v>
      </c>
      <c r="CU1393" s="4" t="s">
        <v>262</v>
      </c>
      <c r="CV1393" s="4" t="s">
        <v>263</v>
      </c>
      <c r="CW1393" s="4" t="s">
        <v>263</v>
      </c>
      <c r="CX1393" s="4" t="s">
        <v>264</v>
      </c>
      <c r="DA1393" s="6">
        <f>1</f>
        <v>1</v>
      </c>
      <c r="DC1393" s="4" t="s">
        <v>277</v>
      </c>
      <c r="DD1393" s="4" t="s">
        <v>241</v>
      </c>
      <c r="DF1393" s="4" t="s">
        <v>277</v>
      </c>
      <c r="DG1393" s="6">
        <f>444</f>
        <v>444</v>
      </c>
      <c r="DI1393" s="4" t="s">
        <v>241</v>
      </c>
      <c r="DJ1393" s="4" t="s">
        <v>241</v>
      </c>
      <c r="DK1393" s="4" t="s">
        <v>241</v>
      </c>
      <c r="DL1393" s="4" t="s">
        <v>241</v>
      </c>
      <c r="DP1393" s="4" t="s">
        <v>241</v>
      </c>
      <c r="DQ1393" s="4" t="s">
        <v>241</v>
      </c>
      <c r="DR1393" s="4" t="s">
        <v>241</v>
      </c>
      <c r="DS1393" s="4" t="s">
        <v>241</v>
      </c>
      <c r="DV1393" s="4" t="s">
        <v>278</v>
      </c>
      <c r="DW1393" s="4" t="s">
        <v>2763</v>
      </c>
      <c r="HO1393" s="4" t="s">
        <v>267</v>
      </c>
    </row>
    <row r="1394" spans="1:223" ht="19.5" customHeight="1" x14ac:dyDescent="0.4">
      <c r="A1394" s="4">
        <v>1</v>
      </c>
      <c r="B1394" s="4" t="s">
        <v>239</v>
      </c>
      <c r="C1394" s="4">
        <v>3068</v>
      </c>
      <c r="D1394" s="4">
        <v>1</v>
      </c>
      <c r="E1394" s="4">
        <v>1</v>
      </c>
      <c r="F1394" s="4" t="s">
        <v>268</v>
      </c>
      <c r="G1394" s="4" t="s">
        <v>241</v>
      </c>
      <c r="H1394" s="4" t="s">
        <v>241</v>
      </c>
      <c r="I1394" s="4" t="s">
        <v>272</v>
      </c>
      <c r="J1394" s="4" t="s">
        <v>274</v>
      </c>
      <c r="K1394" s="4" t="s">
        <v>251</v>
      </c>
      <c r="L1394" s="4" t="s">
        <v>269</v>
      </c>
      <c r="M1394" s="5" t="s">
        <v>2760</v>
      </c>
      <c r="N1394" s="6">
        <f>2230</f>
        <v>2230</v>
      </c>
      <c r="O1394" s="4" t="s">
        <v>265</v>
      </c>
      <c r="P1394" s="6">
        <f>1</f>
        <v>1</v>
      </c>
      <c r="Q1394" s="6">
        <f>0</f>
        <v>0</v>
      </c>
      <c r="S1394" s="6">
        <f>0</f>
        <v>0</v>
      </c>
      <c r="T1394" s="6">
        <f>1</f>
        <v>1</v>
      </c>
      <c r="U1394" s="5" t="s">
        <v>245</v>
      </c>
      <c r="V1394" s="4" t="s">
        <v>270</v>
      </c>
      <c r="W1394" s="4" t="s">
        <v>271</v>
      </c>
      <c r="X1394" s="4" t="s">
        <v>273</v>
      </c>
      <c r="Y1394" s="4" t="s">
        <v>241</v>
      </c>
      <c r="AB1394" s="4" t="s">
        <v>241</v>
      </c>
      <c r="AD1394" s="5" t="s">
        <v>241</v>
      </c>
      <c r="AG1394" s="5" t="s">
        <v>246</v>
      </c>
      <c r="AH1394" s="4" t="s">
        <v>241</v>
      </c>
      <c r="AI1394" s="4" t="s">
        <v>247</v>
      </c>
      <c r="AJ1394" s="4" t="s">
        <v>248</v>
      </c>
      <c r="AZ1394" s="4" t="s">
        <v>249</v>
      </c>
      <c r="BA1394" s="4" t="s">
        <v>241</v>
      </c>
      <c r="BB1394" s="4" t="s">
        <v>250</v>
      </c>
      <c r="BC1394" s="4" t="s">
        <v>241</v>
      </c>
      <c r="BD1394" s="4" t="s">
        <v>252</v>
      </c>
      <c r="BE1394" s="4" t="s">
        <v>241</v>
      </c>
      <c r="BI1394" s="4" t="s">
        <v>253</v>
      </c>
      <c r="BJ1394" s="5" t="s">
        <v>246</v>
      </c>
      <c r="BK1394" s="4" t="s">
        <v>254</v>
      </c>
      <c r="BL1394" s="4" t="s">
        <v>255</v>
      </c>
      <c r="BM1394" s="4" t="s">
        <v>241</v>
      </c>
      <c r="BN1394" s="6">
        <f>0</f>
        <v>0</v>
      </c>
      <c r="BO1394" s="6">
        <f>0</f>
        <v>0</v>
      </c>
      <c r="BP1394" s="4" t="s">
        <v>256</v>
      </c>
      <c r="BQ1394" s="4" t="s">
        <v>257</v>
      </c>
      <c r="CE1394" s="4" t="s">
        <v>241</v>
      </c>
      <c r="CF1394" s="4" t="s">
        <v>241</v>
      </c>
      <c r="CJ1394" s="4" t="s">
        <v>276</v>
      </c>
      <c r="CK1394" s="4" t="s">
        <v>259</v>
      </c>
      <c r="CL1394" s="4" t="s">
        <v>241</v>
      </c>
      <c r="CO1394" s="5" t="s">
        <v>260</v>
      </c>
      <c r="CP1394" s="4" t="s">
        <v>241</v>
      </c>
      <c r="CQ1394" s="4" t="s">
        <v>261</v>
      </c>
      <c r="CR1394" s="4" t="s">
        <v>241</v>
      </c>
      <c r="CS1394" s="4" t="s">
        <v>241</v>
      </c>
      <c r="CT1394" s="4">
        <v>0</v>
      </c>
      <c r="CU1394" s="4" t="s">
        <v>262</v>
      </c>
      <c r="CV1394" s="4" t="s">
        <v>263</v>
      </c>
      <c r="CW1394" s="4" t="s">
        <v>263</v>
      </c>
      <c r="CX1394" s="4" t="s">
        <v>264</v>
      </c>
      <c r="DA1394" s="6">
        <f>1</f>
        <v>1</v>
      </c>
      <c r="DC1394" s="4" t="s">
        <v>277</v>
      </c>
      <c r="DD1394" s="4" t="s">
        <v>241</v>
      </c>
      <c r="DF1394" s="4" t="s">
        <v>277</v>
      </c>
      <c r="DG1394" s="6">
        <f>2230</f>
        <v>2230</v>
      </c>
      <c r="DI1394" s="4" t="s">
        <v>241</v>
      </c>
      <c r="DJ1394" s="4" t="s">
        <v>241</v>
      </c>
      <c r="DK1394" s="4" t="s">
        <v>241</v>
      </c>
      <c r="DL1394" s="4" t="s">
        <v>241</v>
      </c>
      <c r="DP1394" s="4" t="s">
        <v>241</v>
      </c>
      <c r="DQ1394" s="4" t="s">
        <v>241</v>
      </c>
      <c r="DR1394" s="4" t="s">
        <v>241</v>
      </c>
      <c r="DS1394" s="4" t="s">
        <v>241</v>
      </c>
      <c r="DV1394" s="4" t="s">
        <v>278</v>
      </c>
      <c r="DW1394" s="4" t="s">
        <v>2761</v>
      </c>
      <c r="HO1394" s="4" t="s">
        <v>267</v>
      </c>
    </row>
    <row r="1395" spans="1:223" ht="19.5" customHeight="1" x14ac:dyDescent="0.4">
      <c r="A1395" s="4">
        <v>1</v>
      </c>
      <c r="B1395" s="4" t="s">
        <v>239</v>
      </c>
      <c r="C1395" s="4">
        <v>3069</v>
      </c>
      <c r="D1395" s="4">
        <v>1</v>
      </c>
      <c r="E1395" s="4">
        <v>1</v>
      </c>
      <c r="F1395" s="4" t="s">
        <v>268</v>
      </c>
      <c r="G1395" s="4" t="s">
        <v>241</v>
      </c>
      <c r="H1395" s="4" t="s">
        <v>241</v>
      </c>
      <c r="I1395" s="4" t="s">
        <v>272</v>
      </c>
      <c r="J1395" s="4" t="s">
        <v>274</v>
      </c>
      <c r="K1395" s="4" t="s">
        <v>251</v>
      </c>
      <c r="L1395" s="4" t="s">
        <v>269</v>
      </c>
      <c r="M1395" s="5" t="s">
        <v>2756</v>
      </c>
      <c r="N1395" s="6">
        <f>238</f>
        <v>238</v>
      </c>
      <c r="O1395" s="4" t="s">
        <v>265</v>
      </c>
      <c r="P1395" s="6">
        <f>1</f>
        <v>1</v>
      </c>
      <c r="Q1395" s="6">
        <f>0</f>
        <v>0</v>
      </c>
      <c r="S1395" s="6">
        <f>0</f>
        <v>0</v>
      </c>
      <c r="T1395" s="6">
        <f>1</f>
        <v>1</v>
      </c>
      <c r="U1395" s="5" t="s">
        <v>245</v>
      </c>
      <c r="V1395" s="4" t="s">
        <v>270</v>
      </c>
      <c r="W1395" s="4" t="s">
        <v>271</v>
      </c>
      <c r="X1395" s="4" t="s">
        <v>273</v>
      </c>
      <c r="Y1395" s="4" t="s">
        <v>241</v>
      </c>
      <c r="AB1395" s="4" t="s">
        <v>241</v>
      </c>
      <c r="AD1395" s="5" t="s">
        <v>241</v>
      </c>
      <c r="AG1395" s="5" t="s">
        <v>246</v>
      </c>
      <c r="AH1395" s="4" t="s">
        <v>241</v>
      </c>
      <c r="AI1395" s="4" t="s">
        <v>247</v>
      </c>
      <c r="AJ1395" s="4" t="s">
        <v>248</v>
      </c>
      <c r="AZ1395" s="4" t="s">
        <v>249</v>
      </c>
      <c r="BA1395" s="4" t="s">
        <v>241</v>
      </c>
      <c r="BB1395" s="4" t="s">
        <v>250</v>
      </c>
      <c r="BC1395" s="4" t="s">
        <v>241</v>
      </c>
      <c r="BD1395" s="4" t="s">
        <v>252</v>
      </c>
      <c r="BE1395" s="4" t="s">
        <v>241</v>
      </c>
      <c r="BI1395" s="4" t="s">
        <v>253</v>
      </c>
      <c r="BJ1395" s="5" t="s">
        <v>246</v>
      </c>
      <c r="BK1395" s="4" t="s">
        <v>254</v>
      </c>
      <c r="BL1395" s="4" t="s">
        <v>255</v>
      </c>
      <c r="BM1395" s="4" t="s">
        <v>241</v>
      </c>
      <c r="BN1395" s="6">
        <f>0</f>
        <v>0</v>
      </c>
      <c r="BO1395" s="6">
        <f>0</f>
        <v>0</v>
      </c>
      <c r="BP1395" s="4" t="s">
        <v>256</v>
      </c>
      <c r="BQ1395" s="4" t="s">
        <v>257</v>
      </c>
      <c r="CE1395" s="4" t="s">
        <v>241</v>
      </c>
      <c r="CF1395" s="4" t="s">
        <v>241</v>
      </c>
      <c r="CJ1395" s="4" t="s">
        <v>276</v>
      </c>
      <c r="CK1395" s="4" t="s">
        <v>259</v>
      </c>
      <c r="CL1395" s="4" t="s">
        <v>241</v>
      </c>
      <c r="CO1395" s="5" t="s">
        <v>260</v>
      </c>
      <c r="CP1395" s="4" t="s">
        <v>241</v>
      </c>
      <c r="CQ1395" s="4" t="s">
        <v>261</v>
      </c>
      <c r="CR1395" s="4" t="s">
        <v>241</v>
      </c>
      <c r="CS1395" s="4" t="s">
        <v>241</v>
      </c>
      <c r="CT1395" s="4">
        <v>0</v>
      </c>
      <c r="CU1395" s="4" t="s">
        <v>262</v>
      </c>
      <c r="CV1395" s="4" t="s">
        <v>263</v>
      </c>
      <c r="CW1395" s="4" t="s">
        <v>263</v>
      </c>
      <c r="CX1395" s="4" t="s">
        <v>264</v>
      </c>
      <c r="DA1395" s="6">
        <f>1</f>
        <v>1</v>
      </c>
      <c r="DC1395" s="4" t="s">
        <v>277</v>
      </c>
      <c r="DD1395" s="4" t="s">
        <v>241</v>
      </c>
      <c r="DF1395" s="4" t="s">
        <v>277</v>
      </c>
      <c r="DG1395" s="6">
        <f>238</f>
        <v>238</v>
      </c>
      <c r="DI1395" s="4" t="s">
        <v>241</v>
      </c>
      <c r="DJ1395" s="4" t="s">
        <v>241</v>
      </c>
      <c r="DK1395" s="4" t="s">
        <v>241</v>
      </c>
      <c r="DL1395" s="4" t="s">
        <v>241</v>
      </c>
      <c r="DP1395" s="4" t="s">
        <v>241</v>
      </c>
      <c r="DQ1395" s="4" t="s">
        <v>241</v>
      </c>
      <c r="DR1395" s="4" t="s">
        <v>241</v>
      </c>
      <c r="DS1395" s="4" t="s">
        <v>241</v>
      </c>
      <c r="DV1395" s="4" t="s">
        <v>278</v>
      </c>
      <c r="DW1395" s="4" t="s">
        <v>2757</v>
      </c>
      <c r="HO1395" s="4" t="s">
        <v>267</v>
      </c>
    </row>
    <row r="1396" spans="1:223" ht="19.5" customHeight="1" x14ac:dyDescent="0.4">
      <c r="A1396" s="4">
        <v>1</v>
      </c>
      <c r="B1396" s="4" t="s">
        <v>239</v>
      </c>
      <c r="C1396" s="4">
        <v>3070</v>
      </c>
      <c r="D1396" s="4">
        <v>1</v>
      </c>
      <c r="E1396" s="4">
        <v>1</v>
      </c>
      <c r="F1396" s="4" t="s">
        <v>268</v>
      </c>
      <c r="G1396" s="4" t="s">
        <v>241</v>
      </c>
      <c r="H1396" s="4" t="s">
        <v>241</v>
      </c>
      <c r="I1396" s="4" t="s">
        <v>272</v>
      </c>
      <c r="J1396" s="4" t="s">
        <v>274</v>
      </c>
      <c r="K1396" s="4" t="s">
        <v>251</v>
      </c>
      <c r="L1396" s="4" t="s">
        <v>269</v>
      </c>
      <c r="M1396" s="5" t="s">
        <v>2754</v>
      </c>
      <c r="N1396" s="6">
        <f>2678</f>
        <v>2678</v>
      </c>
      <c r="O1396" s="4" t="s">
        <v>265</v>
      </c>
      <c r="P1396" s="6">
        <f>1</f>
        <v>1</v>
      </c>
      <c r="Q1396" s="6">
        <f>0</f>
        <v>0</v>
      </c>
      <c r="S1396" s="6">
        <f>0</f>
        <v>0</v>
      </c>
      <c r="T1396" s="6">
        <f>1</f>
        <v>1</v>
      </c>
      <c r="U1396" s="5" t="s">
        <v>245</v>
      </c>
      <c r="V1396" s="4" t="s">
        <v>270</v>
      </c>
      <c r="W1396" s="4" t="s">
        <v>271</v>
      </c>
      <c r="X1396" s="4" t="s">
        <v>273</v>
      </c>
      <c r="Y1396" s="4" t="s">
        <v>241</v>
      </c>
      <c r="AB1396" s="4" t="s">
        <v>241</v>
      </c>
      <c r="AD1396" s="5" t="s">
        <v>241</v>
      </c>
      <c r="AG1396" s="5" t="s">
        <v>246</v>
      </c>
      <c r="AH1396" s="4" t="s">
        <v>241</v>
      </c>
      <c r="AI1396" s="4" t="s">
        <v>247</v>
      </c>
      <c r="AJ1396" s="4" t="s">
        <v>248</v>
      </c>
      <c r="AZ1396" s="4" t="s">
        <v>249</v>
      </c>
      <c r="BA1396" s="4" t="s">
        <v>241</v>
      </c>
      <c r="BB1396" s="4" t="s">
        <v>250</v>
      </c>
      <c r="BC1396" s="4" t="s">
        <v>241</v>
      </c>
      <c r="BD1396" s="4" t="s">
        <v>252</v>
      </c>
      <c r="BE1396" s="4" t="s">
        <v>241</v>
      </c>
      <c r="BI1396" s="4" t="s">
        <v>253</v>
      </c>
      <c r="BJ1396" s="5" t="s">
        <v>246</v>
      </c>
      <c r="BK1396" s="4" t="s">
        <v>254</v>
      </c>
      <c r="BL1396" s="4" t="s">
        <v>255</v>
      </c>
      <c r="BM1396" s="4" t="s">
        <v>241</v>
      </c>
      <c r="BN1396" s="6">
        <f>0</f>
        <v>0</v>
      </c>
      <c r="BO1396" s="6">
        <f>0</f>
        <v>0</v>
      </c>
      <c r="BP1396" s="4" t="s">
        <v>256</v>
      </c>
      <c r="BQ1396" s="4" t="s">
        <v>257</v>
      </c>
      <c r="CE1396" s="4" t="s">
        <v>241</v>
      </c>
      <c r="CF1396" s="4" t="s">
        <v>241</v>
      </c>
      <c r="CJ1396" s="4" t="s">
        <v>276</v>
      </c>
      <c r="CK1396" s="4" t="s">
        <v>259</v>
      </c>
      <c r="CL1396" s="4" t="s">
        <v>241</v>
      </c>
      <c r="CO1396" s="5" t="s">
        <v>260</v>
      </c>
      <c r="CP1396" s="4" t="s">
        <v>241</v>
      </c>
      <c r="CQ1396" s="4" t="s">
        <v>261</v>
      </c>
      <c r="CR1396" s="4" t="s">
        <v>241</v>
      </c>
      <c r="CS1396" s="4" t="s">
        <v>241</v>
      </c>
      <c r="CT1396" s="4">
        <v>0</v>
      </c>
      <c r="CU1396" s="4" t="s">
        <v>262</v>
      </c>
      <c r="CV1396" s="4" t="s">
        <v>263</v>
      </c>
      <c r="CW1396" s="4" t="s">
        <v>263</v>
      </c>
      <c r="CX1396" s="4" t="s">
        <v>264</v>
      </c>
      <c r="DA1396" s="6">
        <f>1</f>
        <v>1</v>
      </c>
      <c r="DC1396" s="4" t="s">
        <v>277</v>
      </c>
      <c r="DD1396" s="4" t="s">
        <v>241</v>
      </c>
      <c r="DF1396" s="4" t="s">
        <v>277</v>
      </c>
      <c r="DG1396" s="6">
        <f>2678</f>
        <v>2678</v>
      </c>
      <c r="DI1396" s="4" t="s">
        <v>241</v>
      </c>
      <c r="DJ1396" s="4" t="s">
        <v>241</v>
      </c>
      <c r="DK1396" s="4" t="s">
        <v>241</v>
      </c>
      <c r="DL1396" s="4" t="s">
        <v>241</v>
      </c>
      <c r="DP1396" s="4" t="s">
        <v>241</v>
      </c>
      <c r="DQ1396" s="4" t="s">
        <v>241</v>
      </c>
      <c r="DR1396" s="4" t="s">
        <v>241</v>
      </c>
      <c r="DS1396" s="4" t="s">
        <v>241</v>
      </c>
      <c r="DV1396" s="4" t="s">
        <v>278</v>
      </c>
      <c r="DW1396" s="4" t="s">
        <v>2755</v>
      </c>
      <c r="HO1396" s="4" t="s">
        <v>267</v>
      </c>
    </row>
    <row r="1397" spans="1:223" ht="19.5" customHeight="1" x14ac:dyDescent="0.4">
      <c r="A1397" s="4">
        <v>1</v>
      </c>
      <c r="B1397" s="4" t="s">
        <v>239</v>
      </c>
      <c r="C1397" s="4">
        <v>3071</v>
      </c>
      <c r="D1397" s="4">
        <v>1</v>
      </c>
      <c r="E1397" s="4">
        <v>1</v>
      </c>
      <c r="F1397" s="4" t="s">
        <v>268</v>
      </c>
      <c r="G1397" s="4" t="s">
        <v>241</v>
      </c>
      <c r="H1397" s="4" t="s">
        <v>241</v>
      </c>
      <c r="I1397" s="4" t="s">
        <v>272</v>
      </c>
      <c r="J1397" s="4" t="s">
        <v>274</v>
      </c>
      <c r="K1397" s="4" t="s">
        <v>251</v>
      </c>
      <c r="L1397" s="4" t="s">
        <v>269</v>
      </c>
      <c r="M1397" s="5" t="s">
        <v>2752</v>
      </c>
      <c r="N1397" s="6">
        <f>2848</f>
        <v>2848</v>
      </c>
      <c r="O1397" s="4" t="s">
        <v>265</v>
      </c>
      <c r="P1397" s="6">
        <f>1</f>
        <v>1</v>
      </c>
      <c r="Q1397" s="6">
        <f>0</f>
        <v>0</v>
      </c>
      <c r="S1397" s="6">
        <f>0</f>
        <v>0</v>
      </c>
      <c r="T1397" s="6">
        <f>1</f>
        <v>1</v>
      </c>
      <c r="U1397" s="5" t="s">
        <v>245</v>
      </c>
      <c r="V1397" s="4" t="s">
        <v>270</v>
      </c>
      <c r="W1397" s="4" t="s">
        <v>271</v>
      </c>
      <c r="X1397" s="4" t="s">
        <v>273</v>
      </c>
      <c r="Y1397" s="4" t="s">
        <v>241</v>
      </c>
      <c r="AB1397" s="4" t="s">
        <v>241</v>
      </c>
      <c r="AD1397" s="5" t="s">
        <v>241</v>
      </c>
      <c r="AG1397" s="5" t="s">
        <v>246</v>
      </c>
      <c r="AH1397" s="4" t="s">
        <v>241</v>
      </c>
      <c r="AI1397" s="4" t="s">
        <v>247</v>
      </c>
      <c r="AJ1397" s="4" t="s">
        <v>248</v>
      </c>
      <c r="AZ1397" s="4" t="s">
        <v>249</v>
      </c>
      <c r="BA1397" s="4" t="s">
        <v>241</v>
      </c>
      <c r="BB1397" s="4" t="s">
        <v>250</v>
      </c>
      <c r="BC1397" s="4" t="s">
        <v>241</v>
      </c>
      <c r="BD1397" s="4" t="s">
        <v>252</v>
      </c>
      <c r="BE1397" s="4" t="s">
        <v>241</v>
      </c>
      <c r="BI1397" s="4" t="s">
        <v>253</v>
      </c>
      <c r="BJ1397" s="5" t="s">
        <v>246</v>
      </c>
      <c r="BK1397" s="4" t="s">
        <v>254</v>
      </c>
      <c r="BL1397" s="4" t="s">
        <v>255</v>
      </c>
      <c r="BM1397" s="4" t="s">
        <v>241</v>
      </c>
      <c r="BN1397" s="6">
        <f>0</f>
        <v>0</v>
      </c>
      <c r="BO1397" s="6">
        <f>0</f>
        <v>0</v>
      </c>
      <c r="BP1397" s="4" t="s">
        <v>256</v>
      </c>
      <c r="BQ1397" s="4" t="s">
        <v>257</v>
      </c>
      <c r="CE1397" s="4" t="s">
        <v>241</v>
      </c>
      <c r="CF1397" s="4" t="s">
        <v>241</v>
      </c>
      <c r="CJ1397" s="4" t="s">
        <v>276</v>
      </c>
      <c r="CK1397" s="4" t="s">
        <v>259</v>
      </c>
      <c r="CL1397" s="4" t="s">
        <v>241</v>
      </c>
      <c r="CO1397" s="5" t="s">
        <v>260</v>
      </c>
      <c r="CP1397" s="4" t="s">
        <v>241</v>
      </c>
      <c r="CQ1397" s="4" t="s">
        <v>261</v>
      </c>
      <c r="CR1397" s="4" t="s">
        <v>241</v>
      </c>
      <c r="CS1397" s="4" t="s">
        <v>241</v>
      </c>
      <c r="CT1397" s="4">
        <v>0</v>
      </c>
      <c r="CU1397" s="4" t="s">
        <v>262</v>
      </c>
      <c r="CV1397" s="4" t="s">
        <v>263</v>
      </c>
      <c r="CW1397" s="4" t="s">
        <v>263</v>
      </c>
      <c r="CX1397" s="4" t="s">
        <v>264</v>
      </c>
      <c r="DA1397" s="6">
        <f>1</f>
        <v>1</v>
      </c>
      <c r="DC1397" s="4" t="s">
        <v>277</v>
      </c>
      <c r="DD1397" s="4" t="s">
        <v>241</v>
      </c>
      <c r="DF1397" s="4" t="s">
        <v>277</v>
      </c>
      <c r="DG1397" s="6">
        <f>2848</f>
        <v>2848</v>
      </c>
      <c r="DI1397" s="4" t="s">
        <v>241</v>
      </c>
      <c r="DJ1397" s="4" t="s">
        <v>241</v>
      </c>
      <c r="DK1397" s="4" t="s">
        <v>241</v>
      </c>
      <c r="DL1397" s="4" t="s">
        <v>241</v>
      </c>
      <c r="DP1397" s="4" t="s">
        <v>241</v>
      </c>
      <c r="DQ1397" s="4" t="s">
        <v>241</v>
      </c>
      <c r="DR1397" s="4" t="s">
        <v>241</v>
      </c>
      <c r="DS1397" s="4" t="s">
        <v>241</v>
      </c>
      <c r="DV1397" s="4" t="s">
        <v>278</v>
      </c>
      <c r="DW1397" s="4" t="s">
        <v>2753</v>
      </c>
      <c r="HO1397" s="4" t="s">
        <v>267</v>
      </c>
    </row>
    <row r="1398" spans="1:223" ht="19.5" customHeight="1" x14ac:dyDescent="0.4">
      <c r="A1398" s="4">
        <v>1</v>
      </c>
      <c r="B1398" s="4" t="s">
        <v>239</v>
      </c>
      <c r="C1398" s="4">
        <v>3072</v>
      </c>
      <c r="D1398" s="4">
        <v>1</v>
      </c>
      <c r="E1398" s="4">
        <v>1</v>
      </c>
      <c r="F1398" s="4" t="s">
        <v>268</v>
      </c>
      <c r="G1398" s="4" t="s">
        <v>241</v>
      </c>
      <c r="H1398" s="4" t="s">
        <v>241</v>
      </c>
      <c r="I1398" s="4" t="s">
        <v>272</v>
      </c>
      <c r="J1398" s="4" t="s">
        <v>274</v>
      </c>
      <c r="K1398" s="4" t="s">
        <v>251</v>
      </c>
      <c r="L1398" s="4" t="s">
        <v>269</v>
      </c>
      <c r="M1398" s="5" t="s">
        <v>2750</v>
      </c>
      <c r="N1398" s="6">
        <f>1039</f>
        <v>1039</v>
      </c>
      <c r="O1398" s="4" t="s">
        <v>265</v>
      </c>
      <c r="P1398" s="6">
        <f>1</f>
        <v>1</v>
      </c>
      <c r="Q1398" s="6">
        <f>0</f>
        <v>0</v>
      </c>
      <c r="S1398" s="6">
        <f>0</f>
        <v>0</v>
      </c>
      <c r="T1398" s="6">
        <f>1</f>
        <v>1</v>
      </c>
      <c r="U1398" s="5" t="s">
        <v>245</v>
      </c>
      <c r="V1398" s="4" t="s">
        <v>270</v>
      </c>
      <c r="W1398" s="4" t="s">
        <v>271</v>
      </c>
      <c r="X1398" s="4" t="s">
        <v>273</v>
      </c>
      <c r="Y1398" s="4" t="s">
        <v>241</v>
      </c>
      <c r="AB1398" s="4" t="s">
        <v>241</v>
      </c>
      <c r="AD1398" s="5" t="s">
        <v>241</v>
      </c>
      <c r="AG1398" s="5" t="s">
        <v>246</v>
      </c>
      <c r="AH1398" s="4" t="s">
        <v>241</v>
      </c>
      <c r="AI1398" s="4" t="s">
        <v>247</v>
      </c>
      <c r="AJ1398" s="4" t="s">
        <v>248</v>
      </c>
      <c r="AZ1398" s="4" t="s">
        <v>249</v>
      </c>
      <c r="BA1398" s="4" t="s">
        <v>241</v>
      </c>
      <c r="BB1398" s="4" t="s">
        <v>250</v>
      </c>
      <c r="BC1398" s="4" t="s">
        <v>241</v>
      </c>
      <c r="BD1398" s="4" t="s">
        <v>252</v>
      </c>
      <c r="BE1398" s="4" t="s">
        <v>241</v>
      </c>
      <c r="BI1398" s="4" t="s">
        <v>253</v>
      </c>
      <c r="BJ1398" s="5" t="s">
        <v>246</v>
      </c>
      <c r="BK1398" s="4" t="s">
        <v>254</v>
      </c>
      <c r="BL1398" s="4" t="s">
        <v>255</v>
      </c>
      <c r="BM1398" s="4" t="s">
        <v>241</v>
      </c>
      <c r="BN1398" s="6">
        <f>0</f>
        <v>0</v>
      </c>
      <c r="BO1398" s="6">
        <f>0</f>
        <v>0</v>
      </c>
      <c r="BP1398" s="4" t="s">
        <v>256</v>
      </c>
      <c r="BQ1398" s="4" t="s">
        <v>257</v>
      </c>
      <c r="CE1398" s="4" t="s">
        <v>241</v>
      </c>
      <c r="CF1398" s="4" t="s">
        <v>241</v>
      </c>
      <c r="CJ1398" s="4" t="s">
        <v>276</v>
      </c>
      <c r="CK1398" s="4" t="s">
        <v>259</v>
      </c>
      <c r="CL1398" s="4" t="s">
        <v>241</v>
      </c>
      <c r="CO1398" s="5" t="s">
        <v>260</v>
      </c>
      <c r="CP1398" s="4" t="s">
        <v>241</v>
      </c>
      <c r="CQ1398" s="4" t="s">
        <v>261</v>
      </c>
      <c r="CR1398" s="4" t="s">
        <v>241</v>
      </c>
      <c r="CS1398" s="4" t="s">
        <v>241</v>
      </c>
      <c r="CT1398" s="4">
        <v>0</v>
      </c>
      <c r="CU1398" s="4" t="s">
        <v>262</v>
      </c>
      <c r="CV1398" s="4" t="s">
        <v>263</v>
      </c>
      <c r="CW1398" s="4" t="s">
        <v>263</v>
      </c>
      <c r="CX1398" s="4" t="s">
        <v>264</v>
      </c>
      <c r="DA1398" s="6">
        <f>1</f>
        <v>1</v>
      </c>
      <c r="DC1398" s="4" t="s">
        <v>277</v>
      </c>
      <c r="DD1398" s="4" t="s">
        <v>241</v>
      </c>
      <c r="DF1398" s="4" t="s">
        <v>277</v>
      </c>
      <c r="DG1398" s="6">
        <f>1039</f>
        <v>1039</v>
      </c>
      <c r="DI1398" s="4" t="s">
        <v>241</v>
      </c>
      <c r="DJ1398" s="4" t="s">
        <v>241</v>
      </c>
      <c r="DK1398" s="4" t="s">
        <v>241</v>
      </c>
      <c r="DL1398" s="4" t="s">
        <v>241</v>
      </c>
      <c r="DP1398" s="4" t="s">
        <v>241</v>
      </c>
      <c r="DQ1398" s="4" t="s">
        <v>241</v>
      </c>
      <c r="DR1398" s="4" t="s">
        <v>241</v>
      </c>
      <c r="DS1398" s="4" t="s">
        <v>241</v>
      </c>
      <c r="DV1398" s="4" t="s">
        <v>278</v>
      </c>
      <c r="DW1398" s="4" t="s">
        <v>2751</v>
      </c>
      <c r="HO1398" s="4" t="s">
        <v>267</v>
      </c>
    </row>
    <row r="1399" spans="1:223" ht="19.5" customHeight="1" x14ac:dyDescent="0.4">
      <c r="A1399" s="4">
        <v>1</v>
      </c>
      <c r="B1399" s="4" t="s">
        <v>239</v>
      </c>
      <c r="C1399" s="4">
        <v>3073</v>
      </c>
      <c r="D1399" s="4">
        <v>1</v>
      </c>
      <c r="E1399" s="4">
        <v>1</v>
      </c>
      <c r="F1399" s="4" t="s">
        <v>268</v>
      </c>
      <c r="G1399" s="4" t="s">
        <v>241</v>
      </c>
      <c r="H1399" s="4" t="s">
        <v>241</v>
      </c>
      <c r="I1399" s="4" t="s">
        <v>272</v>
      </c>
      <c r="J1399" s="4" t="s">
        <v>274</v>
      </c>
      <c r="K1399" s="4" t="s">
        <v>251</v>
      </c>
      <c r="L1399" s="4" t="s">
        <v>423</v>
      </c>
      <c r="M1399" s="5" t="s">
        <v>2748</v>
      </c>
      <c r="N1399" s="6">
        <f>1754</f>
        <v>1754</v>
      </c>
      <c r="O1399" s="4" t="s">
        <v>265</v>
      </c>
      <c r="P1399" s="6">
        <f>1</f>
        <v>1</v>
      </c>
      <c r="Q1399" s="6">
        <f>0</f>
        <v>0</v>
      </c>
      <c r="S1399" s="6">
        <f>0</f>
        <v>0</v>
      </c>
      <c r="T1399" s="6">
        <f>1</f>
        <v>1</v>
      </c>
      <c r="U1399" s="5" t="s">
        <v>245</v>
      </c>
      <c r="V1399" s="4" t="s">
        <v>270</v>
      </c>
      <c r="W1399" s="4" t="s">
        <v>271</v>
      </c>
      <c r="X1399" s="4" t="s">
        <v>273</v>
      </c>
      <c r="Y1399" s="4" t="s">
        <v>241</v>
      </c>
      <c r="AB1399" s="4" t="s">
        <v>241</v>
      </c>
      <c r="AD1399" s="5" t="s">
        <v>241</v>
      </c>
      <c r="AG1399" s="5" t="s">
        <v>246</v>
      </c>
      <c r="AH1399" s="4" t="s">
        <v>241</v>
      </c>
      <c r="AI1399" s="4" t="s">
        <v>247</v>
      </c>
      <c r="AJ1399" s="4" t="s">
        <v>248</v>
      </c>
      <c r="AZ1399" s="4" t="s">
        <v>249</v>
      </c>
      <c r="BA1399" s="4" t="s">
        <v>241</v>
      </c>
      <c r="BB1399" s="4" t="s">
        <v>250</v>
      </c>
      <c r="BC1399" s="4" t="s">
        <v>241</v>
      </c>
      <c r="BD1399" s="4" t="s">
        <v>252</v>
      </c>
      <c r="BE1399" s="4" t="s">
        <v>241</v>
      </c>
      <c r="BI1399" s="4" t="s">
        <v>253</v>
      </c>
      <c r="BJ1399" s="5" t="s">
        <v>246</v>
      </c>
      <c r="BK1399" s="4" t="s">
        <v>254</v>
      </c>
      <c r="BL1399" s="4" t="s">
        <v>255</v>
      </c>
      <c r="BM1399" s="4" t="s">
        <v>241</v>
      </c>
      <c r="BN1399" s="6">
        <f>0</f>
        <v>0</v>
      </c>
      <c r="BO1399" s="6">
        <f>0</f>
        <v>0</v>
      </c>
      <c r="BP1399" s="4" t="s">
        <v>256</v>
      </c>
      <c r="BQ1399" s="4" t="s">
        <v>257</v>
      </c>
      <c r="CE1399" s="4" t="s">
        <v>241</v>
      </c>
      <c r="CF1399" s="4" t="s">
        <v>241</v>
      </c>
      <c r="CJ1399" s="4" t="s">
        <v>276</v>
      </c>
      <c r="CK1399" s="4" t="s">
        <v>259</v>
      </c>
      <c r="CL1399" s="4" t="s">
        <v>241</v>
      </c>
      <c r="CO1399" s="5" t="s">
        <v>260</v>
      </c>
      <c r="CP1399" s="4" t="s">
        <v>241</v>
      </c>
      <c r="CQ1399" s="4" t="s">
        <v>261</v>
      </c>
      <c r="CR1399" s="4" t="s">
        <v>241</v>
      </c>
      <c r="CS1399" s="4" t="s">
        <v>241</v>
      </c>
      <c r="CT1399" s="4">
        <v>0</v>
      </c>
      <c r="CU1399" s="4" t="s">
        <v>262</v>
      </c>
      <c r="CV1399" s="4" t="s">
        <v>263</v>
      </c>
      <c r="CW1399" s="4" t="s">
        <v>263</v>
      </c>
      <c r="CX1399" s="4" t="s">
        <v>264</v>
      </c>
      <c r="DA1399" s="6">
        <f>1</f>
        <v>1</v>
      </c>
      <c r="DC1399" s="4" t="s">
        <v>277</v>
      </c>
      <c r="DD1399" s="4" t="s">
        <v>241</v>
      </c>
      <c r="DF1399" s="4" t="s">
        <v>277</v>
      </c>
      <c r="DG1399" s="6">
        <f>1754</f>
        <v>1754</v>
      </c>
      <c r="DI1399" s="4" t="s">
        <v>241</v>
      </c>
      <c r="DJ1399" s="4" t="s">
        <v>241</v>
      </c>
      <c r="DK1399" s="4" t="s">
        <v>241</v>
      </c>
      <c r="DL1399" s="4" t="s">
        <v>241</v>
      </c>
      <c r="DP1399" s="4" t="s">
        <v>241</v>
      </c>
      <c r="DQ1399" s="4" t="s">
        <v>241</v>
      </c>
      <c r="DR1399" s="4" t="s">
        <v>241</v>
      </c>
      <c r="DS1399" s="4" t="s">
        <v>241</v>
      </c>
      <c r="DV1399" s="4" t="s">
        <v>278</v>
      </c>
      <c r="DW1399" s="4" t="s">
        <v>2749</v>
      </c>
      <c r="HO1399" s="4" t="s">
        <v>267</v>
      </c>
    </row>
    <row r="1400" spans="1:223" ht="19.5" customHeight="1" x14ac:dyDescent="0.4">
      <c r="A1400" s="4">
        <v>1</v>
      </c>
      <c r="B1400" s="4" t="s">
        <v>239</v>
      </c>
      <c r="C1400" s="4">
        <v>3074</v>
      </c>
      <c r="D1400" s="4">
        <v>1</v>
      </c>
      <c r="E1400" s="4">
        <v>1</v>
      </c>
      <c r="F1400" s="4" t="s">
        <v>268</v>
      </c>
      <c r="G1400" s="4" t="s">
        <v>241</v>
      </c>
      <c r="H1400" s="4" t="s">
        <v>241</v>
      </c>
      <c r="I1400" s="4" t="s">
        <v>272</v>
      </c>
      <c r="J1400" s="4" t="s">
        <v>274</v>
      </c>
      <c r="K1400" s="4" t="s">
        <v>251</v>
      </c>
      <c r="L1400" s="4" t="s">
        <v>269</v>
      </c>
      <c r="M1400" s="5" t="s">
        <v>2744</v>
      </c>
      <c r="N1400" s="6">
        <f>5775</f>
        <v>5775</v>
      </c>
      <c r="O1400" s="4" t="s">
        <v>265</v>
      </c>
      <c r="P1400" s="6">
        <f>1</f>
        <v>1</v>
      </c>
      <c r="Q1400" s="6">
        <f>0</f>
        <v>0</v>
      </c>
      <c r="S1400" s="6">
        <f>0</f>
        <v>0</v>
      </c>
      <c r="T1400" s="6">
        <f>1</f>
        <v>1</v>
      </c>
      <c r="U1400" s="5" t="s">
        <v>245</v>
      </c>
      <c r="V1400" s="4" t="s">
        <v>270</v>
      </c>
      <c r="W1400" s="4" t="s">
        <v>271</v>
      </c>
      <c r="X1400" s="4" t="s">
        <v>273</v>
      </c>
      <c r="Y1400" s="4" t="s">
        <v>241</v>
      </c>
      <c r="AB1400" s="4" t="s">
        <v>241</v>
      </c>
      <c r="AD1400" s="5" t="s">
        <v>241</v>
      </c>
      <c r="AG1400" s="5" t="s">
        <v>246</v>
      </c>
      <c r="AH1400" s="4" t="s">
        <v>241</v>
      </c>
      <c r="AI1400" s="4" t="s">
        <v>247</v>
      </c>
      <c r="AJ1400" s="4" t="s">
        <v>248</v>
      </c>
      <c r="AZ1400" s="4" t="s">
        <v>249</v>
      </c>
      <c r="BA1400" s="4" t="s">
        <v>241</v>
      </c>
      <c r="BB1400" s="4" t="s">
        <v>250</v>
      </c>
      <c r="BC1400" s="4" t="s">
        <v>241</v>
      </c>
      <c r="BD1400" s="4" t="s">
        <v>252</v>
      </c>
      <c r="BE1400" s="4" t="s">
        <v>241</v>
      </c>
      <c r="BI1400" s="4" t="s">
        <v>253</v>
      </c>
      <c r="BJ1400" s="5" t="s">
        <v>246</v>
      </c>
      <c r="BK1400" s="4" t="s">
        <v>254</v>
      </c>
      <c r="BL1400" s="4" t="s">
        <v>255</v>
      </c>
      <c r="BM1400" s="4" t="s">
        <v>241</v>
      </c>
      <c r="BN1400" s="6">
        <f>0</f>
        <v>0</v>
      </c>
      <c r="BO1400" s="6">
        <f>0</f>
        <v>0</v>
      </c>
      <c r="BP1400" s="4" t="s">
        <v>256</v>
      </c>
      <c r="BQ1400" s="4" t="s">
        <v>257</v>
      </c>
      <c r="CE1400" s="4" t="s">
        <v>241</v>
      </c>
      <c r="CF1400" s="4" t="s">
        <v>241</v>
      </c>
      <c r="CJ1400" s="4" t="s">
        <v>276</v>
      </c>
      <c r="CK1400" s="4" t="s">
        <v>259</v>
      </c>
      <c r="CL1400" s="4" t="s">
        <v>241</v>
      </c>
      <c r="CO1400" s="5" t="s">
        <v>260</v>
      </c>
      <c r="CP1400" s="4" t="s">
        <v>241</v>
      </c>
      <c r="CQ1400" s="4" t="s">
        <v>261</v>
      </c>
      <c r="CR1400" s="4" t="s">
        <v>241</v>
      </c>
      <c r="CS1400" s="4" t="s">
        <v>241</v>
      </c>
      <c r="CT1400" s="4">
        <v>0</v>
      </c>
      <c r="CU1400" s="4" t="s">
        <v>262</v>
      </c>
      <c r="CV1400" s="4" t="s">
        <v>263</v>
      </c>
      <c r="CW1400" s="4" t="s">
        <v>263</v>
      </c>
      <c r="CX1400" s="4" t="s">
        <v>264</v>
      </c>
      <c r="DA1400" s="6">
        <f>1</f>
        <v>1</v>
      </c>
      <c r="DC1400" s="4" t="s">
        <v>277</v>
      </c>
      <c r="DD1400" s="4" t="s">
        <v>241</v>
      </c>
      <c r="DF1400" s="4" t="s">
        <v>277</v>
      </c>
      <c r="DG1400" s="6">
        <f>5775</f>
        <v>5775</v>
      </c>
      <c r="DI1400" s="4" t="s">
        <v>241</v>
      </c>
      <c r="DJ1400" s="4" t="s">
        <v>241</v>
      </c>
      <c r="DK1400" s="4" t="s">
        <v>241</v>
      </c>
      <c r="DL1400" s="4" t="s">
        <v>241</v>
      </c>
      <c r="DP1400" s="4" t="s">
        <v>241</v>
      </c>
      <c r="DQ1400" s="4" t="s">
        <v>241</v>
      </c>
      <c r="DR1400" s="4" t="s">
        <v>241</v>
      </c>
      <c r="DS1400" s="4" t="s">
        <v>241</v>
      </c>
      <c r="DV1400" s="4" t="s">
        <v>278</v>
      </c>
      <c r="DW1400" s="4" t="s">
        <v>2745</v>
      </c>
      <c r="HO1400" s="4" t="s">
        <v>267</v>
      </c>
    </row>
    <row r="1401" spans="1:223" ht="19.5" customHeight="1" x14ac:dyDescent="0.4">
      <c r="A1401" s="4">
        <v>1</v>
      </c>
      <c r="B1401" s="4" t="s">
        <v>239</v>
      </c>
      <c r="C1401" s="4">
        <v>3075</v>
      </c>
      <c r="D1401" s="4">
        <v>1</v>
      </c>
      <c r="E1401" s="4">
        <v>1</v>
      </c>
      <c r="F1401" s="4" t="s">
        <v>268</v>
      </c>
      <c r="G1401" s="4" t="s">
        <v>241</v>
      </c>
      <c r="H1401" s="4" t="s">
        <v>241</v>
      </c>
      <c r="I1401" s="4" t="s">
        <v>272</v>
      </c>
      <c r="J1401" s="4" t="s">
        <v>274</v>
      </c>
      <c r="K1401" s="4" t="s">
        <v>251</v>
      </c>
      <c r="L1401" s="4" t="s">
        <v>269</v>
      </c>
      <c r="M1401" s="5" t="s">
        <v>2742</v>
      </c>
      <c r="N1401" s="6">
        <f>1511</f>
        <v>1511</v>
      </c>
      <c r="O1401" s="4" t="s">
        <v>265</v>
      </c>
      <c r="P1401" s="6">
        <f>1</f>
        <v>1</v>
      </c>
      <c r="Q1401" s="6">
        <f>0</f>
        <v>0</v>
      </c>
      <c r="S1401" s="6">
        <f>0</f>
        <v>0</v>
      </c>
      <c r="T1401" s="6">
        <f>1</f>
        <v>1</v>
      </c>
      <c r="U1401" s="5" t="s">
        <v>245</v>
      </c>
      <c r="V1401" s="4" t="s">
        <v>270</v>
      </c>
      <c r="W1401" s="4" t="s">
        <v>271</v>
      </c>
      <c r="X1401" s="4" t="s">
        <v>273</v>
      </c>
      <c r="Y1401" s="4" t="s">
        <v>241</v>
      </c>
      <c r="AB1401" s="4" t="s">
        <v>241</v>
      </c>
      <c r="AD1401" s="5" t="s">
        <v>241</v>
      </c>
      <c r="AG1401" s="5" t="s">
        <v>246</v>
      </c>
      <c r="AH1401" s="4" t="s">
        <v>241</v>
      </c>
      <c r="AI1401" s="4" t="s">
        <v>247</v>
      </c>
      <c r="AJ1401" s="4" t="s">
        <v>248</v>
      </c>
      <c r="AZ1401" s="4" t="s">
        <v>249</v>
      </c>
      <c r="BA1401" s="4" t="s">
        <v>241</v>
      </c>
      <c r="BB1401" s="4" t="s">
        <v>250</v>
      </c>
      <c r="BC1401" s="4" t="s">
        <v>241</v>
      </c>
      <c r="BD1401" s="4" t="s">
        <v>252</v>
      </c>
      <c r="BE1401" s="4" t="s">
        <v>241</v>
      </c>
      <c r="BI1401" s="4" t="s">
        <v>253</v>
      </c>
      <c r="BJ1401" s="5" t="s">
        <v>246</v>
      </c>
      <c r="BK1401" s="4" t="s">
        <v>254</v>
      </c>
      <c r="BL1401" s="4" t="s">
        <v>255</v>
      </c>
      <c r="BM1401" s="4" t="s">
        <v>241</v>
      </c>
      <c r="BN1401" s="6">
        <f>0</f>
        <v>0</v>
      </c>
      <c r="BO1401" s="6">
        <f>0</f>
        <v>0</v>
      </c>
      <c r="BP1401" s="4" t="s">
        <v>256</v>
      </c>
      <c r="BQ1401" s="4" t="s">
        <v>257</v>
      </c>
      <c r="CE1401" s="4" t="s">
        <v>241</v>
      </c>
      <c r="CF1401" s="4" t="s">
        <v>241</v>
      </c>
      <c r="CJ1401" s="4" t="s">
        <v>276</v>
      </c>
      <c r="CK1401" s="4" t="s">
        <v>259</v>
      </c>
      <c r="CL1401" s="4" t="s">
        <v>241</v>
      </c>
      <c r="CO1401" s="5" t="s">
        <v>260</v>
      </c>
      <c r="CP1401" s="4" t="s">
        <v>241</v>
      </c>
      <c r="CQ1401" s="4" t="s">
        <v>261</v>
      </c>
      <c r="CR1401" s="4" t="s">
        <v>241</v>
      </c>
      <c r="CS1401" s="4" t="s">
        <v>241</v>
      </c>
      <c r="CT1401" s="4">
        <v>0</v>
      </c>
      <c r="CU1401" s="4" t="s">
        <v>262</v>
      </c>
      <c r="CV1401" s="4" t="s">
        <v>263</v>
      </c>
      <c r="CW1401" s="4" t="s">
        <v>263</v>
      </c>
      <c r="CX1401" s="4" t="s">
        <v>264</v>
      </c>
      <c r="DA1401" s="6">
        <f>1</f>
        <v>1</v>
      </c>
      <c r="DC1401" s="4" t="s">
        <v>277</v>
      </c>
      <c r="DD1401" s="4" t="s">
        <v>241</v>
      </c>
      <c r="DF1401" s="4" t="s">
        <v>277</v>
      </c>
      <c r="DG1401" s="6">
        <f>1511</f>
        <v>1511</v>
      </c>
      <c r="DI1401" s="4" t="s">
        <v>241</v>
      </c>
      <c r="DJ1401" s="4" t="s">
        <v>241</v>
      </c>
      <c r="DK1401" s="4" t="s">
        <v>241</v>
      </c>
      <c r="DL1401" s="4" t="s">
        <v>241</v>
      </c>
      <c r="DP1401" s="4" t="s">
        <v>241</v>
      </c>
      <c r="DQ1401" s="4" t="s">
        <v>241</v>
      </c>
      <c r="DR1401" s="4" t="s">
        <v>241</v>
      </c>
      <c r="DS1401" s="4" t="s">
        <v>241</v>
      </c>
      <c r="DV1401" s="4" t="s">
        <v>278</v>
      </c>
      <c r="DW1401" s="4" t="s">
        <v>2743</v>
      </c>
      <c r="HO1401" s="4" t="s">
        <v>267</v>
      </c>
    </row>
    <row r="1402" spans="1:223" ht="19.5" customHeight="1" x14ac:dyDescent="0.4">
      <c r="A1402" s="4">
        <v>1</v>
      </c>
      <c r="B1402" s="4" t="s">
        <v>239</v>
      </c>
      <c r="C1402" s="4">
        <v>3076</v>
      </c>
      <c r="D1402" s="4">
        <v>1</v>
      </c>
      <c r="E1402" s="4">
        <v>1</v>
      </c>
      <c r="F1402" s="4" t="s">
        <v>268</v>
      </c>
      <c r="G1402" s="4" t="s">
        <v>241</v>
      </c>
      <c r="H1402" s="4" t="s">
        <v>241</v>
      </c>
      <c r="I1402" s="4" t="s">
        <v>272</v>
      </c>
      <c r="J1402" s="4" t="s">
        <v>274</v>
      </c>
      <c r="K1402" s="4" t="s">
        <v>251</v>
      </c>
      <c r="L1402" s="4" t="s">
        <v>269</v>
      </c>
      <c r="M1402" s="5" t="s">
        <v>2740</v>
      </c>
      <c r="N1402" s="6">
        <f>255</f>
        <v>255</v>
      </c>
      <c r="O1402" s="4" t="s">
        <v>265</v>
      </c>
      <c r="P1402" s="6">
        <f>1</f>
        <v>1</v>
      </c>
      <c r="Q1402" s="6">
        <f>0</f>
        <v>0</v>
      </c>
      <c r="S1402" s="6">
        <f>0</f>
        <v>0</v>
      </c>
      <c r="T1402" s="6">
        <f>1</f>
        <v>1</v>
      </c>
      <c r="U1402" s="5" t="s">
        <v>245</v>
      </c>
      <c r="V1402" s="4" t="s">
        <v>270</v>
      </c>
      <c r="W1402" s="4" t="s">
        <v>271</v>
      </c>
      <c r="X1402" s="4" t="s">
        <v>273</v>
      </c>
      <c r="Y1402" s="4" t="s">
        <v>241</v>
      </c>
      <c r="AB1402" s="4" t="s">
        <v>241</v>
      </c>
      <c r="AD1402" s="5" t="s">
        <v>241</v>
      </c>
      <c r="AG1402" s="5" t="s">
        <v>246</v>
      </c>
      <c r="AH1402" s="4" t="s">
        <v>241</v>
      </c>
      <c r="AI1402" s="4" t="s">
        <v>247</v>
      </c>
      <c r="AJ1402" s="4" t="s">
        <v>248</v>
      </c>
      <c r="AZ1402" s="4" t="s">
        <v>249</v>
      </c>
      <c r="BA1402" s="4" t="s">
        <v>241</v>
      </c>
      <c r="BB1402" s="4" t="s">
        <v>250</v>
      </c>
      <c r="BC1402" s="4" t="s">
        <v>241</v>
      </c>
      <c r="BD1402" s="4" t="s">
        <v>252</v>
      </c>
      <c r="BE1402" s="4" t="s">
        <v>241</v>
      </c>
      <c r="BI1402" s="4" t="s">
        <v>253</v>
      </c>
      <c r="BJ1402" s="5" t="s">
        <v>246</v>
      </c>
      <c r="BK1402" s="4" t="s">
        <v>254</v>
      </c>
      <c r="BL1402" s="4" t="s">
        <v>255</v>
      </c>
      <c r="BM1402" s="4" t="s">
        <v>241</v>
      </c>
      <c r="BN1402" s="6">
        <f>0</f>
        <v>0</v>
      </c>
      <c r="BO1402" s="6">
        <f>0</f>
        <v>0</v>
      </c>
      <c r="BP1402" s="4" t="s">
        <v>256</v>
      </c>
      <c r="BQ1402" s="4" t="s">
        <v>257</v>
      </c>
      <c r="CE1402" s="4" t="s">
        <v>241</v>
      </c>
      <c r="CF1402" s="4" t="s">
        <v>241</v>
      </c>
      <c r="CJ1402" s="4" t="s">
        <v>276</v>
      </c>
      <c r="CK1402" s="4" t="s">
        <v>259</v>
      </c>
      <c r="CL1402" s="4" t="s">
        <v>241</v>
      </c>
      <c r="CO1402" s="5" t="s">
        <v>260</v>
      </c>
      <c r="CP1402" s="4" t="s">
        <v>241</v>
      </c>
      <c r="CQ1402" s="4" t="s">
        <v>261</v>
      </c>
      <c r="CR1402" s="4" t="s">
        <v>241</v>
      </c>
      <c r="CS1402" s="4" t="s">
        <v>241</v>
      </c>
      <c r="CT1402" s="4">
        <v>0</v>
      </c>
      <c r="CU1402" s="4" t="s">
        <v>262</v>
      </c>
      <c r="CV1402" s="4" t="s">
        <v>263</v>
      </c>
      <c r="CW1402" s="4" t="s">
        <v>263</v>
      </c>
      <c r="CX1402" s="4" t="s">
        <v>264</v>
      </c>
      <c r="DA1402" s="6">
        <f>1</f>
        <v>1</v>
      </c>
      <c r="DC1402" s="4" t="s">
        <v>277</v>
      </c>
      <c r="DD1402" s="4" t="s">
        <v>241</v>
      </c>
      <c r="DF1402" s="4" t="s">
        <v>277</v>
      </c>
      <c r="DG1402" s="6">
        <f>255</f>
        <v>255</v>
      </c>
      <c r="DI1402" s="4" t="s">
        <v>241</v>
      </c>
      <c r="DJ1402" s="4" t="s">
        <v>241</v>
      </c>
      <c r="DK1402" s="4" t="s">
        <v>241</v>
      </c>
      <c r="DL1402" s="4" t="s">
        <v>241</v>
      </c>
      <c r="DP1402" s="4" t="s">
        <v>241</v>
      </c>
      <c r="DQ1402" s="4" t="s">
        <v>241</v>
      </c>
      <c r="DR1402" s="4" t="s">
        <v>241</v>
      </c>
      <c r="DS1402" s="4" t="s">
        <v>241</v>
      </c>
      <c r="DV1402" s="4" t="s">
        <v>278</v>
      </c>
      <c r="DW1402" s="4" t="s">
        <v>2741</v>
      </c>
      <c r="HO1402" s="4" t="s">
        <v>267</v>
      </c>
    </row>
    <row r="1403" spans="1:223" ht="19.5" customHeight="1" x14ac:dyDescent="0.4">
      <c r="A1403" s="4">
        <v>1</v>
      </c>
      <c r="B1403" s="4" t="s">
        <v>239</v>
      </c>
      <c r="C1403" s="4">
        <v>3077</v>
      </c>
      <c r="D1403" s="4">
        <v>1</v>
      </c>
      <c r="E1403" s="4">
        <v>1</v>
      </c>
      <c r="F1403" s="4" t="s">
        <v>268</v>
      </c>
      <c r="G1403" s="4" t="s">
        <v>241</v>
      </c>
      <c r="H1403" s="4" t="s">
        <v>241</v>
      </c>
      <c r="I1403" s="4" t="s">
        <v>272</v>
      </c>
      <c r="J1403" s="4" t="s">
        <v>274</v>
      </c>
      <c r="K1403" s="4" t="s">
        <v>251</v>
      </c>
      <c r="L1403" s="4" t="s">
        <v>269</v>
      </c>
      <c r="M1403" s="5" t="s">
        <v>2738</v>
      </c>
      <c r="N1403" s="6">
        <f>677</f>
        <v>677</v>
      </c>
      <c r="O1403" s="4" t="s">
        <v>265</v>
      </c>
      <c r="P1403" s="6">
        <f>1</f>
        <v>1</v>
      </c>
      <c r="Q1403" s="6">
        <f>0</f>
        <v>0</v>
      </c>
      <c r="S1403" s="6">
        <f>0</f>
        <v>0</v>
      </c>
      <c r="T1403" s="6">
        <f>1</f>
        <v>1</v>
      </c>
      <c r="U1403" s="5" t="s">
        <v>245</v>
      </c>
      <c r="V1403" s="4" t="s">
        <v>270</v>
      </c>
      <c r="W1403" s="4" t="s">
        <v>271</v>
      </c>
      <c r="X1403" s="4" t="s">
        <v>273</v>
      </c>
      <c r="Y1403" s="4" t="s">
        <v>241</v>
      </c>
      <c r="AB1403" s="4" t="s">
        <v>241</v>
      </c>
      <c r="AD1403" s="5" t="s">
        <v>241</v>
      </c>
      <c r="AG1403" s="5" t="s">
        <v>246</v>
      </c>
      <c r="AH1403" s="4" t="s">
        <v>241</v>
      </c>
      <c r="AI1403" s="4" t="s">
        <v>247</v>
      </c>
      <c r="AJ1403" s="4" t="s">
        <v>248</v>
      </c>
      <c r="AZ1403" s="4" t="s">
        <v>249</v>
      </c>
      <c r="BA1403" s="4" t="s">
        <v>241</v>
      </c>
      <c r="BB1403" s="4" t="s">
        <v>250</v>
      </c>
      <c r="BC1403" s="4" t="s">
        <v>241</v>
      </c>
      <c r="BD1403" s="4" t="s">
        <v>252</v>
      </c>
      <c r="BE1403" s="4" t="s">
        <v>241</v>
      </c>
      <c r="BI1403" s="4" t="s">
        <v>253</v>
      </c>
      <c r="BJ1403" s="5" t="s">
        <v>246</v>
      </c>
      <c r="BK1403" s="4" t="s">
        <v>254</v>
      </c>
      <c r="BL1403" s="4" t="s">
        <v>255</v>
      </c>
      <c r="BM1403" s="4" t="s">
        <v>241</v>
      </c>
      <c r="BN1403" s="6">
        <f>0</f>
        <v>0</v>
      </c>
      <c r="BO1403" s="6">
        <f>0</f>
        <v>0</v>
      </c>
      <c r="BP1403" s="4" t="s">
        <v>256</v>
      </c>
      <c r="BQ1403" s="4" t="s">
        <v>257</v>
      </c>
      <c r="CE1403" s="4" t="s">
        <v>241</v>
      </c>
      <c r="CF1403" s="4" t="s">
        <v>241</v>
      </c>
      <c r="CJ1403" s="4" t="s">
        <v>276</v>
      </c>
      <c r="CK1403" s="4" t="s">
        <v>259</v>
      </c>
      <c r="CL1403" s="4" t="s">
        <v>241</v>
      </c>
      <c r="CO1403" s="5" t="s">
        <v>260</v>
      </c>
      <c r="CP1403" s="4" t="s">
        <v>241</v>
      </c>
      <c r="CQ1403" s="4" t="s">
        <v>261</v>
      </c>
      <c r="CR1403" s="4" t="s">
        <v>241</v>
      </c>
      <c r="CS1403" s="4" t="s">
        <v>241</v>
      </c>
      <c r="CT1403" s="4">
        <v>0</v>
      </c>
      <c r="CU1403" s="4" t="s">
        <v>262</v>
      </c>
      <c r="CV1403" s="4" t="s">
        <v>263</v>
      </c>
      <c r="CW1403" s="4" t="s">
        <v>263</v>
      </c>
      <c r="CX1403" s="4" t="s">
        <v>264</v>
      </c>
      <c r="DA1403" s="6">
        <f>1</f>
        <v>1</v>
      </c>
      <c r="DC1403" s="4" t="s">
        <v>277</v>
      </c>
      <c r="DD1403" s="4" t="s">
        <v>241</v>
      </c>
      <c r="DF1403" s="4" t="s">
        <v>277</v>
      </c>
      <c r="DG1403" s="6">
        <f>677</f>
        <v>677</v>
      </c>
      <c r="DI1403" s="4" t="s">
        <v>241</v>
      </c>
      <c r="DJ1403" s="4" t="s">
        <v>241</v>
      </c>
      <c r="DK1403" s="4" t="s">
        <v>241</v>
      </c>
      <c r="DL1403" s="4" t="s">
        <v>241</v>
      </c>
      <c r="DP1403" s="4" t="s">
        <v>241</v>
      </c>
      <c r="DQ1403" s="4" t="s">
        <v>241</v>
      </c>
      <c r="DR1403" s="4" t="s">
        <v>241</v>
      </c>
      <c r="DS1403" s="4" t="s">
        <v>241</v>
      </c>
      <c r="DV1403" s="4" t="s">
        <v>278</v>
      </c>
      <c r="DW1403" s="4" t="s">
        <v>2739</v>
      </c>
      <c r="HO1403" s="4" t="s">
        <v>267</v>
      </c>
    </row>
    <row r="1404" spans="1:223" ht="19.5" customHeight="1" x14ac:dyDescent="0.4">
      <c r="A1404" s="4">
        <v>1</v>
      </c>
      <c r="B1404" s="4" t="s">
        <v>239</v>
      </c>
      <c r="C1404" s="4">
        <v>3078</v>
      </c>
      <c r="D1404" s="4">
        <v>1</v>
      </c>
      <c r="E1404" s="4">
        <v>1</v>
      </c>
      <c r="F1404" s="4" t="s">
        <v>268</v>
      </c>
      <c r="G1404" s="4" t="s">
        <v>241</v>
      </c>
      <c r="H1404" s="4" t="s">
        <v>241</v>
      </c>
      <c r="I1404" s="4" t="s">
        <v>272</v>
      </c>
      <c r="J1404" s="4" t="s">
        <v>274</v>
      </c>
      <c r="K1404" s="4" t="s">
        <v>251</v>
      </c>
      <c r="L1404" s="4" t="s">
        <v>269</v>
      </c>
      <c r="M1404" s="5" t="s">
        <v>2736</v>
      </c>
      <c r="N1404" s="6">
        <f>1549</f>
        <v>1549</v>
      </c>
      <c r="O1404" s="4" t="s">
        <v>265</v>
      </c>
      <c r="P1404" s="6">
        <f>1</f>
        <v>1</v>
      </c>
      <c r="Q1404" s="6">
        <f>0</f>
        <v>0</v>
      </c>
      <c r="S1404" s="6">
        <f>0</f>
        <v>0</v>
      </c>
      <c r="T1404" s="6">
        <f>1</f>
        <v>1</v>
      </c>
      <c r="U1404" s="5" t="s">
        <v>245</v>
      </c>
      <c r="V1404" s="4" t="s">
        <v>270</v>
      </c>
      <c r="W1404" s="4" t="s">
        <v>271</v>
      </c>
      <c r="X1404" s="4" t="s">
        <v>273</v>
      </c>
      <c r="Y1404" s="4" t="s">
        <v>241</v>
      </c>
      <c r="AB1404" s="4" t="s">
        <v>241</v>
      </c>
      <c r="AD1404" s="5" t="s">
        <v>241</v>
      </c>
      <c r="AG1404" s="5" t="s">
        <v>246</v>
      </c>
      <c r="AH1404" s="4" t="s">
        <v>241</v>
      </c>
      <c r="AI1404" s="4" t="s">
        <v>247</v>
      </c>
      <c r="AJ1404" s="4" t="s">
        <v>248</v>
      </c>
      <c r="AZ1404" s="4" t="s">
        <v>249</v>
      </c>
      <c r="BA1404" s="4" t="s">
        <v>241</v>
      </c>
      <c r="BB1404" s="4" t="s">
        <v>250</v>
      </c>
      <c r="BC1404" s="4" t="s">
        <v>241</v>
      </c>
      <c r="BD1404" s="4" t="s">
        <v>252</v>
      </c>
      <c r="BE1404" s="4" t="s">
        <v>241</v>
      </c>
      <c r="BI1404" s="4" t="s">
        <v>253</v>
      </c>
      <c r="BJ1404" s="5" t="s">
        <v>246</v>
      </c>
      <c r="BK1404" s="4" t="s">
        <v>254</v>
      </c>
      <c r="BL1404" s="4" t="s">
        <v>255</v>
      </c>
      <c r="BM1404" s="4" t="s">
        <v>241</v>
      </c>
      <c r="BN1404" s="6">
        <f>0</f>
        <v>0</v>
      </c>
      <c r="BO1404" s="6">
        <f>0</f>
        <v>0</v>
      </c>
      <c r="BP1404" s="4" t="s">
        <v>256</v>
      </c>
      <c r="BQ1404" s="4" t="s">
        <v>257</v>
      </c>
      <c r="CE1404" s="4" t="s">
        <v>241</v>
      </c>
      <c r="CF1404" s="4" t="s">
        <v>241</v>
      </c>
      <c r="CJ1404" s="4" t="s">
        <v>276</v>
      </c>
      <c r="CK1404" s="4" t="s">
        <v>259</v>
      </c>
      <c r="CL1404" s="4" t="s">
        <v>241</v>
      </c>
      <c r="CO1404" s="5" t="s">
        <v>260</v>
      </c>
      <c r="CP1404" s="4" t="s">
        <v>241</v>
      </c>
      <c r="CQ1404" s="4" t="s">
        <v>261</v>
      </c>
      <c r="CR1404" s="4" t="s">
        <v>241</v>
      </c>
      <c r="CS1404" s="4" t="s">
        <v>241</v>
      </c>
      <c r="CT1404" s="4">
        <v>0</v>
      </c>
      <c r="CU1404" s="4" t="s">
        <v>262</v>
      </c>
      <c r="CV1404" s="4" t="s">
        <v>263</v>
      </c>
      <c r="CW1404" s="4" t="s">
        <v>263</v>
      </c>
      <c r="CX1404" s="4" t="s">
        <v>264</v>
      </c>
      <c r="DA1404" s="6">
        <f>1</f>
        <v>1</v>
      </c>
      <c r="DC1404" s="4" t="s">
        <v>277</v>
      </c>
      <c r="DD1404" s="4" t="s">
        <v>241</v>
      </c>
      <c r="DF1404" s="4" t="s">
        <v>277</v>
      </c>
      <c r="DG1404" s="6">
        <f>1549</f>
        <v>1549</v>
      </c>
      <c r="DI1404" s="4" t="s">
        <v>241</v>
      </c>
      <c r="DJ1404" s="4" t="s">
        <v>241</v>
      </c>
      <c r="DK1404" s="4" t="s">
        <v>241</v>
      </c>
      <c r="DL1404" s="4" t="s">
        <v>241</v>
      </c>
      <c r="DP1404" s="4" t="s">
        <v>241</v>
      </c>
      <c r="DQ1404" s="4" t="s">
        <v>241</v>
      </c>
      <c r="DR1404" s="4" t="s">
        <v>241</v>
      </c>
      <c r="DS1404" s="4" t="s">
        <v>241</v>
      </c>
      <c r="DV1404" s="4" t="s">
        <v>278</v>
      </c>
      <c r="DW1404" s="4" t="s">
        <v>2737</v>
      </c>
      <c r="HO1404" s="4" t="s">
        <v>267</v>
      </c>
    </row>
    <row r="1405" spans="1:223" ht="19.5" customHeight="1" x14ac:dyDescent="0.4">
      <c r="A1405" s="4">
        <v>1</v>
      </c>
      <c r="B1405" s="4" t="s">
        <v>239</v>
      </c>
      <c r="C1405" s="4">
        <v>3079</v>
      </c>
      <c r="D1405" s="4">
        <v>1</v>
      </c>
      <c r="E1405" s="4">
        <v>1</v>
      </c>
      <c r="F1405" s="4" t="s">
        <v>268</v>
      </c>
      <c r="G1405" s="4" t="s">
        <v>241</v>
      </c>
      <c r="H1405" s="4" t="s">
        <v>241</v>
      </c>
      <c r="I1405" s="4" t="s">
        <v>272</v>
      </c>
      <c r="J1405" s="4" t="s">
        <v>274</v>
      </c>
      <c r="K1405" s="4" t="s">
        <v>251</v>
      </c>
      <c r="L1405" s="4" t="s">
        <v>269</v>
      </c>
      <c r="M1405" s="5" t="s">
        <v>2734</v>
      </c>
      <c r="N1405" s="6">
        <f>410</f>
        <v>410</v>
      </c>
      <c r="O1405" s="4" t="s">
        <v>265</v>
      </c>
      <c r="P1405" s="6">
        <f>1</f>
        <v>1</v>
      </c>
      <c r="Q1405" s="6">
        <f>0</f>
        <v>0</v>
      </c>
      <c r="S1405" s="6">
        <f>0</f>
        <v>0</v>
      </c>
      <c r="T1405" s="6">
        <f>1</f>
        <v>1</v>
      </c>
      <c r="U1405" s="5" t="s">
        <v>245</v>
      </c>
      <c r="V1405" s="4" t="s">
        <v>270</v>
      </c>
      <c r="W1405" s="4" t="s">
        <v>271</v>
      </c>
      <c r="X1405" s="4" t="s">
        <v>273</v>
      </c>
      <c r="Y1405" s="4" t="s">
        <v>241</v>
      </c>
      <c r="AB1405" s="4" t="s">
        <v>241</v>
      </c>
      <c r="AD1405" s="5" t="s">
        <v>241</v>
      </c>
      <c r="AG1405" s="5" t="s">
        <v>246</v>
      </c>
      <c r="AH1405" s="4" t="s">
        <v>241</v>
      </c>
      <c r="AI1405" s="4" t="s">
        <v>247</v>
      </c>
      <c r="AJ1405" s="4" t="s">
        <v>248</v>
      </c>
      <c r="AZ1405" s="4" t="s">
        <v>249</v>
      </c>
      <c r="BA1405" s="4" t="s">
        <v>241</v>
      </c>
      <c r="BB1405" s="4" t="s">
        <v>250</v>
      </c>
      <c r="BC1405" s="4" t="s">
        <v>241</v>
      </c>
      <c r="BD1405" s="4" t="s">
        <v>252</v>
      </c>
      <c r="BE1405" s="4" t="s">
        <v>241</v>
      </c>
      <c r="BI1405" s="4" t="s">
        <v>253</v>
      </c>
      <c r="BJ1405" s="5" t="s">
        <v>246</v>
      </c>
      <c r="BK1405" s="4" t="s">
        <v>254</v>
      </c>
      <c r="BL1405" s="4" t="s">
        <v>255</v>
      </c>
      <c r="BM1405" s="4" t="s">
        <v>241</v>
      </c>
      <c r="BN1405" s="6">
        <f>0</f>
        <v>0</v>
      </c>
      <c r="BO1405" s="6">
        <f>0</f>
        <v>0</v>
      </c>
      <c r="BP1405" s="4" t="s">
        <v>256</v>
      </c>
      <c r="BQ1405" s="4" t="s">
        <v>257</v>
      </c>
      <c r="CE1405" s="4" t="s">
        <v>241</v>
      </c>
      <c r="CF1405" s="4" t="s">
        <v>241</v>
      </c>
      <c r="CJ1405" s="4" t="s">
        <v>276</v>
      </c>
      <c r="CK1405" s="4" t="s">
        <v>259</v>
      </c>
      <c r="CL1405" s="4" t="s">
        <v>241</v>
      </c>
      <c r="CO1405" s="5" t="s">
        <v>260</v>
      </c>
      <c r="CP1405" s="4" t="s">
        <v>241</v>
      </c>
      <c r="CQ1405" s="4" t="s">
        <v>261</v>
      </c>
      <c r="CR1405" s="4" t="s">
        <v>241</v>
      </c>
      <c r="CS1405" s="4" t="s">
        <v>241</v>
      </c>
      <c r="CT1405" s="4">
        <v>0</v>
      </c>
      <c r="CU1405" s="4" t="s">
        <v>262</v>
      </c>
      <c r="CV1405" s="4" t="s">
        <v>263</v>
      </c>
      <c r="CW1405" s="4" t="s">
        <v>263</v>
      </c>
      <c r="CX1405" s="4" t="s">
        <v>264</v>
      </c>
      <c r="DA1405" s="6">
        <f>1</f>
        <v>1</v>
      </c>
      <c r="DC1405" s="4" t="s">
        <v>277</v>
      </c>
      <c r="DD1405" s="4" t="s">
        <v>241</v>
      </c>
      <c r="DF1405" s="4" t="s">
        <v>277</v>
      </c>
      <c r="DG1405" s="6">
        <f>410</f>
        <v>410</v>
      </c>
      <c r="DI1405" s="4" t="s">
        <v>241</v>
      </c>
      <c r="DJ1405" s="4" t="s">
        <v>241</v>
      </c>
      <c r="DK1405" s="4" t="s">
        <v>241</v>
      </c>
      <c r="DL1405" s="4" t="s">
        <v>241</v>
      </c>
      <c r="DP1405" s="4" t="s">
        <v>241</v>
      </c>
      <c r="DQ1405" s="4" t="s">
        <v>241</v>
      </c>
      <c r="DR1405" s="4" t="s">
        <v>241</v>
      </c>
      <c r="DS1405" s="4" t="s">
        <v>241</v>
      </c>
      <c r="DV1405" s="4" t="s">
        <v>278</v>
      </c>
      <c r="DW1405" s="4" t="s">
        <v>2735</v>
      </c>
      <c r="HO1405" s="4" t="s">
        <v>267</v>
      </c>
    </row>
    <row r="1406" spans="1:223" ht="19.5" customHeight="1" x14ac:dyDescent="0.4">
      <c r="A1406" s="4">
        <v>1</v>
      </c>
      <c r="B1406" s="4" t="s">
        <v>239</v>
      </c>
      <c r="C1406" s="4">
        <v>3080</v>
      </c>
      <c r="D1406" s="4">
        <v>1</v>
      </c>
      <c r="E1406" s="4">
        <v>1</v>
      </c>
      <c r="F1406" s="4" t="s">
        <v>268</v>
      </c>
      <c r="G1406" s="4" t="s">
        <v>241</v>
      </c>
      <c r="H1406" s="4" t="s">
        <v>241</v>
      </c>
      <c r="I1406" s="4" t="s">
        <v>272</v>
      </c>
      <c r="J1406" s="4" t="s">
        <v>274</v>
      </c>
      <c r="K1406" s="4" t="s">
        <v>251</v>
      </c>
      <c r="L1406" s="4" t="s">
        <v>269</v>
      </c>
      <c r="M1406" s="5" t="s">
        <v>2732</v>
      </c>
      <c r="N1406" s="6">
        <f>973</f>
        <v>973</v>
      </c>
      <c r="O1406" s="4" t="s">
        <v>265</v>
      </c>
      <c r="P1406" s="6">
        <f>1</f>
        <v>1</v>
      </c>
      <c r="Q1406" s="6">
        <f>0</f>
        <v>0</v>
      </c>
      <c r="S1406" s="6">
        <f>0</f>
        <v>0</v>
      </c>
      <c r="T1406" s="6">
        <f>1</f>
        <v>1</v>
      </c>
      <c r="U1406" s="5" t="s">
        <v>245</v>
      </c>
      <c r="V1406" s="4" t="s">
        <v>270</v>
      </c>
      <c r="W1406" s="4" t="s">
        <v>271</v>
      </c>
      <c r="X1406" s="4" t="s">
        <v>273</v>
      </c>
      <c r="Y1406" s="4" t="s">
        <v>241</v>
      </c>
      <c r="AB1406" s="4" t="s">
        <v>241</v>
      </c>
      <c r="AD1406" s="5" t="s">
        <v>241</v>
      </c>
      <c r="AG1406" s="5" t="s">
        <v>246</v>
      </c>
      <c r="AH1406" s="4" t="s">
        <v>241</v>
      </c>
      <c r="AI1406" s="4" t="s">
        <v>247</v>
      </c>
      <c r="AJ1406" s="4" t="s">
        <v>248</v>
      </c>
      <c r="AZ1406" s="4" t="s">
        <v>249</v>
      </c>
      <c r="BA1406" s="4" t="s">
        <v>241</v>
      </c>
      <c r="BB1406" s="4" t="s">
        <v>250</v>
      </c>
      <c r="BC1406" s="4" t="s">
        <v>241</v>
      </c>
      <c r="BD1406" s="4" t="s">
        <v>252</v>
      </c>
      <c r="BE1406" s="4" t="s">
        <v>241</v>
      </c>
      <c r="BI1406" s="4" t="s">
        <v>253</v>
      </c>
      <c r="BJ1406" s="5" t="s">
        <v>246</v>
      </c>
      <c r="BK1406" s="4" t="s">
        <v>254</v>
      </c>
      <c r="BL1406" s="4" t="s">
        <v>255</v>
      </c>
      <c r="BM1406" s="4" t="s">
        <v>241</v>
      </c>
      <c r="BN1406" s="6">
        <f>0</f>
        <v>0</v>
      </c>
      <c r="BO1406" s="6">
        <f>0</f>
        <v>0</v>
      </c>
      <c r="BP1406" s="4" t="s">
        <v>256</v>
      </c>
      <c r="BQ1406" s="4" t="s">
        <v>257</v>
      </c>
      <c r="CE1406" s="4" t="s">
        <v>241</v>
      </c>
      <c r="CF1406" s="4" t="s">
        <v>241</v>
      </c>
      <c r="CJ1406" s="4" t="s">
        <v>276</v>
      </c>
      <c r="CK1406" s="4" t="s">
        <v>259</v>
      </c>
      <c r="CL1406" s="4" t="s">
        <v>241</v>
      </c>
      <c r="CO1406" s="5" t="s">
        <v>260</v>
      </c>
      <c r="CP1406" s="4" t="s">
        <v>241</v>
      </c>
      <c r="CQ1406" s="4" t="s">
        <v>261</v>
      </c>
      <c r="CR1406" s="4" t="s">
        <v>241</v>
      </c>
      <c r="CS1406" s="4" t="s">
        <v>241</v>
      </c>
      <c r="CT1406" s="4">
        <v>0</v>
      </c>
      <c r="CU1406" s="4" t="s">
        <v>262</v>
      </c>
      <c r="CV1406" s="4" t="s">
        <v>263</v>
      </c>
      <c r="CW1406" s="4" t="s">
        <v>263</v>
      </c>
      <c r="CX1406" s="4" t="s">
        <v>264</v>
      </c>
      <c r="DA1406" s="6">
        <f>1</f>
        <v>1</v>
      </c>
      <c r="DC1406" s="4" t="s">
        <v>277</v>
      </c>
      <c r="DD1406" s="4" t="s">
        <v>241</v>
      </c>
      <c r="DF1406" s="4" t="s">
        <v>277</v>
      </c>
      <c r="DG1406" s="6">
        <f>973</f>
        <v>973</v>
      </c>
      <c r="DI1406" s="4" t="s">
        <v>241</v>
      </c>
      <c r="DJ1406" s="4" t="s">
        <v>241</v>
      </c>
      <c r="DK1406" s="4" t="s">
        <v>241</v>
      </c>
      <c r="DL1406" s="4" t="s">
        <v>241</v>
      </c>
      <c r="DP1406" s="4" t="s">
        <v>241</v>
      </c>
      <c r="DQ1406" s="4" t="s">
        <v>241</v>
      </c>
      <c r="DR1406" s="4" t="s">
        <v>241</v>
      </c>
      <c r="DS1406" s="4" t="s">
        <v>241</v>
      </c>
      <c r="DV1406" s="4" t="s">
        <v>278</v>
      </c>
      <c r="DW1406" s="4" t="s">
        <v>2733</v>
      </c>
      <c r="HO1406" s="4" t="s">
        <v>267</v>
      </c>
    </row>
    <row r="1407" spans="1:223" ht="19.5" customHeight="1" x14ac:dyDescent="0.4">
      <c r="A1407" s="4">
        <v>1</v>
      </c>
      <c r="B1407" s="4" t="s">
        <v>239</v>
      </c>
      <c r="C1407" s="4">
        <v>3081</v>
      </c>
      <c r="D1407" s="4">
        <v>1</v>
      </c>
      <c r="E1407" s="4">
        <v>1</v>
      </c>
      <c r="F1407" s="4" t="s">
        <v>268</v>
      </c>
      <c r="G1407" s="4" t="s">
        <v>241</v>
      </c>
      <c r="H1407" s="4" t="s">
        <v>241</v>
      </c>
      <c r="I1407" s="4" t="s">
        <v>272</v>
      </c>
      <c r="J1407" s="4" t="s">
        <v>274</v>
      </c>
      <c r="K1407" s="4" t="s">
        <v>251</v>
      </c>
      <c r="L1407" s="4" t="s">
        <v>269</v>
      </c>
      <c r="M1407" s="5" t="s">
        <v>2730</v>
      </c>
      <c r="N1407" s="6">
        <f>1016</f>
        <v>1016</v>
      </c>
      <c r="O1407" s="4" t="s">
        <v>265</v>
      </c>
      <c r="P1407" s="6">
        <f>1</f>
        <v>1</v>
      </c>
      <c r="Q1407" s="6">
        <f>0</f>
        <v>0</v>
      </c>
      <c r="S1407" s="6">
        <f>0</f>
        <v>0</v>
      </c>
      <c r="T1407" s="6">
        <f>1</f>
        <v>1</v>
      </c>
      <c r="U1407" s="5" t="s">
        <v>245</v>
      </c>
      <c r="V1407" s="4" t="s">
        <v>270</v>
      </c>
      <c r="W1407" s="4" t="s">
        <v>271</v>
      </c>
      <c r="X1407" s="4" t="s">
        <v>273</v>
      </c>
      <c r="Y1407" s="4" t="s">
        <v>241</v>
      </c>
      <c r="AB1407" s="4" t="s">
        <v>241</v>
      </c>
      <c r="AD1407" s="5" t="s">
        <v>241</v>
      </c>
      <c r="AG1407" s="5" t="s">
        <v>246</v>
      </c>
      <c r="AH1407" s="4" t="s">
        <v>241</v>
      </c>
      <c r="AI1407" s="4" t="s">
        <v>247</v>
      </c>
      <c r="AJ1407" s="4" t="s">
        <v>248</v>
      </c>
      <c r="AZ1407" s="4" t="s">
        <v>249</v>
      </c>
      <c r="BA1407" s="4" t="s">
        <v>241</v>
      </c>
      <c r="BB1407" s="4" t="s">
        <v>250</v>
      </c>
      <c r="BC1407" s="4" t="s">
        <v>241</v>
      </c>
      <c r="BD1407" s="4" t="s">
        <v>252</v>
      </c>
      <c r="BE1407" s="4" t="s">
        <v>241</v>
      </c>
      <c r="BI1407" s="4" t="s">
        <v>253</v>
      </c>
      <c r="BJ1407" s="5" t="s">
        <v>246</v>
      </c>
      <c r="BK1407" s="4" t="s">
        <v>254</v>
      </c>
      <c r="BL1407" s="4" t="s">
        <v>255</v>
      </c>
      <c r="BM1407" s="4" t="s">
        <v>241</v>
      </c>
      <c r="BN1407" s="6">
        <f>0</f>
        <v>0</v>
      </c>
      <c r="BO1407" s="6">
        <f>0</f>
        <v>0</v>
      </c>
      <c r="BP1407" s="4" t="s">
        <v>256</v>
      </c>
      <c r="BQ1407" s="4" t="s">
        <v>257</v>
      </c>
      <c r="CE1407" s="4" t="s">
        <v>241</v>
      </c>
      <c r="CF1407" s="4" t="s">
        <v>241</v>
      </c>
      <c r="CJ1407" s="4" t="s">
        <v>276</v>
      </c>
      <c r="CK1407" s="4" t="s">
        <v>259</v>
      </c>
      <c r="CL1407" s="4" t="s">
        <v>241</v>
      </c>
      <c r="CO1407" s="5" t="s">
        <v>260</v>
      </c>
      <c r="CP1407" s="4" t="s">
        <v>241</v>
      </c>
      <c r="CQ1407" s="4" t="s">
        <v>261</v>
      </c>
      <c r="CR1407" s="4" t="s">
        <v>241</v>
      </c>
      <c r="CS1407" s="4" t="s">
        <v>241</v>
      </c>
      <c r="CT1407" s="4">
        <v>0</v>
      </c>
      <c r="CU1407" s="4" t="s">
        <v>262</v>
      </c>
      <c r="CV1407" s="4" t="s">
        <v>263</v>
      </c>
      <c r="CW1407" s="4" t="s">
        <v>263</v>
      </c>
      <c r="CX1407" s="4" t="s">
        <v>264</v>
      </c>
      <c r="DA1407" s="6">
        <f>1</f>
        <v>1</v>
      </c>
      <c r="DC1407" s="4" t="s">
        <v>277</v>
      </c>
      <c r="DD1407" s="4" t="s">
        <v>241</v>
      </c>
      <c r="DF1407" s="4" t="s">
        <v>277</v>
      </c>
      <c r="DG1407" s="6">
        <f>1016</f>
        <v>1016</v>
      </c>
      <c r="DI1407" s="4" t="s">
        <v>241</v>
      </c>
      <c r="DJ1407" s="4" t="s">
        <v>241</v>
      </c>
      <c r="DK1407" s="4" t="s">
        <v>241</v>
      </c>
      <c r="DL1407" s="4" t="s">
        <v>241</v>
      </c>
      <c r="DP1407" s="4" t="s">
        <v>241</v>
      </c>
      <c r="DQ1407" s="4" t="s">
        <v>241</v>
      </c>
      <c r="DR1407" s="4" t="s">
        <v>241</v>
      </c>
      <c r="DS1407" s="4" t="s">
        <v>241</v>
      </c>
      <c r="DV1407" s="4" t="s">
        <v>278</v>
      </c>
      <c r="DW1407" s="4" t="s">
        <v>2731</v>
      </c>
      <c r="HO1407" s="4" t="s">
        <v>267</v>
      </c>
    </row>
    <row r="1408" spans="1:223" ht="19.5" customHeight="1" x14ac:dyDescent="0.4">
      <c r="A1408" s="4">
        <v>1</v>
      </c>
      <c r="B1408" s="4" t="s">
        <v>239</v>
      </c>
      <c r="C1408" s="4">
        <v>3082</v>
      </c>
      <c r="D1408" s="4">
        <v>1</v>
      </c>
      <c r="E1408" s="4">
        <v>1</v>
      </c>
      <c r="F1408" s="4" t="s">
        <v>268</v>
      </c>
      <c r="G1408" s="4" t="s">
        <v>241</v>
      </c>
      <c r="H1408" s="4" t="s">
        <v>241</v>
      </c>
      <c r="I1408" s="4" t="s">
        <v>272</v>
      </c>
      <c r="J1408" s="4" t="s">
        <v>274</v>
      </c>
      <c r="K1408" s="4" t="s">
        <v>251</v>
      </c>
      <c r="L1408" s="4" t="s">
        <v>269</v>
      </c>
      <c r="M1408" s="5" t="s">
        <v>2728</v>
      </c>
      <c r="N1408" s="6">
        <f>1769</f>
        <v>1769</v>
      </c>
      <c r="O1408" s="4" t="s">
        <v>265</v>
      </c>
      <c r="P1408" s="6">
        <f>1</f>
        <v>1</v>
      </c>
      <c r="Q1408" s="6">
        <f>0</f>
        <v>0</v>
      </c>
      <c r="S1408" s="6">
        <f>0</f>
        <v>0</v>
      </c>
      <c r="T1408" s="6">
        <f>1</f>
        <v>1</v>
      </c>
      <c r="U1408" s="5" t="s">
        <v>245</v>
      </c>
      <c r="V1408" s="4" t="s">
        <v>270</v>
      </c>
      <c r="W1408" s="4" t="s">
        <v>271</v>
      </c>
      <c r="X1408" s="4" t="s">
        <v>273</v>
      </c>
      <c r="Y1408" s="4" t="s">
        <v>241</v>
      </c>
      <c r="AB1408" s="4" t="s">
        <v>241</v>
      </c>
      <c r="AD1408" s="5" t="s">
        <v>241</v>
      </c>
      <c r="AG1408" s="5" t="s">
        <v>246</v>
      </c>
      <c r="AH1408" s="4" t="s">
        <v>241</v>
      </c>
      <c r="AI1408" s="4" t="s">
        <v>247</v>
      </c>
      <c r="AJ1408" s="4" t="s">
        <v>248</v>
      </c>
      <c r="AZ1408" s="4" t="s">
        <v>249</v>
      </c>
      <c r="BA1408" s="4" t="s">
        <v>241</v>
      </c>
      <c r="BB1408" s="4" t="s">
        <v>250</v>
      </c>
      <c r="BC1408" s="4" t="s">
        <v>241</v>
      </c>
      <c r="BD1408" s="4" t="s">
        <v>252</v>
      </c>
      <c r="BE1408" s="4" t="s">
        <v>241</v>
      </c>
      <c r="BI1408" s="4" t="s">
        <v>253</v>
      </c>
      <c r="BJ1408" s="5" t="s">
        <v>246</v>
      </c>
      <c r="BK1408" s="4" t="s">
        <v>254</v>
      </c>
      <c r="BL1408" s="4" t="s">
        <v>255</v>
      </c>
      <c r="BM1408" s="4" t="s">
        <v>241</v>
      </c>
      <c r="BN1408" s="6">
        <f>0</f>
        <v>0</v>
      </c>
      <c r="BO1408" s="6">
        <f>0</f>
        <v>0</v>
      </c>
      <c r="BP1408" s="4" t="s">
        <v>256</v>
      </c>
      <c r="BQ1408" s="4" t="s">
        <v>257</v>
      </c>
      <c r="CE1408" s="4" t="s">
        <v>241</v>
      </c>
      <c r="CF1408" s="4" t="s">
        <v>241</v>
      </c>
      <c r="CJ1408" s="4" t="s">
        <v>276</v>
      </c>
      <c r="CK1408" s="4" t="s">
        <v>259</v>
      </c>
      <c r="CL1408" s="4" t="s">
        <v>241</v>
      </c>
      <c r="CO1408" s="5" t="s">
        <v>260</v>
      </c>
      <c r="CP1408" s="4" t="s">
        <v>241</v>
      </c>
      <c r="CQ1408" s="4" t="s">
        <v>261</v>
      </c>
      <c r="CR1408" s="4" t="s">
        <v>241</v>
      </c>
      <c r="CS1408" s="4" t="s">
        <v>241</v>
      </c>
      <c r="CT1408" s="4">
        <v>0</v>
      </c>
      <c r="CU1408" s="4" t="s">
        <v>262</v>
      </c>
      <c r="CV1408" s="4" t="s">
        <v>263</v>
      </c>
      <c r="CW1408" s="4" t="s">
        <v>263</v>
      </c>
      <c r="CX1408" s="4" t="s">
        <v>264</v>
      </c>
      <c r="DA1408" s="6">
        <f>1</f>
        <v>1</v>
      </c>
      <c r="DC1408" s="4" t="s">
        <v>277</v>
      </c>
      <c r="DD1408" s="4" t="s">
        <v>241</v>
      </c>
      <c r="DF1408" s="4" t="s">
        <v>277</v>
      </c>
      <c r="DG1408" s="6">
        <f>1769</f>
        <v>1769</v>
      </c>
      <c r="DI1408" s="4" t="s">
        <v>241</v>
      </c>
      <c r="DJ1408" s="4" t="s">
        <v>241</v>
      </c>
      <c r="DK1408" s="4" t="s">
        <v>241</v>
      </c>
      <c r="DL1408" s="4" t="s">
        <v>241</v>
      </c>
      <c r="DP1408" s="4" t="s">
        <v>241</v>
      </c>
      <c r="DQ1408" s="4" t="s">
        <v>241</v>
      </c>
      <c r="DR1408" s="4" t="s">
        <v>241</v>
      </c>
      <c r="DS1408" s="4" t="s">
        <v>241</v>
      </c>
      <c r="DV1408" s="4" t="s">
        <v>278</v>
      </c>
      <c r="DW1408" s="4" t="s">
        <v>2729</v>
      </c>
      <c r="HO1408" s="4" t="s">
        <v>267</v>
      </c>
    </row>
    <row r="1409" spans="1:223" ht="19.5" customHeight="1" x14ac:dyDescent="0.4">
      <c r="A1409" s="4">
        <v>1</v>
      </c>
      <c r="B1409" s="4" t="s">
        <v>239</v>
      </c>
      <c r="C1409" s="4">
        <v>3083</v>
      </c>
      <c r="D1409" s="4">
        <v>1</v>
      </c>
      <c r="E1409" s="4">
        <v>1</v>
      </c>
      <c r="F1409" s="4" t="s">
        <v>268</v>
      </c>
      <c r="G1409" s="4" t="s">
        <v>241</v>
      </c>
      <c r="H1409" s="4" t="s">
        <v>241</v>
      </c>
      <c r="I1409" s="4" t="s">
        <v>272</v>
      </c>
      <c r="J1409" s="4" t="s">
        <v>274</v>
      </c>
      <c r="K1409" s="4" t="s">
        <v>251</v>
      </c>
      <c r="L1409" s="4" t="s">
        <v>269</v>
      </c>
      <c r="M1409" s="5" t="s">
        <v>2726</v>
      </c>
      <c r="N1409" s="6">
        <f>772</f>
        <v>772</v>
      </c>
      <c r="O1409" s="4" t="s">
        <v>265</v>
      </c>
      <c r="P1409" s="6">
        <f>1</f>
        <v>1</v>
      </c>
      <c r="Q1409" s="6">
        <f>0</f>
        <v>0</v>
      </c>
      <c r="S1409" s="6">
        <f>0</f>
        <v>0</v>
      </c>
      <c r="T1409" s="6">
        <f>1</f>
        <v>1</v>
      </c>
      <c r="U1409" s="5" t="s">
        <v>245</v>
      </c>
      <c r="V1409" s="4" t="s">
        <v>270</v>
      </c>
      <c r="W1409" s="4" t="s">
        <v>271</v>
      </c>
      <c r="X1409" s="4" t="s">
        <v>273</v>
      </c>
      <c r="Y1409" s="4" t="s">
        <v>241</v>
      </c>
      <c r="AB1409" s="4" t="s">
        <v>241</v>
      </c>
      <c r="AD1409" s="5" t="s">
        <v>241</v>
      </c>
      <c r="AG1409" s="5" t="s">
        <v>246</v>
      </c>
      <c r="AH1409" s="4" t="s">
        <v>241</v>
      </c>
      <c r="AI1409" s="4" t="s">
        <v>247</v>
      </c>
      <c r="AJ1409" s="4" t="s">
        <v>248</v>
      </c>
      <c r="AZ1409" s="4" t="s">
        <v>249</v>
      </c>
      <c r="BA1409" s="4" t="s">
        <v>241</v>
      </c>
      <c r="BB1409" s="4" t="s">
        <v>250</v>
      </c>
      <c r="BC1409" s="4" t="s">
        <v>241</v>
      </c>
      <c r="BD1409" s="4" t="s">
        <v>252</v>
      </c>
      <c r="BE1409" s="4" t="s">
        <v>241</v>
      </c>
      <c r="BI1409" s="4" t="s">
        <v>253</v>
      </c>
      <c r="BJ1409" s="5" t="s">
        <v>246</v>
      </c>
      <c r="BK1409" s="4" t="s">
        <v>254</v>
      </c>
      <c r="BL1409" s="4" t="s">
        <v>255</v>
      </c>
      <c r="BM1409" s="4" t="s">
        <v>241</v>
      </c>
      <c r="BN1409" s="6">
        <f>0</f>
        <v>0</v>
      </c>
      <c r="BO1409" s="6">
        <f>0</f>
        <v>0</v>
      </c>
      <c r="BP1409" s="4" t="s">
        <v>256</v>
      </c>
      <c r="BQ1409" s="4" t="s">
        <v>257</v>
      </c>
      <c r="CE1409" s="4" t="s">
        <v>241</v>
      </c>
      <c r="CF1409" s="4" t="s">
        <v>241</v>
      </c>
      <c r="CJ1409" s="4" t="s">
        <v>276</v>
      </c>
      <c r="CK1409" s="4" t="s">
        <v>259</v>
      </c>
      <c r="CL1409" s="4" t="s">
        <v>241</v>
      </c>
      <c r="CO1409" s="5" t="s">
        <v>260</v>
      </c>
      <c r="CP1409" s="4" t="s">
        <v>241</v>
      </c>
      <c r="CQ1409" s="4" t="s">
        <v>261</v>
      </c>
      <c r="CR1409" s="4" t="s">
        <v>241</v>
      </c>
      <c r="CS1409" s="4" t="s">
        <v>241</v>
      </c>
      <c r="CT1409" s="4">
        <v>0</v>
      </c>
      <c r="CU1409" s="4" t="s">
        <v>262</v>
      </c>
      <c r="CV1409" s="4" t="s">
        <v>263</v>
      </c>
      <c r="CW1409" s="4" t="s">
        <v>263</v>
      </c>
      <c r="CX1409" s="4" t="s">
        <v>264</v>
      </c>
      <c r="DA1409" s="6">
        <f>1</f>
        <v>1</v>
      </c>
      <c r="DC1409" s="4" t="s">
        <v>277</v>
      </c>
      <c r="DD1409" s="4" t="s">
        <v>241</v>
      </c>
      <c r="DF1409" s="4" t="s">
        <v>277</v>
      </c>
      <c r="DG1409" s="6">
        <f>772</f>
        <v>772</v>
      </c>
      <c r="DI1409" s="4" t="s">
        <v>241</v>
      </c>
      <c r="DJ1409" s="4" t="s">
        <v>241</v>
      </c>
      <c r="DK1409" s="4" t="s">
        <v>241</v>
      </c>
      <c r="DL1409" s="4" t="s">
        <v>241</v>
      </c>
      <c r="DP1409" s="4" t="s">
        <v>241</v>
      </c>
      <c r="DQ1409" s="4" t="s">
        <v>241</v>
      </c>
      <c r="DR1409" s="4" t="s">
        <v>241</v>
      </c>
      <c r="DS1409" s="4" t="s">
        <v>241</v>
      </c>
      <c r="DV1409" s="4" t="s">
        <v>278</v>
      </c>
      <c r="DW1409" s="4" t="s">
        <v>2727</v>
      </c>
      <c r="HO1409" s="4" t="s">
        <v>267</v>
      </c>
    </row>
    <row r="1410" spans="1:223" ht="19.5" customHeight="1" x14ac:dyDescent="0.4">
      <c r="A1410" s="4">
        <v>1</v>
      </c>
      <c r="B1410" s="4" t="s">
        <v>239</v>
      </c>
      <c r="C1410" s="4">
        <v>3084</v>
      </c>
      <c r="D1410" s="4">
        <v>1</v>
      </c>
      <c r="E1410" s="4">
        <v>1</v>
      </c>
      <c r="F1410" s="4" t="s">
        <v>268</v>
      </c>
      <c r="G1410" s="4" t="s">
        <v>241</v>
      </c>
      <c r="H1410" s="4" t="s">
        <v>241</v>
      </c>
      <c r="I1410" s="4" t="s">
        <v>272</v>
      </c>
      <c r="J1410" s="4" t="s">
        <v>274</v>
      </c>
      <c r="K1410" s="4" t="s">
        <v>251</v>
      </c>
      <c r="L1410" s="4" t="s">
        <v>269</v>
      </c>
      <c r="M1410" s="5" t="s">
        <v>2724</v>
      </c>
      <c r="N1410" s="6">
        <f>2084</f>
        <v>2084</v>
      </c>
      <c r="O1410" s="4" t="s">
        <v>265</v>
      </c>
      <c r="P1410" s="6">
        <f>1</f>
        <v>1</v>
      </c>
      <c r="Q1410" s="6">
        <f>0</f>
        <v>0</v>
      </c>
      <c r="S1410" s="6">
        <f>0</f>
        <v>0</v>
      </c>
      <c r="T1410" s="6">
        <f>1</f>
        <v>1</v>
      </c>
      <c r="U1410" s="5" t="s">
        <v>245</v>
      </c>
      <c r="V1410" s="4" t="s">
        <v>270</v>
      </c>
      <c r="W1410" s="4" t="s">
        <v>271</v>
      </c>
      <c r="X1410" s="4" t="s">
        <v>273</v>
      </c>
      <c r="Y1410" s="4" t="s">
        <v>241</v>
      </c>
      <c r="AB1410" s="4" t="s">
        <v>241</v>
      </c>
      <c r="AD1410" s="5" t="s">
        <v>241</v>
      </c>
      <c r="AG1410" s="5" t="s">
        <v>246</v>
      </c>
      <c r="AH1410" s="4" t="s">
        <v>241</v>
      </c>
      <c r="AI1410" s="4" t="s">
        <v>247</v>
      </c>
      <c r="AJ1410" s="4" t="s">
        <v>248</v>
      </c>
      <c r="AZ1410" s="4" t="s">
        <v>249</v>
      </c>
      <c r="BA1410" s="4" t="s">
        <v>241</v>
      </c>
      <c r="BB1410" s="4" t="s">
        <v>250</v>
      </c>
      <c r="BC1410" s="4" t="s">
        <v>241</v>
      </c>
      <c r="BD1410" s="4" t="s">
        <v>252</v>
      </c>
      <c r="BE1410" s="4" t="s">
        <v>241</v>
      </c>
      <c r="BI1410" s="4" t="s">
        <v>253</v>
      </c>
      <c r="BJ1410" s="5" t="s">
        <v>246</v>
      </c>
      <c r="BK1410" s="4" t="s">
        <v>254</v>
      </c>
      <c r="BL1410" s="4" t="s">
        <v>255</v>
      </c>
      <c r="BM1410" s="4" t="s">
        <v>241</v>
      </c>
      <c r="BN1410" s="6">
        <f>0</f>
        <v>0</v>
      </c>
      <c r="BO1410" s="6">
        <f>0</f>
        <v>0</v>
      </c>
      <c r="BP1410" s="4" t="s">
        <v>256</v>
      </c>
      <c r="BQ1410" s="4" t="s">
        <v>257</v>
      </c>
      <c r="CE1410" s="4" t="s">
        <v>241</v>
      </c>
      <c r="CF1410" s="4" t="s">
        <v>241</v>
      </c>
      <c r="CJ1410" s="4" t="s">
        <v>276</v>
      </c>
      <c r="CK1410" s="4" t="s">
        <v>259</v>
      </c>
      <c r="CL1410" s="4" t="s">
        <v>241</v>
      </c>
      <c r="CO1410" s="5" t="s">
        <v>260</v>
      </c>
      <c r="CP1410" s="4" t="s">
        <v>241</v>
      </c>
      <c r="CQ1410" s="4" t="s">
        <v>261</v>
      </c>
      <c r="CR1410" s="4" t="s">
        <v>241</v>
      </c>
      <c r="CS1410" s="4" t="s">
        <v>241</v>
      </c>
      <c r="CT1410" s="4">
        <v>0</v>
      </c>
      <c r="CU1410" s="4" t="s">
        <v>262</v>
      </c>
      <c r="CV1410" s="4" t="s">
        <v>263</v>
      </c>
      <c r="CW1410" s="4" t="s">
        <v>263</v>
      </c>
      <c r="CX1410" s="4" t="s">
        <v>264</v>
      </c>
      <c r="DA1410" s="6">
        <f>1</f>
        <v>1</v>
      </c>
      <c r="DC1410" s="4" t="s">
        <v>277</v>
      </c>
      <c r="DD1410" s="4" t="s">
        <v>241</v>
      </c>
      <c r="DF1410" s="4" t="s">
        <v>277</v>
      </c>
      <c r="DG1410" s="6">
        <f>2084</f>
        <v>2084</v>
      </c>
      <c r="DI1410" s="4" t="s">
        <v>241</v>
      </c>
      <c r="DJ1410" s="4" t="s">
        <v>241</v>
      </c>
      <c r="DK1410" s="4" t="s">
        <v>241</v>
      </c>
      <c r="DL1410" s="4" t="s">
        <v>241</v>
      </c>
      <c r="DP1410" s="4" t="s">
        <v>241</v>
      </c>
      <c r="DQ1410" s="4" t="s">
        <v>241</v>
      </c>
      <c r="DR1410" s="4" t="s">
        <v>241</v>
      </c>
      <c r="DS1410" s="4" t="s">
        <v>241</v>
      </c>
      <c r="DV1410" s="4" t="s">
        <v>278</v>
      </c>
      <c r="DW1410" s="4" t="s">
        <v>2725</v>
      </c>
      <c r="HO1410" s="4" t="s">
        <v>267</v>
      </c>
    </row>
    <row r="1411" spans="1:223" ht="19.5" customHeight="1" x14ac:dyDescent="0.4">
      <c r="A1411" s="4">
        <v>1</v>
      </c>
      <c r="B1411" s="4" t="s">
        <v>239</v>
      </c>
      <c r="C1411" s="4">
        <v>3085</v>
      </c>
      <c r="D1411" s="4">
        <v>1</v>
      </c>
      <c r="E1411" s="4">
        <v>1</v>
      </c>
      <c r="F1411" s="4" t="s">
        <v>268</v>
      </c>
      <c r="G1411" s="4" t="s">
        <v>241</v>
      </c>
      <c r="H1411" s="4" t="s">
        <v>241</v>
      </c>
      <c r="I1411" s="4" t="s">
        <v>272</v>
      </c>
      <c r="J1411" s="4" t="s">
        <v>274</v>
      </c>
      <c r="K1411" s="4" t="s">
        <v>251</v>
      </c>
      <c r="L1411" s="4" t="s">
        <v>269</v>
      </c>
      <c r="M1411" s="5" t="s">
        <v>2722</v>
      </c>
      <c r="N1411" s="6">
        <f>556</f>
        <v>556</v>
      </c>
      <c r="O1411" s="4" t="s">
        <v>265</v>
      </c>
      <c r="P1411" s="6">
        <f>1</f>
        <v>1</v>
      </c>
      <c r="Q1411" s="6">
        <f>0</f>
        <v>0</v>
      </c>
      <c r="S1411" s="6">
        <f>0</f>
        <v>0</v>
      </c>
      <c r="T1411" s="6">
        <f>1</f>
        <v>1</v>
      </c>
      <c r="U1411" s="5" t="s">
        <v>245</v>
      </c>
      <c r="V1411" s="4" t="s">
        <v>270</v>
      </c>
      <c r="W1411" s="4" t="s">
        <v>271</v>
      </c>
      <c r="X1411" s="4" t="s">
        <v>273</v>
      </c>
      <c r="Y1411" s="4" t="s">
        <v>241</v>
      </c>
      <c r="AB1411" s="4" t="s">
        <v>241</v>
      </c>
      <c r="AD1411" s="5" t="s">
        <v>241</v>
      </c>
      <c r="AG1411" s="5" t="s">
        <v>246</v>
      </c>
      <c r="AH1411" s="4" t="s">
        <v>241</v>
      </c>
      <c r="AI1411" s="4" t="s">
        <v>247</v>
      </c>
      <c r="AJ1411" s="4" t="s">
        <v>248</v>
      </c>
      <c r="AZ1411" s="4" t="s">
        <v>249</v>
      </c>
      <c r="BA1411" s="4" t="s">
        <v>241</v>
      </c>
      <c r="BB1411" s="4" t="s">
        <v>250</v>
      </c>
      <c r="BC1411" s="4" t="s">
        <v>241</v>
      </c>
      <c r="BD1411" s="4" t="s">
        <v>252</v>
      </c>
      <c r="BE1411" s="4" t="s">
        <v>241</v>
      </c>
      <c r="BI1411" s="4" t="s">
        <v>253</v>
      </c>
      <c r="BJ1411" s="5" t="s">
        <v>246</v>
      </c>
      <c r="BK1411" s="4" t="s">
        <v>254</v>
      </c>
      <c r="BL1411" s="4" t="s">
        <v>255</v>
      </c>
      <c r="BM1411" s="4" t="s">
        <v>241</v>
      </c>
      <c r="BN1411" s="6">
        <f>0</f>
        <v>0</v>
      </c>
      <c r="BO1411" s="6">
        <f>0</f>
        <v>0</v>
      </c>
      <c r="BP1411" s="4" t="s">
        <v>256</v>
      </c>
      <c r="BQ1411" s="4" t="s">
        <v>257</v>
      </c>
      <c r="CE1411" s="4" t="s">
        <v>241</v>
      </c>
      <c r="CF1411" s="4" t="s">
        <v>241</v>
      </c>
      <c r="CJ1411" s="4" t="s">
        <v>276</v>
      </c>
      <c r="CK1411" s="4" t="s">
        <v>259</v>
      </c>
      <c r="CL1411" s="4" t="s">
        <v>241</v>
      </c>
      <c r="CO1411" s="5" t="s">
        <v>260</v>
      </c>
      <c r="CP1411" s="4" t="s">
        <v>241</v>
      </c>
      <c r="CQ1411" s="4" t="s">
        <v>261</v>
      </c>
      <c r="CR1411" s="4" t="s">
        <v>241</v>
      </c>
      <c r="CS1411" s="4" t="s">
        <v>241</v>
      </c>
      <c r="CT1411" s="4">
        <v>0</v>
      </c>
      <c r="CU1411" s="4" t="s">
        <v>262</v>
      </c>
      <c r="CV1411" s="4" t="s">
        <v>263</v>
      </c>
      <c r="CW1411" s="4" t="s">
        <v>263</v>
      </c>
      <c r="CX1411" s="4" t="s">
        <v>264</v>
      </c>
      <c r="DA1411" s="6">
        <f>1</f>
        <v>1</v>
      </c>
      <c r="DC1411" s="4" t="s">
        <v>277</v>
      </c>
      <c r="DD1411" s="4" t="s">
        <v>241</v>
      </c>
      <c r="DF1411" s="4" t="s">
        <v>277</v>
      </c>
      <c r="DG1411" s="6">
        <f>556</f>
        <v>556</v>
      </c>
      <c r="DI1411" s="4" t="s">
        <v>241</v>
      </c>
      <c r="DJ1411" s="4" t="s">
        <v>241</v>
      </c>
      <c r="DK1411" s="4" t="s">
        <v>241</v>
      </c>
      <c r="DL1411" s="4" t="s">
        <v>241</v>
      </c>
      <c r="DP1411" s="4" t="s">
        <v>241</v>
      </c>
      <c r="DQ1411" s="4" t="s">
        <v>241</v>
      </c>
      <c r="DR1411" s="4" t="s">
        <v>241</v>
      </c>
      <c r="DS1411" s="4" t="s">
        <v>241</v>
      </c>
      <c r="DV1411" s="4" t="s">
        <v>278</v>
      </c>
      <c r="DW1411" s="4" t="s">
        <v>2723</v>
      </c>
      <c r="HO1411" s="4" t="s">
        <v>267</v>
      </c>
    </row>
    <row r="1412" spans="1:223" ht="19.5" customHeight="1" x14ac:dyDescent="0.4">
      <c r="A1412" s="4">
        <v>1</v>
      </c>
      <c r="B1412" s="4" t="s">
        <v>239</v>
      </c>
      <c r="C1412" s="4">
        <v>3086</v>
      </c>
      <c r="D1412" s="4">
        <v>1</v>
      </c>
      <c r="E1412" s="4">
        <v>1</v>
      </c>
      <c r="F1412" s="4" t="s">
        <v>268</v>
      </c>
      <c r="G1412" s="4" t="s">
        <v>241</v>
      </c>
      <c r="H1412" s="4" t="s">
        <v>241</v>
      </c>
      <c r="I1412" s="4" t="s">
        <v>272</v>
      </c>
      <c r="J1412" s="4" t="s">
        <v>274</v>
      </c>
      <c r="K1412" s="4" t="s">
        <v>251</v>
      </c>
      <c r="L1412" s="4" t="s">
        <v>269</v>
      </c>
      <c r="M1412" s="5" t="s">
        <v>2720</v>
      </c>
      <c r="N1412" s="6">
        <f>1301</f>
        <v>1301</v>
      </c>
      <c r="O1412" s="4" t="s">
        <v>265</v>
      </c>
      <c r="P1412" s="6">
        <f>1</f>
        <v>1</v>
      </c>
      <c r="Q1412" s="6">
        <f>0</f>
        <v>0</v>
      </c>
      <c r="S1412" s="6">
        <f>0</f>
        <v>0</v>
      </c>
      <c r="T1412" s="6">
        <f>1</f>
        <v>1</v>
      </c>
      <c r="U1412" s="5" t="s">
        <v>245</v>
      </c>
      <c r="V1412" s="4" t="s">
        <v>270</v>
      </c>
      <c r="W1412" s="4" t="s">
        <v>271</v>
      </c>
      <c r="X1412" s="4" t="s">
        <v>273</v>
      </c>
      <c r="Y1412" s="4" t="s">
        <v>241</v>
      </c>
      <c r="AB1412" s="4" t="s">
        <v>241</v>
      </c>
      <c r="AD1412" s="5" t="s">
        <v>241</v>
      </c>
      <c r="AG1412" s="5" t="s">
        <v>246</v>
      </c>
      <c r="AH1412" s="4" t="s">
        <v>241</v>
      </c>
      <c r="AI1412" s="4" t="s">
        <v>247</v>
      </c>
      <c r="AJ1412" s="4" t="s">
        <v>248</v>
      </c>
      <c r="AZ1412" s="4" t="s">
        <v>249</v>
      </c>
      <c r="BA1412" s="4" t="s">
        <v>241</v>
      </c>
      <c r="BB1412" s="4" t="s">
        <v>250</v>
      </c>
      <c r="BC1412" s="4" t="s">
        <v>241</v>
      </c>
      <c r="BD1412" s="4" t="s">
        <v>252</v>
      </c>
      <c r="BE1412" s="4" t="s">
        <v>241</v>
      </c>
      <c r="BI1412" s="4" t="s">
        <v>253</v>
      </c>
      <c r="BJ1412" s="5" t="s">
        <v>246</v>
      </c>
      <c r="BK1412" s="4" t="s">
        <v>254</v>
      </c>
      <c r="BL1412" s="4" t="s">
        <v>255</v>
      </c>
      <c r="BM1412" s="4" t="s">
        <v>241</v>
      </c>
      <c r="BN1412" s="6">
        <f>0</f>
        <v>0</v>
      </c>
      <c r="BO1412" s="6">
        <f>0</f>
        <v>0</v>
      </c>
      <c r="BP1412" s="4" t="s">
        <v>256</v>
      </c>
      <c r="BQ1412" s="4" t="s">
        <v>257</v>
      </c>
      <c r="CE1412" s="4" t="s">
        <v>241</v>
      </c>
      <c r="CF1412" s="4" t="s">
        <v>241</v>
      </c>
      <c r="CJ1412" s="4" t="s">
        <v>276</v>
      </c>
      <c r="CK1412" s="4" t="s">
        <v>259</v>
      </c>
      <c r="CL1412" s="4" t="s">
        <v>241</v>
      </c>
      <c r="CO1412" s="5" t="s">
        <v>260</v>
      </c>
      <c r="CP1412" s="4" t="s">
        <v>241</v>
      </c>
      <c r="CQ1412" s="4" t="s">
        <v>261</v>
      </c>
      <c r="CR1412" s="4" t="s">
        <v>241</v>
      </c>
      <c r="CS1412" s="4" t="s">
        <v>241</v>
      </c>
      <c r="CT1412" s="4">
        <v>0</v>
      </c>
      <c r="CU1412" s="4" t="s">
        <v>262</v>
      </c>
      <c r="CV1412" s="4" t="s">
        <v>263</v>
      </c>
      <c r="CW1412" s="4" t="s">
        <v>263</v>
      </c>
      <c r="CX1412" s="4" t="s">
        <v>264</v>
      </c>
      <c r="DA1412" s="6">
        <f>1</f>
        <v>1</v>
      </c>
      <c r="DC1412" s="4" t="s">
        <v>277</v>
      </c>
      <c r="DD1412" s="4" t="s">
        <v>241</v>
      </c>
      <c r="DF1412" s="4" t="s">
        <v>277</v>
      </c>
      <c r="DG1412" s="6">
        <f>1301</f>
        <v>1301</v>
      </c>
      <c r="DI1412" s="4" t="s">
        <v>241</v>
      </c>
      <c r="DJ1412" s="4" t="s">
        <v>241</v>
      </c>
      <c r="DK1412" s="4" t="s">
        <v>241</v>
      </c>
      <c r="DL1412" s="4" t="s">
        <v>241</v>
      </c>
      <c r="DP1412" s="4" t="s">
        <v>241</v>
      </c>
      <c r="DQ1412" s="4" t="s">
        <v>241</v>
      </c>
      <c r="DR1412" s="4" t="s">
        <v>241</v>
      </c>
      <c r="DS1412" s="4" t="s">
        <v>241</v>
      </c>
      <c r="DV1412" s="4" t="s">
        <v>278</v>
      </c>
      <c r="DW1412" s="4" t="s">
        <v>2721</v>
      </c>
      <c r="HO1412" s="4" t="s">
        <v>267</v>
      </c>
    </row>
    <row r="1413" spans="1:223" ht="19.5" customHeight="1" x14ac:dyDescent="0.4">
      <c r="A1413" s="4">
        <v>1</v>
      </c>
      <c r="B1413" s="4" t="s">
        <v>239</v>
      </c>
      <c r="C1413" s="4">
        <v>3087</v>
      </c>
      <c r="D1413" s="4">
        <v>1</v>
      </c>
      <c r="E1413" s="4">
        <v>1</v>
      </c>
      <c r="F1413" s="4" t="s">
        <v>268</v>
      </c>
      <c r="G1413" s="4" t="s">
        <v>241</v>
      </c>
      <c r="H1413" s="4" t="s">
        <v>241</v>
      </c>
      <c r="I1413" s="4" t="s">
        <v>272</v>
      </c>
      <c r="J1413" s="4" t="s">
        <v>274</v>
      </c>
      <c r="K1413" s="4" t="s">
        <v>251</v>
      </c>
      <c r="L1413" s="4" t="s">
        <v>269</v>
      </c>
      <c r="M1413" s="5" t="s">
        <v>2718</v>
      </c>
      <c r="N1413" s="6">
        <f>222</f>
        <v>222</v>
      </c>
      <c r="O1413" s="4" t="s">
        <v>265</v>
      </c>
      <c r="P1413" s="6">
        <f>1</f>
        <v>1</v>
      </c>
      <c r="Q1413" s="6">
        <f>0</f>
        <v>0</v>
      </c>
      <c r="S1413" s="6">
        <f>0</f>
        <v>0</v>
      </c>
      <c r="T1413" s="6">
        <f>1</f>
        <v>1</v>
      </c>
      <c r="U1413" s="5" t="s">
        <v>245</v>
      </c>
      <c r="V1413" s="4" t="s">
        <v>270</v>
      </c>
      <c r="W1413" s="4" t="s">
        <v>271</v>
      </c>
      <c r="X1413" s="4" t="s">
        <v>273</v>
      </c>
      <c r="Y1413" s="4" t="s">
        <v>241</v>
      </c>
      <c r="AB1413" s="4" t="s">
        <v>241</v>
      </c>
      <c r="AD1413" s="5" t="s">
        <v>241</v>
      </c>
      <c r="AG1413" s="5" t="s">
        <v>246</v>
      </c>
      <c r="AH1413" s="4" t="s">
        <v>241</v>
      </c>
      <c r="AI1413" s="4" t="s">
        <v>247</v>
      </c>
      <c r="AJ1413" s="4" t="s">
        <v>248</v>
      </c>
      <c r="AZ1413" s="4" t="s">
        <v>249</v>
      </c>
      <c r="BA1413" s="4" t="s">
        <v>241</v>
      </c>
      <c r="BB1413" s="4" t="s">
        <v>250</v>
      </c>
      <c r="BC1413" s="4" t="s">
        <v>241</v>
      </c>
      <c r="BD1413" s="4" t="s">
        <v>252</v>
      </c>
      <c r="BE1413" s="4" t="s">
        <v>241</v>
      </c>
      <c r="BI1413" s="4" t="s">
        <v>253</v>
      </c>
      <c r="BJ1413" s="5" t="s">
        <v>246</v>
      </c>
      <c r="BK1413" s="4" t="s">
        <v>254</v>
      </c>
      <c r="BL1413" s="4" t="s">
        <v>255</v>
      </c>
      <c r="BM1413" s="4" t="s">
        <v>241</v>
      </c>
      <c r="BN1413" s="6">
        <f>0</f>
        <v>0</v>
      </c>
      <c r="BO1413" s="6">
        <f>0</f>
        <v>0</v>
      </c>
      <c r="BP1413" s="4" t="s">
        <v>256</v>
      </c>
      <c r="BQ1413" s="4" t="s">
        <v>257</v>
      </c>
      <c r="CE1413" s="4" t="s">
        <v>241</v>
      </c>
      <c r="CF1413" s="4" t="s">
        <v>241</v>
      </c>
      <c r="CJ1413" s="4" t="s">
        <v>276</v>
      </c>
      <c r="CK1413" s="4" t="s">
        <v>259</v>
      </c>
      <c r="CL1413" s="4" t="s">
        <v>241</v>
      </c>
      <c r="CO1413" s="5" t="s">
        <v>260</v>
      </c>
      <c r="CP1413" s="4" t="s">
        <v>241</v>
      </c>
      <c r="CQ1413" s="4" t="s">
        <v>261</v>
      </c>
      <c r="CR1413" s="4" t="s">
        <v>241</v>
      </c>
      <c r="CS1413" s="4" t="s">
        <v>241</v>
      </c>
      <c r="CT1413" s="4">
        <v>0</v>
      </c>
      <c r="CU1413" s="4" t="s">
        <v>262</v>
      </c>
      <c r="CV1413" s="4" t="s">
        <v>263</v>
      </c>
      <c r="CW1413" s="4" t="s">
        <v>263</v>
      </c>
      <c r="CX1413" s="4" t="s">
        <v>264</v>
      </c>
      <c r="DA1413" s="6">
        <f>1</f>
        <v>1</v>
      </c>
      <c r="DC1413" s="4" t="s">
        <v>277</v>
      </c>
      <c r="DD1413" s="4" t="s">
        <v>241</v>
      </c>
      <c r="DF1413" s="4" t="s">
        <v>277</v>
      </c>
      <c r="DG1413" s="6">
        <f>222</f>
        <v>222</v>
      </c>
      <c r="DI1413" s="4" t="s">
        <v>241</v>
      </c>
      <c r="DJ1413" s="4" t="s">
        <v>241</v>
      </c>
      <c r="DK1413" s="4" t="s">
        <v>241</v>
      </c>
      <c r="DL1413" s="4" t="s">
        <v>241</v>
      </c>
      <c r="DP1413" s="4" t="s">
        <v>241</v>
      </c>
      <c r="DQ1413" s="4" t="s">
        <v>241</v>
      </c>
      <c r="DR1413" s="4" t="s">
        <v>241</v>
      </c>
      <c r="DS1413" s="4" t="s">
        <v>241</v>
      </c>
      <c r="DV1413" s="4" t="s">
        <v>278</v>
      </c>
      <c r="DW1413" s="4" t="s">
        <v>2719</v>
      </c>
      <c r="HO1413" s="4" t="s">
        <v>267</v>
      </c>
    </row>
    <row r="1414" spans="1:223" ht="19.5" customHeight="1" x14ac:dyDescent="0.4">
      <c r="A1414" s="4">
        <v>1</v>
      </c>
      <c r="B1414" s="4" t="s">
        <v>239</v>
      </c>
      <c r="C1414" s="4">
        <v>3088</v>
      </c>
      <c r="D1414" s="4">
        <v>1</v>
      </c>
      <c r="E1414" s="4">
        <v>1</v>
      </c>
      <c r="F1414" s="4" t="s">
        <v>268</v>
      </c>
      <c r="G1414" s="4" t="s">
        <v>241</v>
      </c>
      <c r="H1414" s="4" t="s">
        <v>241</v>
      </c>
      <c r="I1414" s="4" t="s">
        <v>272</v>
      </c>
      <c r="J1414" s="4" t="s">
        <v>274</v>
      </c>
      <c r="K1414" s="4" t="s">
        <v>251</v>
      </c>
      <c r="L1414" s="4" t="s">
        <v>269</v>
      </c>
      <c r="M1414" s="5" t="s">
        <v>2714</v>
      </c>
      <c r="N1414" s="6">
        <f>3026</f>
        <v>3026</v>
      </c>
      <c r="O1414" s="4" t="s">
        <v>265</v>
      </c>
      <c r="P1414" s="6">
        <f>1</f>
        <v>1</v>
      </c>
      <c r="Q1414" s="6">
        <f>0</f>
        <v>0</v>
      </c>
      <c r="S1414" s="6">
        <f>0</f>
        <v>0</v>
      </c>
      <c r="T1414" s="6">
        <f>1</f>
        <v>1</v>
      </c>
      <c r="U1414" s="5" t="s">
        <v>245</v>
      </c>
      <c r="V1414" s="4" t="s">
        <v>270</v>
      </c>
      <c r="W1414" s="4" t="s">
        <v>271</v>
      </c>
      <c r="X1414" s="4" t="s">
        <v>273</v>
      </c>
      <c r="Y1414" s="4" t="s">
        <v>241</v>
      </c>
      <c r="AB1414" s="4" t="s">
        <v>241</v>
      </c>
      <c r="AD1414" s="5" t="s">
        <v>241</v>
      </c>
      <c r="AG1414" s="5" t="s">
        <v>246</v>
      </c>
      <c r="AH1414" s="4" t="s">
        <v>241</v>
      </c>
      <c r="AI1414" s="4" t="s">
        <v>247</v>
      </c>
      <c r="AJ1414" s="4" t="s">
        <v>248</v>
      </c>
      <c r="AZ1414" s="4" t="s">
        <v>249</v>
      </c>
      <c r="BA1414" s="4" t="s">
        <v>241</v>
      </c>
      <c r="BB1414" s="4" t="s">
        <v>250</v>
      </c>
      <c r="BC1414" s="4" t="s">
        <v>241</v>
      </c>
      <c r="BD1414" s="4" t="s">
        <v>252</v>
      </c>
      <c r="BE1414" s="4" t="s">
        <v>241</v>
      </c>
      <c r="BI1414" s="4" t="s">
        <v>253</v>
      </c>
      <c r="BJ1414" s="5" t="s">
        <v>246</v>
      </c>
      <c r="BK1414" s="4" t="s">
        <v>254</v>
      </c>
      <c r="BL1414" s="4" t="s">
        <v>255</v>
      </c>
      <c r="BM1414" s="4" t="s">
        <v>241</v>
      </c>
      <c r="BN1414" s="6">
        <f>0</f>
        <v>0</v>
      </c>
      <c r="BO1414" s="6">
        <f>0</f>
        <v>0</v>
      </c>
      <c r="BP1414" s="4" t="s">
        <v>256</v>
      </c>
      <c r="BQ1414" s="4" t="s">
        <v>257</v>
      </c>
      <c r="CE1414" s="4" t="s">
        <v>241</v>
      </c>
      <c r="CF1414" s="4" t="s">
        <v>241</v>
      </c>
      <c r="CJ1414" s="4" t="s">
        <v>276</v>
      </c>
      <c r="CK1414" s="4" t="s">
        <v>259</v>
      </c>
      <c r="CL1414" s="4" t="s">
        <v>241</v>
      </c>
      <c r="CO1414" s="5" t="s">
        <v>260</v>
      </c>
      <c r="CP1414" s="4" t="s">
        <v>241</v>
      </c>
      <c r="CQ1414" s="4" t="s">
        <v>261</v>
      </c>
      <c r="CR1414" s="4" t="s">
        <v>241</v>
      </c>
      <c r="CS1414" s="4" t="s">
        <v>241</v>
      </c>
      <c r="CT1414" s="4">
        <v>0</v>
      </c>
      <c r="CU1414" s="4" t="s">
        <v>262</v>
      </c>
      <c r="CV1414" s="4" t="s">
        <v>263</v>
      </c>
      <c r="CW1414" s="4" t="s">
        <v>263</v>
      </c>
      <c r="CX1414" s="4" t="s">
        <v>264</v>
      </c>
      <c r="DA1414" s="6">
        <f>1</f>
        <v>1</v>
      </c>
      <c r="DC1414" s="4" t="s">
        <v>277</v>
      </c>
      <c r="DD1414" s="4" t="s">
        <v>241</v>
      </c>
      <c r="DF1414" s="4" t="s">
        <v>277</v>
      </c>
      <c r="DG1414" s="6">
        <f>3026</f>
        <v>3026</v>
      </c>
      <c r="DI1414" s="4" t="s">
        <v>241</v>
      </c>
      <c r="DJ1414" s="4" t="s">
        <v>241</v>
      </c>
      <c r="DK1414" s="4" t="s">
        <v>241</v>
      </c>
      <c r="DL1414" s="4" t="s">
        <v>241</v>
      </c>
      <c r="DP1414" s="4" t="s">
        <v>241</v>
      </c>
      <c r="DQ1414" s="4" t="s">
        <v>241</v>
      </c>
      <c r="DR1414" s="4" t="s">
        <v>241</v>
      </c>
      <c r="DS1414" s="4" t="s">
        <v>241</v>
      </c>
      <c r="DV1414" s="4" t="s">
        <v>278</v>
      </c>
      <c r="DW1414" s="4" t="s">
        <v>2715</v>
      </c>
      <c r="HO1414" s="4" t="s">
        <v>267</v>
      </c>
    </row>
    <row r="1415" spans="1:223" ht="19.5" customHeight="1" x14ac:dyDescent="0.4">
      <c r="A1415" s="4">
        <v>1</v>
      </c>
      <c r="B1415" s="4" t="s">
        <v>239</v>
      </c>
      <c r="C1415" s="4">
        <v>3089</v>
      </c>
      <c r="D1415" s="4">
        <v>1</v>
      </c>
      <c r="E1415" s="4">
        <v>1</v>
      </c>
      <c r="F1415" s="4" t="s">
        <v>268</v>
      </c>
      <c r="G1415" s="4" t="s">
        <v>241</v>
      </c>
      <c r="H1415" s="4" t="s">
        <v>241</v>
      </c>
      <c r="I1415" s="4" t="s">
        <v>272</v>
      </c>
      <c r="J1415" s="4" t="s">
        <v>274</v>
      </c>
      <c r="K1415" s="4" t="s">
        <v>251</v>
      </c>
      <c r="L1415" s="4" t="s">
        <v>269</v>
      </c>
      <c r="M1415" s="5" t="s">
        <v>2710</v>
      </c>
      <c r="N1415" s="6">
        <f>1766</f>
        <v>1766</v>
      </c>
      <c r="O1415" s="4" t="s">
        <v>265</v>
      </c>
      <c r="P1415" s="6">
        <f>1</f>
        <v>1</v>
      </c>
      <c r="Q1415" s="6">
        <f>0</f>
        <v>0</v>
      </c>
      <c r="S1415" s="6">
        <f>0</f>
        <v>0</v>
      </c>
      <c r="T1415" s="6">
        <f>1</f>
        <v>1</v>
      </c>
      <c r="U1415" s="5" t="s">
        <v>245</v>
      </c>
      <c r="V1415" s="4" t="s">
        <v>270</v>
      </c>
      <c r="W1415" s="4" t="s">
        <v>271</v>
      </c>
      <c r="X1415" s="4" t="s">
        <v>273</v>
      </c>
      <c r="Y1415" s="4" t="s">
        <v>241</v>
      </c>
      <c r="AB1415" s="4" t="s">
        <v>241</v>
      </c>
      <c r="AD1415" s="5" t="s">
        <v>241</v>
      </c>
      <c r="AG1415" s="5" t="s">
        <v>246</v>
      </c>
      <c r="AH1415" s="4" t="s">
        <v>241</v>
      </c>
      <c r="AI1415" s="4" t="s">
        <v>247</v>
      </c>
      <c r="AJ1415" s="4" t="s">
        <v>248</v>
      </c>
      <c r="AZ1415" s="4" t="s">
        <v>249</v>
      </c>
      <c r="BA1415" s="4" t="s">
        <v>241</v>
      </c>
      <c r="BB1415" s="4" t="s">
        <v>250</v>
      </c>
      <c r="BC1415" s="4" t="s">
        <v>241</v>
      </c>
      <c r="BD1415" s="4" t="s">
        <v>252</v>
      </c>
      <c r="BE1415" s="4" t="s">
        <v>241</v>
      </c>
      <c r="BI1415" s="4" t="s">
        <v>253</v>
      </c>
      <c r="BJ1415" s="5" t="s">
        <v>246</v>
      </c>
      <c r="BK1415" s="4" t="s">
        <v>254</v>
      </c>
      <c r="BL1415" s="4" t="s">
        <v>255</v>
      </c>
      <c r="BM1415" s="4" t="s">
        <v>241</v>
      </c>
      <c r="BN1415" s="6">
        <f>0</f>
        <v>0</v>
      </c>
      <c r="BO1415" s="6">
        <f>0</f>
        <v>0</v>
      </c>
      <c r="BP1415" s="4" t="s">
        <v>256</v>
      </c>
      <c r="BQ1415" s="4" t="s">
        <v>257</v>
      </c>
      <c r="CE1415" s="4" t="s">
        <v>241</v>
      </c>
      <c r="CF1415" s="4" t="s">
        <v>241</v>
      </c>
      <c r="CJ1415" s="4" t="s">
        <v>276</v>
      </c>
      <c r="CK1415" s="4" t="s">
        <v>259</v>
      </c>
      <c r="CL1415" s="4" t="s">
        <v>241</v>
      </c>
      <c r="CO1415" s="5" t="s">
        <v>260</v>
      </c>
      <c r="CP1415" s="4" t="s">
        <v>241</v>
      </c>
      <c r="CQ1415" s="4" t="s">
        <v>261</v>
      </c>
      <c r="CR1415" s="4" t="s">
        <v>241</v>
      </c>
      <c r="CS1415" s="4" t="s">
        <v>241</v>
      </c>
      <c r="CT1415" s="4">
        <v>0</v>
      </c>
      <c r="CU1415" s="4" t="s">
        <v>262</v>
      </c>
      <c r="CV1415" s="4" t="s">
        <v>263</v>
      </c>
      <c r="CW1415" s="4" t="s">
        <v>263</v>
      </c>
      <c r="CX1415" s="4" t="s">
        <v>264</v>
      </c>
      <c r="DA1415" s="6">
        <f>1</f>
        <v>1</v>
      </c>
      <c r="DC1415" s="4" t="s">
        <v>277</v>
      </c>
      <c r="DD1415" s="4" t="s">
        <v>241</v>
      </c>
      <c r="DF1415" s="4" t="s">
        <v>277</v>
      </c>
      <c r="DG1415" s="6">
        <f>1766</f>
        <v>1766</v>
      </c>
      <c r="DI1415" s="4" t="s">
        <v>241</v>
      </c>
      <c r="DJ1415" s="4" t="s">
        <v>241</v>
      </c>
      <c r="DK1415" s="4" t="s">
        <v>241</v>
      </c>
      <c r="DL1415" s="4" t="s">
        <v>241</v>
      </c>
      <c r="DP1415" s="4" t="s">
        <v>241</v>
      </c>
      <c r="DQ1415" s="4" t="s">
        <v>241</v>
      </c>
      <c r="DR1415" s="4" t="s">
        <v>241</v>
      </c>
      <c r="DS1415" s="4" t="s">
        <v>241</v>
      </c>
      <c r="DV1415" s="4" t="s">
        <v>278</v>
      </c>
      <c r="DW1415" s="4" t="s">
        <v>2711</v>
      </c>
      <c r="HO1415" s="4" t="s">
        <v>267</v>
      </c>
    </row>
    <row r="1416" spans="1:223" ht="19.5" customHeight="1" x14ac:dyDescent="0.4">
      <c r="A1416" s="4">
        <v>1</v>
      </c>
      <c r="B1416" s="4" t="s">
        <v>239</v>
      </c>
      <c r="C1416" s="4">
        <v>3090</v>
      </c>
      <c r="D1416" s="4">
        <v>1</v>
      </c>
      <c r="E1416" s="4">
        <v>1</v>
      </c>
      <c r="F1416" s="4" t="s">
        <v>268</v>
      </c>
      <c r="G1416" s="4" t="s">
        <v>241</v>
      </c>
      <c r="H1416" s="4" t="s">
        <v>241</v>
      </c>
      <c r="I1416" s="4" t="s">
        <v>272</v>
      </c>
      <c r="J1416" s="4" t="s">
        <v>274</v>
      </c>
      <c r="K1416" s="4" t="s">
        <v>251</v>
      </c>
      <c r="L1416" s="4" t="s">
        <v>269</v>
      </c>
      <c r="M1416" s="5" t="s">
        <v>2706</v>
      </c>
      <c r="N1416" s="6">
        <f>1074</f>
        <v>1074</v>
      </c>
      <c r="O1416" s="4" t="s">
        <v>265</v>
      </c>
      <c r="P1416" s="6">
        <f>1</f>
        <v>1</v>
      </c>
      <c r="Q1416" s="6">
        <f>0</f>
        <v>0</v>
      </c>
      <c r="S1416" s="6">
        <f>0</f>
        <v>0</v>
      </c>
      <c r="T1416" s="6">
        <f>1</f>
        <v>1</v>
      </c>
      <c r="U1416" s="5" t="s">
        <v>245</v>
      </c>
      <c r="V1416" s="4" t="s">
        <v>270</v>
      </c>
      <c r="W1416" s="4" t="s">
        <v>271</v>
      </c>
      <c r="X1416" s="4" t="s">
        <v>273</v>
      </c>
      <c r="Y1416" s="4" t="s">
        <v>241</v>
      </c>
      <c r="AB1416" s="4" t="s">
        <v>241</v>
      </c>
      <c r="AD1416" s="5" t="s">
        <v>241</v>
      </c>
      <c r="AG1416" s="5" t="s">
        <v>246</v>
      </c>
      <c r="AH1416" s="4" t="s">
        <v>241</v>
      </c>
      <c r="AI1416" s="4" t="s">
        <v>247</v>
      </c>
      <c r="AJ1416" s="4" t="s">
        <v>248</v>
      </c>
      <c r="AZ1416" s="4" t="s">
        <v>249</v>
      </c>
      <c r="BA1416" s="4" t="s">
        <v>241</v>
      </c>
      <c r="BB1416" s="4" t="s">
        <v>250</v>
      </c>
      <c r="BC1416" s="4" t="s">
        <v>241</v>
      </c>
      <c r="BD1416" s="4" t="s">
        <v>252</v>
      </c>
      <c r="BE1416" s="4" t="s">
        <v>241</v>
      </c>
      <c r="BI1416" s="4" t="s">
        <v>253</v>
      </c>
      <c r="BJ1416" s="5" t="s">
        <v>246</v>
      </c>
      <c r="BK1416" s="4" t="s">
        <v>254</v>
      </c>
      <c r="BL1416" s="4" t="s">
        <v>255</v>
      </c>
      <c r="BM1416" s="4" t="s">
        <v>241</v>
      </c>
      <c r="BN1416" s="6">
        <f>0</f>
        <v>0</v>
      </c>
      <c r="BO1416" s="6">
        <f>0</f>
        <v>0</v>
      </c>
      <c r="BP1416" s="4" t="s">
        <v>256</v>
      </c>
      <c r="BQ1416" s="4" t="s">
        <v>257</v>
      </c>
      <c r="CE1416" s="4" t="s">
        <v>241</v>
      </c>
      <c r="CF1416" s="4" t="s">
        <v>241</v>
      </c>
      <c r="CJ1416" s="4" t="s">
        <v>276</v>
      </c>
      <c r="CK1416" s="4" t="s">
        <v>259</v>
      </c>
      <c r="CL1416" s="4" t="s">
        <v>241</v>
      </c>
      <c r="CO1416" s="5" t="s">
        <v>260</v>
      </c>
      <c r="CP1416" s="4" t="s">
        <v>241</v>
      </c>
      <c r="CQ1416" s="4" t="s">
        <v>261</v>
      </c>
      <c r="CR1416" s="4" t="s">
        <v>241</v>
      </c>
      <c r="CS1416" s="4" t="s">
        <v>241</v>
      </c>
      <c r="CT1416" s="4">
        <v>0</v>
      </c>
      <c r="CU1416" s="4" t="s">
        <v>262</v>
      </c>
      <c r="CV1416" s="4" t="s">
        <v>263</v>
      </c>
      <c r="CW1416" s="4" t="s">
        <v>263</v>
      </c>
      <c r="CX1416" s="4" t="s">
        <v>264</v>
      </c>
      <c r="DA1416" s="6">
        <f>1</f>
        <v>1</v>
      </c>
      <c r="DC1416" s="4" t="s">
        <v>277</v>
      </c>
      <c r="DD1416" s="4" t="s">
        <v>241</v>
      </c>
      <c r="DF1416" s="4" t="s">
        <v>277</v>
      </c>
      <c r="DG1416" s="6">
        <f>1074</f>
        <v>1074</v>
      </c>
      <c r="DI1416" s="4" t="s">
        <v>241</v>
      </c>
      <c r="DJ1416" s="4" t="s">
        <v>241</v>
      </c>
      <c r="DK1416" s="4" t="s">
        <v>241</v>
      </c>
      <c r="DL1416" s="4" t="s">
        <v>241</v>
      </c>
      <c r="DP1416" s="4" t="s">
        <v>241</v>
      </c>
      <c r="DQ1416" s="4" t="s">
        <v>241</v>
      </c>
      <c r="DR1416" s="4" t="s">
        <v>241</v>
      </c>
      <c r="DS1416" s="4" t="s">
        <v>241</v>
      </c>
      <c r="DV1416" s="4" t="s">
        <v>278</v>
      </c>
      <c r="DW1416" s="4" t="s">
        <v>2707</v>
      </c>
      <c r="HO1416" s="4" t="s">
        <v>267</v>
      </c>
    </row>
    <row r="1417" spans="1:223" ht="19.5" customHeight="1" x14ac:dyDescent="0.4">
      <c r="A1417" s="4">
        <v>1</v>
      </c>
      <c r="B1417" s="4" t="s">
        <v>239</v>
      </c>
      <c r="C1417" s="4">
        <v>3091</v>
      </c>
      <c r="D1417" s="4">
        <v>1</v>
      </c>
      <c r="E1417" s="4">
        <v>1</v>
      </c>
      <c r="F1417" s="4" t="s">
        <v>268</v>
      </c>
      <c r="G1417" s="4" t="s">
        <v>241</v>
      </c>
      <c r="H1417" s="4" t="s">
        <v>241</v>
      </c>
      <c r="I1417" s="4" t="s">
        <v>272</v>
      </c>
      <c r="J1417" s="4" t="s">
        <v>274</v>
      </c>
      <c r="K1417" s="4" t="s">
        <v>251</v>
      </c>
      <c r="L1417" s="4" t="s">
        <v>269</v>
      </c>
      <c r="M1417" s="5" t="s">
        <v>2702</v>
      </c>
      <c r="N1417" s="6">
        <f>935</f>
        <v>935</v>
      </c>
      <c r="O1417" s="4" t="s">
        <v>265</v>
      </c>
      <c r="P1417" s="6">
        <f>1</f>
        <v>1</v>
      </c>
      <c r="Q1417" s="6">
        <f>0</f>
        <v>0</v>
      </c>
      <c r="S1417" s="6">
        <f>0</f>
        <v>0</v>
      </c>
      <c r="T1417" s="6">
        <f>1</f>
        <v>1</v>
      </c>
      <c r="U1417" s="5" t="s">
        <v>245</v>
      </c>
      <c r="V1417" s="4" t="s">
        <v>270</v>
      </c>
      <c r="W1417" s="4" t="s">
        <v>271</v>
      </c>
      <c r="X1417" s="4" t="s">
        <v>273</v>
      </c>
      <c r="Y1417" s="4" t="s">
        <v>241</v>
      </c>
      <c r="AB1417" s="4" t="s">
        <v>241</v>
      </c>
      <c r="AD1417" s="5" t="s">
        <v>241</v>
      </c>
      <c r="AG1417" s="5" t="s">
        <v>246</v>
      </c>
      <c r="AH1417" s="4" t="s">
        <v>241</v>
      </c>
      <c r="AI1417" s="4" t="s">
        <v>247</v>
      </c>
      <c r="AJ1417" s="4" t="s">
        <v>248</v>
      </c>
      <c r="AZ1417" s="4" t="s">
        <v>249</v>
      </c>
      <c r="BA1417" s="4" t="s">
        <v>241</v>
      </c>
      <c r="BB1417" s="4" t="s">
        <v>250</v>
      </c>
      <c r="BC1417" s="4" t="s">
        <v>241</v>
      </c>
      <c r="BD1417" s="4" t="s">
        <v>252</v>
      </c>
      <c r="BE1417" s="4" t="s">
        <v>241</v>
      </c>
      <c r="BI1417" s="4" t="s">
        <v>253</v>
      </c>
      <c r="BJ1417" s="5" t="s">
        <v>246</v>
      </c>
      <c r="BK1417" s="4" t="s">
        <v>254</v>
      </c>
      <c r="BL1417" s="4" t="s">
        <v>255</v>
      </c>
      <c r="BM1417" s="4" t="s">
        <v>241</v>
      </c>
      <c r="BN1417" s="6">
        <f>0</f>
        <v>0</v>
      </c>
      <c r="BO1417" s="6">
        <f>0</f>
        <v>0</v>
      </c>
      <c r="BP1417" s="4" t="s">
        <v>256</v>
      </c>
      <c r="BQ1417" s="4" t="s">
        <v>257</v>
      </c>
      <c r="CE1417" s="4" t="s">
        <v>241</v>
      </c>
      <c r="CF1417" s="4" t="s">
        <v>241</v>
      </c>
      <c r="CJ1417" s="4" t="s">
        <v>276</v>
      </c>
      <c r="CK1417" s="4" t="s">
        <v>259</v>
      </c>
      <c r="CL1417" s="4" t="s">
        <v>241</v>
      </c>
      <c r="CO1417" s="5" t="s">
        <v>260</v>
      </c>
      <c r="CP1417" s="4" t="s">
        <v>241</v>
      </c>
      <c r="CQ1417" s="4" t="s">
        <v>261</v>
      </c>
      <c r="CR1417" s="4" t="s">
        <v>241</v>
      </c>
      <c r="CS1417" s="4" t="s">
        <v>241</v>
      </c>
      <c r="CT1417" s="4">
        <v>0</v>
      </c>
      <c r="CU1417" s="4" t="s">
        <v>262</v>
      </c>
      <c r="CV1417" s="4" t="s">
        <v>263</v>
      </c>
      <c r="CW1417" s="4" t="s">
        <v>263</v>
      </c>
      <c r="CX1417" s="4" t="s">
        <v>264</v>
      </c>
      <c r="DA1417" s="6">
        <f>1</f>
        <v>1</v>
      </c>
      <c r="DC1417" s="4" t="s">
        <v>277</v>
      </c>
      <c r="DD1417" s="4" t="s">
        <v>241</v>
      </c>
      <c r="DF1417" s="4" t="s">
        <v>277</v>
      </c>
      <c r="DG1417" s="6">
        <f>935</f>
        <v>935</v>
      </c>
      <c r="DI1417" s="4" t="s">
        <v>241</v>
      </c>
      <c r="DJ1417" s="4" t="s">
        <v>241</v>
      </c>
      <c r="DK1417" s="4" t="s">
        <v>241</v>
      </c>
      <c r="DL1417" s="4" t="s">
        <v>241</v>
      </c>
      <c r="DP1417" s="4" t="s">
        <v>241</v>
      </c>
      <c r="DQ1417" s="4" t="s">
        <v>241</v>
      </c>
      <c r="DR1417" s="4" t="s">
        <v>241</v>
      </c>
      <c r="DS1417" s="4" t="s">
        <v>241</v>
      </c>
      <c r="DV1417" s="4" t="s">
        <v>278</v>
      </c>
      <c r="DW1417" s="4" t="s">
        <v>2703</v>
      </c>
      <c r="HO1417" s="4" t="s">
        <v>267</v>
      </c>
    </row>
    <row r="1418" spans="1:223" ht="19.5" customHeight="1" x14ac:dyDescent="0.4">
      <c r="A1418" s="4">
        <v>1</v>
      </c>
      <c r="B1418" s="4" t="s">
        <v>239</v>
      </c>
      <c r="C1418" s="4">
        <v>3092</v>
      </c>
      <c r="D1418" s="4">
        <v>1</v>
      </c>
      <c r="E1418" s="4">
        <v>1</v>
      </c>
      <c r="F1418" s="4" t="s">
        <v>268</v>
      </c>
      <c r="G1418" s="4" t="s">
        <v>241</v>
      </c>
      <c r="H1418" s="4" t="s">
        <v>241</v>
      </c>
      <c r="I1418" s="4" t="s">
        <v>272</v>
      </c>
      <c r="J1418" s="4" t="s">
        <v>274</v>
      </c>
      <c r="K1418" s="4" t="s">
        <v>251</v>
      </c>
      <c r="L1418" s="4" t="s">
        <v>269</v>
      </c>
      <c r="M1418" s="5" t="s">
        <v>2700</v>
      </c>
      <c r="N1418" s="6">
        <f>3157</f>
        <v>3157</v>
      </c>
      <c r="O1418" s="4" t="s">
        <v>265</v>
      </c>
      <c r="P1418" s="6">
        <f>1</f>
        <v>1</v>
      </c>
      <c r="Q1418" s="6">
        <f>0</f>
        <v>0</v>
      </c>
      <c r="S1418" s="6">
        <f>0</f>
        <v>0</v>
      </c>
      <c r="T1418" s="6">
        <f>1</f>
        <v>1</v>
      </c>
      <c r="U1418" s="5" t="s">
        <v>245</v>
      </c>
      <c r="V1418" s="4" t="s">
        <v>270</v>
      </c>
      <c r="W1418" s="4" t="s">
        <v>271</v>
      </c>
      <c r="X1418" s="4" t="s">
        <v>273</v>
      </c>
      <c r="Y1418" s="4" t="s">
        <v>241</v>
      </c>
      <c r="AB1418" s="4" t="s">
        <v>241</v>
      </c>
      <c r="AD1418" s="5" t="s">
        <v>241</v>
      </c>
      <c r="AG1418" s="5" t="s">
        <v>246</v>
      </c>
      <c r="AH1418" s="4" t="s">
        <v>241</v>
      </c>
      <c r="AI1418" s="4" t="s">
        <v>247</v>
      </c>
      <c r="AJ1418" s="4" t="s">
        <v>248</v>
      </c>
      <c r="AZ1418" s="4" t="s">
        <v>249</v>
      </c>
      <c r="BA1418" s="4" t="s">
        <v>241</v>
      </c>
      <c r="BB1418" s="4" t="s">
        <v>250</v>
      </c>
      <c r="BC1418" s="4" t="s">
        <v>241</v>
      </c>
      <c r="BD1418" s="4" t="s">
        <v>252</v>
      </c>
      <c r="BE1418" s="4" t="s">
        <v>241</v>
      </c>
      <c r="BI1418" s="4" t="s">
        <v>253</v>
      </c>
      <c r="BJ1418" s="5" t="s">
        <v>246</v>
      </c>
      <c r="BK1418" s="4" t="s">
        <v>254</v>
      </c>
      <c r="BL1418" s="4" t="s">
        <v>255</v>
      </c>
      <c r="BM1418" s="4" t="s">
        <v>241</v>
      </c>
      <c r="BN1418" s="6">
        <f>0</f>
        <v>0</v>
      </c>
      <c r="BO1418" s="6">
        <f>0</f>
        <v>0</v>
      </c>
      <c r="BP1418" s="4" t="s">
        <v>256</v>
      </c>
      <c r="BQ1418" s="4" t="s">
        <v>257</v>
      </c>
      <c r="CE1418" s="4" t="s">
        <v>241</v>
      </c>
      <c r="CF1418" s="4" t="s">
        <v>241</v>
      </c>
      <c r="CJ1418" s="4" t="s">
        <v>276</v>
      </c>
      <c r="CK1418" s="4" t="s">
        <v>259</v>
      </c>
      <c r="CL1418" s="4" t="s">
        <v>241</v>
      </c>
      <c r="CO1418" s="5" t="s">
        <v>260</v>
      </c>
      <c r="CP1418" s="4" t="s">
        <v>241</v>
      </c>
      <c r="CQ1418" s="4" t="s">
        <v>261</v>
      </c>
      <c r="CR1418" s="4" t="s">
        <v>241</v>
      </c>
      <c r="CS1418" s="4" t="s">
        <v>241</v>
      </c>
      <c r="CT1418" s="4">
        <v>0</v>
      </c>
      <c r="CU1418" s="4" t="s">
        <v>262</v>
      </c>
      <c r="CV1418" s="4" t="s">
        <v>263</v>
      </c>
      <c r="CW1418" s="4" t="s">
        <v>263</v>
      </c>
      <c r="CX1418" s="4" t="s">
        <v>264</v>
      </c>
      <c r="DA1418" s="6">
        <f>1</f>
        <v>1</v>
      </c>
      <c r="DC1418" s="4" t="s">
        <v>277</v>
      </c>
      <c r="DD1418" s="4" t="s">
        <v>241</v>
      </c>
      <c r="DF1418" s="4" t="s">
        <v>277</v>
      </c>
      <c r="DG1418" s="6">
        <f>3157</f>
        <v>3157</v>
      </c>
      <c r="DI1418" s="4" t="s">
        <v>241</v>
      </c>
      <c r="DJ1418" s="4" t="s">
        <v>241</v>
      </c>
      <c r="DK1418" s="4" t="s">
        <v>241</v>
      </c>
      <c r="DL1418" s="4" t="s">
        <v>241</v>
      </c>
      <c r="DP1418" s="4" t="s">
        <v>241</v>
      </c>
      <c r="DQ1418" s="4" t="s">
        <v>241</v>
      </c>
      <c r="DR1418" s="4" t="s">
        <v>241</v>
      </c>
      <c r="DS1418" s="4" t="s">
        <v>241</v>
      </c>
      <c r="DV1418" s="4" t="s">
        <v>278</v>
      </c>
      <c r="DW1418" s="4" t="s">
        <v>2701</v>
      </c>
      <c r="HO1418" s="4" t="s">
        <v>267</v>
      </c>
    </row>
    <row r="1419" spans="1:223" ht="19.5" customHeight="1" x14ac:dyDescent="0.4">
      <c r="A1419" s="4">
        <v>1</v>
      </c>
      <c r="B1419" s="4" t="s">
        <v>239</v>
      </c>
      <c r="C1419" s="4">
        <v>3093</v>
      </c>
      <c r="D1419" s="4">
        <v>1</v>
      </c>
      <c r="E1419" s="4">
        <v>1</v>
      </c>
      <c r="F1419" s="4" t="s">
        <v>268</v>
      </c>
      <c r="G1419" s="4" t="s">
        <v>241</v>
      </c>
      <c r="H1419" s="4" t="s">
        <v>241</v>
      </c>
      <c r="I1419" s="4" t="s">
        <v>272</v>
      </c>
      <c r="J1419" s="4" t="s">
        <v>274</v>
      </c>
      <c r="K1419" s="4" t="s">
        <v>251</v>
      </c>
      <c r="L1419" s="4" t="s">
        <v>269</v>
      </c>
      <c r="M1419" s="5" t="s">
        <v>2698</v>
      </c>
      <c r="N1419" s="6">
        <f>472</f>
        <v>472</v>
      </c>
      <c r="O1419" s="4" t="s">
        <v>265</v>
      </c>
      <c r="P1419" s="6">
        <f>1</f>
        <v>1</v>
      </c>
      <c r="Q1419" s="6">
        <f>0</f>
        <v>0</v>
      </c>
      <c r="S1419" s="6">
        <f>0</f>
        <v>0</v>
      </c>
      <c r="T1419" s="6">
        <f>1</f>
        <v>1</v>
      </c>
      <c r="U1419" s="5" t="s">
        <v>245</v>
      </c>
      <c r="V1419" s="4" t="s">
        <v>270</v>
      </c>
      <c r="W1419" s="4" t="s">
        <v>271</v>
      </c>
      <c r="X1419" s="4" t="s">
        <v>273</v>
      </c>
      <c r="Y1419" s="4" t="s">
        <v>241</v>
      </c>
      <c r="AB1419" s="4" t="s">
        <v>241</v>
      </c>
      <c r="AD1419" s="5" t="s">
        <v>241</v>
      </c>
      <c r="AG1419" s="5" t="s">
        <v>246</v>
      </c>
      <c r="AH1419" s="4" t="s">
        <v>241</v>
      </c>
      <c r="AI1419" s="4" t="s">
        <v>247</v>
      </c>
      <c r="AJ1419" s="4" t="s">
        <v>248</v>
      </c>
      <c r="AZ1419" s="4" t="s">
        <v>249</v>
      </c>
      <c r="BA1419" s="4" t="s">
        <v>241</v>
      </c>
      <c r="BB1419" s="4" t="s">
        <v>250</v>
      </c>
      <c r="BC1419" s="4" t="s">
        <v>241</v>
      </c>
      <c r="BD1419" s="4" t="s">
        <v>252</v>
      </c>
      <c r="BE1419" s="4" t="s">
        <v>241</v>
      </c>
      <c r="BI1419" s="4" t="s">
        <v>253</v>
      </c>
      <c r="BJ1419" s="5" t="s">
        <v>246</v>
      </c>
      <c r="BK1419" s="4" t="s">
        <v>254</v>
      </c>
      <c r="BL1419" s="4" t="s">
        <v>255</v>
      </c>
      <c r="BM1419" s="4" t="s">
        <v>241</v>
      </c>
      <c r="BN1419" s="6">
        <f>0</f>
        <v>0</v>
      </c>
      <c r="BO1419" s="6">
        <f>0</f>
        <v>0</v>
      </c>
      <c r="BP1419" s="4" t="s">
        <v>256</v>
      </c>
      <c r="BQ1419" s="4" t="s">
        <v>257</v>
      </c>
      <c r="CE1419" s="4" t="s">
        <v>241</v>
      </c>
      <c r="CF1419" s="4" t="s">
        <v>241</v>
      </c>
      <c r="CJ1419" s="4" t="s">
        <v>276</v>
      </c>
      <c r="CK1419" s="4" t="s">
        <v>259</v>
      </c>
      <c r="CL1419" s="4" t="s">
        <v>241</v>
      </c>
      <c r="CO1419" s="5" t="s">
        <v>260</v>
      </c>
      <c r="CP1419" s="4" t="s">
        <v>241</v>
      </c>
      <c r="CQ1419" s="4" t="s">
        <v>261</v>
      </c>
      <c r="CR1419" s="4" t="s">
        <v>241</v>
      </c>
      <c r="CS1419" s="4" t="s">
        <v>241</v>
      </c>
      <c r="CT1419" s="4">
        <v>0</v>
      </c>
      <c r="CU1419" s="4" t="s">
        <v>262</v>
      </c>
      <c r="CV1419" s="4" t="s">
        <v>263</v>
      </c>
      <c r="CW1419" s="4" t="s">
        <v>263</v>
      </c>
      <c r="CX1419" s="4" t="s">
        <v>264</v>
      </c>
      <c r="DA1419" s="6">
        <f>1</f>
        <v>1</v>
      </c>
      <c r="DC1419" s="4" t="s">
        <v>277</v>
      </c>
      <c r="DD1419" s="4" t="s">
        <v>241</v>
      </c>
      <c r="DF1419" s="4" t="s">
        <v>277</v>
      </c>
      <c r="DG1419" s="6">
        <f>472</f>
        <v>472</v>
      </c>
      <c r="DI1419" s="4" t="s">
        <v>241</v>
      </c>
      <c r="DJ1419" s="4" t="s">
        <v>241</v>
      </c>
      <c r="DK1419" s="4" t="s">
        <v>241</v>
      </c>
      <c r="DL1419" s="4" t="s">
        <v>241</v>
      </c>
      <c r="DP1419" s="4" t="s">
        <v>241</v>
      </c>
      <c r="DQ1419" s="4" t="s">
        <v>241</v>
      </c>
      <c r="DR1419" s="4" t="s">
        <v>241</v>
      </c>
      <c r="DS1419" s="4" t="s">
        <v>241</v>
      </c>
      <c r="DV1419" s="4" t="s">
        <v>278</v>
      </c>
      <c r="DW1419" s="4" t="s">
        <v>2699</v>
      </c>
      <c r="HO1419" s="4" t="s">
        <v>267</v>
      </c>
    </row>
    <row r="1420" spans="1:223" ht="19.5" customHeight="1" x14ac:dyDescent="0.4">
      <c r="A1420" s="4">
        <v>1</v>
      </c>
      <c r="B1420" s="4" t="s">
        <v>239</v>
      </c>
      <c r="C1420" s="4">
        <v>3094</v>
      </c>
      <c r="D1420" s="4">
        <v>1</v>
      </c>
      <c r="E1420" s="4">
        <v>1</v>
      </c>
      <c r="F1420" s="4" t="s">
        <v>268</v>
      </c>
      <c r="G1420" s="4" t="s">
        <v>241</v>
      </c>
      <c r="H1420" s="4" t="s">
        <v>241</v>
      </c>
      <c r="I1420" s="4" t="s">
        <v>272</v>
      </c>
      <c r="J1420" s="4" t="s">
        <v>274</v>
      </c>
      <c r="K1420" s="4" t="s">
        <v>251</v>
      </c>
      <c r="L1420" s="4" t="s">
        <v>269</v>
      </c>
      <c r="M1420" s="5" t="s">
        <v>2695</v>
      </c>
      <c r="N1420" s="6">
        <f>3123</f>
        <v>3123</v>
      </c>
      <c r="O1420" s="4" t="s">
        <v>265</v>
      </c>
      <c r="P1420" s="6">
        <f>1</f>
        <v>1</v>
      </c>
      <c r="Q1420" s="6">
        <f>0</f>
        <v>0</v>
      </c>
      <c r="S1420" s="6">
        <f>0</f>
        <v>0</v>
      </c>
      <c r="T1420" s="6">
        <f>1</f>
        <v>1</v>
      </c>
      <c r="U1420" s="5" t="s">
        <v>245</v>
      </c>
      <c r="V1420" s="4" t="s">
        <v>270</v>
      </c>
      <c r="W1420" s="4" t="s">
        <v>271</v>
      </c>
      <c r="X1420" s="4" t="s">
        <v>273</v>
      </c>
      <c r="Y1420" s="4" t="s">
        <v>241</v>
      </c>
      <c r="AB1420" s="4" t="s">
        <v>241</v>
      </c>
      <c r="AD1420" s="5" t="s">
        <v>241</v>
      </c>
      <c r="AG1420" s="5" t="s">
        <v>246</v>
      </c>
      <c r="AH1420" s="4" t="s">
        <v>241</v>
      </c>
      <c r="AI1420" s="4" t="s">
        <v>247</v>
      </c>
      <c r="AJ1420" s="4" t="s">
        <v>248</v>
      </c>
      <c r="AZ1420" s="4" t="s">
        <v>249</v>
      </c>
      <c r="BA1420" s="4" t="s">
        <v>241</v>
      </c>
      <c r="BB1420" s="4" t="s">
        <v>250</v>
      </c>
      <c r="BC1420" s="4" t="s">
        <v>241</v>
      </c>
      <c r="BD1420" s="4" t="s">
        <v>252</v>
      </c>
      <c r="BE1420" s="4" t="s">
        <v>241</v>
      </c>
      <c r="BI1420" s="4" t="s">
        <v>253</v>
      </c>
      <c r="BJ1420" s="5" t="s">
        <v>246</v>
      </c>
      <c r="BK1420" s="4" t="s">
        <v>254</v>
      </c>
      <c r="BL1420" s="4" t="s">
        <v>255</v>
      </c>
      <c r="BM1420" s="4" t="s">
        <v>241</v>
      </c>
      <c r="BN1420" s="6">
        <f>0</f>
        <v>0</v>
      </c>
      <c r="BO1420" s="6">
        <f>0</f>
        <v>0</v>
      </c>
      <c r="BP1420" s="4" t="s">
        <v>256</v>
      </c>
      <c r="BQ1420" s="4" t="s">
        <v>257</v>
      </c>
      <c r="CE1420" s="4" t="s">
        <v>241</v>
      </c>
      <c r="CF1420" s="4" t="s">
        <v>241</v>
      </c>
      <c r="CJ1420" s="4" t="s">
        <v>276</v>
      </c>
      <c r="CK1420" s="4" t="s">
        <v>259</v>
      </c>
      <c r="CL1420" s="4" t="s">
        <v>241</v>
      </c>
      <c r="CO1420" s="5" t="s">
        <v>260</v>
      </c>
      <c r="CP1420" s="4" t="s">
        <v>241</v>
      </c>
      <c r="CQ1420" s="4" t="s">
        <v>261</v>
      </c>
      <c r="CR1420" s="4" t="s">
        <v>241</v>
      </c>
      <c r="CS1420" s="4" t="s">
        <v>241</v>
      </c>
      <c r="CT1420" s="4">
        <v>0</v>
      </c>
      <c r="CU1420" s="4" t="s">
        <v>262</v>
      </c>
      <c r="CV1420" s="4" t="s">
        <v>263</v>
      </c>
      <c r="CW1420" s="4" t="s">
        <v>263</v>
      </c>
      <c r="CX1420" s="4" t="s">
        <v>264</v>
      </c>
      <c r="DA1420" s="6">
        <f>1</f>
        <v>1</v>
      </c>
      <c r="DC1420" s="4" t="s">
        <v>277</v>
      </c>
      <c r="DD1420" s="4" t="s">
        <v>241</v>
      </c>
      <c r="DF1420" s="4" t="s">
        <v>277</v>
      </c>
      <c r="DG1420" s="6">
        <f>3123</f>
        <v>3123</v>
      </c>
      <c r="DI1420" s="4" t="s">
        <v>241</v>
      </c>
      <c r="DJ1420" s="4" t="s">
        <v>241</v>
      </c>
      <c r="DK1420" s="4" t="s">
        <v>241</v>
      </c>
      <c r="DL1420" s="4" t="s">
        <v>241</v>
      </c>
      <c r="DP1420" s="4" t="s">
        <v>241</v>
      </c>
      <c r="DQ1420" s="4" t="s">
        <v>241</v>
      </c>
      <c r="DR1420" s="4" t="s">
        <v>241</v>
      </c>
      <c r="DS1420" s="4" t="s">
        <v>241</v>
      </c>
      <c r="DV1420" s="4" t="s">
        <v>278</v>
      </c>
      <c r="DW1420" s="4" t="s">
        <v>2696</v>
      </c>
      <c r="HO1420" s="4" t="s">
        <v>267</v>
      </c>
    </row>
    <row r="1421" spans="1:223" ht="19.5" customHeight="1" x14ac:dyDescent="0.4">
      <c r="A1421" s="4">
        <v>1</v>
      </c>
      <c r="B1421" s="4" t="s">
        <v>239</v>
      </c>
      <c r="C1421" s="4">
        <v>3095</v>
      </c>
      <c r="D1421" s="4">
        <v>1</v>
      </c>
      <c r="E1421" s="4">
        <v>1</v>
      </c>
      <c r="F1421" s="4" t="s">
        <v>268</v>
      </c>
      <c r="G1421" s="4" t="s">
        <v>241</v>
      </c>
      <c r="H1421" s="4" t="s">
        <v>241</v>
      </c>
      <c r="I1421" s="4" t="s">
        <v>272</v>
      </c>
      <c r="J1421" s="4" t="s">
        <v>274</v>
      </c>
      <c r="K1421" s="4" t="s">
        <v>251</v>
      </c>
      <c r="L1421" s="4" t="s">
        <v>269</v>
      </c>
      <c r="M1421" s="5" t="s">
        <v>2693</v>
      </c>
      <c r="N1421" s="6">
        <f>1444</f>
        <v>1444</v>
      </c>
      <c r="O1421" s="4" t="s">
        <v>265</v>
      </c>
      <c r="P1421" s="6">
        <f>1</f>
        <v>1</v>
      </c>
      <c r="Q1421" s="6">
        <f>0</f>
        <v>0</v>
      </c>
      <c r="S1421" s="6">
        <f>0</f>
        <v>0</v>
      </c>
      <c r="T1421" s="6">
        <f>1</f>
        <v>1</v>
      </c>
      <c r="U1421" s="5" t="s">
        <v>245</v>
      </c>
      <c r="V1421" s="4" t="s">
        <v>270</v>
      </c>
      <c r="W1421" s="4" t="s">
        <v>271</v>
      </c>
      <c r="X1421" s="4" t="s">
        <v>273</v>
      </c>
      <c r="Y1421" s="4" t="s">
        <v>241</v>
      </c>
      <c r="AB1421" s="4" t="s">
        <v>241</v>
      </c>
      <c r="AD1421" s="5" t="s">
        <v>241</v>
      </c>
      <c r="AG1421" s="5" t="s">
        <v>246</v>
      </c>
      <c r="AH1421" s="4" t="s">
        <v>241</v>
      </c>
      <c r="AI1421" s="4" t="s">
        <v>247</v>
      </c>
      <c r="AJ1421" s="4" t="s">
        <v>248</v>
      </c>
      <c r="AZ1421" s="4" t="s">
        <v>249</v>
      </c>
      <c r="BA1421" s="4" t="s">
        <v>241</v>
      </c>
      <c r="BB1421" s="4" t="s">
        <v>250</v>
      </c>
      <c r="BC1421" s="4" t="s">
        <v>241</v>
      </c>
      <c r="BD1421" s="4" t="s">
        <v>252</v>
      </c>
      <c r="BE1421" s="4" t="s">
        <v>241</v>
      </c>
      <c r="BI1421" s="4" t="s">
        <v>253</v>
      </c>
      <c r="BJ1421" s="5" t="s">
        <v>246</v>
      </c>
      <c r="BK1421" s="4" t="s">
        <v>254</v>
      </c>
      <c r="BL1421" s="4" t="s">
        <v>255</v>
      </c>
      <c r="BM1421" s="4" t="s">
        <v>241</v>
      </c>
      <c r="BN1421" s="6">
        <f>0</f>
        <v>0</v>
      </c>
      <c r="BO1421" s="6">
        <f>0</f>
        <v>0</v>
      </c>
      <c r="BP1421" s="4" t="s">
        <v>256</v>
      </c>
      <c r="BQ1421" s="4" t="s">
        <v>257</v>
      </c>
      <c r="CE1421" s="4" t="s">
        <v>241</v>
      </c>
      <c r="CF1421" s="4" t="s">
        <v>241</v>
      </c>
      <c r="CJ1421" s="4" t="s">
        <v>276</v>
      </c>
      <c r="CK1421" s="4" t="s">
        <v>259</v>
      </c>
      <c r="CL1421" s="4" t="s">
        <v>241</v>
      </c>
      <c r="CO1421" s="5" t="s">
        <v>260</v>
      </c>
      <c r="CP1421" s="4" t="s">
        <v>241</v>
      </c>
      <c r="CQ1421" s="4" t="s">
        <v>261</v>
      </c>
      <c r="CR1421" s="4" t="s">
        <v>241</v>
      </c>
      <c r="CS1421" s="4" t="s">
        <v>241</v>
      </c>
      <c r="CT1421" s="4">
        <v>0</v>
      </c>
      <c r="CU1421" s="4" t="s">
        <v>262</v>
      </c>
      <c r="CV1421" s="4" t="s">
        <v>263</v>
      </c>
      <c r="CW1421" s="4" t="s">
        <v>263</v>
      </c>
      <c r="CX1421" s="4" t="s">
        <v>264</v>
      </c>
      <c r="DA1421" s="6">
        <f>1</f>
        <v>1</v>
      </c>
      <c r="DC1421" s="4" t="s">
        <v>277</v>
      </c>
      <c r="DD1421" s="4" t="s">
        <v>241</v>
      </c>
      <c r="DF1421" s="4" t="s">
        <v>277</v>
      </c>
      <c r="DG1421" s="6">
        <f>1444</f>
        <v>1444</v>
      </c>
      <c r="DI1421" s="4" t="s">
        <v>241</v>
      </c>
      <c r="DJ1421" s="4" t="s">
        <v>241</v>
      </c>
      <c r="DK1421" s="4" t="s">
        <v>241</v>
      </c>
      <c r="DL1421" s="4" t="s">
        <v>241</v>
      </c>
      <c r="DP1421" s="4" t="s">
        <v>241</v>
      </c>
      <c r="DQ1421" s="4" t="s">
        <v>241</v>
      </c>
      <c r="DR1421" s="4" t="s">
        <v>241</v>
      </c>
      <c r="DS1421" s="4" t="s">
        <v>241</v>
      </c>
      <c r="DV1421" s="4" t="s">
        <v>278</v>
      </c>
      <c r="DW1421" s="4" t="s">
        <v>2694</v>
      </c>
      <c r="HO1421" s="4" t="s">
        <v>267</v>
      </c>
    </row>
    <row r="1422" spans="1:223" ht="19.5" customHeight="1" x14ac:dyDescent="0.4">
      <c r="A1422" s="4">
        <v>1</v>
      </c>
      <c r="B1422" s="4" t="s">
        <v>239</v>
      </c>
      <c r="C1422" s="4">
        <v>3096</v>
      </c>
      <c r="D1422" s="4">
        <v>1</v>
      </c>
      <c r="E1422" s="4">
        <v>1</v>
      </c>
      <c r="F1422" s="4" t="s">
        <v>268</v>
      </c>
      <c r="G1422" s="4" t="s">
        <v>241</v>
      </c>
      <c r="H1422" s="4" t="s">
        <v>241</v>
      </c>
      <c r="I1422" s="4" t="s">
        <v>272</v>
      </c>
      <c r="J1422" s="4" t="s">
        <v>274</v>
      </c>
      <c r="K1422" s="4" t="s">
        <v>251</v>
      </c>
      <c r="L1422" s="4" t="s">
        <v>269</v>
      </c>
      <c r="M1422" s="5" t="s">
        <v>2687</v>
      </c>
      <c r="N1422" s="6">
        <f>3153</f>
        <v>3153</v>
      </c>
      <c r="O1422" s="4" t="s">
        <v>265</v>
      </c>
      <c r="P1422" s="6">
        <f>1</f>
        <v>1</v>
      </c>
      <c r="Q1422" s="6">
        <f>0</f>
        <v>0</v>
      </c>
      <c r="S1422" s="6">
        <f>0</f>
        <v>0</v>
      </c>
      <c r="T1422" s="6">
        <f>1</f>
        <v>1</v>
      </c>
      <c r="U1422" s="5" t="s">
        <v>245</v>
      </c>
      <c r="V1422" s="4" t="s">
        <v>270</v>
      </c>
      <c r="W1422" s="4" t="s">
        <v>271</v>
      </c>
      <c r="X1422" s="4" t="s">
        <v>273</v>
      </c>
      <c r="Y1422" s="4" t="s">
        <v>241</v>
      </c>
      <c r="AB1422" s="4" t="s">
        <v>241</v>
      </c>
      <c r="AD1422" s="5" t="s">
        <v>241</v>
      </c>
      <c r="AG1422" s="5" t="s">
        <v>246</v>
      </c>
      <c r="AH1422" s="4" t="s">
        <v>241</v>
      </c>
      <c r="AI1422" s="4" t="s">
        <v>247</v>
      </c>
      <c r="AJ1422" s="4" t="s">
        <v>248</v>
      </c>
      <c r="AZ1422" s="4" t="s">
        <v>249</v>
      </c>
      <c r="BA1422" s="4" t="s">
        <v>241</v>
      </c>
      <c r="BB1422" s="4" t="s">
        <v>250</v>
      </c>
      <c r="BC1422" s="4" t="s">
        <v>241</v>
      </c>
      <c r="BD1422" s="4" t="s">
        <v>252</v>
      </c>
      <c r="BE1422" s="4" t="s">
        <v>241</v>
      </c>
      <c r="BI1422" s="4" t="s">
        <v>253</v>
      </c>
      <c r="BJ1422" s="5" t="s">
        <v>246</v>
      </c>
      <c r="BK1422" s="4" t="s">
        <v>254</v>
      </c>
      <c r="BL1422" s="4" t="s">
        <v>255</v>
      </c>
      <c r="BM1422" s="4" t="s">
        <v>241</v>
      </c>
      <c r="BN1422" s="6">
        <f>0</f>
        <v>0</v>
      </c>
      <c r="BO1422" s="6">
        <f>0</f>
        <v>0</v>
      </c>
      <c r="BP1422" s="4" t="s">
        <v>256</v>
      </c>
      <c r="BQ1422" s="4" t="s">
        <v>257</v>
      </c>
      <c r="CE1422" s="4" t="s">
        <v>241</v>
      </c>
      <c r="CF1422" s="4" t="s">
        <v>241</v>
      </c>
      <c r="CJ1422" s="4" t="s">
        <v>276</v>
      </c>
      <c r="CK1422" s="4" t="s">
        <v>259</v>
      </c>
      <c r="CL1422" s="4" t="s">
        <v>241</v>
      </c>
      <c r="CO1422" s="5" t="s">
        <v>260</v>
      </c>
      <c r="CP1422" s="4" t="s">
        <v>241</v>
      </c>
      <c r="CQ1422" s="4" t="s">
        <v>261</v>
      </c>
      <c r="CR1422" s="4" t="s">
        <v>241</v>
      </c>
      <c r="CS1422" s="4" t="s">
        <v>241</v>
      </c>
      <c r="CT1422" s="4">
        <v>0</v>
      </c>
      <c r="CU1422" s="4" t="s">
        <v>262</v>
      </c>
      <c r="CV1422" s="4" t="s">
        <v>263</v>
      </c>
      <c r="CW1422" s="4" t="s">
        <v>263</v>
      </c>
      <c r="CX1422" s="4" t="s">
        <v>264</v>
      </c>
      <c r="DA1422" s="6">
        <f>1</f>
        <v>1</v>
      </c>
      <c r="DC1422" s="4" t="s">
        <v>277</v>
      </c>
      <c r="DD1422" s="4" t="s">
        <v>241</v>
      </c>
      <c r="DF1422" s="4" t="s">
        <v>277</v>
      </c>
      <c r="DG1422" s="6">
        <f>3153</f>
        <v>3153</v>
      </c>
      <c r="DI1422" s="4" t="s">
        <v>241</v>
      </c>
      <c r="DJ1422" s="4" t="s">
        <v>241</v>
      </c>
      <c r="DK1422" s="4" t="s">
        <v>241</v>
      </c>
      <c r="DL1422" s="4" t="s">
        <v>241</v>
      </c>
      <c r="DP1422" s="4" t="s">
        <v>241</v>
      </c>
      <c r="DQ1422" s="4" t="s">
        <v>241</v>
      </c>
      <c r="DR1422" s="4" t="s">
        <v>241</v>
      </c>
      <c r="DS1422" s="4" t="s">
        <v>241</v>
      </c>
      <c r="DV1422" s="4" t="s">
        <v>278</v>
      </c>
      <c r="DW1422" s="4" t="s">
        <v>2688</v>
      </c>
      <c r="HO1422" s="4" t="s">
        <v>267</v>
      </c>
    </row>
    <row r="1423" spans="1:223" ht="19.5" customHeight="1" x14ac:dyDescent="0.4">
      <c r="A1423" s="4">
        <v>1</v>
      </c>
      <c r="B1423" s="4" t="s">
        <v>239</v>
      </c>
      <c r="C1423" s="4">
        <v>3097</v>
      </c>
      <c r="D1423" s="4">
        <v>1</v>
      </c>
      <c r="E1423" s="4">
        <v>1</v>
      </c>
      <c r="F1423" s="4" t="s">
        <v>268</v>
      </c>
      <c r="G1423" s="4" t="s">
        <v>241</v>
      </c>
      <c r="H1423" s="4" t="s">
        <v>241</v>
      </c>
      <c r="I1423" s="4" t="s">
        <v>272</v>
      </c>
      <c r="J1423" s="4" t="s">
        <v>274</v>
      </c>
      <c r="K1423" s="4" t="s">
        <v>251</v>
      </c>
      <c r="L1423" s="4" t="s">
        <v>269</v>
      </c>
      <c r="M1423" s="5" t="s">
        <v>2685</v>
      </c>
      <c r="N1423" s="6">
        <f>2086</f>
        <v>2086</v>
      </c>
      <c r="O1423" s="4" t="s">
        <v>265</v>
      </c>
      <c r="P1423" s="6">
        <f>1</f>
        <v>1</v>
      </c>
      <c r="Q1423" s="6">
        <f>0</f>
        <v>0</v>
      </c>
      <c r="S1423" s="6">
        <f>0</f>
        <v>0</v>
      </c>
      <c r="T1423" s="6">
        <f>1</f>
        <v>1</v>
      </c>
      <c r="U1423" s="5" t="s">
        <v>245</v>
      </c>
      <c r="V1423" s="4" t="s">
        <v>270</v>
      </c>
      <c r="W1423" s="4" t="s">
        <v>271</v>
      </c>
      <c r="X1423" s="4" t="s">
        <v>273</v>
      </c>
      <c r="Y1423" s="4" t="s">
        <v>241</v>
      </c>
      <c r="AB1423" s="4" t="s">
        <v>241</v>
      </c>
      <c r="AD1423" s="5" t="s">
        <v>241</v>
      </c>
      <c r="AG1423" s="5" t="s">
        <v>246</v>
      </c>
      <c r="AH1423" s="4" t="s">
        <v>241</v>
      </c>
      <c r="AI1423" s="4" t="s">
        <v>247</v>
      </c>
      <c r="AJ1423" s="4" t="s">
        <v>248</v>
      </c>
      <c r="AZ1423" s="4" t="s">
        <v>249</v>
      </c>
      <c r="BA1423" s="4" t="s">
        <v>241</v>
      </c>
      <c r="BB1423" s="4" t="s">
        <v>250</v>
      </c>
      <c r="BC1423" s="4" t="s">
        <v>241</v>
      </c>
      <c r="BD1423" s="4" t="s">
        <v>252</v>
      </c>
      <c r="BE1423" s="4" t="s">
        <v>241</v>
      </c>
      <c r="BI1423" s="4" t="s">
        <v>253</v>
      </c>
      <c r="BJ1423" s="5" t="s">
        <v>246</v>
      </c>
      <c r="BK1423" s="4" t="s">
        <v>254</v>
      </c>
      <c r="BL1423" s="4" t="s">
        <v>255</v>
      </c>
      <c r="BM1423" s="4" t="s">
        <v>241</v>
      </c>
      <c r="BN1423" s="6">
        <f>0</f>
        <v>0</v>
      </c>
      <c r="BO1423" s="6">
        <f>0</f>
        <v>0</v>
      </c>
      <c r="BP1423" s="4" t="s">
        <v>256</v>
      </c>
      <c r="BQ1423" s="4" t="s">
        <v>257</v>
      </c>
      <c r="CE1423" s="4" t="s">
        <v>241</v>
      </c>
      <c r="CF1423" s="4" t="s">
        <v>241</v>
      </c>
      <c r="CJ1423" s="4" t="s">
        <v>276</v>
      </c>
      <c r="CK1423" s="4" t="s">
        <v>259</v>
      </c>
      <c r="CL1423" s="4" t="s">
        <v>241</v>
      </c>
      <c r="CO1423" s="5" t="s">
        <v>260</v>
      </c>
      <c r="CP1423" s="4" t="s">
        <v>241</v>
      </c>
      <c r="CQ1423" s="4" t="s">
        <v>261</v>
      </c>
      <c r="CR1423" s="4" t="s">
        <v>241</v>
      </c>
      <c r="CS1423" s="4" t="s">
        <v>241</v>
      </c>
      <c r="CT1423" s="4">
        <v>0</v>
      </c>
      <c r="CU1423" s="4" t="s">
        <v>262</v>
      </c>
      <c r="CV1423" s="4" t="s">
        <v>263</v>
      </c>
      <c r="CW1423" s="4" t="s">
        <v>263</v>
      </c>
      <c r="CX1423" s="4" t="s">
        <v>264</v>
      </c>
      <c r="DA1423" s="6">
        <f>1</f>
        <v>1</v>
      </c>
      <c r="DC1423" s="4" t="s">
        <v>277</v>
      </c>
      <c r="DD1423" s="4" t="s">
        <v>241</v>
      </c>
      <c r="DF1423" s="4" t="s">
        <v>277</v>
      </c>
      <c r="DG1423" s="6">
        <f>2086</f>
        <v>2086</v>
      </c>
      <c r="DI1423" s="4" t="s">
        <v>241</v>
      </c>
      <c r="DJ1423" s="4" t="s">
        <v>241</v>
      </c>
      <c r="DK1423" s="4" t="s">
        <v>241</v>
      </c>
      <c r="DL1423" s="4" t="s">
        <v>241</v>
      </c>
      <c r="DP1423" s="4" t="s">
        <v>241</v>
      </c>
      <c r="DQ1423" s="4" t="s">
        <v>241</v>
      </c>
      <c r="DR1423" s="4" t="s">
        <v>241</v>
      </c>
      <c r="DS1423" s="4" t="s">
        <v>241</v>
      </c>
      <c r="DV1423" s="4" t="s">
        <v>278</v>
      </c>
      <c r="DW1423" s="4" t="s">
        <v>2686</v>
      </c>
      <c r="HO1423" s="4" t="s">
        <v>267</v>
      </c>
    </row>
    <row r="1424" spans="1:223" ht="19.5" customHeight="1" x14ac:dyDescent="0.4">
      <c r="A1424" s="4">
        <v>1</v>
      </c>
      <c r="B1424" s="4" t="s">
        <v>239</v>
      </c>
      <c r="C1424" s="4">
        <v>3098</v>
      </c>
      <c r="D1424" s="4">
        <v>1</v>
      </c>
      <c r="E1424" s="4">
        <v>1</v>
      </c>
      <c r="F1424" s="4" t="s">
        <v>268</v>
      </c>
      <c r="G1424" s="4" t="s">
        <v>241</v>
      </c>
      <c r="H1424" s="4" t="s">
        <v>241</v>
      </c>
      <c r="I1424" s="4" t="s">
        <v>272</v>
      </c>
      <c r="J1424" s="4" t="s">
        <v>274</v>
      </c>
      <c r="K1424" s="4" t="s">
        <v>251</v>
      </c>
      <c r="L1424" s="4" t="s">
        <v>269</v>
      </c>
      <c r="M1424" s="5" t="s">
        <v>2682</v>
      </c>
      <c r="N1424" s="6">
        <f>1599</f>
        <v>1599</v>
      </c>
      <c r="O1424" s="4" t="s">
        <v>265</v>
      </c>
      <c r="P1424" s="6">
        <f>1</f>
        <v>1</v>
      </c>
      <c r="Q1424" s="6">
        <f>0</f>
        <v>0</v>
      </c>
      <c r="S1424" s="6">
        <f>0</f>
        <v>0</v>
      </c>
      <c r="T1424" s="6">
        <f>1</f>
        <v>1</v>
      </c>
      <c r="U1424" s="5" t="s">
        <v>245</v>
      </c>
      <c r="V1424" s="4" t="s">
        <v>270</v>
      </c>
      <c r="W1424" s="4" t="s">
        <v>271</v>
      </c>
      <c r="X1424" s="4" t="s">
        <v>273</v>
      </c>
      <c r="Y1424" s="4" t="s">
        <v>241</v>
      </c>
      <c r="AB1424" s="4" t="s">
        <v>241</v>
      </c>
      <c r="AD1424" s="5" t="s">
        <v>241</v>
      </c>
      <c r="AG1424" s="5" t="s">
        <v>246</v>
      </c>
      <c r="AH1424" s="4" t="s">
        <v>241</v>
      </c>
      <c r="AI1424" s="4" t="s">
        <v>247</v>
      </c>
      <c r="AJ1424" s="4" t="s">
        <v>248</v>
      </c>
      <c r="AZ1424" s="4" t="s">
        <v>249</v>
      </c>
      <c r="BA1424" s="4" t="s">
        <v>241</v>
      </c>
      <c r="BB1424" s="4" t="s">
        <v>250</v>
      </c>
      <c r="BC1424" s="4" t="s">
        <v>241</v>
      </c>
      <c r="BD1424" s="4" t="s">
        <v>252</v>
      </c>
      <c r="BE1424" s="4" t="s">
        <v>241</v>
      </c>
      <c r="BI1424" s="4" t="s">
        <v>253</v>
      </c>
      <c r="BJ1424" s="5" t="s">
        <v>246</v>
      </c>
      <c r="BK1424" s="4" t="s">
        <v>254</v>
      </c>
      <c r="BL1424" s="4" t="s">
        <v>255</v>
      </c>
      <c r="BM1424" s="4" t="s">
        <v>241</v>
      </c>
      <c r="BN1424" s="6">
        <f>0</f>
        <v>0</v>
      </c>
      <c r="BO1424" s="6">
        <f>0</f>
        <v>0</v>
      </c>
      <c r="BP1424" s="4" t="s">
        <v>256</v>
      </c>
      <c r="BQ1424" s="4" t="s">
        <v>257</v>
      </c>
      <c r="CE1424" s="4" t="s">
        <v>241</v>
      </c>
      <c r="CF1424" s="4" t="s">
        <v>241</v>
      </c>
      <c r="CJ1424" s="4" t="s">
        <v>276</v>
      </c>
      <c r="CK1424" s="4" t="s">
        <v>259</v>
      </c>
      <c r="CL1424" s="4" t="s">
        <v>241</v>
      </c>
      <c r="CO1424" s="5" t="s">
        <v>260</v>
      </c>
      <c r="CP1424" s="4" t="s">
        <v>241</v>
      </c>
      <c r="CQ1424" s="4" t="s">
        <v>261</v>
      </c>
      <c r="CR1424" s="4" t="s">
        <v>241</v>
      </c>
      <c r="CS1424" s="4" t="s">
        <v>241</v>
      </c>
      <c r="CT1424" s="4">
        <v>0</v>
      </c>
      <c r="CU1424" s="4" t="s">
        <v>262</v>
      </c>
      <c r="CV1424" s="4" t="s">
        <v>263</v>
      </c>
      <c r="CW1424" s="4" t="s">
        <v>263</v>
      </c>
      <c r="CX1424" s="4" t="s">
        <v>264</v>
      </c>
      <c r="DA1424" s="6">
        <f>1</f>
        <v>1</v>
      </c>
      <c r="DC1424" s="4" t="s">
        <v>277</v>
      </c>
      <c r="DD1424" s="4" t="s">
        <v>241</v>
      </c>
      <c r="DF1424" s="4" t="s">
        <v>277</v>
      </c>
      <c r="DG1424" s="6">
        <f>1599</f>
        <v>1599</v>
      </c>
      <c r="DI1424" s="4" t="s">
        <v>241</v>
      </c>
      <c r="DJ1424" s="4" t="s">
        <v>241</v>
      </c>
      <c r="DK1424" s="4" t="s">
        <v>241</v>
      </c>
      <c r="DL1424" s="4" t="s">
        <v>241</v>
      </c>
      <c r="DP1424" s="4" t="s">
        <v>241</v>
      </c>
      <c r="DQ1424" s="4" t="s">
        <v>241</v>
      </c>
      <c r="DR1424" s="4" t="s">
        <v>241</v>
      </c>
      <c r="DS1424" s="4" t="s">
        <v>241</v>
      </c>
      <c r="DV1424" s="4" t="s">
        <v>278</v>
      </c>
      <c r="DW1424" s="4" t="s">
        <v>2683</v>
      </c>
      <c r="HO1424" s="4" t="s">
        <v>267</v>
      </c>
    </row>
    <row r="1425" spans="1:223" ht="19.5" customHeight="1" x14ac:dyDescent="0.4">
      <c r="A1425" s="4">
        <v>1</v>
      </c>
      <c r="B1425" s="4" t="s">
        <v>239</v>
      </c>
      <c r="C1425" s="4">
        <v>3099</v>
      </c>
      <c r="D1425" s="4">
        <v>1</v>
      </c>
      <c r="E1425" s="4">
        <v>1</v>
      </c>
      <c r="F1425" s="4" t="s">
        <v>268</v>
      </c>
      <c r="G1425" s="4" t="s">
        <v>241</v>
      </c>
      <c r="H1425" s="4" t="s">
        <v>241</v>
      </c>
      <c r="I1425" s="4" t="s">
        <v>272</v>
      </c>
      <c r="J1425" s="4" t="s">
        <v>274</v>
      </c>
      <c r="K1425" s="4" t="s">
        <v>251</v>
      </c>
      <c r="L1425" s="4" t="s">
        <v>269</v>
      </c>
      <c r="M1425" s="5" t="s">
        <v>2680</v>
      </c>
      <c r="N1425" s="6">
        <f>1041</f>
        <v>1041</v>
      </c>
      <c r="O1425" s="4" t="s">
        <v>265</v>
      </c>
      <c r="P1425" s="6">
        <f>1</f>
        <v>1</v>
      </c>
      <c r="Q1425" s="6">
        <f>0</f>
        <v>0</v>
      </c>
      <c r="S1425" s="6">
        <f>0</f>
        <v>0</v>
      </c>
      <c r="T1425" s="6">
        <f>1</f>
        <v>1</v>
      </c>
      <c r="U1425" s="5" t="s">
        <v>245</v>
      </c>
      <c r="V1425" s="4" t="s">
        <v>270</v>
      </c>
      <c r="W1425" s="4" t="s">
        <v>271</v>
      </c>
      <c r="X1425" s="4" t="s">
        <v>273</v>
      </c>
      <c r="Y1425" s="4" t="s">
        <v>241</v>
      </c>
      <c r="AB1425" s="4" t="s">
        <v>241</v>
      </c>
      <c r="AD1425" s="5" t="s">
        <v>241</v>
      </c>
      <c r="AG1425" s="5" t="s">
        <v>246</v>
      </c>
      <c r="AH1425" s="4" t="s">
        <v>241</v>
      </c>
      <c r="AI1425" s="4" t="s">
        <v>247</v>
      </c>
      <c r="AJ1425" s="4" t="s">
        <v>248</v>
      </c>
      <c r="AZ1425" s="4" t="s">
        <v>249</v>
      </c>
      <c r="BA1425" s="4" t="s">
        <v>241</v>
      </c>
      <c r="BB1425" s="4" t="s">
        <v>250</v>
      </c>
      <c r="BC1425" s="4" t="s">
        <v>241</v>
      </c>
      <c r="BD1425" s="4" t="s">
        <v>252</v>
      </c>
      <c r="BE1425" s="4" t="s">
        <v>241</v>
      </c>
      <c r="BI1425" s="4" t="s">
        <v>253</v>
      </c>
      <c r="BJ1425" s="5" t="s">
        <v>246</v>
      </c>
      <c r="BK1425" s="4" t="s">
        <v>254</v>
      </c>
      <c r="BL1425" s="4" t="s">
        <v>255</v>
      </c>
      <c r="BM1425" s="4" t="s">
        <v>241</v>
      </c>
      <c r="BN1425" s="6">
        <f>0</f>
        <v>0</v>
      </c>
      <c r="BO1425" s="6">
        <f>0</f>
        <v>0</v>
      </c>
      <c r="BP1425" s="4" t="s">
        <v>256</v>
      </c>
      <c r="BQ1425" s="4" t="s">
        <v>257</v>
      </c>
      <c r="CE1425" s="4" t="s">
        <v>241</v>
      </c>
      <c r="CF1425" s="4" t="s">
        <v>241</v>
      </c>
      <c r="CJ1425" s="4" t="s">
        <v>276</v>
      </c>
      <c r="CK1425" s="4" t="s">
        <v>259</v>
      </c>
      <c r="CL1425" s="4" t="s">
        <v>241</v>
      </c>
      <c r="CO1425" s="5" t="s">
        <v>260</v>
      </c>
      <c r="CP1425" s="4" t="s">
        <v>241</v>
      </c>
      <c r="CQ1425" s="4" t="s">
        <v>261</v>
      </c>
      <c r="CR1425" s="4" t="s">
        <v>241</v>
      </c>
      <c r="CS1425" s="4" t="s">
        <v>241</v>
      </c>
      <c r="CT1425" s="4">
        <v>0</v>
      </c>
      <c r="CU1425" s="4" t="s">
        <v>262</v>
      </c>
      <c r="CV1425" s="4" t="s">
        <v>263</v>
      </c>
      <c r="CW1425" s="4" t="s">
        <v>263</v>
      </c>
      <c r="CX1425" s="4" t="s">
        <v>264</v>
      </c>
      <c r="DA1425" s="6">
        <f>1</f>
        <v>1</v>
      </c>
      <c r="DC1425" s="4" t="s">
        <v>277</v>
      </c>
      <c r="DD1425" s="4" t="s">
        <v>241</v>
      </c>
      <c r="DF1425" s="4" t="s">
        <v>277</v>
      </c>
      <c r="DG1425" s="6">
        <f>1041</f>
        <v>1041</v>
      </c>
      <c r="DI1425" s="4" t="s">
        <v>241</v>
      </c>
      <c r="DJ1425" s="4" t="s">
        <v>241</v>
      </c>
      <c r="DK1425" s="4" t="s">
        <v>241</v>
      </c>
      <c r="DL1425" s="4" t="s">
        <v>241</v>
      </c>
      <c r="DP1425" s="4" t="s">
        <v>241</v>
      </c>
      <c r="DQ1425" s="4" t="s">
        <v>241</v>
      </c>
      <c r="DR1425" s="4" t="s">
        <v>241</v>
      </c>
      <c r="DS1425" s="4" t="s">
        <v>241</v>
      </c>
      <c r="DV1425" s="4" t="s">
        <v>278</v>
      </c>
      <c r="DW1425" s="4" t="s">
        <v>2681</v>
      </c>
      <c r="HO1425" s="4" t="s">
        <v>267</v>
      </c>
    </row>
    <row r="1426" spans="1:223" ht="19.5" customHeight="1" x14ac:dyDescent="0.4">
      <c r="A1426" s="4">
        <v>1</v>
      </c>
      <c r="B1426" s="4" t="s">
        <v>239</v>
      </c>
      <c r="C1426" s="4">
        <v>3100</v>
      </c>
      <c r="D1426" s="4">
        <v>1</v>
      </c>
      <c r="E1426" s="4">
        <v>1</v>
      </c>
      <c r="F1426" s="4" t="s">
        <v>268</v>
      </c>
      <c r="G1426" s="4" t="s">
        <v>241</v>
      </c>
      <c r="H1426" s="4" t="s">
        <v>241</v>
      </c>
      <c r="I1426" s="4" t="s">
        <v>272</v>
      </c>
      <c r="J1426" s="4" t="s">
        <v>274</v>
      </c>
      <c r="K1426" s="4" t="s">
        <v>251</v>
      </c>
      <c r="L1426" s="4" t="s">
        <v>269</v>
      </c>
      <c r="M1426" s="5" t="s">
        <v>2678</v>
      </c>
      <c r="N1426" s="6">
        <f>212</f>
        <v>212</v>
      </c>
      <c r="O1426" s="4" t="s">
        <v>265</v>
      </c>
      <c r="P1426" s="6">
        <f>1</f>
        <v>1</v>
      </c>
      <c r="Q1426" s="6">
        <f>0</f>
        <v>0</v>
      </c>
      <c r="S1426" s="6">
        <f>0</f>
        <v>0</v>
      </c>
      <c r="T1426" s="6">
        <f>1</f>
        <v>1</v>
      </c>
      <c r="U1426" s="5" t="s">
        <v>245</v>
      </c>
      <c r="V1426" s="4" t="s">
        <v>270</v>
      </c>
      <c r="W1426" s="4" t="s">
        <v>271</v>
      </c>
      <c r="X1426" s="4" t="s">
        <v>273</v>
      </c>
      <c r="Y1426" s="4" t="s">
        <v>241</v>
      </c>
      <c r="AB1426" s="4" t="s">
        <v>241</v>
      </c>
      <c r="AD1426" s="5" t="s">
        <v>241</v>
      </c>
      <c r="AG1426" s="5" t="s">
        <v>246</v>
      </c>
      <c r="AH1426" s="4" t="s">
        <v>241</v>
      </c>
      <c r="AI1426" s="4" t="s">
        <v>247</v>
      </c>
      <c r="AJ1426" s="4" t="s">
        <v>248</v>
      </c>
      <c r="AZ1426" s="4" t="s">
        <v>249</v>
      </c>
      <c r="BA1426" s="4" t="s">
        <v>241</v>
      </c>
      <c r="BB1426" s="4" t="s">
        <v>250</v>
      </c>
      <c r="BC1426" s="4" t="s">
        <v>241</v>
      </c>
      <c r="BD1426" s="4" t="s">
        <v>252</v>
      </c>
      <c r="BE1426" s="4" t="s">
        <v>241</v>
      </c>
      <c r="BI1426" s="4" t="s">
        <v>253</v>
      </c>
      <c r="BJ1426" s="5" t="s">
        <v>246</v>
      </c>
      <c r="BK1426" s="4" t="s">
        <v>254</v>
      </c>
      <c r="BL1426" s="4" t="s">
        <v>255</v>
      </c>
      <c r="BM1426" s="4" t="s">
        <v>241</v>
      </c>
      <c r="BN1426" s="6">
        <f>0</f>
        <v>0</v>
      </c>
      <c r="BO1426" s="6">
        <f>0</f>
        <v>0</v>
      </c>
      <c r="BP1426" s="4" t="s">
        <v>256</v>
      </c>
      <c r="BQ1426" s="4" t="s">
        <v>257</v>
      </c>
      <c r="CE1426" s="4" t="s">
        <v>241</v>
      </c>
      <c r="CF1426" s="4" t="s">
        <v>241</v>
      </c>
      <c r="CJ1426" s="4" t="s">
        <v>276</v>
      </c>
      <c r="CK1426" s="4" t="s">
        <v>259</v>
      </c>
      <c r="CL1426" s="4" t="s">
        <v>241</v>
      </c>
      <c r="CO1426" s="5" t="s">
        <v>260</v>
      </c>
      <c r="CP1426" s="4" t="s">
        <v>241</v>
      </c>
      <c r="CQ1426" s="4" t="s">
        <v>261</v>
      </c>
      <c r="CR1426" s="4" t="s">
        <v>241</v>
      </c>
      <c r="CS1426" s="4" t="s">
        <v>241</v>
      </c>
      <c r="CT1426" s="4">
        <v>0</v>
      </c>
      <c r="CU1426" s="4" t="s">
        <v>262</v>
      </c>
      <c r="CV1426" s="4" t="s">
        <v>263</v>
      </c>
      <c r="CW1426" s="4" t="s">
        <v>263</v>
      </c>
      <c r="CX1426" s="4" t="s">
        <v>264</v>
      </c>
      <c r="DA1426" s="6">
        <f>1</f>
        <v>1</v>
      </c>
      <c r="DC1426" s="4" t="s">
        <v>277</v>
      </c>
      <c r="DD1426" s="4" t="s">
        <v>241</v>
      </c>
      <c r="DF1426" s="4" t="s">
        <v>277</v>
      </c>
      <c r="DG1426" s="6">
        <f>212</f>
        <v>212</v>
      </c>
      <c r="DI1426" s="4" t="s">
        <v>241</v>
      </c>
      <c r="DJ1426" s="4" t="s">
        <v>241</v>
      </c>
      <c r="DK1426" s="4" t="s">
        <v>241</v>
      </c>
      <c r="DL1426" s="4" t="s">
        <v>241</v>
      </c>
      <c r="DP1426" s="4" t="s">
        <v>241</v>
      </c>
      <c r="DQ1426" s="4" t="s">
        <v>241</v>
      </c>
      <c r="DR1426" s="4" t="s">
        <v>241</v>
      </c>
      <c r="DS1426" s="4" t="s">
        <v>241</v>
      </c>
      <c r="DV1426" s="4" t="s">
        <v>278</v>
      </c>
      <c r="DW1426" s="4" t="s">
        <v>2679</v>
      </c>
      <c r="HO1426" s="4" t="s">
        <v>267</v>
      </c>
    </row>
    <row r="1427" spans="1:223" ht="19.5" customHeight="1" x14ac:dyDescent="0.4">
      <c r="A1427" s="4">
        <v>1</v>
      </c>
      <c r="B1427" s="4" t="s">
        <v>239</v>
      </c>
      <c r="C1427" s="4">
        <v>3101</v>
      </c>
      <c r="D1427" s="4">
        <v>1</v>
      </c>
      <c r="E1427" s="4">
        <v>1</v>
      </c>
      <c r="F1427" s="4" t="s">
        <v>268</v>
      </c>
      <c r="G1427" s="4" t="s">
        <v>241</v>
      </c>
      <c r="H1427" s="4" t="s">
        <v>241</v>
      </c>
      <c r="I1427" s="4" t="s">
        <v>272</v>
      </c>
      <c r="J1427" s="4" t="s">
        <v>274</v>
      </c>
      <c r="K1427" s="4" t="s">
        <v>251</v>
      </c>
      <c r="L1427" s="4" t="s">
        <v>269</v>
      </c>
      <c r="M1427" s="5" t="s">
        <v>2674</v>
      </c>
      <c r="N1427" s="6">
        <f>1596</f>
        <v>1596</v>
      </c>
      <c r="O1427" s="4" t="s">
        <v>265</v>
      </c>
      <c r="P1427" s="6">
        <f>1</f>
        <v>1</v>
      </c>
      <c r="Q1427" s="6">
        <f>0</f>
        <v>0</v>
      </c>
      <c r="S1427" s="6">
        <f>0</f>
        <v>0</v>
      </c>
      <c r="T1427" s="6">
        <f>1</f>
        <v>1</v>
      </c>
      <c r="U1427" s="5" t="s">
        <v>245</v>
      </c>
      <c r="V1427" s="4" t="s">
        <v>270</v>
      </c>
      <c r="W1427" s="4" t="s">
        <v>271</v>
      </c>
      <c r="X1427" s="4" t="s">
        <v>273</v>
      </c>
      <c r="Y1427" s="4" t="s">
        <v>241</v>
      </c>
      <c r="AB1427" s="4" t="s">
        <v>241</v>
      </c>
      <c r="AD1427" s="5" t="s">
        <v>241</v>
      </c>
      <c r="AG1427" s="5" t="s">
        <v>246</v>
      </c>
      <c r="AH1427" s="4" t="s">
        <v>241</v>
      </c>
      <c r="AI1427" s="4" t="s">
        <v>247</v>
      </c>
      <c r="AJ1427" s="4" t="s">
        <v>248</v>
      </c>
      <c r="AZ1427" s="4" t="s">
        <v>249</v>
      </c>
      <c r="BA1427" s="4" t="s">
        <v>241</v>
      </c>
      <c r="BB1427" s="4" t="s">
        <v>250</v>
      </c>
      <c r="BC1427" s="4" t="s">
        <v>241</v>
      </c>
      <c r="BD1427" s="4" t="s">
        <v>252</v>
      </c>
      <c r="BE1427" s="4" t="s">
        <v>241</v>
      </c>
      <c r="BI1427" s="4" t="s">
        <v>253</v>
      </c>
      <c r="BJ1427" s="5" t="s">
        <v>246</v>
      </c>
      <c r="BK1427" s="4" t="s">
        <v>254</v>
      </c>
      <c r="BL1427" s="4" t="s">
        <v>255</v>
      </c>
      <c r="BM1427" s="4" t="s">
        <v>241</v>
      </c>
      <c r="BN1427" s="6">
        <f>0</f>
        <v>0</v>
      </c>
      <c r="BO1427" s="6">
        <f>0</f>
        <v>0</v>
      </c>
      <c r="BP1427" s="4" t="s">
        <v>256</v>
      </c>
      <c r="BQ1427" s="4" t="s">
        <v>257</v>
      </c>
      <c r="CE1427" s="4" t="s">
        <v>241</v>
      </c>
      <c r="CF1427" s="4" t="s">
        <v>241</v>
      </c>
      <c r="CJ1427" s="4" t="s">
        <v>276</v>
      </c>
      <c r="CK1427" s="4" t="s">
        <v>259</v>
      </c>
      <c r="CL1427" s="4" t="s">
        <v>241</v>
      </c>
      <c r="CO1427" s="5" t="s">
        <v>260</v>
      </c>
      <c r="CP1427" s="4" t="s">
        <v>241</v>
      </c>
      <c r="CQ1427" s="4" t="s">
        <v>261</v>
      </c>
      <c r="CR1427" s="4" t="s">
        <v>241</v>
      </c>
      <c r="CS1427" s="4" t="s">
        <v>241</v>
      </c>
      <c r="CT1427" s="4">
        <v>0</v>
      </c>
      <c r="CU1427" s="4" t="s">
        <v>262</v>
      </c>
      <c r="CV1427" s="4" t="s">
        <v>263</v>
      </c>
      <c r="CW1427" s="4" t="s">
        <v>263</v>
      </c>
      <c r="CX1427" s="4" t="s">
        <v>264</v>
      </c>
      <c r="DA1427" s="6">
        <f>1</f>
        <v>1</v>
      </c>
      <c r="DC1427" s="4" t="s">
        <v>277</v>
      </c>
      <c r="DD1427" s="4" t="s">
        <v>241</v>
      </c>
      <c r="DF1427" s="4" t="s">
        <v>277</v>
      </c>
      <c r="DG1427" s="6">
        <f>1596</f>
        <v>1596</v>
      </c>
      <c r="DI1427" s="4" t="s">
        <v>241</v>
      </c>
      <c r="DJ1427" s="4" t="s">
        <v>241</v>
      </c>
      <c r="DK1427" s="4" t="s">
        <v>241</v>
      </c>
      <c r="DL1427" s="4" t="s">
        <v>241</v>
      </c>
      <c r="DP1427" s="4" t="s">
        <v>241</v>
      </c>
      <c r="DQ1427" s="4" t="s">
        <v>241</v>
      </c>
      <c r="DR1427" s="4" t="s">
        <v>241</v>
      </c>
      <c r="DS1427" s="4" t="s">
        <v>241</v>
      </c>
      <c r="DV1427" s="4" t="s">
        <v>278</v>
      </c>
      <c r="DW1427" s="4" t="s">
        <v>2675</v>
      </c>
      <c r="HO1427" s="4" t="s">
        <v>267</v>
      </c>
    </row>
    <row r="1428" spans="1:223" ht="19.5" customHeight="1" x14ac:dyDescent="0.4">
      <c r="A1428" s="4">
        <v>1</v>
      </c>
      <c r="B1428" s="4" t="s">
        <v>239</v>
      </c>
      <c r="C1428" s="4">
        <v>3102</v>
      </c>
      <c r="D1428" s="4">
        <v>1</v>
      </c>
      <c r="E1428" s="4">
        <v>1</v>
      </c>
      <c r="F1428" s="4" t="s">
        <v>268</v>
      </c>
      <c r="G1428" s="4" t="s">
        <v>241</v>
      </c>
      <c r="H1428" s="4" t="s">
        <v>241</v>
      </c>
      <c r="I1428" s="4" t="s">
        <v>272</v>
      </c>
      <c r="J1428" s="4" t="s">
        <v>274</v>
      </c>
      <c r="K1428" s="4" t="s">
        <v>251</v>
      </c>
      <c r="L1428" s="4" t="s">
        <v>269</v>
      </c>
      <c r="M1428" s="5" t="s">
        <v>2670</v>
      </c>
      <c r="N1428" s="6">
        <f>73</f>
        <v>73</v>
      </c>
      <c r="O1428" s="4" t="s">
        <v>265</v>
      </c>
      <c r="P1428" s="6">
        <f>1</f>
        <v>1</v>
      </c>
      <c r="Q1428" s="6">
        <f>0</f>
        <v>0</v>
      </c>
      <c r="S1428" s="6">
        <f>0</f>
        <v>0</v>
      </c>
      <c r="T1428" s="6">
        <f>1</f>
        <v>1</v>
      </c>
      <c r="U1428" s="5" t="s">
        <v>245</v>
      </c>
      <c r="V1428" s="4" t="s">
        <v>270</v>
      </c>
      <c r="W1428" s="4" t="s">
        <v>271</v>
      </c>
      <c r="X1428" s="4" t="s">
        <v>273</v>
      </c>
      <c r="Y1428" s="4" t="s">
        <v>241</v>
      </c>
      <c r="AB1428" s="4" t="s">
        <v>241</v>
      </c>
      <c r="AD1428" s="5" t="s">
        <v>241</v>
      </c>
      <c r="AG1428" s="5" t="s">
        <v>246</v>
      </c>
      <c r="AH1428" s="4" t="s">
        <v>241</v>
      </c>
      <c r="AI1428" s="4" t="s">
        <v>247</v>
      </c>
      <c r="AJ1428" s="4" t="s">
        <v>248</v>
      </c>
      <c r="AZ1428" s="4" t="s">
        <v>249</v>
      </c>
      <c r="BA1428" s="4" t="s">
        <v>241</v>
      </c>
      <c r="BB1428" s="4" t="s">
        <v>250</v>
      </c>
      <c r="BC1428" s="4" t="s">
        <v>241</v>
      </c>
      <c r="BD1428" s="4" t="s">
        <v>252</v>
      </c>
      <c r="BE1428" s="4" t="s">
        <v>241</v>
      </c>
      <c r="BI1428" s="4" t="s">
        <v>253</v>
      </c>
      <c r="BJ1428" s="5" t="s">
        <v>246</v>
      </c>
      <c r="BK1428" s="4" t="s">
        <v>254</v>
      </c>
      <c r="BL1428" s="4" t="s">
        <v>255</v>
      </c>
      <c r="BM1428" s="4" t="s">
        <v>241</v>
      </c>
      <c r="BN1428" s="6">
        <f>0</f>
        <v>0</v>
      </c>
      <c r="BO1428" s="6">
        <f>0</f>
        <v>0</v>
      </c>
      <c r="BP1428" s="4" t="s">
        <v>256</v>
      </c>
      <c r="BQ1428" s="4" t="s">
        <v>257</v>
      </c>
      <c r="CE1428" s="4" t="s">
        <v>241</v>
      </c>
      <c r="CF1428" s="4" t="s">
        <v>241</v>
      </c>
      <c r="CJ1428" s="4" t="s">
        <v>276</v>
      </c>
      <c r="CK1428" s="4" t="s">
        <v>259</v>
      </c>
      <c r="CL1428" s="4" t="s">
        <v>241</v>
      </c>
      <c r="CO1428" s="5" t="s">
        <v>260</v>
      </c>
      <c r="CP1428" s="4" t="s">
        <v>241</v>
      </c>
      <c r="CQ1428" s="4" t="s">
        <v>261</v>
      </c>
      <c r="CR1428" s="4" t="s">
        <v>241</v>
      </c>
      <c r="CS1428" s="4" t="s">
        <v>241</v>
      </c>
      <c r="CT1428" s="4">
        <v>0</v>
      </c>
      <c r="CU1428" s="4" t="s">
        <v>262</v>
      </c>
      <c r="CV1428" s="4" t="s">
        <v>263</v>
      </c>
      <c r="CW1428" s="4" t="s">
        <v>263</v>
      </c>
      <c r="CX1428" s="4" t="s">
        <v>264</v>
      </c>
      <c r="DA1428" s="6">
        <f>1</f>
        <v>1</v>
      </c>
      <c r="DC1428" s="4" t="s">
        <v>277</v>
      </c>
      <c r="DD1428" s="4" t="s">
        <v>241</v>
      </c>
      <c r="DF1428" s="4" t="s">
        <v>277</v>
      </c>
      <c r="DG1428" s="6">
        <f>73</f>
        <v>73</v>
      </c>
      <c r="DI1428" s="4" t="s">
        <v>241</v>
      </c>
      <c r="DJ1428" s="4" t="s">
        <v>241</v>
      </c>
      <c r="DK1428" s="4" t="s">
        <v>241</v>
      </c>
      <c r="DL1428" s="4" t="s">
        <v>241</v>
      </c>
      <c r="DP1428" s="4" t="s">
        <v>241</v>
      </c>
      <c r="DQ1428" s="4" t="s">
        <v>241</v>
      </c>
      <c r="DR1428" s="4" t="s">
        <v>241</v>
      </c>
      <c r="DS1428" s="4" t="s">
        <v>241</v>
      </c>
      <c r="DV1428" s="4" t="s">
        <v>278</v>
      </c>
      <c r="DW1428" s="4" t="s">
        <v>2671</v>
      </c>
      <c r="HO1428" s="4" t="s">
        <v>267</v>
      </c>
    </row>
    <row r="1429" spans="1:223" ht="19.5" customHeight="1" x14ac:dyDescent="0.4">
      <c r="A1429" s="4">
        <v>1</v>
      </c>
      <c r="B1429" s="4" t="s">
        <v>239</v>
      </c>
      <c r="C1429" s="4">
        <v>3103</v>
      </c>
      <c r="D1429" s="4">
        <v>1</v>
      </c>
      <c r="E1429" s="4">
        <v>1</v>
      </c>
      <c r="F1429" s="4" t="s">
        <v>268</v>
      </c>
      <c r="G1429" s="4" t="s">
        <v>241</v>
      </c>
      <c r="H1429" s="4" t="s">
        <v>241</v>
      </c>
      <c r="I1429" s="4" t="s">
        <v>272</v>
      </c>
      <c r="J1429" s="4" t="s">
        <v>274</v>
      </c>
      <c r="K1429" s="4" t="s">
        <v>251</v>
      </c>
      <c r="L1429" s="4" t="s">
        <v>269</v>
      </c>
      <c r="M1429" s="5" t="s">
        <v>2666</v>
      </c>
      <c r="N1429" s="6">
        <f>3656</f>
        <v>3656</v>
      </c>
      <c r="O1429" s="4" t="s">
        <v>265</v>
      </c>
      <c r="P1429" s="6">
        <f>1</f>
        <v>1</v>
      </c>
      <c r="Q1429" s="6">
        <f>0</f>
        <v>0</v>
      </c>
      <c r="S1429" s="6">
        <f>0</f>
        <v>0</v>
      </c>
      <c r="T1429" s="6">
        <f>1</f>
        <v>1</v>
      </c>
      <c r="U1429" s="5" t="s">
        <v>245</v>
      </c>
      <c r="V1429" s="4" t="s">
        <v>270</v>
      </c>
      <c r="W1429" s="4" t="s">
        <v>271</v>
      </c>
      <c r="X1429" s="4" t="s">
        <v>273</v>
      </c>
      <c r="Y1429" s="4" t="s">
        <v>241</v>
      </c>
      <c r="AB1429" s="4" t="s">
        <v>241</v>
      </c>
      <c r="AD1429" s="5" t="s">
        <v>241</v>
      </c>
      <c r="AG1429" s="5" t="s">
        <v>246</v>
      </c>
      <c r="AH1429" s="4" t="s">
        <v>241</v>
      </c>
      <c r="AI1429" s="4" t="s">
        <v>247</v>
      </c>
      <c r="AJ1429" s="4" t="s">
        <v>248</v>
      </c>
      <c r="AZ1429" s="4" t="s">
        <v>249</v>
      </c>
      <c r="BA1429" s="4" t="s">
        <v>241</v>
      </c>
      <c r="BB1429" s="4" t="s">
        <v>250</v>
      </c>
      <c r="BC1429" s="4" t="s">
        <v>241</v>
      </c>
      <c r="BD1429" s="4" t="s">
        <v>252</v>
      </c>
      <c r="BE1429" s="4" t="s">
        <v>241</v>
      </c>
      <c r="BI1429" s="4" t="s">
        <v>253</v>
      </c>
      <c r="BJ1429" s="5" t="s">
        <v>246</v>
      </c>
      <c r="BK1429" s="4" t="s">
        <v>254</v>
      </c>
      <c r="BL1429" s="4" t="s">
        <v>255</v>
      </c>
      <c r="BM1429" s="4" t="s">
        <v>241</v>
      </c>
      <c r="BN1429" s="6">
        <f>0</f>
        <v>0</v>
      </c>
      <c r="BO1429" s="6">
        <f>0</f>
        <v>0</v>
      </c>
      <c r="BP1429" s="4" t="s">
        <v>256</v>
      </c>
      <c r="BQ1429" s="4" t="s">
        <v>257</v>
      </c>
      <c r="CE1429" s="4" t="s">
        <v>241</v>
      </c>
      <c r="CF1429" s="4" t="s">
        <v>241</v>
      </c>
      <c r="CJ1429" s="4" t="s">
        <v>276</v>
      </c>
      <c r="CK1429" s="4" t="s">
        <v>259</v>
      </c>
      <c r="CL1429" s="4" t="s">
        <v>241</v>
      </c>
      <c r="CO1429" s="5" t="s">
        <v>260</v>
      </c>
      <c r="CP1429" s="4" t="s">
        <v>241</v>
      </c>
      <c r="CQ1429" s="4" t="s">
        <v>261</v>
      </c>
      <c r="CR1429" s="4" t="s">
        <v>241</v>
      </c>
      <c r="CS1429" s="4" t="s">
        <v>241</v>
      </c>
      <c r="CT1429" s="4">
        <v>0</v>
      </c>
      <c r="CU1429" s="4" t="s">
        <v>262</v>
      </c>
      <c r="CV1429" s="4" t="s">
        <v>263</v>
      </c>
      <c r="CW1429" s="4" t="s">
        <v>263</v>
      </c>
      <c r="CX1429" s="4" t="s">
        <v>264</v>
      </c>
      <c r="DA1429" s="6">
        <f>1</f>
        <v>1</v>
      </c>
      <c r="DC1429" s="4" t="s">
        <v>277</v>
      </c>
      <c r="DD1429" s="4" t="s">
        <v>241</v>
      </c>
      <c r="DF1429" s="4" t="s">
        <v>277</v>
      </c>
      <c r="DG1429" s="6">
        <f>3656</f>
        <v>3656</v>
      </c>
      <c r="DI1429" s="4" t="s">
        <v>241</v>
      </c>
      <c r="DJ1429" s="4" t="s">
        <v>241</v>
      </c>
      <c r="DK1429" s="4" t="s">
        <v>241</v>
      </c>
      <c r="DL1429" s="4" t="s">
        <v>241</v>
      </c>
      <c r="DP1429" s="4" t="s">
        <v>241</v>
      </c>
      <c r="DQ1429" s="4" t="s">
        <v>241</v>
      </c>
      <c r="DR1429" s="4" t="s">
        <v>241</v>
      </c>
      <c r="DS1429" s="4" t="s">
        <v>241</v>
      </c>
      <c r="DV1429" s="4" t="s">
        <v>278</v>
      </c>
      <c r="DW1429" s="4" t="s">
        <v>2667</v>
      </c>
      <c r="HO1429" s="4" t="s">
        <v>267</v>
      </c>
    </row>
    <row r="1430" spans="1:223" ht="19.5" customHeight="1" x14ac:dyDescent="0.4">
      <c r="A1430" s="4">
        <v>1</v>
      </c>
      <c r="B1430" s="4" t="s">
        <v>239</v>
      </c>
      <c r="C1430" s="4">
        <v>3104</v>
      </c>
      <c r="D1430" s="4">
        <v>1</v>
      </c>
      <c r="E1430" s="4">
        <v>1</v>
      </c>
      <c r="F1430" s="4" t="s">
        <v>268</v>
      </c>
      <c r="G1430" s="4" t="s">
        <v>241</v>
      </c>
      <c r="H1430" s="4" t="s">
        <v>241</v>
      </c>
      <c r="I1430" s="4" t="s">
        <v>272</v>
      </c>
      <c r="J1430" s="4" t="s">
        <v>274</v>
      </c>
      <c r="K1430" s="4" t="s">
        <v>251</v>
      </c>
      <c r="L1430" s="4" t="s">
        <v>269</v>
      </c>
      <c r="M1430" s="5" t="s">
        <v>2662</v>
      </c>
      <c r="N1430" s="6">
        <f>37</f>
        <v>37</v>
      </c>
      <c r="O1430" s="4" t="s">
        <v>265</v>
      </c>
      <c r="P1430" s="6">
        <f>1</f>
        <v>1</v>
      </c>
      <c r="Q1430" s="6">
        <f>0</f>
        <v>0</v>
      </c>
      <c r="S1430" s="6">
        <f>0</f>
        <v>0</v>
      </c>
      <c r="T1430" s="6">
        <f>1</f>
        <v>1</v>
      </c>
      <c r="U1430" s="5" t="s">
        <v>245</v>
      </c>
      <c r="V1430" s="4" t="s">
        <v>270</v>
      </c>
      <c r="W1430" s="4" t="s">
        <v>271</v>
      </c>
      <c r="X1430" s="4" t="s">
        <v>273</v>
      </c>
      <c r="Y1430" s="4" t="s">
        <v>241</v>
      </c>
      <c r="AB1430" s="4" t="s">
        <v>241</v>
      </c>
      <c r="AD1430" s="5" t="s">
        <v>241</v>
      </c>
      <c r="AG1430" s="5" t="s">
        <v>246</v>
      </c>
      <c r="AH1430" s="4" t="s">
        <v>241</v>
      </c>
      <c r="AI1430" s="4" t="s">
        <v>247</v>
      </c>
      <c r="AJ1430" s="4" t="s">
        <v>248</v>
      </c>
      <c r="AZ1430" s="4" t="s">
        <v>249</v>
      </c>
      <c r="BA1430" s="4" t="s">
        <v>241</v>
      </c>
      <c r="BB1430" s="4" t="s">
        <v>250</v>
      </c>
      <c r="BC1430" s="4" t="s">
        <v>241</v>
      </c>
      <c r="BD1430" s="4" t="s">
        <v>252</v>
      </c>
      <c r="BE1430" s="4" t="s">
        <v>241</v>
      </c>
      <c r="BI1430" s="4" t="s">
        <v>253</v>
      </c>
      <c r="BJ1430" s="5" t="s">
        <v>246</v>
      </c>
      <c r="BK1430" s="4" t="s">
        <v>254</v>
      </c>
      <c r="BL1430" s="4" t="s">
        <v>255</v>
      </c>
      <c r="BM1430" s="4" t="s">
        <v>241</v>
      </c>
      <c r="BN1430" s="6">
        <f>0</f>
        <v>0</v>
      </c>
      <c r="BO1430" s="6">
        <f>0</f>
        <v>0</v>
      </c>
      <c r="BP1430" s="4" t="s">
        <v>256</v>
      </c>
      <c r="BQ1430" s="4" t="s">
        <v>257</v>
      </c>
      <c r="CE1430" s="4" t="s">
        <v>241</v>
      </c>
      <c r="CF1430" s="4" t="s">
        <v>241</v>
      </c>
      <c r="CJ1430" s="4" t="s">
        <v>276</v>
      </c>
      <c r="CK1430" s="4" t="s">
        <v>259</v>
      </c>
      <c r="CL1430" s="4" t="s">
        <v>241</v>
      </c>
      <c r="CO1430" s="5" t="s">
        <v>260</v>
      </c>
      <c r="CP1430" s="4" t="s">
        <v>241</v>
      </c>
      <c r="CQ1430" s="4" t="s">
        <v>261</v>
      </c>
      <c r="CR1430" s="4" t="s">
        <v>241</v>
      </c>
      <c r="CS1430" s="4" t="s">
        <v>241</v>
      </c>
      <c r="CT1430" s="4">
        <v>0</v>
      </c>
      <c r="CU1430" s="4" t="s">
        <v>262</v>
      </c>
      <c r="CV1430" s="4" t="s">
        <v>263</v>
      </c>
      <c r="CW1430" s="4" t="s">
        <v>263</v>
      </c>
      <c r="CX1430" s="4" t="s">
        <v>264</v>
      </c>
      <c r="DA1430" s="6">
        <f>1</f>
        <v>1</v>
      </c>
      <c r="DC1430" s="4" t="s">
        <v>277</v>
      </c>
      <c r="DD1430" s="4" t="s">
        <v>241</v>
      </c>
      <c r="DF1430" s="4" t="s">
        <v>277</v>
      </c>
      <c r="DG1430" s="6">
        <f>37</f>
        <v>37</v>
      </c>
      <c r="DI1430" s="4" t="s">
        <v>241</v>
      </c>
      <c r="DJ1430" s="4" t="s">
        <v>241</v>
      </c>
      <c r="DK1430" s="4" t="s">
        <v>241</v>
      </c>
      <c r="DL1430" s="4" t="s">
        <v>241</v>
      </c>
      <c r="DP1430" s="4" t="s">
        <v>241</v>
      </c>
      <c r="DQ1430" s="4" t="s">
        <v>241</v>
      </c>
      <c r="DR1430" s="4" t="s">
        <v>241</v>
      </c>
      <c r="DS1430" s="4" t="s">
        <v>241</v>
      </c>
      <c r="DV1430" s="4" t="s">
        <v>278</v>
      </c>
      <c r="DW1430" s="4" t="s">
        <v>2663</v>
      </c>
      <c r="HO1430" s="4" t="s">
        <v>267</v>
      </c>
    </row>
    <row r="1431" spans="1:223" ht="19.5" customHeight="1" x14ac:dyDescent="0.4">
      <c r="A1431" s="4">
        <v>1</v>
      </c>
      <c r="B1431" s="4" t="s">
        <v>239</v>
      </c>
      <c r="C1431" s="4">
        <v>3105</v>
      </c>
      <c r="D1431" s="4">
        <v>1</v>
      </c>
      <c r="E1431" s="4">
        <v>1</v>
      </c>
      <c r="F1431" s="4" t="s">
        <v>268</v>
      </c>
      <c r="G1431" s="4" t="s">
        <v>241</v>
      </c>
      <c r="H1431" s="4" t="s">
        <v>241</v>
      </c>
      <c r="I1431" s="4" t="s">
        <v>272</v>
      </c>
      <c r="J1431" s="4" t="s">
        <v>274</v>
      </c>
      <c r="K1431" s="4" t="s">
        <v>251</v>
      </c>
      <c r="L1431" s="4" t="s">
        <v>269</v>
      </c>
      <c r="M1431" s="5" t="s">
        <v>2657</v>
      </c>
      <c r="N1431" s="6">
        <f>104</f>
        <v>104</v>
      </c>
      <c r="O1431" s="4" t="s">
        <v>265</v>
      </c>
      <c r="P1431" s="6">
        <f>1</f>
        <v>1</v>
      </c>
      <c r="Q1431" s="6">
        <f>0</f>
        <v>0</v>
      </c>
      <c r="S1431" s="6">
        <f>0</f>
        <v>0</v>
      </c>
      <c r="T1431" s="6">
        <f>1</f>
        <v>1</v>
      </c>
      <c r="U1431" s="5" t="s">
        <v>245</v>
      </c>
      <c r="V1431" s="4" t="s">
        <v>270</v>
      </c>
      <c r="W1431" s="4" t="s">
        <v>271</v>
      </c>
      <c r="X1431" s="4" t="s">
        <v>273</v>
      </c>
      <c r="Y1431" s="4" t="s">
        <v>241</v>
      </c>
      <c r="AB1431" s="4" t="s">
        <v>241</v>
      </c>
      <c r="AD1431" s="5" t="s">
        <v>241</v>
      </c>
      <c r="AG1431" s="5" t="s">
        <v>246</v>
      </c>
      <c r="AH1431" s="4" t="s">
        <v>241</v>
      </c>
      <c r="AI1431" s="4" t="s">
        <v>247</v>
      </c>
      <c r="AJ1431" s="4" t="s">
        <v>248</v>
      </c>
      <c r="AZ1431" s="4" t="s">
        <v>249</v>
      </c>
      <c r="BA1431" s="4" t="s">
        <v>241</v>
      </c>
      <c r="BB1431" s="4" t="s">
        <v>250</v>
      </c>
      <c r="BC1431" s="4" t="s">
        <v>241</v>
      </c>
      <c r="BD1431" s="4" t="s">
        <v>252</v>
      </c>
      <c r="BE1431" s="4" t="s">
        <v>241</v>
      </c>
      <c r="BI1431" s="4" t="s">
        <v>253</v>
      </c>
      <c r="BJ1431" s="5" t="s">
        <v>246</v>
      </c>
      <c r="BK1431" s="4" t="s">
        <v>254</v>
      </c>
      <c r="BL1431" s="4" t="s">
        <v>255</v>
      </c>
      <c r="BM1431" s="4" t="s">
        <v>241</v>
      </c>
      <c r="BN1431" s="6">
        <f>0</f>
        <v>0</v>
      </c>
      <c r="BO1431" s="6">
        <f>0</f>
        <v>0</v>
      </c>
      <c r="BP1431" s="4" t="s">
        <v>256</v>
      </c>
      <c r="BQ1431" s="4" t="s">
        <v>257</v>
      </c>
      <c r="CE1431" s="4" t="s">
        <v>241</v>
      </c>
      <c r="CF1431" s="4" t="s">
        <v>241</v>
      </c>
      <c r="CJ1431" s="4" t="s">
        <v>276</v>
      </c>
      <c r="CK1431" s="4" t="s">
        <v>259</v>
      </c>
      <c r="CL1431" s="4" t="s">
        <v>241</v>
      </c>
      <c r="CO1431" s="5" t="s">
        <v>260</v>
      </c>
      <c r="CP1431" s="4" t="s">
        <v>241</v>
      </c>
      <c r="CQ1431" s="4" t="s">
        <v>261</v>
      </c>
      <c r="CR1431" s="4" t="s">
        <v>241</v>
      </c>
      <c r="CS1431" s="4" t="s">
        <v>241</v>
      </c>
      <c r="CT1431" s="4">
        <v>0</v>
      </c>
      <c r="CU1431" s="4" t="s">
        <v>262</v>
      </c>
      <c r="CV1431" s="4" t="s">
        <v>263</v>
      </c>
      <c r="CW1431" s="4" t="s">
        <v>263</v>
      </c>
      <c r="CX1431" s="4" t="s">
        <v>264</v>
      </c>
      <c r="DA1431" s="6">
        <f>1</f>
        <v>1</v>
      </c>
      <c r="DC1431" s="4" t="s">
        <v>277</v>
      </c>
      <c r="DD1431" s="4" t="s">
        <v>241</v>
      </c>
      <c r="DF1431" s="4" t="s">
        <v>277</v>
      </c>
      <c r="DG1431" s="6">
        <f>104</f>
        <v>104</v>
      </c>
      <c r="DI1431" s="4" t="s">
        <v>241</v>
      </c>
      <c r="DJ1431" s="4" t="s">
        <v>241</v>
      </c>
      <c r="DK1431" s="4" t="s">
        <v>241</v>
      </c>
      <c r="DL1431" s="4" t="s">
        <v>241</v>
      </c>
      <c r="DP1431" s="4" t="s">
        <v>241</v>
      </c>
      <c r="DQ1431" s="4" t="s">
        <v>241</v>
      </c>
      <c r="DR1431" s="4" t="s">
        <v>241</v>
      </c>
      <c r="DS1431" s="4" t="s">
        <v>241</v>
      </c>
      <c r="DV1431" s="4" t="s">
        <v>278</v>
      </c>
      <c r="DW1431" s="4" t="s">
        <v>2658</v>
      </c>
      <c r="HO1431" s="4" t="s">
        <v>267</v>
      </c>
    </row>
    <row r="1432" spans="1:223" ht="19.5" customHeight="1" x14ac:dyDescent="0.4">
      <c r="A1432" s="4">
        <v>1</v>
      </c>
      <c r="B1432" s="4" t="s">
        <v>239</v>
      </c>
      <c r="C1432" s="4">
        <v>3106</v>
      </c>
      <c r="D1432" s="4">
        <v>1</v>
      </c>
      <c r="E1432" s="4">
        <v>1</v>
      </c>
      <c r="F1432" s="4" t="s">
        <v>268</v>
      </c>
      <c r="G1432" s="4" t="s">
        <v>241</v>
      </c>
      <c r="H1432" s="4" t="s">
        <v>241</v>
      </c>
      <c r="I1432" s="4" t="s">
        <v>272</v>
      </c>
      <c r="J1432" s="4" t="s">
        <v>274</v>
      </c>
      <c r="K1432" s="4" t="s">
        <v>251</v>
      </c>
      <c r="L1432" s="4" t="s">
        <v>269</v>
      </c>
      <c r="M1432" s="5" t="s">
        <v>2655</v>
      </c>
      <c r="N1432" s="6">
        <f>925</f>
        <v>925</v>
      </c>
      <c r="O1432" s="4" t="s">
        <v>265</v>
      </c>
      <c r="P1432" s="6">
        <f>1</f>
        <v>1</v>
      </c>
      <c r="Q1432" s="6">
        <f>0</f>
        <v>0</v>
      </c>
      <c r="S1432" s="6">
        <f>0</f>
        <v>0</v>
      </c>
      <c r="T1432" s="6">
        <f>1</f>
        <v>1</v>
      </c>
      <c r="U1432" s="5" t="s">
        <v>245</v>
      </c>
      <c r="V1432" s="4" t="s">
        <v>270</v>
      </c>
      <c r="W1432" s="4" t="s">
        <v>271</v>
      </c>
      <c r="X1432" s="4" t="s">
        <v>273</v>
      </c>
      <c r="Y1432" s="4" t="s">
        <v>241</v>
      </c>
      <c r="AB1432" s="4" t="s">
        <v>241</v>
      </c>
      <c r="AD1432" s="5" t="s">
        <v>241</v>
      </c>
      <c r="AG1432" s="5" t="s">
        <v>246</v>
      </c>
      <c r="AH1432" s="4" t="s">
        <v>241</v>
      </c>
      <c r="AI1432" s="4" t="s">
        <v>247</v>
      </c>
      <c r="AJ1432" s="4" t="s">
        <v>248</v>
      </c>
      <c r="AZ1432" s="4" t="s">
        <v>249</v>
      </c>
      <c r="BA1432" s="4" t="s">
        <v>241</v>
      </c>
      <c r="BB1432" s="4" t="s">
        <v>250</v>
      </c>
      <c r="BC1432" s="4" t="s">
        <v>241</v>
      </c>
      <c r="BD1432" s="4" t="s">
        <v>252</v>
      </c>
      <c r="BE1432" s="4" t="s">
        <v>241</v>
      </c>
      <c r="BI1432" s="4" t="s">
        <v>253</v>
      </c>
      <c r="BJ1432" s="5" t="s">
        <v>246</v>
      </c>
      <c r="BK1432" s="4" t="s">
        <v>254</v>
      </c>
      <c r="BL1432" s="4" t="s">
        <v>255</v>
      </c>
      <c r="BM1432" s="4" t="s">
        <v>241</v>
      </c>
      <c r="BN1432" s="6">
        <f>0</f>
        <v>0</v>
      </c>
      <c r="BO1432" s="6">
        <f>0</f>
        <v>0</v>
      </c>
      <c r="BP1432" s="4" t="s">
        <v>256</v>
      </c>
      <c r="BQ1432" s="4" t="s">
        <v>257</v>
      </c>
      <c r="CE1432" s="4" t="s">
        <v>241</v>
      </c>
      <c r="CF1432" s="4" t="s">
        <v>241</v>
      </c>
      <c r="CJ1432" s="4" t="s">
        <v>276</v>
      </c>
      <c r="CK1432" s="4" t="s">
        <v>259</v>
      </c>
      <c r="CL1432" s="4" t="s">
        <v>241</v>
      </c>
      <c r="CO1432" s="5" t="s">
        <v>260</v>
      </c>
      <c r="CP1432" s="4" t="s">
        <v>241</v>
      </c>
      <c r="CQ1432" s="4" t="s">
        <v>261</v>
      </c>
      <c r="CR1432" s="4" t="s">
        <v>241</v>
      </c>
      <c r="CS1432" s="4" t="s">
        <v>241</v>
      </c>
      <c r="CT1432" s="4">
        <v>0</v>
      </c>
      <c r="CU1432" s="4" t="s">
        <v>262</v>
      </c>
      <c r="CV1432" s="4" t="s">
        <v>263</v>
      </c>
      <c r="CW1432" s="4" t="s">
        <v>263</v>
      </c>
      <c r="CX1432" s="4" t="s">
        <v>264</v>
      </c>
      <c r="DA1432" s="6">
        <f>1</f>
        <v>1</v>
      </c>
      <c r="DC1432" s="4" t="s">
        <v>277</v>
      </c>
      <c r="DD1432" s="4" t="s">
        <v>241</v>
      </c>
      <c r="DF1432" s="4" t="s">
        <v>277</v>
      </c>
      <c r="DG1432" s="6">
        <f>925</f>
        <v>925</v>
      </c>
      <c r="DI1432" s="4" t="s">
        <v>241</v>
      </c>
      <c r="DJ1432" s="4" t="s">
        <v>241</v>
      </c>
      <c r="DK1432" s="4" t="s">
        <v>241</v>
      </c>
      <c r="DL1432" s="4" t="s">
        <v>241</v>
      </c>
      <c r="DP1432" s="4" t="s">
        <v>241</v>
      </c>
      <c r="DQ1432" s="4" t="s">
        <v>241</v>
      </c>
      <c r="DR1432" s="4" t="s">
        <v>241</v>
      </c>
      <c r="DS1432" s="4" t="s">
        <v>241</v>
      </c>
      <c r="DV1432" s="4" t="s">
        <v>278</v>
      </c>
      <c r="DW1432" s="4" t="s">
        <v>2656</v>
      </c>
      <c r="HO1432" s="4" t="s">
        <v>267</v>
      </c>
    </row>
    <row r="1433" spans="1:223" ht="19.5" customHeight="1" x14ac:dyDescent="0.4">
      <c r="A1433" s="4">
        <v>1</v>
      </c>
      <c r="B1433" s="4" t="s">
        <v>239</v>
      </c>
      <c r="C1433" s="4">
        <v>3107</v>
      </c>
      <c r="D1433" s="4">
        <v>1</v>
      </c>
      <c r="E1433" s="4">
        <v>1</v>
      </c>
      <c r="F1433" s="4" t="s">
        <v>268</v>
      </c>
      <c r="G1433" s="4" t="s">
        <v>241</v>
      </c>
      <c r="H1433" s="4" t="s">
        <v>241</v>
      </c>
      <c r="I1433" s="4" t="s">
        <v>272</v>
      </c>
      <c r="J1433" s="4" t="s">
        <v>274</v>
      </c>
      <c r="K1433" s="4" t="s">
        <v>251</v>
      </c>
      <c r="L1433" s="4" t="s">
        <v>269</v>
      </c>
      <c r="M1433" s="5" t="s">
        <v>2653</v>
      </c>
      <c r="N1433" s="6">
        <f>1511</f>
        <v>1511</v>
      </c>
      <c r="O1433" s="4" t="s">
        <v>265</v>
      </c>
      <c r="P1433" s="6">
        <f>1</f>
        <v>1</v>
      </c>
      <c r="Q1433" s="6">
        <f>0</f>
        <v>0</v>
      </c>
      <c r="S1433" s="6">
        <f>0</f>
        <v>0</v>
      </c>
      <c r="T1433" s="6">
        <f>1</f>
        <v>1</v>
      </c>
      <c r="U1433" s="5" t="s">
        <v>245</v>
      </c>
      <c r="V1433" s="4" t="s">
        <v>270</v>
      </c>
      <c r="W1433" s="4" t="s">
        <v>271</v>
      </c>
      <c r="X1433" s="4" t="s">
        <v>273</v>
      </c>
      <c r="Y1433" s="4" t="s">
        <v>241</v>
      </c>
      <c r="AB1433" s="4" t="s">
        <v>241</v>
      </c>
      <c r="AD1433" s="5" t="s">
        <v>241</v>
      </c>
      <c r="AG1433" s="5" t="s">
        <v>246</v>
      </c>
      <c r="AH1433" s="4" t="s">
        <v>241</v>
      </c>
      <c r="AI1433" s="4" t="s">
        <v>247</v>
      </c>
      <c r="AJ1433" s="4" t="s">
        <v>248</v>
      </c>
      <c r="AZ1433" s="4" t="s">
        <v>249</v>
      </c>
      <c r="BA1433" s="4" t="s">
        <v>241</v>
      </c>
      <c r="BB1433" s="4" t="s">
        <v>250</v>
      </c>
      <c r="BC1433" s="4" t="s">
        <v>241</v>
      </c>
      <c r="BD1433" s="4" t="s">
        <v>252</v>
      </c>
      <c r="BE1433" s="4" t="s">
        <v>241</v>
      </c>
      <c r="BI1433" s="4" t="s">
        <v>253</v>
      </c>
      <c r="BJ1433" s="5" t="s">
        <v>246</v>
      </c>
      <c r="BK1433" s="4" t="s">
        <v>254</v>
      </c>
      <c r="BL1433" s="4" t="s">
        <v>255</v>
      </c>
      <c r="BM1433" s="4" t="s">
        <v>241</v>
      </c>
      <c r="BN1433" s="6">
        <f>0</f>
        <v>0</v>
      </c>
      <c r="BO1433" s="6">
        <f>0</f>
        <v>0</v>
      </c>
      <c r="BP1433" s="4" t="s">
        <v>256</v>
      </c>
      <c r="BQ1433" s="4" t="s">
        <v>257</v>
      </c>
      <c r="CE1433" s="4" t="s">
        <v>241</v>
      </c>
      <c r="CF1433" s="4" t="s">
        <v>241</v>
      </c>
      <c r="CJ1433" s="4" t="s">
        <v>276</v>
      </c>
      <c r="CK1433" s="4" t="s">
        <v>259</v>
      </c>
      <c r="CL1433" s="4" t="s">
        <v>241</v>
      </c>
      <c r="CO1433" s="5" t="s">
        <v>260</v>
      </c>
      <c r="CP1433" s="4" t="s">
        <v>241</v>
      </c>
      <c r="CQ1433" s="4" t="s">
        <v>261</v>
      </c>
      <c r="CR1433" s="4" t="s">
        <v>241</v>
      </c>
      <c r="CS1433" s="4" t="s">
        <v>241</v>
      </c>
      <c r="CT1433" s="4">
        <v>0</v>
      </c>
      <c r="CU1433" s="4" t="s">
        <v>262</v>
      </c>
      <c r="CV1433" s="4" t="s">
        <v>263</v>
      </c>
      <c r="CW1433" s="4" t="s">
        <v>263</v>
      </c>
      <c r="CX1433" s="4" t="s">
        <v>264</v>
      </c>
      <c r="DA1433" s="6">
        <f>1</f>
        <v>1</v>
      </c>
      <c r="DC1433" s="4" t="s">
        <v>277</v>
      </c>
      <c r="DD1433" s="4" t="s">
        <v>241</v>
      </c>
      <c r="DF1433" s="4" t="s">
        <v>277</v>
      </c>
      <c r="DG1433" s="6">
        <f>1511</f>
        <v>1511</v>
      </c>
      <c r="DI1433" s="4" t="s">
        <v>241</v>
      </c>
      <c r="DJ1433" s="4" t="s">
        <v>241</v>
      </c>
      <c r="DK1433" s="4" t="s">
        <v>241</v>
      </c>
      <c r="DL1433" s="4" t="s">
        <v>241</v>
      </c>
      <c r="DP1433" s="4" t="s">
        <v>241</v>
      </c>
      <c r="DQ1433" s="4" t="s">
        <v>241</v>
      </c>
      <c r="DR1433" s="4" t="s">
        <v>241</v>
      </c>
      <c r="DS1433" s="4" t="s">
        <v>241</v>
      </c>
      <c r="DV1433" s="4" t="s">
        <v>278</v>
      </c>
      <c r="DW1433" s="4" t="s">
        <v>2654</v>
      </c>
      <c r="HO1433" s="4" t="s">
        <v>267</v>
      </c>
    </row>
    <row r="1434" spans="1:223" ht="19.5" customHeight="1" x14ac:dyDescent="0.4">
      <c r="A1434" s="4">
        <v>1</v>
      </c>
      <c r="B1434" s="4" t="s">
        <v>239</v>
      </c>
      <c r="C1434" s="4">
        <v>3108</v>
      </c>
      <c r="D1434" s="4">
        <v>1</v>
      </c>
      <c r="E1434" s="4">
        <v>1</v>
      </c>
      <c r="F1434" s="4" t="s">
        <v>268</v>
      </c>
      <c r="G1434" s="4" t="s">
        <v>241</v>
      </c>
      <c r="H1434" s="4" t="s">
        <v>241</v>
      </c>
      <c r="I1434" s="4" t="s">
        <v>272</v>
      </c>
      <c r="J1434" s="4" t="s">
        <v>274</v>
      </c>
      <c r="K1434" s="4" t="s">
        <v>251</v>
      </c>
      <c r="L1434" s="4" t="s">
        <v>269</v>
      </c>
      <c r="M1434" s="5" t="s">
        <v>2651</v>
      </c>
      <c r="N1434" s="6">
        <f>1364</f>
        <v>1364</v>
      </c>
      <c r="O1434" s="4" t="s">
        <v>265</v>
      </c>
      <c r="P1434" s="6">
        <f>1</f>
        <v>1</v>
      </c>
      <c r="Q1434" s="6">
        <f>0</f>
        <v>0</v>
      </c>
      <c r="S1434" s="6">
        <f>0</f>
        <v>0</v>
      </c>
      <c r="T1434" s="6">
        <f>1</f>
        <v>1</v>
      </c>
      <c r="U1434" s="5" t="s">
        <v>245</v>
      </c>
      <c r="V1434" s="4" t="s">
        <v>270</v>
      </c>
      <c r="W1434" s="4" t="s">
        <v>271</v>
      </c>
      <c r="X1434" s="4" t="s">
        <v>273</v>
      </c>
      <c r="Y1434" s="4" t="s">
        <v>241</v>
      </c>
      <c r="AB1434" s="4" t="s">
        <v>241</v>
      </c>
      <c r="AD1434" s="5" t="s">
        <v>241</v>
      </c>
      <c r="AG1434" s="5" t="s">
        <v>246</v>
      </c>
      <c r="AH1434" s="4" t="s">
        <v>241</v>
      </c>
      <c r="AI1434" s="4" t="s">
        <v>247</v>
      </c>
      <c r="AJ1434" s="4" t="s">
        <v>248</v>
      </c>
      <c r="AZ1434" s="4" t="s">
        <v>249</v>
      </c>
      <c r="BA1434" s="4" t="s">
        <v>241</v>
      </c>
      <c r="BB1434" s="4" t="s">
        <v>250</v>
      </c>
      <c r="BC1434" s="4" t="s">
        <v>241</v>
      </c>
      <c r="BD1434" s="4" t="s">
        <v>252</v>
      </c>
      <c r="BE1434" s="4" t="s">
        <v>241</v>
      </c>
      <c r="BI1434" s="4" t="s">
        <v>253</v>
      </c>
      <c r="BJ1434" s="5" t="s">
        <v>246</v>
      </c>
      <c r="BK1434" s="4" t="s">
        <v>254</v>
      </c>
      <c r="BL1434" s="4" t="s">
        <v>255</v>
      </c>
      <c r="BM1434" s="4" t="s">
        <v>241</v>
      </c>
      <c r="BN1434" s="6">
        <f>0</f>
        <v>0</v>
      </c>
      <c r="BO1434" s="6">
        <f>0</f>
        <v>0</v>
      </c>
      <c r="BP1434" s="4" t="s">
        <v>256</v>
      </c>
      <c r="BQ1434" s="4" t="s">
        <v>257</v>
      </c>
      <c r="CE1434" s="4" t="s">
        <v>241</v>
      </c>
      <c r="CF1434" s="4" t="s">
        <v>241</v>
      </c>
      <c r="CJ1434" s="4" t="s">
        <v>276</v>
      </c>
      <c r="CK1434" s="4" t="s">
        <v>259</v>
      </c>
      <c r="CL1434" s="4" t="s">
        <v>241</v>
      </c>
      <c r="CO1434" s="5" t="s">
        <v>260</v>
      </c>
      <c r="CP1434" s="4" t="s">
        <v>241</v>
      </c>
      <c r="CQ1434" s="4" t="s">
        <v>261</v>
      </c>
      <c r="CR1434" s="4" t="s">
        <v>241</v>
      </c>
      <c r="CS1434" s="4" t="s">
        <v>241</v>
      </c>
      <c r="CT1434" s="4">
        <v>0</v>
      </c>
      <c r="CU1434" s="4" t="s">
        <v>262</v>
      </c>
      <c r="CV1434" s="4" t="s">
        <v>263</v>
      </c>
      <c r="CW1434" s="4" t="s">
        <v>263</v>
      </c>
      <c r="CX1434" s="4" t="s">
        <v>264</v>
      </c>
      <c r="DA1434" s="6">
        <f>1</f>
        <v>1</v>
      </c>
      <c r="DC1434" s="4" t="s">
        <v>277</v>
      </c>
      <c r="DD1434" s="4" t="s">
        <v>241</v>
      </c>
      <c r="DF1434" s="4" t="s">
        <v>277</v>
      </c>
      <c r="DG1434" s="6">
        <f>1364</f>
        <v>1364</v>
      </c>
      <c r="DI1434" s="4" t="s">
        <v>241</v>
      </c>
      <c r="DJ1434" s="4" t="s">
        <v>241</v>
      </c>
      <c r="DK1434" s="4" t="s">
        <v>241</v>
      </c>
      <c r="DL1434" s="4" t="s">
        <v>241</v>
      </c>
      <c r="DP1434" s="4" t="s">
        <v>241</v>
      </c>
      <c r="DQ1434" s="4" t="s">
        <v>241</v>
      </c>
      <c r="DR1434" s="4" t="s">
        <v>241</v>
      </c>
      <c r="DS1434" s="4" t="s">
        <v>241</v>
      </c>
      <c r="DV1434" s="4" t="s">
        <v>278</v>
      </c>
      <c r="DW1434" s="4" t="s">
        <v>2652</v>
      </c>
      <c r="HO1434" s="4" t="s">
        <v>267</v>
      </c>
    </row>
    <row r="1435" spans="1:223" ht="19.5" customHeight="1" x14ac:dyDescent="0.4">
      <c r="A1435" s="4">
        <v>1</v>
      </c>
      <c r="B1435" s="4" t="s">
        <v>239</v>
      </c>
      <c r="C1435" s="4">
        <v>3109</v>
      </c>
      <c r="D1435" s="4">
        <v>1</v>
      </c>
      <c r="E1435" s="4">
        <v>1</v>
      </c>
      <c r="F1435" s="4" t="s">
        <v>268</v>
      </c>
      <c r="G1435" s="4" t="s">
        <v>241</v>
      </c>
      <c r="H1435" s="4" t="s">
        <v>241</v>
      </c>
      <c r="I1435" s="4" t="s">
        <v>272</v>
      </c>
      <c r="J1435" s="4" t="s">
        <v>274</v>
      </c>
      <c r="K1435" s="4" t="s">
        <v>251</v>
      </c>
      <c r="L1435" s="4" t="s">
        <v>269</v>
      </c>
      <c r="M1435" s="5" t="s">
        <v>2649</v>
      </c>
      <c r="N1435" s="6">
        <f>358</f>
        <v>358</v>
      </c>
      <c r="O1435" s="4" t="s">
        <v>265</v>
      </c>
      <c r="P1435" s="6">
        <f>1</f>
        <v>1</v>
      </c>
      <c r="Q1435" s="6">
        <f>0</f>
        <v>0</v>
      </c>
      <c r="S1435" s="6">
        <f>0</f>
        <v>0</v>
      </c>
      <c r="T1435" s="6">
        <f>1</f>
        <v>1</v>
      </c>
      <c r="U1435" s="5" t="s">
        <v>245</v>
      </c>
      <c r="V1435" s="4" t="s">
        <v>270</v>
      </c>
      <c r="W1435" s="4" t="s">
        <v>271</v>
      </c>
      <c r="X1435" s="4" t="s">
        <v>273</v>
      </c>
      <c r="Y1435" s="4" t="s">
        <v>241</v>
      </c>
      <c r="AB1435" s="4" t="s">
        <v>241</v>
      </c>
      <c r="AD1435" s="5" t="s">
        <v>241</v>
      </c>
      <c r="AG1435" s="5" t="s">
        <v>246</v>
      </c>
      <c r="AH1435" s="4" t="s">
        <v>241</v>
      </c>
      <c r="AI1435" s="4" t="s">
        <v>247</v>
      </c>
      <c r="AJ1435" s="4" t="s">
        <v>248</v>
      </c>
      <c r="AZ1435" s="4" t="s">
        <v>249</v>
      </c>
      <c r="BA1435" s="4" t="s">
        <v>241</v>
      </c>
      <c r="BB1435" s="4" t="s">
        <v>250</v>
      </c>
      <c r="BC1435" s="4" t="s">
        <v>241</v>
      </c>
      <c r="BD1435" s="4" t="s">
        <v>252</v>
      </c>
      <c r="BE1435" s="4" t="s">
        <v>241</v>
      </c>
      <c r="BI1435" s="4" t="s">
        <v>253</v>
      </c>
      <c r="BJ1435" s="5" t="s">
        <v>246</v>
      </c>
      <c r="BK1435" s="4" t="s">
        <v>254</v>
      </c>
      <c r="BL1435" s="4" t="s">
        <v>255</v>
      </c>
      <c r="BM1435" s="4" t="s">
        <v>241</v>
      </c>
      <c r="BN1435" s="6">
        <f>0</f>
        <v>0</v>
      </c>
      <c r="BO1435" s="6">
        <f>0</f>
        <v>0</v>
      </c>
      <c r="BP1435" s="4" t="s">
        <v>256</v>
      </c>
      <c r="BQ1435" s="4" t="s">
        <v>257</v>
      </c>
      <c r="CE1435" s="4" t="s">
        <v>241</v>
      </c>
      <c r="CF1435" s="4" t="s">
        <v>241</v>
      </c>
      <c r="CJ1435" s="4" t="s">
        <v>276</v>
      </c>
      <c r="CK1435" s="4" t="s">
        <v>259</v>
      </c>
      <c r="CL1435" s="4" t="s">
        <v>241</v>
      </c>
      <c r="CO1435" s="5" t="s">
        <v>260</v>
      </c>
      <c r="CP1435" s="4" t="s">
        <v>241</v>
      </c>
      <c r="CQ1435" s="4" t="s">
        <v>261</v>
      </c>
      <c r="CR1435" s="4" t="s">
        <v>241</v>
      </c>
      <c r="CS1435" s="4" t="s">
        <v>241</v>
      </c>
      <c r="CT1435" s="4">
        <v>0</v>
      </c>
      <c r="CU1435" s="4" t="s">
        <v>262</v>
      </c>
      <c r="CV1435" s="4" t="s">
        <v>263</v>
      </c>
      <c r="CW1435" s="4" t="s">
        <v>263</v>
      </c>
      <c r="CX1435" s="4" t="s">
        <v>264</v>
      </c>
      <c r="DA1435" s="6">
        <f>1</f>
        <v>1</v>
      </c>
      <c r="DC1435" s="4" t="s">
        <v>277</v>
      </c>
      <c r="DD1435" s="4" t="s">
        <v>241</v>
      </c>
      <c r="DF1435" s="4" t="s">
        <v>277</v>
      </c>
      <c r="DG1435" s="6">
        <f>358</f>
        <v>358</v>
      </c>
      <c r="DI1435" s="4" t="s">
        <v>241</v>
      </c>
      <c r="DJ1435" s="4" t="s">
        <v>241</v>
      </c>
      <c r="DK1435" s="4" t="s">
        <v>241</v>
      </c>
      <c r="DL1435" s="4" t="s">
        <v>241</v>
      </c>
      <c r="DP1435" s="4" t="s">
        <v>241</v>
      </c>
      <c r="DQ1435" s="4" t="s">
        <v>241</v>
      </c>
      <c r="DR1435" s="4" t="s">
        <v>241</v>
      </c>
      <c r="DS1435" s="4" t="s">
        <v>241</v>
      </c>
      <c r="DV1435" s="4" t="s">
        <v>278</v>
      </c>
      <c r="DW1435" s="4" t="s">
        <v>2650</v>
      </c>
      <c r="HO1435" s="4" t="s">
        <v>267</v>
      </c>
    </row>
    <row r="1436" spans="1:223" ht="19.5" customHeight="1" x14ac:dyDescent="0.4">
      <c r="A1436" s="4">
        <v>1</v>
      </c>
      <c r="B1436" s="4" t="s">
        <v>239</v>
      </c>
      <c r="C1436" s="4">
        <v>3110</v>
      </c>
      <c r="D1436" s="4">
        <v>1</v>
      </c>
      <c r="E1436" s="4">
        <v>1</v>
      </c>
      <c r="F1436" s="4" t="s">
        <v>268</v>
      </c>
      <c r="G1436" s="4" t="s">
        <v>241</v>
      </c>
      <c r="H1436" s="4" t="s">
        <v>241</v>
      </c>
      <c r="I1436" s="4" t="s">
        <v>272</v>
      </c>
      <c r="J1436" s="4" t="s">
        <v>274</v>
      </c>
      <c r="K1436" s="4" t="s">
        <v>251</v>
      </c>
      <c r="L1436" s="4" t="s">
        <v>269</v>
      </c>
      <c r="M1436" s="5" t="s">
        <v>2647</v>
      </c>
      <c r="N1436" s="6">
        <f>1704</f>
        <v>1704</v>
      </c>
      <c r="O1436" s="4" t="s">
        <v>265</v>
      </c>
      <c r="P1436" s="6">
        <f>1</f>
        <v>1</v>
      </c>
      <c r="Q1436" s="6">
        <f>0</f>
        <v>0</v>
      </c>
      <c r="S1436" s="6">
        <f>0</f>
        <v>0</v>
      </c>
      <c r="T1436" s="6">
        <f>1</f>
        <v>1</v>
      </c>
      <c r="U1436" s="5" t="s">
        <v>245</v>
      </c>
      <c r="V1436" s="4" t="s">
        <v>270</v>
      </c>
      <c r="W1436" s="4" t="s">
        <v>271</v>
      </c>
      <c r="X1436" s="4" t="s">
        <v>273</v>
      </c>
      <c r="Y1436" s="4" t="s">
        <v>241</v>
      </c>
      <c r="AB1436" s="4" t="s">
        <v>241</v>
      </c>
      <c r="AD1436" s="5" t="s">
        <v>241</v>
      </c>
      <c r="AG1436" s="5" t="s">
        <v>246</v>
      </c>
      <c r="AH1436" s="4" t="s">
        <v>241</v>
      </c>
      <c r="AI1436" s="4" t="s">
        <v>247</v>
      </c>
      <c r="AJ1436" s="4" t="s">
        <v>248</v>
      </c>
      <c r="AZ1436" s="4" t="s">
        <v>249</v>
      </c>
      <c r="BA1436" s="4" t="s">
        <v>241</v>
      </c>
      <c r="BB1436" s="4" t="s">
        <v>250</v>
      </c>
      <c r="BC1436" s="4" t="s">
        <v>241</v>
      </c>
      <c r="BD1436" s="4" t="s">
        <v>252</v>
      </c>
      <c r="BE1436" s="4" t="s">
        <v>241</v>
      </c>
      <c r="BI1436" s="4" t="s">
        <v>253</v>
      </c>
      <c r="BJ1436" s="5" t="s">
        <v>246</v>
      </c>
      <c r="BK1436" s="4" t="s">
        <v>254</v>
      </c>
      <c r="BL1436" s="4" t="s">
        <v>255</v>
      </c>
      <c r="BM1436" s="4" t="s">
        <v>241</v>
      </c>
      <c r="BN1436" s="6">
        <f>0</f>
        <v>0</v>
      </c>
      <c r="BO1436" s="6">
        <f>0</f>
        <v>0</v>
      </c>
      <c r="BP1436" s="4" t="s">
        <v>256</v>
      </c>
      <c r="BQ1436" s="4" t="s">
        <v>257</v>
      </c>
      <c r="CE1436" s="4" t="s">
        <v>241</v>
      </c>
      <c r="CF1436" s="4" t="s">
        <v>241</v>
      </c>
      <c r="CJ1436" s="4" t="s">
        <v>276</v>
      </c>
      <c r="CK1436" s="4" t="s">
        <v>259</v>
      </c>
      <c r="CL1436" s="4" t="s">
        <v>241</v>
      </c>
      <c r="CO1436" s="5" t="s">
        <v>260</v>
      </c>
      <c r="CP1436" s="4" t="s">
        <v>241</v>
      </c>
      <c r="CQ1436" s="4" t="s">
        <v>261</v>
      </c>
      <c r="CR1436" s="4" t="s">
        <v>241</v>
      </c>
      <c r="CS1436" s="4" t="s">
        <v>241</v>
      </c>
      <c r="CT1436" s="4">
        <v>0</v>
      </c>
      <c r="CU1436" s="4" t="s">
        <v>262</v>
      </c>
      <c r="CV1436" s="4" t="s">
        <v>263</v>
      </c>
      <c r="CW1436" s="4" t="s">
        <v>263</v>
      </c>
      <c r="CX1436" s="4" t="s">
        <v>264</v>
      </c>
      <c r="DA1436" s="6">
        <f>1</f>
        <v>1</v>
      </c>
      <c r="DC1436" s="4" t="s">
        <v>277</v>
      </c>
      <c r="DD1436" s="4" t="s">
        <v>241</v>
      </c>
      <c r="DF1436" s="4" t="s">
        <v>277</v>
      </c>
      <c r="DG1436" s="6">
        <f>1704</f>
        <v>1704</v>
      </c>
      <c r="DI1436" s="4" t="s">
        <v>241</v>
      </c>
      <c r="DJ1436" s="4" t="s">
        <v>241</v>
      </c>
      <c r="DK1436" s="4" t="s">
        <v>241</v>
      </c>
      <c r="DL1436" s="4" t="s">
        <v>241</v>
      </c>
      <c r="DP1436" s="4" t="s">
        <v>241</v>
      </c>
      <c r="DQ1436" s="4" t="s">
        <v>241</v>
      </c>
      <c r="DR1436" s="4" t="s">
        <v>241</v>
      </c>
      <c r="DS1436" s="4" t="s">
        <v>241</v>
      </c>
      <c r="DV1436" s="4" t="s">
        <v>278</v>
      </c>
      <c r="DW1436" s="4" t="s">
        <v>2648</v>
      </c>
      <c r="HO1436" s="4" t="s">
        <v>267</v>
      </c>
    </row>
    <row r="1437" spans="1:223" ht="19.5" customHeight="1" x14ac:dyDescent="0.4">
      <c r="A1437" s="4">
        <v>1</v>
      </c>
      <c r="B1437" s="4" t="s">
        <v>239</v>
      </c>
      <c r="C1437" s="4">
        <v>3111</v>
      </c>
      <c r="D1437" s="4">
        <v>1</v>
      </c>
      <c r="E1437" s="4">
        <v>1</v>
      </c>
      <c r="F1437" s="4" t="s">
        <v>268</v>
      </c>
      <c r="G1437" s="4" t="s">
        <v>241</v>
      </c>
      <c r="H1437" s="4" t="s">
        <v>241</v>
      </c>
      <c r="I1437" s="4" t="s">
        <v>272</v>
      </c>
      <c r="J1437" s="4" t="s">
        <v>274</v>
      </c>
      <c r="K1437" s="4" t="s">
        <v>251</v>
      </c>
      <c r="L1437" s="4" t="s">
        <v>269</v>
      </c>
      <c r="M1437" s="5" t="s">
        <v>2645</v>
      </c>
      <c r="N1437" s="6">
        <f>58</f>
        <v>58</v>
      </c>
      <c r="O1437" s="4" t="s">
        <v>265</v>
      </c>
      <c r="P1437" s="6">
        <f>1</f>
        <v>1</v>
      </c>
      <c r="Q1437" s="6">
        <f>0</f>
        <v>0</v>
      </c>
      <c r="S1437" s="6">
        <f>0</f>
        <v>0</v>
      </c>
      <c r="T1437" s="6">
        <f>1</f>
        <v>1</v>
      </c>
      <c r="U1437" s="5" t="s">
        <v>245</v>
      </c>
      <c r="V1437" s="4" t="s">
        <v>270</v>
      </c>
      <c r="W1437" s="4" t="s">
        <v>271</v>
      </c>
      <c r="X1437" s="4" t="s">
        <v>273</v>
      </c>
      <c r="Y1437" s="4" t="s">
        <v>241</v>
      </c>
      <c r="AB1437" s="4" t="s">
        <v>241</v>
      </c>
      <c r="AD1437" s="5" t="s">
        <v>241</v>
      </c>
      <c r="AG1437" s="5" t="s">
        <v>246</v>
      </c>
      <c r="AH1437" s="4" t="s">
        <v>241</v>
      </c>
      <c r="AI1437" s="4" t="s">
        <v>247</v>
      </c>
      <c r="AJ1437" s="4" t="s">
        <v>248</v>
      </c>
      <c r="AZ1437" s="4" t="s">
        <v>249</v>
      </c>
      <c r="BA1437" s="4" t="s">
        <v>241</v>
      </c>
      <c r="BB1437" s="4" t="s">
        <v>250</v>
      </c>
      <c r="BC1437" s="4" t="s">
        <v>241</v>
      </c>
      <c r="BD1437" s="4" t="s">
        <v>252</v>
      </c>
      <c r="BE1437" s="4" t="s">
        <v>241</v>
      </c>
      <c r="BI1437" s="4" t="s">
        <v>253</v>
      </c>
      <c r="BJ1437" s="5" t="s">
        <v>246</v>
      </c>
      <c r="BK1437" s="4" t="s">
        <v>254</v>
      </c>
      <c r="BL1437" s="4" t="s">
        <v>255</v>
      </c>
      <c r="BM1437" s="4" t="s">
        <v>241</v>
      </c>
      <c r="BN1437" s="6">
        <f>0</f>
        <v>0</v>
      </c>
      <c r="BO1437" s="6">
        <f>0</f>
        <v>0</v>
      </c>
      <c r="BP1437" s="4" t="s">
        <v>256</v>
      </c>
      <c r="BQ1437" s="4" t="s">
        <v>257</v>
      </c>
      <c r="CE1437" s="4" t="s">
        <v>241</v>
      </c>
      <c r="CF1437" s="4" t="s">
        <v>241</v>
      </c>
      <c r="CJ1437" s="4" t="s">
        <v>276</v>
      </c>
      <c r="CK1437" s="4" t="s">
        <v>259</v>
      </c>
      <c r="CL1437" s="4" t="s">
        <v>241</v>
      </c>
      <c r="CO1437" s="5" t="s">
        <v>260</v>
      </c>
      <c r="CP1437" s="4" t="s">
        <v>241</v>
      </c>
      <c r="CQ1437" s="4" t="s">
        <v>261</v>
      </c>
      <c r="CR1437" s="4" t="s">
        <v>241</v>
      </c>
      <c r="CS1437" s="4" t="s">
        <v>241</v>
      </c>
      <c r="CT1437" s="4">
        <v>0</v>
      </c>
      <c r="CU1437" s="4" t="s">
        <v>262</v>
      </c>
      <c r="CV1437" s="4" t="s">
        <v>263</v>
      </c>
      <c r="CW1437" s="4" t="s">
        <v>263</v>
      </c>
      <c r="CX1437" s="4" t="s">
        <v>264</v>
      </c>
      <c r="DA1437" s="6">
        <f>1</f>
        <v>1</v>
      </c>
      <c r="DC1437" s="4" t="s">
        <v>277</v>
      </c>
      <c r="DD1437" s="4" t="s">
        <v>241</v>
      </c>
      <c r="DF1437" s="4" t="s">
        <v>277</v>
      </c>
      <c r="DG1437" s="6">
        <f>58</f>
        <v>58</v>
      </c>
      <c r="DI1437" s="4" t="s">
        <v>241</v>
      </c>
      <c r="DJ1437" s="4" t="s">
        <v>241</v>
      </c>
      <c r="DK1437" s="4" t="s">
        <v>241</v>
      </c>
      <c r="DL1437" s="4" t="s">
        <v>241</v>
      </c>
      <c r="DP1437" s="4" t="s">
        <v>241</v>
      </c>
      <c r="DQ1437" s="4" t="s">
        <v>241</v>
      </c>
      <c r="DR1437" s="4" t="s">
        <v>241</v>
      </c>
      <c r="DS1437" s="4" t="s">
        <v>241</v>
      </c>
      <c r="DV1437" s="4" t="s">
        <v>278</v>
      </c>
      <c r="DW1437" s="4" t="s">
        <v>2646</v>
      </c>
      <c r="HO1437" s="4" t="s">
        <v>267</v>
      </c>
    </row>
    <row r="1438" spans="1:223" ht="19.5" customHeight="1" x14ac:dyDescent="0.4">
      <c r="A1438" s="4">
        <v>1</v>
      </c>
      <c r="B1438" s="4" t="s">
        <v>239</v>
      </c>
      <c r="C1438" s="4">
        <v>3112</v>
      </c>
      <c r="D1438" s="4">
        <v>1</v>
      </c>
      <c r="E1438" s="4">
        <v>1</v>
      </c>
      <c r="F1438" s="4" t="s">
        <v>268</v>
      </c>
      <c r="G1438" s="4" t="s">
        <v>241</v>
      </c>
      <c r="H1438" s="4" t="s">
        <v>241</v>
      </c>
      <c r="I1438" s="4" t="s">
        <v>272</v>
      </c>
      <c r="J1438" s="4" t="s">
        <v>274</v>
      </c>
      <c r="K1438" s="4" t="s">
        <v>251</v>
      </c>
      <c r="L1438" s="4" t="s">
        <v>269</v>
      </c>
      <c r="M1438" s="5" t="s">
        <v>2641</v>
      </c>
      <c r="N1438" s="6">
        <f>1437</f>
        <v>1437</v>
      </c>
      <c r="O1438" s="4" t="s">
        <v>265</v>
      </c>
      <c r="P1438" s="6">
        <f>1</f>
        <v>1</v>
      </c>
      <c r="Q1438" s="6">
        <f>0</f>
        <v>0</v>
      </c>
      <c r="S1438" s="6">
        <f>0</f>
        <v>0</v>
      </c>
      <c r="T1438" s="6">
        <f>1</f>
        <v>1</v>
      </c>
      <c r="U1438" s="5" t="s">
        <v>245</v>
      </c>
      <c r="V1438" s="4" t="s">
        <v>270</v>
      </c>
      <c r="W1438" s="4" t="s">
        <v>271</v>
      </c>
      <c r="X1438" s="4" t="s">
        <v>273</v>
      </c>
      <c r="Y1438" s="4" t="s">
        <v>241</v>
      </c>
      <c r="AB1438" s="4" t="s">
        <v>241</v>
      </c>
      <c r="AD1438" s="5" t="s">
        <v>241</v>
      </c>
      <c r="AG1438" s="5" t="s">
        <v>246</v>
      </c>
      <c r="AH1438" s="4" t="s">
        <v>241</v>
      </c>
      <c r="AI1438" s="4" t="s">
        <v>247</v>
      </c>
      <c r="AJ1438" s="4" t="s">
        <v>248</v>
      </c>
      <c r="AZ1438" s="4" t="s">
        <v>249</v>
      </c>
      <c r="BA1438" s="4" t="s">
        <v>241</v>
      </c>
      <c r="BB1438" s="4" t="s">
        <v>250</v>
      </c>
      <c r="BC1438" s="4" t="s">
        <v>241</v>
      </c>
      <c r="BD1438" s="4" t="s">
        <v>252</v>
      </c>
      <c r="BE1438" s="4" t="s">
        <v>241</v>
      </c>
      <c r="BI1438" s="4" t="s">
        <v>253</v>
      </c>
      <c r="BJ1438" s="5" t="s">
        <v>246</v>
      </c>
      <c r="BK1438" s="4" t="s">
        <v>254</v>
      </c>
      <c r="BL1438" s="4" t="s">
        <v>255</v>
      </c>
      <c r="BM1438" s="4" t="s">
        <v>241</v>
      </c>
      <c r="BN1438" s="6">
        <f>0</f>
        <v>0</v>
      </c>
      <c r="BO1438" s="6">
        <f>0</f>
        <v>0</v>
      </c>
      <c r="BP1438" s="4" t="s">
        <v>256</v>
      </c>
      <c r="BQ1438" s="4" t="s">
        <v>257</v>
      </c>
      <c r="CE1438" s="4" t="s">
        <v>241</v>
      </c>
      <c r="CF1438" s="4" t="s">
        <v>241</v>
      </c>
      <c r="CJ1438" s="4" t="s">
        <v>276</v>
      </c>
      <c r="CK1438" s="4" t="s">
        <v>259</v>
      </c>
      <c r="CL1438" s="4" t="s">
        <v>241</v>
      </c>
      <c r="CO1438" s="5" t="s">
        <v>260</v>
      </c>
      <c r="CP1438" s="4" t="s">
        <v>241</v>
      </c>
      <c r="CQ1438" s="4" t="s">
        <v>261</v>
      </c>
      <c r="CR1438" s="4" t="s">
        <v>241</v>
      </c>
      <c r="CS1438" s="4" t="s">
        <v>241</v>
      </c>
      <c r="CT1438" s="4">
        <v>0</v>
      </c>
      <c r="CU1438" s="4" t="s">
        <v>262</v>
      </c>
      <c r="CV1438" s="4" t="s">
        <v>263</v>
      </c>
      <c r="CW1438" s="4" t="s">
        <v>263</v>
      </c>
      <c r="CX1438" s="4" t="s">
        <v>264</v>
      </c>
      <c r="DA1438" s="6">
        <f>1</f>
        <v>1</v>
      </c>
      <c r="DC1438" s="4" t="s">
        <v>277</v>
      </c>
      <c r="DD1438" s="4" t="s">
        <v>241</v>
      </c>
      <c r="DF1438" s="4" t="s">
        <v>277</v>
      </c>
      <c r="DG1438" s="6">
        <f>1437</f>
        <v>1437</v>
      </c>
      <c r="DI1438" s="4" t="s">
        <v>241</v>
      </c>
      <c r="DJ1438" s="4" t="s">
        <v>241</v>
      </c>
      <c r="DK1438" s="4" t="s">
        <v>241</v>
      </c>
      <c r="DL1438" s="4" t="s">
        <v>241</v>
      </c>
      <c r="DP1438" s="4" t="s">
        <v>241</v>
      </c>
      <c r="DQ1438" s="4" t="s">
        <v>241</v>
      </c>
      <c r="DR1438" s="4" t="s">
        <v>241</v>
      </c>
      <c r="DS1438" s="4" t="s">
        <v>241</v>
      </c>
      <c r="DV1438" s="4" t="s">
        <v>278</v>
      </c>
      <c r="DW1438" s="4" t="s">
        <v>2642</v>
      </c>
      <c r="HO1438" s="4" t="s">
        <v>267</v>
      </c>
    </row>
    <row r="1439" spans="1:223" ht="19.5" customHeight="1" x14ac:dyDescent="0.4">
      <c r="A1439" s="4">
        <v>1</v>
      </c>
      <c r="B1439" s="4" t="s">
        <v>239</v>
      </c>
      <c r="C1439" s="4">
        <v>3113</v>
      </c>
      <c r="D1439" s="4">
        <v>1</v>
      </c>
      <c r="E1439" s="4">
        <v>1</v>
      </c>
      <c r="F1439" s="4" t="s">
        <v>268</v>
      </c>
      <c r="G1439" s="4" t="s">
        <v>241</v>
      </c>
      <c r="H1439" s="4" t="s">
        <v>241</v>
      </c>
      <c r="I1439" s="4" t="s">
        <v>272</v>
      </c>
      <c r="J1439" s="4" t="s">
        <v>274</v>
      </c>
      <c r="K1439" s="4" t="s">
        <v>251</v>
      </c>
      <c r="L1439" s="4" t="s">
        <v>269</v>
      </c>
      <c r="M1439" s="5" t="s">
        <v>2639</v>
      </c>
      <c r="N1439" s="6">
        <f>1690</f>
        <v>1690</v>
      </c>
      <c r="O1439" s="4" t="s">
        <v>265</v>
      </c>
      <c r="P1439" s="6">
        <f>1</f>
        <v>1</v>
      </c>
      <c r="Q1439" s="6">
        <f>0</f>
        <v>0</v>
      </c>
      <c r="S1439" s="6">
        <f>0</f>
        <v>0</v>
      </c>
      <c r="T1439" s="6">
        <f>1</f>
        <v>1</v>
      </c>
      <c r="U1439" s="5" t="s">
        <v>245</v>
      </c>
      <c r="V1439" s="4" t="s">
        <v>270</v>
      </c>
      <c r="W1439" s="4" t="s">
        <v>271</v>
      </c>
      <c r="X1439" s="4" t="s">
        <v>273</v>
      </c>
      <c r="Y1439" s="4" t="s">
        <v>241</v>
      </c>
      <c r="AB1439" s="4" t="s">
        <v>241</v>
      </c>
      <c r="AD1439" s="5" t="s">
        <v>241</v>
      </c>
      <c r="AG1439" s="5" t="s">
        <v>246</v>
      </c>
      <c r="AH1439" s="4" t="s">
        <v>241</v>
      </c>
      <c r="AI1439" s="4" t="s">
        <v>247</v>
      </c>
      <c r="AJ1439" s="4" t="s">
        <v>248</v>
      </c>
      <c r="AZ1439" s="4" t="s">
        <v>249</v>
      </c>
      <c r="BA1439" s="4" t="s">
        <v>241</v>
      </c>
      <c r="BB1439" s="4" t="s">
        <v>250</v>
      </c>
      <c r="BC1439" s="4" t="s">
        <v>241</v>
      </c>
      <c r="BD1439" s="4" t="s">
        <v>252</v>
      </c>
      <c r="BE1439" s="4" t="s">
        <v>241</v>
      </c>
      <c r="BI1439" s="4" t="s">
        <v>253</v>
      </c>
      <c r="BJ1439" s="5" t="s">
        <v>246</v>
      </c>
      <c r="BK1439" s="4" t="s">
        <v>254</v>
      </c>
      <c r="BL1439" s="4" t="s">
        <v>255</v>
      </c>
      <c r="BM1439" s="4" t="s">
        <v>241</v>
      </c>
      <c r="BN1439" s="6">
        <f>0</f>
        <v>0</v>
      </c>
      <c r="BO1439" s="6">
        <f>0</f>
        <v>0</v>
      </c>
      <c r="BP1439" s="4" t="s">
        <v>256</v>
      </c>
      <c r="BQ1439" s="4" t="s">
        <v>257</v>
      </c>
      <c r="CE1439" s="4" t="s">
        <v>241</v>
      </c>
      <c r="CF1439" s="4" t="s">
        <v>241</v>
      </c>
      <c r="CJ1439" s="4" t="s">
        <v>276</v>
      </c>
      <c r="CK1439" s="4" t="s">
        <v>259</v>
      </c>
      <c r="CL1439" s="4" t="s">
        <v>241</v>
      </c>
      <c r="CO1439" s="5" t="s">
        <v>260</v>
      </c>
      <c r="CP1439" s="4" t="s">
        <v>241</v>
      </c>
      <c r="CQ1439" s="4" t="s">
        <v>261</v>
      </c>
      <c r="CR1439" s="4" t="s">
        <v>241</v>
      </c>
      <c r="CS1439" s="4" t="s">
        <v>241</v>
      </c>
      <c r="CT1439" s="4">
        <v>0</v>
      </c>
      <c r="CU1439" s="4" t="s">
        <v>262</v>
      </c>
      <c r="CV1439" s="4" t="s">
        <v>263</v>
      </c>
      <c r="CW1439" s="4" t="s">
        <v>263</v>
      </c>
      <c r="CX1439" s="4" t="s">
        <v>264</v>
      </c>
      <c r="DA1439" s="6">
        <f>1</f>
        <v>1</v>
      </c>
      <c r="DC1439" s="4" t="s">
        <v>277</v>
      </c>
      <c r="DD1439" s="4" t="s">
        <v>241</v>
      </c>
      <c r="DF1439" s="4" t="s">
        <v>277</v>
      </c>
      <c r="DG1439" s="6">
        <f>1690</f>
        <v>1690</v>
      </c>
      <c r="DI1439" s="4" t="s">
        <v>241</v>
      </c>
      <c r="DJ1439" s="4" t="s">
        <v>241</v>
      </c>
      <c r="DK1439" s="4" t="s">
        <v>241</v>
      </c>
      <c r="DL1439" s="4" t="s">
        <v>241</v>
      </c>
      <c r="DP1439" s="4" t="s">
        <v>241</v>
      </c>
      <c r="DQ1439" s="4" t="s">
        <v>241</v>
      </c>
      <c r="DR1439" s="4" t="s">
        <v>241</v>
      </c>
      <c r="DS1439" s="4" t="s">
        <v>241</v>
      </c>
      <c r="DV1439" s="4" t="s">
        <v>278</v>
      </c>
      <c r="DW1439" s="4" t="s">
        <v>2640</v>
      </c>
      <c r="HO1439" s="4" t="s">
        <v>267</v>
      </c>
    </row>
    <row r="1440" spans="1:223" ht="19.5" customHeight="1" x14ac:dyDescent="0.4">
      <c r="A1440" s="4">
        <v>1</v>
      </c>
      <c r="B1440" s="4" t="s">
        <v>239</v>
      </c>
      <c r="C1440" s="4">
        <v>3114</v>
      </c>
      <c r="D1440" s="4">
        <v>1</v>
      </c>
      <c r="E1440" s="4">
        <v>1</v>
      </c>
      <c r="F1440" s="4" t="s">
        <v>268</v>
      </c>
      <c r="G1440" s="4" t="s">
        <v>241</v>
      </c>
      <c r="H1440" s="4" t="s">
        <v>241</v>
      </c>
      <c r="I1440" s="4" t="s">
        <v>272</v>
      </c>
      <c r="J1440" s="4" t="s">
        <v>274</v>
      </c>
      <c r="K1440" s="4" t="s">
        <v>251</v>
      </c>
      <c r="L1440" s="4" t="s">
        <v>269</v>
      </c>
      <c r="M1440" s="5" t="s">
        <v>2637</v>
      </c>
      <c r="N1440" s="6">
        <f>363</f>
        <v>363</v>
      </c>
      <c r="O1440" s="4" t="s">
        <v>265</v>
      </c>
      <c r="P1440" s="6">
        <f>1</f>
        <v>1</v>
      </c>
      <c r="Q1440" s="6">
        <f>0</f>
        <v>0</v>
      </c>
      <c r="S1440" s="6">
        <f>0</f>
        <v>0</v>
      </c>
      <c r="T1440" s="6">
        <f>1</f>
        <v>1</v>
      </c>
      <c r="U1440" s="5" t="s">
        <v>245</v>
      </c>
      <c r="V1440" s="4" t="s">
        <v>270</v>
      </c>
      <c r="W1440" s="4" t="s">
        <v>271</v>
      </c>
      <c r="X1440" s="4" t="s">
        <v>273</v>
      </c>
      <c r="Y1440" s="4" t="s">
        <v>241</v>
      </c>
      <c r="AB1440" s="4" t="s">
        <v>241</v>
      </c>
      <c r="AD1440" s="5" t="s">
        <v>241</v>
      </c>
      <c r="AG1440" s="5" t="s">
        <v>246</v>
      </c>
      <c r="AH1440" s="4" t="s">
        <v>241</v>
      </c>
      <c r="AI1440" s="4" t="s">
        <v>247</v>
      </c>
      <c r="AJ1440" s="4" t="s">
        <v>248</v>
      </c>
      <c r="AZ1440" s="4" t="s">
        <v>249</v>
      </c>
      <c r="BA1440" s="4" t="s">
        <v>241</v>
      </c>
      <c r="BB1440" s="4" t="s">
        <v>250</v>
      </c>
      <c r="BC1440" s="4" t="s">
        <v>241</v>
      </c>
      <c r="BD1440" s="4" t="s">
        <v>252</v>
      </c>
      <c r="BE1440" s="4" t="s">
        <v>241</v>
      </c>
      <c r="BI1440" s="4" t="s">
        <v>253</v>
      </c>
      <c r="BJ1440" s="5" t="s">
        <v>246</v>
      </c>
      <c r="BK1440" s="4" t="s">
        <v>254</v>
      </c>
      <c r="BL1440" s="4" t="s">
        <v>255</v>
      </c>
      <c r="BM1440" s="4" t="s">
        <v>241</v>
      </c>
      <c r="BN1440" s="6">
        <f>0</f>
        <v>0</v>
      </c>
      <c r="BO1440" s="6">
        <f>0</f>
        <v>0</v>
      </c>
      <c r="BP1440" s="4" t="s">
        <v>256</v>
      </c>
      <c r="BQ1440" s="4" t="s">
        <v>257</v>
      </c>
      <c r="CE1440" s="4" t="s">
        <v>241</v>
      </c>
      <c r="CF1440" s="4" t="s">
        <v>241</v>
      </c>
      <c r="CJ1440" s="4" t="s">
        <v>276</v>
      </c>
      <c r="CK1440" s="4" t="s">
        <v>259</v>
      </c>
      <c r="CL1440" s="4" t="s">
        <v>241</v>
      </c>
      <c r="CO1440" s="5" t="s">
        <v>260</v>
      </c>
      <c r="CP1440" s="4" t="s">
        <v>241</v>
      </c>
      <c r="CQ1440" s="4" t="s">
        <v>261</v>
      </c>
      <c r="CR1440" s="4" t="s">
        <v>241</v>
      </c>
      <c r="CS1440" s="4" t="s">
        <v>241</v>
      </c>
      <c r="CT1440" s="4">
        <v>0</v>
      </c>
      <c r="CU1440" s="4" t="s">
        <v>262</v>
      </c>
      <c r="CV1440" s="4" t="s">
        <v>263</v>
      </c>
      <c r="CW1440" s="4" t="s">
        <v>263</v>
      </c>
      <c r="CX1440" s="4" t="s">
        <v>264</v>
      </c>
      <c r="DA1440" s="6">
        <f>1</f>
        <v>1</v>
      </c>
      <c r="DC1440" s="4" t="s">
        <v>277</v>
      </c>
      <c r="DD1440" s="4" t="s">
        <v>241</v>
      </c>
      <c r="DF1440" s="4" t="s">
        <v>277</v>
      </c>
      <c r="DG1440" s="6">
        <f>363</f>
        <v>363</v>
      </c>
      <c r="DI1440" s="4" t="s">
        <v>241</v>
      </c>
      <c r="DJ1440" s="4" t="s">
        <v>241</v>
      </c>
      <c r="DK1440" s="4" t="s">
        <v>241</v>
      </c>
      <c r="DL1440" s="4" t="s">
        <v>241</v>
      </c>
      <c r="DP1440" s="4" t="s">
        <v>241</v>
      </c>
      <c r="DQ1440" s="4" t="s">
        <v>241</v>
      </c>
      <c r="DR1440" s="4" t="s">
        <v>241</v>
      </c>
      <c r="DS1440" s="4" t="s">
        <v>241</v>
      </c>
      <c r="DV1440" s="4" t="s">
        <v>278</v>
      </c>
      <c r="DW1440" s="4" t="s">
        <v>2638</v>
      </c>
      <c r="HO1440" s="4" t="s">
        <v>267</v>
      </c>
    </row>
    <row r="1441" spans="1:223" ht="19.5" customHeight="1" x14ac:dyDescent="0.4">
      <c r="A1441" s="4">
        <v>1</v>
      </c>
      <c r="B1441" s="4" t="s">
        <v>239</v>
      </c>
      <c r="C1441" s="4">
        <v>3115</v>
      </c>
      <c r="D1441" s="4">
        <v>1</v>
      </c>
      <c r="E1441" s="4">
        <v>1</v>
      </c>
      <c r="F1441" s="4" t="s">
        <v>268</v>
      </c>
      <c r="G1441" s="4" t="s">
        <v>241</v>
      </c>
      <c r="H1441" s="4" t="s">
        <v>241</v>
      </c>
      <c r="I1441" s="4" t="s">
        <v>272</v>
      </c>
      <c r="J1441" s="4" t="s">
        <v>274</v>
      </c>
      <c r="K1441" s="4" t="s">
        <v>251</v>
      </c>
      <c r="L1441" s="4" t="s">
        <v>269</v>
      </c>
      <c r="M1441" s="5" t="s">
        <v>2635</v>
      </c>
      <c r="N1441" s="6">
        <f>182</f>
        <v>182</v>
      </c>
      <c r="O1441" s="4" t="s">
        <v>265</v>
      </c>
      <c r="P1441" s="6">
        <f>1</f>
        <v>1</v>
      </c>
      <c r="Q1441" s="6">
        <f>0</f>
        <v>0</v>
      </c>
      <c r="S1441" s="6">
        <f>0</f>
        <v>0</v>
      </c>
      <c r="T1441" s="6">
        <f>1</f>
        <v>1</v>
      </c>
      <c r="U1441" s="5" t="s">
        <v>245</v>
      </c>
      <c r="V1441" s="4" t="s">
        <v>270</v>
      </c>
      <c r="W1441" s="4" t="s">
        <v>271</v>
      </c>
      <c r="X1441" s="4" t="s">
        <v>273</v>
      </c>
      <c r="Y1441" s="4" t="s">
        <v>241</v>
      </c>
      <c r="AB1441" s="4" t="s">
        <v>241</v>
      </c>
      <c r="AD1441" s="5" t="s">
        <v>241</v>
      </c>
      <c r="AG1441" s="5" t="s">
        <v>246</v>
      </c>
      <c r="AH1441" s="4" t="s">
        <v>241</v>
      </c>
      <c r="AI1441" s="4" t="s">
        <v>247</v>
      </c>
      <c r="AJ1441" s="4" t="s">
        <v>248</v>
      </c>
      <c r="AZ1441" s="4" t="s">
        <v>249</v>
      </c>
      <c r="BA1441" s="4" t="s">
        <v>241</v>
      </c>
      <c r="BB1441" s="4" t="s">
        <v>250</v>
      </c>
      <c r="BC1441" s="4" t="s">
        <v>241</v>
      </c>
      <c r="BD1441" s="4" t="s">
        <v>252</v>
      </c>
      <c r="BE1441" s="4" t="s">
        <v>241</v>
      </c>
      <c r="BI1441" s="4" t="s">
        <v>253</v>
      </c>
      <c r="BJ1441" s="5" t="s">
        <v>246</v>
      </c>
      <c r="BK1441" s="4" t="s">
        <v>254</v>
      </c>
      <c r="BL1441" s="4" t="s">
        <v>255</v>
      </c>
      <c r="BM1441" s="4" t="s">
        <v>241</v>
      </c>
      <c r="BN1441" s="6">
        <f>0</f>
        <v>0</v>
      </c>
      <c r="BO1441" s="6">
        <f>0</f>
        <v>0</v>
      </c>
      <c r="BP1441" s="4" t="s">
        <v>256</v>
      </c>
      <c r="BQ1441" s="4" t="s">
        <v>257</v>
      </c>
      <c r="CE1441" s="4" t="s">
        <v>241</v>
      </c>
      <c r="CF1441" s="4" t="s">
        <v>241</v>
      </c>
      <c r="CJ1441" s="4" t="s">
        <v>276</v>
      </c>
      <c r="CK1441" s="4" t="s">
        <v>259</v>
      </c>
      <c r="CL1441" s="4" t="s">
        <v>241</v>
      </c>
      <c r="CO1441" s="5" t="s">
        <v>260</v>
      </c>
      <c r="CP1441" s="4" t="s">
        <v>241</v>
      </c>
      <c r="CQ1441" s="4" t="s">
        <v>261</v>
      </c>
      <c r="CR1441" s="4" t="s">
        <v>241</v>
      </c>
      <c r="CS1441" s="4" t="s">
        <v>241</v>
      </c>
      <c r="CT1441" s="4">
        <v>0</v>
      </c>
      <c r="CU1441" s="4" t="s">
        <v>262</v>
      </c>
      <c r="CV1441" s="4" t="s">
        <v>263</v>
      </c>
      <c r="CW1441" s="4" t="s">
        <v>263</v>
      </c>
      <c r="CX1441" s="4" t="s">
        <v>264</v>
      </c>
      <c r="DA1441" s="6">
        <f>1</f>
        <v>1</v>
      </c>
      <c r="DC1441" s="4" t="s">
        <v>277</v>
      </c>
      <c r="DD1441" s="4" t="s">
        <v>241</v>
      </c>
      <c r="DF1441" s="4" t="s">
        <v>277</v>
      </c>
      <c r="DG1441" s="6">
        <f>182</f>
        <v>182</v>
      </c>
      <c r="DI1441" s="4" t="s">
        <v>241</v>
      </c>
      <c r="DJ1441" s="4" t="s">
        <v>241</v>
      </c>
      <c r="DK1441" s="4" t="s">
        <v>241</v>
      </c>
      <c r="DL1441" s="4" t="s">
        <v>241</v>
      </c>
      <c r="DP1441" s="4" t="s">
        <v>241</v>
      </c>
      <c r="DQ1441" s="4" t="s">
        <v>241</v>
      </c>
      <c r="DR1441" s="4" t="s">
        <v>241</v>
      </c>
      <c r="DS1441" s="4" t="s">
        <v>241</v>
      </c>
      <c r="DV1441" s="4" t="s">
        <v>278</v>
      </c>
      <c r="DW1441" s="4" t="s">
        <v>2636</v>
      </c>
      <c r="HO1441" s="4" t="s">
        <v>267</v>
      </c>
    </row>
    <row r="1442" spans="1:223" ht="19.5" customHeight="1" x14ac:dyDescent="0.4">
      <c r="A1442" s="4">
        <v>1</v>
      </c>
      <c r="B1442" s="4" t="s">
        <v>239</v>
      </c>
      <c r="C1442" s="4">
        <v>3116</v>
      </c>
      <c r="D1442" s="4">
        <v>1</v>
      </c>
      <c r="E1442" s="4">
        <v>1</v>
      </c>
      <c r="F1442" s="4" t="s">
        <v>268</v>
      </c>
      <c r="G1442" s="4" t="s">
        <v>241</v>
      </c>
      <c r="H1442" s="4" t="s">
        <v>241</v>
      </c>
      <c r="I1442" s="4" t="s">
        <v>272</v>
      </c>
      <c r="J1442" s="4" t="s">
        <v>274</v>
      </c>
      <c r="K1442" s="4" t="s">
        <v>251</v>
      </c>
      <c r="L1442" s="4" t="s">
        <v>269</v>
      </c>
      <c r="M1442" s="5" t="s">
        <v>2633</v>
      </c>
      <c r="N1442" s="6">
        <f>1214</f>
        <v>1214</v>
      </c>
      <c r="O1442" s="4" t="s">
        <v>265</v>
      </c>
      <c r="P1442" s="6">
        <f>1</f>
        <v>1</v>
      </c>
      <c r="Q1442" s="6">
        <f>0</f>
        <v>0</v>
      </c>
      <c r="S1442" s="6">
        <f>0</f>
        <v>0</v>
      </c>
      <c r="T1442" s="6">
        <f>1</f>
        <v>1</v>
      </c>
      <c r="U1442" s="5" t="s">
        <v>245</v>
      </c>
      <c r="V1442" s="4" t="s">
        <v>270</v>
      </c>
      <c r="W1442" s="4" t="s">
        <v>271</v>
      </c>
      <c r="X1442" s="4" t="s">
        <v>273</v>
      </c>
      <c r="Y1442" s="4" t="s">
        <v>241</v>
      </c>
      <c r="AB1442" s="4" t="s">
        <v>241</v>
      </c>
      <c r="AD1442" s="5" t="s">
        <v>241</v>
      </c>
      <c r="AG1442" s="5" t="s">
        <v>246</v>
      </c>
      <c r="AH1442" s="4" t="s">
        <v>241</v>
      </c>
      <c r="AI1442" s="4" t="s">
        <v>247</v>
      </c>
      <c r="AJ1442" s="4" t="s">
        <v>248</v>
      </c>
      <c r="AZ1442" s="4" t="s">
        <v>249</v>
      </c>
      <c r="BA1442" s="4" t="s">
        <v>241</v>
      </c>
      <c r="BB1442" s="4" t="s">
        <v>250</v>
      </c>
      <c r="BC1442" s="4" t="s">
        <v>241</v>
      </c>
      <c r="BD1442" s="4" t="s">
        <v>252</v>
      </c>
      <c r="BE1442" s="4" t="s">
        <v>241</v>
      </c>
      <c r="BI1442" s="4" t="s">
        <v>253</v>
      </c>
      <c r="BJ1442" s="5" t="s">
        <v>246</v>
      </c>
      <c r="BK1442" s="4" t="s">
        <v>254</v>
      </c>
      <c r="BL1442" s="4" t="s">
        <v>255</v>
      </c>
      <c r="BM1442" s="4" t="s">
        <v>241</v>
      </c>
      <c r="BN1442" s="6">
        <f>0</f>
        <v>0</v>
      </c>
      <c r="BO1442" s="6">
        <f>0</f>
        <v>0</v>
      </c>
      <c r="BP1442" s="4" t="s">
        <v>256</v>
      </c>
      <c r="BQ1442" s="4" t="s">
        <v>257</v>
      </c>
      <c r="CE1442" s="4" t="s">
        <v>241</v>
      </c>
      <c r="CF1442" s="4" t="s">
        <v>241</v>
      </c>
      <c r="CJ1442" s="4" t="s">
        <v>276</v>
      </c>
      <c r="CK1442" s="4" t="s">
        <v>259</v>
      </c>
      <c r="CL1442" s="4" t="s">
        <v>241</v>
      </c>
      <c r="CO1442" s="5" t="s">
        <v>260</v>
      </c>
      <c r="CP1442" s="4" t="s">
        <v>241</v>
      </c>
      <c r="CQ1442" s="4" t="s">
        <v>261</v>
      </c>
      <c r="CR1442" s="4" t="s">
        <v>241</v>
      </c>
      <c r="CS1442" s="4" t="s">
        <v>241</v>
      </c>
      <c r="CT1442" s="4">
        <v>0</v>
      </c>
      <c r="CU1442" s="4" t="s">
        <v>262</v>
      </c>
      <c r="CV1442" s="4" t="s">
        <v>263</v>
      </c>
      <c r="CW1442" s="4" t="s">
        <v>263</v>
      </c>
      <c r="CX1442" s="4" t="s">
        <v>264</v>
      </c>
      <c r="DA1442" s="6">
        <f>1</f>
        <v>1</v>
      </c>
      <c r="DC1442" s="4" t="s">
        <v>277</v>
      </c>
      <c r="DD1442" s="4" t="s">
        <v>241</v>
      </c>
      <c r="DF1442" s="4" t="s">
        <v>277</v>
      </c>
      <c r="DG1442" s="6">
        <f>1214</f>
        <v>1214</v>
      </c>
      <c r="DI1442" s="4" t="s">
        <v>241</v>
      </c>
      <c r="DJ1442" s="4" t="s">
        <v>241</v>
      </c>
      <c r="DK1442" s="4" t="s">
        <v>241</v>
      </c>
      <c r="DL1442" s="4" t="s">
        <v>241</v>
      </c>
      <c r="DP1442" s="4" t="s">
        <v>241</v>
      </c>
      <c r="DQ1442" s="4" t="s">
        <v>241</v>
      </c>
      <c r="DR1442" s="4" t="s">
        <v>241</v>
      </c>
      <c r="DS1442" s="4" t="s">
        <v>241</v>
      </c>
      <c r="DV1442" s="4" t="s">
        <v>278</v>
      </c>
      <c r="DW1442" s="4" t="s">
        <v>2634</v>
      </c>
      <c r="HO1442" s="4" t="s">
        <v>267</v>
      </c>
    </row>
    <row r="1443" spans="1:223" ht="19.5" customHeight="1" x14ac:dyDescent="0.4">
      <c r="A1443" s="4">
        <v>1</v>
      </c>
      <c r="B1443" s="4" t="s">
        <v>239</v>
      </c>
      <c r="C1443" s="4">
        <v>3117</v>
      </c>
      <c r="D1443" s="4">
        <v>1</v>
      </c>
      <c r="E1443" s="4">
        <v>1</v>
      </c>
      <c r="F1443" s="4" t="s">
        <v>268</v>
      </c>
      <c r="G1443" s="4" t="s">
        <v>241</v>
      </c>
      <c r="H1443" s="4" t="s">
        <v>241</v>
      </c>
      <c r="I1443" s="4" t="s">
        <v>272</v>
      </c>
      <c r="J1443" s="4" t="s">
        <v>274</v>
      </c>
      <c r="K1443" s="4" t="s">
        <v>251</v>
      </c>
      <c r="L1443" s="4" t="s">
        <v>269</v>
      </c>
      <c r="M1443" s="5" t="s">
        <v>2631</v>
      </c>
      <c r="N1443" s="6">
        <f>158</f>
        <v>158</v>
      </c>
      <c r="O1443" s="4" t="s">
        <v>265</v>
      </c>
      <c r="P1443" s="6">
        <f>1</f>
        <v>1</v>
      </c>
      <c r="Q1443" s="6">
        <f>0</f>
        <v>0</v>
      </c>
      <c r="S1443" s="6">
        <f>0</f>
        <v>0</v>
      </c>
      <c r="T1443" s="6">
        <f>1</f>
        <v>1</v>
      </c>
      <c r="U1443" s="5" t="s">
        <v>245</v>
      </c>
      <c r="V1443" s="4" t="s">
        <v>270</v>
      </c>
      <c r="W1443" s="4" t="s">
        <v>271</v>
      </c>
      <c r="X1443" s="4" t="s">
        <v>273</v>
      </c>
      <c r="Y1443" s="4" t="s">
        <v>241</v>
      </c>
      <c r="AB1443" s="4" t="s">
        <v>241</v>
      </c>
      <c r="AD1443" s="5" t="s">
        <v>241</v>
      </c>
      <c r="AG1443" s="5" t="s">
        <v>246</v>
      </c>
      <c r="AH1443" s="4" t="s">
        <v>241</v>
      </c>
      <c r="AI1443" s="4" t="s">
        <v>247</v>
      </c>
      <c r="AJ1443" s="4" t="s">
        <v>248</v>
      </c>
      <c r="AZ1443" s="4" t="s">
        <v>249</v>
      </c>
      <c r="BA1443" s="4" t="s">
        <v>241</v>
      </c>
      <c r="BB1443" s="4" t="s">
        <v>250</v>
      </c>
      <c r="BC1443" s="4" t="s">
        <v>241</v>
      </c>
      <c r="BD1443" s="4" t="s">
        <v>252</v>
      </c>
      <c r="BE1443" s="4" t="s">
        <v>241</v>
      </c>
      <c r="BI1443" s="4" t="s">
        <v>253</v>
      </c>
      <c r="BJ1443" s="5" t="s">
        <v>246</v>
      </c>
      <c r="BK1443" s="4" t="s">
        <v>254</v>
      </c>
      <c r="BL1443" s="4" t="s">
        <v>255</v>
      </c>
      <c r="BM1443" s="4" t="s">
        <v>241</v>
      </c>
      <c r="BN1443" s="6">
        <f>0</f>
        <v>0</v>
      </c>
      <c r="BO1443" s="6">
        <f>0</f>
        <v>0</v>
      </c>
      <c r="BP1443" s="4" t="s">
        <v>256</v>
      </c>
      <c r="BQ1443" s="4" t="s">
        <v>257</v>
      </c>
      <c r="CE1443" s="4" t="s">
        <v>241</v>
      </c>
      <c r="CF1443" s="4" t="s">
        <v>241</v>
      </c>
      <c r="CJ1443" s="4" t="s">
        <v>276</v>
      </c>
      <c r="CK1443" s="4" t="s">
        <v>259</v>
      </c>
      <c r="CL1443" s="4" t="s">
        <v>241</v>
      </c>
      <c r="CO1443" s="5" t="s">
        <v>260</v>
      </c>
      <c r="CP1443" s="4" t="s">
        <v>241</v>
      </c>
      <c r="CQ1443" s="4" t="s">
        <v>261</v>
      </c>
      <c r="CR1443" s="4" t="s">
        <v>241</v>
      </c>
      <c r="CS1443" s="4" t="s">
        <v>241</v>
      </c>
      <c r="CT1443" s="4">
        <v>0</v>
      </c>
      <c r="CU1443" s="4" t="s">
        <v>262</v>
      </c>
      <c r="CV1443" s="4" t="s">
        <v>263</v>
      </c>
      <c r="CW1443" s="4" t="s">
        <v>263</v>
      </c>
      <c r="CX1443" s="4" t="s">
        <v>264</v>
      </c>
      <c r="DA1443" s="6">
        <f>1</f>
        <v>1</v>
      </c>
      <c r="DC1443" s="4" t="s">
        <v>277</v>
      </c>
      <c r="DD1443" s="4" t="s">
        <v>241</v>
      </c>
      <c r="DF1443" s="4" t="s">
        <v>277</v>
      </c>
      <c r="DG1443" s="6">
        <f>158</f>
        <v>158</v>
      </c>
      <c r="DI1443" s="4" t="s">
        <v>241</v>
      </c>
      <c r="DJ1443" s="4" t="s">
        <v>241</v>
      </c>
      <c r="DK1443" s="4" t="s">
        <v>241</v>
      </c>
      <c r="DL1443" s="4" t="s">
        <v>241</v>
      </c>
      <c r="DP1443" s="4" t="s">
        <v>241</v>
      </c>
      <c r="DQ1443" s="4" t="s">
        <v>241</v>
      </c>
      <c r="DR1443" s="4" t="s">
        <v>241</v>
      </c>
      <c r="DS1443" s="4" t="s">
        <v>241</v>
      </c>
      <c r="DV1443" s="4" t="s">
        <v>278</v>
      </c>
      <c r="DW1443" s="4" t="s">
        <v>2632</v>
      </c>
      <c r="HO1443" s="4" t="s">
        <v>267</v>
      </c>
    </row>
    <row r="1444" spans="1:223" ht="19.5" customHeight="1" x14ac:dyDescent="0.4">
      <c r="A1444" s="4">
        <v>1</v>
      </c>
      <c r="B1444" s="4" t="s">
        <v>239</v>
      </c>
      <c r="C1444" s="4">
        <v>3118</v>
      </c>
      <c r="D1444" s="4">
        <v>1</v>
      </c>
      <c r="E1444" s="4">
        <v>1</v>
      </c>
      <c r="F1444" s="4" t="s">
        <v>268</v>
      </c>
      <c r="G1444" s="4" t="s">
        <v>241</v>
      </c>
      <c r="H1444" s="4" t="s">
        <v>241</v>
      </c>
      <c r="I1444" s="4" t="s">
        <v>272</v>
      </c>
      <c r="J1444" s="4" t="s">
        <v>274</v>
      </c>
      <c r="K1444" s="4" t="s">
        <v>251</v>
      </c>
      <c r="L1444" s="4" t="s">
        <v>269</v>
      </c>
      <c r="M1444" s="5" t="s">
        <v>2627</v>
      </c>
      <c r="N1444" s="6">
        <f>384</f>
        <v>384</v>
      </c>
      <c r="O1444" s="4" t="s">
        <v>265</v>
      </c>
      <c r="P1444" s="6">
        <f>1</f>
        <v>1</v>
      </c>
      <c r="Q1444" s="6">
        <f>0</f>
        <v>0</v>
      </c>
      <c r="S1444" s="6">
        <f>0</f>
        <v>0</v>
      </c>
      <c r="T1444" s="6">
        <f>1</f>
        <v>1</v>
      </c>
      <c r="U1444" s="5" t="s">
        <v>245</v>
      </c>
      <c r="V1444" s="4" t="s">
        <v>270</v>
      </c>
      <c r="W1444" s="4" t="s">
        <v>271</v>
      </c>
      <c r="X1444" s="4" t="s">
        <v>273</v>
      </c>
      <c r="Y1444" s="4" t="s">
        <v>241</v>
      </c>
      <c r="AB1444" s="4" t="s">
        <v>241</v>
      </c>
      <c r="AD1444" s="5" t="s">
        <v>241</v>
      </c>
      <c r="AG1444" s="5" t="s">
        <v>246</v>
      </c>
      <c r="AH1444" s="4" t="s">
        <v>241</v>
      </c>
      <c r="AI1444" s="4" t="s">
        <v>247</v>
      </c>
      <c r="AJ1444" s="4" t="s">
        <v>248</v>
      </c>
      <c r="AZ1444" s="4" t="s">
        <v>249</v>
      </c>
      <c r="BA1444" s="4" t="s">
        <v>241</v>
      </c>
      <c r="BB1444" s="4" t="s">
        <v>250</v>
      </c>
      <c r="BC1444" s="4" t="s">
        <v>241</v>
      </c>
      <c r="BD1444" s="4" t="s">
        <v>252</v>
      </c>
      <c r="BE1444" s="4" t="s">
        <v>241</v>
      </c>
      <c r="BI1444" s="4" t="s">
        <v>253</v>
      </c>
      <c r="BJ1444" s="5" t="s">
        <v>246</v>
      </c>
      <c r="BK1444" s="4" t="s">
        <v>254</v>
      </c>
      <c r="BL1444" s="4" t="s">
        <v>255</v>
      </c>
      <c r="BM1444" s="4" t="s">
        <v>241</v>
      </c>
      <c r="BN1444" s="6">
        <f>0</f>
        <v>0</v>
      </c>
      <c r="BO1444" s="6">
        <f>0</f>
        <v>0</v>
      </c>
      <c r="BP1444" s="4" t="s">
        <v>256</v>
      </c>
      <c r="BQ1444" s="4" t="s">
        <v>257</v>
      </c>
      <c r="CE1444" s="4" t="s">
        <v>241</v>
      </c>
      <c r="CF1444" s="4" t="s">
        <v>241</v>
      </c>
      <c r="CJ1444" s="4" t="s">
        <v>276</v>
      </c>
      <c r="CK1444" s="4" t="s">
        <v>259</v>
      </c>
      <c r="CL1444" s="4" t="s">
        <v>241</v>
      </c>
      <c r="CO1444" s="5" t="s">
        <v>260</v>
      </c>
      <c r="CP1444" s="4" t="s">
        <v>241</v>
      </c>
      <c r="CQ1444" s="4" t="s">
        <v>261</v>
      </c>
      <c r="CR1444" s="4" t="s">
        <v>241</v>
      </c>
      <c r="CS1444" s="4" t="s">
        <v>241</v>
      </c>
      <c r="CT1444" s="4">
        <v>0</v>
      </c>
      <c r="CU1444" s="4" t="s">
        <v>262</v>
      </c>
      <c r="CV1444" s="4" t="s">
        <v>263</v>
      </c>
      <c r="CW1444" s="4" t="s">
        <v>263</v>
      </c>
      <c r="CX1444" s="4" t="s">
        <v>264</v>
      </c>
      <c r="DA1444" s="6">
        <f>1</f>
        <v>1</v>
      </c>
      <c r="DC1444" s="4" t="s">
        <v>277</v>
      </c>
      <c r="DD1444" s="4" t="s">
        <v>241</v>
      </c>
      <c r="DF1444" s="4" t="s">
        <v>277</v>
      </c>
      <c r="DG1444" s="6">
        <f>384</f>
        <v>384</v>
      </c>
      <c r="DI1444" s="4" t="s">
        <v>241</v>
      </c>
      <c r="DJ1444" s="4" t="s">
        <v>241</v>
      </c>
      <c r="DK1444" s="4" t="s">
        <v>241</v>
      </c>
      <c r="DL1444" s="4" t="s">
        <v>241</v>
      </c>
      <c r="DP1444" s="4" t="s">
        <v>241</v>
      </c>
      <c r="DQ1444" s="4" t="s">
        <v>241</v>
      </c>
      <c r="DR1444" s="4" t="s">
        <v>241</v>
      </c>
      <c r="DS1444" s="4" t="s">
        <v>241</v>
      </c>
      <c r="DV1444" s="4" t="s">
        <v>278</v>
      </c>
      <c r="DW1444" s="4" t="s">
        <v>2628</v>
      </c>
      <c r="HO1444" s="4" t="s">
        <v>267</v>
      </c>
    </row>
    <row r="1445" spans="1:223" ht="19.5" customHeight="1" x14ac:dyDescent="0.4">
      <c r="A1445" s="4">
        <v>1</v>
      </c>
      <c r="B1445" s="4" t="s">
        <v>239</v>
      </c>
      <c r="C1445" s="4">
        <v>3119</v>
      </c>
      <c r="D1445" s="4">
        <v>1</v>
      </c>
      <c r="E1445" s="4">
        <v>1</v>
      </c>
      <c r="F1445" s="4" t="s">
        <v>268</v>
      </c>
      <c r="G1445" s="4" t="s">
        <v>241</v>
      </c>
      <c r="H1445" s="4" t="s">
        <v>241</v>
      </c>
      <c r="I1445" s="4" t="s">
        <v>272</v>
      </c>
      <c r="J1445" s="4" t="s">
        <v>274</v>
      </c>
      <c r="K1445" s="4" t="s">
        <v>251</v>
      </c>
      <c r="L1445" s="4" t="s">
        <v>269</v>
      </c>
      <c r="M1445" s="5" t="s">
        <v>2625</v>
      </c>
      <c r="N1445" s="6">
        <f>1310</f>
        <v>1310</v>
      </c>
      <c r="O1445" s="4" t="s">
        <v>265</v>
      </c>
      <c r="P1445" s="6">
        <f>1</f>
        <v>1</v>
      </c>
      <c r="Q1445" s="6">
        <f>0</f>
        <v>0</v>
      </c>
      <c r="S1445" s="6">
        <f>0</f>
        <v>0</v>
      </c>
      <c r="T1445" s="6">
        <f>1</f>
        <v>1</v>
      </c>
      <c r="U1445" s="5" t="s">
        <v>245</v>
      </c>
      <c r="V1445" s="4" t="s">
        <v>270</v>
      </c>
      <c r="W1445" s="4" t="s">
        <v>271</v>
      </c>
      <c r="X1445" s="4" t="s">
        <v>273</v>
      </c>
      <c r="Y1445" s="4" t="s">
        <v>241</v>
      </c>
      <c r="AB1445" s="4" t="s">
        <v>241</v>
      </c>
      <c r="AD1445" s="5" t="s">
        <v>241</v>
      </c>
      <c r="AG1445" s="5" t="s">
        <v>246</v>
      </c>
      <c r="AH1445" s="4" t="s">
        <v>241</v>
      </c>
      <c r="AI1445" s="4" t="s">
        <v>247</v>
      </c>
      <c r="AJ1445" s="4" t="s">
        <v>248</v>
      </c>
      <c r="AZ1445" s="4" t="s">
        <v>249</v>
      </c>
      <c r="BA1445" s="4" t="s">
        <v>241</v>
      </c>
      <c r="BB1445" s="4" t="s">
        <v>250</v>
      </c>
      <c r="BC1445" s="4" t="s">
        <v>241</v>
      </c>
      <c r="BD1445" s="4" t="s">
        <v>252</v>
      </c>
      <c r="BE1445" s="4" t="s">
        <v>241</v>
      </c>
      <c r="BI1445" s="4" t="s">
        <v>253</v>
      </c>
      <c r="BJ1445" s="5" t="s">
        <v>246</v>
      </c>
      <c r="BK1445" s="4" t="s">
        <v>254</v>
      </c>
      <c r="BL1445" s="4" t="s">
        <v>255</v>
      </c>
      <c r="BM1445" s="4" t="s">
        <v>241</v>
      </c>
      <c r="BN1445" s="6">
        <f>0</f>
        <v>0</v>
      </c>
      <c r="BO1445" s="6">
        <f>0</f>
        <v>0</v>
      </c>
      <c r="BP1445" s="4" t="s">
        <v>256</v>
      </c>
      <c r="BQ1445" s="4" t="s">
        <v>257</v>
      </c>
      <c r="CE1445" s="4" t="s">
        <v>241</v>
      </c>
      <c r="CF1445" s="4" t="s">
        <v>241</v>
      </c>
      <c r="CJ1445" s="4" t="s">
        <v>276</v>
      </c>
      <c r="CK1445" s="4" t="s">
        <v>259</v>
      </c>
      <c r="CL1445" s="4" t="s">
        <v>241</v>
      </c>
      <c r="CO1445" s="5" t="s">
        <v>260</v>
      </c>
      <c r="CP1445" s="4" t="s">
        <v>241</v>
      </c>
      <c r="CQ1445" s="4" t="s">
        <v>261</v>
      </c>
      <c r="CR1445" s="4" t="s">
        <v>241</v>
      </c>
      <c r="CS1445" s="4" t="s">
        <v>241</v>
      </c>
      <c r="CT1445" s="4">
        <v>0</v>
      </c>
      <c r="CU1445" s="4" t="s">
        <v>262</v>
      </c>
      <c r="CV1445" s="4" t="s">
        <v>263</v>
      </c>
      <c r="CW1445" s="4" t="s">
        <v>263</v>
      </c>
      <c r="CX1445" s="4" t="s">
        <v>264</v>
      </c>
      <c r="DA1445" s="6">
        <f>1</f>
        <v>1</v>
      </c>
      <c r="DC1445" s="4" t="s">
        <v>277</v>
      </c>
      <c r="DD1445" s="4" t="s">
        <v>241</v>
      </c>
      <c r="DF1445" s="4" t="s">
        <v>277</v>
      </c>
      <c r="DG1445" s="6">
        <f>1310</f>
        <v>1310</v>
      </c>
      <c r="DI1445" s="4" t="s">
        <v>241</v>
      </c>
      <c r="DJ1445" s="4" t="s">
        <v>241</v>
      </c>
      <c r="DK1445" s="4" t="s">
        <v>241</v>
      </c>
      <c r="DL1445" s="4" t="s">
        <v>241</v>
      </c>
      <c r="DP1445" s="4" t="s">
        <v>241</v>
      </c>
      <c r="DQ1445" s="4" t="s">
        <v>241</v>
      </c>
      <c r="DR1445" s="4" t="s">
        <v>241</v>
      </c>
      <c r="DS1445" s="4" t="s">
        <v>241</v>
      </c>
      <c r="DV1445" s="4" t="s">
        <v>278</v>
      </c>
      <c r="DW1445" s="4" t="s">
        <v>2626</v>
      </c>
      <c r="HO1445" s="4" t="s">
        <v>267</v>
      </c>
    </row>
    <row r="1446" spans="1:223" ht="19.5" customHeight="1" x14ac:dyDescent="0.4">
      <c r="A1446" s="4">
        <v>1</v>
      </c>
      <c r="B1446" s="4" t="s">
        <v>239</v>
      </c>
      <c r="C1446" s="4">
        <v>3120</v>
      </c>
      <c r="D1446" s="4">
        <v>1</v>
      </c>
      <c r="E1446" s="4">
        <v>1</v>
      </c>
      <c r="F1446" s="4" t="s">
        <v>268</v>
      </c>
      <c r="G1446" s="4" t="s">
        <v>241</v>
      </c>
      <c r="H1446" s="4" t="s">
        <v>241</v>
      </c>
      <c r="I1446" s="4" t="s">
        <v>272</v>
      </c>
      <c r="J1446" s="4" t="s">
        <v>274</v>
      </c>
      <c r="K1446" s="4" t="s">
        <v>251</v>
      </c>
      <c r="L1446" s="4" t="s">
        <v>269</v>
      </c>
      <c r="M1446" s="5" t="s">
        <v>2618</v>
      </c>
      <c r="N1446" s="6">
        <f>260</f>
        <v>260</v>
      </c>
      <c r="O1446" s="4" t="s">
        <v>265</v>
      </c>
      <c r="P1446" s="6">
        <f>1</f>
        <v>1</v>
      </c>
      <c r="Q1446" s="6">
        <f>0</f>
        <v>0</v>
      </c>
      <c r="S1446" s="6">
        <f>0</f>
        <v>0</v>
      </c>
      <c r="T1446" s="6">
        <f>1</f>
        <v>1</v>
      </c>
      <c r="U1446" s="5" t="s">
        <v>245</v>
      </c>
      <c r="V1446" s="4" t="s">
        <v>270</v>
      </c>
      <c r="W1446" s="4" t="s">
        <v>271</v>
      </c>
      <c r="X1446" s="4" t="s">
        <v>273</v>
      </c>
      <c r="Y1446" s="4" t="s">
        <v>241</v>
      </c>
      <c r="AB1446" s="4" t="s">
        <v>241</v>
      </c>
      <c r="AD1446" s="5" t="s">
        <v>241</v>
      </c>
      <c r="AG1446" s="5" t="s">
        <v>246</v>
      </c>
      <c r="AH1446" s="4" t="s">
        <v>241</v>
      </c>
      <c r="AI1446" s="4" t="s">
        <v>247</v>
      </c>
      <c r="AJ1446" s="4" t="s">
        <v>248</v>
      </c>
      <c r="AZ1446" s="4" t="s">
        <v>249</v>
      </c>
      <c r="BA1446" s="4" t="s">
        <v>241</v>
      </c>
      <c r="BB1446" s="4" t="s">
        <v>250</v>
      </c>
      <c r="BC1446" s="4" t="s">
        <v>241</v>
      </c>
      <c r="BD1446" s="4" t="s">
        <v>252</v>
      </c>
      <c r="BE1446" s="4" t="s">
        <v>241</v>
      </c>
      <c r="BI1446" s="4" t="s">
        <v>253</v>
      </c>
      <c r="BJ1446" s="5" t="s">
        <v>246</v>
      </c>
      <c r="BK1446" s="4" t="s">
        <v>254</v>
      </c>
      <c r="BL1446" s="4" t="s">
        <v>255</v>
      </c>
      <c r="BM1446" s="4" t="s">
        <v>241</v>
      </c>
      <c r="BN1446" s="6">
        <f>0</f>
        <v>0</v>
      </c>
      <c r="BO1446" s="6">
        <f>0</f>
        <v>0</v>
      </c>
      <c r="BP1446" s="4" t="s">
        <v>256</v>
      </c>
      <c r="BQ1446" s="4" t="s">
        <v>257</v>
      </c>
      <c r="CE1446" s="4" t="s">
        <v>241</v>
      </c>
      <c r="CF1446" s="4" t="s">
        <v>241</v>
      </c>
      <c r="CJ1446" s="4" t="s">
        <v>276</v>
      </c>
      <c r="CK1446" s="4" t="s">
        <v>259</v>
      </c>
      <c r="CL1446" s="4" t="s">
        <v>241</v>
      </c>
      <c r="CO1446" s="5" t="s">
        <v>260</v>
      </c>
      <c r="CP1446" s="4" t="s">
        <v>241</v>
      </c>
      <c r="CQ1446" s="4" t="s">
        <v>261</v>
      </c>
      <c r="CR1446" s="4" t="s">
        <v>241</v>
      </c>
      <c r="CS1446" s="4" t="s">
        <v>241</v>
      </c>
      <c r="CT1446" s="4">
        <v>0</v>
      </c>
      <c r="CU1446" s="4" t="s">
        <v>262</v>
      </c>
      <c r="CV1446" s="4" t="s">
        <v>263</v>
      </c>
      <c r="CW1446" s="4" t="s">
        <v>263</v>
      </c>
      <c r="CX1446" s="4" t="s">
        <v>264</v>
      </c>
      <c r="DA1446" s="6">
        <f>1</f>
        <v>1</v>
      </c>
      <c r="DC1446" s="4" t="s">
        <v>277</v>
      </c>
      <c r="DD1446" s="4" t="s">
        <v>241</v>
      </c>
      <c r="DF1446" s="4" t="s">
        <v>277</v>
      </c>
      <c r="DG1446" s="6">
        <f>260</f>
        <v>260</v>
      </c>
      <c r="DI1446" s="4" t="s">
        <v>241</v>
      </c>
      <c r="DJ1446" s="4" t="s">
        <v>241</v>
      </c>
      <c r="DK1446" s="4" t="s">
        <v>241</v>
      </c>
      <c r="DL1446" s="4" t="s">
        <v>241</v>
      </c>
      <c r="DP1446" s="4" t="s">
        <v>241</v>
      </c>
      <c r="DQ1446" s="4" t="s">
        <v>241</v>
      </c>
      <c r="DR1446" s="4" t="s">
        <v>241</v>
      </c>
      <c r="DS1446" s="4" t="s">
        <v>241</v>
      </c>
      <c r="DV1446" s="4" t="s">
        <v>278</v>
      </c>
      <c r="DW1446" s="4" t="s">
        <v>2619</v>
      </c>
      <c r="HO1446" s="4" t="s">
        <v>267</v>
      </c>
    </row>
    <row r="1447" spans="1:223" ht="19.5" customHeight="1" x14ac:dyDescent="0.4">
      <c r="A1447" s="4">
        <v>1</v>
      </c>
      <c r="B1447" s="4" t="s">
        <v>239</v>
      </c>
      <c r="C1447" s="4">
        <v>3121</v>
      </c>
      <c r="D1447" s="4">
        <v>1</v>
      </c>
      <c r="E1447" s="4">
        <v>1</v>
      </c>
      <c r="F1447" s="4" t="s">
        <v>268</v>
      </c>
      <c r="G1447" s="4" t="s">
        <v>241</v>
      </c>
      <c r="H1447" s="4" t="s">
        <v>241</v>
      </c>
      <c r="I1447" s="4" t="s">
        <v>272</v>
      </c>
      <c r="J1447" s="4" t="s">
        <v>274</v>
      </c>
      <c r="K1447" s="4" t="s">
        <v>251</v>
      </c>
      <c r="L1447" s="4" t="s">
        <v>269</v>
      </c>
      <c r="M1447" s="5" t="s">
        <v>2616</v>
      </c>
      <c r="N1447" s="6">
        <f>889</f>
        <v>889</v>
      </c>
      <c r="O1447" s="4" t="s">
        <v>265</v>
      </c>
      <c r="P1447" s="6">
        <f>1</f>
        <v>1</v>
      </c>
      <c r="Q1447" s="6">
        <f>0</f>
        <v>0</v>
      </c>
      <c r="S1447" s="6">
        <f>0</f>
        <v>0</v>
      </c>
      <c r="T1447" s="6">
        <f>1</f>
        <v>1</v>
      </c>
      <c r="U1447" s="5" t="s">
        <v>245</v>
      </c>
      <c r="V1447" s="4" t="s">
        <v>270</v>
      </c>
      <c r="W1447" s="4" t="s">
        <v>271</v>
      </c>
      <c r="X1447" s="4" t="s">
        <v>273</v>
      </c>
      <c r="Y1447" s="4" t="s">
        <v>241</v>
      </c>
      <c r="AB1447" s="4" t="s">
        <v>241</v>
      </c>
      <c r="AD1447" s="5" t="s">
        <v>241</v>
      </c>
      <c r="AG1447" s="5" t="s">
        <v>246</v>
      </c>
      <c r="AH1447" s="4" t="s">
        <v>241</v>
      </c>
      <c r="AI1447" s="4" t="s">
        <v>247</v>
      </c>
      <c r="AJ1447" s="4" t="s">
        <v>248</v>
      </c>
      <c r="AZ1447" s="4" t="s">
        <v>249</v>
      </c>
      <c r="BA1447" s="4" t="s">
        <v>241</v>
      </c>
      <c r="BB1447" s="4" t="s">
        <v>250</v>
      </c>
      <c r="BC1447" s="4" t="s">
        <v>241</v>
      </c>
      <c r="BD1447" s="4" t="s">
        <v>252</v>
      </c>
      <c r="BE1447" s="4" t="s">
        <v>241</v>
      </c>
      <c r="BI1447" s="4" t="s">
        <v>253</v>
      </c>
      <c r="BJ1447" s="5" t="s">
        <v>246</v>
      </c>
      <c r="BK1447" s="4" t="s">
        <v>254</v>
      </c>
      <c r="BL1447" s="4" t="s">
        <v>255</v>
      </c>
      <c r="BM1447" s="4" t="s">
        <v>241</v>
      </c>
      <c r="BN1447" s="6">
        <f>0</f>
        <v>0</v>
      </c>
      <c r="BO1447" s="6">
        <f>0</f>
        <v>0</v>
      </c>
      <c r="BP1447" s="4" t="s">
        <v>256</v>
      </c>
      <c r="BQ1447" s="4" t="s">
        <v>257</v>
      </c>
      <c r="CE1447" s="4" t="s">
        <v>241</v>
      </c>
      <c r="CF1447" s="4" t="s">
        <v>241</v>
      </c>
      <c r="CJ1447" s="4" t="s">
        <v>276</v>
      </c>
      <c r="CK1447" s="4" t="s">
        <v>259</v>
      </c>
      <c r="CL1447" s="4" t="s">
        <v>241</v>
      </c>
      <c r="CO1447" s="5" t="s">
        <v>260</v>
      </c>
      <c r="CP1447" s="4" t="s">
        <v>241</v>
      </c>
      <c r="CQ1447" s="4" t="s">
        <v>261</v>
      </c>
      <c r="CR1447" s="4" t="s">
        <v>241</v>
      </c>
      <c r="CS1447" s="4" t="s">
        <v>241</v>
      </c>
      <c r="CT1447" s="4">
        <v>0</v>
      </c>
      <c r="CU1447" s="4" t="s">
        <v>262</v>
      </c>
      <c r="CV1447" s="4" t="s">
        <v>263</v>
      </c>
      <c r="CW1447" s="4" t="s">
        <v>263</v>
      </c>
      <c r="CX1447" s="4" t="s">
        <v>264</v>
      </c>
      <c r="DA1447" s="6">
        <f>1</f>
        <v>1</v>
      </c>
      <c r="DC1447" s="4" t="s">
        <v>277</v>
      </c>
      <c r="DD1447" s="4" t="s">
        <v>241</v>
      </c>
      <c r="DF1447" s="4" t="s">
        <v>277</v>
      </c>
      <c r="DG1447" s="6">
        <f>889</f>
        <v>889</v>
      </c>
      <c r="DI1447" s="4" t="s">
        <v>241</v>
      </c>
      <c r="DJ1447" s="4" t="s">
        <v>241</v>
      </c>
      <c r="DK1447" s="4" t="s">
        <v>241</v>
      </c>
      <c r="DL1447" s="4" t="s">
        <v>241</v>
      </c>
      <c r="DP1447" s="4" t="s">
        <v>241</v>
      </c>
      <c r="DQ1447" s="4" t="s">
        <v>241</v>
      </c>
      <c r="DR1447" s="4" t="s">
        <v>241</v>
      </c>
      <c r="DS1447" s="4" t="s">
        <v>241</v>
      </c>
      <c r="DV1447" s="4" t="s">
        <v>278</v>
      </c>
      <c r="DW1447" s="4" t="s">
        <v>2617</v>
      </c>
      <c r="HO1447" s="4" t="s">
        <v>267</v>
      </c>
    </row>
    <row r="1448" spans="1:223" ht="19.5" customHeight="1" x14ac:dyDescent="0.4">
      <c r="A1448" s="4">
        <v>1</v>
      </c>
      <c r="B1448" s="4" t="s">
        <v>239</v>
      </c>
      <c r="C1448" s="4">
        <v>3122</v>
      </c>
      <c r="D1448" s="4">
        <v>1</v>
      </c>
      <c r="E1448" s="4">
        <v>1</v>
      </c>
      <c r="F1448" s="4" t="s">
        <v>268</v>
      </c>
      <c r="G1448" s="4" t="s">
        <v>241</v>
      </c>
      <c r="H1448" s="4" t="s">
        <v>241</v>
      </c>
      <c r="I1448" s="4" t="s">
        <v>272</v>
      </c>
      <c r="J1448" s="4" t="s">
        <v>274</v>
      </c>
      <c r="K1448" s="4" t="s">
        <v>251</v>
      </c>
      <c r="L1448" s="4" t="s">
        <v>269</v>
      </c>
      <c r="M1448" s="5" t="s">
        <v>2614</v>
      </c>
      <c r="N1448" s="6">
        <f>2172</f>
        <v>2172</v>
      </c>
      <c r="O1448" s="4" t="s">
        <v>265</v>
      </c>
      <c r="P1448" s="6">
        <f>1</f>
        <v>1</v>
      </c>
      <c r="Q1448" s="6">
        <f>0</f>
        <v>0</v>
      </c>
      <c r="S1448" s="6">
        <f>0</f>
        <v>0</v>
      </c>
      <c r="T1448" s="6">
        <f>1</f>
        <v>1</v>
      </c>
      <c r="U1448" s="5" t="s">
        <v>245</v>
      </c>
      <c r="V1448" s="4" t="s">
        <v>270</v>
      </c>
      <c r="W1448" s="4" t="s">
        <v>271</v>
      </c>
      <c r="X1448" s="4" t="s">
        <v>273</v>
      </c>
      <c r="Y1448" s="4" t="s">
        <v>241</v>
      </c>
      <c r="AB1448" s="4" t="s">
        <v>241</v>
      </c>
      <c r="AD1448" s="5" t="s">
        <v>241</v>
      </c>
      <c r="AG1448" s="5" t="s">
        <v>246</v>
      </c>
      <c r="AH1448" s="4" t="s">
        <v>241</v>
      </c>
      <c r="AI1448" s="4" t="s">
        <v>247</v>
      </c>
      <c r="AJ1448" s="4" t="s">
        <v>248</v>
      </c>
      <c r="AZ1448" s="4" t="s">
        <v>249</v>
      </c>
      <c r="BA1448" s="4" t="s">
        <v>241</v>
      </c>
      <c r="BB1448" s="4" t="s">
        <v>250</v>
      </c>
      <c r="BC1448" s="4" t="s">
        <v>241</v>
      </c>
      <c r="BD1448" s="4" t="s">
        <v>252</v>
      </c>
      <c r="BE1448" s="4" t="s">
        <v>241</v>
      </c>
      <c r="BI1448" s="4" t="s">
        <v>253</v>
      </c>
      <c r="BJ1448" s="5" t="s">
        <v>246</v>
      </c>
      <c r="BK1448" s="4" t="s">
        <v>254</v>
      </c>
      <c r="BL1448" s="4" t="s">
        <v>255</v>
      </c>
      <c r="BM1448" s="4" t="s">
        <v>241</v>
      </c>
      <c r="BN1448" s="6">
        <f>0</f>
        <v>0</v>
      </c>
      <c r="BO1448" s="6">
        <f>0</f>
        <v>0</v>
      </c>
      <c r="BP1448" s="4" t="s">
        <v>256</v>
      </c>
      <c r="BQ1448" s="4" t="s">
        <v>257</v>
      </c>
      <c r="CE1448" s="4" t="s">
        <v>241</v>
      </c>
      <c r="CF1448" s="4" t="s">
        <v>241</v>
      </c>
      <c r="CJ1448" s="4" t="s">
        <v>276</v>
      </c>
      <c r="CK1448" s="4" t="s">
        <v>259</v>
      </c>
      <c r="CL1448" s="4" t="s">
        <v>241</v>
      </c>
      <c r="CO1448" s="5" t="s">
        <v>260</v>
      </c>
      <c r="CP1448" s="4" t="s">
        <v>241</v>
      </c>
      <c r="CQ1448" s="4" t="s">
        <v>261</v>
      </c>
      <c r="CR1448" s="4" t="s">
        <v>241</v>
      </c>
      <c r="CS1448" s="4" t="s">
        <v>241</v>
      </c>
      <c r="CT1448" s="4">
        <v>0</v>
      </c>
      <c r="CU1448" s="4" t="s">
        <v>262</v>
      </c>
      <c r="CV1448" s="4" t="s">
        <v>263</v>
      </c>
      <c r="CW1448" s="4" t="s">
        <v>263</v>
      </c>
      <c r="CX1448" s="4" t="s">
        <v>264</v>
      </c>
      <c r="DA1448" s="6">
        <f>1</f>
        <v>1</v>
      </c>
      <c r="DC1448" s="4" t="s">
        <v>277</v>
      </c>
      <c r="DD1448" s="4" t="s">
        <v>241</v>
      </c>
      <c r="DF1448" s="4" t="s">
        <v>277</v>
      </c>
      <c r="DG1448" s="6">
        <f>2172</f>
        <v>2172</v>
      </c>
      <c r="DI1448" s="4" t="s">
        <v>241</v>
      </c>
      <c r="DJ1448" s="4" t="s">
        <v>241</v>
      </c>
      <c r="DK1448" s="4" t="s">
        <v>241</v>
      </c>
      <c r="DL1448" s="4" t="s">
        <v>241</v>
      </c>
      <c r="DP1448" s="4" t="s">
        <v>241</v>
      </c>
      <c r="DQ1448" s="4" t="s">
        <v>241</v>
      </c>
      <c r="DR1448" s="4" t="s">
        <v>241</v>
      </c>
      <c r="DS1448" s="4" t="s">
        <v>241</v>
      </c>
      <c r="DV1448" s="4" t="s">
        <v>278</v>
      </c>
      <c r="DW1448" s="4" t="s">
        <v>2615</v>
      </c>
      <c r="HO1448" s="4" t="s">
        <v>267</v>
      </c>
    </row>
    <row r="1449" spans="1:223" ht="19.5" customHeight="1" x14ac:dyDescent="0.4">
      <c r="A1449" s="4">
        <v>1</v>
      </c>
      <c r="B1449" s="4" t="s">
        <v>239</v>
      </c>
      <c r="C1449" s="4">
        <v>3123</v>
      </c>
      <c r="D1449" s="4">
        <v>1</v>
      </c>
      <c r="E1449" s="4">
        <v>1</v>
      </c>
      <c r="F1449" s="4" t="s">
        <v>268</v>
      </c>
      <c r="G1449" s="4" t="s">
        <v>241</v>
      </c>
      <c r="H1449" s="4" t="s">
        <v>241</v>
      </c>
      <c r="I1449" s="4" t="s">
        <v>272</v>
      </c>
      <c r="J1449" s="4" t="s">
        <v>274</v>
      </c>
      <c r="K1449" s="4" t="s">
        <v>251</v>
      </c>
      <c r="L1449" s="4" t="s">
        <v>269</v>
      </c>
      <c r="M1449" s="5" t="s">
        <v>2612</v>
      </c>
      <c r="N1449" s="6">
        <f>357</f>
        <v>357</v>
      </c>
      <c r="O1449" s="4" t="s">
        <v>265</v>
      </c>
      <c r="P1449" s="6">
        <f>1</f>
        <v>1</v>
      </c>
      <c r="Q1449" s="6">
        <f>0</f>
        <v>0</v>
      </c>
      <c r="S1449" s="6">
        <f>0</f>
        <v>0</v>
      </c>
      <c r="T1449" s="6">
        <f>1</f>
        <v>1</v>
      </c>
      <c r="U1449" s="5" t="s">
        <v>245</v>
      </c>
      <c r="V1449" s="4" t="s">
        <v>270</v>
      </c>
      <c r="W1449" s="4" t="s">
        <v>271</v>
      </c>
      <c r="X1449" s="4" t="s">
        <v>273</v>
      </c>
      <c r="Y1449" s="4" t="s">
        <v>241</v>
      </c>
      <c r="AB1449" s="4" t="s">
        <v>241</v>
      </c>
      <c r="AD1449" s="5" t="s">
        <v>241</v>
      </c>
      <c r="AG1449" s="5" t="s">
        <v>246</v>
      </c>
      <c r="AH1449" s="4" t="s">
        <v>241</v>
      </c>
      <c r="AI1449" s="4" t="s">
        <v>247</v>
      </c>
      <c r="AJ1449" s="4" t="s">
        <v>248</v>
      </c>
      <c r="AZ1449" s="4" t="s">
        <v>249</v>
      </c>
      <c r="BA1449" s="4" t="s">
        <v>241</v>
      </c>
      <c r="BB1449" s="4" t="s">
        <v>250</v>
      </c>
      <c r="BC1449" s="4" t="s">
        <v>241</v>
      </c>
      <c r="BD1449" s="4" t="s">
        <v>252</v>
      </c>
      <c r="BE1449" s="4" t="s">
        <v>241</v>
      </c>
      <c r="BI1449" s="4" t="s">
        <v>253</v>
      </c>
      <c r="BJ1449" s="5" t="s">
        <v>246</v>
      </c>
      <c r="BK1449" s="4" t="s">
        <v>254</v>
      </c>
      <c r="BL1449" s="4" t="s">
        <v>255</v>
      </c>
      <c r="BM1449" s="4" t="s">
        <v>241</v>
      </c>
      <c r="BN1449" s="6">
        <f>0</f>
        <v>0</v>
      </c>
      <c r="BO1449" s="6">
        <f>0</f>
        <v>0</v>
      </c>
      <c r="BP1449" s="4" t="s">
        <v>256</v>
      </c>
      <c r="BQ1449" s="4" t="s">
        <v>257</v>
      </c>
      <c r="CE1449" s="4" t="s">
        <v>241</v>
      </c>
      <c r="CF1449" s="4" t="s">
        <v>241</v>
      </c>
      <c r="CJ1449" s="4" t="s">
        <v>276</v>
      </c>
      <c r="CK1449" s="4" t="s">
        <v>259</v>
      </c>
      <c r="CL1449" s="4" t="s">
        <v>241</v>
      </c>
      <c r="CO1449" s="5" t="s">
        <v>260</v>
      </c>
      <c r="CP1449" s="4" t="s">
        <v>241</v>
      </c>
      <c r="CQ1449" s="4" t="s">
        <v>261</v>
      </c>
      <c r="CR1449" s="4" t="s">
        <v>241</v>
      </c>
      <c r="CS1449" s="4" t="s">
        <v>241</v>
      </c>
      <c r="CT1449" s="4">
        <v>0</v>
      </c>
      <c r="CU1449" s="4" t="s">
        <v>262</v>
      </c>
      <c r="CV1449" s="4" t="s">
        <v>263</v>
      </c>
      <c r="CW1449" s="4" t="s">
        <v>263</v>
      </c>
      <c r="CX1449" s="4" t="s">
        <v>264</v>
      </c>
      <c r="DA1449" s="6">
        <f>1</f>
        <v>1</v>
      </c>
      <c r="DC1449" s="4" t="s">
        <v>277</v>
      </c>
      <c r="DD1449" s="4" t="s">
        <v>241</v>
      </c>
      <c r="DF1449" s="4" t="s">
        <v>277</v>
      </c>
      <c r="DG1449" s="6">
        <f>357</f>
        <v>357</v>
      </c>
      <c r="DI1449" s="4" t="s">
        <v>241</v>
      </c>
      <c r="DJ1449" s="4" t="s">
        <v>241</v>
      </c>
      <c r="DK1449" s="4" t="s">
        <v>241</v>
      </c>
      <c r="DL1449" s="4" t="s">
        <v>241</v>
      </c>
      <c r="DP1449" s="4" t="s">
        <v>241</v>
      </c>
      <c r="DQ1449" s="4" t="s">
        <v>241</v>
      </c>
      <c r="DR1449" s="4" t="s">
        <v>241</v>
      </c>
      <c r="DS1449" s="4" t="s">
        <v>241</v>
      </c>
      <c r="DV1449" s="4" t="s">
        <v>278</v>
      </c>
      <c r="DW1449" s="4" t="s">
        <v>2613</v>
      </c>
      <c r="HO1449" s="4" t="s">
        <v>267</v>
      </c>
    </row>
    <row r="1450" spans="1:223" ht="19.5" customHeight="1" x14ac:dyDescent="0.4">
      <c r="A1450" s="4">
        <v>1</v>
      </c>
      <c r="B1450" s="4" t="s">
        <v>239</v>
      </c>
      <c r="C1450" s="4">
        <v>3124</v>
      </c>
      <c r="D1450" s="4">
        <v>1</v>
      </c>
      <c r="E1450" s="4">
        <v>1</v>
      </c>
      <c r="F1450" s="4" t="s">
        <v>268</v>
      </c>
      <c r="G1450" s="4" t="s">
        <v>241</v>
      </c>
      <c r="H1450" s="4" t="s">
        <v>241</v>
      </c>
      <c r="I1450" s="4" t="s">
        <v>272</v>
      </c>
      <c r="J1450" s="4" t="s">
        <v>274</v>
      </c>
      <c r="K1450" s="4" t="s">
        <v>251</v>
      </c>
      <c r="L1450" s="4" t="s">
        <v>269</v>
      </c>
      <c r="M1450" s="5" t="s">
        <v>2610</v>
      </c>
      <c r="N1450" s="6">
        <f>1250</f>
        <v>1250</v>
      </c>
      <c r="O1450" s="4" t="s">
        <v>265</v>
      </c>
      <c r="P1450" s="6">
        <f>1</f>
        <v>1</v>
      </c>
      <c r="Q1450" s="6">
        <f>0</f>
        <v>0</v>
      </c>
      <c r="S1450" s="6">
        <f>0</f>
        <v>0</v>
      </c>
      <c r="T1450" s="6">
        <f>1</f>
        <v>1</v>
      </c>
      <c r="U1450" s="5" t="s">
        <v>245</v>
      </c>
      <c r="V1450" s="4" t="s">
        <v>270</v>
      </c>
      <c r="W1450" s="4" t="s">
        <v>271</v>
      </c>
      <c r="X1450" s="4" t="s">
        <v>273</v>
      </c>
      <c r="Y1450" s="4" t="s">
        <v>241</v>
      </c>
      <c r="AB1450" s="4" t="s">
        <v>241</v>
      </c>
      <c r="AD1450" s="5" t="s">
        <v>241</v>
      </c>
      <c r="AG1450" s="5" t="s">
        <v>246</v>
      </c>
      <c r="AH1450" s="4" t="s">
        <v>241</v>
      </c>
      <c r="AI1450" s="4" t="s">
        <v>247</v>
      </c>
      <c r="AJ1450" s="4" t="s">
        <v>248</v>
      </c>
      <c r="AZ1450" s="4" t="s">
        <v>249</v>
      </c>
      <c r="BA1450" s="4" t="s">
        <v>241</v>
      </c>
      <c r="BB1450" s="4" t="s">
        <v>250</v>
      </c>
      <c r="BC1450" s="4" t="s">
        <v>241</v>
      </c>
      <c r="BD1450" s="4" t="s">
        <v>252</v>
      </c>
      <c r="BE1450" s="4" t="s">
        <v>241</v>
      </c>
      <c r="BI1450" s="4" t="s">
        <v>253</v>
      </c>
      <c r="BJ1450" s="5" t="s">
        <v>246</v>
      </c>
      <c r="BK1450" s="4" t="s">
        <v>254</v>
      </c>
      <c r="BL1450" s="4" t="s">
        <v>255</v>
      </c>
      <c r="BM1450" s="4" t="s">
        <v>241</v>
      </c>
      <c r="BN1450" s="6">
        <f>0</f>
        <v>0</v>
      </c>
      <c r="BO1450" s="6">
        <f>0</f>
        <v>0</v>
      </c>
      <c r="BP1450" s="4" t="s">
        <v>256</v>
      </c>
      <c r="BQ1450" s="4" t="s">
        <v>257</v>
      </c>
      <c r="CE1450" s="4" t="s">
        <v>241</v>
      </c>
      <c r="CF1450" s="4" t="s">
        <v>241</v>
      </c>
      <c r="CJ1450" s="4" t="s">
        <v>276</v>
      </c>
      <c r="CK1450" s="4" t="s">
        <v>259</v>
      </c>
      <c r="CL1450" s="4" t="s">
        <v>241</v>
      </c>
      <c r="CO1450" s="5" t="s">
        <v>260</v>
      </c>
      <c r="CP1450" s="4" t="s">
        <v>241</v>
      </c>
      <c r="CQ1450" s="4" t="s">
        <v>261</v>
      </c>
      <c r="CR1450" s="4" t="s">
        <v>241</v>
      </c>
      <c r="CS1450" s="4" t="s">
        <v>241</v>
      </c>
      <c r="CT1450" s="4">
        <v>0</v>
      </c>
      <c r="CU1450" s="4" t="s">
        <v>262</v>
      </c>
      <c r="CV1450" s="4" t="s">
        <v>263</v>
      </c>
      <c r="CW1450" s="4" t="s">
        <v>263</v>
      </c>
      <c r="CX1450" s="4" t="s">
        <v>264</v>
      </c>
      <c r="DA1450" s="6">
        <f>1</f>
        <v>1</v>
      </c>
      <c r="DC1450" s="4" t="s">
        <v>277</v>
      </c>
      <c r="DD1450" s="4" t="s">
        <v>241</v>
      </c>
      <c r="DF1450" s="4" t="s">
        <v>277</v>
      </c>
      <c r="DG1450" s="6">
        <f>1250</f>
        <v>1250</v>
      </c>
      <c r="DI1450" s="4" t="s">
        <v>241</v>
      </c>
      <c r="DJ1450" s="4" t="s">
        <v>241</v>
      </c>
      <c r="DK1450" s="4" t="s">
        <v>241</v>
      </c>
      <c r="DL1450" s="4" t="s">
        <v>241</v>
      </c>
      <c r="DP1450" s="4" t="s">
        <v>241</v>
      </c>
      <c r="DQ1450" s="4" t="s">
        <v>241</v>
      </c>
      <c r="DR1450" s="4" t="s">
        <v>241</v>
      </c>
      <c r="DS1450" s="4" t="s">
        <v>241</v>
      </c>
      <c r="DV1450" s="4" t="s">
        <v>278</v>
      </c>
      <c r="DW1450" s="4" t="s">
        <v>2611</v>
      </c>
      <c r="HO1450" s="4" t="s">
        <v>267</v>
      </c>
    </row>
    <row r="1451" spans="1:223" ht="19.5" customHeight="1" x14ac:dyDescent="0.4">
      <c r="A1451" s="4">
        <v>1</v>
      </c>
      <c r="B1451" s="4" t="s">
        <v>239</v>
      </c>
      <c r="C1451" s="4">
        <v>3125</v>
      </c>
      <c r="D1451" s="4">
        <v>1</v>
      </c>
      <c r="E1451" s="4">
        <v>1</v>
      </c>
      <c r="F1451" s="4" t="s">
        <v>268</v>
      </c>
      <c r="G1451" s="4" t="s">
        <v>241</v>
      </c>
      <c r="H1451" s="4" t="s">
        <v>241</v>
      </c>
      <c r="I1451" s="4" t="s">
        <v>272</v>
      </c>
      <c r="J1451" s="4" t="s">
        <v>274</v>
      </c>
      <c r="K1451" s="4" t="s">
        <v>251</v>
      </c>
      <c r="L1451" s="4" t="s">
        <v>269</v>
      </c>
      <c r="M1451" s="5" t="s">
        <v>2604</v>
      </c>
      <c r="N1451" s="6">
        <f>4257</f>
        <v>4257</v>
      </c>
      <c r="O1451" s="4" t="s">
        <v>265</v>
      </c>
      <c r="P1451" s="6">
        <f>1</f>
        <v>1</v>
      </c>
      <c r="Q1451" s="6">
        <f>0</f>
        <v>0</v>
      </c>
      <c r="S1451" s="6">
        <f>0</f>
        <v>0</v>
      </c>
      <c r="T1451" s="6">
        <f>1</f>
        <v>1</v>
      </c>
      <c r="U1451" s="5" t="s">
        <v>245</v>
      </c>
      <c r="V1451" s="4" t="s">
        <v>270</v>
      </c>
      <c r="W1451" s="4" t="s">
        <v>271</v>
      </c>
      <c r="X1451" s="4" t="s">
        <v>273</v>
      </c>
      <c r="Y1451" s="4" t="s">
        <v>241</v>
      </c>
      <c r="AB1451" s="4" t="s">
        <v>241</v>
      </c>
      <c r="AD1451" s="5" t="s">
        <v>241</v>
      </c>
      <c r="AG1451" s="5" t="s">
        <v>246</v>
      </c>
      <c r="AH1451" s="4" t="s">
        <v>241</v>
      </c>
      <c r="AI1451" s="4" t="s">
        <v>247</v>
      </c>
      <c r="AJ1451" s="4" t="s">
        <v>248</v>
      </c>
      <c r="AZ1451" s="4" t="s">
        <v>249</v>
      </c>
      <c r="BA1451" s="4" t="s">
        <v>241</v>
      </c>
      <c r="BB1451" s="4" t="s">
        <v>250</v>
      </c>
      <c r="BC1451" s="4" t="s">
        <v>241</v>
      </c>
      <c r="BD1451" s="4" t="s">
        <v>252</v>
      </c>
      <c r="BE1451" s="4" t="s">
        <v>241</v>
      </c>
      <c r="BI1451" s="4" t="s">
        <v>253</v>
      </c>
      <c r="BJ1451" s="5" t="s">
        <v>246</v>
      </c>
      <c r="BK1451" s="4" t="s">
        <v>254</v>
      </c>
      <c r="BL1451" s="4" t="s">
        <v>255</v>
      </c>
      <c r="BM1451" s="4" t="s">
        <v>241</v>
      </c>
      <c r="BN1451" s="6">
        <f>0</f>
        <v>0</v>
      </c>
      <c r="BO1451" s="6">
        <f>0</f>
        <v>0</v>
      </c>
      <c r="BP1451" s="4" t="s">
        <v>256</v>
      </c>
      <c r="BQ1451" s="4" t="s">
        <v>257</v>
      </c>
      <c r="CE1451" s="4" t="s">
        <v>241</v>
      </c>
      <c r="CF1451" s="4" t="s">
        <v>241</v>
      </c>
      <c r="CJ1451" s="4" t="s">
        <v>276</v>
      </c>
      <c r="CK1451" s="4" t="s">
        <v>259</v>
      </c>
      <c r="CL1451" s="4" t="s">
        <v>241</v>
      </c>
      <c r="CO1451" s="5" t="s">
        <v>260</v>
      </c>
      <c r="CP1451" s="4" t="s">
        <v>241</v>
      </c>
      <c r="CQ1451" s="4" t="s">
        <v>261</v>
      </c>
      <c r="CR1451" s="4" t="s">
        <v>241</v>
      </c>
      <c r="CS1451" s="4" t="s">
        <v>241</v>
      </c>
      <c r="CT1451" s="4">
        <v>0</v>
      </c>
      <c r="CU1451" s="4" t="s">
        <v>262</v>
      </c>
      <c r="CV1451" s="4" t="s">
        <v>263</v>
      </c>
      <c r="CW1451" s="4" t="s">
        <v>263</v>
      </c>
      <c r="CX1451" s="4" t="s">
        <v>264</v>
      </c>
      <c r="DA1451" s="6">
        <f>1</f>
        <v>1</v>
      </c>
      <c r="DC1451" s="4" t="s">
        <v>277</v>
      </c>
      <c r="DD1451" s="4" t="s">
        <v>241</v>
      </c>
      <c r="DF1451" s="4" t="s">
        <v>277</v>
      </c>
      <c r="DG1451" s="6">
        <f>4257</f>
        <v>4257</v>
      </c>
      <c r="DI1451" s="4" t="s">
        <v>241</v>
      </c>
      <c r="DJ1451" s="4" t="s">
        <v>241</v>
      </c>
      <c r="DK1451" s="4" t="s">
        <v>241</v>
      </c>
      <c r="DL1451" s="4" t="s">
        <v>241</v>
      </c>
      <c r="DP1451" s="4" t="s">
        <v>241</v>
      </c>
      <c r="DQ1451" s="4" t="s">
        <v>241</v>
      </c>
      <c r="DR1451" s="4" t="s">
        <v>241</v>
      </c>
      <c r="DS1451" s="4" t="s">
        <v>241</v>
      </c>
      <c r="DV1451" s="4" t="s">
        <v>278</v>
      </c>
      <c r="DW1451" s="4" t="s">
        <v>2605</v>
      </c>
      <c r="HO1451" s="4" t="s">
        <v>267</v>
      </c>
    </row>
    <row r="1452" spans="1:223" ht="19.5" customHeight="1" x14ac:dyDescent="0.4">
      <c r="A1452" s="4">
        <v>1</v>
      </c>
      <c r="B1452" s="4" t="s">
        <v>239</v>
      </c>
      <c r="C1452" s="4">
        <v>3126</v>
      </c>
      <c r="D1452" s="4">
        <v>1</v>
      </c>
      <c r="E1452" s="4">
        <v>1</v>
      </c>
      <c r="F1452" s="4" t="s">
        <v>268</v>
      </c>
      <c r="G1452" s="4" t="s">
        <v>241</v>
      </c>
      <c r="H1452" s="4" t="s">
        <v>241</v>
      </c>
      <c r="I1452" s="4" t="s">
        <v>272</v>
      </c>
      <c r="J1452" s="4" t="s">
        <v>274</v>
      </c>
      <c r="K1452" s="4" t="s">
        <v>251</v>
      </c>
      <c r="L1452" s="4" t="s">
        <v>269</v>
      </c>
      <c r="M1452" s="5" t="s">
        <v>2602</v>
      </c>
      <c r="N1452" s="6">
        <f>3590</f>
        <v>3590</v>
      </c>
      <c r="O1452" s="4" t="s">
        <v>265</v>
      </c>
      <c r="P1452" s="6">
        <f>1</f>
        <v>1</v>
      </c>
      <c r="Q1452" s="6">
        <f>0</f>
        <v>0</v>
      </c>
      <c r="S1452" s="6">
        <f>0</f>
        <v>0</v>
      </c>
      <c r="T1452" s="6">
        <f>1</f>
        <v>1</v>
      </c>
      <c r="U1452" s="5" t="s">
        <v>245</v>
      </c>
      <c r="V1452" s="4" t="s">
        <v>270</v>
      </c>
      <c r="W1452" s="4" t="s">
        <v>271</v>
      </c>
      <c r="X1452" s="4" t="s">
        <v>273</v>
      </c>
      <c r="Y1452" s="4" t="s">
        <v>241</v>
      </c>
      <c r="AB1452" s="4" t="s">
        <v>241</v>
      </c>
      <c r="AD1452" s="5" t="s">
        <v>241</v>
      </c>
      <c r="AG1452" s="5" t="s">
        <v>246</v>
      </c>
      <c r="AH1452" s="4" t="s">
        <v>241</v>
      </c>
      <c r="AI1452" s="4" t="s">
        <v>247</v>
      </c>
      <c r="AJ1452" s="4" t="s">
        <v>248</v>
      </c>
      <c r="AZ1452" s="4" t="s">
        <v>249</v>
      </c>
      <c r="BA1452" s="4" t="s">
        <v>241</v>
      </c>
      <c r="BB1452" s="4" t="s">
        <v>250</v>
      </c>
      <c r="BC1452" s="4" t="s">
        <v>241</v>
      </c>
      <c r="BD1452" s="4" t="s">
        <v>252</v>
      </c>
      <c r="BE1452" s="4" t="s">
        <v>241</v>
      </c>
      <c r="BI1452" s="4" t="s">
        <v>253</v>
      </c>
      <c r="BJ1452" s="5" t="s">
        <v>246</v>
      </c>
      <c r="BK1452" s="4" t="s">
        <v>254</v>
      </c>
      <c r="BL1452" s="4" t="s">
        <v>255</v>
      </c>
      <c r="BM1452" s="4" t="s">
        <v>241</v>
      </c>
      <c r="BN1452" s="6">
        <f>0</f>
        <v>0</v>
      </c>
      <c r="BO1452" s="6">
        <f>0</f>
        <v>0</v>
      </c>
      <c r="BP1452" s="4" t="s">
        <v>256</v>
      </c>
      <c r="BQ1452" s="4" t="s">
        <v>257</v>
      </c>
      <c r="CE1452" s="4" t="s">
        <v>241</v>
      </c>
      <c r="CF1452" s="4" t="s">
        <v>241</v>
      </c>
      <c r="CJ1452" s="4" t="s">
        <v>276</v>
      </c>
      <c r="CK1452" s="4" t="s">
        <v>259</v>
      </c>
      <c r="CL1452" s="4" t="s">
        <v>241</v>
      </c>
      <c r="CO1452" s="5" t="s">
        <v>260</v>
      </c>
      <c r="CP1452" s="4" t="s">
        <v>241</v>
      </c>
      <c r="CQ1452" s="4" t="s">
        <v>261</v>
      </c>
      <c r="CR1452" s="4" t="s">
        <v>241</v>
      </c>
      <c r="CS1452" s="4" t="s">
        <v>241</v>
      </c>
      <c r="CT1452" s="4">
        <v>0</v>
      </c>
      <c r="CU1452" s="4" t="s">
        <v>262</v>
      </c>
      <c r="CV1452" s="4" t="s">
        <v>263</v>
      </c>
      <c r="CW1452" s="4" t="s">
        <v>263</v>
      </c>
      <c r="CX1452" s="4" t="s">
        <v>264</v>
      </c>
      <c r="DA1452" s="6">
        <f>1</f>
        <v>1</v>
      </c>
      <c r="DC1452" s="4" t="s">
        <v>277</v>
      </c>
      <c r="DD1452" s="4" t="s">
        <v>241</v>
      </c>
      <c r="DF1452" s="4" t="s">
        <v>277</v>
      </c>
      <c r="DG1452" s="6">
        <f>3590</f>
        <v>3590</v>
      </c>
      <c r="DI1452" s="4" t="s">
        <v>241</v>
      </c>
      <c r="DJ1452" s="4" t="s">
        <v>241</v>
      </c>
      <c r="DK1452" s="4" t="s">
        <v>241</v>
      </c>
      <c r="DL1452" s="4" t="s">
        <v>241</v>
      </c>
      <c r="DP1452" s="4" t="s">
        <v>241</v>
      </c>
      <c r="DQ1452" s="4" t="s">
        <v>241</v>
      </c>
      <c r="DR1452" s="4" t="s">
        <v>241</v>
      </c>
      <c r="DS1452" s="4" t="s">
        <v>241</v>
      </c>
      <c r="DV1452" s="4" t="s">
        <v>278</v>
      </c>
      <c r="DW1452" s="4" t="s">
        <v>2603</v>
      </c>
      <c r="HO1452" s="4" t="s">
        <v>267</v>
      </c>
    </row>
    <row r="1453" spans="1:223" ht="19.5" customHeight="1" x14ac:dyDescent="0.4">
      <c r="A1453" s="4">
        <v>1</v>
      </c>
      <c r="B1453" s="4" t="s">
        <v>239</v>
      </c>
      <c r="C1453" s="4">
        <v>3127</v>
      </c>
      <c r="D1453" s="4">
        <v>1</v>
      </c>
      <c r="E1453" s="4">
        <v>1</v>
      </c>
      <c r="F1453" s="4" t="s">
        <v>268</v>
      </c>
      <c r="G1453" s="4" t="s">
        <v>241</v>
      </c>
      <c r="H1453" s="4" t="s">
        <v>241</v>
      </c>
      <c r="I1453" s="4" t="s">
        <v>272</v>
      </c>
      <c r="J1453" s="4" t="s">
        <v>274</v>
      </c>
      <c r="K1453" s="4" t="s">
        <v>251</v>
      </c>
      <c r="L1453" s="4" t="s">
        <v>269</v>
      </c>
      <c r="M1453" s="5" t="s">
        <v>2600</v>
      </c>
      <c r="N1453" s="6">
        <f>325</f>
        <v>325</v>
      </c>
      <c r="O1453" s="4" t="s">
        <v>265</v>
      </c>
      <c r="P1453" s="6">
        <f>1</f>
        <v>1</v>
      </c>
      <c r="Q1453" s="6">
        <f>0</f>
        <v>0</v>
      </c>
      <c r="S1453" s="6">
        <f>0</f>
        <v>0</v>
      </c>
      <c r="T1453" s="6">
        <f>1</f>
        <v>1</v>
      </c>
      <c r="U1453" s="5" t="s">
        <v>245</v>
      </c>
      <c r="V1453" s="4" t="s">
        <v>270</v>
      </c>
      <c r="W1453" s="4" t="s">
        <v>271</v>
      </c>
      <c r="X1453" s="4" t="s">
        <v>273</v>
      </c>
      <c r="Y1453" s="4" t="s">
        <v>241</v>
      </c>
      <c r="AB1453" s="4" t="s">
        <v>241</v>
      </c>
      <c r="AD1453" s="5" t="s">
        <v>241</v>
      </c>
      <c r="AG1453" s="5" t="s">
        <v>246</v>
      </c>
      <c r="AH1453" s="4" t="s">
        <v>241</v>
      </c>
      <c r="AI1453" s="4" t="s">
        <v>247</v>
      </c>
      <c r="AJ1453" s="4" t="s">
        <v>248</v>
      </c>
      <c r="AZ1453" s="4" t="s">
        <v>249</v>
      </c>
      <c r="BA1453" s="4" t="s">
        <v>241</v>
      </c>
      <c r="BB1453" s="4" t="s">
        <v>250</v>
      </c>
      <c r="BC1453" s="4" t="s">
        <v>241</v>
      </c>
      <c r="BD1453" s="4" t="s">
        <v>252</v>
      </c>
      <c r="BE1453" s="4" t="s">
        <v>241</v>
      </c>
      <c r="BI1453" s="4" t="s">
        <v>253</v>
      </c>
      <c r="BJ1453" s="5" t="s">
        <v>246</v>
      </c>
      <c r="BK1453" s="4" t="s">
        <v>254</v>
      </c>
      <c r="BL1453" s="4" t="s">
        <v>255</v>
      </c>
      <c r="BM1453" s="4" t="s">
        <v>241</v>
      </c>
      <c r="BN1453" s="6">
        <f>0</f>
        <v>0</v>
      </c>
      <c r="BO1453" s="6">
        <f>0</f>
        <v>0</v>
      </c>
      <c r="BP1453" s="4" t="s">
        <v>256</v>
      </c>
      <c r="BQ1453" s="4" t="s">
        <v>257</v>
      </c>
      <c r="CE1453" s="4" t="s">
        <v>241</v>
      </c>
      <c r="CF1453" s="4" t="s">
        <v>241</v>
      </c>
      <c r="CJ1453" s="4" t="s">
        <v>276</v>
      </c>
      <c r="CK1453" s="4" t="s">
        <v>259</v>
      </c>
      <c r="CL1453" s="4" t="s">
        <v>241</v>
      </c>
      <c r="CO1453" s="5" t="s">
        <v>260</v>
      </c>
      <c r="CP1453" s="4" t="s">
        <v>241</v>
      </c>
      <c r="CQ1453" s="4" t="s">
        <v>261</v>
      </c>
      <c r="CR1453" s="4" t="s">
        <v>241</v>
      </c>
      <c r="CS1453" s="4" t="s">
        <v>241</v>
      </c>
      <c r="CT1453" s="4">
        <v>0</v>
      </c>
      <c r="CU1453" s="4" t="s">
        <v>262</v>
      </c>
      <c r="CV1453" s="4" t="s">
        <v>263</v>
      </c>
      <c r="CW1453" s="4" t="s">
        <v>263</v>
      </c>
      <c r="CX1453" s="4" t="s">
        <v>264</v>
      </c>
      <c r="DA1453" s="6">
        <f>1</f>
        <v>1</v>
      </c>
      <c r="DC1453" s="4" t="s">
        <v>277</v>
      </c>
      <c r="DD1453" s="4" t="s">
        <v>241</v>
      </c>
      <c r="DF1453" s="4" t="s">
        <v>277</v>
      </c>
      <c r="DG1453" s="6">
        <f>325</f>
        <v>325</v>
      </c>
      <c r="DI1453" s="4" t="s">
        <v>241</v>
      </c>
      <c r="DJ1453" s="4" t="s">
        <v>241</v>
      </c>
      <c r="DK1453" s="4" t="s">
        <v>241</v>
      </c>
      <c r="DL1453" s="4" t="s">
        <v>241</v>
      </c>
      <c r="DP1453" s="4" t="s">
        <v>241</v>
      </c>
      <c r="DQ1453" s="4" t="s">
        <v>241</v>
      </c>
      <c r="DR1453" s="4" t="s">
        <v>241</v>
      </c>
      <c r="DS1453" s="4" t="s">
        <v>241</v>
      </c>
      <c r="DV1453" s="4" t="s">
        <v>278</v>
      </c>
      <c r="DW1453" s="4" t="s">
        <v>2601</v>
      </c>
      <c r="HO1453" s="4" t="s">
        <v>267</v>
      </c>
    </row>
    <row r="1454" spans="1:223" ht="19.5" customHeight="1" x14ac:dyDescent="0.4">
      <c r="A1454" s="4">
        <v>1</v>
      </c>
      <c r="B1454" s="4" t="s">
        <v>239</v>
      </c>
      <c r="C1454" s="4">
        <v>3128</v>
      </c>
      <c r="D1454" s="4">
        <v>1</v>
      </c>
      <c r="E1454" s="4">
        <v>1</v>
      </c>
      <c r="F1454" s="4" t="s">
        <v>268</v>
      </c>
      <c r="G1454" s="4" t="s">
        <v>241</v>
      </c>
      <c r="H1454" s="4" t="s">
        <v>241</v>
      </c>
      <c r="I1454" s="4" t="s">
        <v>272</v>
      </c>
      <c r="J1454" s="4" t="s">
        <v>274</v>
      </c>
      <c r="K1454" s="4" t="s">
        <v>251</v>
      </c>
      <c r="L1454" s="4" t="s">
        <v>269</v>
      </c>
      <c r="M1454" s="5" t="s">
        <v>2598</v>
      </c>
      <c r="N1454" s="6">
        <f>458</f>
        <v>458</v>
      </c>
      <c r="O1454" s="4" t="s">
        <v>265</v>
      </c>
      <c r="P1454" s="6">
        <f>1</f>
        <v>1</v>
      </c>
      <c r="Q1454" s="6">
        <f>0</f>
        <v>0</v>
      </c>
      <c r="S1454" s="6">
        <f>0</f>
        <v>0</v>
      </c>
      <c r="T1454" s="6">
        <f>1</f>
        <v>1</v>
      </c>
      <c r="U1454" s="5" t="s">
        <v>245</v>
      </c>
      <c r="V1454" s="4" t="s">
        <v>270</v>
      </c>
      <c r="W1454" s="4" t="s">
        <v>271</v>
      </c>
      <c r="X1454" s="4" t="s">
        <v>273</v>
      </c>
      <c r="Y1454" s="4" t="s">
        <v>241</v>
      </c>
      <c r="AB1454" s="4" t="s">
        <v>241</v>
      </c>
      <c r="AD1454" s="5" t="s">
        <v>241</v>
      </c>
      <c r="AG1454" s="5" t="s">
        <v>246</v>
      </c>
      <c r="AH1454" s="4" t="s">
        <v>241</v>
      </c>
      <c r="AI1454" s="4" t="s">
        <v>247</v>
      </c>
      <c r="AJ1454" s="4" t="s">
        <v>248</v>
      </c>
      <c r="AZ1454" s="4" t="s">
        <v>249</v>
      </c>
      <c r="BA1454" s="4" t="s">
        <v>241</v>
      </c>
      <c r="BB1454" s="4" t="s">
        <v>250</v>
      </c>
      <c r="BC1454" s="4" t="s">
        <v>241</v>
      </c>
      <c r="BD1454" s="4" t="s">
        <v>252</v>
      </c>
      <c r="BE1454" s="4" t="s">
        <v>241</v>
      </c>
      <c r="BI1454" s="4" t="s">
        <v>253</v>
      </c>
      <c r="BJ1454" s="5" t="s">
        <v>246</v>
      </c>
      <c r="BK1454" s="4" t="s">
        <v>254</v>
      </c>
      <c r="BL1454" s="4" t="s">
        <v>255</v>
      </c>
      <c r="BM1454" s="4" t="s">
        <v>241</v>
      </c>
      <c r="BN1454" s="6">
        <f>0</f>
        <v>0</v>
      </c>
      <c r="BO1454" s="6">
        <f>0</f>
        <v>0</v>
      </c>
      <c r="BP1454" s="4" t="s">
        <v>256</v>
      </c>
      <c r="BQ1454" s="4" t="s">
        <v>257</v>
      </c>
      <c r="CE1454" s="4" t="s">
        <v>241</v>
      </c>
      <c r="CF1454" s="4" t="s">
        <v>241</v>
      </c>
      <c r="CJ1454" s="4" t="s">
        <v>276</v>
      </c>
      <c r="CK1454" s="4" t="s">
        <v>259</v>
      </c>
      <c r="CL1454" s="4" t="s">
        <v>241</v>
      </c>
      <c r="CO1454" s="5" t="s">
        <v>260</v>
      </c>
      <c r="CP1454" s="4" t="s">
        <v>241</v>
      </c>
      <c r="CQ1454" s="4" t="s">
        <v>261</v>
      </c>
      <c r="CR1454" s="4" t="s">
        <v>241</v>
      </c>
      <c r="CS1454" s="4" t="s">
        <v>241</v>
      </c>
      <c r="CT1454" s="4">
        <v>0</v>
      </c>
      <c r="CU1454" s="4" t="s">
        <v>262</v>
      </c>
      <c r="CV1454" s="4" t="s">
        <v>263</v>
      </c>
      <c r="CW1454" s="4" t="s">
        <v>263</v>
      </c>
      <c r="CX1454" s="4" t="s">
        <v>264</v>
      </c>
      <c r="DA1454" s="6">
        <f>1</f>
        <v>1</v>
      </c>
      <c r="DC1454" s="4" t="s">
        <v>277</v>
      </c>
      <c r="DD1454" s="4" t="s">
        <v>241</v>
      </c>
      <c r="DF1454" s="4" t="s">
        <v>277</v>
      </c>
      <c r="DG1454" s="6">
        <f>458</f>
        <v>458</v>
      </c>
      <c r="DI1454" s="4" t="s">
        <v>241</v>
      </c>
      <c r="DJ1454" s="4" t="s">
        <v>241</v>
      </c>
      <c r="DK1454" s="4" t="s">
        <v>241</v>
      </c>
      <c r="DL1454" s="4" t="s">
        <v>241</v>
      </c>
      <c r="DP1454" s="4" t="s">
        <v>241</v>
      </c>
      <c r="DQ1454" s="4" t="s">
        <v>241</v>
      </c>
      <c r="DR1454" s="4" t="s">
        <v>241</v>
      </c>
      <c r="DS1454" s="4" t="s">
        <v>241</v>
      </c>
      <c r="DV1454" s="4" t="s">
        <v>278</v>
      </c>
      <c r="DW1454" s="4" t="s">
        <v>2599</v>
      </c>
      <c r="HO1454" s="4" t="s">
        <v>267</v>
      </c>
    </row>
    <row r="1455" spans="1:223" ht="19.5" customHeight="1" x14ac:dyDescent="0.4">
      <c r="A1455" s="4">
        <v>1</v>
      </c>
      <c r="B1455" s="4" t="s">
        <v>239</v>
      </c>
      <c r="C1455" s="4">
        <v>3129</v>
      </c>
      <c r="D1455" s="4">
        <v>1</v>
      </c>
      <c r="E1455" s="4">
        <v>1</v>
      </c>
      <c r="F1455" s="4" t="s">
        <v>268</v>
      </c>
      <c r="G1455" s="4" t="s">
        <v>241</v>
      </c>
      <c r="H1455" s="4" t="s">
        <v>241</v>
      </c>
      <c r="I1455" s="4" t="s">
        <v>272</v>
      </c>
      <c r="J1455" s="4" t="s">
        <v>274</v>
      </c>
      <c r="K1455" s="4" t="s">
        <v>251</v>
      </c>
      <c r="L1455" s="4" t="s">
        <v>269</v>
      </c>
      <c r="M1455" s="5" t="s">
        <v>2596</v>
      </c>
      <c r="N1455" s="6">
        <f>2497</f>
        <v>2497</v>
      </c>
      <c r="O1455" s="4" t="s">
        <v>265</v>
      </c>
      <c r="P1455" s="6">
        <f>1</f>
        <v>1</v>
      </c>
      <c r="Q1455" s="6">
        <f>0</f>
        <v>0</v>
      </c>
      <c r="S1455" s="6">
        <f>0</f>
        <v>0</v>
      </c>
      <c r="T1455" s="6">
        <f>1</f>
        <v>1</v>
      </c>
      <c r="U1455" s="5" t="s">
        <v>245</v>
      </c>
      <c r="V1455" s="4" t="s">
        <v>270</v>
      </c>
      <c r="W1455" s="4" t="s">
        <v>271</v>
      </c>
      <c r="X1455" s="4" t="s">
        <v>273</v>
      </c>
      <c r="Y1455" s="4" t="s">
        <v>241</v>
      </c>
      <c r="AB1455" s="4" t="s">
        <v>241</v>
      </c>
      <c r="AD1455" s="5" t="s">
        <v>241</v>
      </c>
      <c r="AG1455" s="5" t="s">
        <v>246</v>
      </c>
      <c r="AH1455" s="4" t="s">
        <v>241</v>
      </c>
      <c r="AI1455" s="4" t="s">
        <v>247</v>
      </c>
      <c r="AJ1455" s="4" t="s">
        <v>248</v>
      </c>
      <c r="AZ1455" s="4" t="s">
        <v>249</v>
      </c>
      <c r="BA1455" s="4" t="s">
        <v>241</v>
      </c>
      <c r="BB1455" s="4" t="s">
        <v>250</v>
      </c>
      <c r="BC1455" s="4" t="s">
        <v>241</v>
      </c>
      <c r="BD1455" s="4" t="s">
        <v>252</v>
      </c>
      <c r="BE1455" s="4" t="s">
        <v>241</v>
      </c>
      <c r="BI1455" s="4" t="s">
        <v>253</v>
      </c>
      <c r="BJ1455" s="5" t="s">
        <v>246</v>
      </c>
      <c r="BK1455" s="4" t="s">
        <v>254</v>
      </c>
      <c r="BL1455" s="4" t="s">
        <v>255</v>
      </c>
      <c r="BM1455" s="4" t="s">
        <v>241</v>
      </c>
      <c r="BN1455" s="6">
        <f>0</f>
        <v>0</v>
      </c>
      <c r="BO1455" s="6">
        <f>0</f>
        <v>0</v>
      </c>
      <c r="BP1455" s="4" t="s">
        <v>256</v>
      </c>
      <c r="BQ1455" s="4" t="s">
        <v>257</v>
      </c>
      <c r="CE1455" s="4" t="s">
        <v>241</v>
      </c>
      <c r="CF1455" s="4" t="s">
        <v>241</v>
      </c>
      <c r="CJ1455" s="4" t="s">
        <v>276</v>
      </c>
      <c r="CK1455" s="4" t="s">
        <v>259</v>
      </c>
      <c r="CL1455" s="4" t="s">
        <v>241</v>
      </c>
      <c r="CO1455" s="5" t="s">
        <v>260</v>
      </c>
      <c r="CP1455" s="4" t="s">
        <v>241</v>
      </c>
      <c r="CQ1455" s="4" t="s">
        <v>261</v>
      </c>
      <c r="CR1455" s="4" t="s">
        <v>241</v>
      </c>
      <c r="CS1455" s="4" t="s">
        <v>241</v>
      </c>
      <c r="CT1455" s="4">
        <v>0</v>
      </c>
      <c r="CU1455" s="4" t="s">
        <v>262</v>
      </c>
      <c r="CV1455" s="4" t="s">
        <v>263</v>
      </c>
      <c r="CW1455" s="4" t="s">
        <v>263</v>
      </c>
      <c r="CX1455" s="4" t="s">
        <v>264</v>
      </c>
      <c r="DA1455" s="6">
        <f>1</f>
        <v>1</v>
      </c>
      <c r="DC1455" s="4" t="s">
        <v>277</v>
      </c>
      <c r="DD1455" s="4" t="s">
        <v>241</v>
      </c>
      <c r="DF1455" s="4" t="s">
        <v>277</v>
      </c>
      <c r="DG1455" s="6">
        <f>2497</f>
        <v>2497</v>
      </c>
      <c r="DI1455" s="4" t="s">
        <v>241</v>
      </c>
      <c r="DJ1455" s="4" t="s">
        <v>241</v>
      </c>
      <c r="DK1455" s="4" t="s">
        <v>241</v>
      </c>
      <c r="DL1455" s="4" t="s">
        <v>241</v>
      </c>
      <c r="DP1455" s="4" t="s">
        <v>241</v>
      </c>
      <c r="DQ1455" s="4" t="s">
        <v>241</v>
      </c>
      <c r="DR1455" s="4" t="s">
        <v>241</v>
      </c>
      <c r="DS1455" s="4" t="s">
        <v>241</v>
      </c>
      <c r="DV1455" s="4" t="s">
        <v>278</v>
      </c>
      <c r="DW1455" s="4" t="s">
        <v>2597</v>
      </c>
      <c r="HO1455" s="4" t="s">
        <v>267</v>
      </c>
    </row>
    <row r="1456" spans="1:223" ht="19.5" customHeight="1" x14ac:dyDescent="0.4">
      <c r="A1456" s="4">
        <v>1</v>
      </c>
      <c r="B1456" s="4" t="s">
        <v>239</v>
      </c>
      <c r="C1456" s="4">
        <v>3130</v>
      </c>
      <c r="D1456" s="4">
        <v>1</v>
      </c>
      <c r="E1456" s="4">
        <v>1</v>
      </c>
      <c r="F1456" s="4" t="s">
        <v>268</v>
      </c>
      <c r="G1456" s="4" t="s">
        <v>241</v>
      </c>
      <c r="H1456" s="4" t="s">
        <v>241</v>
      </c>
      <c r="I1456" s="4" t="s">
        <v>272</v>
      </c>
      <c r="J1456" s="4" t="s">
        <v>274</v>
      </c>
      <c r="K1456" s="4" t="s">
        <v>251</v>
      </c>
      <c r="L1456" s="4" t="s">
        <v>269</v>
      </c>
      <c r="M1456" s="5" t="s">
        <v>2594</v>
      </c>
      <c r="N1456" s="6">
        <f>4426</f>
        <v>4426</v>
      </c>
      <c r="O1456" s="4" t="s">
        <v>265</v>
      </c>
      <c r="P1456" s="6">
        <f>1</f>
        <v>1</v>
      </c>
      <c r="Q1456" s="6">
        <f>0</f>
        <v>0</v>
      </c>
      <c r="S1456" s="6">
        <f>0</f>
        <v>0</v>
      </c>
      <c r="T1456" s="6">
        <f>1</f>
        <v>1</v>
      </c>
      <c r="U1456" s="5" t="s">
        <v>245</v>
      </c>
      <c r="V1456" s="4" t="s">
        <v>270</v>
      </c>
      <c r="W1456" s="4" t="s">
        <v>271</v>
      </c>
      <c r="X1456" s="4" t="s">
        <v>273</v>
      </c>
      <c r="Y1456" s="4" t="s">
        <v>241</v>
      </c>
      <c r="AB1456" s="4" t="s">
        <v>241</v>
      </c>
      <c r="AD1456" s="5" t="s">
        <v>241</v>
      </c>
      <c r="AG1456" s="5" t="s">
        <v>246</v>
      </c>
      <c r="AH1456" s="4" t="s">
        <v>241</v>
      </c>
      <c r="AI1456" s="4" t="s">
        <v>247</v>
      </c>
      <c r="AJ1456" s="4" t="s">
        <v>248</v>
      </c>
      <c r="AZ1456" s="4" t="s">
        <v>249</v>
      </c>
      <c r="BA1456" s="4" t="s">
        <v>241</v>
      </c>
      <c r="BB1456" s="4" t="s">
        <v>250</v>
      </c>
      <c r="BC1456" s="4" t="s">
        <v>241</v>
      </c>
      <c r="BD1456" s="4" t="s">
        <v>252</v>
      </c>
      <c r="BE1456" s="4" t="s">
        <v>241</v>
      </c>
      <c r="BI1456" s="4" t="s">
        <v>253</v>
      </c>
      <c r="BJ1456" s="5" t="s">
        <v>246</v>
      </c>
      <c r="BK1456" s="4" t="s">
        <v>254</v>
      </c>
      <c r="BL1456" s="4" t="s">
        <v>255</v>
      </c>
      <c r="BM1456" s="4" t="s">
        <v>241</v>
      </c>
      <c r="BN1456" s="6">
        <f>0</f>
        <v>0</v>
      </c>
      <c r="BO1456" s="6">
        <f>0</f>
        <v>0</v>
      </c>
      <c r="BP1456" s="4" t="s">
        <v>256</v>
      </c>
      <c r="BQ1456" s="4" t="s">
        <v>257</v>
      </c>
      <c r="CE1456" s="4" t="s">
        <v>241</v>
      </c>
      <c r="CF1456" s="4" t="s">
        <v>241</v>
      </c>
      <c r="CJ1456" s="4" t="s">
        <v>276</v>
      </c>
      <c r="CK1456" s="4" t="s">
        <v>259</v>
      </c>
      <c r="CL1456" s="4" t="s">
        <v>241</v>
      </c>
      <c r="CO1456" s="5" t="s">
        <v>260</v>
      </c>
      <c r="CP1456" s="4" t="s">
        <v>241</v>
      </c>
      <c r="CQ1456" s="4" t="s">
        <v>261</v>
      </c>
      <c r="CR1456" s="4" t="s">
        <v>241</v>
      </c>
      <c r="CS1456" s="4" t="s">
        <v>241</v>
      </c>
      <c r="CT1456" s="4">
        <v>0</v>
      </c>
      <c r="CU1456" s="4" t="s">
        <v>262</v>
      </c>
      <c r="CV1456" s="4" t="s">
        <v>263</v>
      </c>
      <c r="CW1456" s="4" t="s">
        <v>263</v>
      </c>
      <c r="CX1456" s="4" t="s">
        <v>264</v>
      </c>
      <c r="DA1456" s="6">
        <f>1</f>
        <v>1</v>
      </c>
      <c r="DC1456" s="4" t="s">
        <v>277</v>
      </c>
      <c r="DD1456" s="4" t="s">
        <v>241</v>
      </c>
      <c r="DF1456" s="4" t="s">
        <v>277</v>
      </c>
      <c r="DG1456" s="6">
        <f>4426</f>
        <v>4426</v>
      </c>
      <c r="DI1456" s="4" t="s">
        <v>241</v>
      </c>
      <c r="DJ1456" s="4" t="s">
        <v>241</v>
      </c>
      <c r="DK1456" s="4" t="s">
        <v>241</v>
      </c>
      <c r="DL1456" s="4" t="s">
        <v>241</v>
      </c>
      <c r="DP1456" s="4" t="s">
        <v>241</v>
      </c>
      <c r="DQ1456" s="4" t="s">
        <v>241</v>
      </c>
      <c r="DR1456" s="4" t="s">
        <v>241</v>
      </c>
      <c r="DS1456" s="4" t="s">
        <v>241</v>
      </c>
      <c r="DV1456" s="4" t="s">
        <v>278</v>
      </c>
      <c r="DW1456" s="4" t="s">
        <v>2595</v>
      </c>
      <c r="HO1456" s="4" t="s">
        <v>267</v>
      </c>
    </row>
    <row r="1457" spans="1:223" ht="19.5" customHeight="1" x14ac:dyDescent="0.4">
      <c r="A1457" s="4">
        <v>1</v>
      </c>
      <c r="B1457" s="4" t="s">
        <v>239</v>
      </c>
      <c r="C1457" s="4">
        <v>3131</v>
      </c>
      <c r="D1457" s="4">
        <v>1</v>
      </c>
      <c r="E1457" s="4">
        <v>1</v>
      </c>
      <c r="F1457" s="4" t="s">
        <v>268</v>
      </c>
      <c r="G1457" s="4" t="s">
        <v>241</v>
      </c>
      <c r="H1457" s="4" t="s">
        <v>241</v>
      </c>
      <c r="I1457" s="4" t="s">
        <v>272</v>
      </c>
      <c r="J1457" s="4" t="s">
        <v>274</v>
      </c>
      <c r="K1457" s="4" t="s">
        <v>251</v>
      </c>
      <c r="L1457" s="4" t="s">
        <v>269</v>
      </c>
      <c r="M1457" s="5" t="s">
        <v>2592</v>
      </c>
      <c r="N1457" s="6">
        <f>4257</f>
        <v>4257</v>
      </c>
      <c r="O1457" s="4" t="s">
        <v>265</v>
      </c>
      <c r="P1457" s="6">
        <f>1</f>
        <v>1</v>
      </c>
      <c r="Q1457" s="6">
        <f>0</f>
        <v>0</v>
      </c>
      <c r="S1457" s="6">
        <f>0</f>
        <v>0</v>
      </c>
      <c r="T1457" s="6">
        <f>1</f>
        <v>1</v>
      </c>
      <c r="U1457" s="5" t="s">
        <v>245</v>
      </c>
      <c r="V1457" s="4" t="s">
        <v>270</v>
      </c>
      <c r="W1457" s="4" t="s">
        <v>271</v>
      </c>
      <c r="X1457" s="4" t="s">
        <v>273</v>
      </c>
      <c r="Y1457" s="4" t="s">
        <v>241</v>
      </c>
      <c r="AB1457" s="4" t="s">
        <v>241</v>
      </c>
      <c r="AD1457" s="5" t="s">
        <v>241</v>
      </c>
      <c r="AG1457" s="5" t="s">
        <v>246</v>
      </c>
      <c r="AH1457" s="4" t="s">
        <v>241</v>
      </c>
      <c r="AI1457" s="4" t="s">
        <v>247</v>
      </c>
      <c r="AJ1457" s="4" t="s">
        <v>248</v>
      </c>
      <c r="AZ1457" s="4" t="s">
        <v>249</v>
      </c>
      <c r="BA1457" s="4" t="s">
        <v>241</v>
      </c>
      <c r="BB1457" s="4" t="s">
        <v>250</v>
      </c>
      <c r="BC1457" s="4" t="s">
        <v>241</v>
      </c>
      <c r="BD1457" s="4" t="s">
        <v>252</v>
      </c>
      <c r="BE1457" s="4" t="s">
        <v>241</v>
      </c>
      <c r="BI1457" s="4" t="s">
        <v>253</v>
      </c>
      <c r="BJ1457" s="5" t="s">
        <v>246</v>
      </c>
      <c r="BK1457" s="4" t="s">
        <v>254</v>
      </c>
      <c r="BL1457" s="4" t="s">
        <v>255</v>
      </c>
      <c r="BM1457" s="4" t="s">
        <v>241</v>
      </c>
      <c r="BN1457" s="6">
        <f>0</f>
        <v>0</v>
      </c>
      <c r="BO1457" s="6">
        <f>0</f>
        <v>0</v>
      </c>
      <c r="BP1457" s="4" t="s">
        <v>256</v>
      </c>
      <c r="BQ1457" s="4" t="s">
        <v>257</v>
      </c>
      <c r="CE1457" s="4" t="s">
        <v>241</v>
      </c>
      <c r="CF1457" s="4" t="s">
        <v>241</v>
      </c>
      <c r="CJ1457" s="4" t="s">
        <v>276</v>
      </c>
      <c r="CK1457" s="4" t="s">
        <v>259</v>
      </c>
      <c r="CL1457" s="4" t="s">
        <v>241</v>
      </c>
      <c r="CO1457" s="5" t="s">
        <v>260</v>
      </c>
      <c r="CP1457" s="4" t="s">
        <v>241</v>
      </c>
      <c r="CQ1457" s="4" t="s">
        <v>261</v>
      </c>
      <c r="CR1457" s="4" t="s">
        <v>241</v>
      </c>
      <c r="CS1457" s="4" t="s">
        <v>241</v>
      </c>
      <c r="CT1457" s="4">
        <v>0</v>
      </c>
      <c r="CU1457" s="4" t="s">
        <v>262</v>
      </c>
      <c r="CV1457" s="4" t="s">
        <v>263</v>
      </c>
      <c r="CW1457" s="4" t="s">
        <v>263</v>
      </c>
      <c r="CX1457" s="4" t="s">
        <v>264</v>
      </c>
      <c r="DA1457" s="6">
        <f>1</f>
        <v>1</v>
      </c>
      <c r="DC1457" s="4" t="s">
        <v>277</v>
      </c>
      <c r="DD1457" s="4" t="s">
        <v>241</v>
      </c>
      <c r="DF1457" s="4" t="s">
        <v>277</v>
      </c>
      <c r="DG1457" s="6">
        <f>4257</f>
        <v>4257</v>
      </c>
      <c r="DI1457" s="4" t="s">
        <v>241</v>
      </c>
      <c r="DJ1457" s="4" t="s">
        <v>241</v>
      </c>
      <c r="DK1457" s="4" t="s">
        <v>241</v>
      </c>
      <c r="DL1457" s="4" t="s">
        <v>241</v>
      </c>
      <c r="DP1457" s="4" t="s">
        <v>241</v>
      </c>
      <c r="DQ1457" s="4" t="s">
        <v>241</v>
      </c>
      <c r="DR1457" s="4" t="s">
        <v>241</v>
      </c>
      <c r="DS1457" s="4" t="s">
        <v>241</v>
      </c>
      <c r="DV1457" s="4" t="s">
        <v>278</v>
      </c>
      <c r="DW1457" s="4" t="s">
        <v>2593</v>
      </c>
      <c r="HO1457" s="4" t="s">
        <v>267</v>
      </c>
    </row>
    <row r="1458" spans="1:223" ht="19.5" customHeight="1" x14ac:dyDescent="0.4">
      <c r="A1458" s="4">
        <v>1</v>
      </c>
      <c r="B1458" s="4" t="s">
        <v>239</v>
      </c>
      <c r="C1458" s="4">
        <v>3132</v>
      </c>
      <c r="D1458" s="4">
        <v>1</v>
      </c>
      <c r="E1458" s="4">
        <v>1</v>
      </c>
      <c r="F1458" s="4" t="s">
        <v>268</v>
      </c>
      <c r="G1458" s="4" t="s">
        <v>241</v>
      </c>
      <c r="H1458" s="4" t="s">
        <v>241</v>
      </c>
      <c r="I1458" s="4" t="s">
        <v>272</v>
      </c>
      <c r="J1458" s="4" t="s">
        <v>274</v>
      </c>
      <c r="K1458" s="4" t="s">
        <v>251</v>
      </c>
      <c r="L1458" s="4" t="s">
        <v>269</v>
      </c>
      <c r="M1458" s="5" t="s">
        <v>2588</v>
      </c>
      <c r="N1458" s="6">
        <f>195</f>
        <v>195</v>
      </c>
      <c r="O1458" s="4" t="s">
        <v>265</v>
      </c>
      <c r="P1458" s="6">
        <f>1</f>
        <v>1</v>
      </c>
      <c r="Q1458" s="6">
        <f>0</f>
        <v>0</v>
      </c>
      <c r="S1458" s="6">
        <f>0</f>
        <v>0</v>
      </c>
      <c r="T1458" s="6">
        <f>1</f>
        <v>1</v>
      </c>
      <c r="U1458" s="5" t="s">
        <v>245</v>
      </c>
      <c r="V1458" s="4" t="s">
        <v>270</v>
      </c>
      <c r="W1458" s="4" t="s">
        <v>271</v>
      </c>
      <c r="X1458" s="4" t="s">
        <v>273</v>
      </c>
      <c r="Y1458" s="4" t="s">
        <v>241</v>
      </c>
      <c r="AB1458" s="4" t="s">
        <v>241</v>
      </c>
      <c r="AD1458" s="5" t="s">
        <v>241</v>
      </c>
      <c r="AG1458" s="5" t="s">
        <v>246</v>
      </c>
      <c r="AH1458" s="4" t="s">
        <v>241</v>
      </c>
      <c r="AI1458" s="4" t="s">
        <v>247</v>
      </c>
      <c r="AJ1458" s="4" t="s">
        <v>248</v>
      </c>
      <c r="AZ1458" s="4" t="s">
        <v>249</v>
      </c>
      <c r="BA1458" s="4" t="s">
        <v>241</v>
      </c>
      <c r="BB1458" s="4" t="s">
        <v>250</v>
      </c>
      <c r="BC1458" s="4" t="s">
        <v>241</v>
      </c>
      <c r="BD1458" s="4" t="s">
        <v>252</v>
      </c>
      <c r="BE1458" s="4" t="s">
        <v>241</v>
      </c>
      <c r="BI1458" s="4" t="s">
        <v>253</v>
      </c>
      <c r="BJ1458" s="5" t="s">
        <v>246</v>
      </c>
      <c r="BK1458" s="4" t="s">
        <v>254</v>
      </c>
      <c r="BL1458" s="4" t="s">
        <v>255</v>
      </c>
      <c r="BM1458" s="4" t="s">
        <v>241</v>
      </c>
      <c r="BN1458" s="6">
        <f>0</f>
        <v>0</v>
      </c>
      <c r="BO1458" s="6">
        <f>0</f>
        <v>0</v>
      </c>
      <c r="BP1458" s="4" t="s">
        <v>256</v>
      </c>
      <c r="BQ1458" s="4" t="s">
        <v>257</v>
      </c>
      <c r="CE1458" s="4" t="s">
        <v>241</v>
      </c>
      <c r="CF1458" s="4" t="s">
        <v>241</v>
      </c>
      <c r="CJ1458" s="4" t="s">
        <v>276</v>
      </c>
      <c r="CK1458" s="4" t="s">
        <v>259</v>
      </c>
      <c r="CL1458" s="4" t="s">
        <v>241</v>
      </c>
      <c r="CO1458" s="5" t="s">
        <v>260</v>
      </c>
      <c r="CP1458" s="4" t="s">
        <v>241</v>
      </c>
      <c r="CQ1458" s="4" t="s">
        <v>261</v>
      </c>
      <c r="CR1458" s="4" t="s">
        <v>241</v>
      </c>
      <c r="CS1458" s="4" t="s">
        <v>241</v>
      </c>
      <c r="CT1458" s="4">
        <v>0</v>
      </c>
      <c r="CU1458" s="4" t="s">
        <v>262</v>
      </c>
      <c r="CV1458" s="4" t="s">
        <v>263</v>
      </c>
      <c r="CW1458" s="4" t="s">
        <v>263</v>
      </c>
      <c r="CX1458" s="4" t="s">
        <v>264</v>
      </c>
      <c r="DA1458" s="6">
        <f>1</f>
        <v>1</v>
      </c>
      <c r="DC1458" s="4" t="s">
        <v>277</v>
      </c>
      <c r="DD1458" s="4" t="s">
        <v>241</v>
      </c>
      <c r="DF1458" s="4" t="s">
        <v>277</v>
      </c>
      <c r="DG1458" s="6">
        <f>195</f>
        <v>195</v>
      </c>
      <c r="DI1458" s="4" t="s">
        <v>241</v>
      </c>
      <c r="DJ1458" s="4" t="s">
        <v>241</v>
      </c>
      <c r="DK1458" s="4" t="s">
        <v>241</v>
      </c>
      <c r="DL1458" s="4" t="s">
        <v>241</v>
      </c>
      <c r="DP1458" s="4" t="s">
        <v>241</v>
      </c>
      <c r="DQ1458" s="4" t="s">
        <v>241</v>
      </c>
      <c r="DR1458" s="4" t="s">
        <v>241</v>
      </c>
      <c r="DS1458" s="4" t="s">
        <v>241</v>
      </c>
      <c r="DV1458" s="4" t="s">
        <v>278</v>
      </c>
      <c r="DW1458" s="4" t="s">
        <v>2589</v>
      </c>
      <c r="HO1458" s="4" t="s">
        <v>267</v>
      </c>
    </row>
    <row r="1459" spans="1:223" ht="19.5" customHeight="1" x14ac:dyDescent="0.4">
      <c r="A1459" s="4">
        <v>1</v>
      </c>
      <c r="B1459" s="4" t="s">
        <v>239</v>
      </c>
      <c r="C1459" s="4">
        <v>3133</v>
      </c>
      <c r="D1459" s="4">
        <v>1</v>
      </c>
      <c r="E1459" s="4">
        <v>1</v>
      </c>
      <c r="F1459" s="4" t="s">
        <v>268</v>
      </c>
      <c r="G1459" s="4" t="s">
        <v>241</v>
      </c>
      <c r="H1459" s="4" t="s">
        <v>241</v>
      </c>
      <c r="I1459" s="4" t="s">
        <v>272</v>
      </c>
      <c r="J1459" s="4" t="s">
        <v>274</v>
      </c>
      <c r="K1459" s="4" t="s">
        <v>251</v>
      </c>
      <c r="L1459" s="4" t="s">
        <v>269</v>
      </c>
      <c r="M1459" s="5" t="s">
        <v>2586</v>
      </c>
      <c r="N1459" s="6">
        <f>849</f>
        <v>849</v>
      </c>
      <c r="O1459" s="4" t="s">
        <v>265</v>
      </c>
      <c r="P1459" s="6">
        <f>1</f>
        <v>1</v>
      </c>
      <c r="Q1459" s="6">
        <f>0</f>
        <v>0</v>
      </c>
      <c r="S1459" s="6">
        <f>0</f>
        <v>0</v>
      </c>
      <c r="T1459" s="6">
        <f>1</f>
        <v>1</v>
      </c>
      <c r="U1459" s="5" t="s">
        <v>245</v>
      </c>
      <c r="V1459" s="4" t="s">
        <v>270</v>
      </c>
      <c r="W1459" s="4" t="s">
        <v>271</v>
      </c>
      <c r="X1459" s="4" t="s">
        <v>273</v>
      </c>
      <c r="Y1459" s="4" t="s">
        <v>241</v>
      </c>
      <c r="AB1459" s="4" t="s">
        <v>241</v>
      </c>
      <c r="AD1459" s="5" t="s">
        <v>241</v>
      </c>
      <c r="AG1459" s="5" t="s">
        <v>246</v>
      </c>
      <c r="AH1459" s="4" t="s">
        <v>241</v>
      </c>
      <c r="AI1459" s="4" t="s">
        <v>247</v>
      </c>
      <c r="AJ1459" s="4" t="s">
        <v>248</v>
      </c>
      <c r="AZ1459" s="4" t="s">
        <v>249</v>
      </c>
      <c r="BA1459" s="4" t="s">
        <v>241</v>
      </c>
      <c r="BB1459" s="4" t="s">
        <v>250</v>
      </c>
      <c r="BC1459" s="4" t="s">
        <v>241</v>
      </c>
      <c r="BD1459" s="4" t="s">
        <v>252</v>
      </c>
      <c r="BE1459" s="4" t="s">
        <v>241</v>
      </c>
      <c r="BI1459" s="4" t="s">
        <v>253</v>
      </c>
      <c r="BJ1459" s="5" t="s">
        <v>246</v>
      </c>
      <c r="BK1459" s="4" t="s">
        <v>254</v>
      </c>
      <c r="BL1459" s="4" t="s">
        <v>255</v>
      </c>
      <c r="BM1459" s="4" t="s">
        <v>241</v>
      </c>
      <c r="BN1459" s="6">
        <f>0</f>
        <v>0</v>
      </c>
      <c r="BO1459" s="6">
        <f>0</f>
        <v>0</v>
      </c>
      <c r="BP1459" s="4" t="s">
        <v>256</v>
      </c>
      <c r="BQ1459" s="4" t="s">
        <v>257</v>
      </c>
      <c r="CE1459" s="4" t="s">
        <v>241</v>
      </c>
      <c r="CF1459" s="4" t="s">
        <v>241</v>
      </c>
      <c r="CJ1459" s="4" t="s">
        <v>276</v>
      </c>
      <c r="CK1459" s="4" t="s">
        <v>259</v>
      </c>
      <c r="CL1459" s="4" t="s">
        <v>241</v>
      </c>
      <c r="CO1459" s="5" t="s">
        <v>260</v>
      </c>
      <c r="CP1459" s="4" t="s">
        <v>241</v>
      </c>
      <c r="CQ1459" s="4" t="s">
        <v>261</v>
      </c>
      <c r="CR1459" s="4" t="s">
        <v>241</v>
      </c>
      <c r="CS1459" s="4" t="s">
        <v>241</v>
      </c>
      <c r="CT1459" s="4">
        <v>0</v>
      </c>
      <c r="CU1459" s="4" t="s">
        <v>262</v>
      </c>
      <c r="CV1459" s="4" t="s">
        <v>263</v>
      </c>
      <c r="CW1459" s="4" t="s">
        <v>263</v>
      </c>
      <c r="CX1459" s="4" t="s">
        <v>264</v>
      </c>
      <c r="DA1459" s="6">
        <f>1</f>
        <v>1</v>
      </c>
      <c r="DC1459" s="4" t="s">
        <v>277</v>
      </c>
      <c r="DD1459" s="4" t="s">
        <v>241</v>
      </c>
      <c r="DF1459" s="4" t="s">
        <v>277</v>
      </c>
      <c r="DG1459" s="6">
        <f>849</f>
        <v>849</v>
      </c>
      <c r="DI1459" s="4" t="s">
        <v>241</v>
      </c>
      <c r="DJ1459" s="4" t="s">
        <v>241</v>
      </c>
      <c r="DK1459" s="4" t="s">
        <v>241</v>
      </c>
      <c r="DL1459" s="4" t="s">
        <v>241</v>
      </c>
      <c r="DP1459" s="4" t="s">
        <v>241</v>
      </c>
      <c r="DQ1459" s="4" t="s">
        <v>241</v>
      </c>
      <c r="DR1459" s="4" t="s">
        <v>241</v>
      </c>
      <c r="DS1459" s="4" t="s">
        <v>241</v>
      </c>
      <c r="DV1459" s="4" t="s">
        <v>278</v>
      </c>
      <c r="DW1459" s="4" t="s">
        <v>2587</v>
      </c>
      <c r="HO1459" s="4" t="s">
        <v>267</v>
      </c>
    </row>
    <row r="1460" spans="1:223" ht="19.5" customHeight="1" x14ac:dyDescent="0.4">
      <c r="A1460" s="4">
        <v>1</v>
      </c>
      <c r="B1460" s="4" t="s">
        <v>239</v>
      </c>
      <c r="C1460" s="4">
        <v>3134</v>
      </c>
      <c r="D1460" s="4">
        <v>1</v>
      </c>
      <c r="E1460" s="4">
        <v>1</v>
      </c>
      <c r="F1460" s="4" t="s">
        <v>268</v>
      </c>
      <c r="G1460" s="4" t="s">
        <v>241</v>
      </c>
      <c r="H1460" s="4" t="s">
        <v>241</v>
      </c>
      <c r="I1460" s="4" t="s">
        <v>272</v>
      </c>
      <c r="J1460" s="4" t="s">
        <v>274</v>
      </c>
      <c r="K1460" s="4" t="s">
        <v>251</v>
      </c>
      <c r="L1460" s="4" t="s">
        <v>269</v>
      </c>
      <c r="M1460" s="5" t="s">
        <v>2585</v>
      </c>
      <c r="N1460" s="6">
        <f>7176</f>
        <v>7176</v>
      </c>
      <c r="O1460" s="4" t="s">
        <v>265</v>
      </c>
      <c r="P1460" s="6">
        <f>1</f>
        <v>1</v>
      </c>
      <c r="Q1460" s="6">
        <f>0</f>
        <v>0</v>
      </c>
      <c r="S1460" s="6">
        <f>0</f>
        <v>0</v>
      </c>
      <c r="T1460" s="6">
        <f>1</f>
        <v>1</v>
      </c>
      <c r="U1460" s="5" t="s">
        <v>245</v>
      </c>
      <c r="V1460" s="4" t="s">
        <v>270</v>
      </c>
      <c r="W1460" s="4" t="s">
        <v>271</v>
      </c>
      <c r="X1460" s="4" t="s">
        <v>273</v>
      </c>
      <c r="Y1460" s="4" t="s">
        <v>241</v>
      </c>
      <c r="AB1460" s="4" t="s">
        <v>241</v>
      </c>
      <c r="AD1460" s="5" t="s">
        <v>241</v>
      </c>
      <c r="AG1460" s="5" t="s">
        <v>246</v>
      </c>
      <c r="AH1460" s="4" t="s">
        <v>241</v>
      </c>
      <c r="AI1460" s="4" t="s">
        <v>247</v>
      </c>
      <c r="AJ1460" s="4" t="s">
        <v>248</v>
      </c>
      <c r="AZ1460" s="4" t="s">
        <v>249</v>
      </c>
      <c r="BA1460" s="4" t="s">
        <v>241</v>
      </c>
      <c r="BB1460" s="4" t="s">
        <v>250</v>
      </c>
      <c r="BC1460" s="4" t="s">
        <v>241</v>
      </c>
      <c r="BD1460" s="4" t="s">
        <v>252</v>
      </c>
      <c r="BE1460" s="4" t="s">
        <v>241</v>
      </c>
      <c r="BI1460" s="4" t="s">
        <v>253</v>
      </c>
      <c r="BJ1460" s="5" t="s">
        <v>246</v>
      </c>
      <c r="BK1460" s="4" t="s">
        <v>254</v>
      </c>
      <c r="BL1460" s="4" t="s">
        <v>255</v>
      </c>
      <c r="BM1460" s="4" t="s">
        <v>241</v>
      </c>
      <c r="BN1460" s="6">
        <f>0</f>
        <v>0</v>
      </c>
      <c r="BO1460" s="6">
        <f>0</f>
        <v>0</v>
      </c>
      <c r="BP1460" s="4" t="s">
        <v>256</v>
      </c>
      <c r="BQ1460" s="4" t="s">
        <v>257</v>
      </c>
      <c r="CE1460" s="4" t="s">
        <v>241</v>
      </c>
      <c r="CF1460" s="4" t="s">
        <v>241</v>
      </c>
      <c r="CJ1460" s="4" t="s">
        <v>276</v>
      </c>
      <c r="CK1460" s="4" t="s">
        <v>259</v>
      </c>
      <c r="CL1460" s="4" t="s">
        <v>241</v>
      </c>
      <c r="CO1460" s="5" t="s">
        <v>260</v>
      </c>
      <c r="CP1460" s="4" t="s">
        <v>241</v>
      </c>
      <c r="CQ1460" s="4" t="s">
        <v>261</v>
      </c>
      <c r="CR1460" s="4" t="s">
        <v>241</v>
      </c>
      <c r="CS1460" s="4" t="s">
        <v>241</v>
      </c>
      <c r="CT1460" s="4">
        <v>0</v>
      </c>
      <c r="CU1460" s="4" t="s">
        <v>262</v>
      </c>
      <c r="CV1460" s="4" t="s">
        <v>263</v>
      </c>
      <c r="CW1460" s="4" t="s">
        <v>263</v>
      </c>
      <c r="CX1460" s="4" t="s">
        <v>264</v>
      </c>
      <c r="DA1460" s="6">
        <f>1</f>
        <v>1</v>
      </c>
      <c r="DC1460" s="4" t="s">
        <v>277</v>
      </c>
      <c r="DD1460" s="4" t="s">
        <v>241</v>
      </c>
      <c r="DF1460" s="4" t="s">
        <v>277</v>
      </c>
      <c r="DG1460" s="6">
        <f>7176</f>
        <v>7176</v>
      </c>
      <c r="DI1460" s="4" t="s">
        <v>241</v>
      </c>
      <c r="DJ1460" s="4" t="s">
        <v>241</v>
      </c>
      <c r="DK1460" s="4" t="s">
        <v>241</v>
      </c>
      <c r="DL1460" s="4" t="s">
        <v>241</v>
      </c>
      <c r="DP1460" s="4" t="s">
        <v>241</v>
      </c>
      <c r="DQ1460" s="4" t="s">
        <v>241</v>
      </c>
      <c r="DR1460" s="4" t="s">
        <v>241</v>
      </c>
      <c r="DS1460" s="4" t="s">
        <v>241</v>
      </c>
      <c r="DV1460" s="4" t="s">
        <v>278</v>
      </c>
      <c r="DW1460" s="4" t="s">
        <v>431</v>
      </c>
      <c r="HO1460" s="4" t="s">
        <v>267</v>
      </c>
    </row>
    <row r="1461" spans="1:223" ht="19.5" customHeight="1" x14ac:dyDescent="0.4">
      <c r="A1461" s="4">
        <v>1</v>
      </c>
      <c r="B1461" s="4" t="s">
        <v>239</v>
      </c>
      <c r="C1461" s="4">
        <v>3135</v>
      </c>
      <c r="D1461" s="4">
        <v>1</v>
      </c>
      <c r="E1461" s="4">
        <v>1</v>
      </c>
      <c r="F1461" s="4" t="s">
        <v>268</v>
      </c>
      <c r="G1461" s="4" t="s">
        <v>241</v>
      </c>
      <c r="H1461" s="4" t="s">
        <v>241</v>
      </c>
      <c r="I1461" s="4" t="s">
        <v>272</v>
      </c>
      <c r="J1461" s="4" t="s">
        <v>274</v>
      </c>
      <c r="K1461" s="4" t="s">
        <v>251</v>
      </c>
      <c r="L1461" s="4" t="s">
        <v>269</v>
      </c>
      <c r="M1461" s="5" t="s">
        <v>2584</v>
      </c>
      <c r="N1461" s="6">
        <f>4279</f>
        <v>4279</v>
      </c>
      <c r="O1461" s="4" t="s">
        <v>265</v>
      </c>
      <c r="P1461" s="6">
        <f>1</f>
        <v>1</v>
      </c>
      <c r="Q1461" s="6">
        <f>0</f>
        <v>0</v>
      </c>
      <c r="S1461" s="6">
        <f>0</f>
        <v>0</v>
      </c>
      <c r="T1461" s="6">
        <f>1</f>
        <v>1</v>
      </c>
      <c r="U1461" s="5" t="s">
        <v>245</v>
      </c>
      <c r="V1461" s="4" t="s">
        <v>270</v>
      </c>
      <c r="W1461" s="4" t="s">
        <v>271</v>
      </c>
      <c r="X1461" s="4" t="s">
        <v>273</v>
      </c>
      <c r="Y1461" s="4" t="s">
        <v>241</v>
      </c>
      <c r="AB1461" s="4" t="s">
        <v>241</v>
      </c>
      <c r="AD1461" s="5" t="s">
        <v>241</v>
      </c>
      <c r="AG1461" s="5" t="s">
        <v>246</v>
      </c>
      <c r="AH1461" s="4" t="s">
        <v>241</v>
      </c>
      <c r="AI1461" s="4" t="s">
        <v>247</v>
      </c>
      <c r="AJ1461" s="4" t="s">
        <v>248</v>
      </c>
      <c r="AZ1461" s="4" t="s">
        <v>249</v>
      </c>
      <c r="BA1461" s="4" t="s">
        <v>241</v>
      </c>
      <c r="BB1461" s="4" t="s">
        <v>250</v>
      </c>
      <c r="BC1461" s="4" t="s">
        <v>241</v>
      </c>
      <c r="BD1461" s="4" t="s">
        <v>252</v>
      </c>
      <c r="BE1461" s="4" t="s">
        <v>241</v>
      </c>
      <c r="BI1461" s="4" t="s">
        <v>253</v>
      </c>
      <c r="BJ1461" s="5" t="s">
        <v>246</v>
      </c>
      <c r="BK1461" s="4" t="s">
        <v>254</v>
      </c>
      <c r="BL1461" s="4" t="s">
        <v>255</v>
      </c>
      <c r="BM1461" s="4" t="s">
        <v>241</v>
      </c>
      <c r="BN1461" s="6">
        <f>0</f>
        <v>0</v>
      </c>
      <c r="BO1461" s="6">
        <f>0</f>
        <v>0</v>
      </c>
      <c r="BP1461" s="4" t="s">
        <v>256</v>
      </c>
      <c r="BQ1461" s="4" t="s">
        <v>257</v>
      </c>
      <c r="CE1461" s="4" t="s">
        <v>241</v>
      </c>
      <c r="CF1461" s="4" t="s">
        <v>241</v>
      </c>
      <c r="CJ1461" s="4" t="s">
        <v>276</v>
      </c>
      <c r="CK1461" s="4" t="s">
        <v>259</v>
      </c>
      <c r="CL1461" s="4" t="s">
        <v>241</v>
      </c>
      <c r="CO1461" s="5" t="s">
        <v>260</v>
      </c>
      <c r="CP1461" s="4" t="s">
        <v>241</v>
      </c>
      <c r="CQ1461" s="4" t="s">
        <v>261</v>
      </c>
      <c r="CR1461" s="4" t="s">
        <v>241</v>
      </c>
      <c r="CS1461" s="4" t="s">
        <v>241</v>
      </c>
      <c r="CT1461" s="4">
        <v>0</v>
      </c>
      <c r="CU1461" s="4" t="s">
        <v>262</v>
      </c>
      <c r="CV1461" s="4" t="s">
        <v>263</v>
      </c>
      <c r="CW1461" s="4" t="s">
        <v>263</v>
      </c>
      <c r="CX1461" s="4" t="s">
        <v>264</v>
      </c>
      <c r="DA1461" s="6">
        <f>1</f>
        <v>1</v>
      </c>
      <c r="DC1461" s="4" t="s">
        <v>277</v>
      </c>
      <c r="DD1461" s="4" t="s">
        <v>241</v>
      </c>
      <c r="DF1461" s="4" t="s">
        <v>277</v>
      </c>
      <c r="DG1461" s="6">
        <f>4279</f>
        <v>4279</v>
      </c>
      <c r="DI1461" s="4" t="s">
        <v>241</v>
      </c>
      <c r="DJ1461" s="4" t="s">
        <v>241</v>
      </c>
      <c r="DK1461" s="4" t="s">
        <v>241</v>
      </c>
      <c r="DL1461" s="4" t="s">
        <v>241</v>
      </c>
      <c r="DP1461" s="4" t="s">
        <v>241</v>
      </c>
      <c r="DQ1461" s="4" t="s">
        <v>241</v>
      </c>
      <c r="DR1461" s="4" t="s">
        <v>241</v>
      </c>
      <c r="DS1461" s="4" t="s">
        <v>241</v>
      </c>
      <c r="DV1461" s="4" t="s">
        <v>278</v>
      </c>
      <c r="DW1461" s="4" t="s">
        <v>437</v>
      </c>
      <c r="HO1461" s="4" t="s">
        <v>267</v>
      </c>
    </row>
    <row r="1462" spans="1:223" ht="19.5" customHeight="1" x14ac:dyDescent="0.4">
      <c r="A1462" s="4">
        <v>1</v>
      </c>
      <c r="B1462" s="4" t="s">
        <v>239</v>
      </c>
      <c r="C1462" s="4">
        <v>3136</v>
      </c>
      <c r="D1462" s="4">
        <v>1</v>
      </c>
      <c r="E1462" s="4">
        <v>1</v>
      </c>
      <c r="F1462" s="4" t="s">
        <v>268</v>
      </c>
      <c r="G1462" s="4" t="s">
        <v>241</v>
      </c>
      <c r="H1462" s="4" t="s">
        <v>241</v>
      </c>
      <c r="I1462" s="4" t="s">
        <v>272</v>
      </c>
      <c r="J1462" s="4" t="s">
        <v>274</v>
      </c>
      <c r="K1462" s="4" t="s">
        <v>251</v>
      </c>
      <c r="L1462" s="4" t="s">
        <v>269</v>
      </c>
      <c r="M1462" s="5" t="s">
        <v>2582</v>
      </c>
      <c r="N1462" s="6">
        <f>2172</f>
        <v>2172</v>
      </c>
      <c r="O1462" s="4" t="s">
        <v>265</v>
      </c>
      <c r="P1462" s="6">
        <f>1</f>
        <v>1</v>
      </c>
      <c r="Q1462" s="6">
        <f>0</f>
        <v>0</v>
      </c>
      <c r="S1462" s="6">
        <f>0</f>
        <v>0</v>
      </c>
      <c r="T1462" s="6">
        <f>1</f>
        <v>1</v>
      </c>
      <c r="U1462" s="5" t="s">
        <v>245</v>
      </c>
      <c r="V1462" s="4" t="s">
        <v>270</v>
      </c>
      <c r="W1462" s="4" t="s">
        <v>271</v>
      </c>
      <c r="X1462" s="4" t="s">
        <v>273</v>
      </c>
      <c r="Y1462" s="4" t="s">
        <v>241</v>
      </c>
      <c r="AB1462" s="4" t="s">
        <v>241</v>
      </c>
      <c r="AD1462" s="5" t="s">
        <v>241</v>
      </c>
      <c r="AG1462" s="5" t="s">
        <v>246</v>
      </c>
      <c r="AH1462" s="4" t="s">
        <v>241</v>
      </c>
      <c r="AI1462" s="4" t="s">
        <v>247</v>
      </c>
      <c r="AJ1462" s="4" t="s">
        <v>248</v>
      </c>
      <c r="AZ1462" s="4" t="s">
        <v>249</v>
      </c>
      <c r="BA1462" s="4" t="s">
        <v>241</v>
      </c>
      <c r="BB1462" s="4" t="s">
        <v>250</v>
      </c>
      <c r="BC1462" s="4" t="s">
        <v>241</v>
      </c>
      <c r="BD1462" s="4" t="s">
        <v>252</v>
      </c>
      <c r="BE1462" s="4" t="s">
        <v>241</v>
      </c>
      <c r="BI1462" s="4" t="s">
        <v>253</v>
      </c>
      <c r="BJ1462" s="5" t="s">
        <v>246</v>
      </c>
      <c r="BK1462" s="4" t="s">
        <v>254</v>
      </c>
      <c r="BL1462" s="4" t="s">
        <v>255</v>
      </c>
      <c r="BM1462" s="4" t="s">
        <v>241</v>
      </c>
      <c r="BN1462" s="6">
        <f>0</f>
        <v>0</v>
      </c>
      <c r="BO1462" s="6">
        <f>0</f>
        <v>0</v>
      </c>
      <c r="BP1462" s="4" t="s">
        <v>256</v>
      </c>
      <c r="BQ1462" s="4" t="s">
        <v>257</v>
      </c>
      <c r="CE1462" s="4" t="s">
        <v>241</v>
      </c>
      <c r="CF1462" s="4" t="s">
        <v>241</v>
      </c>
      <c r="CJ1462" s="4" t="s">
        <v>276</v>
      </c>
      <c r="CK1462" s="4" t="s">
        <v>259</v>
      </c>
      <c r="CL1462" s="4" t="s">
        <v>241</v>
      </c>
      <c r="CO1462" s="5" t="s">
        <v>260</v>
      </c>
      <c r="CP1462" s="4" t="s">
        <v>241</v>
      </c>
      <c r="CQ1462" s="4" t="s">
        <v>261</v>
      </c>
      <c r="CR1462" s="4" t="s">
        <v>241</v>
      </c>
      <c r="CS1462" s="4" t="s">
        <v>241</v>
      </c>
      <c r="CT1462" s="4">
        <v>0</v>
      </c>
      <c r="CU1462" s="4" t="s">
        <v>262</v>
      </c>
      <c r="CV1462" s="4" t="s">
        <v>263</v>
      </c>
      <c r="CW1462" s="4" t="s">
        <v>263</v>
      </c>
      <c r="CX1462" s="4" t="s">
        <v>264</v>
      </c>
      <c r="DA1462" s="6">
        <f>1</f>
        <v>1</v>
      </c>
      <c r="DC1462" s="4" t="s">
        <v>277</v>
      </c>
      <c r="DD1462" s="4" t="s">
        <v>241</v>
      </c>
      <c r="DF1462" s="4" t="s">
        <v>277</v>
      </c>
      <c r="DG1462" s="6">
        <f>2172</f>
        <v>2172</v>
      </c>
      <c r="DI1462" s="4" t="s">
        <v>241</v>
      </c>
      <c r="DJ1462" s="4" t="s">
        <v>241</v>
      </c>
      <c r="DK1462" s="4" t="s">
        <v>241</v>
      </c>
      <c r="DL1462" s="4" t="s">
        <v>241</v>
      </c>
      <c r="DP1462" s="4" t="s">
        <v>241</v>
      </c>
      <c r="DQ1462" s="4" t="s">
        <v>241</v>
      </c>
      <c r="DR1462" s="4" t="s">
        <v>241</v>
      </c>
      <c r="DS1462" s="4" t="s">
        <v>241</v>
      </c>
      <c r="DV1462" s="4" t="s">
        <v>278</v>
      </c>
      <c r="DW1462" s="4" t="s">
        <v>2583</v>
      </c>
      <c r="HO1462" s="4" t="s">
        <v>267</v>
      </c>
    </row>
    <row r="1463" spans="1:223" ht="19.5" customHeight="1" x14ac:dyDescent="0.4">
      <c r="A1463" s="4">
        <v>1</v>
      </c>
      <c r="B1463" s="4" t="s">
        <v>239</v>
      </c>
      <c r="C1463" s="4">
        <v>3137</v>
      </c>
      <c r="D1463" s="4">
        <v>1</v>
      </c>
      <c r="E1463" s="4">
        <v>1</v>
      </c>
      <c r="F1463" s="4" t="s">
        <v>268</v>
      </c>
      <c r="G1463" s="4" t="s">
        <v>241</v>
      </c>
      <c r="H1463" s="4" t="s">
        <v>241</v>
      </c>
      <c r="I1463" s="4" t="s">
        <v>272</v>
      </c>
      <c r="J1463" s="4" t="s">
        <v>274</v>
      </c>
      <c r="K1463" s="4" t="s">
        <v>251</v>
      </c>
      <c r="L1463" s="4" t="s">
        <v>269</v>
      </c>
      <c r="M1463" s="5" t="s">
        <v>2581</v>
      </c>
      <c r="N1463" s="6">
        <f>1005</f>
        <v>1005</v>
      </c>
      <c r="O1463" s="4" t="s">
        <v>265</v>
      </c>
      <c r="P1463" s="6">
        <f>1</f>
        <v>1</v>
      </c>
      <c r="Q1463" s="6">
        <f>0</f>
        <v>0</v>
      </c>
      <c r="S1463" s="6">
        <f>0</f>
        <v>0</v>
      </c>
      <c r="T1463" s="6">
        <f>1</f>
        <v>1</v>
      </c>
      <c r="U1463" s="5" t="s">
        <v>245</v>
      </c>
      <c r="V1463" s="4" t="s">
        <v>270</v>
      </c>
      <c r="W1463" s="4" t="s">
        <v>271</v>
      </c>
      <c r="X1463" s="4" t="s">
        <v>273</v>
      </c>
      <c r="Y1463" s="4" t="s">
        <v>241</v>
      </c>
      <c r="AB1463" s="4" t="s">
        <v>241</v>
      </c>
      <c r="AD1463" s="5" t="s">
        <v>241</v>
      </c>
      <c r="AG1463" s="5" t="s">
        <v>246</v>
      </c>
      <c r="AH1463" s="4" t="s">
        <v>241</v>
      </c>
      <c r="AI1463" s="4" t="s">
        <v>247</v>
      </c>
      <c r="AJ1463" s="4" t="s">
        <v>248</v>
      </c>
      <c r="AZ1463" s="4" t="s">
        <v>249</v>
      </c>
      <c r="BA1463" s="4" t="s">
        <v>241</v>
      </c>
      <c r="BB1463" s="4" t="s">
        <v>250</v>
      </c>
      <c r="BC1463" s="4" t="s">
        <v>241</v>
      </c>
      <c r="BD1463" s="4" t="s">
        <v>252</v>
      </c>
      <c r="BE1463" s="4" t="s">
        <v>241</v>
      </c>
      <c r="BI1463" s="4" t="s">
        <v>253</v>
      </c>
      <c r="BJ1463" s="5" t="s">
        <v>246</v>
      </c>
      <c r="BK1463" s="4" t="s">
        <v>254</v>
      </c>
      <c r="BL1463" s="4" t="s">
        <v>255</v>
      </c>
      <c r="BM1463" s="4" t="s">
        <v>241</v>
      </c>
      <c r="BN1463" s="6">
        <f>0</f>
        <v>0</v>
      </c>
      <c r="BO1463" s="6">
        <f>0</f>
        <v>0</v>
      </c>
      <c r="BP1463" s="4" t="s">
        <v>256</v>
      </c>
      <c r="BQ1463" s="4" t="s">
        <v>257</v>
      </c>
      <c r="CE1463" s="4" t="s">
        <v>241</v>
      </c>
      <c r="CF1463" s="4" t="s">
        <v>241</v>
      </c>
      <c r="CJ1463" s="4" t="s">
        <v>276</v>
      </c>
      <c r="CK1463" s="4" t="s">
        <v>259</v>
      </c>
      <c r="CL1463" s="4" t="s">
        <v>241</v>
      </c>
      <c r="CO1463" s="5" t="s">
        <v>260</v>
      </c>
      <c r="CP1463" s="4" t="s">
        <v>241</v>
      </c>
      <c r="CQ1463" s="4" t="s">
        <v>261</v>
      </c>
      <c r="CR1463" s="4" t="s">
        <v>241</v>
      </c>
      <c r="CS1463" s="4" t="s">
        <v>241</v>
      </c>
      <c r="CT1463" s="4">
        <v>0</v>
      </c>
      <c r="CU1463" s="4" t="s">
        <v>262</v>
      </c>
      <c r="CV1463" s="4" t="s">
        <v>263</v>
      </c>
      <c r="CW1463" s="4" t="s">
        <v>263</v>
      </c>
      <c r="CX1463" s="4" t="s">
        <v>264</v>
      </c>
      <c r="DA1463" s="6">
        <f>1</f>
        <v>1</v>
      </c>
      <c r="DC1463" s="4" t="s">
        <v>277</v>
      </c>
      <c r="DD1463" s="4" t="s">
        <v>241</v>
      </c>
      <c r="DF1463" s="4" t="s">
        <v>277</v>
      </c>
      <c r="DG1463" s="6">
        <f>1005</f>
        <v>1005</v>
      </c>
      <c r="DI1463" s="4" t="s">
        <v>241</v>
      </c>
      <c r="DJ1463" s="4" t="s">
        <v>241</v>
      </c>
      <c r="DK1463" s="4" t="s">
        <v>241</v>
      </c>
      <c r="DL1463" s="4" t="s">
        <v>241</v>
      </c>
      <c r="DP1463" s="4" t="s">
        <v>241</v>
      </c>
      <c r="DQ1463" s="4" t="s">
        <v>241</v>
      </c>
      <c r="DR1463" s="4" t="s">
        <v>241</v>
      </c>
      <c r="DS1463" s="4" t="s">
        <v>241</v>
      </c>
      <c r="DV1463" s="4" t="s">
        <v>278</v>
      </c>
      <c r="DW1463" s="4" t="s">
        <v>450</v>
      </c>
      <c r="HO1463" s="4" t="s">
        <v>267</v>
      </c>
    </row>
    <row r="1464" spans="1:223" ht="19.5" customHeight="1" x14ac:dyDescent="0.4">
      <c r="A1464" s="4">
        <v>1</v>
      </c>
      <c r="B1464" s="4" t="s">
        <v>239</v>
      </c>
      <c r="C1464" s="4">
        <v>3138</v>
      </c>
      <c r="D1464" s="4">
        <v>1</v>
      </c>
      <c r="E1464" s="4">
        <v>1</v>
      </c>
      <c r="F1464" s="4" t="s">
        <v>268</v>
      </c>
      <c r="G1464" s="4" t="s">
        <v>241</v>
      </c>
      <c r="H1464" s="4" t="s">
        <v>241</v>
      </c>
      <c r="I1464" s="4" t="s">
        <v>272</v>
      </c>
      <c r="J1464" s="4" t="s">
        <v>274</v>
      </c>
      <c r="K1464" s="4" t="s">
        <v>251</v>
      </c>
      <c r="L1464" s="4" t="s">
        <v>269</v>
      </c>
      <c r="M1464" s="5" t="s">
        <v>2577</v>
      </c>
      <c r="N1464" s="6">
        <f>1953</f>
        <v>1953</v>
      </c>
      <c r="O1464" s="4" t="s">
        <v>265</v>
      </c>
      <c r="P1464" s="6">
        <f>1</f>
        <v>1</v>
      </c>
      <c r="Q1464" s="6">
        <f>0</f>
        <v>0</v>
      </c>
      <c r="S1464" s="6">
        <f>0</f>
        <v>0</v>
      </c>
      <c r="T1464" s="6">
        <f>1</f>
        <v>1</v>
      </c>
      <c r="U1464" s="5" t="s">
        <v>245</v>
      </c>
      <c r="V1464" s="4" t="s">
        <v>270</v>
      </c>
      <c r="W1464" s="4" t="s">
        <v>271</v>
      </c>
      <c r="X1464" s="4" t="s">
        <v>273</v>
      </c>
      <c r="Y1464" s="4" t="s">
        <v>241</v>
      </c>
      <c r="AB1464" s="4" t="s">
        <v>241</v>
      </c>
      <c r="AD1464" s="5" t="s">
        <v>241</v>
      </c>
      <c r="AG1464" s="5" t="s">
        <v>246</v>
      </c>
      <c r="AH1464" s="4" t="s">
        <v>241</v>
      </c>
      <c r="AI1464" s="4" t="s">
        <v>247</v>
      </c>
      <c r="AJ1464" s="4" t="s">
        <v>248</v>
      </c>
      <c r="AZ1464" s="4" t="s">
        <v>249</v>
      </c>
      <c r="BA1464" s="4" t="s">
        <v>241</v>
      </c>
      <c r="BB1464" s="4" t="s">
        <v>250</v>
      </c>
      <c r="BC1464" s="4" t="s">
        <v>241</v>
      </c>
      <c r="BD1464" s="4" t="s">
        <v>252</v>
      </c>
      <c r="BE1464" s="4" t="s">
        <v>241</v>
      </c>
      <c r="BI1464" s="4" t="s">
        <v>253</v>
      </c>
      <c r="BJ1464" s="5" t="s">
        <v>246</v>
      </c>
      <c r="BK1464" s="4" t="s">
        <v>254</v>
      </c>
      <c r="BL1464" s="4" t="s">
        <v>255</v>
      </c>
      <c r="BM1464" s="4" t="s">
        <v>241</v>
      </c>
      <c r="BN1464" s="6">
        <f>0</f>
        <v>0</v>
      </c>
      <c r="BO1464" s="6">
        <f>0</f>
        <v>0</v>
      </c>
      <c r="BP1464" s="4" t="s">
        <v>256</v>
      </c>
      <c r="BQ1464" s="4" t="s">
        <v>257</v>
      </c>
      <c r="CE1464" s="4" t="s">
        <v>241</v>
      </c>
      <c r="CF1464" s="4" t="s">
        <v>241</v>
      </c>
      <c r="CJ1464" s="4" t="s">
        <v>276</v>
      </c>
      <c r="CK1464" s="4" t="s">
        <v>259</v>
      </c>
      <c r="CL1464" s="4" t="s">
        <v>241</v>
      </c>
      <c r="CO1464" s="5" t="s">
        <v>260</v>
      </c>
      <c r="CP1464" s="4" t="s">
        <v>241</v>
      </c>
      <c r="CQ1464" s="4" t="s">
        <v>261</v>
      </c>
      <c r="CR1464" s="4" t="s">
        <v>241</v>
      </c>
      <c r="CS1464" s="4" t="s">
        <v>241</v>
      </c>
      <c r="CT1464" s="4">
        <v>0</v>
      </c>
      <c r="CU1464" s="4" t="s">
        <v>262</v>
      </c>
      <c r="CV1464" s="4" t="s">
        <v>263</v>
      </c>
      <c r="CW1464" s="4" t="s">
        <v>263</v>
      </c>
      <c r="CX1464" s="4" t="s">
        <v>264</v>
      </c>
      <c r="DA1464" s="6">
        <f>1</f>
        <v>1</v>
      </c>
      <c r="DC1464" s="4" t="s">
        <v>277</v>
      </c>
      <c r="DD1464" s="4" t="s">
        <v>241</v>
      </c>
      <c r="DF1464" s="4" t="s">
        <v>277</v>
      </c>
      <c r="DG1464" s="6">
        <f>1953</f>
        <v>1953</v>
      </c>
      <c r="DI1464" s="4" t="s">
        <v>241</v>
      </c>
      <c r="DJ1464" s="4" t="s">
        <v>241</v>
      </c>
      <c r="DK1464" s="4" t="s">
        <v>241</v>
      </c>
      <c r="DL1464" s="4" t="s">
        <v>241</v>
      </c>
      <c r="DP1464" s="4" t="s">
        <v>241</v>
      </c>
      <c r="DQ1464" s="4" t="s">
        <v>241</v>
      </c>
      <c r="DR1464" s="4" t="s">
        <v>241</v>
      </c>
      <c r="DS1464" s="4" t="s">
        <v>241</v>
      </c>
      <c r="DV1464" s="4" t="s">
        <v>278</v>
      </c>
      <c r="DW1464" s="4" t="s">
        <v>460</v>
      </c>
      <c r="HO1464" s="4" t="s">
        <v>267</v>
      </c>
    </row>
    <row r="1465" spans="1:223" ht="19.5" customHeight="1" x14ac:dyDescent="0.4">
      <c r="A1465" s="4">
        <v>1</v>
      </c>
      <c r="B1465" s="4" t="s">
        <v>239</v>
      </c>
      <c r="C1465" s="4">
        <v>3139</v>
      </c>
      <c r="D1465" s="4">
        <v>1</v>
      </c>
      <c r="E1465" s="4">
        <v>1</v>
      </c>
      <c r="F1465" s="4" t="s">
        <v>268</v>
      </c>
      <c r="G1465" s="4" t="s">
        <v>241</v>
      </c>
      <c r="H1465" s="4" t="s">
        <v>241</v>
      </c>
      <c r="I1465" s="4" t="s">
        <v>272</v>
      </c>
      <c r="J1465" s="4" t="s">
        <v>274</v>
      </c>
      <c r="K1465" s="4" t="s">
        <v>251</v>
      </c>
      <c r="L1465" s="4" t="s">
        <v>269</v>
      </c>
      <c r="M1465" s="5" t="s">
        <v>2576</v>
      </c>
      <c r="N1465" s="6">
        <f>4512</f>
        <v>4512</v>
      </c>
      <c r="O1465" s="4" t="s">
        <v>265</v>
      </c>
      <c r="P1465" s="6">
        <f>1</f>
        <v>1</v>
      </c>
      <c r="Q1465" s="6">
        <f>0</f>
        <v>0</v>
      </c>
      <c r="S1465" s="6">
        <f>0</f>
        <v>0</v>
      </c>
      <c r="T1465" s="6">
        <f>1</f>
        <v>1</v>
      </c>
      <c r="U1465" s="5" t="s">
        <v>245</v>
      </c>
      <c r="V1465" s="4" t="s">
        <v>270</v>
      </c>
      <c r="W1465" s="4" t="s">
        <v>271</v>
      </c>
      <c r="X1465" s="4" t="s">
        <v>273</v>
      </c>
      <c r="Y1465" s="4" t="s">
        <v>241</v>
      </c>
      <c r="AB1465" s="4" t="s">
        <v>241</v>
      </c>
      <c r="AD1465" s="5" t="s">
        <v>241</v>
      </c>
      <c r="AG1465" s="5" t="s">
        <v>246</v>
      </c>
      <c r="AH1465" s="4" t="s">
        <v>241</v>
      </c>
      <c r="AI1465" s="4" t="s">
        <v>247</v>
      </c>
      <c r="AJ1465" s="4" t="s">
        <v>248</v>
      </c>
      <c r="AZ1465" s="4" t="s">
        <v>249</v>
      </c>
      <c r="BA1465" s="4" t="s">
        <v>241</v>
      </c>
      <c r="BB1465" s="4" t="s">
        <v>250</v>
      </c>
      <c r="BC1465" s="4" t="s">
        <v>241</v>
      </c>
      <c r="BD1465" s="4" t="s">
        <v>252</v>
      </c>
      <c r="BE1465" s="4" t="s">
        <v>241</v>
      </c>
      <c r="BI1465" s="4" t="s">
        <v>253</v>
      </c>
      <c r="BJ1465" s="5" t="s">
        <v>246</v>
      </c>
      <c r="BK1465" s="4" t="s">
        <v>254</v>
      </c>
      <c r="BL1465" s="4" t="s">
        <v>255</v>
      </c>
      <c r="BM1465" s="4" t="s">
        <v>241</v>
      </c>
      <c r="BN1465" s="6">
        <f>0</f>
        <v>0</v>
      </c>
      <c r="BO1465" s="6">
        <f>0</f>
        <v>0</v>
      </c>
      <c r="BP1465" s="4" t="s">
        <v>256</v>
      </c>
      <c r="BQ1465" s="4" t="s">
        <v>257</v>
      </c>
      <c r="CE1465" s="4" t="s">
        <v>241</v>
      </c>
      <c r="CF1465" s="4" t="s">
        <v>241</v>
      </c>
      <c r="CJ1465" s="4" t="s">
        <v>276</v>
      </c>
      <c r="CK1465" s="4" t="s">
        <v>259</v>
      </c>
      <c r="CL1465" s="4" t="s">
        <v>241</v>
      </c>
      <c r="CO1465" s="5" t="s">
        <v>260</v>
      </c>
      <c r="CP1465" s="4" t="s">
        <v>241</v>
      </c>
      <c r="CQ1465" s="4" t="s">
        <v>261</v>
      </c>
      <c r="CR1465" s="4" t="s">
        <v>241</v>
      </c>
      <c r="CS1465" s="4" t="s">
        <v>241</v>
      </c>
      <c r="CT1465" s="4">
        <v>0</v>
      </c>
      <c r="CU1465" s="4" t="s">
        <v>262</v>
      </c>
      <c r="CV1465" s="4" t="s">
        <v>263</v>
      </c>
      <c r="CW1465" s="4" t="s">
        <v>263</v>
      </c>
      <c r="CX1465" s="4" t="s">
        <v>264</v>
      </c>
      <c r="DA1465" s="6">
        <f>1</f>
        <v>1</v>
      </c>
      <c r="DC1465" s="4" t="s">
        <v>277</v>
      </c>
      <c r="DD1465" s="4" t="s">
        <v>241</v>
      </c>
      <c r="DF1465" s="4" t="s">
        <v>277</v>
      </c>
      <c r="DG1465" s="6">
        <f>4512</f>
        <v>4512</v>
      </c>
      <c r="DI1465" s="4" t="s">
        <v>241</v>
      </c>
      <c r="DJ1465" s="4" t="s">
        <v>241</v>
      </c>
      <c r="DK1465" s="4" t="s">
        <v>241</v>
      </c>
      <c r="DL1465" s="4" t="s">
        <v>241</v>
      </c>
      <c r="DP1465" s="4" t="s">
        <v>241</v>
      </c>
      <c r="DQ1465" s="4" t="s">
        <v>241</v>
      </c>
      <c r="DR1465" s="4" t="s">
        <v>241</v>
      </c>
      <c r="DS1465" s="4" t="s">
        <v>241</v>
      </c>
      <c r="DV1465" s="4" t="s">
        <v>278</v>
      </c>
      <c r="DW1465" s="4" t="s">
        <v>466</v>
      </c>
      <c r="HO1465" s="4" t="s">
        <v>267</v>
      </c>
    </row>
    <row r="1466" spans="1:223" ht="19.5" customHeight="1" x14ac:dyDescent="0.4">
      <c r="A1466" s="4">
        <v>1</v>
      </c>
      <c r="B1466" s="4" t="s">
        <v>239</v>
      </c>
      <c r="C1466" s="4">
        <v>3140</v>
      </c>
      <c r="D1466" s="4">
        <v>1</v>
      </c>
      <c r="E1466" s="4">
        <v>1</v>
      </c>
      <c r="F1466" s="4" t="s">
        <v>268</v>
      </c>
      <c r="G1466" s="4" t="s">
        <v>241</v>
      </c>
      <c r="H1466" s="4" t="s">
        <v>241</v>
      </c>
      <c r="I1466" s="4" t="s">
        <v>272</v>
      </c>
      <c r="J1466" s="4" t="s">
        <v>274</v>
      </c>
      <c r="K1466" s="4" t="s">
        <v>251</v>
      </c>
      <c r="L1466" s="4" t="s">
        <v>269</v>
      </c>
      <c r="M1466" s="5" t="s">
        <v>2575</v>
      </c>
      <c r="N1466" s="6">
        <f>5093</f>
        <v>5093</v>
      </c>
      <c r="O1466" s="4" t="s">
        <v>265</v>
      </c>
      <c r="P1466" s="6">
        <f>1</f>
        <v>1</v>
      </c>
      <c r="Q1466" s="6">
        <f>0</f>
        <v>0</v>
      </c>
      <c r="S1466" s="6">
        <f>0</f>
        <v>0</v>
      </c>
      <c r="T1466" s="6">
        <f>1</f>
        <v>1</v>
      </c>
      <c r="U1466" s="5" t="s">
        <v>245</v>
      </c>
      <c r="V1466" s="4" t="s">
        <v>270</v>
      </c>
      <c r="W1466" s="4" t="s">
        <v>271</v>
      </c>
      <c r="X1466" s="4" t="s">
        <v>273</v>
      </c>
      <c r="Y1466" s="4" t="s">
        <v>241</v>
      </c>
      <c r="AB1466" s="4" t="s">
        <v>241</v>
      </c>
      <c r="AD1466" s="5" t="s">
        <v>241</v>
      </c>
      <c r="AG1466" s="5" t="s">
        <v>246</v>
      </c>
      <c r="AH1466" s="4" t="s">
        <v>241</v>
      </c>
      <c r="AI1466" s="4" t="s">
        <v>247</v>
      </c>
      <c r="AJ1466" s="4" t="s">
        <v>248</v>
      </c>
      <c r="AZ1466" s="4" t="s">
        <v>249</v>
      </c>
      <c r="BA1466" s="4" t="s">
        <v>241</v>
      </c>
      <c r="BB1466" s="4" t="s">
        <v>250</v>
      </c>
      <c r="BC1466" s="4" t="s">
        <v>241</v>
      </c>
      <c r="BD1466" s="4" t="s">
        <v>252</v>
      </c>
      <c r="BE1466" s="4" t="s">
        <v>241</v>
      </c>
      <c r="BI1466" s="4" t="s">
        <v>253</v>
      </c>
      <c r="BJ1466" s="5" t="s">
        <v>246</v>
      </c>
      <c r="BK1466" s="4" t="s">
        <v>254</v>
      </c>
      <c r="BL1466" s="4" t="s">
        <v>255</v>
      </c>
      <c r="BM1466" s="4" t="s">
        <v>241</v>
      </c>
      <c r="BN1466" s="6">
        <f>0</f>
        <v>0</v>
      </c>
      <c r="BO1466" s="6">
        <f>0</f>
        <v>0</v>
      </c>
      <c r="BP1466" s="4" t="s">
        <v>256</v>
      </c>
      <c r="BQ1466" s="4" t="s">
        <v>257</v>
      </c>
      <c r="CE1466" s="4" t="s">
        <v>241</v>
      </c>
      <c r="CF1466" s="4" t="s">
        <v>241</v>
      </c>
      <c r="CJ1466" s="4" t="s">
        <v>276</v>
      </c>
      <c r="CK1466" s="4" t="s">
        <v>259</v>
      </c>
      <c r="CL1466" s="4" t="s">
        <v>241</v>
      </c>
      <c r="CO1466" s="5" t="s">
        <v>260</v>
      </c>
      <c r="CP1466" s="4" t="s">
        <v>241</v>
      </c>
      <c r="CQ1466" s="4" t="s">
        <v>261</v>
      </c>
      <c r="CR1466" s="4" t="s">
        <v>241</v>
      </c>
      <c r="CS1466" s="4" t="s">
        <v>241</v>
      </c>
      <c r="CT1466" s="4">
        <v>0</v>
      </c>
      <c r="CU1466" s="4" t="s">
        <v>262</v>
      </c>
      <c r="CV1466" s="4" t="s">
        <v>263</v>
      </c>
      <c r="CW1466" s="4" t="s">
        <v>263</v>
      </c>
      <c r="CX1466" s="4" t="s">
        <v>264</v>
      </c>
      <c r="DA1466" s="6">
        <f>1</f>
        <v>1</v>
      </c>
      <c r="DC1466" s="4" t="s">
        <v>277</v>
      </c>
      <c r="DD1466" s="4" t="s">
        <v>241</v>
      </c>
      <c r="DF1466" s="4" t="s">
        <v>277</v>
      </c>
      <c r="DG1466" s="6">
        <f>5093</f>
        <v>5093</v>
      </c>
      <c r="DI1466" s="4" t="s">
        <v>241</v>
      </c>
      <c r="DJ1466" s="4" t="s">
        <v>241</v>
      </c>
      <c r="DK1466" s="4" t="s">
        <v>241</v>
      </c>
      <c r="DL1466" s="4" t="s">
        <v>241</v>
      </c>
      <c r="DP1466" s="4" t="s">
        <v>241</v>
      </c>
      <c r="DQ1466" s="4" t="s">
        <v>241</v>
      </c>
      <c r="DR1466" s="4" t="s">
        <v>241</v>
      </c>
      <c r="DS1466" s="4" t="s">
        <v>241</v>
      </c>
      <c r="DV1466" s="4" t="s">
        <v>278</v>
      </c>
      <c r="DW1466" s="4" t="s">
        <v>474</v>
      </c>
      <c r="HO1466" s="4" t="s">
        <v>267</v>
      </c>
    </row>
    <row r="1467" spans="1:223" ht="19.5" customHeight="1" x14ac:dyDescent="0.4">
      <c r="A1467" s="4">
        <v>1</v>
      </c>
      <c r="B1467" s="4" t="s">
        <v>239</v>
      </c>
      <c r="C1467" s="4">
        <v>3141</v>
      </c>
      <c r="D1467" s="4">
        <v>1</v>
      </c>
      <c r="E1467" s="4">
        <v>1</v>
      </c>
      <c r="F1467" s="4" t="s">
        <v>268</v>
      </c>
      <c r="G1467" s="4" t="s">
        <v>241</v>
      </c>
      <c r="H1467" s="4" t="s">
        <v>241</v>
      </c>
      <c r="I1467" s="4" t="s">
        <v>272</v>
      </c>
      <c r="J1467" s="4" t="s">
        <v>274</v>
      </c>
      <c r="K1467" s="4" t="s">
        <v>251</v>
      </c>
      <c r="L1467" s="4" t="s">
        <v>269</v>
      </c>
      <c r="M1467" s="5" t="s">
        <v>2574</v>
      </c>
      <c r="N1467" s="6">
        <f>2150</f>
        <v>2150</v>
      </c>
      <c r="O1467" s="4" t="s">
        <v>265</v>
      </c>
      <c r="P1467" s="6">
        <f>1</f>
        <v>1</v>
      </c>
      <c r="Q1467" s="6">
        <f>0</f>
        <v>0</v>
      </c>
      <c r="S1467" s="6">
        <f>0</f>
        <v>0</v>
      </c>
      <c r="T1467" s="6">
        <f>1</f>
        <v>1</v>
      </c>
      <c r="U1467" s="5" t="s">
        <v>245</v>
      </c>
      <c r="V1467" s="4" t="s">
        <v>270</v>
      </c>
      <c r="W1467" s="4" t="s">
        <v>271</v>
      </c>
      <c r="X1467" s="4" t="s">
        <v>273</v>
      </c>
      <c r="Y1467" s="4" t="s">
        <v>241</v>
      </c>
      <c r="AB1467" s="4" t="s">
        <v>241</v>
      </c>
      <c r="AD1467" s="5" t="s">
        <v>241</v>
      </c>
      <c r="AG1467" s="5" t="s">
        <v>246</v>
      </c>
      <c r="AH1467" s="4" t="s">
        <v>241</v>
      </c>
      <c r="AI1467" s="4" t="s">
        <v>247</v>
      </c>
      <c r="AJ1467" s="4" t="s">
        <v>248</v>
      </c>
      <c r="AZ1467" s="4" t="s">
        <v>249</v>
      </c>
      <c r="BA1467" s="4" t="s">
        <v>241</v>
      </c>
      <c r="BB1467" s="4" t="s">
        <v>250</v>
      </c>
      <c r="BC1467" s="4" t="s">
        <v>241</v>
      </c>
      <c r="BD1467" s="4" t="s">
        <v>252</v>
      </c>
      <c r="BE1467" s="4" t="s">
        <v>241</v>
      </c>
      <c r="BI1467" s="4" t="s">
        <v>253</v>
      </c>
      <c r="BJ1467" s="5" t="s">
        <v>246</v>
      </c>
      <c r="BK1467" s="4" t="s">
        <v>254</v>
      </c>
      <c r="BL1467" s="4" t="s">
        <v>255</v>
      </c>
      <c r="BM1467" s="4" t="s">
        <v>241</v>
      </c>
      <c r="BN1467" s="6">
        <f>0</f>
        <v>0</v>
      </c>
      <c r="BO1467" s="6">
        <f>0</f>
        <v>0</v>
      </c>
      <c r="BP1467" s="4" t="s">
        <v>256</v>
      </c>
      <c r="BQ1467" s="4" t="s">
        <v>257</v>
      </c>
      <c r="CE1467" s="4" t="s">
        <v>241</v>
      </c>
      <c r="CF1467" s="4" t="s">
        <v>241</v>
      </c>
      <c r="CJ1467" s="4" t="s">
        <v>276</v>
      </c>
      <c r="CK1467" s="4" t="s">
        <v>259</v>
      </c>
      <c r="CL1467" s="4" t="s">
        <v>241</v>
      </c>
      <c r="CO1467" s="5" t="s">
        <v>260</v>
      </c>
      <c r="CP1467" s="4" t="s">
        <v>241</v>
      </c>
      <c r="CQ1467" s="4" t="s">
        <v>261</v>
      </c>
      <c r="CR1467" s="4" t="s">
        <v>241</v>
      </c>
      <c r="CS1467" s="4" t="s">
        <v>241</v>
      </c>
      <c r="CT1467" s="4">
        <v>0</v>
      </c>
      <c r="CU1467" s="4" t="s">
        <v>262</v>
      </c>
      <c r="CV1467" s="4" t="s">
        <v>263</v>
      </c>
      <c r="CW1467" s="4" t="s">
        <v>263</v>
      </c>
      <c r="CX1467" s="4" t="s">
        <v>264</v>
      </c>
      <c r="DA1467" s="6">
        <f>1</f>
        <v>1</v>
      </c>
      <c r="DC1467" s="4" t="s">
        <v>277</v>
      </c>
      <c r="DD1467" s="4" t="s">
        <v>241</v>
      </c>
      <c r="DF1467" s="4" t="s">
        <v>277</v>
      </c>
      <c r="DG1467" s="6">
        <f>2150</f>
        <v>2150</v>
      </c>
      <c r="DI1467" s="4" t="s">
        <v>241</v>
      </c>
      <c r="DJ1467" s="4" t="s">
        <v>241</v>
      </c>
      <c r="DK1467" s="4" t="s">
        <v>241</v>
      </c>
      <c r="DL1467" s="4" t="s">
        <v>241</v>
      </c>
      <c r="DP1467" s="4" t="s">
        <v>241</v>
      </c>
      <c r="DQ1467" s="4" t="s">
        <v>241</v>
      </c>
      <c r="DR1467" s="4" t="s">
        <v>241</v>
      </c>
      <c r="DS1467" s="4" t="s">
        <v>241</v>
      </c>
      <c r="DV1467" s="4" t="s">
        <v>278</v>
      </c>
      <c r="DW1467" s="4" t="s">
        <v>478</v>
      </c>
      <c r="HO1467" s="4" t="s">
        <v>267</v>
      </c>
    </row>
    <row r="1468" spans="1:223" ht="19.5" customHeight="1" x14ac:dyDescent="0.4">
      <c r="A1468" s="4">
        <v>1</v>
      </c>
      <c r="B1468" s="4" t="s">
        <v>239</v>
      </c>
      <c r="C1468" s="4">
        <v>3142</v>
      </c>
      <c r="D1468" s="4">
        <v>1</v>
      </c>
      <c r="E1468" s="4">
        <v>1</v>
      </c>
      <c r="F1468" s="4" t="s">
        <v>268</v>
      </c>
      <c r="G1468" s="4" t="s">
        <v>241</v>
      </c>
      <c r="H1468" s="4" t="s">
        <v>241</v>
      </c>
      <c r="I1468" s="4" t="s">
        <v>272</v>
      </c>
      <c r="J1468" s="4" t="s">
        <v>274</v>
      </c>
      <c r="K1468" s="4" t="s">
        <v>251</v>
      </c>
      <c r="L1468" s="4" t="s">
        <v>269</v>
      </c>
      <c r="M1468" s="5" t="s">
        <v>2572</v>
      </c>
      <c r="N1468" s="6">
        <f>1670</f>
        <v>1670</v>
      </c>
      <c r="O1468" s="4" t="s">
        <v>265</v>
      </c>
      <c r="P1468" s="6">
        <f>1</f>
        <v>1</v>
      </c>
      <c r="Q1468" s="6">
        <f>0</f>
        <v>0</v>
      </c>
      <c r="S1468" s="6">
        <f>0</f>
        <v>0</v>
      </c>
      <c r="T1468" s="6">
        <f>1</f>
        <v>1</v>
      </c>
      <c r="U1468" s="5" t="s">
        <v>245</v>
      </c>
      <c r="V1468" s="4" t="s">
        <v>270</v>
      </c>
      <c r="W1468" s="4" t="s">
        <v>271</v>
      </c>
      <c r="X1468" s="4" t="s">
        <v>273</v>
      </c>
      <c r="Y1468" s="4" t="s">
        <v>241</v>
      </c>
      <c r="AB1468" s="4" t="s">
        <v>241</v>
      </c>
      <c r="AD1468" s="5" t="s">
        <v>241</v>
      </c>
      <c r="AG1468" s="5" t="s">
        <v>246</v>
      </c>
      <c r="AH1468" s="4" t="s">
        <v>241</v>
      </c>
      <c r="AI1468" s="4" t="s">
        <v>247</v>
      </c>
      <c r="AJ1468" s="4" t="s">
        <v>248</v>
      </c>
      <c r="AZ1468" s="4" t="s">
        <v>249</v>
      </c>
      <c r="BA1468" s="4" t="s">
        <v>241</v>
      </c>
      <c r="BB1468" s="4" t="s">
        <v>250</v>
      </c>
      <c r="BC1468" s="4" t="s">
        <v>241</v>
      </c>
      <c r="BD1468" s="4" t="s">
        <v>252</v>
      </c>
      <c r="BE1468" s="4" t="s">
        <v>241</v>
      </c>
      <c r="BI1468" s="4" t="s">
        <v>253</v>
      </c>
      <c r="BJ1468" s="5" t="s">
        <v>246</v>
      </c>
      <c r="BK1468" s="4" t="s">
        <v>254</v>
      </c>
      <c r="BL1468" s="4" t="s">
        <v>255</v>
      </c>
      <c r="BM1468" s="4" t="s">
        <v>241</v>
      </c>
      <c r="BN1468" s="6">
        <f>0</f>
        <v>0</v>
      </c>
      <c r="BO1468" s="6">
        <f>0</f>
        <v>0</v>
      </c>
      <c r="BP1468" s="4" t="s">
        <v>256</v>
      </c>
      <c r="BQ1468" s="4" t="s">
        <v>257</v>
      </c>
      <c r="CE1468" s="4" t="s">
        <v>241</v>
      </c>
      <c r="CF1468" s="4" t="s">
        <v>241</v>
      </c>
      <c r="CJ1468" s="4" t="s">
        <v>276</v>
      </c>
      <c r="CK1468" s="4" t="s">
        <v>259</v>
      </c>
      <c r="CL1468" s="4" t="s">
        <v>241</v>
      </c>
      <c r="CO1468" s="5" t="s">
        <v>260</v>
      </c>
      <c r="CP1468" s="4" t="s">
        <v>241</v>
      </c>
      <c r="CQ1468" s="4" t="s">
        <v>261</v>
      </c>
      <c r="CR1468" s="4" t="s">
        <v>241</v>
      </c>
      <c r="CS1468" s="4" t="s">
        <v>241</v>
      </c>
      <c r="CT1468" s="4">
        <v>0</v>
      </c>
      <c r="CU1468" s="4" t="s">
        <v>262</v>
      </c>
      <c r="CV1468" s="4" t="s">
        <v>263</v>
      </c>
      <c r="CW1468" s="4" t="s">
        <v>263</v>
      </c>
      <c r="CX1468" s="4" t="s">
        <v>264</v>
      </c>
      <c r="DA1468" s="6">
        <f>1</f>
        <v>1</v>
      </c>
      <c r="DC1468" s="4" t="s">
        <v>277</v>
      </c>
      <c r="DD1468" s="4" t="s">
        <v>241</v>
      </c>
      <c r="DF1468" s="4" t="s">
        <v>277</v>
      </c>
      <c r="DG1468" s="6">
        <f>1670</f>
        <v>1670</v>
      </c>
      <c r="DI1468" s="4" t="s">
        <v>241</v>
      </c>
      <c r="DJ1468" s="4" t="s">
        <v>241</v>
      </c>
      <c r="DK1468" s="4" t="s">
        <v>241</v>
      </c>
      <c r="DL1468" s="4" t="s">
        <v>241</v>
      </c>
      <c r="DP1468" s="4" t="s">
        <v>241</v>
      </c>
      <c r="DQ1468" s="4" t="s">
        <v>241</v>
      </c>
      <c r="DR1468" s="4" t="s">
        <v>241</v>
      </c>
      <c r="DS1468" s="4" t="s">
        <v>241</v>
      </c>
      <c r="DV1468" s="4" t="s">
        <v>278</v>
      </c>
      <c r="DW1468" s="4" t="s">
        <v>2573</v>
      </c>
      <c r="HO1468" s="4" t="s">
        <v>267</v>
      </c>
    </row>
    <row r="1469" spans="1:223" ht="19.5" customHeight="1" x14ac:dyDescent="0.4">
      <c r="A1469" s="4">
        <v>1</v>
      </c>
      <c r="B1469" s="4" t="s">
        <v>239</v>
      </c>
      <c r="C1469" s="4">
        <v>3143</v>
      </c>
      <c r="D1469" s="4">
        <v>1</v>
      </c>
      <c r="E1469" s="4">
        <v>1</v>
      </c>
      <c r="F1469" s="4" t="s">
        <v>268</v>
      </c>
      <c r="G1469" s="4" t="s">
        <v>241</v>
      </c>
      <c r="H1469" s="4" t="s">
        <v>241</v>
      </c>
      <c r="I1469" s="4" t="s">
        <v>272</v>
      </c>
      <c r="J1469" s="4" t="s">
        <v>274</v>
      </c>
      <c r="K1469" s="4" t="s">
        <v>251</v>
      </c>
      <c r="L1469" s="4" t="s">
        <v>269</v>
      </c>
      <c r="M1469" s="5" t="s">
        <v>2569</v>
      </c>
      <c r="N1469" s="6">
        <f>1630</f>
        <v>1630</v>
      </c>
      <c r="O1469" s="4" t="s">
        <v>265</v>
      </c>
      <c r="P1469" s="6">
        <f>1</f>
        <v>1</v>
      </c>
      <c r="Q1469" s="6">
        <f>0</f>
        <v>0</v>
      </c>
      <c r="S1469" s="6">
        <f>0</f>
        <v>0</v>
      </c>
      <c r="T1469" s="6">
        <f>1</f>
        <v>1</v>
      </c>
      <c r="U1469" s="5" t="s">
        <v>245</v>
      </c>
      <c r="V1469" s="4" t="s">
        <v>270</v>
      </c>
      <c r="W1469" s="4" t="s">
        <v>271</v>
      </c>
      <c r="X1469" s="4" t="s">
        <v>273</v>
      </c>
      <c r="Y1469" s="4" t="s">
        <v>241</v>
      </c>
      <c r="AB1469" s="4" t="s">
        <v>241</v>
      </c>
      <c r="AD1469" s="5" t="s">
        <v>241</v>
      </c>
      <c r="AG1469" s="5" t="s">
        <v>246</v>
      </c>
      <c r="AH1469" s="4" t="s">
        <v>241</v>
      </c>
      <c r="AI1469" s="4" t="s">
        <v>247</v>
      </c>
      <c r="AJ1469" s="4" t="s">
        <v>248</v>
      </c>
      <c r="AZ1469" s="4" t="s">
        <v>249</v>
      </c>
      <c r="BA1469" s="4" t="s">
        <v>241</v>
      </c>
      <c r="BB1469" s="4" t="s">
        <v>250</v>
      </c>
      <c r="BC1469" s="4" t="s">
        <v>241</v>
      </c>
      <c r="BD1469" s="4" t="s">
        <v>252</v>
      </c>
      <c r="BE1469" s="4" t="s">
        <v>241</v>
      </c>
      <c r="BI1469" s="4" t="s">
        <v>253</v>
      </c>
      <c r="BJ1469" s="5" t="s">
        <v>246</v>
      </c>
      <c r="BK1469" s="4" t="s">
        <v>254</v>
      </c>
      <c r="BL1469" s="4" t="s">
        <v>255</v>
      </c>
      <c r="BM1469" s="4" t="s">
        <v>241</v>
      </c>
      <c r="BN1469" s="6">
        <f>0</f>
        <v>0</v>
      </c>
      <c r="BO1469" s="6">
        <f>0</f>
        <v>0</v>
      </c>
      <c r="BP1469" s="4" t="s">
        <v>256</v>
      </c>
      <c r="BQ1469" s="4" t="s">
        <v>257</v>
      </c>
      <c r="CE1469" s="4" t="s">
        <v>241</v>
      </c>
      <c r="CF1469" s="4" t="s">
        <v>241</v>
      </c>
      <c r="CJ1469" s="4" t="s">
        <v>276</v>
      </c>
      <c r="CK1469" s="4" t="s">
        <v>259</v>
      </c>
      <c r="CL1469" s="4" t="s">
        <v>241</v>
      </c>
      <c r="CO1469" s="5" t="s">
        <v>260</v>
      </c>
      <c r="CP1469" s="4" t="s">
        <v>241</v>
      </c>
      <c r="CQ1469" s="4" t="s">
        <v>261</v>
      </c>
      <c r="CR1469" s="4" t="s">
        <v>241</v>
      </c>
      <c r="CS1469" s="4" t="s">
        <v>241</v>
      </c>
      <c r="CT1469" s="4">
        <v>0</v>
      </c>
      <c r="CU1469" s="4" t="s">
        <v>262</v>
      </c>
      <c r="CV1469" s="4" t="s">
        <v>263</v>
      </c>
      <c r="CW1469" s="4" t="s">
        <v>263</v>
      </c>
      <c r="CX1469" s="4" t="s">
        <v>264</v>
      </c>
      <c r="DA1469" s="6">
        <f>1</f>
        <v>1</v>
      </c>
      <c r="DC1469" s="4" t="s">
        <v>277</v>
      </c>
      <c r="DD1469" s="4" t="s">
        <v>241</v>
      </c>
      <c r="DF1469" s="4" t="s">
        <v>277</v>
      </c>
      <c r="DG1469" s="6">
        <f>1630</f>
        <v>1630</v>
      </c>
      <c r="DI1469" s="4" t="s">
        <v>241</v>
      </c>
      <c r="DJ1469" s="4" t="s">
        <v>241</v>
      </c>
      <c r="DK1469" s="4" t="s">
        <v>241</v>
      </c>
      <c r="DL1469" s="4" t="s">
        <v>241</v>
      </c>
      <c r="DP1469" s="4" t="s">
        <v>241</v>
      </c>
      <c r="DQ1469" s="4" t="s">
        <v>241</v>
      </c>
      <c r="DR1469" s="4" t="s">
        <v>241</v>
      </c>
      <c r="DS1469" s="4" t="s">
        <v>241</v>
      </c>
      <c r="DV1469" s="4" t="s">
        <v>278</v>
      </c>
      <c r="DW1469" s="4" t="s">
        <v>495</v>
      </c>
      <c r="HO1469" s="4" t="s">
        <v>267</v>
      </c>
    </row>
    <row r="1470" spans="1:223" ht="19.5" customHeight="1" x14ac:dyDescent="0.4">
      <c r="A1470" s="4">
        <v>1</v>
      </c>
      <c r="B1470" s="4" t="s">
        <v>239</v>
      </c>
      <c r="C1470" s="4">
        <v>3144</v>
      </c>
      <c r="D1470" s="4">
        <v>1</v>
      </c>
      <c r="E1470" s="4">
        <v>1</v>
      </c>
      <c r="F1470" s="4" t="s">
        <v>268</v>
      </c>
      <c r="G1470" s="4" t="s">
        <v>241</v>
      </c>
      <c r="H1470" s="4" t="s">
        <v>241</v>
      </c>
      <c r="I1470" s="4" t="s">
        <v>272</v>
      </c>
      <c r="J1470" s="4" t="s">
        <v>274</v>
      </c>
      <c r="K1470" s="4" t="s">
        <v>251</v>
      </c>
      <c r="L1470" s="4" t="s">
        <v>269</v>
      </c>
      <c r="M1470" s="5" t="s">
        <v>2562</v>
      </c>
      <c r="N1470" s="6">
        <f>4240</f>
        <v>4240</v>
      </c>
      <c r="O1470" s="4" t="s">
        <v>265</v>
      </c>
      <c r="P1470" s="6">
        <f>1</f>
        <v>1</v>
      </c>
      <c r="Q1470" s="6">
        <f>0</f>
        <v>0</v>
      </c>
      <c r="S1470" s="6">
        <f>0</f>
        <v>0</v>
      </c>
      <c r="T1470" s="6">
        <f>1</f>
        <v>1</v>
      </c>
      <c r="U1470" s="5" t="s">
        <v>245</v>
      </c>
      <c r="V1470" s="4" t="s">
        <v>270</v>
      </c>
      <c r="W1470" s="4" t="s">
        <v>271</v>
      </c>
      <c r="X1470" s="4" t="s">
        <v>273</v>
      </c>
      <c r="Y1470" s="4" t="s">
        <v>241</v>
      </c>
      <c r="AB1470" s="4" t="s">
        <v>241</v>
      </c>
      <c r="AD1470" s="5" t="s">
        <v>241</v>
      </c>
      <c r="AG1470" s="5" t="s">
        <v>246</v>
      </c>
      <c r="AH1470" s="4" t="s">
        <v>241</v>
      </c>
      <c r="AI1470" s="4" t="s">
        <v>247</v>
      </c>
      <c r="AJ1470" s="4" t="s">
        <v>248</v>
      </c>
      <c r="AZ1470" s="4" t="s">
        <v>249</v>
      </c>
      <c r="BA1470" s="4" t="s">
        <v>241</v>
      </c>
      <c r="BB1470" s="4" t="s">
        <v>250</v>
      </c>
      <c r="BC1470" s="4" t="s">
        <v>241</v>
      </c>
      <c r="BD1470" s="4" t="s">
        <v>252</v>
      </c>
      <c r="BE1470" s="4" t="s">
        <v>241</v>
      </c>
      <c r="BI1470" s="4" t="s">
        <v>253</v>
      </c>
      <c r="BJ1470" s="5" t="s">
        <v>246</v>
      </c>
      <c r="BK1470" s="4" t="s">
        <v>254</v>
      </c>
      <c r="BL1470" s="4" t="s">
        <v>255</v>
      </c>
      <c r="BM1470" s="4" t="s">
        <v>241</v>
      </c>
      <c r="BN1470" s="6">
        <f>0</f>
        <v>0</v>
      </c>
      <c r="BO1470" s="6">
        <f>0</f>
        <v>0</v>
      </c>
      <c r="BP1470" s="4" t="s">
        <v>256</v>
      </c>
      <c r="BQ1470" s="4" t="s">
        <v>257</v>
      </c>
      <c r="CE1470" s="4" t="s">
        <v>241</v>
      </c>
      <c r="CF1470" s="4" t="s">
        <v>241</v>
      </c>
      <c r="CJ1470" s="4" t="s">
        <v>276</v>
      </c>
      <c r="CK1470" s="4" t="s">
        <v>259</v>
      </c>
      <c r="CL1470" s="4" t="s">
        <v>241</v>
      </c>
      <c r="CO1470" s="5" t="s">
        <v>260</v>
      </c>
      <c r="CP1470" s="4" t="s">
        <v>241</v>
      </c>
      <c r="CQ1470" s="4" t="s">
        <v>261</v>
      </c>
      <c r="CR1470" s="4" t="s">
        <v>241</v>
      </c>
      <c r="CS1470" s="4" t="s">
        <v>241</v>
      </c>
      <c r="CT1470" s="4">
        <v>0</v>
      </c>
      <c r="CU1470" s="4" t="s">
        <v>262</v>
      </c>
      <c r="CV1470" s="4" t="s">
        <v>263</v>
      </c>
      <c r="CW1470" s="4" t="s">
        <v>263</v>
      </c>
      <c r="CX1470" s="4" t="s">
        <v>264</v>
      </c>
      <c r="DA1470" s="6">
        <f>1</f>
        <v>1</v>
      </c>
      <c r="DC1470" s="4" t="s">
        <v>277</v>
      </c>
      <c r="DD1470" s="4" t="s">
        <v>241</v>
      </c>
      <c r="DF1470" s="4" t="s">
        <v>277</v>
      </c>
      <c r="DG1470" s="6">
        <f>4240</f>
        <v>4240</v>
      </c>
      <c r="DI1470" s="4" t="s">
        <v>241</v>
      </c>
      <c r="DJ1470" s="4" t="s">
        <v>241</v>
      </c>
      <c r="DK1470" s="4" t="s">
        <v>241</v>
      </c>
      <c r="DL1470" s="4" t="s">
        <v>241</v>
      </c>
      <c r="DP1470" s="4" t="s">
        <v>241</v>
      </c>
      <c r="DQ1470" s="4" t="s">
        <v>241</v>
      </c>
      <c r="DR1470" s="4" t="s">
        <v>241</v>
      </c>
      <c r="DS1470" s="4" t="s">
        <v>241</v>
      </c>
      <c r="DV1470" s="4" t="s">
        <v>278</v>
      </c>
      <c r="DW1470" s="4" t="s">
        <v>503</v>
      </c>
      <c r="HO1470" s="4" t="s">
        <v>267</v>
      </c>
    </row>
    <row r="1471" spans="1:223" ht="19.5" customHeight="1" x14ac:dyDescent="0.4">
      <c r="A1471" s="4">
        <v>1</v>
      </c>
      <c r="B1471" s="4" t="s">
        <v>239</v>
      </c>
      <c r="C1471" s="4">
        <v>3145</v>
      </c>
      <c r="D1471" s="4">
        <v>1</v>
      </c>
      <c r="E1471" s="4">
        <v>1</v>
      </c>
      <c r="F1471" s="4" t="s">
        <v>268</v>
      </c>
      <c r="G1471" s="4" t="s">
        <v>241</v>
      </c>
      <c r="H1471" s="4" t="s">
        <v>241</v>
      </c>
      <c r="I1471" s="4" t="s">
        <v>272</v>
      </c>
      <c r="J1471" s="4" t="s">
        <v>274</v>
      </c>
      <c r="K1471" s="4" t="s">
        <v>251</v>
      </c>
      <c r="L1471" s="4" t="s">
        <v>269</v>
      </c>
      <c r="M1471" s="5" t="s">
        <v>2561</v>
      </c>
      <c r="N1471" s="6">
        <f>2228</f>
        <v>2228</v>
      </c>
      <c r="O1471" s="4" t="s">
        <v>265</v>
      </c>
      <c r="P1471" s="6">
        <f>1</f>
        <v>1</v>
      </c>
      <c r="Q1471" s="6">
        <f>0</f>
        <v>0</v>
      </c>
      <c r="S1471" s="6">
        <f>0</f>
        <v>0</v>
      </c>
      <c r="T1471" s="6">
        <f>1</f>
        <v>1</v>
      </c>
      <c r="U1471" s="5" t="s">
        <v>245</v>
      </c>
      <c r="V1471" s="4" t="s">
        <v>270</v>
      </c>
      <c r="W1471" s="4" t="s">
        <v>271</v>
      </c>
      <c r="X1471" s="4" t="s">
        <v>273</v>
      </c>
      <c r="Y1471" s="4" t="s">
        <v>241</v>
      </c>
      <c r="AB1471" s="4" t="s">
        <v>241</v>
      </c>
      <c r="AD1471" s="5" t="s">
        <v>241</v>
      </c>
      <c r="AG1471" s="5" t="s">
        <v>246</v>
      </c>
      <c r="AH1471" s="4" t="s">
        <v>241</v>
      </c>
      <c r="AI1471" s="4" t="s">
        <v>247</v>
      </c>
      <c r="AJ1471" s="4" t="s">
        <v>248</v>
      </c>
      <c r="AZ1471" s="4" t="s">
        <v>249</v>
      </c>
      <c r="BA1471" s="4" t="s">
        <v>241</v>
      </c>
      <c r="BB1471" s="4" t="s">
        <v>250</v>
      </c>
      <c r="BC1471" s="4" t="s">
        <v>241</v>
      </c>
      <c r="BD1471" s="4" t="s">
        <v>252</v>
      </c>
      <c r="BE1471" s="4" t="s">
        <v>241</v>
      </c>
      <c r="BI1471" s="4" t="s">
        <v>253</v>
      </c>
      <c r="BJ1471" s="5" t="s">
        <v>246</v>
      </c>
      <c r="BK1471" s="4" t="s">
        <v>254</v>
      </c>
      <c r="BL1471" s="4" t="s">
        <v>255</v>
      </c>
      <c r="BM1471" s="4" t="s">
        <v>241</v>
      </c>
      <c r="BN1471" s="6">
        <f>0</f>
        <v>0</v>
      </c>
      <c r="BO1471" s="6">
        <f>0</f>
        <v>0</v>
      </c>
      <c r="BP1471" s="4" t="s">
        <v>256</v>
      </c>
      <c r="BQ1471" s="4" t="s">
        <v>257</v>
      </c>
      <c r="CE1471" s="4" t="s">
        <v>241</v>
      </c>
      <c r="CF1471" s="4" t="s">
        <v>241</v>
      </c>
      <c r="CJ1471" s="4" t="s">
        <v>276</v>
      </c>
      <c r="CK1471" s="4" t="s">
        <v>259</v>
      </c>
      <c r="CL1471" s="4" t="s">
        <v>241</v>
      </c>
      <c r="CO1471" s="5" t="s">
        <v>260</v>
      </c>
      <c r="CP1471" s="4" t="s">
        <v>241</v>
      </c>
      <c r="CQ1471" s="4" t="s">
        <v>261</v>
      </c>
      <c r="CR1471" s="4" t="s">
        <v>241</v>
      </c>
      <c r="CS1471" s="4" t="s">
        <v>241</v>
      </c>
      <c r="CT1471" s="4">
        <v>0</v>
      </c>
      <c r="CU1471" s="4" t="s">
        <v>262</v>
      </c>
      <c r="CV1471" s="4" t="s">
        <v>263</v>
      </c>
      <c r="CW1471" s="4" t="s">
        <v>263</v>
      </c>
      <c r="CX1471" s="4" t="s">
        <v>264</v>
      </c>
      <c r="DA1471" s="6">
        <f>1</f>
        <v>1</v>
      </c>
      <c r="DC1471" s="4" t="s">
        <v>277</v>
      </c>
      <c r="DD1471" s="4" t="s">
        <v>241</v>
      </c>
      <c r="DF1471" s="4" t="s">
        <v>277</v>
      </c>
      <c r="DG1471" s="6">
        <f>2228</f>
        <v>2228</v>
      </c>
      <c r="DI1471" s="4" t="s">
        <v>241</v>
      </c>
      <c r="DJ1471" s="4" t="s">
        <v>241</v>
      </c>
      <c r="DK1471" s="4" t="s">
        <v>241</v>
      </c>
      <c r="DL1471" s="4" t="s">
        <v>241</v>
      </c>
      <c r="DP1471" s="4" t="s">
        <v>241</v>
      </c>
      <c r="DQ1471" s="4" t="s">
        <v>241</v>
      </c>
      <c r="DR1471" s="4" t="s">
        <v>241</v>
      </c>
      <c r="DS1471" s="4" t="s">
        <v>241</v>
      </c>
      <c r="DV1471" s="4" t="s">
        <v>278</v>
      </c>
      <c r="DW1471" s="4" t="s">
        <v>507</v>
      </c>
      <c r="HO1471" s="4" t="s">
        <v>267</v>
      </c>
    </row>
    <row r="1472" spans="1:223" ht="19.5" customHeight="1" x14ac:dyDescent="0.4">
      <c r="A1472" s="4">
        <v>1</v>
      </c>
      <c r="B1472" s="4" t="s">
        <v>239</v>
      </c>
      <c r="C1472" s="4">
        <v>3146</v>
      </c>
      <c r="D1472" s="4">
        <v>1</v>
      </c>
      <c r="E1472" s="4">
        <v>1</v>
      </c>
      <c r="F1472" s="4" t="s">
        <v>268</v>
      </c>
      <c r="G1472" s="4" t="s">
        <v>241</v>
      </c>
      <c r="H1472" s="4" t="s">
        <v>241</v>
      </c>
      <c r="I1472" s="4" t="s">
        <v>272</v>
      </c>
      <c r="J1472" s="4" t="s">
        <v>274</v>
      </c>
      <c r="K1472" s="4" t="s">
        <v>251</v>
      </c>
      <c r="L1472" s="4" t="s">
        <v>269</v>
      </c>
      <c r="M1472" s="5" t="s">
        <v>2558</v>
      </c>
      <c r="N1472" s="6">
        <f>5531</f>
        <v>5531</v>
      </c>
      <c r="O1472" s="4" t="s">
        <v>265</v>
      </c>
      <c r="P1472" s="6">
        <f>1</f>
        <v>1</v>
      </c>
      <c r="Q1472" s="6">
        <f>0</f>
        <v>0</v>
      </c>
      <c r="S1472" s="6">
        <f>0</f>
        <v>0</v>
      </c>
      <c r="T1472" s="6">
        <f>1</f>
        <v>1</v>
      </c>
      <c r="U1472" s="5" t="s">
        <v>245</v>
      </c>
      <c r="V1472" s="4" t="s">
        <v>270</v>
      </c>
      <c r="W1472" s="4" t="s">
        <v>271</v>
      </c>
      <c r="X1472" s="4" t="s">
        <v>273</v>
      </c>
      <c r="Y1472" s="4" t="s">
        <v>241</v>
      </c>
      <c r="AB1472" s="4" t="s">
        <v>241</v>
      </c>
      <c r="AD1472" s="5" t="s">
        <v>241</v>
      </c>
      <c r="AG1472" s="5" t="s">
        <v>246</v>
      </c>
      <c r="AH1472" s="4" t="s">
        <v>241</v>
      </c>
      <c r="AI1472" s="4" t="s">
        <v>247</v>
      </c>
      <c r="AJ1472" s="4" t="s">
        <v>248</v>
      </c>
      <c r="AZ1472" s="4" t="s">
        <v>249</v>
      </c>
      <c r="BA1472" s="4" t="s">
        <v>241</v>
      </c>
      <c r="BB1472" s="4" t="s">
        <v>250</v>
      </c>
      <c r="BC1472" s="4" t="s">
        <v>241</v>
      </c>
      <c r="BD1472" s="4" t="s">
        <v>252</v>
      </c>
      <c r="BE1472" s="4" t="s">
        <v>241</v>
      </c>
      <c r="BI1472" s="4" t="s">
        <v>253</v>
      </c>
      <c r="BJ1472" s="5" t="s">
        <v>246</v>
      </c>
      <c r="BK1472" s="4" t="s">
        <v>254</v>
      </c>
      <c r="BL1472" s="4" t="s">
        <v>255</v>
      </c>
      <c r="BM1472" s="4" t="s">
        <v>241</v>
      </c>
      <c r="BN1472" s="6">
        <f>0</f>
        <v>0</v>
      </c>
      <c r="BO1472" s="6">
        <f>0</f>
        <v>0</v>
      </c>
      <c r="BP1472" s="4" t="s">
        <v>256</v>
      </c>
      <c r="BQ1472" s="4" t="s">
        <v>257</v>
      </c>
      <c r="CE1472" s="4" t="s">
        <v>241</v>
      </c>
      <c r="CF1472" s="4" t="s">
        <v>241</v>
      </c>
      <c r="CJ1472" s="4" t="s">
        <v>276</v>
      </c>
      <c r="CK1472" s="4" t="s">
        <v>259</v>
      </c>
      <c r="CL1472" s="4" t="s">
        <v>241</v>
      </c>
      <c r="CO1472" s="5" t="s">
        <v>260</v>
      </c>
      <c r="CP1472" s="4" t="s">
        <v>241</v>
      </c>
      <c r="CQ1472" s="4" t="s">
        <v>261</v>
      </c>
      <c r="CR1472" s="4" t="s">
        <v>241</v>
      </c>
      <c r="CS1472" s="4" t="s">
        <v>241</v>
      </c>
      <c r="CT1472" s="4">
        <v>0</v>
      </c>
      <c r="CU1472" s="4" t="s">
        <v>262</v>
      </c>
      <c r="CV1472" s="4" t="s">
        <v>263</v>
      </c>
      <c r="CW1472" s="4" t="s">
        <v>263</v>
      </c>
      <c r="CX1472" s="4" t="s">
        <v>264</v>
      </c>
      <c r="DA1472" s="6">
        <f>1</f>
        <v>1</v>
      </c>
      <c r="DC1472" s="4" t="s">
        <v>277</v>
      </c>
      <c r="DD1472" s="4" t="s">
        <v>241</v>
      </c>
      <c r="DF1472" s="4" t="s">
        <v>277</v>
      </c>
      <c r="DG1472" s="6">
        <f>5531</f>
        <v>5531</v>
      </c>
      <c r="DI1472" s="4" t="s">
        <v>241</v>
      </c>
      <c r="DJ1472" s="4" t="s">
        <v>241</v>
      </c>
      <c r="DK1472" s="4" t="s">
        <v>241</v>
      </c>
      <c r="DL1472" s="4" t="s">
        <v>241</v>
      </c>
      <c r="DP1472" s="4" t="s">
        <v>241</v>
      </c>
      <c r="DQ1472" s="4" t="s">
        <v>241</v>
      </c>
      <c r="DR1472" s="4" t="s">
        <v>241</v>
      </c>
      <c r="DS1472" s="4" t="s">
        <v>241</v>
      </c>
      <c r="DV1472" s="4" t="s">
        <v>278</v>
      </c>
      <c r="DW1472" s="4" t="s">
        <v>517</v>
      </c>
      <c r="HO1472" s="4" t="s">
        <v>267</v>
      </c>
    </row>
    <row r="1473" spans="1:223" ht="19.5" customHeight="1" x14ac:dyDescent="0.4">
      <c r="A1473" s="4">
        <v>1</v>
      </c>
      <c r="B1473" s="4" t="s">
        <v>239</v>
      </c>
      <c r="C1473" s="4">
        <v>3147</v>
      </c>
      <c r="D1473" s="4">
        <v>1</v>
      </c>
      <c r="E1473" s="4">
        <v>1</v>
      </c>
      <c r="F1473" s="4" t="s">
        <v>268</v>
      </c>
      <c r="G1473" s="4" t="s">
        <v>241</v>
      </c>
      <c r="H1473" s="4" t="s">
        <v>241</v>
      </c>
      <c r="I1473" s="4" t="s">
        <v>272</v>
      </c>
      <c r="J1473" s="4" t="s">
        <v>274</v>
      </c>
      <c r="K1473" s="4" t="s">
        <v>251</v>
      </c>
      <c r="L1473" s="4" t="s">
        <v>269</v>
      </c>
      <c r="M1473" s="5" t="s">
        <v>2557</v>
      </c>
      <c r="N1473" s="6">
        <f>554</f>
        <v>554</v>
      </c>
      <c r="O1473" s="4" t="s">
        <v>265</v>
      </c>
      <c r="P1473" s="6">
        <f>1</f>
        <v>1</v>
      </c>
      <c r="Q1473" s="6">
        <f>0</f>
        <v>0</v>
      </c>
      <c r="S1473" s="6">
        <f>0</f>
        <v>0</v>
      </c>
      <c r="T1473" s="6">
        <f>1</f>
        <v>1</v>
      </c>
      <c r="U1473" s="5" t="s">
        <v>245</v>
      </c>
      <c r="V1473" s="4" t="s">
        <v>270</v>
      </c>
      <c r="W1473" s="4" t="s">
        <v>271</v>
      </c>
      <c r="X1473" s="4" t="s">
        <v>273</v>
      </c>
      <c r="Y1473" s="4" t="s">
        <v>241</v>
      </c>
      <c r="AB1473" s="4" t="s">
        <v>241</v>
      </c>
      <c r="AD1473" s="5" t="s">
        <v>241</v>
      </c>
      <c r="AG1473" s="5" t="s">
        <v>246</v>
      </c>
      <c r="AH1473" s="4" t="s">
        <v>241</v>
      </c>
      <c r="AI1473" s="4" t="s">
        <v>247</v>
      </c>
      <c r="AJ1473" s="4" t="s">
        <v>248</v>
      </c>
      <c r="AZ1473" s="4" t="s">
        <v>249</v>
      </c>
      <c r="BA1473" s="4" t="s">
        <v>241</v>
      </c>
      <c r="BB1473" s="4" t="s">
        <v>250</v>
      </c>
      <c r="BC1473" s="4" t="s">
        <v>241</v>
      </c>
      <c r="BD1473" s="4" t="s">
        <v>252</v>
      </c>
      <c r="BE1473" s="4" t="s">
        <v>241</v>
      </c>
      <c r="BI1473" s="4" t="s">
        <v>253</v>
      </c>
      <c r="BJ1473" s="5" t="s">
        <v>246</v>
      </c>
      <c r="BK1473" s="4" t="s">
        <v>254</v>
      </c>
      <c r="BL1473" s="4" t="s">
        <v>255</v>
      </c>
      <c r="BM1473" s="4" t="s">
        <v>241</v>
      </c>
      <c r="BN1473" s="6">
        <f>0</f>
        <v>0</v>
      </c>
      <c r="BO1473" s="6">
        <f>0</f>
        <v>0</v>
      </c>
      <c r="BP1473" s="4" t="s">
        <v>256</v>
      </c>
      <c r="BQ1473" s="4" t="s">
        <v>257</v>
      </c>
      <c r="CE1473" s="4" t="s">
        <v>241</v>
      </c>
      <c r="CF1473" s="4" t="s">
        <v>241</v>
      </c>
      <c r="CJ1473" s="4" t="s">
        <v>276</v>
      </c>
      <c r="CK1473" s="4" t="s">
        <v>259</v>
      </c>
      <c r="CL1473" s="4" t="s">
        <v>241</v>
      </c>
      <c r="CO1473" s="5" t="s">
        <v>260</v>
      </c>
      <c r="CP1473" s="4" t="s">
        <v>241</v>
      </c>
      <c r="CQ1473" s="4" t="s">
        <v>261</v>
      </c>
      <c r="CR1473" s="4" t="s">
        <v>241</v>
      </c>
      <c r="CS1473" s="4" t="s">
        <v>241</v>
      </c>
      <c r="CT1473" s="4">
        <v>0</v>
      </c>
      <c r="CU1473" s="4" t="s">
        <v>262</v>
      </c>
      <c r="CV1473" s="4" t="s">
        <v>263</v>
      </c>
      <c r="CW1473" s="4" t="s">
        <v>263</v>
      </c>
      <c r="CX1473" s="4" t="s">
        <v>264</v>
      </c>
      <c r="DA1473" s="6">
        <f>1</f>
        <v>1</v>
      </c>
      <c r="DC1473" s="4" t="s">
        <v>277</v>
      </c>
      <c r="DD1473" s="4" t="s">
        <v>241</v>
      </c>
      <c r="DF1473" s="4" t="s">
        <v>277</v>
      </c>
      <c r="DG1473" s="6">
        <f>554</f>
        <v>554</v>
      </c>
      <c r="DI1473" s="4" t="s">
        <v>241</v>
      </c>
      <c r="DJ1473" s="4" t="s">
        <v>241</v>
      </c>
      <c r="DK1473" s="4" t="s">
        <v>241</v>
      </c>
      <c r="DL1473" s="4" t="s">
        <v>241</v>
      </c>
      <c r="DP1473" s="4" t="s">
        <v>241</v>
      </c>
      <c r="DQ1473" s="4" t="s">
        <v>241</v>
      </c>
      <c r="DR1473" s="4" t="s">
        <v>241</v>
      </c>
      <c r="DS1473" s="4" t="s">
        <v>241</v>
      </c>
      <c r="DV1473" s="4" t="s">
        <v>278</v>
      </c>
      <c r="DW1473" s="4" t="s">
        <v>523</v>
      </c>
      <c r="HO1473" s="4" t="s">
        <v>267</v>
      </c>
    </row>
    <row r="1474" spans="1:223" ht="19.5" customHeight="1" x14ac:dyDescent="0.4">
      <c r="A1474" s="4">
        <v>1</v>
      </c>
      <c r="B1474" s="4" t="s">
        <v>239</v>
      </c>
      <c r="C1474" s="4">
        <v>3148</v>
      </c>
      <c r="D1474" s="4">
        <v>1</v>
      </c>
      <c r="E1474" s="4">
        <v>1</v>
      </c>
      <c r="F1474" s="4" t="s">
        <v>268</v>
      </c>
      <c r="G1474" s="4" t="s">
        <v>241</v>
      </c>
      <c r="H1474" s="4" t="s">
        <v>241</v>
      </c>
      <c r="I1474" s="4" t="s">
        <v>272</v>
      </c>
      <c r="J1474" s="4" t="s">
        <v>274</v>
      </c>
      <c r="K1474" s="4" t="s">
        <v>251</v>
      </c>
      <c r="L1474" s="4" t="s">
        <v>269</v>
      </c>
      <c r="M1474" s="5" t="s">
        <v>2556</v>
      </c>
      <c r="N1474" s="6">
        <f>2180</f>
        <v>2180</v>
      </c>
      <c r="O1474" s="4" t="s">
        <v>265</v>
      </c>
      <c r="P1474" s="6">
        <f>1</f>
        <v>1</v>
      </c>
      <c r="Q1474" s="6">
        <f>0</f>
        <v>0</v>
      </c>
      <c r="S1474" s="6">
        <f>0</f>
        <v>0</v>
      </c>
      <c r="T1474" s="6">
        <f>1</f>
        <v>1</v>
      </c>
      <c r="U1474" s="5" t="s">
        <v>245</v>
      </c>
      <c r="V1474" s="4" t="s">
        <v>270</v>
      </c>
      <c r="W1474" s="4" t="s">
        <v>271</v>
      </c>
      <c r="X1474" s="4" t="s">
        <v>273</v>
      </c>
      <c r="Y1474" s="4" t="s">
        <v>241</v>
      </c>
      <c r="AB1474" s="4" t="s">
        <v>241</v>
      </c>
      <c r="AD1474" s="5" t="s">
        <v>241</v>
      </c>
      <c r="AG1474" s="5" t="s">
        <v>246</v>
      </c>
      <c r="AH1474" s="4" t="s">
        <v>241</v>
      </c>
      <c r="AI1474" s="4" t="s">
        <v>247</v>
      </c>
      <c r="AJ1474" s="4" t="s">
        <v>248</v>
      </c>
      <c r="AZ1474" s="4" t="s">
        <v>249</v>
      </c>
      <c r="BA1474" s="4" t="s">
        <v>241</v>
      </c>
      <c r="BB1474" s="4" t="s">
        <v>250</v>
      </c>
      <c r="BC1474" s="4" t="s">
        <v>241</v>
      </c>
      <c r="BD1474" s="4" t="s">
        <v>252</v>
      </c>
      <c r="BE1474" s="4" t="s">
        <v>241</v>
      </c>
      <c r="BI1474" s="4" t="s">
        <v>253</v>
      </c>
      <c r="BJ1474" s="5" t="s">
        <v>246</v>
      </c>
      <c r="BK1474" s="4" t="s">
        <v>254</v>
      </c>
      <c r="BL1474" s="4" t="s">
        <v>255</v>
      </c>
      <c r="BM1474" s="4" t="s">
        <v>241</v>
      </c>
      <c r="BN1474" s="6">
        <f>0</f>
        <v>0</v>
      </c>
      <c r="BO1474" s="6">
        <f>0</f>
        <v>0</v>
      </c>
      <c r="BP1474" s="4" t="s">
        <v>256</v>
      </c>
      <c r="BQ1474" s="4" t="s">
        <v>257</v>
      </c>
      <c r="CE1474" s="4" t="s">
        <v>241</v>
      </c>
      <c r="CF1474" s="4" t="s">
        <v>241</v>
      </c>
      <c r="CJ1474" s="4" t="s">
        <v>276</v>
      </c>
      <c r="CK1474" s="4" t="s">
        <v>259</v>
      </c>
      <c r="CL1474" s="4" t="s">
        <v>241</v>
      </c>
      <c r="CO1474" s="5" t="s">
        <v>260</v>
      </c>
      <c r="CP1474" s="4" t="s">
        <v>241</v>
      </c>
      <c r="CQ1474" s="4" t="s">
        <v>261</v>
      </c>
      <c r="CR1474" s="4" t="s">
        <v>241</v>
      </c>
      <c r="CS1474" s="4" t="s">
        <v>241</v>
      </c>
      <c r="CT1474" s="4">
        <v>0</v>
      </c>
      <c r="CU1474" s="4" t="s">
        <v>262</v>
      </c>
      <c r="CV1474" s="4" t="s">
        <v>263</v>
      </c>
      <c r="CW1474" s="4" t="s">
        <v>263</v>
      </c>
      <c r="CX1474" s="4" t="s">
        <v>264</v>
      </c>
      <c r="DA1474" s="6">
        <f>1</f>
        <v>1</v>
      </c>
      <c r="DC1474" s="4" t="s">
        <v>277</v>
      </c>
      <c r="DD1474" s="4" t="s">
        <v>241</v>
      </c>
      <c r="DF1474" s="4" t="s">
        <v>277</v>
      </c>
      <c r="DG1474" s="6">
        <f>2180</f>
        <v>2180</v>
      </c>
      <c r="DI1474" s="4" t="s">
        <v>241</v>
      </c>
      <c r="DJ1474" s="4" t="s">
        <v>241</v>
      </c>
      <c r="DK1474" s="4" t="s">
        <v>241</v>
      </c>
      <c r="DL1474" s="4" t="s">
        <v>241</v>
      </c>
      <c r="DP1474" s="4" t="s">
        <v>241</v>
      </c>
      <c r="DQ1474" s="4" t="s">
        <v>241</v>
      </c>
      <c r="DR1474" s="4" t="s">
        <v>241</v>
      </c>
      <c r="DS1474" s="4" t="s">
        <v>241</v>
      </c>
      <c r="DV1474" s="4" t="s">
        <v>278</v>
      </c>
      <c r="DW1474" s="4" t="s">
        <v>533</v>
      </c>
      <c r="HO1474" s="4" t="s">
        <v>267</v>
      </c>
    </row>
    <row r="1475" spans="1:223" ht="19.5" customHeight="1" x14ac:dyDescent="0.4">
      <c r="A1475" s="4">
        <v>1</v>
      </c>
      <c r="B1475" s="4" t="s">
        <v>239</v>
      </c>
      <c r="C1475" s="4">
        <v>3149</v>
      </c>
      <c r="D1475" s="4">
        <v>1</v>
      </c>
      <c r="E1475" s="4">
        <v>1</v>
      </c>
      <c r="F1475" s="4" t="s">
        <v>268</v>
      </c>
      <c r="G1475" s="4" t="s">
        <v>241</v>
      </c>
      <c r="H1475" s="4" t="s">
        <v>241</v>
      </c>
      <c r="I1475" s="4" t="s">
        <v>272</v>
      </c>
      <c r="J1475" s="4" t="s">
        <v>274</v>
      </c>
      <c r="K1475" s="4" t="s">
        <v>251</v>
      </c>
      <c r="L1475" s="4" t="s">
        <v>269</v>
      </c>
      <c r="M1475" s="5" t="s">
        <v>2555</v>
      </c>
      <c r="N1475" s="6">
        <f>6989</f>
        <v>6989</v>
      </c>
      <c r="O1475" s="4" t="s">
        <v>265</v>
      </c>
      <c r="P1475" s="6">
        <f>1</f>
        <v>1</v>
      </c>
      <c r="Q1475" s="6">
        <f>0</f>
        <v>0</v>
      </c>
      <c r="S1475" s="6">
        <f>0</f>
        <v>0</v>
      </c>
      <c r="T1475" s="6">
        <f>1</f>
        <v>1</v>
      </c>
      <c r="U1475" s="5" t="s">
        <v>245</v>
      </c>
      <c r="V1475" s="4" t="s">
        <v>270</v>
      </c>
      <c r="W1475" s="4" t="s">
        <v>271</v>
      </c>
      <c r="X1475" s="4" t="s">
        <v>273</v>
      </c>
      <c r="Y1475" s="4" t="s">
        <v>241</v>
      </c>
      <c r="AB1475" s="4" t="s">
        <v>241</v>
      </c>
      <c r="AD1475" s="5" t="s">
        <v>241</v>
      </c>
      <c r="AG1475" s="5" t="s">
        <v>246</v>
      </c>
      <c r="AH1475" s="4" t="s">
        <v>241</v>
      </c>
      <c r="AI1475" s="4" t="s">
        <v>247</v>
      </c>
      <c r="AJ1475" s="4" t="s">
        <v>248</v>
      </c>
      <c r="AZ1475" s="4" t="s">
        <v>249</v>
      </c>
      <c r="BA1475" s="4" t="s">
        <v>241</v>
      </c>
      <c r="BB1475" s="4" t="s">
        <v>250</v>
      </c>
      <c r="BC1475" s="4" t="s">
        <v>241</v>
      </c>
      <c r="BD1475" s="4" t="s">
        <v>252</v>
      </c>
      <c r="BE1475" s="4" t="s">
        <v>241</v>
      </c>
      <c r="BI1475" s="4" t="s">
        <v>253</v>
      </c>
      <c r="BJ1475" s="5" t="s">
        <v>246</v>
      </c>
      <c r="BK1475" s="4" t="s">
        <v>254</v>
      </c>
      <c r="BL1475" s="4" t="s">
        <v>255</v>
      </c>
      <c r="BM1475" s="4" t="s">
        <v>241</v>
      </c>
      <c r="BN1475" s="6">
        <f>0</f>
        <v>0</v>
      </c>
      <c r="BO1475" s="6">
        <f>0</f>
        <v>0</v>
      </c>
      <c r="BP1475" s="4" t="s">
        <v>256</v>
      </c>
      <c r="BQ1475" s="4" t="s">
        <v>257</v>
      </c>
      <c r="CE1475" s="4" t="s">
        <v>241</v>
      </c>
      <c r="CF1475" s="4" t="s">
        <v>241</v>
      </c>
      <c r="CJ1475" s="4" t="s">
        <v>276</v>
      </c>
      <c r="CK1475" s="4" t="s">
        <v>259</v>
      </c>
      <c r="CL1475" s="4" t="s">
        <v>241</v>
      </c>
      <c r="CO1475" s="5" t="s">
        <v>260</v>
      </c>
      <c r="CP1475" s="4" t="s">
        <v>241</v>
      </c>
      <c r="CQ1475" s="4" t="s">
        <v>261</v>
      </c>
      <c r="CR1475" s="4" t="s">
        <v>241</v>
      </c>
      <c r="CS1475" s="4" t="s">
        <v>241</v>
      </c>
      <c r="CT1475" s="4">
        <v>0</v>
      </c>
      <c r="CU1475" s="4" t="s">
        <v>262</v>
      </c>
      <c r="CV1475" s="4" t="s">
        <v>263</v>
      </c>
      <c r="CW1475" s="4" t="s">
        <v>263</v>
      </c>
      <c r="CX1475" s="4" t="s">
        <v>264</v>
      </c>
      <c r="DA1475" s="6">
        <f>1</f>
        <v>1</v>
      </c>
      <c r="DC1475" s="4" t="s">
        <v>277</v>
      </c>
      <c r="DD1475" s="4" t="s">
        <v>241</v>
      </c>
      <c r="DF1475" s="4" t="s">
        <v>277</v>
      </c>
      <c r="DG1475" s="6">
        <f>6989</f>
        <v>6989</v>
      </c>
      <c r="DI1475" s="4" t="s">
        <v>241</v>
      </c>
      <c r="DJ1475" s="4" t="s">
        <v>241</v>
      </c>
      <c r="DK1475" s="4" t="s">
        <v>241</v>
      </c>
      <c r="DL1475" s="4" t="s">
        <v>241</v>
      </c>
      <c r="DP1475" s="4" t="s">
        <v>241</v>
      </c>
      <c r="DQ1475" s="4" t="s">
        <v>241</v>
      </c>
      <c r="DR1475" s="4" t="s">
        <v>241</v>
      </c>
      <c r="DS1475" s="4" t="s">
        <v>241</v>
      </c>
      <c r="DV1475" s="4" t="s">
        <v>278</v>
      </c>
      <c r="DW1475" s="4" t="s">
        <v>539</v>
      </c>
      <c r="HO1475" s="4" t="s">
        <v>267</v>
      </c>
    </row>
    <row r="1476" spans="1:223" ht="19.5" customHeight="1" x14ac:dyDescent="0.4">
      <c r="A1476" s="4">
        <v>1</v>
      </c>
      <c r="B1476" s="4" t="s">
        <v>239</v>
      </c>
      <c r="C1476" s="4">
        <v>3150</v>
      </c>
      <c r="D1476" s="4">
        <v>1</v>
      </c>
      <c r="E1476" s="4">
        <v>1</v>
      </c>
      <c r="F1476" s="4" t="s">
        <v>268</v>
      </c>
      <c r="G1476" s="4" t="s">
        <v>241</v>
      </c>
      <c r="H1476" s="4" t="s">
        <v>241</v>
      </c>
      <c r="I1476" s="4" t="s">
        <v>272</v>
      </c>
      <c r="J1476" s="4" t="s">
        <v>274</v>
      </c>
      <c r="K1476" s="4" t="s">
        <v>251</v>
      </c>
      <c r="L1476" s="4" t="s">
        <v>269</v>
      </c>
      <c r="M1476" s="5" t="s">
        <v>2550</v>
      </c>
      <c r="N1476" s="6">
        <f>2079</f>
        <v>2079</v>
      </c>
      <c r="O1476" s="4" t="s">
        <v>265</v>
      </c>
      <c r="P1476" s="6">
        <f>1</f>
        <v>1</v>
      </c>
      <c r="Q1476" s="6">
        <f>0</f>
        <v>0</v>
      </c>
      <c r="S1476" s="6">
        <f>0</f>
        <v>0</v>
      </c>
      <c r="T1476" s="6">
        <f>1</f>
        <v>1</v>
      </c>
      <c r="U1476" s="5" t="s">
        <v>245</v>
      </c>
      <c r="V1476" s="4" t="s">
        <v>270</v>
      </c>
      <c r="W1476" s="4" t="s">
        <v>271</v>
      </c>
      <c r="X1476" s="4" t="s">
        <v>273</v>
      </c>
      <c r="Y1476" s="4" t="s">
        <v>241</v>
      </c>
      <c r="AB1476" s="4" t="s">
        <v>241</v>
      </c>
      <c r="AD1476" s="5" t="s">
        <v>241</v>
      </c>
      <c r="AG1476" s="5" t="s">
        <v>246</v>
      </c>
      <c r="AH1476" s="4" t="s">
        <v>241</v>
      </c>
      <c r="AI1476" s="4" t="s">
        <v>247</v>
      </c>
      <c r="AJ1476" s="4" t="s">
        <v>248</v>
      </c>
      <c r="AZ1476" s="4" t="s">
        <v>249</v>
      </c>
      <c r="BA1476" s="4" t="s">
        <v>241</v>
      </c>
      <c r="BB1476" s="4" t="s">
        <v>250</v>
      </c>
      <c r="BC1476" s="4" t="s">
        <v>241</v>
      </c>
      <c r="BD1476" s="4" t="s">
        <v>252</v>
      </c>
      <c r="BE1476" s="4" t="s">
        <v>241</v>
      </c>
      <c r="BI1476" s="4" t="s">
        <v>253</v>
      </c>
      <c r="BJ1476" s="5" t="s">
        <v>246</v>
      </c>
      <c r="BK1476" s="4" t="s">
        <v>254</v>
      </c>
      <c r="BL1476" s="4" t="s">
        <v>255</v>
      </c>
      <c r="BM1476" s="4" t="s">
        <v>241</v>
      </c>
      <c r="BN1476" s="6">
        <f>0</f>
        <v>0</v>
      </c>
      <c r="BO1476" s="6">
        <f>0</f>
        <v>0</v>
      </c>
      <c r="BP1476" s="4" t="s">
        <v>256</v>
      </c>
      <c r="BQ1476" s="4" t="s">
        <v>257</v>
      </c>
      <c r="CE1476" s="4" t="s">
        <v>241</v>
      </c>
      <c r="CF1476" s="4" t="s">
        <v>241</v>
      </c>
      <c r="CJ1476" s="4" t="s">
        <v>276</v>
      </c>
      <c r="CK1476" s="4" t="s">
        <v>259</v>
      </c>
      <c r="CL1476" s="4" t="s">
        <v>241</v>
      </c>
      <c r="CO1476" s="5" t="s">
        <v>260</v>
      </c>
      <c r="CP1476" s="4" t="s">
        <v>241</v>
      </c>
      <c r="CQ1476" s="4" t="s">
        <v>261</v>
      </c>
      <c r="CR1476" s="4" t="s">
        <v>241</v>
      </c>
      <c r="CS1476" s="4" t="s">
        <v>241</v>
      </c>
      <c r="CT1476" s="4">
        <v>0</v>
      </c>
      <c r="CU1476" s="4" t="s">
        <v>262</v>
      </c>
      <c r="CV1476" s="4" t="s">
        <v>263</v>
      </c>
      <c r="CW1476" s="4" t="s">
        <v>263</v>
      </c>
      <c r="CX1476" s="4" t="s">
        <v>264</v>
      </c>
      <c r="DA1476" s="6">
        <f>1</f>
        <v>1</v>
      </c>
      <c r="DC1476" s="4" t="s">
        <v>277</v>
      </c>
      <c r="DD1476" s="4" t="s">
        <v>241</v>
      </c>
      <c r="DF1476" s="4" t="s">
        <v>277</v>
      </c>
      <c r="DG1476" s="6">
        <f>2079</f>
        <v>2079</v>
      </c>
      <c r="DI1476" s="4" t="s">
        <v>241</v>
      </c>
      <c r="DJ1476" s="4" t="s">
        <v>241</v>
      </c>
      <c r="DK1476" s="4" t="s">
        <v>241</v>
      </c>
      <c r="DL1476" s="4" t="s">
        <v>241</v>
      </c>
      <c r="DP1476" s="4" t="s">
        <v>241</v>
      </c>
      <c r="DQ1476" s="4" t="s">
        <v>241</v>
      </c>
      <c r="DR1476" s="4" t="s">
        <v>241</v>
      </c>
      <c r="DS1476" s="4" t="s">
        <v>241</v>
      </c>
      <c r="DV1476" s="4" t="s">
        <v>278</v>
      </c>
      <c r="DW1476" s="4" t="s">
        <v>553</v>
      </c>
      <c r="HO1476" s="4" t="s">
        <v>267</v>
      </c>
    </row>
    <row r="1477" spans="1:223" ht="19.5" customHeight="1" x14ac:dyDescent="0.4">
      <c r="A1477" s="4">
        <v>1</v>
      </c>
      <c r="B1477" s="4" t="s">
        <v>239</v>
      </c>
      <c r="C1477" s="4">
        <v>3151</v>
      </c>
      <c r="D1477" s="4">
        <v>1</v>
      </c>
      <c r="E1477" s="4">
        <v>1</v>
      </c>
      <c r="F1477" s="4" t="s">
        <v>268</v>
      </c>
      <c r="G1477" s="4" t="s">
        <v>241</v>
      </c>
      <c r="H1477" s="4" t="s">
        <v>241</v>
      </c>
      <c r="I1477" s="4" t="s">
        <v>272</v>
      </c>
      <c r="J1477" s="4" t="s">
        <v>274</v>
      </c>
      <c r="K1477" s="4" t="s">
        <v>251</v>
      </c>
      <c r="L1477" s="4" t="s">
        <v>269</v>
      </c>
      <c r="M1477" s="5" t="s">
        <v>2549</v>
      </c>
      <c r="N1477" s="6">
        <f>2203</f>
        <v>2203</v>
      </c>
      <c r="O1477" s="4" t="s">
        <v>265</v>
      </c>
      <c r="P1477" s="6">
        <f>1</f>
        <v>1</v>
      </c>
      <c r="Q1477" s="6">
        <f>0</f>
        <v>0</v>
      </c>
      <c r="S1477" s="6">
        <f>0</f>
        <v>0</v>
      </c>
      <c r="T1477" s="6">
        <f>1</f>
        <v>1</v>
      </c>
      <c r="U1477" s="5" t="s">
        <v>245</v>
      </c>
      <c r="V1477" s="4" t="s">
        <v>270</v>
      </c>
      <c r="W1477" s="4" t="s">
        <v>271</v>
      </c>
      <c r="X1477" s="4" t="s">
        <v>273</v>
      </c>
      <c r="Y1477" s="4" t="s">
        <v>241</v>
      </c>
      <c r="AB1477" s="4" t="s">
        <v>241</v>
      </c>
      <c r="AD1477" s="5" t="s">
        <v>241</v>
      </c>
      <c r="AG1477" s="5" t="s">
        <v>246</v>
      </c>
      <c r="AH1477" s="4" t="s">
        <v>241</v>
      </c>
      <c r="AI1477" s="4" t="s">
        <v>247</v>
      </c>
      <c r="AJ1477" s="4" t="s">
        <v>248</v>
      </c>
      <c r="AZ1477" s="4" t="s">
        <v>249</v>
      </c>
      <c r="BA1477" s="4" t="s">
        <v>241</v>
      </c>
      <c r="BB1477" s="4" t="s">
        <v>250</v>
      </c>
      <c r="BC1477" s="4" t="s">
        <v>241</v>
      </c>
      <c r="BD1477" s="4" t="s">
        <v>252</v>
      </c>
      <c r="BE1477" s="4" t="s">
        <v>241</v>
      </c>
      <c r="BI1477" s="4" t="s">
        <v>253</v>
      </c>
      <c r="BJ1477" s="5" t="s">
        <v>246</v>
      </c>
      <c r="BK1477" s="4" t="s">
        <v>254</v>
      </c>
      <c r="BL1477" s="4" t="s">
        <v>255</v>
      </c>
      <c r="BM1477" s="4" t="s">
        <v>241</v>
      </c>
      <c r="BN1477" s="6">
        <f>0</f>
        <v>0</v>
      </c>
      <c r="BO1477" s="6">
        <f>0</f>
        <v>0</v>
      </c>
      <c r="BP1477" s="4" t="s">
        <v>256</v>
      </c>
      <c r="BQ1477" s="4" t="s">
        <v>257</v>
      </c>
      <c r="CE1477" s="4" t="s">
        <v>241</v>
      </c>
      <c r="CF1477" s="4" t="s">
        <v>241</v>
      </c>
      <c r="CJ1477" s="4" t="s">
        <v>276</v>
      </c>
      <c r="CK1477" s="4" t="s">
        <v>259</v>
      </c>
      <c r="CL1477" s="4" t="s">
        <v>241</v>
      </c>
      <c r="CO1477" s="5" t="s">
        <v>260</v>
      </c>
      <c r="CP1477" s="4" t="s">
        <v>241</v>
      </c>
      <c r="CQ1477" s="4" t="s">
        <v>261</v>
      </c>
      <c r="CR1477" s="4" t="s">
        <v>241</v>
      </c>
      <c r="CS1477" s="4" t="s">
        <v>241</v>
      </c>
      <c r="CT1477" s="4">
        <v>0</v>
      </c>
      <c r="CU1477" s="4" t="s">
        <v>262</v>
      </c>
      <c r="CV1477" s="4" t="s">
        <v>263</v>
      </c>
      <c r="CW1477" s="4" t="s">
        <v>263</v>
      </c>
      <c r="CX1477" s="4" t="s">
        <v>264</v>
      </c>
      <c r="DA1477" s="6">
        <f>1</f>
        <v>1</v>
      </c>
      <c r="DC1477" s="4" t="s">
        <v>277</v>
      </c>
      <c r="DD1477" s="4" t="s">
        <v>241</v>
      </c>
      <c r="DF1477" s="4" t="s">
        <v>277</v>
      </c>
      <c r="DG1477" s="6">
        <f>2203</f>
        <v>2203</v>
      </c>
      <c r="DI1477" s="4" t="s">
        <v>241</v>
      </c>
      <c r="DJ1477" s="4" t="s">
        <v>241</v>
      </c>
      <c r="DK1477" s="4" t="s">
        <v>241</v>
      </c>
      <c r="DL1477" s="4" t="s">
        <v>241</v>
      </c>
      <c r="DP1477" s="4" t="s">
        <v>241</v>
      </c>
      <c r="DQ1477" s="4" t="s">
        <v>241</v>
      </c>
      <c r="DR1477" s="4" t="s">
        <v>241</v>
      </c>
      <c r="DS1477" s="4" t="s">
        <v>241</v>
      </c>
      <c r="DV1477" s="4" t="s">
        <v>278</v>
      </c>
      <c r="DW1477" s="4" t="s">
        <v>559</v>
      </c>
      <c r="HO1477" s="4" t="s">
        <v>267</v>
      </c>
    </row>
    <row r="1478" spans="1:223" ht="19.5" customHeight="1" x14ac:dyDescent="0.4">
      <c r="A1478" s="4">
        <v>1</v>
      </c>
      <c r="B1478" s="4" t="s">
        <v>239</v>
      </c>
      <c r="C1478" s="4">
        <v>3152</v>
      </c>
      <c r="D1478" s="4">
        <v>1</v>
      </c>
      <c r="E1478" s="4">
        <v>1</v>
      </c>
      <c r="F1478" s="4" t="s">
        <v>268</v>
      </c>
      <c r="G1478" s="4" t="s">
        <v>241</v>
      </c>
      <c r="H1478" s="4" t="s">
        <v>241</v>
      </c>
      <c r="I1478" s="4" t="s">
        <v>272</v>
      </c>
      <c r="J1478" s="4" t="s">
        <v>274</v>
      </c>
      <c r="K1478" s="4" t="s">
        <v>251</v>
      </c>
      <c r="L1478" s="4" t="s">
        <v>269</v>
      </c>
      <c r="M1478" s="5" t="s">
        <v>2545</v>
      </c>
      <c r="N1478" s="6">
        <f>1362</f>
        <v>1362</v>
      </c>
      <c r="O1478" s="4" t="s">
        <v>265</v>
      </c>
      <c r="P1478" s="6">
        <f>1</f>
        <v>1</v>
      </c>
      <c r="Q1478" s="6">
        <f>0</f>
        <v>0</v>
      </c>
      <c r="S1478" s="6">
        <f>0</f>
        <v>0</v>
      </c>
      <c r="T1478" s="6">
        <f>1</f>
        <v>1</v>
      </c>
      <c r="U1478" s="5" t="s">
        <v>245</v>
      </c>
      <c r="V1478" s="4" t="s">
        <v>270</v>
      </c>
      <c r="W1478" s="4" t="s">
        <v>271</v>
      </c>
      <c r="X1478" s="4" t="s">
        <v>273</v>
      </c>
      <c r="Y1478" s="4" t="s">
        <v>241</v>
      </c>
      <c r="AB1478" s="4" t="s">
        <v>241</v>
      </c>
      <c r="AD1478" s="5" t="s">
        <v>241</v>
      </c>
      <c r="AG1478" s="5" t="s">
        <v>246</v>
      </c>
      <c r="AH1478" s="4" t="s">
        <v>241</v>
      </c>
      <c r="AI1478" s="4" t="s">
        <v>247</v>
      </c>
      <c r="AJ1478" s="4" t="s">
        <v>248</v>
      </c>
      <c r="AZ1478" s="4" t="s">
        <v>249</v>
      </c>
      <c r="BA1478" s="4" t="s">
        <v>241</v>
      </c>
      <c r="BB1478" s="4" t="s">
        <v>250</v>
      </c>
      <c r="BC1478" s="4" t="s">
        <v>241</v>
      </c>
      <c r="BD1478" s="4" t="s">
        <v>252</v>
      </c>
      <c r="BE1478" s="4" t="s">
        <v>241</v>
      </c>
      <c r="BI1478" s="4" t="s">
        <v>253</v>
      </c>
      <c r="BJ1478" s="5" t="s">
        <v>246</v>
      </c>
      <c r="BK1478" s="4" t="s">
        <v>254</v>
      </c>
      <c r="BL1478" s="4" t="s">
        <v>255</v>
      </c>
      <c r="BM1478" s="4" t="s">
        <v>241</v>
      </c>
      <c r="BN1478" s="6">
        <f>0</f>
        <v>0</v>
      </c>
      <c r="BO1478" s="6">
        <f>0</f>
        <v>0</v>
      </c>
      <c r="BP1478" s="4" t="s">
        <v>256</v>
      </c>
      <c r="BQ1478" s="4" t="s">
        <v>257</v>
      </c>
      <c r="CE1478" s="4" t="s">
        <v>241</v>
      </c>
      <c r="CF1478" s="4" t="s">
        <v>241</v>
      </c>
      <c r="CJ1478" s="4" t="s">
        <v>276</v>
      </c>
      <c r="CK1478" s="4" t="s">
        <v>259</v>
      </c>
      <c r="CL1478" s="4" t="s">
        <v>241</v>
      </c>
      <c r="CO1478" s="5" t="s">
        <v>260</v>
      </c>
      <c r="CP1478" s="4" t="s">
        <v>241</v>
      </c>
      <c r="CQ1478" s="4" t="s">
        <v>261</v>
      </c>
      <c r="CR1478" s="4" t="s">
        <v>241</v>
      </c>
      <c r="CS1478" s="4" t="s">
        <v>241</v>
      </c>
      <c r="CT1478" s="4">
        <v>0</v>
      </c>
      <c r="CU1478" s="4" t="s">
        <v>262</v>
      </c>
      <c r="CV1478" s="4" t="s">
        <v>263</v>
      </c>
      <c r="CW1478" s="4" t="s">
        <v>263</v>
      </c>
      <c r="CX1478" s="4" t="s">
        <v>264</v>
      </c>
      <c r="DA1478" s="6">
        <f>1</f>
        <v>1</v>
      </c>
      <c r="DC1478" s="4" t="s">
        <v>277</v>
      </c>
      <c r="DD1478" s="4" t="s">
        <v>241</v>
      </c>
      <c r="DF1478" s="4" t="s">
        <v>277</v>
      </c>
      <c r="DG1478" s="6">
        <f>1362</f>
        <v>1362</v>
      </c>
      <c r="DI1478" s="4" t="s">
        <v>241</v>
      </c>
      <c r="DJ1478" s="4" t="s">
        <v>241</v>
      </c>
      <c r="DK1478" s="4" t="s">
        <v>241</v>
      </c>
      <c r="DL1478" s="4" t="s">
        <v>241</v>
      </c>
      <c r="DP1478" s="4" t="s">
        <v>241</v>
      </c>
      <c r="DQ1478" s="4" t="s">
        <v>241</v>
      </c>
      <c r="DR1478" s="4" t="s">
        <v>241</v>
      </c>
      <c r="DS1478" s="4" t="s">
        <v>241</v>
      </c>
      <c r="DV1478" s="4" t="s">
        <v>278</v>
      </c>
      <c r="DW1478" s="4" t="s">
        <v>2546</v>
      </c>
      <c r="HO1478" s="4" t="s">
        <v>267</v>
      </c>
    </row>
    <row r="1479" spans="1:223" ht="19.5" customHeight="1" x14ac:dyDescent="0.4">
      <c r="A1479" s="4">
        <v>1</v>
      </c>
      <c r="B1479" s="4" t="s">
        <v>239</v>
      </c>
      <c r="C1479" s="4">
        <v>3153</v>
      </c>
      <c r="D1479" s="4">
        <v>1</v>
      </c>
      <c r="E1479" s="4">
        <v>1</v>
      </c>
      <c r="F1479" s="4" t="s">
        <v>268</v>
      </c>
      <c r="G1479" s="4" t="s">
        <v>241</v>
      </c>
      <c r="H1479" s="4" t="s">
        <v>241</v>
      </c>
      <c r="I1479" s="4" t="s">
        <v>272</v>
      </c>
      <c r="J1479" s="4" t="s">
        <v>274</v>
      </c>
      <c r="K1479" s="4" t="s">
        <v>251</v>
      </c>
      <c r="L1479" s="4" t="s">
        <v>269</v>
      </c>
      <c r="M1479" s="5" t="s">
        <v>2544</v>
      </c>
      <c r="N1479" s="6">
        <f>1804</f>
        <v>1804</v>
      </c>
      <c r="O1479" s="4" t="s">
        <v>265</v>
      </c>
      <c r="P1479" s="6">
        <f>1</f>
        <v>1</v>
      </c>
      <c r="Q1479" s="6">
        <f>0</f>
        <v>0</v>
      </c>
      <c r="S1479" s="6">
        <f>0</f>
        <v>0</v>
      </c>
      <c r="T1479" s="6">
        <f>1</f>
        <v>1</v>
      </c>
      <c r="U1479" s="5" t="s">
        <v>245</v>
      </c>
      <c r="V1479" s="4" t="s">
        <v>270</v>
      </c>
      <c r="W1479" s="4" t="s">
        <v>271</v>
      </c>
      <c r="X1479" s="4" t="s">
        <v>273</v>
      </c>
      <c r="Y1479" s="4" t="s">
        <v>241</v>
      </c>
      <c r="AB1479" s="4" t="s">
        <v>241</v>
      </c>
      <c r="AD1479" s="5" t="s">
        <v>241</v>
      </c>
      <c r="AG1479" s="5" t="s">
        <v>246</v>
      </c>
      <c r="AH1479" s="4" t="s">
        <v>241</v>
      </c>
      <c r="AI1479" s="4" t="s">
        <v>247</v>
      </c>
      <c r="AJ1479" s="4" t="s">
        <v>248</v>
      </c>
      <c r="AZ1479" s="4" t="s">
        <v>249</v>
      </c>
      <c r="BA1479" s="4" t="s">
        <v>241</v>
      </c>
      <c r="BB1479" s="4" t="s">
        <v>250</v>
      </c>
      <c r="BC1479" s="4" t="s">
        <v>241</v>
      </c>
      <c r="BD1479" s="4" t="s">
        <v>252</v>
      </c>
      <c r="BE1479" s="4" t="s">
        <v>241</v>
      </c>
      <c r="BI1479" s="4" t="s">
        <v>253</v>
      </c>
      <c r="BJ1479" s="5" t="s">
        <v>246</v>
      </c>
      <c r="BK1479" s="4" t="s">
        <v>254</v>
      </c>
      <c r="BL1479" s="4" t="s">
        <v>255</v>
      </c>
      <c r="BM1479" s="4" t="s">
        <v>241</v>
      </c>
      <c r="BN1479" s="6">
        <f>0</f>
        <v>0</v>
      </c>
      <c r="BO1479" s="6">
        <f>0</f>
        <v>0</v>
      </c>
      <c r="BP1479" s="4" t="s">
        <v>256</v>
      </c>
      <c r="BQ1479" s="4" t="s">
        <v>257</v>
      </c>
      <c r="CE1479" s="4" t="s">
        <v>241</v>
      </c>
      <c r="CF1479" s="4" t="s">
        <v>241</v>
      </c>
      <c r="CJ1479" s="4" t="s">
        <v>276</v>
      </c>
      <c r="CK1479" s="4" t="s">
        <v>259</v>
      </c>
      <c r="CL1479" s="4" t="s">
        <v>241</v>
      </c>
      <c r="CO1479" s="5" t="s">
        <v>260</v>
      </c>
      <c r="CP1479" s="4" t="s">
        <v>241</v>
      </c>
      <c r="CQ1479" s="4" t="s">
        <v>261</v>
      </c>
      <c r="CR1479" s="4" t="s">
        <v>241</v>
      </c>
      <c r="CS1479" s="4" t="s">
        <v>241</v>
      </c>
      <c r="CT1479" s="4">
        <v>0</v>
      </c>
      <c r="CU1479" s="4" t="s">
        <v>262</v>
      </c>
      <c r="CV1479" s="4" t="s">
        <v>263</v>
      </c>
      <c r="CW1479" s="4" t="s">
        <v>263</v>
      </c>
      <c r="CX1479" s="4" t="s">
        <v>264</v>
      </c>
      <c r="DA1479" s="6">
        <f>1</f>
        <v>1</v>
      </c>
      <c r="DC1479" s="4" t="s">
        <v>277</v>
      </c>
      <c r="DD1479" s="4" t="s">
        <v>241</v>
      </c>
      <c r="DF1479" s="4" t="s">
        <v>277</v>
      </c>
      <c r="DG1479" s="6">
        <f>1804</f>
        <v>1804</v>
      </c>
      <c r="DI1479" s="4" t="s">
        <v>241</v>
      </c>
      <c r="DJ1479" s="4" t="s">
        <v>241</v>
      </c>
      <c r="DK1479" s="4" t="s">
        <v>241</v>
      </c>
      <c r="DL1479" s="4" t="s">
        <v>241</v>
      </c>
      <c r="DP1479" s="4" t="s">
        <v>241</v>
      </c>
      <c r="DQ1479" s="4" t="s">
        <v>241</v>
      </c>
      <c r="DR1479" s="4" t="s">
        <v>241</v>
      </c>
      <c r="DS1479" s="4" t="s">
        <v>241</v>
      </c>
      <c r="DV1479" s="4" t="s">
        <v>278</v>
      </c>
      <c r="DW1479" s="4" t="s">
        <v>569</v>
      </c>
      <c r="HO1479" s="4" t="s">
        <v>267</v>
      </c>
    </row>
    <row r="1480" spans="1:223" ht="19.5" customHeight="1" x14ac:dyDescent="0.4">
      <c r="A1480" s="4">
        <v>1</v>
      </c>
      <c r="B1480" s="4" t="s">
        <v>239</v>
      </c>
      <c r="C1480" s="4">
        <v>3154</v>
      </c>
      <c r="D1480" s="4">
        <v>1</v>
      </c>
      <c r="E1480" s="4">
        <v>1</v>
      </c>
      <c r="F1480" s="4" t="s">
        <v>268</v>
      </c>
      <c r="G1480" s="4" t="s">
        <v>241</v>
      </c>
      <c r="H1480" s="4" t="s">
        <v>241</v>
      </c>
      <c r="I1480" s="4" t="s">
        <v>272</v>
      </c>
      <c r="J1480" s="4" t="s">
        <v>274</v>
      </c>
      <c r="K1480" s="4" t="s">
        <v>251</v>
      </c>
      <c r="L1480" s="4" t="s">
        <v>269</v>
      </c>
      <c r="M1480" s="5" t="s">
        <v>2543</v>
      </c>
      <c r="N1480" s="6">
        <f>271</f>
        <v>271</v>
      </c>
      <c r="O1480" s="4" t="s">
        <v>265</v>
      </c>
      <c r="P1480" s="6">
        <f>1</f>
        <v>1</v>
      </c>
      <c r="Q1480" s="6">
        <f>0</f>
        <v>0</v>
      </c>
      <c r="S1480" s="6">
        <f>0</f>
        <v>0</v>
      </c>
      <c r="T1480" s="6">
        <f>1</f>
        <v>1</v>
      </c>
      <c r="U1480" s="5" t="s">
        <v>245</v>
      </c>
      <c r="V1480" s="4" t="s">
        <v>270</v>
      </c>
      <c r="W1480" s="4" t="s">
        <v>271</v>
      </c>
      <c r="X1480" s="4" t="s">
        <v>273</v>
      </c>
      <c r="Y1480" s="4" t="s">
        <v>241</v>
      </c>
      <c r="AB1480" s="4" t="s">
        <v>241</v>
      </c>
      <c r="AD1480" s="5" t="s">
        <v>241</v>
      </c>
      <c r="AG1480" s="5" t="s">
        <v>246</v>
      </c>
      <c r="AH1480" s="4" t="s">
        <v>241</v>
      </c>
      <c r="AI1480" s="4" t="s">
        <v>247</v>
      </c>
      <c r="AJ1480" s="4" t="s">
        <v>248</v>
      </c>
      <c r="AZ1480" s="4" t="s">
        <v>249</v>
      </c>
      <c r="BA1480" s="4" t="s">
        <v>241</v>
      </c>
      <c r="BB1480" s="4" t="s">
        <v>250</v>
      </c>
      <c r="BC1480" s="4" t="s">
        <v>241</v>
      </c>
      <c r="BD1480" s="4" t="s">
        <v>252</v>
      </c>
      <c r="BE1480" s="4" t="s">
        <v>241</v>
      </c>
      <c r="BI1480" s="4" t="s">
        <v>253</v>
      </c>
      <c r="BJ1480" s="5" t="s">
        <v>246</v>
      </c>
      <c r="BK1480" s="4" t="s">
        <v>254</v>
      </c>
      <c r="BL1480" s="4" t="s">
        <v>255</v>
      </c>
      <c r="BM1480" s="4" t="s">
        <v>241</v>
      </c>
      <c r="BN1480" s="6">
        <f>0</f>
        <v>0</v>
      </c>
      <c r="BO1480" s="6">
        <f>0</f>
        <v>0</v>
      </c>
      <c r="BP1480" s="4" t="s">
        <v>256</v>
      </c>
      <c r="BQ1480" s="4" t="s">
        <v>257</v>
      </c>
      <c r="CE1480" s="4" t="s">
        <v>241</v>
      </c>
      <c r="CF1480" s="4" t="s">
        <v>241</v>
      </c>
      <c r="CJ1480" s="4" t="s">
        <v>276</v>
      </c>
      <c r="CK1480" s="4" t="s">
        <v>259</v>
      </c>
      <c r="CL1480" s="4" t="s">
        <v>241</v>
      </c>
      <c r="CO1480" s="5" t="s">
        <v>260</v>
      </c>
      <c r="CP1480" s="4" t="s">
        <v>241</v>
      </c>
      <c r="CQ1480" s="4" t="s">
        <v>261</v>
      </c>
      <c r="CR1480" s="4" t="s">
        <v>241</v>
      </c>
      <c r="CS1480" s="4" t="s">
        <v>241</v>
      </c>
      <c r="CT1480" s="4">
        <v>0</v>
      </c>
      <c r="CU1480" s="4" t="s">
        <v>262</v>
      </c>
      <c r="CV1480" s="4" t="s">
        <v>263</v>
      </c>
      <c r="CW1480" s="4" t="s">
        <v>263</v>
      </c>
      <c r="CX1480" s="4" t="s">
        <v>264</v>
      </c>
      <c r="DA1480" s="6">
        <f>1</f>
        <v>1</v>
      </c>
      <c r="DC1480" s="4" t="s">
        <v>277</v>
      </c>
      <c r="DD1480" s="4" t="s">
        <v>241</v>
      </c>
      <c r="DF1480" s="4" t="s">
        <v>277</v>
      </c>
      <c r="DG1480" s="6">
        <f>271</f>
        <v>271</v>
      </c>
      <c r="DI1480" s="4" t="s">
        <v>241</v>
      </c>
      <c r="DJ1480" s="4" t="s">
        <v>241</v>
      </c>
      <c r="DK1480" s="4" t="s">
        <v>241</v>
      </c>
      <c r="DL1480" s="4" t="s">
        <v>241</v>
      </c>
      <c r="DP1480" s="4" t="s">
        <v>241</v>
      </c>
      <c r="DQ1480" s="4" t="s">
        <v>241</v>
      </c>
      <c r="DR1480" s="4" t="s">
        <v>241</v>
      </c>
      <c r="DS1480" s="4" t="s">
        <v>241</v>
      </c>
      <c r="DV1480" s="4" t="s">
        <v>278</v>
      </c>
      <c r="DW1480" s="4" t="s">
        <v>579</v>
      </c>
      <c r="HO1480" s="4" t="s">
        <v>267</v>
      </c>
    </row>
    <row r="1481" spans="1:223" ht="19.5" customHeight="1" x14ac:dyDescent="0.4">
      <c r="A1481" s="4">
        <v>1</v>
      </c>
      <c r="B1481" s="4" t="s">
        <v>239</v>
      </c>
      <c r="C1481" s="4">
        <v>3155</v>
      </c>
      <c r="D1481" s="4">
        <v>1</v>
      </c>
      <c r="E1481" s="4">
        <v>1</v>
      </c>
      <c r="F1481" s="4" t="s">
        <v>268</v>
      </c>
      <c r="G1481" s="4" t="s">
        <v>241</v>
      </c>
      <c r="H1481" s="4" t="s">
        <v>241</v>
      </c>
      <c r="I1481" s="4" t="s">
        <v>272</v>
      </c>
      <c r="J1481" s="4" t="s">
        <v>274</v>
      </c>
      <c r="K1481" s="4" t="s">
        <v>251</v>
      </c>
      <c r="L1481" s="4" t="s">
        <v>269</v>
      </c>
      <c r="M1481" s="5" t="s">
        <v>2542</v>
      </c>
      <c r="N1481" s="6">
        <f>1495</f>
        <v>1495</v>
      </c>
      <c r="O1481" s="4" t="s">
        <v>265</v>
      </c>
      <c r="P1481" s="6">
        <f>1</f>
        <v>1</v>
      </c>
      <c r="Q1481" s="6">
        <f>0</f>
        <v>0</v>
      </c>
      <c r="S1481" s="6">
        <f>0</f>
        <v>0</v>
      </c>
      <c r="T1481" s="6">
        <f>1</f>
        <v>1</v>
      </c>
      <c r="U1481" s="5" t="s">
        <v>245</v>
      </c>
      <c r="V1481" s="4" t="s">
        <v>270</v>
      </c>
      <c r="W1481" s="4" t="s">
        <v>271</v>
      </c>
      <c r="X1481" s="4" t="s">
        <v>273</v>
      </c>
      <c r="Y1481" s="4" t="s">
        <v>241</v>
      </c>
      <c r="AB1481" s="4" t="s">
        <v>241</v>
      </c>
      <c r="AD1481" s="5" t="s">
        <v>241</v>
      </c>
      <c r="AG1481" s="5" t="s">
        <v>246</v>
      </c>
      <c r="AH1481" s="4" t="s">
        <v>241</v>
      </c>
      <c r="AI1481" s="4" t="s">
        <v>247</v>
      </c>
      <c r="AJ1481" s="4" t="s">
        <v>248</v>
      </c>
      <c r="AZ1481" s="4" t="s">
        <v>249</v>
      </c>
      <c r="BA1481" s="4" t="s">
        <v>241</v>
      </c>
      <c r="BB1481" s="4" t="s">
        <v>250</v>
      </c>
      <c r="BC1481" s="4" t="s">
        <v>241</v>
      </c>
      <c r="BD1481" s="4" t="s">
        <v>252</v>
      </c>
      <c r="BE1481" s="4" t="s">
        <v>241</v>
      </c>
      <c r="BI1481" s="4" t="s">
        <v>253</v>
      </c>
      <c r="BJ1481" s="5" t="s">
        <v>246</v>
      </c>
      <c r="BK1481" s="4" t="s">
        <v>254</v>
      </c>
      <c r="BL1481" s="4" t="s">
        <v>255</v>
      </c>
      <c r="BM1481" s="4" t="s">
        <v>241</v>
      </c>
      <c r="BN1481" s="6">
        <f>0</f>
        <v>0</v>
      </c>
      <c r="BO1481" s="6">
        <f>0</f>
        <v>0</v>
      </c>
      <c r="BP1481" s="4" t="s">
        <v>256</v>
      </c>
      <c r="BQ1481" s="4" t="s">
        <v>257</v>
      </c>
      <c r="CE1481" s="4" t="s">
        <v>241</v>
      </c>
      <c r="CF1481" s="4" t="s">
        <v>241</v>
      </c>
      <c r="CJ1481" s="4" t="s">
        <v>276</v>
      </c>
      <c r="CK1481" s="4" t="s">
        <v>259</v>
      </c>
      <c r="CL1481" s="4" t="s">
        <v>241</v>
      </c>
      <c r="CO1481" s="5" t="s">
        <v>260</v>
      </c>
      <c r="CP1481" s="4" t="s">
        <v>241</v>
      </c>
      <c r="CQ1481" s="4" t="s">
        <v>261</v>
      </c>
      <c r="CR1481" s="4" t="s">
        <v>241</v>
      </c>
      <c r="CS1481" s="4" t="s">
        <v>241</v>
      </c>
      <c r="CT1481" s="4">
        <v>0</v>
      </c>
      <c r="CU1481" s="4" t="s">
        <v>262</v>
      </c>
      <c r="CV1481" s="4" t="s">
        <v>263</v>
      </c>
      <c r="CW1481" s="4" t="s">
        <v>263</v>
      </c>
      <c r="CX1481" s="4" t="s">
        <v>264</v>
      </c>
      <c r="DA1481" s="6">
        <f>1</f>
        <v>1</v>
      </c>
      <c r="DC1481" s="4" t="s">
        <v>277</v>
      </c>
      <c r="DD1481" s="4" t="s">
        <v>241</v>
      </c>
      <c r="DF1481" s="4" t="s">
        <v>277</v>
      </c>
      <c r="DG1481" s="6">
        <f>1495</f>
        <v>1495</v>
      </c>
      <c r="DI1481" s="4" t="s">
        <v>241</v>
      </c>
      <c r="DJ1481" s="4" t="s">
        <v>241</v>
      </c>
      <c r="DK1481" s="4" t="s">
        <v>241</v>
      </c>
      <c r="DL1481" s="4" t="s">
        <v>241</v>
      </c>
      <c r="DP1481" s="4" t="s">
        <v>241</v>
      </c>
      <c r="DQ1481" s="4" t="s">
        <v>241</v>
      </c>
      <c r="DR1481" s="4" t="s">
        <v>241</v>
      </c>
      <c r="DS1481" s="4" t="s">
        <v>241</v>
      </c>
      <c r="DV1481" s="4" t="s">
        <v>278</v>
      </c>
      <c r="DW1481" s="4" t="s">
        <v>583</v>
      </c>
      <c r="HO1481" s="4" t="s">
        <v>267</v>
      </c>
    </row>
    <row r="1482" spans="1:223" ht="19.5" customHeight="1" x14ac:dyDescent="0.4">
      <c r="A1482" s="4">
        <v>1</v>
      </c>
      <c r="B1482" s="4" t="s">
        <v>239</v>
      </c>
      <c r="C1482" s="4">
        <v>3156</v>
      </c>
      <c r="D1482" s="4">
        <v>1</v>
      </c>
      <c r="E1482" s="4">
        <v>1</v>
      </c>
      <c r="F1482" s="4" t="s">
        <v>268</v>
      </c>
      <c r="G1482" s="4" t="s">
        <v>241</v>
      </c>
      <c r="H1482" s="4" t="s">
        <v>241</v>
      </c>
      <c r="I1482" s="4" t="s">
        <v>272</v>
      </c>
      <c r="J1482" s="4" t="s">
        <v>274</v>
      </c>
      <c r="K1482" s="4" t="s">
        <v>251</v>
      </c>
      <c r="L1482" s="4" t="s">
        <v>269</v>
      </c>
      <c r="M1482" s="5" t="s">
        <v>2541</v>
      </c>
      <c r="N1482" s="6">
        <f>964</f>
        <v>964</v>
      </c>
      <c r="O1482" s="4" t="s">
        <v>265</v>
      </c>
      <c r="P1482" s="6">
        <f>1</f>
        <v>1</v>
      </c>
      <c r="Q1482" s="6">
        <f>0</f>
        <v>0</v>
      </c>
      <c r="S1482" s="6">
        <f>0</f>
        <v>0</v>
      </c>
      <c r="T1482" s="6">
        <f>1</f>
        <v>1</v>
      </c>
      <c r="U1482" s="5" t="s">
        <v>245</v>
      </c>
      <c r="V1482" s="4" t="s">
        <v>270</v>
      </c>
      <c r="W1482" s="4" t="s">
        <v>271</v>
      </c>
      <c r="X1482" s="4" t="s">
        <v>273</v>
      </c>
      <c r="Y1482" s="4" t="s">
        <v>241</v>
      </c>
      <c r="AB1482" s="4" t="s">
        <v>241</v>
      </c>
      <c r="AD1482" s="5" t="s">
        <v>241</v>
      </c>
      <c r="AG1482" s="5" t="s">
        <v>246</v>
      </c>
      <c r="AH1482" s="4" t="s">
        <v>241</v>
      </c>
      <c r="AI1482" s="4" t="s">
        <v>247</v>
      </c>
      <c r="AJ1482" s="4" t="s">
        <v>248</v>
      </c>
      <c r="AZ1482" s="4" t="s">
        <v>249</v>
      </c>
      <c r="BA1482" s="4" t="s">
        <v>241</v>
      </c>
      <c r="BB1482" s="4" t="s">
        <v>250</v>
      </c>
      <c r="BC1482" s="4" t="s">
        <v>241</v>
      </c>
      <c r="BD1482" s="4" t="s">
        <v>252</v>
      </c>
      <c r="BE1482" s="4" t="s">
        <v>241</v>
      </c>
      <c r="BI1482" s="4" t="s">
        <v>253</v>
      </c>
      <c r="BJ1482" s="5" t="s">
        <v>246</v>
      </c>
      <c r="BK1482" s="4" t="s">
        <v>254</v>
      </c>
      <c r="BL1482" s="4" t="s">
        <v>255</v>
      </c>
      <c r="BM1482" s="4" t="s">
        <v>241</v>
      </c>
      <c r="BN1482" s="6">
        <f>0</f>
        <v>0</v>
      </c>
      <c r="BO1482" s="6">
        <f>0</f>
        <v>0</v>
      </c>
      <c r="BP1482" s="4" t="s">
        <v>256</v>
      </c>
      <c r="BQ1482" s="4" t="s">
        <v>257</v>
      </c>
      <c r="CE1482" s="4" t="s">
        <v>241</v>
      </c>
      <c r="CF1482" s="4" t="s">
        <v>241</v>
      </c>
      <c r="CJ1482" s="4" t="s">
        <v>276</v>
      </c>
      <c r="CK1482" s="4" t="s">
        <v>259</v>
      </c>
      <c r="CL1482" s="4" t="s">
        <v>241</v>
      </c>
      <c r="CO1482" s="5" t="s">
        <v>260</v>
      </c>
      <c r="CP1482" s="4" t="s">
        <v>241</v>
      </c>
      <c r="CQ1482" s="4" t="s">
        <v>261</v>
      </c>
      <c r="CR1482" s="4" t="s">
        <v>241</v>
      </c>
      <c r="CS1482" s="4" t="s">
        <v>241</v>
      </c>
      <c r="CT1482" s="4">
        <v>0</v>
      </c>
      <c r="CU1482" s="4" t="s">
        <v>262</v>
      </c>
      <c r="CV1482" s="4" t="s">
        <v>263</v>
      </c>
      <c r="CW1482" s="4" t="s">
        <v>263</v>
      </c>
      <c r="CX1482" s="4" t="s">
        <v>264</v>
      </c>
      <c r="DA1482" s="6">
        <f>1</f>
        <v>1</v>
      </c>
      <c r="DC1482" s="4" t="s">
        <v>277</v>
      </c>
      <c r="DD1482" s="4" t="s">
        <v>241</v>
      </c>
      <c r="DF1482" s="4" t="s">
        <v>277</v>
      </c>
      <c r="DG1482" s="6">
        <f>964</f>
        <v>964</v>
      </c>
      <c r="DI1482" s="4" t="s">
        <v>241</v>
      </c>
      <c r="DJ1482" s="4" t="s">
        <v>241</v>
      </c>
      <c r="DK1482" s="4" t="s">
        <v>241</v>
      </c>
      <c r="DL1482" s="4" t="s">
        <v>241</v>
      </c>
      <c r="DP1482" s="4" t="s">
        <v>241</v>
      </c>
      <c r="DQ1482" s="4" t="s">
        <v>241</v>
      </c>
      <c r="DR1482" s="4" t="s">
        <v>241</v>
      </c>
      <c r="DS1482" s="4" t="s">
        <v>241</v>
      </c>
      <c r="DV1482" s="4" t="s">
        <v>278</v>
      </c>
      <c r="DW1482" s="4" t="s">
        <v>591</v>
      </c>
      <c r="HO1482" s="4" t="s">
        <v>267</v>
      </c>
    </row>
    <row r="1483" spans="1:223" ht="19.5" customHeight="1" x14ac:dyDescent="0.4">
      <c r="A1483" s="4">
        <v>1</v>
      </c>
      <c r="B1483" s="4" t="s">
        <v>239</v>
      </c>
      <c r="C1483" s="4">
        <v>3157</v>
      </c>
      <c r="D1483" s="4">
        <v>1</v>
      </c>
      <c r="E1483" s="4">
        <v>1</v>
      </c>
      <c r="F1483" s="4" t="s">
        <v>268</v>
      </c>
      <c r="G1483" s="4" t="s">
        <v>241</v>
      </c>
      <c r="H1483" s="4" t="s">
        <v>241</v>
      </c>
      <c r="I1483" s="4" t="s">
        <v>272</v>
      </c>
      <c r="J1483" s="4" t="s">
        <v>274</v>
      </c>
      <c r="K1483" s="4" t="s">
        <v>251</v>
      </c>
      <c r="L1483" s="4" t="s">
        <v>269</v>
      </c>
      <c r="M1483" s="5" t="s">
        <v>2540</v>
      </c>
      <c r="N1483" s="6">
        <f>6575</f>
        <v>6575</v>
      </c>
      <c r="O1483" s="4" t="s">
        <v>265</v>
      </c>
      <c r="P1483" s="6">
        <f>1</f>
        <v>1</v>
      </c>
      <c r="Q1483" s="6">
        <f>0</f>
        <v>0</v>
      </c>
      <c r="S1483" s="6">
        <f>0</f>
        <v>0</v>
      </c>
      <c r="T1483" s="6">
        <f>1</f>
        <v>1</v>
      </c>
      <c r="U1483" s="5" t="s">
        <v>245</v>
      </c>
      <c r="V1483" s="4" t="s">
        <v>270</v>
      </c>
      <c r="W1483" s="4" t="s">
        <v>271</v>
      </c>
      <c r="X1483" s="4" t="s">
        <v>273</v>
      </c>
      <c r="Y1483" s="4" t="s">
        <v>241</v>
      </c>
      <c r="AB1483" s="4" t="s">
        <v>241</v>
      </c>
      <c r="AD1483" s="5" t="s">
        <v>241</v>
      </c>
      <c r="AG1483" s="5" t="s">
        <v>246</v>
      </c>
      <c r="AH1483" s="4" t="s">
        <v>241</v>
      </c>
      <c r="AI1483" s="4" t="s">
        <v>247</v>
      </c>
      <c r="AJ1483" s="4" t="s">
        <v>248</v>
      </c>
      <c r="AZ1483" s="4" t="s">
        <v>249</v>
      </c>
      <c r="BA1483" s="4" t="s">
        <v>241</v>
      </c>
      <c r="BB1483" s="4" t="s">
        <v>250</v>
      </c>
      <c r="BC1483" s="4" t="s">
        <v>241</v>
      </c>
      <c r="BD1483" s="4" t="s">
        <v>252</v>
      </c>
      <c r="BE1483" s="4" t="s">
        <v>241</v>
      </c>
      <c r="BI1483" s="4" t="s">
        <v>253</v>
      </c>
      <c r="BJ1483" s="5" t="s">
        <v>246</v>
      </c>
      <c r="BK1483" s="4" t="s">
        <v>254</v>
      </c>
      <c r="BL1483" s="4" t="s">
        <v>255</v>
      </c>
      <c r="BM1483" s="4" t="s">
        <v>241</v>
      </c>
      <c r="BN1483" s="6">
        <f>0</f>
        <v>0</v>
      </c>
      <c r="BO1483" s="6">
        <f>0</f>
        <v>0</v>
      </c>
      <c r="BP1483" s="4" t="s">
        <v>256</v>
      </c>
      <c r="BQ1483" s="4" t="s">
        <v>257</v>
      </c>
      <c r="CE1483" s="4" t="s">
        <v>241</v>
      </c>
      <c r="CF1483" s="4" t="s">
        <v>241</v>
      </c>
      <c r="CJ1483" s="4" t="s">
        <v>276</v>
      </c>
      <c r="CK1483" s="4" t="s">
        <v>259</v>
      </c>
      <c r="CL1483" s="4" t="s">
        <v>241</v>
      </c>
      <c r="CO1483" s="5" t="s">
        <v>260</v>
      </c>
      <c r="CP1483" s="4" t="s">
        <v>241</v>
      </c>
      <c r="CQ1483" s="4" t="s">
        <v>261</v>
      </c>
      <c r="CR1483" s="4" t="s">
        <v>241</v>
      </c>
      <c r="CS1483" s="4" t="s">
        <v>241</v>
      </c>
      <c r="CT1483" s="4">
        <v>0</v>
      </c>
      <c r="CU1483" s="4" t="s">
        <v>262</v>
      </c>
      <c r="CV1483" s="4" t="s">
        <v>263</v>
      </c>
      <c r="CW1483" s="4" t="s">
        <v>263</v>
      </c>
      <c r="CX1483" s="4" t="s">
        <v>264</v>
      </c>
      <c r="DA1483" s="6">
        <f>1</f>
        <v>1</v>
      </c>
      <c r="DC1483" s="4" t="s">
        <v>277</v>
      </c>
      <c r="DD1483" s="4" t="s">
        <v>241</v>
      </c>
      <c r="DF1483" s="4" t="s">
        <v>277</v>
      </c>
      <c r="DG1483" s="6">
        <f>6575</f>
        <v>6575</v>
      </c>
      <c r="DI1483" s="4" t="s">
        <v>241</v>
      </c>
      <c r="DJ1483" s="4" t="s">
        <v>241</v>
      </c>
      <c r="DK1483" s="4" t="s">
        <v>241</v>
      </c>
      <c r="DL1483" s="4" t="s">
        <v>241</v>
      </c>
      <c r="DP1483" s="4" t="s">
        <v>241</v>
      </c>
      <c r="DQ1483" s="4" t="s">
        <v>241</v>
      </c>
      <c r="DR1483" s="4" t="s">
        <v>241</v>
      </c>
      <c r="DS1483" s="4" t="s">
        <v>241</v>
      </c>
      <c r="DV1483" s="4" t="s">
        <v>278</v>
      </c>
      <c r="DW1483" s="4" t="s">
        <v>794</v>
      </c>
      <c r="HO1483" s="4" t="s">
        <v>267</v>
      </c>
    </row>
    <row r="1484" spans="1:223" ht="19.5" customHeight="1" x14ac:dyDescent="0.4">
      <c r="A1484" s="4">
        <v>1</v>
      </c>
      <c r="B1484" s="4" t="s">
        <v>239</v>
      </c>
      <c r="C1484" s="4">
        <v>3158</v>
      </c>
      <c r="D1484" s="4">
        <v>1</v>
      </c>
      <c r="E1484" s="4">
        <v>1</v>
      </c>
      <c r="F1484" s="4" t="s">
        <v>268</v>
      </c>
      <c r="G1484" s="4" t="s">
        <v>241</v>
      </c>
      <c r="H1484" s="4" t="s">
        <v>241</v>
      </c>
      <c r="I1484" s="4" t="s">
        <v>272</v>
      </c>
      <c r="J1484" s="4" t="s">
        <v>274</v>
      </c>
      <c r="K1484" s="4" t="s">
        <v>251</v>
      </c>
      <c r="L1484" s="4" t="s">
        <v>269</v>
      </c>
      <c r="M1484" s="5" t="s">
        <v>2539</v>
      </c>
      <c r="N1484" s="6">
        <f>4555</f>
        <v>4555</v>
      </c>
      <c r="O1484" s="4" t="s">
        <v>265</v>
      </c>
      <c r="P1484" s="6">
        <f>1</f>
        <v>1</v>
      </c>
      <c r="Q1484" s="6">
        <f>0</f>
        <v>0</v>
      </c>
      <c r="S1484" s="6">
        <f>0</f>
        <v>0</v>
      </c>
      <c r="T1484" s="6">
        <f>1</f>
        <v>1</v>
      </c>
      <c r="U1484" s="5" t="s">
        <v>245</v>
      </c>
      <c r="V1484" s="4" t="s">
        <v>270</v>
      </c>
      <c r="W1484" s="4" t="s">
        <v>271</v>
      </c>
      <c r="X1484" s="4" t="s">
        <v>273</v>
      </c>
      <c r="Y1484" s="4" t="s">
        <v>241</v>
      </c>
      <c r="AB1484" s="4" t="s">
        <v>241</v>
      </c>
      <c r="AD1484" s="5" t="s">
        <v>241</v>
      </c>
      <c r="AG1484" s="5" t="s">
        <v>246</v>
      </c>
      <c r="AH1484" s="4" t="s">
        <v>241</v>
      </c>
      <c r="AI1484" s="4" t="s">
        <v>247</v>
      </c>
      <c r="AJ1484" s="4" t="s">
        <v>248</v>
      </c>
      <c r="AZ1484" s="4" t="s">
        <v>249</v>
      </c>
      <c r="BA1484" s="4" t="s">
        <v>241</v>
      </c>
      <c r="BB1484" s="4" t="s">
        <v>250</v>
      </c>
      <c r="BC1484" s="4" t="s">
        <v>241</v>
      </c>
      <c r="BD1484" s="4" t="s">
        <v>252</v>
      </c>
      <c r="BE1484" s="4" t="s">
        <v>241</v>
      </c>
      <c r="BI1484" s="4" t="s">
        <v>253</v>
      </c>
      <c r="BJ1484" s="5" t="s">
        <v>246</v>
      </c>
      <c r="BK1484" s="4" t="s">
        <v>254</v>
      </c>
      <c r="BL1484" s="4" t="s">
        <v>255</v>
      </c>
      <c r="BM1484" s="4" t="s">
        <v>241</v>
      </c>
      <c r="BN1484" s="6">
        <f>0</f>
        <v>0</v>
      </c>
      <c r="BO1484" s="6">
        <f>0</f>
        <v>0</v>
      </c>
      <c r="BP1484" s="4" t="s">
        <v>256</v>
      </c>
      <c r="BQ1484" s="4" t="s">
        <v>257</v>
      </c>
      <c r="CE1484" s="4" t="s">
        <v>241</v>
      </c>
      <c r="CF1484" s="4" t="s">
        <v>241</v>
      </c>
      <c r="CJ1484" s="4" t="s">
        <v>276</v>
      </c>
      <c r="CK1484" s="4" t="s">
        <v>259</v>
      </c>
      <c r="CL1484" s="4" t="s">
        <v>241</v>
      </c>
      <c r="CO1484" s="5" t="s">
        <v>260</v>
      </c>
      <c r="CP1484" s="4" t="s">
        <v>241</v>
      </c>
      <c r="CQ1484" s="4" t="s">
        <v>261</v>
      </c>
      <c r="CR1484" s="4" t="s">
        <v>241</v>
      </c>
      <c r="CS1484" s="4" t="s">
        <v>241</v>
      </c>
      <c r="CT1484" s="4">
        <v>0</v>
      </c>
      <c r="CU1484" s="4" t="s">
        <v>262</v>
      </c>
      <c r="CV1484" s="4" t="s">
        <v>263</v>
      </c>
      <c r="CW1484" s="4" t="s">
        <v>263</v>
      </c>
      <c r="CX1484" s="4" t="s">
        <v>264</v>
      </c>
      <c r="DA1484" s="6">
        <f>1</f>
        <v>1</v>
      </c>
      <c r="DC1484" s="4" t="s">
        <v>277</v>
      </c>
      <c r="DD1484" s="4" t="s">
        <v>241</v>
      </c>
      <c r="DF1484" s="4" t="s">
        <v>277</v>
      </c>
      <c r="DG1484" s="6">
        <f>4555</f>
        <v>4555</v>
      </c>
      <c r="DI1484" s="4" t="s">
        <v>241</v>
      </c>
      <c r="DJ1484" s="4" t="s">
        <v>241</v>
      </c>
      <c r="DK1484" s="4" t="s">
        <v>241</v>
      </c>
      <c r="DL1484" s="4" t="s">
        <v>241</v>
      </c>
      <c r="DP1484" s="4" t="s">
        <v>241</v>
      </c>
      <c r="DQ1484" s="4" t="s">
        <v>241</v>
      </c>
      <c r="DR1484" s="4" t="s">
        <v>241</v>
      </c>
      <c r="DS1484" s="4" t="s">
        <v>241</v>
      </c>
      <c r="DV1484" s="4" t="s">
        <v>278</v>
      </c>
      <c r="DW1484" s="4" t="s">
        <v>609</v>
      </c>
      <c r="HO1484" s="4" t="s">
        <v>267</v>
      </c>
    </row>
    <row r="1485" spans="1:223" ht="19.5" customHeight="1" x14ac:dyDescent="0.4">
      <c r="A1485" s="4">
        <v>1</v>
      </c>
      <c r="B1485" s="4" t="s">
        <v>239</v>
      </c>
      <c r="C1485" s="4">
        <v>3159</v>
      </c>
      <c r="D1485" s="4">
        <v>1</v>
      </c>
      <c r="E1485" s="4">
        <v>1</v>
      </c>
      <c r="F1485" s="4" t="s">
        <v>268</v>
      </c>
      <c r="G1485" s="4" t="s">
        <v>241</v>
      </c>
      <c r="H1485" s="4" t="s">
        <v>241</v>
      </c>
      <c r="I1485" s="4" t="s">
        <v>272</v>
      </c>
      <c r="J1485" s="4" t="s">
        <v>274</v>
      </c>
      <c r="K1485" s="4" t="s">
        <v>251</v>
      </c>
      <c r="L1485" s="4" t="s">
        <v>269</v>
      </c>
      <c r="M1485" s="5" t="s">
        <v>2538</v>
      </c>
      <c r="N1485" s="6">
        <f>3017</f>
        <v>3017</v>
      </c>
      <c r="O1485" s="4" t="s">
        <v>265</v>
      </c>
      <c r="P1485" s="6">
        <f>1</f>
        <v>1</v>
      </c>
      <c r="Q1485" s="6">
        <f>0</f>
        <v>0</v>
      </c>
      <c r="S1485" s="6">
        <f>0</f>
        <v>0</v>
      </c>
      <c r="T1485" s="6">
        <f>1</f>
        <v>1</v>
      </c>
      <c r="U1485" s="5" t="s">
        <v>245</v>
      </c>
      <c r="V1485" s="4" t="s">
        <v>270</v>
      </c>
      <c r="W1485" s="4" t="s">
        <v>271</v>
      </c>
      <c r="X1485" s="4" t="s">
        <v>273</v>
      </c>
      <c r="Y1485" s="4" t="s">
        <v>241</v>
      </c>
      <c r="AB1485" s="4" t="s">
        <v>241</v>
      </c>
      <c r="AD1485" s="5" t="s">
        <v>241</v>
      </c>
      <c r="AG1485" s="5" t="s">
        <v>246</v>
      </c>
      <c r="AH1485" s="4" t="s">
        <v>241</v>
      </c>
      <c r="AI1485" s="4" t="s">
        <v>247</v>
      </c>
      <c r="AJ1485" s="4" t="s">
        <v>248</v>
      </c>
      <c r="AZ1485" s="4" t="s">
        <v>249</v>
      </c>
      <c r="BA1485" s="4" t="s">
        <v>241</v>
      </c>
      <c r="BB1485" s="4" t="s">
        <v>250</v>
      </c>
      <c r="BC1485" s="4" t="s">
        <v>241</v>
      </c>
      <c r="BD1485" s="4" t="s">
        <v>252</v>
      </c>
      <c r="BE1485" s="4" t="s">
        <v>241</v>
      </c>
      <c r="BI1485" s="4" t="s">
        <v>253</v>
      </c>
      <c r="BJ1485" s="5" t="s">
        <v>246</v>
      </c>
      <c r="BK1485" s="4" t="s">
        <v>254</v>
      </c>
      <c r="BL1485" s="4" t="s">
        <v>255</v>
      </c>
      <c r="BM1485" s="4" t="s">
        <v>241</v>
      </c>
      <c r="BN1485" s="6">
        <f>0</f>
        <v>0</v>
      </c>
      <c r="BO1485" s="6">
        <f>0</f>
        <v>0</v>
      </c>
      <c r="BP1485" s="4" t="s">
        <v>256</v>
      </c>
      <c r="BQ1485" s="4" t="s">
        <v>257</v>
      </c>
      <c r="CE1485" s="4" t="s">
        <v>241</v>
      </c>
      <c r="CF1485" s="4" t="s">
        <v>241</v>
      </c>
      <c r="CJ1485" s="4" t="s">
        <v>276</v>
      </c>
      <c r="CK1485" s="4" t="s">
        <v>259</v>
      </c>
      <c r="CL1485" s="4" t="s">
        <v>241</v>
      </c>
      <c r="CO1485" s="5" t="s">
        <v>260</v>
      </c>
      <c r="CP1485" s="4" t="s">
        <v>241</v>
      </c>
      <c r="CQ1485" s="4" t="s">
        <v>261</v>
      </c>
      <c r="CR1485" s="4" t="s">
        <v>241</v>
      </c>
      <c r="CS1485" s="4" t="s">
        <v>241</v>
      </c>
      <c r="CT1485" s="4">
        <v>0</v>
      </c>
      <c r="CU1485" s="4" t="s">
        <v>262</v>
      </c>
      <c r="CV1485" s="4" t="s">
        <v>263</v>
      </c>
      <c r="CW1485" s="4" t="s">
        <v>263</v>
      </c>
      <c r="CX1485" s="4" t="s">
        <v>264</v>
      </c>
      <c r="DA1485" s="6">
        <f>1</f>
        <v>1</v>
      </c>
      <c r="DC1485" s="4" t="s">
        <v>277</v>
      </c>
      <c r="DD1485" s="4" t="s">
        <v>241</v>
      </c>
      <c r="DF1485" s="4" t="s">
        <v>277</v>
      </c>
      <c r="DG1485" s="6">
        <f>3017</f>
        <v>3017</v>
      </c>
      <c r="DI1485" s="4" t="s">
        <v>241</v>
      </c>
      <c r="DJ1485" s="4" t="s">
        <v>241</v>
      </c>
      <c r="DK1485" s="4" t="s">
        <v>241</v>
      </c>
      <c r="DL1485" s="4" t="s">
        <v>241</v>
      </c>
      <c r="DP1485" s="4" t="s">
        <v>241</v>
      </c>
      <c r="DQ1485" s="4" t="s">
        <v>241</v>
      </c>
      <c r="DR1485" s="4" t="s">
        <v>241</v>
      </c>
      <c r="DS1485" s="4" t="s">
        <v>241</v>
      </c>
      <c r="DV1485" s="4" t="s">
        <v>278</v>
      </c>
      <c r="DW1485" s="4" t="s">
        <v>619</v>
      </c>
      <c r="HO1485" s="4" t="s">
        <v>267</v>
      </c>
    </row>
    <row r="1486" spans="1:223" ht="19.5" customHeight="1" x14ac:dyDescent="0.4">
      <c r="A1486" s="4">
        <v>1</v>
      </c>
      <c r="B1486" s="4" t="s">
        <v>239</v>
      </c>
      <c r="C1486" s="4">
        <v>3160</v>
      </c>
      <c r="D1486" s="4">
        <v>1</v>
      </c>
      <c r="E1486" s="4">
        <v>1</v>
      </c>
      <c r="F1486" s="4" t="s">
        <v>268</v>
      </c>
      <c r="G1486" s="4" t="s">
        <v>241</v>
      </c>
      <c r="H1486" s="4" t="s">
        <v>241</v>
      </c>
      <c r="I1486" s="4" t="s">
        <v>272</v>
      </c>
      <c r="J1486" s="4" t="s">
        <v>274</v>
      </c>
      <c r="K1486" s="4" t="s">
        <v>251</v>
      </c>
      <c r="L1486" s="4" t="s">
        <v>269</v>
      </c>
      <c r="M1486" s="5" t="s">
        <v>2536</v>
      </c>
      <c r="N1486" s="6">
        <f>2994</f>
        <v>2994</v>
      </c>
      <c r="O1486" s="4" t="s">
        <v>265</v>
      </c>
      <c r="P1486" s="6">
        <f>1</f>
        <v>1</v>
      </c>
      <c r="Q1486" s="6">
        <f>0</f>
        <v>0</v>
      </c>
      <c r="S1486" s="6">
        <f>0</f>
        <v>0</v>
      </c>
      <c r="T1486" s="6">
        <f>1</f>
        <v>1</v>
      </c>
      <c r="U1486" s="5" t="s">
        <v>245</v>
      </c>
      <c r="V1486" s="4" t="s">
        <v>270</v>
      </c>
      <c r="W1486" s="4" t="s">
        <v>271</v>
      </c>
      <c r="X1486" s="4" t="s">
        <v>273</v>
      </c>
      <c r="Y1486" s="4" t="s">
        <v>241</v>
      </c>
      <c r="AB1486" s="4" t="s">
        <v>241</v>
      </c>
      <c r="AD1486" s="5" t="s">
        <v>241</v>
      </c>
      <c r="AG1486" s="5" t="s">
        <v>246</v>
      </c>
      <c r="AH1486" s="4" t="s">
        <v>241</v>
      </c>
      <c r="AI1486" s="4" t="s">
        <v>247</v>
      </c>
      <c r="AJ1486" s="4" t="s">
        <v>248</v>
      </c>
      <c r="AZ1486" s="4" t="s">
        <v>249</v>
      </c>
      <c r="BA1486" s="4" t="s">
        <v>241</v>
      </c>
      <c r="BB1486" s="4" t="s">
        <v>250</v>
      </c>
      <c r="BC1486" s="4" t="s">
        <v>241</v>
      </c>
      <c r="BD1486" s="4" t="s">
        <v>252</v>
      </c>
      <c r="BE1486" s="4" t="s">
        <v>241</v>
      </c>
      <c r="BI1486" s="4" t="s">
        <v>253</v>
      </c>
      <c r="BJ1486" s="5" t="s">
        <v>246</v>
      </c>
      <c r="BK1486" s="4" t="s">
        <v>254</v>
      </c>
      <c r="BL1486" s="4" t="s">
        <v>255</v>
      </c>
      <c r="BM1486" s="4" t="s">
        <v>241</v>
      </c>
      <c r="BN1486" s="6">
        <f>0</f>
        <v>0</v>
      </c>
      <c r="BO1486" s="6">
        <f>0</f>
        <v>0</v>
      </c>
      <c r="BP1486" s="4" t="s">
        <v>256</v>
      </c>
      <c r="BQ1486" s="4" t="s">
        <v>257</v>
      </c>
      <c r="CE1486" s="4" t="s">
        <v>241</v>
      </c>
      <c r="CF1486" s="4" t="s">
        <v>241</v>
      </c>
      <c r="CJ1486" s="4" t="s">
        <v>276</v>
      </c>
      <c r="CK1486" s="4" t="s">
        <v>259</v>
      </c>
      <c r="CL1486" s="4" t="s">
        <v>241</v>
      </c>
      <c r="CO1486" s="5" t="s">
        <v>260</v>
      </c>
      <c r="CP1486" s="4" t="s">
        <v>241</v>
      </c>
      <c r="CQ1486" s="4" t="s">
        <v>261</v>
      </c>
      <c r="CR1486" s="4" t="s">
        <v>241</v>
      </c>
      <c r="CS1486" s="4" t="s">
        <v>241</v>
      </c>
      <c r="CT1486" s="4">
        <v>0</v>
      </c>
      <c r="CU1486" s="4" t="s">
        <v>262</v>
      </c>
      <c r="CV1486" s="4" t="s">
        <v>263</v>
      </c>
      <c r="CW1486" s="4" t="s">
        <v>263</v>
      </c>
      <c r="CX1486" s="4" t="s">
        <v>264</v>
      </c>
      <c r="DA1486" s="6">
        <f>1</f>
        <v>1</v>
      </c>
      <c r="DC1486" s="4" t="s">
        <v>277</v>
      </c>
      <c r="DD1486" s="4" t="s">
        <v>241</v>
      </c>
      <c r="DF1486" s="4" t="s">
        <v>277</v>
      </c>
      <c r="DG1486" s="6">
        <f>2994</f>
        <v>2994</v>
      </c>
      <c r="DI1486" s="4" t="s">
        <v>241</v>
      </c>
      <c r="DJ1486" s="4" t="s">
        <v>241</v>
      </c>
      <c r="DK1486" s="4" t="s">
        <v>241</v>
      </c>
      <c r="DL1486" s="4" t="s">
        <v>241</v>
      </c>
      <c r="DP1486" s="4" t="s">
        <v>241</v>
      </c>
      <c r="DQ1486" s="4" t="s">
        <v>241</v>
      </c>
      <c r="DR1486" s="4" t="s">
        <v>241</v>
      </c>
      <c r="DS1486" s="4" t="s">
        <v>241</v>
      </c>
      <c r="DV1486" s="4" t="s">
        <v>278</v>
      </c>
      <c r="DW1486" s="4" t="s">
        <v>2537</v>
      </c>
      <c r="HO1486" s="4" t="s">
        <v>267</v>
      </c>
    </row>
    <row r="1487" spans="1:223" ht="19.5" customHeight="1" x14ac:dyDescent="0.4">
      <c r="A1487" s="4">
        <v>1</v>
      </c>
      <c r="B1487" s="4" t="s">
        <v>239</v>
      </c>
      <c r="C1487" s="4">
        <v>3161</v>
      </c>
      <c r="D1487" s="4">
        <v>1</v>
      </c>
      <c r="E1487" s="4">
        <v>1</v>
      </c>
      <c r="F1487" s="4" t="s">
        <v>268</v>
      </c>
      <c r="G1487" s="4" t="s">
        <v>241</v>
      </c>
      <c r="H1487" s="4" t="s">
        <v>241</v>
      </c>
      <c r="I1487" s="4" t="s">
        <v>272</v>
      </c>
      <c r="J1487" s="4" t="s">
        <v>274</v>
      </c>
      <c r="K1487" s="4" t="s">
        <v>251</v>
      </c>
      <c r="L1487" s="4" t="s">
        <v>269</v>
      </c>
      <c r="M1487" s="5" t="s">
        <v>2535</v>
      </c>
      <c r="N1487" s="6">
        <f>4496</f>
        <v>4496</v>
      </c>
      <c r="O1487" s="4" t="s">
        <v>265</v>
      </c>
      <c r="P1487" s="6">
        <f>1</f>
        <v>1</v>
      </c>
      <c r="Q1487" s="6">
        <f>0</f>
        <v>0</v>
      </c>
      <c r="S1487" s="6">
        <f>0</f>
        <v>0</v>
      </c>
      <c r="T1487" s="6">
        <f>1</f>
        <v>1</v>
      </c>
      <c r="U1487" s="5" t="s">
        <v>245</v>
      </c>
      <c r="V1487" s="4" t="s">
        <v>270</v>
      </c>
      <c r="W1487" s="4" t="s">
        <v>271</v>
      </c>
      <c r="X1487" s="4" t="s">
        <v>273</v>
      </c>
      <c r="Y1487" s="4" t="s">
        <v>241</v>
      </c>
      <c r="AB1487" s="4" t="s">
        <v>241</v>
      </c>
      <c r="AD1487" s="5" t="s">
        <v>241</v>
      </c>
      <c r="AG1487" s="5" t="s">
        <v>246</v>
      </c>
      <c r="AH1487" s="4" t="s">
        <v>241</v>
      </c>
      <c r="AI1487" s="4" t="s">
        <v>247</v>
      </c>
      <c r="AJ1487" s="4" t="s">
        <v>248</v>
      </c>
      <c r="AZ1487" s="4" t="s">
        <v>249</v>
      </c>
      <c r="BA1487" s="4" t="s">
        <v>241</v>
      </c>
      <c r="BB1487" s="4" t="s">
        <v>250</v>
      </c>
      <c r="BC1487" s="4" t="s">
        <v>241</v>
      </c>
      <c r="BD1487" s="4" t="s">
        <v>252</v>
      </c>
      <c r="BE1487" s="4" t="s">
        <v>241</v>
      </c>
      <c r="BI1487" s="4" t="s">
        <v>253</v>
      </c>
      <c r="BJ1487" s="5" t="s">
        <v>246</v>
      </c>
      <c r="BK1487" s="4" t="s">
        <v>254</v>
      </c>
      <c r="BL1487" s="4" t="s">
        <v>255</v>
      </c>
      <c r="BM1487" s="4" t="s">
        <v>241</v>
      </c>
      <c r="BN1487" s="6">
        <f>0</f>
        <v>0</v>
      </c>
      <c r="BO1487" s="6">
        <f>0</f>
        <v>0</v>
      </c>
      <c r="BP1487" s="4" t="s">
        <v>256</v>
      </c>
      <c r="BQ1487" s="4" t="s">
        <v>257</v>
      </c>
      <c r="CE1487" s="4" t="s">
        <v>241</v>
      </c>
      <c r="CF1487" s="4" t="s">
        <v>241</v>
      </c>
      <c r="CJ1487" s="4" t="s">
        <v>276</v>
      </c>
      <c r="CK1487" s="4" t="s">
        <v>259</v>
      </c>
      <c r="CL1487" s="4" t="s">
        <v>241</v>
      </c>
      <c r="CO1487" s="5" t="s">
        <v>260</v>
      </c>
      <c r="CP1487" s="4" t="s">
        <v>241</v>
      </c>
      <c r="CQ1487" s="4" t="s">
        <v>261</v>
      </c>
      <c r="CR1487" s="4" t="s">
        <v>241</v>
      </c>
      <c r="CS1487" s="4" t="s">
        <v>241</v>
      </c>
      <c r="CT1487" s="4">
        <v>0</v>
      </c>
      <c r="CU1487" s="4" t="s">
        <v>262</v>
      </c>
      <c r="CV1487" s="4" t="s">
        <v>263</v>
      </c>
      <c r="CW1487" s="4" t="s">
        <v>263</v>
      </c>
      <c r="CX1487" s="4" t="s">
        <v>264</v>
      </c>
      <c r="DA1487" s="6">
        <f>1</f>
        <v>1</v>
      </c>
      <c r="DC1487" s="4" t="s">
        <v>277</v>
      </c>
      <c r="DD1487" s="4" t="s">
        <v>241</v>
      </c>
      <c r="DF1487" s="4" t="s">
        <v>277</v>
      </c>
      <c r="DG1487" s="6">
        <f>4496</f>
        <v>4496</v>
      </c>
      <c r="DI1487" s="4" t="s">
        <v>241</v>
      </c>
      <c r="DJ1487" s="4" t="s">
        <v>241</v>
      </c>
      <c r="DK1487" s="4" t="s">
        <v>241</v>
      </c>
      <c r="DL1487" s="4" t="s">
        <v>241</v>
      </c>
      <c r="DP1487" s="4" t="s">
        <v>241</v>
      </c>
      <c r="DQ1487" s="4" t="s">
        <v>241</v>
      </c>
      <c r="DR1487" s="4" t="s">
        <v>241</v>
      </c>
      <c r="DS1487" s="4" t="s">
        <v>241</v>
      </c>
      <c r="DV1487" s="4" t="s">
        <v>278</v>
      </c>
      <c r="DW1487" s="4" t="s">
        <v>634</v>
      </c>
      <c r="HO1487" s="4" t="s">
        <v>267</v>
      </c>
    </row>
    <row r="1488" spans="1:223" ht="19.5" customHeight="1" x14ac:dyDescent="0.4">
      <c r="A1488" s="4">
        <v>1</v>
      </c>
      <c r="B1488" s="4" t="s">
        <v>239</v>
      </c>
      <c r="C1488" s="4">
        <v>3162</v>
      </c>
      <c r="D1488" s="4">
        <v>1</v>
      </c>
      <c r="E1488" s="4">
        <v>1</v>
      </c>
      <c r="F1488" s="4" t="s">
        <v>268</v>
      </c>
      <c r="G1488" s="4" t="s">
        <v>241</v>
      </c>
      <c r="H1488" s="4" t="s">
        <v>241</v>
      </c>
      <c r="I1488" s="4" t="s">
        <v>272</v>
      </c>
      <c r="J1488" s="4" t="s">
        <v>274</v>
      </c>
      <c r="K1488" s="4" t="s">
        <v>251</v>
      </c>
      <c r="L1488" s="4" t="s">
        <v>269</v>
      </c>
      <c r="M1488" s="5" t="s">
        <v>2533</v>
      </c>
      <c r="N1488" s="6">
        <f>3991</f>
        <v>3991</v>
      </c>
      <c r="O1488" s="4" t="s">
        <v>265</v>
      </c>
      <c r="P1488" s="6">
        <f>1</f>
        <v>1</v>
      </c>
      <c r="Q1488" s="6">
        <f>0</f>
        <v>0</v>
      </c>
      <c r="S1488" s="6">
        <f>0</f>
        <v>0</v>
      </c>
      <c r="T1488" s="6">
        <f>1</f>
        <v>1</v>
      </c>
      <c r="U1488" s="5" t="s">
        <v>245</v>
      </c>
      <c r="V1488" s="4" t="s">
        <v>270</v>
      </c>
      <c r="W1488" s="4" t="s">
        <v>271</v>
      </c>
      <c r="X1488" s="4" t="s">
        <v>273</v>
      </c>
      <c r="Y1488" s="4" t="s">
        <v>241</v>
      </c>
      <c r="AB1488" s="4" t="s">
        <v>241</v>
      </c>
      <c r="AD1488" s="5" t="s">
        <v>241</v>
      </c>
      <c r="AG1488" s="5" t="s">
        <v>246</v>
      </c>
      <c r="AH1488" s="4" t="s">
        <v>241</v>
      </c>
      <c r="AI1488" s="4" t="s">
        <v>247</v>
      </c>
      <c r="AJ1488" s="4" t="s">
        <v>248</v>
      </c>
      <c r="AZ1488" s="4" t="s">
        <v>249</v>
      </c>
      <c r="BA1488" s="4" t="s">
        <v>241</v>
      </c>
      <c r="BB1488" s="4" t="s">
        <v>250</v>
      </c>
      <c r="BC1488" s="4" t="s">
        <v>241</v>
      </c>
      <c r="BD1488" s="4" t="s">
        <v>252</v>
      </c>
      <c r="BE1488" s="4" t="s">
        <v>241</v>
      </c>
      <c r="BI1488" s="4" t="s">
        <v>253</v>
      </c>
      <c r="BJ1488" s="5" t="s">
        <v>246</v>
      </c>
      <c r="BK1488" s="4" t="s">
        <v>254</v>
      </c>
      <c r="BL1488" s="4" t="s">
        <v>255</v>
      </c>
      <c r="BM1488" s="4" t="s">
        <v>241</v>
      </c>
      <c r="BN1488" s="6">
        <f>0</f>
        <v>0</v>
      </c>
      <c r="BO1488" s="6">
        <f>0</f>
        <v>0</v>
      </c>
      <c r="BP1488" s="4" t="s">
        <v>256</v>
      </c>
      <c r="BQ1488" s="4" t="s">
        <v>257</v>
      </c>
      <c r="CE1488" s="4" t="s">
        <v>241</v>
      </c>
      <c r="CF1488" s="4" t="s">
        <v>241</v>
      </c>
      <c r="CJ1488" s="4" t="s">
        <v>276</v>
      </c>
      <c r="CK1488" s="4" t="s">
        <v>259</v>
      </c>
      <c r="CL1488" s="4" t="s">
        <v>241</v>
      </c>
      <c r="CO1488" s="5" t="s">
        <v>260</v>
      </c>
      <c r="CP1488" s="4" t="s">
        <v>241</v>
      </c>
      <c r="CQ1488" s="4" t="s">
        <v>261</v>
      </c>
      <c r="CR1488" s="4" t="s">
        <v>241</v>
      </c>
      <c r="CS1488" s="4" t="s">
        <v>241</v>
      </c>
      <c r="CT1488" s="4">
        <v>0</v>
      </c>
      <c r="CU1488" s="4" t="s">
        <v>262</v>
      </c>
      <c r="CV1488" s="4" t="s">
        <v>263</v>
      </c>
      <c r="CW1488" s="4" t="s">
        <v>263</v>
      </c>
      <c r="CX1488" s="4" t="s">
        <v>264</v>
      </c>
      <c r="DA1488" s="6">
        <f>1</f>
        <v>1</v>
      </c>
      <c r="DC1488" s="4" t="s">
        <v>277</v>
      </c>
      <c r="DD1488" s="4" t="s">
        <v>241</v>
      </c>
      <c r="DF1488" s="4" t="s">
        <v>277</v>
      </c>
      <c r="DG1488" s="6">
        <f>3991</f>
        <v>3991</v>
      </c>
      <c r="DI1488" s="4" t="s">
        <v>241</v>
      </c>
      <c r="DJ1488" s="4" t="s">
        <v>241</v>
      </c>
      <c r="DK1488" s="4" t="s">
        <v>241</v>
      </c>
      <c r="DL1488" s="4" t="s">
        <v>241</v>
      </c>
      <c r="DP1488" s="4" t="s">
        <v>241</v>
      </c>
      <c r="DQ1488" s="4" t="s">
        <v>241</v>
      </c>
      <c r="DR1488" s="4" t="s">
        <v>241</v>
      </c>
      <c r="DS1488" s="4" t="s">
        <v>241</v>
      </c>
      <c r="DV1488" s="4" t="s">
        <v>278</v>
      </c>
      <c r="DW1488" s="4" t="s">
        <v>2534</v>
      </c>
      <c r="HO1488" s="4" t="s">
        <v>267</v>
      </c>
    </row>
    <row r="1489" spans="1:223" ht="19.5" customHeight="1" x14ac:dyDescent="0.4">
      <c r="A1489" s="4">
        <v>1</v>
      </c>
      <c r="B1489" s="4" t="s">
        <v>239</v>
      </c>
      <c r="C1489" s="4">
        <v>3163</v>
      </c>
      <c r="D1489" s="4">
        <v>1</v>
      </c>
      <c r="E1489" s="4">
        <v>1</v>
      </c>
      <c r="F1489" s="4" t="s">
        <v>268</v>
      </c>
      <c r="G1489" s="4" t="s">
        <v>241</v>
      </c>
      <c r="H1489" s="4" t="s">
        <v>241</v>
      </c>
      <c r="I1489" s="4" t="s">
        <v>272</v>
      </c>
      <c r="J1489" s="4" t="s">
        <v>274</v>
      </c>
      <c r="K1489" s="4" t="s">
        <v>251</v>
      </c>
      <c r="L1489" s="4" t="s">
        <v>269</v>
      </c>
      <c r="M1489" s="5" t="s">
        <v>2532</v>
      </c>
      <c r="N1489" s="6">
        <f>5697</f>
        <v>5697</v>
      </c>
      <c r="O1489" s="4" t="s">
        <v>265</v>
      </c>
      <c r="P1489" s="6">
        <f>1</f>
        <v>1</v>
      </c>
      <c r="Q1489" s="6">
        <f>0</f>
        <v>0</v>
      </c>
      <c r="S1489" s="6">
        <f>0</f>
        <v>0</v>
      </c>
      <c r="T1489" s="6">
        <f>1</f>
        <v>1</v>
      </c>
      <c r="U1489" s="5" t="s">
        <v>245</v>
      </c>
      <c r="V1489" s="4" t="s">
        <v>270</v>
      </c>
      <c r="W1489" s="4" t="s">
        <v>271</v>
      </c>
      <c r="X1489" s="4" t="s">
        <v>273</v>
      </c>
      <c r="Y1489" s="4" t="s">
        <v>241</v>
      </c>
      <c r="AB1489" s="4" t="s">
        <v>241</v>
      </c>
      <c r="AD1489" s="5" t="s">
        <v>241</v>
      </c>
      <c r="AG1489" s="5" t="s">
        <v>246</v>
      </c>
      <c r="AH1489" s="4" t="s">
        <v>241</v>
      </c>
      <c r="AI1489" s="4" t="s">
        <v>247</v>
      </c>
      <c r="AJ1489" s="4" t="s">
        <v>248</v>
      </c>
      <c r="AZ1489" s="4" t="s">
        <v>249</v>
      </c>
      <c r="BA1489" s="4" t="s">
        <v>241</v>
      </c>
      <c r="BB1489" s="4" t="s">
        <v>250</v>
      </c>
      <c r="BC1489" s="4" t="s">
        <v>241</v>
      </c>
      <c r="BD1489" s="4" t="s">
        <v>252</v>
      </c>
      <c r="BE1489" s="4" t="s">
        <v>241</v>
      </c>
      <c r="BI1489" s="4" t="s">
        <v>253</v>
      </c>
      <c r="BJ1489" s="5" t="s">
        <v>246</v>
      </c>
      <c r="BK1489" s="4" t="s">
        <v>254</v>
      </c>
      <c r="BL1489" s="4" t="s">
        <v>255</v>
      </c>
      <c r="BM1489" s="4" t="s">
        <v>241</v>
      </c>
      <c r="BN1489" s="6">
        <f>0</f>
        <v>0</v>
      </c>
      <c r="BO1489" s="6">
        <f>0</f>
        <v>0</v>
      </c>
      <c r="BP1489" s="4" t="s">
        <v>256</v>
      </c>
      <c r="BQ1489" s="4" t="s">
        <v>257</v>
      </c>
      <c r="CE1489" s="4" t="s">
        <v>241</v>
      </c>
      <c r="CF1489" s="4" t="s">
        <v>241</v>
      </c>
      <c r="CJ1489" s="4" t="s">
        <v>276</v>
      </c>
      <c r="CK1489" s="4" t="s">
        <v>259</v>
      </c>
      <c r="CL1489" s="4" t="s">
        <v>241</v>
      </c>
      <c r="CO1489" s="5" t="s">
        <v>260</v>
      </c>
      <c r="CP1489" s="4" t="s">
        <v>241</v>
      </c>
      <c r="CQ1489" s="4" t="s">
        <v>261</v>
      </c>
      <c r="CR1489" s="4" t="s">
        <v>241</v>
      </c>
      <c r="CS1489" s="4" t="s">
        <v>241</v>
      </c>
      <c r="CT1489" s="4">
        <v>0</v>
      </c>
      <c r="CU1489" s="4" t="s">
        <v>262</v>
      </c>
      <c r="CV1489" s="4" t="s">
        <v>263</v>
      </c>
      <c r="CW1489" s="4" t="s">
        <v>263</v>
      </c>
      <c r="CX1489" s="4" t="s">
        <v>264</v>
      </c>
      <c r="DA1489" s="6">
        <f>1</f>
        <v>1</v>
      </c>
      <c r="DC1489" s="4" t="s">
        <v>277</v>
      </c>
      <c r="DD1489" s="4" t="s">
        <v>241</v>
      </c>
      <c r="DF1489" s="4" t="s">
        <v>277</v>
      </c>
      <c r="DG1489" s="6">
        <f>5697</f>
        <v>5697</v>
      </c>
      <c r="DI1489" s="4" t="s">
        <v>241</v>
      </c>
      <c r="DJ1489" s="4" t="s">
        <v>241</v>
      </c>
      <c r="DK1489" s="4" t="s">
        <v>241</v>
      </c>
      <c r="DL1489" s="4" t="s">
        <v>241</v>
      </c>
      <c r="DP1489" s="4" t="s">
        <v>241</v>
      </c>
      <c r="DQ1489" s="4" t="s">
        <v>241</v>
      </c>
      <c r="DR1489" s="4" t="s">
        <v>241</v>
      </c>
      <c r="DS1489" s="4" t="s">
        <v>241</v>
      </c>
      <c r="DV1489" s="4" t="s">
        <v>278</v>
      </c>
      <c r="DW1489" s="4" t="s">
        <v>640</v>
      </c>
      <c r="HO1489" s="4" t="s">
        <v>267</v>
      </c>
    </row>
    <row r="1490" spans="1:223" ht="19.5" customHeight="1" x14ac:dyDescent="0.4">
      <c r="A1490" s="4">
        <v>1</v>
      </c>
      <c r="B1490" s="4" t="s">
        <v>239</v>
      </c>
      <c r="C1490" s="4">
        <v>3164</v>
      </c>
      <c r="D1490" s="4">
        <v>1</v>
      </c>
      <c r="E1490" s="4">
        <v>1</v>
      </c>
      <c r="F1490" s="4" t="s">
        <v>268</v>
      </c>
      <c r="G1490" s="4" t="s">
        <v>241</v>
      </c>
      <c r="H1490" s="4" t="s">
        <v>241</v>
      </c>
      <c r="I1490" s="4" t="s">
        <v>272</v>
      </c>
      <c r="J1490" s="4" t="s">
        <v>274</v>
      </c>
      <c r="K1490" s="4" t="s">
        <v>251</v>
      </c>
      <c r="L1490" s="4" t="s">
        <v>269</v>
      </c>
      <c r="M1490" s="5" t="s">
        <v>2531</v>
      </c>
      <c r="N1490" s="6">
        <f>900</f>
        <v>900</v>
      </c>
      <c r="O1490" s="4" t="s">
        <v>265</v>
      </c>
      <c r="P1490" s="6">
        <f>1</f>
        <v>1</v>
      </c>
      <c r="Q1490" s="6">
        <f>0</f>
        <v>0</v>
      </c>
      <c r="S1490" s="6">
        <f>0</f>
        <v>0</v>
      </c>
      <c r="T1490" s="6">
        <f>1</f>
        <v>1</v>
      </c>
      <c r="U1490" s="5" t="s">
        <v>245</v>
      </c>
      <c r="V1490" s="4" t="s">
        <v>270</v>
      </c>
      <c r="W1490" s="4" t="s">
        <v>271</v>
      </c>
      <c r="X1490" s="4" t="s">
        <v>273</v>
      </c>
      <c r="Y1490" s="4" t="s">
        <v>241</v>
      </c>
      <c r="AB1490" s="4" t="s">
        <v>241</v>
      </c>
      <c r="AD1490" s="5" t="s">
        <v>241</v>
      </c>
      <c r="AG1490" s="5" t="s">
        <v>246</v>
      </c>
      <c r="AH1490" s="4" t="s">
        <v>241</v>
      </c>
      <c r="AI1490" s="4" t="s">
        <v>247</v>
      </c>
      <c r="AJ1490" s="4" t="s">
        <v>248</v>
      </c>
      <c r="AZ1490" s="4" t="s">
        <v>249</v>
      </c>
      <c r="BA1490" s="4" t="s">
        <v>241</v>
      </c>
      <c r="BB1490" s="4" t="s">
        <v>250</v>
      </c>
      <c r="BC1490" s="4" t="s">
        <v>241</v>
      </c>
      <c r="BD1490" s="4" t="s">
        <v>252</v>
      </c>
      <c r="BE1490" s="4" t="s">
        <v>241</v>
      </c>
      <c r="BI1490" s="4" t="s">
        <v>253</v>
      </c>
      <c r="BJ1490" s="5" t="s">
        <v>246</v>
      </c>
      <c r="BK1490" s="4" t="s">
        <v>254</v>
      </c>
      <c r="BL1490" s="4" t="s">
        <v>255</v>
      </c>
      <c r="BM1490" s="4" t="s">
        <v>241</v>
      </c>
      <c r="BN1490" s="6">
        <f>0</f>
        <v>0</v>
      </c>
      <c r="BO1490" s="6">
        <f>0</f>
        <v>0</v>
      </c>
      <c r="BP1490" s="4" t="s">
        <v>256</v>
      </c>
      <c r="BQ1490" s="4" t="s">
        <v>257</v>
      </c>
      <c r="CE1490" s="4" t="s">
        <v>241</v>
      </c>
      <c r="CF1490" s="4" t="s">
        <v>241</v>
      </c>
      <c r="CJ1490" s="4" t="s">
        <v>276</v>
      </c>
      <c r="CK1490" s="4" t="s">
        <v>259</v>
      </c>
      <c r="CL1490" s="4" t="s">
        <v>241</v>
      </c>
      <c r="CO1490" s="5" t="s">
        <v>260</v>
      </c>
      <c r="CP1490" s="4" t="s">
        <v>241</v>
      </c>
      <c r="CQ1490" s="4" t="s">
        <v>261</v>
      </c>
      <c r="CR1490" s="4" t="s">
        <v>241</v>
      </c>
      <c r="CS1490" s="4" t="s">
        <v>241</v>
      </c>
      <c r="CT1490" s="4">
        <v>0</v>
      </c>
      <c r="CU1490" s="4" t="s">
        <v>262</v>
      </c>
      <c r="CV1490" s="4" t="s">
        <v>263</v>
      </c>
      <c r="CW1490" s="4" t="s">
        <v>263</v>
      </c>
      <c r="CX1490" s="4" t="s">
        <v>264</v>
      </c>
      <c r="DA1490" s="6">
        <f>1</f>
        <v>1</v>
      </c>
      <c r="DC1490" s="4" t="s">
        <v>277</v>
      </c>
      <c r="DD1490" s="4" t="s">
        <v>241</v>
      </c>
      <c r="DF1490" s="4" t="s">
        <v>277</v>
      </c>
      <c r="DG1490" s="6">
        <f>900</f>
        <v>900</v>
      </c>
      <c r="DI1490" s="4" t="s">
        <v>241</v>
      </c>
      <c r="DJ1490" s="4" t="s">
        <v>241</v>
      </c>
      <c r="DK1490" s="4" t="s">
        <v>241</v>
      </c>
      <c r="DL1490" s="4" t="s">
        <v>241</v>
      </c>
      <c r="DP1490" s="4" t="s">
        <v>241</v>
      </c>
      <c r="DQ1490" s="4" t="s">
        <v>241</v>
      </c>
      <c r="DR1490" s="4" t="s">
        <v>241</v>
      </c>
      <c r="DS1490" s="4" t="s">
        <v>241</v>
      </c>
      <c r="DV1490" s="4" t="s">
        <v>278</v>
      </c>
      <c r="DW1490" s="4" t="s">
        <v>642</v>
      </c>
      <c r="HO1490" s="4" t="s">
        <v>267</v>
      </c>
    </row>
    <row r="1491" spans="1:223" ht="19.5" customHeight="1" x14ac:dyDescent="0.4">
      <c r="A1491" s="4">
        <v>1</v>
      </c>
      <c r="B1491" s="4" t="s">
        <v>239</v>
      </c>
      <c r="C1491" s="4">
        <v>3165</v>
      </c>
      <c r="D1491" s="4">
        <v>1</v>
      </c>
      <c r="E1491" s="4">
        <v>1</v>
      </c>
      <c r="F1491" s="4" t="s">
        <v>268</v>
      </c>
      <c r="G1491" s="4" t="s">
        <v>241</v>
      </c>
      <c r="H1491" s="4" t="s">
        <v>241</v>
      </c>
      <c r="I1491" s="4" t="s">
        <v>272</v>
      </c>
      <c r="J1491" s="4" t="s">
        <v>274</v>
      </c>
      <c r="K1491" s="4" t="s">
        <v>251</v>
      </c>
      <c r="L1491" s="4" t="s">
        <v>269</v>
      </c>
      <c r="M1491" s="5" t="s">
        <v>2530</v>
      </c>
      <c r="N1491" s="6">
        <f>566</f>
        <v>566</v>
      </c>
      <c r="O1491" s="4" t="s">
        <v>265</v>
      </c>
      <c r="P1491" s="6">
        <f>1</f>
        <v>1</v>
      </c>
      <c r="Q1491" s="6">
        <f>0</f>
        <v>0</v>
      </c>
      <c r="S1491" s="6">
        <f>0</f>
        <v>0</v>
      </c>
      <c r="T1491" s="6">
        <f>1</f>
        <v>1</v>
      </c>
      <c r="U1491" s="5" t="s">
        <v>245</v>
      </c>
      <c r="V1491" s="4" t="s">
        <v>270</v>
      </c>
      <c r="W1491" s="4" t="s">
        <v>271</v>
      </c>
      <c r="X1491" s="4" t="s">
        <v>273</v>
      </c>
      <c r="Y1491" s="4" t="s">
        <v>241</v>
      </c>
      <c r="AB1491" s="4" t="s">
        <v>241</v>
      </c>
      <c r="AD1491" s="5" t="s">
        <v>241</v>
      </c>
      <c r="AG1491" s="5" t="s">
        <v>246</v>
      </c>
      <c r="AH1491" s="4" t="s">
        <v>241</v>
      </c>
      <c r="AI1491" s="4" t="s">
        <v>247</v>
      </c>
      <c r="AJ1491" s="4" t="s">
        <v>248</v>
      </c>
      <c r="AZ1491" s="4" t="s">
        <v>249</v>
      </c>
      <c r="BA1491" s="4" t="s">
        <v>241</v>
      </c>
      <c r="BB1491" s="4" t="s">
        <v>250</v>
      </c>
      <c r="BC1491" s="4" t="s">
        <v>241</v>
      </c>
      <c r="BD1491" s="4" t="s">
        <v>252</v>
      </c>
      <c r="BE1491" s="4" t="s">
        <v>241</v>
      </c>
      <c r="BI1491" s="4" t="s">
        <v>253</v>
      </c>
      <c r="BJ1491" s="5" t="s">
        <v>246</v>
      </c>
      <c r="BK1491" s="4" t="s">
        <v>254</v>
      </c>
      <c r="BL1491" s="4" t="s">
        <v>255</v>
      </c>
      <c r="BM1491" s="4" t="s">
        <v>241</v>
      </c>
      <c r="BN1491" s="6">
        <f>0</f>
        <v>0</v>
      </c>
      <c r="BO1491" s="6">
        <f>0</f>
        <v>0</v>
      </c>
      <c r="BP1491" s="4" t="s">
        <v>256</v>
      </c>
      <c r="BQ1491" s="4" t="s">
        <v>257</v>
      </c>
      <c r="CE1491" s="4" t="s">
        <v>241</v>
      </c>
      <c r="CF1491" s="4" t="s">
        <v>241</v>
      </c>
      <c r="CJ1491" s="4" t="s">
        <v>276</v>
      </c>
      <c r="CK1491" s="4" t="s">
        <v>259</v>
      </c>
      <c r="CL1491" s="4" t="s">
        <v>241</v>
      </c>
      <c r="CO1491" s="5" t="s">
        <v>260</v>
      </c>
      <c r="CP1491" s="4" t="s">
        <v>241</v>
      </c>
      <c r="CQ1491" s="4" t="s">
        <v>261</v>
      </c>
      <c r="CR1491" s="4" t="s">
        <v>241</v>
      </c>
      <c r="CS1491" s="4" t="s">
        <v>241</v>
      </c>
      <c r="CT1491" s="4">
        <v>0</v>
      </c>
      <c r="CU1491" s="4" t="s">
        <v>262</v>
      </c>
      <c r="CV1491" s="4" t="s">
        <v>263</v>
      </c>
      <c r="CW1491" s="4" t="s">
        <v>263</v>
      </c>
      <c r="CX1491" s="4" t="s">
        <v>264</v>
      </c>
      <c r="DA1491" s="6">
        <f>1</f>
        <v>1</v>
      </c>
      <c r="DC1491" s="4" t="s">
        <v>277</v>
      </c>
      <c r="DD1491" s="4" t="s">
        <v>241</v>
      </c>
      <c r="DF1491" s="4" t="s">
        <v>277</v>
      </c>
      <c r="DG1491" s="6">
        <f>566</f>
        <v>566</v>
      </c>
      <c r="DI1491" s="4" t="s">
        <v>241</v>
      </c>
      <c r="DJ1491" s="4" t="s">
        <v>241</v>
      </c>
      <c r="DK1491" s="4" t="s">
        <v>241</v>
      </c>
      <c r="DL1491" s="4" t="s">
        <v>241</v>
      </c>
      <c r="DP1491" s="4" t="s">
        <v>241</v>
      </c>
      <c r="DQ1491" s="4" t="s">
        <v>241</v>
      </c>
      <c r="DR1491" s="4" t="s">
        <v>241</v>
      </c>
      <c r="DS1491" s="4" t="s">
        <v>241</v>
      </c>
      <c r="DV1491" s="4" t="s">
        <v>278</v>
      </c>
      <c r="DW1491" s="4" t="s">
        <v>654</v>
      </c>
      <c r="HO1491" s="4" t="s">
        <v>267</v>
      </c>
    </row>
    <row r="1492" spans="1:223" ht="19.5" customHeight="1" x14ac:dyDescent="0.4">
      <c r="A1492" s="4">
        <v>1</v>
      </c>
      <c r="B1492" s="4" t="s">
        <v>239</v>
      </c>
      <c r="C1492" s="4">
        <v>3166</v>
      </c>
      <c r="D1492" s="4">
        <v>1</v>
      </c>
      <c r="E1492" s="4">
        <v>1</v>
      </c>
      <c r="F1492" s="4" t="s">
        <v>268</v>
      </c>
      <c r="G1492" s="4" t="s">
        <v>241</v>
      </c>
      <c r="H1492" s="4" t="s">
        <v>241</v>
      </c>
      <c r="I1492" s="4" t="s">
        <v>272</v>
      </c>
      <c r="J1492" s="4" t="s">
        <v>274</v>
      </c>
      <c r="K1492" s="4" t="s">
        <v>251</v>
      </c>
      <c r="L1492" s="4" t="s">
        <v>269</v>
      </c>
      <c r="M1492" s="5" t="s">
        <v>2529</v>
      </c>
      <c r="N1492" s="6">
        <f>4053</f>
        <v>4053</v>
      </c>
      <c r="O1492" s="4" t="s">
        <v>265</v>
      </c>
      <c r="P1492" s="6">
        <f>1</f>
        <v>1</v>
      </c>
      <c r="Q1492" s="6">
        <f>0</f>
        <v>0</v>
      </c>
      <c r="S1492" s="6">
        <f>0</f>
        <v>0</v>
      </c>
      <c r="T1492" s="6">
        <f>1</f>
        <v>1</v>
      </c>
      <c r="U1492" s="5" t="s">
        <v>245</v>
      </c>
      <c r="V1492" s="4" t="s">
        <v>270</v>
      </c>
      <c r="W1492" s="4" t="s">
        <v>271</v>
      </c>
      <c r="X1492" s="4" t="s">
        <v>273</v>
      </c>
      <c r="Y1492" s="4" t="s">
        <v>241</v>
      </c>
      <c r="AB1492" s="4" t="s">
        <v>241</v>
      </c>
      <c r="AD1492" s="5" t="s">
        <v>241</v>
      </c>
      <c r="AG1492" s="5" t="s">
        <v>246</v>
      </c>
      <c r="AH1492" s="4" t="s">
        <v>241</v>
      </c>
      <c r="AI1492" s="4" t="s">
        <v>247</v>
      </c>
      <c r="AJ1492" s="4" t="s">
        <v>248</v>
      </c>
      <c r="AZ1492" s="4" t="s">
        <v>249</v>
      </c>
      <c r="BA1492" s="4" t="s">
        <v>241</v>
      </c>
      <c r="BB1492" s="4" t="s">
        <v>250</v>
      </c>
      <c r="BC1492" s="4" t="s">
        <v>241</v>
      </c>
      <c r="BD1492" s="4" t="s">
        <v>252</v>
      </c>
      <c r="BE1492" s="4" t="s">
        <v>241</v>
      </c>
      <c r="BI1492" s="4" t="s">
        <v>253</v>
      </c>
      <c r="BJ1492" s="5" t="s">
        <v>246</v>
      </c>
      <c r="BK1492" s="4" t="s">
        <v>254</v>
      </c>
      <c r="BL1492" s="4" t="s">
        <v>255</v>
      </c>
      <c r="BM1492" s="4" t="s">
        <v>241</v>
      </c>
      <c r="BN1492" s="6">
        <f>0</f>
        <v>0</v>
      </c>
      <c r="BO1492" s="6">
        <f>0</f>
        <v>0</v>
      </c>
      <c r="BP1492" s="4" t="s">
        <v>256</v>
      </c>
      <c r="BQ1492" s="4" t="s">
        <v>257</v>
      </c>
      <c r="CE1492" s="4" t="s">
        <v>241</v>
      </c>
      <c r="CF1492" s="4" t="s">
        <v>241</v>
      </c>
      <c r="CJ1492" s="4" t="s">
        <v>276</v>
      </c>
      <c r="CK1492" s="4" t="s">
        <v>259</v>
      </c>
      <c r="CL1492" s="4" t="s">
        <v>241</v>
      </c>
      <c r="CO1492" s="5" t="s">
        <v>260</v>
      </c>
      <c r="CP1492" s="4" t="s">
        <v>241</v>
      </c>
      <c r="CQ1492" s="4" t="s">
        <v>261</v>
      </c>
      <c r="CR1492" s="4" t="s">
        <v>241</v>
      </c>
      <c r="CS1492" s="4" t="s">
        <v>241</v>
      </c>
      <c r="CT1492" s="4">
        <v>0</v>
      </c>
      <c r="CU1492" s="4" t="s">
        <v>262</v>
      </c>
      <c r="CV1492" s="4" t="s">
        <v>263</v>
      </c>
      <c r="CW1492" s="4" t="s">
        <v>263</v>
      </c>
      <c r="CX1492" s="4" t="s">
        <v>264</v>
      </c>
      <c r="DA1492" s="6">
        <f>1</f>
        <v>1</v>
      </c>
      <c r="DC1492" s="4" t="s">
        <v>277</v>
      </c>
      <c r="DD1492" s="4" t="s">
        <v>241</v>
      </c>
      <c r="DF1492" s="4" t="s">
        <v>277</v>
      </c>
      <c r="DG1492" s="6">
        <f>4053</f>
        <v>4053</v>
      </c>
      <c r="DI1492" s="4" t="s">
        <v>241</v>
      </c>
      <c r="DJ1492" s="4" t="s">
        <v>241</v>
      </c>
      <c r="DK1492" s="4" t="s">
        <v>241</v>
      </c>
      <c r="DL1492" s="4" t="s">
        <v>241</v>
      </c>
      <c r="DP1492" s="4" t="s">
        <v>241</v>
      </c>
      <c r="DQ1492" s="4" t="s">
        <v>241</v>
      </c>
      <c r="DR1492" s="4" t="s">
        <v>241</v>
      </c>
      <c r="DS1492" s="4" t="s">
        <v>241</v>
      </c>
      <c r="DV1492" s="4" t="s">
        <v>278</v>
      </c>
      <c r="DW1492" s="4" t="s">
        <v>662</v>
      </c>
      <c r="HO1492" s="4" t="s">
        <v>267</v>
      </c>
    </row>
    <row r="1493" spans="1:223" ht="19.5" customHeight="1" x14ac:dyDescent="0.4">
      <c r="A1493" s="4">
        <v>1</v>
      </c>
      <c r="B1493" s="4" t="s">
        <v>239</v>
      </c>
      <c r="C1493" s="4">
        <v>3167</v>
      </c>
      <c r="D1493" s="4">
        <v>1</v>
      </c>
      <c r="E1493" s="4">
        <v>1</v>
      </c>
      <c r="F1493" s="4" t="s">
        <v>268</v>
      </c>
      <c r="G1493" s="4" t="s">
        <v>241</v>
      </c>
      <c r="H1493" s="4" t="s">
        <v>241</v>
      </c>
      <c r="I1493" s="4" t="s">
        <v>272</v>
      </c>
      <c r="J1493" s="4" t="s">
        <v>274</v>
      </c>
      <c r="K1493" s="4" t="s">
        <v>251</v>
      </c>
      <c r="L1493" s="4" t="s">
        <v>269</v>
      </c>
      <c r="M1493" s="5" t="s">
        <v>2528</v>
      </c>
      <c r="N1493" s="6">
        <f>2923</f>
        <v>2923</v>
      </c>
      <c r="O1493" s="4" t="s">
        <v>265</v>
      </c>
      <c r="P1493" s="6">
        <f>1</f>
        <v>1</v>
      </c>
      <c r="Q1493" s="6">
        <f>0</f>
        <v>0</v>
      </c>
      <c r="S1493" s="6">
        <f>0</f>
        <v>0</v>
      </c>
      <c r="T1493" s="6">
        <f>1</f>
        <v>1</v>
      </c>
      <c r="U1493" s="5" t="s">
        <v>245</v>
      </c>
      <c r="V1493" s="4" t="s">
        <v>270</v>
      </c>
      <c r="W1493" s="4" t="s">
        <v>271</v>
      </c>
      <c r="X1493" s="4" t="s">
        <v>273</v>
      </c>
      <c r="Y1493" s="4" t="s">
        <v>241</v>
      </c>
      <c r="AB1493" s="4" t="s">
        <v>241</v>
      </c>
      <c r="AD1493" s="5" t="s">
        <v>241</v>
      </c>
      <c r="AG1493" s="5" t="s">
        <v>246</v>
      </c>
      <c r="AH1493" s="4" t="s">
        <v>241</v>
      </c>
      <c r="AI1493" s="4" t="s">
        <v>247</v>
      </c>
      <c r="AJ1493" s="4" t="s">
        <v>248</v>
      </c>
      <c r="AZ1493" s="4" t="s">
        <v>249</v>
      </c>
      <c r="BA1493" s="4" t="s">
        <v>241</v>
      </c>
      <c r="BB1493" s="4" t="s">
        <v>250</v>
      </c>
      <c r="BC1493" s="4" t="s">
        <v>241</v>
      </c>
      <c r="BD1493" s="4" t="s">
        <v>252</v>
      </c>
      <c r="BE1493" s="4" t="s">
        <v>241</v>
      </c>
      <c r="BI1493" s="4" t="s">
        <v>253</v>
      </c>
      <c r="BJ1493" s="5" t="s">
        <v>246</v>
      </c>
      <c r="BK1493" s="4" t="s">
        <v>254</v>
      </c>
      <c r="BL1493" s="4" t="s">
        <v>255</v>
      </c>
      <c r="BM1493" s="4" t="s">
        <v>241</v>
      </c>
      <c r="BN1493" s="6">
        <f>0</f>
        <v>0</v>
      </c>
      <c r="BO1493" s="6">
        <f>0</f>
        <v>0</v>
      </c>
      <c r="BP1493" s="4" t="s">
        <v>256</v>
      </c>
      <c r="BQ1493" s="4" t="s">
        <v>257</v>
      </c>
      <c r="CE1493" s="4" t="s">
        <v>241</v>
      </c>
      <c r="CF1493" s="4" t="s">
        <v>241</v>
      </c>
      <c r="CJ1493" s="4" t="s">
        <v>276</v>
      </c>
      <c r="CK1493" s="4" t="s">
        <v>259</v>
      </c>
      <c r="CL1493" s="4" t="s">
        <v>241</v>
      </c>
      <c r="CO1493" s="5" t="s">
        <v>260</v>
      </c>
      <c r="CP1493" s="4" t="s">
        <v>241</v>
      </c>
      <c r="CQ1493" s="4" t="s">
        <v>261</v>
      </c>
      <c r="CR1493" s="4" t="s">
        <v>241</v>
      </c>
      <c r="CS1493" s="4" t="s">
        <v>241</v>
      </c>
      <c r="CT1493" s="4">
        <v>0</v>
      </c>
      <c r="CU1493" s="4" t="s">
        <v>262</v>
      </c>
      <c r="CV1493" s="4" t="s">
        <v>263</v>
      </c>
      <c r="CW1493" s="4" t="s">
        <v>263</v>
      </c>
      <c r="CX1493" s="4" t="s">
        <v>264</v>
      </c>
      <c r="DA1493" s="6">
        <f>1</f>
        <v>1</v>
      </c>
      <c r="DC1493" s="4" t="s">
        <v>277</v>
      </c>
      <c r="DD1493" s="4" t="s">
        <v>241</v>
      </c>
      <c r="DF1493" s="4" t="s">
        <v>277</v>
      </c>
      <c r="DG1493" s="6">
        <f>2923</f>
        <v>2923</v>
      </c>
      <c r="DI1493" s="4" t="s">
        <v>241</v>
      </c>
      <c r="DJ1493" s="4" t="s">
        <v>241</v>
      </c>
      <c r="DK1493" s="4" t="s">
        <v>241</v>
      </c>
      <c r="DL1493" s="4" t="s">
        <v>241</v>
      </c>
      <c r="DP1493" s="4" t="s">
        <v>241</v>
      </c>
      <c r="DQ1493" s="4" t="s">
        <v>241</v>
      </c>
      <c r="DR1493" s="4" t="s">
        <v>241</v>
      </c>
      <c r="DS1493" s="4" t="s">
        <v>241</v>
      </c>
      <c r="DV1493" s="4" t="s">
        <v>278</v>
      </c>
      <c r="DW1493" s="4" t="s">
        <v>666</v>
      </c>
      <c r="HO1493" s="4" t="s">
        <v>267</v>
      </c>
    </row>
    <row r="1494" spans="1:223" ht="19.5" customHeight="1" x14ac:dyDescent="0.4">
      <c r="A1494" s="4">
        <v>1</v>
      </c>
      <c r="B1494" s="4" t="s">
        <v>239</v>
      </c>
      <c r="C1494" s="4">
        <v>3168</v>
      </c>
      <c r="D1494" s="4">
        <v>1</v>
      </c>
      <c r="E1494" s="4">
        <v>1</v>
      </c>
      <c r="F1494" s="4" t="s">
        <v>268</v>
      </c>
      <c r="G1494" s="4" t="s">
        <v>241</v>
      </c>
      <c r="H1494" s="4" t="s">
        <v>241</v>
      </c>
      <c r="I1494" s="4" t="s">
        <v>272</v>
      </c>
      <c r="J1494" s="4" t="s">
        <v>274</v>
      </c>
      <c r="K1494" s="4" t="s">
        <v>251</v>
      </c>
      <c r="L1494" s="4" t="s">
        <v>269</v>
      </c>
      <c r="M1494" s="5" t="s">
        <v>2527</v>
      </c>
      <c r="N1494" s="6">
        <f>5685</f>
        <v>5685</v>
      </c>
      <c r="O1494" s="4" t="s">
        <v>265</v>
      </c>
      <c r="P1494" s="6">
        <f>1</f>
        <v>1</v>
      </c>
      <c r="Q1494" s="6">
        <f>0</f>
        <v>0</v>
      </c>
      <c r="S1494" s="6">
        <f>0</f>
        <v>0</v>
      </c>
      <c r="T1494" s="6">
        <f>1</f>
        <v>1</v>
      </c>
      <c r="U1494" s="5" t="s">
        <v>245</v>
      </c>
      <c r="V1494" s="4" t="s">
        <v>270</v>
      </c>
      <c r="W1494" s="4" t="s">
        <v>271</v>
      </c>
      <c r="X1494" s="4" t="s">
        <v>273</v>
      </c>
      <c r="Y1494" s="4" t="s">
        <v>241</v>
      </c>
      <c r="AB1494" s="4" t="s">
        <v>241</v>
      </c>
      <c r="AD1494" s="5" t="s">
        <v>241</v>
      </c>
      <c r="AG1494" s="5" t="s">
        <v>246</v>
      </c>
      <c r="AH1494" s="4" t="s">
        <v>241</v>
      </c>
      <c r="AI1494" s="4" t="s">
        <v>247</v>
      </c>
      <c r="AJ1494" s="4" t="s">
        <v>248</v>
      </c>
      <c r="AZ1494" s="4" t="s">
        <v>249</v>
      </c>
      <c r="BA1494" s="4" t="s">
        <v>241</v>
      </c>
      <c r="BB1494" s="4" t="s">
        <v>250</v>
      </c>
      <c r="BC1494" s="4" t="s">
        <v>241</v>
      </c>
      <c r="BD1494" s="4" t="s">
        <v>252</v>
      </c>
      <c r="BE1494" s="4" t="s">
        <v>241</v>
      </c>
      <c r="BI1494" s="4" t="s">
        <v>253</v>
      </c>
      <c r="BJ1494" s="5" t="s">
        <v>246</v>
      </c>
      <c r="BK1494" s="4" t="s">
        <v>254</v>
      </c>
      <c r="BL1494" s="4" t="s">
        <v>255</v>
      </c>
      <c r="BM1494" s="4" t="s">
        <v>241</v>
      </c>
      <c r="BN1494" s="6">
        <f>0</f>
        <v>0</v>
      </c>
      <c r="BO1494" s="6">
        <f>0</f>
        <v>0</v>
      </c>
      <c r="BP1494" s="4" t="s">
        <v>256</v>
      </c>
      <c r="BQ1494" s="4" t="s">
        <v>257</v>
      </c>
      <c r="CE1494" s="4" t="s">
        <v>241</v>
      </c>
      <c r="CF1494" s="4" t="s">
        <v>241</v>
      </c>
      <c r="CJ1494" s="4" t="s">
        <v>276</v>
      </c>
      <c r="CK1494" s="4" t="s">
        <v>259</v>
      </c>
      <c r="CL1494" s="4" t="s">
        <v>241</v>
      </c>
      <c r="CO1494" s="5" t="s">
        <v>260</v>
      </c>
      <c r="CP1494" s="4" t="s">
        <v>241</v>
      </c>
      <c r="CQ1494" s="4" t="s">
        <v>261</v>
      </c>
      <c r="CR1494" s="4" t="s">
        <v>241</v>
      </c>
      <c r="CS1494" s="4" t="s">
        <v>241</v>
      </c>
      <c r="CT1494" s="4">
        <v>0</v>
      </c>
      <c r="CU1494" s="4" t="s">
        <v>262</v>
      </c>
      <c r="CV1494" s="4" t="s">
        <v>263</v>
      </c>
      <c r="CW1494" s="4" t="s">
        <v>263</v>
      </c>
      <c r="CX1494" s="4" t="s">
        <v>264</v>
      </c>
      <c r="DA1494" s="6">
        <f>1</f>
        <v>1</v>
      </c>
      <c r="DC1494" s="4" t="s">
        <v>277</v>
      </c>
      <c r="DD1494" s="4" t="s">
        <v>241</v>
      </c>
      <c r="DF1494" s="4" t="s">
        <v>277</v>
      </c>
      <c r="DG1494" s="6">
        <f>5685</f>
        <v>5685</v>
      </c>
      <c r="DI1494" s="4" t="s">
        <v>241</v>
      </c>
      <c r="DJ1494" s="4" t="s">
        <v>241</v>
      </c>
      <c r="DK1494" s="4" t="s">
        <v>241</v>
      </c>
      <c r="DL1494" s="4" t="s">
        <v>241</v>
      </c>
      <c r="DP1494" s="4" t="s">
        <v>241</v>
      </c>
      <c r="DQ1494" s="4" t="s">
        <v>241</v>
      </c>
      <c r="DR1494" s="4" t="s">
        <v>241</v>
      </c>
      <c r="DS1494" s="4" t="s">
        <v>241</v>
      </c>
      <c r="DV1494" s="4" t="s">
        <v>278</v>
      </c>
      <c r="DW1494" s="4" t="s">
        <v>668</v>
      </c>
      <c r="HO1494" s="4" t="s">
        <v>267</v>
      </c>
    </row>
    <row r="1495" spans="1:223" ht="19.5" customHeight="1" x14ac:dyDescent="0.4">
      <c r="A1495" s="4">
        <v>1</v>
      </c>
      <c r="B1495" s="4" t="s">
        <v>239</v>
      </c>
      <c r="C1495" s="4">
        <v>3169</v>
      </c>
      <c r="D1495" s="4">
        <v>1</v>
      </c>
      <c r="E1495" s="4">
        <v>1</v>
      </c>
      <c r="F1495" s="4" t="s">
        <v>268</v>
      </c>
      <c r="G1495" s="4" t="s">
        <v>241</v>
      </c>
      <c r="H1495" s="4" t="s">
        <v>241</v>
      </c>
      <c r="I1495" s="4" t="s">
        <v>272</v>
      </c>
      <c r="J1495" s="4" t="s">
        <v>274</v>
      </c>
      <c r="K1495" s="4" t="s">
        <v>251</v>
      </c>
      <c r="L1495" s="4" t="s">
        <v>269</v>
      </c>
      <c r="M1495" s="5" t="s">
        <v>2526</v>
      </c>
      <c r="N1495" s="6">
        <f>6030</f>
        <v>6030</v>
      </c>
      <c r="O1495" s="4" t="s">
        <v>265</v>
      </c>
      <c r="P1495" s="6">
        <f>1</f>
        <v>1</v>
      </c>
      <c r="Q1495" s="6">
        <f>0</f>
        <v>0</v>
      </c>
      <c r="S1495" s="6">
        <f>0</f>
        <v>0</v>
      </c>
      <c r="T1495" s="6">
        <f>1</f>
        <v>1</v>
      </c>
      <c r="U1495" s="5" t="s">
        <v>245</v>
      </c>
      <c r="V1495" s="4" t="s">
        <v>270</v>
      </c>
      <c r="W1495" s="4" t="s">
        <v>271</v>
      </c>
      <c r="X1495" s="4" t="s">
        <v>273</v>
      </c>
      <c r="Y1495" s="4" t="s">
        <v>241</v>
      </c>
      <c r="AB1495" s="4" t="s">
        <v>241</v>
      </c>
      <c r="AD1495" s="5" t="s">
        <v>241</v>
      </c>
      <c r="AG1495" s="5" t="s">
        <v>246</v>
      </c>
      <c r="AH1495" s="4" t="s">
        <v>241</v>
      </c>
      <c r="AI1495" s="4" t="s">
        <v>247</v>
      </c>
      <c r="AJ1495" s="4" t="s">
        <v>248</v>
      </c>
      <c r="AZ1495" s="4" t="s">
        <v>249</v>
      </c>
      <c r="BA1495" s="4" t="s">
        <v>241</v>
      </c>
      <c r="BB1495" s="4" t="s">
        <v>250</v>
      </c>
      <c r="BC1495" s="4" t="s">
        <v>241</v>
      </c>
      <c r="BD1495" s="4" t="s">
        <v>252</v>
      </c>
      <c r="BE1495" s="4" t="s">
        <v>241</v>
      </c>
      <c r="BI1495" s="4" t="s">
        <v>253</v>
      </c>
      <c r="BJ1495" s="5" t="s">
        <v>246</v>
      </c>
      <c r="BK1495" s="4" t="s">
        <v>254</v>
      </c>
      <c r="BL1495" s="4" t="s">
        <v>255</v>
      </c>
      <c r="BM1495" s="4" t="s">
        <v>241</v>
      </c>
      <c r="BN1495" s="6">
        <f>0</f>
        <v>0</v>
      </c>
      <c r="BO1495" s="6">
        <f>0</f>
        <v>0</v>
      </c>
      <c r="BP1495" s="4" t="s">
        <v>256</v>
      </c>
      <c r="BQ1495" s="4" t="s">
        <v>257</v>
      </c>
      <c r="CE1495" s="4" t="s">
        <v>241</v>
      </c>
      <c r="CF1495" s="4" t="s">
        <v>241</v>
      </c>
      <c r="CJ1495" s="4" t="s">
        <v>276</v>
      </c>
      <c r="CK1495" s="4" t="s">
        <v>259</v>
      </c>
      <c r="CL1495" s="4" t="s">
        <v>241</v>
      </c>
      <c r="CO1495" s="5" t="s">
        <v>260</v>
      </c>
      <c r="CP1495" s="4" t="s">
        <v>241</v>
      </c>
      <c r="CQ1495" s="4" t="s">
        <v>261</v>
      </c>
      <c r="CR1495" s="4" t="s">
        <v>241</v>
      </c>
      <c r="CS1495" s="4" t="s">
        <v>241</v>
      </c>
      <c r="CT1495" s="4">
        <v>0</v>
      </c>
      <c r="CU1495" s="4" t="s">
        <v>262</v>
      </c>
      <c r="CV1495" s="4" t="s">
        <v>263</v>
      </c>
      <c r="CW1495" s="4" t="s">
        <v>263</v>
      </c>
      <c r="CX1495" s="4" t="s">
        <v>264</v>
      </c>
      <c r="DA1495" s="6">
        <f>1</f>
        <v>1</v>
      </c>
      <c r="DC1495" s="4" t="s">
        <v>277</v>
      </c>
      <c r="DD1495" s="4" t="s">
        <v>241</v>
      </c>
      <c r="DF1495" s="4" t="s">
        <v>277</v>
      </c>
      <c r="DG1495" s="6">
        <f>6030</f>
        <v>6030</v>
      </c>
      <c r="DI1495" s="4" t="s">
        <v>241</v>
      </c>
      <c r="DJ1495" s="4" t="s">
        <v>241</v>
      </c>
      <c r="DK1495" s="4" t="s">
        <v>241</v>
      </c>
      <c r="DL1495" s="4" t="s">
        <v>241</v>
      </c>
      <c r="DP1495" s="4" t="s">
        <v>241</v>
      </c>
      <c r="DQ1495" s="4" t="s">
        <v>241</v>
      </c>
      <c r="DR1495" s="4" t="s">
        <v>241</v>
      </c>
      <c r="DS1495" s="4" t="s">
        <v>241</v>
      </c>
      <c r="DV1495" s="4" t="s">
        <v>278</v>
      </c>
      <c r="DW1495" s="4" t="s">
        <v>672</v>
      </c>
      <c r="HO1495" s="4" t="s">
        <v>267</v>
      </c>
    </row>
    <row r="1496" spans="1:223" ht="19.5" customHeight="1" x14ac:dyDescent="0.4">
      <c r="A1496" s="4">
        <v>1</v>
      </c>
      <c r="B1496" s="4" t="s">
        <v>239</v>
      </c>
      <c r="C1496" s="4">
        <v>3170</v>
      </c>
      <c r="D1496" s="4">
        <v>1</v>
      </c>
      <c r="E1496" s="4">
        <v>1</v>
      </c>
      <c r="F1496" s="4" t="s">
        <v>268</v>
      </c>
      <c r="G1496" s="4" t="s">
        <v>241</v>
      </c>
      <c r="H1496" s="4" t="s">
        <v>241</v>
      </c>
      <c r="I1496" s="4" t="s">
        <v>272</v>
      </c>
      <c r="J1496" s="4" t="s">
        <v>274</v>
      </c>
      <c r="K1496" s="4" t="s">
        <v>251</v>
      </c>
      <c r="L1496" s="4" t="s">
        <v>269</v>
      </c>
      <c r="M1496" s="5" t="s">
        <v>2525</v>
      </c>
      <c r="N1496" s="6">
        <f>2890</f>
        <v>2890</v>
      </c>
      <c r="O1496" s="4" t="s">
        <v>265</v>
      </c>
      <c r="P1496" s="6">
        <f>1</f>
        <v>1</v>
      </c>
      <c r="Q1496" s="6">
        <f>0</f>
        <v>0</v>
      </c>
      <c r="S1496" s="6">
        <f>0</f>
        <v>0</v>
      </c>
      <c r="T1496" s="6">
        <f>1</f>
        <v>1</v>
      </c>
      <c r="U1496" s="5" t="s">
        <v>245</v>
      </c>
      <c r="V1496" s="4" t="s">
        <v>270</v>
      </c>
      <c r="W1496" s="4" t="s">
        <v>271</v>
      </c>
      <c r="X1496" s="4" t="s">
        <v>273</v>
      </c>
      <c r="Y1496" s="4" t="s">
        <v>241</v>
      </c>
      <c r="AB1496" s="4" t="s">
        <v>241</v>
      </c>
      <c r="AD1496" s="5" t="s">
        <v>241</v>
      </c>
      <c r="AG1496" s="5" t="s">
        <v>246</v>
      </c>
      <c r="AH1496" s="4" t="s">
        <v>241</v>
      </c>
      <c r="AI1496" s="4" t="s">
        <v>247</v>
      </c>
      <c r="AJ1496" s="4" t="s">
        <v>248</v>
      </c>
      <c r="AZ1496" s="4" t="s">
        <v>249</v>
      </c>
      <c r="BA1496" s="4" t="s">
        <v>241</v>
      </c>
      <c r="BB1496" s="4" t="s">
        <v>250</v>
      </c>
      <c r="BC1496" s="4" t="s">
        <v>241</v>
      </c>
      <c r="BD1496" s="4" t="s">
        <v>252</v>
      </c>
      <c r="BE1496" s="4" t="s">
        <v>241</v>
      </c>
      <c r="BI1496" s="4" t="s">
        <v>253</v>
      </c>
      <c r="BJ1496" s="5" t="s">
        <v>246</v>
      </c>
      <c r="BK1496" s="4" t="s">
        <v>254</v>
      </c>
      <c r="BL1496" s="4" t="s">
        <v>255</v>
      </c>
      <c r="BM1496" s="4" t="s">
        <v>241</v>
      </c>
      <c r="BN1496" s="6">
        <f>0</f>
        <v>0</v>
      </c>
      <c r="BO1496" s="6">
        <f>0</f>
        <v>0</v>
      </c>
      <c r="BP1496" s="4" t="s">
        <v>256</v>
      </c>
      <c r="BQ1496" s="4" t="s">
        <v>257</v>
      </c>
      <c r="CE1496" s="4" t="s">
        <v>241</v>
      </c>
      <c r="CF1496" s="4" t="s">
        <v>241</v>
      </c>
      <c r="CJ1496" s="4" t="s">
        <v>276</v>
      </c>
      <c r="CK1496" s="4" t="s">
        <v>259</v>
      </c>
      <c r="CL1496" s="4" t="s">
        <v>241</v>
      </c>
      <c r="CO1496" s="5" t="s">
        <v>260</v>
      </c>
      <c r="CP1496" s="4" t="s">
        <v>241</v>
      </c>
      <c r="CQ1496" s="4" t="s">
        <v>261</v>
      </c>
      <c r="CR1496" s="4" t="s">
        <v>241</v>
      </c>
      <c r="CS1496" s="4" t="s">
        <v>241</v>
      </c>
      <c r="CT1496" s="4">
        <v>0</v>
      </c>
      <c r="CU1496" s="4" t="s">
        <v>262</v>
      </c>
      <c r="CV1496" s="4" t="s">
        <v>263</v>
      </c>
      <c r="CW1496" s="4" t="s">
        <v>263</v>
      </c>
      <c r="CX1496" s="4" t="s">
        <v>264</v>
      </c>
      <c r="DA1496" s="6">
        <f>1</f>
        <v>1</v>
      </c>
      <c r="DC1496" s="4" t="s">
        <v>277</v>
      </c>
      <c r="DD1496" s="4" t="s">
        <v>241</v>
      </c>
      <c r="DF1496" s="4" t="s">
        <v>277</v>
      </c>
      <c r="DG1496" s="6">
        <f>2890</f>
        <v>2890</v>
      </c>
      <c r="DI1496" s="4" t="s">
        <v>241</v>
      </c>
      <c r="DJ1496" s="4" t="s">
        <v>241</v>
      </c>
      <c r="DK1496" s="4" t="s">
        <v>241</v>
      </c>
      <c r="DL1496" s="4" t="s">
        <v>241</v>
      </c>
      <c r="DP1496" s="4" t="s">
        <v>241</v>
      </c>
      <c r="DQ1496" s="4" t="s">
        <v>241</v>
      </c>
      <c r="DR1496" s="4" t="s">
        <v>241</v>
      </c>
      <c r="DS1496" s="4" t="s">
        <v>241</v>
      </c>
      <c r="DV1496" s="4" t="s">
        <v>278</v>
      </c>
      <c r="DW1496" s="4" t="s">
        <v>676</v>
      </c>
      <c r="HO1496" s="4" t="s">
        <v>267</v>
      </c>
    </row>
    <row r="1497" spans="1:223" ht="19.5" customHeight="1" x14ac:dyDescent="0.4">
      <c r="A1497" s="4">
        <v>1</v>
      </c>
      <c r="B1497" s="4" t="s">
        <v>239</v>
      </c>
      <c r="C1497" s="4">
        <v>3171</v>
      </c>
      <c r="D1497" s="4">
        <v>1</v>
      </c>
      <c r="E1497" s="4">
        <v>1</v>
      </c>
      <c r="F1497" s="4" t="s">
        <v>268</v>
      </c>
      <c r="G1497" s="4" t="s">
        <v>241</v>
      </c>
      <c r="H1497" s="4" t="s">
        <v>241</v>
      </c>
      <c r="I1497" s="4" t="s">
        <v>272</v>
      </c>
      <c r="J1497" s="4" t="s">
        <v>274</v>
      </c>
      <c r="K1497" s="4" t="s">
        <v>251</v>
      </c>
      <c r="L1497" s="4" t="s">
        <v>269</v>
      </c>
      <c r="M1497" s="5" t="s">
        <v>2524</v>
      </c>
      <c r="N1497" s="6">
        <f>4097</f>
        <v>4097</v>
      </c>
      <c r="O1497" s="4" t="s">
        <v>265</v>
      </c>
      <c r="P1497" s="6">
        <f>1</f>
        <v>1</v>
      </c>
      <c r="Q1497" s="6">
        <f>0</f>
        <v>0</v>
      </c>
      <c r="S1497" s="6">
        <f>0</f>
        <v>0</v>
      </c>
      <c r="T1497" s="6">
        <f>1</f>
        <v>1</v>
      </c>
      <c r="U1497" s="5" t="s">
        <v>245</v>
      </c>
      <c r="V1497" s="4" t="s">
        <v>270</v>
      </c>
      <c r="W1497" s="4" t="s">
        <v>271</v>
      </c>
      <c r="X1497" s="4" t="s">
        <v>273</v>
      </c>
      <c r="Y1497" s="4" t="s">
        <v>241</v>
      </c>
      <c r="AB1497" s="4" t="s">
        <v>241</v>
      </c>
      <c r="AD1497" s="5" t="s">
        <v>241</v>
      </c>
      <c r="AG1497" s="5" t="s">
        <v>246</v>
      </c>
      <c r="AH1497" s="4" t="s">
        <v>241</v>
      </c>
      <c r="AI1497" s="4" t="s">
        <v>247</v>
      </c>
      <c r="AJ1497" s="4" t="s">
        <v>248</v>
      </c>
      <c r="AZ1497" s="4" t="s">
        <v>249</v>
      </c>
      <c r="BA1497" s="4" t="s">
        <v>241</v>
      </c>
      <c r="BB1497" s="4" t="s">
        <v>250</v>
      </c>
      <c r="BC1497" s="4" t="s">
        <v>241</v>
      </c>
      <c r="BD1497" s="4" t="s">
        <v>252</v>
      </c>
      <c r="BE1497" s="4" t="s">
        <v>241</v>
      </c>
      <c r="BI1497" s="4" t="s">
        <v>253</v>
      </c>
      <c r="BJ1497" s="5" t="s">
        <v>246</v>
      </c>
      <c r="BK1497" s="4" t="s">
        <v>254</v>
      </c>
      <c r="BL1497" s="4" t="s">
        <v>255</v>
      </c>
      <c r="BM1497" s="4" t="s">
        <v>241</v>
      </c>
      <c r="BN1497" s="6">
        <f>0</f>
        <v>0</v>
      </c>
      <c r="BO1497" s="6">
        <f>0</f>
        <v>0</v>
      </c>
      <c r="BP1497" s="4" t="s">
        <v>256</v>
      </c>
      <c r="BQ1497" s="4" t="s">
        <v>257</v>
      </c>
      <c r="CE1497" s="4" t="s">
        <v>241</v>
      </c>
      <c r="CF1497" s="4" t="s">
        <v>241</v>
      </c>
      <c r="CJ1497" s="4" t="s">
        <v>276</v>
      </c>
      <c r="CK1497" s="4" t="s">
        <v>259</v>
      </c>
      <c r="CL1497" s="4" t="s">
        <v>241</v>
      </c>
      <c r="CO1497" s="5" t="s">
        <v>260</v>
      </c>
      <c r="CP1497" s="4" t="s">
        <v>241</v>
      </c>
      <c r="CQ1497" s="4" t="s">
        <v>261</v>
      </c>
      <c r="CR1497" s="4" t="s">
        <v>241</v>
      </c>
      <c r="CS1497" s="4" t="s">
        <v>241</v>
      </c>
      <c r="CT1497" s="4">
        <v>0</v>
      </c>
      <c r="CU1497" s="4" t="s">
        <v>262</v>
      </c>
      <c r="CV1497" s="4" t="s">
        <v>263</v>
      </c>
      <c r="CW1497" s="4" t="s">
        <v>263</v>
      </c>
      <c r="CX1497" s="4" t="s">
        <v>264</v>
      </c>
      <c r="DA1497" s="6">
        <f>1</f>
        <v>1</v>
      </c>
      <c r="DC1497" s="4" t="s">
        <v>277</v>
      </c>
      <c r="DD1497" s="4" t="s">
        <v>241</v>
      </c>
      <c r="DF1497" s="4" t="s">
        <v>277</v>
      </c>
      <c r="DG1497" s="6">
        <f>4097</f>
        <v>4097</v>
      </c>
      <c r="DI1497" s="4" t="s">
        <v>241</v>
      </c>
      <c r="DJ1497" s="4" t="s">
        <v>241</v>
      </c>
      <c r="DK1497" s="4" t="s">
        <v>241</v>
      </c>
      <c r="DL1497" s="4" t="s">
        <v>241</v>
      </c>
      <c r="DP1497" s="4" t="s">
        <v>241</v>
      </c>
      <c r="DQ1497" s="4" t="s">
        <v>241</v>
      </c>
      <c r="DR1497" s="4" t="s">
        <v>241</v>
      </c>
      <c r="DS1497" s="4" t="s">
        <v>241</v>
      </c>
      <c r="DV1497" s="4" t="s">
        <v>278</v>
      </c>
      <c r="DW1497" s="4" t="s">
        <v>679</v>
      </c>
      <c r="HO1497" s="4" t="s">
        <v>267</v>
      </c>
    </row>
    <row r="1498" spans="1:223" ht="19.5" customHeight="1" x14ac:dyDescent="0.4">
      <c r="A1498" s="4">
        <v>1</v>
      </c>
      <c r="B1498" s="4" t="s">
        <v>239</v>
      </c>
      <c r="C1498" s="4">
        <v>3172</v>
      </c>
      <c r="D1498" s="4">
        <v>1</v>
      </c>
      <c r="E1498" s="4">
        <v>1</v>
      </c>
      <c r="F1498" s="4" t="s">
        <v>268</v>
      </c>
      <c r="G1498" s="4" t="s">
        <v>241</v>
      </c>
      <c r="H1498" s="4" t="s">
        <v>241</v>
      </c>
      <c r="I1498" s="4" t="s">
        <v>272</v>
      </c>
      <c r="J1498" s="4" t="s">
        <v>274</v>
      </c>
      <c r="K1498" s="4" t="s">
        <v>251</v>
      </c>
      <c r="L1498" s="4" t="s">
        <v>269</v>
      </c>
      <c r="M1498" s="5" t="s">
        <v>2523</v>
      </c>
      <c r="N1498" s="6">
        <f>2501</f>
        <v>2501</v>
      </c>
      <c r="O1498" s="4" t="s">
        <v>265</v>
      </c>
      <c r="P1498" s="6">
        <f>1</f>
        <v>1</v>
      </c>
      <c r="Q1498" s="6">
        <f>0</f>
        <v>0</v>
      </c>
      <c r="S1498" s="6">
        <f>0</f>
        <v>0</v>
      </c>
      <c r="T1498" s="6">
        <f>1</f>
        <v>1</v>
      </c>
      <c r="U1498" s="5" t="s">
        <v>245</v>
      </c>
      <c r="V1498" s="4" t="s">
        <v>270</v>
      </c>
      <c r="W1498" s="4" t="s">
        <v>271</v>
      </c>
      <c r="X1498" s="4" t="s">
        <v>273</v>
      </c>
      <c r="Y1498" s="4" t="s">
        <v>241</v>
      </c>
      <c r="AB1498" s="4" t="s">
        <v>241</v>
      </c>
      <c r="AD1498" s="5" t="s">
        <v>241</v>
      </c>
      <c r="AG1498" s="5" t="s">
        <v>246</v>
      </c>
      <c r="AH1498" s="4" t="s">
        <v>241</v>
      </c>
      <c r="AI1498" s="4" t="s">
        <v>247</v>
      </c>
      <c r="AJ1498" s="4" t="s">
        <v>248</v>
      </c>
      <c r="AZ1498" s="4" t="s">
        <v>249</v>
      </c>
      <c r="BA1498" s="4" t="s">
        <v>241</v>
      </c>
      <c r="BB1498" s="4" t="s">
        <v>250</v>
      </c>
      <c r="BC1498" s="4" t="s">
        <v>241</v>
      </c>
      <c r="BD1498" s="4" t="s">
        <v>252</v>
      </c>
      <c r="BE1498" s="4" t="s">
        <v>241</v>
      </c>
      <c r="BI1498" s="4" t="s">
        <v>253</v>
      </c>
      <c r="BJ1498" s="5" t="s">
        <v>246</v>
      </c>
      <c r="BK1498" s="4" t="s">
        <v>254</v>
      </c>
      <c r="BL1498" s="4" t="s">
        <v>255</v>
      </c>
      <c r="BM1498" s="4" t="s">
        <v>241</v>
      </c>
      <c r="BN1498" s="6">
        <f>0</f>
        <v>0</v>
      </c>
      <c r="BO1498" s="6">
        <f>0</f>
        <v>0</v>
      </c>
      <c r="BP1498" s="4" t="s">
        <v>256</v>
      </c>
      <c r="BQ1498" s="4" t="s">
        <v>257</v>
      </c>
      <c r="CE1498" s="4" t="s">
        <v>241</v>
      </c>
      <c r="CF1498" s="4" t="s">
        <v>241</v>
      </c>
      <c r="CJ1498" s="4" t="s">
        <v>276</v>
      </c>
      <c r="CK1498" s="4" t="s">
        <v>259</v>
      </c>
      <c r="CL1498" s="4" t="s">
        <v>241</v>
      </c>
      <c r="CO1498" s="5" t="s">
        <v>260</v>
      </c>
      <c r="CP1498" s="4" t="s">
        <v>241</v>
      </c>
      <c r="CQ1498" s="4" t="s">
        <v>261</v>
      </c>
      <c r="CR1498" s="4" t="s">
        <v>241</v>
      </c>
      <c r="CS1498" s="4" t="s">
        <v>241</v>
      </c>
      <c r="CT1498" s="4">
        <v>0</v>
      </c>
      <c r="CU1498" s="4" t="s">
        <v>262</v>
      </c>
      <c r="CV1498" s="4" t="s">
        <v>263</v>
      </c>
      <c r="CW1498" s="4" t="s">
        <v>263</v>
      </c>
      <c r="CX1498" s="4" t="s">
        <v>264</v>
      </c>
      <c r="DA1498" s="6">
        <f>1</f>
        <v>1</v>
      </c>
      <c r="DC1498" s="4" t="s">
        <v>277</v>
      </c>
      <c r="DD1498" s="4" t="s">
        <v>241</v>
      </c>
      <c r="DF1498" s="4" t="s">
        <v>277</v>
      </c>
      <c r="DG1498" s="6">
        <f>2501</f>
        <v>2501</v>
      </c>
      <c r="DI1498" s="4" t="s">
        <v>241</v>
      </c>
      <c r="DJ1498" s="4" t="s">
        <v>241</v>
      </c>
      <c r="DK1498" s="4" t="s">
        <v>241</v>
      </c>
      <c r="DL1498" s="4" t="s">
        <v>241</v>
      </c>
      <c r="DP1498" s="4" t="s">
        <v>241</v>
      </c>
      <c r="DQ1498" s="4" t="s">
        <v>241</v>
      </c>
      <c r="DR1498" s="4" t="s">
        <v>241</v>
      </c>
      <c r="DS1498" s="4" t="s">
        <v>241</v>
      </c>
      <c r="DV1498" s="4" t="s">
        <v>278</v>
      </c>
      <c r="DW1498" s="4" t="s">
        <v>687</v>
      </c>
      <c r="HO1498" s="4" t="s">
        <v>267</v>
      </c>
    </row>
    <row r="1499" spans="1:223" ht="19.5" customHeight="1" x14ac:dyDescent="0.4">
      <c r="A1499" s="4">
        <v>1</v>
      </c>
      <c r="B1499" s="4" t="s">
        <v>239</v>
      </c>
      <c r="C1499" s="4">
        <v>3173</v>
      </c>
      <c r="D1499" s="4">
        <v>1</v>
      </c>
      <c r="E1499" s="4">
        <v>1</v>
      </c>
      <c r="F1499" s="4" t="s">
        <v>268</v>
      </c>
      <c r="G1499" s="4" t="s">
        <v>241</v>
      </c>
      <c r="H1499" s="4" t="s">
        <v>241</v>
      </c>
      <c r="I1499" s="4" t="s">
        <v>272</v>
      </c>
      <c r="J1499" s="4" t="s">
        <v>274</v>
      </c>
      <c r="K1499" s="4" t="s">
        <v>251</v>
      </c>
      <c r="L1499" s="4" t="s">
        <v>269</v>
      </c>
      <c r="M1499" s="5" t="s">
        <v>2521</v>
      </c>
      <c r="N1499" s="6">
        <f>5214</f>
        <v>5214</v>
      </c>
      <c r="O1499" s="4" t="s">
        <v>265</v>
      </c>
      <c r="P1499" s="6">
        <f>1</f>
        <v>1</v>
      </c>
      <c r="Q1499" s="6">
        <f>0</f>
        <v>0</v>
      </c>
      <c r="S1499" s="6">
        <f>0</f>
        <v>0</v>
      </c>
      <c r="T1499" s="6">
        <f>1</f>
        <v>1</v>
      </c>
      <c r="U1499" s="5" t="s">
        <v>245</v>
      </c>
      <c r="V1499" s="4" t="s">
        <v>270</v>
      </c>
      <c r="W1499" s="4" t="s">
        <v>271</v>
      </c>
      <c r="X1499" s="4" t="s">
        <v>273</v>
      </c>
      <c r="Y1499" s="4" t="s">
        <v>241</v>
      </c>
      <c r="AB1499" s="4" t="s">
        <v>241</v>
      </c>
      <c r="AD1499" s="5" t="s">
        <v>241</v>
      </c>
      <c r="AG1499" s="5" t="s">
        <v>246</v>
      </c>
      <c r="AH1499" s="4" t="s">
        <v>241</v>
      </c>
      <c r="AI1499" s="4" t="s">
        <v>247</v>
      </c>
      <c r="AJ1499" s="4" t="s">
        <v>248</v>
      </c>
      <c r="AZ1499" s="4" t="s">
        <v>249</v>
      </c>
      <c r="BA1499" s="4" t="s">
        <v>241</v>
      </c>
      <c r="BB1499" s="4" t="s">
        <v>250</v>
      </c>
      <c r="BC1499" s="4" t="s">
        <v>241</v>
      </c>
      <c r="BD1499" s="4" t="s">
        <v>252</v>
      </c>
      <c r="BE1499" s="4" t="s">
        <v>241</v>
      </c>
      <c r="BI1499" s="4" t="s">
        <v>253</v>
      </c>
      <c r="BJ1499" s="5" t="s">
        <v>246</v>
      </c>
      <c r="BK1499" s="4" t="s">
        <v>254</v>
      </c>
      <c r="BL1499" s="4" t="s">
        <v>255</v>
      </c>
      <c r="BM1499" s="4" t="s">
        <v>241</v>
      </c>
      <c r="BN1499" s="6">
        <f>0</f>
        <v>0</v>
      </c>
      <c r="BO1499" s="6">
        <f>0</f>
        <v>0</v>
      </c>
      <c r="BP1499" s="4" t="s">
        <v>256</v>
      </c>
      <c r="BQ1499" s="4" t="s">
        <v>257</v>
      </c>
      <c r="CE1499" s="4" t="s">
        <v>241</v>
      </c>
      <c r="CF1499" s="4" t="s">
        <v>241</v>
      </c>
      <c r="CJ1499" s="4" t="s">
        <v>276</v>
      </c>
      <c r="CK1499" s="4" t="s">
        <v>259</v>
      </c>
      <c r="CL1499" s="4" t="s">
        <v>241</v>
      </c>
      <c r="CO1499" s="5" t="s">
        <v>260</v>
      </c>
      <c r="CP1499" s="4" t="s">
        <v>241</v>
      </c>
      <c r="CQ1499" s="4" t="s">
        <v>261</v>
      </c>
      <c r="CR1499" s="4" t="s">
        <v>241</v>
      </c>
      <c r="CS1499" s="4" t="s">
        <v>241</v>
      </c>
      <c r="CT1499" s="4">
        <v>0</v>
      </c>
      <c r="CU1499" s="4" t="s">
        <v>262</v>
      </c>
      <c r="CV1499" s="4" t="s">
        <v>263</v>
      </c>
      <c r="CW1499" s="4" t="s">
        <v>263</v>
      </c>
      <c r="CX1499" s="4" t="s">
        <v>264</v>
      </c>
      <c r="DA1499" s="6">
        <f>1</f>
        <v>1</v>
      </c>
      <c r="DC1499" s="4" t="s">
        <v>277</v>
      </c>
      <c r="DD1499" s="4" t="s">
        <v>241</v>
      </c>
      <c r="DF1499" s="4" t="s">
        <v>277</v>
      </c>
      <c r="DG1499" s="6">
        <f>5214</f>
        <v>5214</v>
      </c>
      <c r="DI1499" s="4" t="s">
        <v>241</v>
      </c>
      <c r="DJ1499" s="4" t="s">
        <v>241</v>
      </c>
      <c r="DK1499" s="4" t="s">
        <v>241</v>
      </c>
      <c r="DL1499" s="4" t="s">
        <v>241</v>
      </c>
      <c r="DP1499" s="4" t="s">
        <v>241</v>
      </c>
      <c r="DQ1499" s="4" t="s">
        <v>241</v>
      </c>
      <c r="DR1499" s="4" t="s">
        <v>241</v>
      </c>
      <c r="DS1499" s="4" t="s">
        <v>241</v>
      </c>
      <c r="DV1499" s="4" t="s">
        <v>278</v>
      </c>
      <c r="DW1499" s="4" t="s">
        <v>2522</v>
      </c>
      <c r="HO1499" s="4" t="s">
        <v>267</v>
      </c>
    </row>
    <row r="1500" spans="1:223" ht="19.5" customHeight="1" x14ac:dyDescent="0.4">
      <c r="A1500" s="4">
        <v>1</v>
      </c>
      <c r="B1500" s="4" t="s">
        <v>239</v>
      </c>
      <c r="C1500" s="4">
        <v>3174</v>
      </c>
      <c r="D1500" s="4">
        <v>1</v>
      </c>
      <c r="E1500" s="4">
        <v>1</v>
      </c>
      <c r="F1500" s="4" t="s">
        <v>268</v>
      </c>
      <c r="G1500" s="4" t="s">
        <v>241</v>
      </c>
      <c r="H1500" s="4" t="s">
        <v>241</v>
      </c>
      <c r="I1500" s="4" t="s">
        <v>272</v>
      </c>
      <c r="J1500" s="4" t="s">
        <v>274</v>
      </c>
      <c r="K1500" s="4" t="s">
        <v>251</v>
      </c>
      <c r="L1500" s="4" t="s">
        <v>269</v>
      </c>
      <c r="M1500" s="5" t="s">
        <v>2520</v>
      </c>
      <c r="N1500" s="6">
        <f>2608</f>
        <v>2608</v>
      </c>
      <c r="O1500" s="4" t="s">
        <v>265</v>
      </c>
      <c r="P1500" s="6">
        <f>1</f>
        <v>1</v>
      </c>
      <c r="Q1500" s="6">
        <f>0</f>
        <v>0</v>
      </c>
      <c r="S1500" s="6">
        <f>0</f>
        <v>0</v>
      </c>
      <c r="T1500" s="6">
        <f>1</f>
        <v>1</v>
      </c>
      <c r="U1500" s="5" t="s">
        <v>245</v>
      </c>
      <c r="V1500" s="4" t="s">
        <v>270</v>
      </c>
      <c r="W1500" s="4" t="s">
        <v>271</v>
      </c>
      <c r="X1500" s="4" t="s">
        <v>273</v>
      </c>
      <c r="Y1500" s="4" t="s">
        <v>241</v>
      </c>
      <c r="AB1500" s="4" t="s">
        <v>241</v>
      </c>
      <c r="AD1500" s="5" t="s">
        <v>241</v>
      </c>
      <c r="AG1500" s="5" t="s">
        <v>246</v>
      </c>
      <c r="AH1500" s="4" t="s">
        <v>241</v>
      </c>
      <c r="AI1500" s="4" t="s">
        <v>247</v>
      </c>
      <c r="AJ1500" s="4" t="s">
        <v>248</v>
      </c>
      <c r="AZ1500" s="4" t="s">
        <v>249</v>
      </c>
      <c r="BA1500" s="4" t="s">
        <v>241</v>
      </c>
      <c r="BB1500" s="4" t="s">
        <v>250</v>
      </c>
      <c r="BC1500" s="4" t="s">
        <v>241</v>
      </c>
      <c r="BD1500" s="4" t="s">
        <v>252</v>
      </c>
      <c r="BE1500" s="4" t="s">
        <v>241</v>
      </c>
      <c r="BI1500" s="4" t="s">
        <v>253</v>
      </c>
      <c r="BJ1500" s="5" t="s">
        <v>246</v>
      </c>
      <c r="BK1500" s="4" t="s">
        <v>254</v>
      </c>
      <c r="BL1500" s="4" t="s">
        <v>255</v>
      </c>
      <c r="BM1500" s="4" t="s">
        <v>241</v>
      </c>
      <c r="BN1500" s="6">
        <f>0</f>
        <v>0</v>
      </c>
      <c r="BO1500" s="6">
        <f>0</f>
        <v>0</v>
      </c>
      <c r="BP1500" s="4" t="s">
        <v>256</v>
      </c>
      <c r="BQ1500" s="4" t="s">
        <v>257</v>
      </c>
      <c r="CE1500" s="4" t="s">
        <v>241</v>
      </c>
      <c r="CF1500" s="4" t="s">
        <v>241</v>
      </c>
      <c r="CJ1500" s="4" t="s">
        <v>276</v>
      </c>
      <c r="CK1500" s="4" t="s">
        <v>259</v>
      </c>
      <c r="CL1500" s="4" t="s">
        <v>241</v>
      </c>
      <c r="CO1500" s="5" t="s">
        <v>260</v>
      </c>
      <c r="CP1500" s="4" t="s">
        <v>241</v>
      </c>
      <c r="CQ1500" s="4" t="s">
        <v>261</v>
      </c>
      <c r="CR1500" s="4" t="s">
        <v>241</v>
      </c>
      <c r="CS1500" s="4" t="s">
        <v>241</v>
      </c>
      <c r="CT1500" s="4">
        <v>0</v>
      </c>
      <c r="CU1500" s="4" t="s">
        <v>262</v>
      </c>
      <c r="CV1500" s="4" t="s">
        <v>263</v>
      </c>
      <c r="CW1500" s="4" t="s">
        <v>263</v>
      </c>
      <c r="CX1500" s="4" t="s">
        <v>264</v>
      </c>
      <c r="DA1500" s="6">
        <f>1</f>
        <v>1</v>
      </c>
      <c r="DC1500" s="4" t="s">
        <v>277</v>
      </c>
      <c r="DD1500" s="4" t="s">
        <v>241</v>
      </c>
      <c r="DF1500" s="4" t="s">
        <v>277</v>
      </c>
      <c r="DG1500" s="6">
        <f>2608</f>
        <v>2608</v>
      </c>
      <c r="DI1500" s="4" t="s">
        <v>241</v>
      </c>
      <c r="DJ1500" s="4" t="s">
        <v>241</v>
      </c>
      <c r="DK1500" s="4" t="s">
        <v>241</v>
      </c>
      <c r="DL1500" s="4" t="s">
        <v>241</v>
      </c>
      <c r="DP1500" s="4" t="s">
        <v>241</v>
      </c>
      <c r="DQ1500" s="4" t="s">
        <v>241</v>
      </c>
      <c r="DR1500" s="4" t="s">
        <v>241</v>
      </c>
      <c r="DS1500" s="4" t="s">
        <v>241</v>
      </c>
      <c r="DV1500" s="4" t="s">
        <v>278</v>
      </c>
      <c r="DW1500" s="4" t="s">
        <v>704</v>
      </c>
      <c r="HO1500" s="4" t="s">
        <v>267</v>
      </c>
    </row>
    <row r="1501" spans="1:223" ht="19.5" customHeight="1" x14ac:dyDescent="0.4">
      <c r="A1501" s="4">
        <v>1</v>
      </c>
      <c r="B1501" s="4" t="s">
        <v>239</v>
      </c>
      <c r="C1501" s="4">
        <v>3175</v>
      </c>
      <c r="D1501" s="4">
        <v>1</v>
      </c>
      <c r="E1501" s="4">
        <v>1</v>
      </c>
      <c r="F1501" s="4" t="s">
        <v>268</v>
      </c>
      <c r="G1501" s="4" t="s">
        <v>241</v>
      </c>
      <c r="H1501" s="4" t="s">
        <v>241</v>
      </c>
      <c r="I1501" s="4" t="s">
        <v>272</v>
      </c>
      <c r="J1501" s="4" t="s">
        <v>274</v>
      </c>
      <c r="K1501" s="4" t="s">
        <v>251</v>
      </c>
      <c r="L1501" s="4" t="s">
        <v>269</v>
      </c>
      <c r="M1501" s="5" t="s">
        <v>2519</v>
      </c>
      <c r="N1501" s="6">
        <f>2791</f>
        <v>2791</v>
      </c>
      <c r="O1501" s="4" t="s">
        <v>265</v>
      </c>
      <c r="P1501" s="6">
        <f>1</f>
        <v>1</v>
      </c>
      <c r="Q1501" s="6">
        <f>0</f>
        <v>0</v>
      </c>
      <c r="S1501" s="6">
        <f>0</f>
        <v>0</v>
      </c>
      <c r="T1501" s="6">
        <f>1</f>
        <v>1</v>
      </c>
      <c r="U1501" s="5" t="s">
        <v>245</v>
      </c>
      <c r="V1501" s="4" t="s">
        <v>270</v>
      </c>
      <c r="W1501" s="4" t="s">
        <v>271</v>
      </c>
      <c r="X1501" s="4" t="s">
        <v>273</v>
      </c>
      <c r="Y1501" s="4" t="s">
        <v>241</v>
      </c>
      <c r="AB1501" s="4" t="s">
        <v>241</v>
      </c>
      <c r="AD1501" s="5" t="s">
        <v>241</v>
      </c>
      <c r="AG1501" s="5" t="s">
        <v>246</v>
      </c>
      <c r="AH1501" s="4" t="s">
        <v>241</v>
      </c>
      <c r="AI1501" s="4" t="s">
        <v>247</v>
      </c>
      <c r="AJ1501" s="4" t="s">
        <v>248</v>
      </c>
      <c r="AZ1501" s="4" t="s">
        <v>249</v>
      </c>
      <c r="BA1501" s="4" t="s">
        <v>241</v>
      </c>
      <c r="BB1501" s="4" t="s">
        <v>250</v>
      </c>
      <c r="BC1501" s="4" t="s">
        <v>241</v>
      </c>
      <c r="BD1501" s="4" t="s">
        <v>252</v>
      </c>
      <c r="BE1501" s="4" t="s">
        <v>241</v>
      </c>
      <c r="BI1501" s="4" t="s">
        <v>253</v>
      </c>
      <c r="BJ1501" s="5" t="s">
        <v>246</v>
      </c>
      <c r="BK1501" s="4" t="s">
        <v>254</v>
      </c>
      <c r="BL1501" s="4" t="s">
        <v>255</v>
      </c>
      <c r="BM1501" s="4" t="s">
        <v>241</v>
      </c>
      <c r="BN1501" s="6">
        <f>0</f>
        <v>0</v>
      </c>
      <c r="BO1501" s="6">
        <f>0</f>
        <v>0</v>
      </c>
      <c r="BP1501" s="4" t="s">
        <v>256</v>
      </c>
      <c r="BQ1501" s="4" t="s">
        <v>257</v>
      </c>
      <c r="CE1501" s="4" t="s">
        <v>241</v>
      </c>
      <c r="CF1501" s="4" t="s">
        <v>241</v>
      </c>
      <c r="CJ1501" s="4" t="s">
        <v>276</v>
      </c>
      <c r="CK1501" s="4" t="s">
        <v>259</v>
      </c>
      <c r="CL1501" s="4" t="s">
        <v>241</v>
      </c>
      <c r="CO1501" s="5" t="s">
        <v>260</v>
      </c>
      <c r="CP1501" s="4" t="s">
        <v>241</v>
      </c>
      <c r="CQ1501" s="4" t="s">
        <v>261</v>
      </c>
      <c r="CR1501" s="4" t="s">
        <v>241</v>
      </c>
      <c r="CS1501" s="4" t="s">
        <v>241</v>
      </c>
      <c r="CT1501" s="4">
        <v>0</v>
      </c>
      <c r="CU1501" s="4" t="s">
        <v>262</v>
      </c>
      <c r="CV1501" s="4" t="s">
        <v>263</v>
      </c>
      <c r="CW1501" s="4" t="s">
        <v>263</v>
      </c>
      <c r="CX1501" s="4" t="s">
        <v>264</v>
      </c>
      <c r="DA1501" s="6">
        <f>1</f>
        <v>1</v>
      </c>
      <c r="DC1501" s="4" t="s">
        <v>277</v>
      </c>
      <c r="DD1501" s="4" t="s">
        <v>241</v>
      </c>
      <c r="DF1501" s="4" t="s">
        <v>277</v>
      </c>
      <c r="DG1501" s="6">
        <f>2791</f>
        <v>2791</v>
      </c>
      <c r="DI1501" s="4" t="s">
        <v>241</v>
      </c>
      <c r="DJ1501" s="4" t="s">
        <v>241</v>
      </c>
      <c r="DK1501" s="4" t="s">
        <v>241</v>
      </c>
      <c r="DL1501" s="4" t="s">
        <v>241</v>
      </c>
      <c r="DP1501" s="4" t="s">
        <v>241</v>
      </c>
      <c r="DQ1501" s="4" t="s">
        <v>241</v>
      </c>
      <c r="DR1501" s="4" t="s">
        <v>241</v>
      </c>
      <c r="DS1501" s="4" t="s">
        <v>241</v>
      </c>
      <c r="DV1501" s="4" t="s">
        <v>278</v>
      </c>
      <c r="DW1501" s="4" t="s">
        <v>708</v>
      </c>
      <c r="HO1501" s="4" t="s">
        <v>267</v>
      </c>
    </row>
    <row r="1502" spans="1:223" ht="19.5" customHeight="1" x14ac:dyDescent="0.4">
      <c r="A1502" s="4">
        <v>1</v>
      </c>
      <c r="B1502" s="4" t="s">
        <v>239</v>
      </c>
      <c r="C1502" s="4">
        <v>3176</v>
      </c>
      <c r="D1502" s="4">
        <v>1</v>
      </c>
      <c r="E1502" s="4">
        <v>1</v>
      </c>
      <c r="F1502" s="4" t="s">
        <v>268</v>
      </c>
      <c r="G1502" s="4" t="s">
        <v>241</v>
      </c>
      <c r="H1502" s="4" t="s">
        <v>241</v>
      </c>
      <c r="I1502" s="4" t="s">
        <v>272</v>
      </c>
      <c r="J1502" s="4" t="s">
        <v>274</v>
      </c>
      <c r="K1502" s="4" t="s">
        <v>251</v>
      </c>
      <c r="L1502" s="4" t="s">
        <v>269</v>
      </c>
      <c r="M1502" s="5" t="s">
        <v>2518</v>
      </c>
      <c r="N1502" s="6">
        <f>6872</f>
        <v>6872</v>
      </c>
      <c r="O1502" s="4" t="s">
        <v>265</v>
      </c>
      <c r="P1502" s="6">
        <f>1</f>
        <v>1</v>
      </c>
      <c r="Q1502" s="6">
        <f>0</f>
        <v>0</v>
      </c>
      <c r="S1502" s="6">
        <f>0</f>
        <v>0</v>
      </c>
      <c r="T1502" s="6">
        <f>1</f>
        <v>1</v>
      </c>
      <c r="U1502" s="5" t="s">
        <v>245</v>
      </c>
      <c r="V1502" s="4" t="s">
        <v>270</v>
      </c>
      <c r="W1502" s="4" t="s">
        <v>271</v>
      </c>
      <c r="X1502" s="4" t="s">
        <v>273</v>
      </c>
      <c r="Y1502" s="4" t="s">
        <v>241</v>
      </c>
      <c r="AB1502" s="4" t="s">
        <v>241</v>
      </c>
      <c r="AD1502" s="5" t="s">
        <v>241</v>
      </c>
      <c r="AG1502" s="5" t="s">
        <v>246</v>
      </c>
      <c r="AH1502" s="4" t="s">
        <v>241</v>
      </c>
      <c r="AI1502" s="4" t="s">
        <v>247</v>
      </c>
      <c r="AJ1502" s="4" t="s">
        <v>248</v>
      </c>
      <c r="AZ1502" s="4" t="s">
        <v>249</v>
      </c>
      <c r="BA1502" s="4" t="s">
        <v>241</v>
      </c>
      <c r="BB1502" s="4" t="s">
        <v>250</v>
      </c>
      <c r="BC1502" s="4" t="s">
        <v>241</v>
      </c>
      <c r="BD1502" s="4" t="s">
        <v>252</v>
      </c>
      <c r="BE1502" s="4" t="s">
        <v>241</v>
      </c>
      <c r="BI1502" s="4" t="s">
        <v>253</v>
      </c>
      <c r="BJ1502" s="5" t="s">
        <v>246</v>
      </c>
      <c r="BK1502" s="4" t="s">
        <v>254</v>
      </c>
      <c r="BL1502" s="4" t="s">
        <v>255</v>
      </c>
      <c r="BM1502" s="4" t="s">
        <v>241</v>
      </c>
      <c r="BN1502" s="6">
        <f>0</f>
        <v>0</v>
      </c>
      <c r="BO1502" s="6">
        <f>0</f>
        <v>0</v>
      </c>
      <c r="BP1502" s="4" t="s">
        <v>256</v>
      </c>
      <c r="BQ1502" s="4" t="s">
        <v>257</v>
      </c>
      <c r="CE1502" s="4" t="s">
        <v>241</v>
      </c>
      <c r="CF1502" s="4" t="s">
        <v>241</v>
      </c>
      <c r="CJ1502" s="4" t="s">
        <v>276</v>
      </c>
      <c r="CK1502" s="4" t="s">
        <v>259</v>
      </c>
      <c r="CL1502" s="4" t="s">
        <v>241</v>
      </c>
      <c r="CO1502" s="5" t="s">
        <v>260</v>
      </c>
      <c r="CP1502" s="4" t="s">
        <v>241</v>
      </c>
      <c r="CQ1502" s="4" t="s">
        <v>261</v>
      </c>
      <c r="CR1502" s="4" t="s">
        <v>241</v>
      </c>
      <c r="CS1502" s="4" t="s">
        <v>241</v>
      </c>
      <c r="CT1502" s="4">
        <v>0</v>
      </c>
      <c r="CU1502" s="4" t="s">
        <v>262</v>
      </c>
      <c r="CV1502" s="4" t="s">
        <v>263</v>
      </c>
      <c r="CW1502" s="4" t="s">
        <v>263</v>
      </c>
      <c r="CX1502" s="4" t="s">
        <v>264</v>
      </c>
      <c r="DA1502" s="6">
        <f>1</f>
        <v>1</v>
      </c>
      <c r="DC1502" s="4" t="s">
        <v>277</v>
      </c>
      <c r="DD1502" s="4" t="s">
        <v>241</v>
      </c>
      <c r="DF1502" s="4" t="s">
        <v>277</v>
      </c>
      <c r="DG1502" s="6">
        <f>6872</f>
        <v>6872</v>
      </c>
      <c r="DI1502" s="4" t="s">
        <v>241</v>
      </c>
      <c r="DJ1502" s="4" t="s">
        <v>241</v>
      </c>
      <c r="DK1502" s="4" t="s">
        <v>241</v>
      </c>
      <c r="DL1502" s="4" t="s">
        <v>241</v>
      </c>
      <c r="DP1502" s="4" t="s">
        <v>241</v>
      </c>
      <c r="DQ1502" s="4" t="s">
        <v>241</v>
      </c>
      <c r="DR1502" s="4" t="s">
        <v>241</v>
      </c>
      <c r="DS1502" s="4" t="s">
        <v>241</v>
      </c>
      <c r="DV1502" s="4" t="s">
        <v>278</v>
      </c>
      <c r="DW1502" s="4" t="s">
        <v>716</v>
      </c>
      <c r="HO1502" s="4" t="s">
        <v>267</v>
      </c>
    </row>
    <row r="1503" spans="1:223" ht="19.5" customHeight="1" x14ac:dyDescent="0.4">
      <c r="A1503" s="4">
        <v>1</v>
      </c>
      <c r="B1503" s="4" t="s">
        <v>239</v>
      </c>
      <c r="C1503" s="4">
        <v>3177</v>
      </c>
      <c r="D1503" s="4">
        <v>1</v>
      </c>
      <c r="E1503" s="4">
        <v>1</v>
      </c>
      <c r="F1503" s="4" t="s">
        <v>268</v>
      </c>
      <c r="G1503" s="4" t="s">
        <v>241</v>
      </c>
      <c r="H1503" s="4" t="s">
        <v>241</v>
      </c>
      <c r="I1503" s="4" t="s">
        <v>272</v>
      </c>
      <c r="J1503" s="4" t="s">
        <v>274</v>
      </c>
      <c r="K1503" s="4" t="s">
        <v>251</v>
      </c>
      <c r="L1503" s="4" t="s">
        <v>269</v>
      </c>
      <c r="M1503" s="5" t="s">
        <v>2517</v>
      </c>
      <c r="N1503" s="6">
        <f>373</f>
        <v>373</v>
      </c>
      <c r="O1503" s="4" t="s">
        <v>265</v>
      </c>
      <c r="P1503" s="6">
        <f>1</f>
        <v>1</v>
      </c>
      <c r="Q1503" s="6">
        <f>0</f>
        <v>0</v>
      </c>
      <c r="S1503" s="6">
        <f>0</f>
        <v>0</v>
      </c>
      <c r="T1503" s="6">
        <f>1</f>
        <v>1</v>
      </c>
      <c r="U1503" s="5" t="s">
        <v>245</v>
      </c>
      <c r="V1503" s="4" t="s">
        <v>270</v>
      </c>
      <c r="W1503" s="4" t="s">
        <v>271</v>
      </c>
      <c r="X1503" s="4" t="s">
        <v>273</v>
      </c>
      <c r="Y1503" s="4" t="s">
        <v>241</v>
      </c>
      <c r="AB1503" s="4" t="s">
        <v>241</v>
      </c>
      <c r="AD1503" s="5" t="s">
        <v>241</v>
      </c>
      <c r="AG1503" s="5" t="s">
        <v>246</v>
      </c>
      <c r="AH1503" s="4" t="s">
        <v>241</v>
      </c>
      <c r="AI1503" s="4" t="s">
        <v>247</v>
      </c>
      <c r="AJ1503" s="4" t="s">
        <v>248</v>
      </c>
      <c r="AZ1503" s="4" t="s">
        <v>249</v>
      </c>
      <c r="BA1503" s="4" t="s">
        <v>241</v>
      </c>
      <c r="BB1503" s="4" t="s">
        <v>250</v>
      </c>
      <c r="BC1503" s="4" t="s">
        <v>241</v>
      </c>
      <c r="BD1503" s="4" t="s">
        <v>252</v>
      </c>
      <c r="BE1503" s="4" t="s">
        <v>241</v>
      </c>
      <c r="BI1503" s="4" t="s">
        <v>253</v>
      </c>
      <c r="BJ1503" s="5" t="s">
        <v>246</v>
      </c>
      <c r="BK1503" s="4" t="s">
        <v>254</v>
      </c>
      <c r="BL1503" s="4" t="s">
        <v>255</v>
      </c>
      <c r="BM1503" s="4" t="s">
        <v>241</v>
      </c>
      <c r="BN1503" s="6">
        <f>0</f>
        <v>0</v>
      </c>
      <c r="BO1503" s="6">
        <f>0</f>
        <v>0</v>
      </c>
      <c r="BP1503" s="4" t="s">
        <v>256</v>
      </c>
      <c r="BQ1503" s="4" t="s">
        <v>257</v>
      </c>
      <c r="CE1503" s="4" t="s">
        <v>241</v>
      </c>
      <c r="CF1503" s="4" t="s">
        <v>241</v>
      </c>
      <c r="CJ1503" s="4" t="s">
        <v>276</v>
      </c>
      <c r="CK1503" s="4" t="s">
        <v>259</v>
      </c>
      <c r="CL1503" s="4" t="s">
        <v>241</v>
      </c>
      <c r="CO1503" s="5" t="s">
        <v>260</v>
      </c>
      <c r="CP1503" s="4" t="s">
        <v>241</v>
      </c>
      <c r="CQ1503" s="4" t="s">
        <v>261</v>
      </c>
      <c r="CR1503" s="4" t="s">
        <v>241</v>
      </c>
      <c r="CS1503" s="4" t="s">
        <v>241</v>
      </c>
      <c r="CT1503" s="4">
        <v>0</v>
      </c>
      <c r="CU1503" s="4" t="s">
        <v>262</v>
      </c>
      <c r="CV1503" s="4" t="s">
        <v>263</v>
      </c>
      <c r="CW1503" s="4" t="s">
        <v>263</v>
      </c>
      <c r="CX1503" s="4" t="s">
        <v>264</v>
      </c>
      <c r="DA1503" s="6">
        <f>1</f>
        <v>1</v>
      </c>
      <c r="DC1503" s="4" t="s">
        <v>277</v>
      </c>
      <c r="DD1503" s="4" t="s">
        <v>241</v>
      </c>
      <c r="DF1503" s="4" t="s">
        <v>277</v>
      </c>
      <c r="DG1503" s="6">
        <f>373</f>
        <v>373</v>
      </c>
      <c r="DI1503" s="4" t="s">
        <v>241</v>
      </c>
      <c r="DJ1503" s="4" t="s">
        <v>241</v>
      </c>
      <c r="DK1503" s="4" t="s">
        <v>241</v>
      </c>
      <c r="DL1503" s="4" t="s">
        <v>241</v>
      </c>
      <c r="DP1503" s="4" t="s">
        <v>241</v>
      </c>
      <c r="DQ1503" s="4" t="s">
        <v>241</v>
      </c>
      <c r="DR1503" s="4" t="s">
        <v>241</v>
      </c>
      <c r="DS1503" s="4" t="s">
        <v>241</v>
      </c>
      <c r="DV1503" s="4" t="s">
        <v>278</v>
      </c>
      <c r="DW1503" s="4" t="s">
        <v>723</v>
      </c>
      <c r="HO1503" s="4" t="s">
        <v>267</v>
      </c>
    </row>
    <row r="1504" spans="1:223" ht="19.5" customHeight="1" x14ac:dyDescent="0.4">
      <c r="A1504" s="4">
        <v>1</v>
      </c>
      <c r="B1504" s="4" t="s">
        <v>239</v>
      </c>
      <c r="C1504" s="4">
        <v>3178</v>
      </c>
      <c r="D1504" s="4">
        <v>1</v>
      </c>
      <c r="E1504" s="4">
        <v>1</v>
      </c>
      <c r="F1504" s="4" t="s">
        <v>268</v>
      </c>
      <c r="G1504" s="4" t="s">
        <v>241</v>
      </c>
      <c r="H1504" s="4" t="s">
        <v>241</v>
      </c>
      <c r="I1504" s="4" t="s">
        <v>272</v>
      </c>
      <c r="J1504" s="4" t="s">
        <v>274</v>
      </c>
      <c r="K1504" s="4" t="s">
        <v>251</v>
      </c>
      <c r="L1504" s="4" t="s">
        <v>269</v>
      </c>
      <c r="M1504" s="5" t="s">
        <v>2515</v>
      </c>
      <c r="N1504" s="6">
        <f>5833</f>
        <v>5833</v>
      </c>
      <c r="O1504" s="4" t="s">
        <v>265</v>
      </c>
      <c r="P1504" s="6">
        <f>1</f>
        <v>1</v>
      </c>
      <c r="Q1504" s="6">
        <f>0</f>
        <v>0</v>
      </c>
      <c r="S1504" s="6">
        <f>0</f>
        <v>0</v>
      </c>
      <c r="T1504" s="6">
        <f>1</f>
        <v>1</v>
      </c>
      <c r="U1504" s="5" t="s">
        <v>245</v>
      </c>
      <c r="V1504" s="4" t="s">
        <v>270</v>
      </c>
      <c r="W1504" s="4" t="s">
        <v>271</v>
      </c>
      <c r="X1504" s="4" t="s">
        <v>273</v>
      </c>
      <c r="Y1504" s="4" t="s">
        <v>241</v>
      </c>
      <c r="AB1504" s="4" t="s">
        <v>241</v>
      </c>
      <c r="AD1504" s="5" t="s">
        <v>241</v>
      </c>
      <c r="AG1504" s="5" t="s">
        <v>246</v>
      </c>
      <c r="AH1504" s="4" t="s">
        <v>241</v>
      </c>
      <c r="AI1504" s="4" t="s">
        <v>247</v>
      </c>
      <c r="AJ1504" s="4" t="s">
        <v>248</v>
      </c>
      <c r="AZ1504" s="4" t="s">
        <v>249</v>
      </c>
      <c r="BA1504" s="4" t="s">
        <v>241</v>
      </c>
      <c r="BB1504" s="4" t="s">
        <v>250</v>
      </c>
      <c r="BC1504" s="4" t="s">
        <v>241</v>
      </c>
      <c r="BD1504" s="4" t="s">
        <v>252</v>
      </c>
      <c r="BE1504" s="4" t="s">
        <v>241</v>
      </c>
      <c r="BI1504" s="4" t="s">
        <v>253</v>
      </c>
      <c r="BJ1504" s="5" t="s">
        <v>246</v>
      </c>
      <c r="BK1504" s="4" t="s">
        <v>254</v>
      </c>
      <c r="BL1504" s="4" t="s">
        <v>255</v>
      </c>
      <c r="BM1504" s="4" t="s">
        <v>241</v>
      </c>
      <c r="BN1504" s="6">
        <f>0</f>
        <v>0</v>
      </c>
      <c r="BO1504" s="6">
        <f>0</f>
        <v>0</v>
      </c>
      <c r="BP1504" s="4" t="s">
        <v>256</v>
      </c>
      <c r="BQ1504" s="4" t="s">
        <v>257</v>
      </c>
      <c r="CE1504" s="4" t="s">
        <v>241</v>
      </c>
      <c r="CF1504" s="4" t="s">
        <v>241</v>
      </c>
      <c r="CJ1504" s="4" t="s">
        <v>276</v>
      </c>
      <c r="CK1504" s="4" t="s">
        <v>259</v>
      </c>
      <c r="CL1504" s="4" t="s">
        <v>241</v>
      </c>
      <c r="CO1504" s="5" t="s">
        <v>260</v>
      </c>
      <c r="CP1504" s="4" t="s">
        <v>241</v>
      </c>
      <c r="CQ1504" s="4" t="s">
        <v>261</v>
      </c>
      <c r="CR1504" s="4" t="s">
        <v>241</v>
      </c>
      <c r="CS1504" s="4" t="s">
        <v>241</v>
      </c>
      <c r="CT1504" s="4">
        <v>0</v>
      </c>
      <c r="CU1504" s="4" t="s">
        <v>262</v>
      </c>
      <c r="CV1504" s="4" t="s">
        <v>263</v>
      </c>
      <c r="CW1504" s="4" t="s">
        <v>263</v>
      </c>
      <c r="CX1504" s="4" t="s">
        <v>264</v>
      </c>
      <c r="DA1504" s="6">
        <f>1</f>
        <v>1</v>
      </c>
      <c r="DC1504" s="4" t="s">
        <v>277</v>
      </c>
      <c r="DD1504" s="4" t="s">
        <v>241</v>
      </c>
      <c r="DF1504" s="4" t="s">
        <v>277</v>
      </c>
      <c r="DG1504" s="6">
        <f>5833</f>
        <v>5833</v>
      </c>
      <c r="DI1504" s="4" t="s">
        <v>241</v>
      </c>
      <c r="DJ1504" s="4" t="s">
        <v>241</v>
      </c>
      <c r="DK1504" s="4" t="s">
        <v>241</v>
      </c>
      <c r="DL1504" s="4" t="s">
        <v>241</v>
      </c>
      <c r="DP1504" s="4" t="s">
        <v>241</v>
      </c>
      <c r="DQ1504" s="4" t="s">
        <v>241</v>
      </c>
      <c r="DR1504" s="4" t="s">
        <v>241</v>
      </c>
      <c r="DS1504" s="4" t="s">
        <v>241</v>
      </c>
      <c r="DV1504" s="4" t="s">
        <v>278</v>
      </c>
      <c r="DW1504" s="4" t="s">
        <v>2516</v>
      </c>
      <c r="HO1504" s="4" t="s">
        <v>267</v>
      </c>
    </row>
    <row r="1505" spans="1:223" ht="19.5" customHeight="1" x14ac:dyDescent="0.4">
      <c r="A1505" s="4">
        <v>1</v>
      </c>
      <c r="B1505" s="4" t="s">
        <v>239</v>
      </c>
      <c r="C1505" s="4">
        <v>3179</v>
      </c>
      <c r="D1505" s="4">
        <v>1</v>
      </c>
      <c r="E1505" s="4">
        <v>1</v>
      </c>
      <c r="F1505" s="4" t="s">
        <v>268</v>
      </c>
      <c r="G1505" s="4" t="s">
        <v>241</v>
      </c>
      <c r="H1505" s="4" t="s">
        <v>241</v>
      </c>
      <c r="I1505" s="4" t="s">
        <v>272</v>
      </c>
      <c r="J1505" s="4" t="s">
        <v>274</v>
      </c>
      <c r="K1505" s="4" t="s">
        <v>251</v>
      </c>
      <c r="L1505" s="4" t="s">
        <v>269</v>
      </c>
      <c r="M1505" s="5" t="s">
        <v>2514</v>
      </c>
      <c r="N1505" s="6">
        <f>5366</f>
        <v>5366</v>
      </c>
      <c r="O1505" s="4" t="s">
        <v>265</v>
      </c>
      <c r="P1505" s="6">
        <f>1</f>
        <v>1</v>
      </c>
      <c r="Q1505" s="6">
        <f>0</f>
        <v>0</v>
      </c>
      <c r="S1505" s="6">
        <f>0</f>
        <v>0</v>
      </c>
      <c r="T1505" s="6">
        <f>1</f>
        <v>1</v>
      </c>
      <c r="U1505" s="5" t="s">
        <v>245</v>
      </c>
      <c r="V1505" s="4" t="s">
        <v>270</v>
      </c>
      <c r="W1505" s="4" t="s">
        <v>271</v>
      </c>
      <c r="X1505" s="4" t="s">
        <v>273</v>
      </c>
      <c r="Y1505" s="4" t="s">
        <v>241</v>
      </c>
      <c r="AB1505" s="4" t="s">
        <v>241</v>
      </c>
      <c r="AD1505" s="5" t="s">
        <v>241</v>
      </c>
      <c r="AG1505" s="5" t="s">
        <v>246</v>
      </c>
      <c r="AH1505" s="4" t="s">
        <v>241</v>
      </c>
      <c r="AI1505" s="4" t="s">
        <v>247</v>
      </c>
      <c r="AJ1505" s="4" t="s">
        <v>248</v>
      </c>
      <c r="AZ1505" s="4" t="s">
        <v>249</v>
      </c>
      <c r="BA1505" s="4" t="s">
        <v>241</v>
      </c>
      <c r="BB1505" s="4" t="s">
        <v>250</v>
      </c>
      <c r="BC1505" s="4" t="s">
        <v>241</v>
      </c>
      <c r="BD1505" s="4" t="s">
        <v>252</v>
      </c>
      <c r="BE1505" s="4" t="s">
        <v>241</v>
      </c>
      <c r="BI1505" s="4" t="s">
        <v>253</v>
      </c>
      <c r="BJ1505" s="5" t="s">
        <v>246</v>
      </c>
      <c r="BK1505" s="4" t="s">
        <v>254</v>
      </c>
      <c r="BL1505" s="4" t="s">
        <v>255</v>
      </c>
      <c r="BM1505" s="4" t="s">
        <v>241</v>
      </c>
      <c r="BN1505" s="6">
        <f>0</f>
        <v>0</v>
      </c>
      <c r="BO1505" s="6">
        <f>0</f>
        <v>0</v>
      </c>
      <c r="BP1505" s="4" t="s">
        <v>256</v>
      </c>
      <c r="BQ1505" s="4" t="s">
        <v>257</v>
      </c>
      <c r="CE1505" s="4" t="s">
        <v>241</v>
      </c>
      <c r="CF1505" s="4" t="s">
        <v>241</v>
      </c>
      <c r="CJ1505" s="4" t="s">
        <v>276</v>
      </c>
      <c r="CK1505" s="4" t="s">
        <v>259</v>
      </c>
      <c r="CL1505" s="4" t="s">
        <v>241</v>
      </c>
      <c r="CO1505" s="5" t="s">
        <v>260</v>
      </c>
      <c r="CP1505" s="4" t="s">
        <v>241</v>
      </c>
      <c r="CQ1505" s="4" t="s">
        <v>261</v>
      </c>
      <c r="CR1505" s="4" t="s">
        <v>241</v>
      </c>
      <c r="CS1505" s="4" t="s">
        <v>241</v>
      </c>
      <c r="CT1505" s="4">
        <v>0</v>
      </c>
      <c r="CU1505" s="4" t="s">
        <v>262</v>
      </c>
      <c r="CV1505" s="4" t="s">
        <v>263</v>
      </c>
      <c r="CW1505" s="4" t="s">
        <v>263</v>
      </c>
      <c r="CX1505" s="4" t="s">
        <v>264</v>
      </c>
      <c r="DA1505" s="6">
        <f>1</f>
        <v>1</v>
      </c>
      <c r="DC1505" s="4" t="s">
        <v>277</v>
      </c>
      <c r="DD1505" s="4" t="s">
        <v>241</v>
      </c>
      <c r="DF1505" s="4" t="s">
        <v>277</v>
      </c>
      <c r="DG1505" s="6">
        <f>5366</f>
        <v>5366</v>
      </c>
      <c r="DI1505" s="4" t="s">
        <v>241</v>
      </c>
      <c r="DJ1505" s="4" t="s">
        <v>241</v>
      </c>
      <c r="DK1505" s="4" t="s">
        <v>241</v>
      </c>
      <c r="DL1505" s="4" t="s">
        <v>241</v>
      </c>
      <c r="DP1505" s="4" t="s">
        <v>241</v>
      </c>
      <c r="DQ1505" s="4" t="s">
        <v>241</v>
      </c>
      <c r="DR1505" s="4" t="s">
        <v>241</v>
      </c>
      <c r="DS1505" s="4" t="s">
        <v>241</v>
      </c>
      <c r="DV1505" s="4" t="s">
        <v>278</v>
      </c>
      <c r="DW1505" s="4" t="s">
        <v>745</v>
      </c>
      <c r="HO1505" s="4" t="s">
        <v>267</v>
      </c>
    </row>
    <row r="1506" spans="1:223" ht="19.5" customHeight="1" x14ac:dyDescent="0.4">
      <c r="A1506" s="4">
        <v>1</v>
      </c>
      <c r="B1506" s="4" t="s">
        <v>239</v>
      </c>
      <c r="C1506" s="4">
        <v>3180</v>
      </c>
      <c r="D1506" s="4">
        <v>1</v>
      </c>
      <c r="E1506" s="4">
        <v>1</v>
      </c>
      <c r="F1506" s="4" t="s">
        <v>268</v>
      </c>
      <c r="G1506" s="4" t="s">
        <v>241</v>
      </c>
      <c r="H1506" s="4" t="s">
        <v>241</v>
      </c>
      <c r="I1506" s="4" t="s">
        <v>272</v>
      </c>
      <c r="J1506" s="4" t="s">
        <v>274</v>
      </c>
      <c r="K1506" s="4" t="s">
        <v>251</v>
      </c>
      <c r="L1506" s="4" t="s">
        <v>269</v>
      </c>
      <c r="M1506" s="5" t="s">
        <v>2513</v>
      </c>
      <c r="N1506" s="6">
        <f>1485</f>
        <v>1485</v>
      </c>
      <c r="O1506" s="4" t="s">
        <v>265</v>
      </c>
      <c r="P1506" s="6">
        <f>1</f>
        <v>1</v>
      </c>
      <c r="Q1506" s="6">
        <f>0</f>
        <v>0</v>
      </c>
      <c r="S1506" s="6">
        <f>0</f>
        <v>0</v>
      </c>
      <c r="T1506" s="6">
        <f>1</f>
        <v>1</v>
      </c>
      <c r="U1506" s="5" t="s">
        <v>245</v>
      </c>
      <c r="V1506" s="4" t="s">
        <v>270</v>
      </c>
      <c r="W1506" s="4" t="s">
        <v>271</v>
      </c>
      <c r="X1506" s="4" t="s">
        <v>273</v>
      </c>
      <c r="Y1506" s="4" t="s">
        <v>241</v>
      </c>
      <c r="AB1506" s="4" t="s">
        <v>241</v>
      </c>
      <c r="AD1506" s="5" t="s">
        <v>241</v>
      </c>
      <c r="AG1506" s="5" t="s">
        <v>246</v>
      </c>
      <c r="AH1506" s="4" t="s">
        <v>241</v>
      </c>
      <c r="AI1506" s="4" t="s">
        <v>247</v>
      </c>
      <c r="AJ1506" s="4" t="s">
        <v>248</v>
      </c>
      <c r="AZ1506" s="4" t="s">
        <v>249</v>
      </c>
      <c r="BA1506" s="4" t="s">
        <v>241</v>
      </c>
      <c r="BB1506" s="4" t="s">
        <v>250</v>
      </c>
      <c r="BC1506" s="4" t="s">
        <v>241</v>
      </c>
      <c r="BD1506" s="4" t="s">
        <v>252</v>
      </c>
      <c r="BE1506" s="4" t="s">
        <v>241</v>
      </c>
      <c r="BI1506" s="4" t="s">
        <v>253</v>
      </c>
      <c r="BJ1506" s="5" t="s">
        <v>246</v>
      </c>
      <c r="BK1506" s="4" t="s">
        <v>254</v>
      </c>
      <c r="BL1506" s="4" t="s">
        <v>255</v>
      </c>
      <c r="BM1506" s="4" t="s">
        <v>241</v>
      </c>
      <c r="BN1506" s="6">
        <f>0</f>
        <v>0</v>
      </c>
      <c r="BO1506" s="6">
        <f>0</f>
        <v>0</v>
      </c>
      <c r="BP1506" s="4" t="s">
        <v>256</v>
      </c>
      <c r="BQ1506" s="4" t="s">
        <v>257</v>
      </c>
      <c r="CE1506" s="4" t="s">
        <v>241</v>
      </c>
      <c r="CF1506" s="4" t="s">
        <v>241</v>
      </c>
      <c r="CJ1506" s="4" t="s">
        <v>276</v>
      </c>
      <c r="CK1506" s="4" t="s">
        <v>259</v>
      </c>
      <c r="CL1506" s="4" t="s">
        <v>241</v>
      </c>
      <c r="CO1506" s="5" t="s">
        <v>260</v>
      </c>
      <c r="CP1506" s="4" t="s">
        <v>241</v>
      </c>
      <c r="CQ1506" s="4" t="s">
        <v>261</v>
      </c>
      <c r="CR1506" s="4" t="s">
        <v>241</v>
      </c>
      <c r="CS1506" s="4" t="s">
        <v>241</v>
      </c>
      <c r="CT1506" s="4">
        <v>0</v>
      </c>
      <c r="CU1506" s="4" t="s">
        <v>262</v>
      </c>
      <c r="CV1506" s="4" t="s">
        <v>263</v>
      </c>
      <c r="CW1506" s="4" t="s">
        <v>263</v>
      </c>
      <c r="CX1506" s="4" t="s">
        <v>264</v>
      </c>
      <c r="DA1506" s="6">
        <f>1</f>
        <v>1</v>
      </c>
      <c r="DC1506" s="4" t="s">
        <v>277</v>
      </c>
      <c r="DD1506" s="4" t="s">
        <v>241</v>
      </c>
      <c r="DF1506" s="4" t="s">
        <v>277</v>
      </c>
      <c r="DG1506" s="6">
        <f>1485</f>
        <v>1485</v>
      </c>
      <c r="DI1506" s="4" t="s">
        <v>241</v>
      </c>
      <c r="DJ1506" s="4" t="s">
        <v>241</v>
      </c>
      <c r="DK1506" s="4" t="s">
        <v>241</v>
      </c>
      <c r="DL1506" s="4" t="s">
        <v>241</v>
      </c>
      <c r="DP1506" s="4" t="s">
        <v>241</v>
      </c>
      <c r="DQ1506" s="4" t="s">
        <v>241</v>
      </c>
      <c r="DR1506" s="4" t="s">
        <v>241</v>
      </c>
      <c r="DS1506" s="4" t="s">
        <v>241</v>
      </c>
      <c r="DV1506" s="4" t="s">
        <v>278</v>
      </c>
      <c r="DW1506" s="4" t="s">
        <v>752</v>
      </c>
      <c r="HO1506" s="4" t="s">
        <v>267</v>
      </c>
    </row>
    <row r="1507" spans="1:223" ht="19.5" customHeight="1" x14ac:dyDescent="0.4">
      <c r="A1507" s="4">
        <v>1</v>
      </c>
      <c r="B1507" s="4" t="s">
        <v>239</v>
      </c>
      <c r="C1507" s="4">
        <v>3181</v>
      </c>
      <c r="D1507" s="4">
        <v>1</v>
      </c>
      <c r="E1507" s="4">
        <v>1</v>
      </c>
      <c r="F1507" s="4" t="s">
        <v>268</v>
      </c>
      <c r="G1507" s="4" t="s">
        <v>241</v>
      </c>
      <c r="H1507" s="4" t="s">
        <v>241</v>
      </c>
      <c r="I1507" s="4" t="s">
        <v>272</v>
      </c>
      <c r="J1507" s="4" t="s">
        <v>274</v>
      </c>
      <c r="K1507" s="4" t="s">
        <v>251</v>
      </c>
      <c r="L1507" s="4" t="s">
        <v>269</v>
      </c>
      <c r="M1507" s="5" t="s">
        <v>2511</v>
      </c>
      <c r="N1507" s="6">
        <f>3606</f>
        <v>3606</v>
      </c>
      <c r="O1507" s="4" t="s">
        <v>265</v>
      </c>
      <c r="P1507" s="6">
        <f>1</f>
        <v>1</v>
      </c>
      <c r="Q1507" s="6">
        <f>0</f>
        <v>0</v>
      </c>
      <c r="S1507" s="6">
        <f>0</f>
        <v>0</v>
      </c>
      <c r="T1507" s="6">
        <f>1</f>
        <v>1</v>
      </c>
      <c r="U1507" s="5" t="s">
        <v>245</v>
      </c>
      <c r="V1507" s="4" t="s">
        <v>270</v>
      </c>
      <c r="W1507" s="4" t="s">
        <v>271</v>
      </c>
      <c r="X1507" s="4" t="s">
        <v>273</v>
      </c>
      <c r="Y1507" s="4" t="s">
        <v>241</v>
      </c>
      <c r="AB1507" s="4" t="s">
        <v>241</v>
      </c>
      <c r="AD1507" s="5" t="s">
        <v>241</v>
      </c>
      <c r="AG1507" s="5" t="s">
        <v>246</v>
      </c>
      <c r="AH1507" s="4" t="s">
        <v>241</v>
      </c>
      <c r="AI1507" s="4" t="s">
        <v>247</v>
      </c>
      <c r="AJ1507" s="4" t="s">
        <v>248</v>
      </c>
      <c r="AZ1507" s="4" t="s">
        <v>249</v>
      </c>
      <c r="BA1507" s="4" t="s">
        <v>241</v>
      </c>
      <c r="BB1507" s="4" t="s">
        <v>250</v>
      </c>
      <c r="BC1507" s="4" t="s">
        <v>241</v>
      </c>
      <c r="BD1507" s="4" t="s">
        <v>252</v>
      </c>
      <c r="BE1507" s="4" t="s">
        <v>241</v>
      </c>
      <c r="BI1507" s="4" t="s">
        <v>253</v>
      </c>
      <c r="BJ1507" s="5" t="s">
        <v>246</v>
      </c>
      <c r="BK1507" s="4" t="s">
        <v>254</v>
      </c>
      <c r="BL1507" s="4" t="s">
        <v>255</v>
      </c>
      <c r="BM1507" s="4" t="s">
        <v>241</v>
      </c>
      <c r="BN1507" s="6">
        <f>0</f>
        <v>0</v>
      </c>
      <c r="BO1507" s="6">
        <f>0</f>
        <v>0</v>
      </c>
      <c r="BP1507" s="4" t="s">
        <v>256</v>
      </c>
      <c r="BQ1507" s="4" t="s">
        <v>257</v>
      </c>
      <c r="CE1507" s="4" t="s">
        <v>241</v>
      </c>
      <c r="CF1507" s="4" t="s">
        <v>241</v>
      </c>
      <c r="CJ1507" s="4" t="s">
        <v>276</v>
      </c>
      <c r="CK1507" s="4" t="s">
        <v>259</v>
      </c>
      <c r="CL1507" s="4" t="s">
        <v>241</v>
      </c>
      <c r="CO1507" s="5" t="s">
        <v>260</v>
      </c>
      <c r="CP1507" s="4" t="s">
        <v>241</v>
      </c>
      <c r="CQ1507" s="4" t="s">
        <v>261</v>
      </c>
      <c r="CR1507" s="4" t="s">
        <v>241</v>
      </c>
      <c r="CS1507" s="4" t="s">
        <v>241</v>
      </c>
      <c r="CT1507" s="4">
        <v>0</v>
      </c>
      <c r="CU1507" s="4" t="s">
        <v>262</v>
      </c>
      <c r="CV1507" s="4" t="s">
        <v>263</v>
      </c>
      <c r="CW1507" s="4" t="s">
        <v>263</v>
      </c>
      <c r="CX1507" s="4" t="s">
        <v>264</v>
      </c>
      <c r="DA1507" s="6">
        <f>1</f>
        <v>1</v>
      </c>
      <c r="DC1507" s="4" t="s">
        <v>277</v>
      </c>
      <c r="DD1507" s="4" t="s">
        <v>241</v>
      </c>
      <c r="DF1507" s="4" t="s">
        <v>277</v>
      </c>
      <c r="DG1507" s="6">
        <f>3606</f>
        <v>3606</v>
      </c>
      <c r="DI1507" s="4" t="s">
        <v>241</v>
      </c>
      <c r="DJ1507" s="4" t="s">
        <v>241</v>
      </c>
      <c r="DK1507" s="4" t="s">
        <v>241</v>
      </c>
      <c r="DL1507" s="4" t="s">
        <v>241</v>
      </c>
      <c r="DP1507" s="4" t="s">
        <v>241</v>
      </c>
      <c r="DQ1507" s="4" t="s">
        <v>241</v>
      </c>
      <c r="DR1507" s="4" t="s">
        <v>241</v>
      </c>
      <c r="DS1507" s="4" t="s">
        <v>241</v>
      </c>
      <c r="DV1507" s="4" t="s">
        <v>278</v>
      </c>
      <c r="DW1507" s="4" t="s">
        <v>770</v>
      </c>
      <c r="HO1507" s="4" t="s">
        <v>267</v>
      </c>
    </row>
    <row r="1508" spans="1:223" ht="19.5" customHeight="1" x14ac:dyDescent="0.4">
      <c r="A1508" s="4">
        <v>1</v>
      </c>
      <c r="B1508" s="4" t="s">
        <v>239</v>
      </c>
      <c r="C1508" s="4">
        <v>3182</v>
      </c>
      <c r="D1508" s="4">
        <v>1</v>
      </c>
      <c r="E1508" s="4">
        <v>1</v>
      </c>
      <c r="F1508" s="4" t="s">
        <v>268</v>
      </c>
      <c r="G1508" s="4" t="s">
        <v>241</v>
      </c>
      <c r="H1508" s="4" t="s">
        <v>241</v>
      </c>
      <c r="I1508" s="4" t="s">
        <v>272</v>
      </c>
      <c r="J1508" s="4" t="s">
        <v>274</v>
      </c>
      <c r="K1508" s="4" t="s">
        <v>251</v>
      </c>
      <c r="L1508" s="4" t="s">
        <v>269</v>
      </c>
      <c r="M1508" s="5" t="s">
        <v>2509</v>
      </c>
      <c r="N1508" s="6">
        <f>2919</f>
        <v>2919</v>
      </c>
      <c r="O1508" s="4" t="s">
        <v>265</v>
      </c>
      <c r="P1508" s="6">
        <f>1</f>
        <v>1</v>
      </c>
      <c r="Q1508" s="6">
        <f>0</f>
        <v>0</v>
      </c>
      <c r="S1508" s="6">
        <f>0</f>
        <v>0</v>
      </c>
      <c r="T1508" s="6">
        <f>1</f>
        <v>1</v>
      </c>
      <c r="U1508" s="5" t="s">
        <v>245</v>
      </c>
      <c r="V1508" s="4" t="s">
        <v>270</v>
      </c>
      <c r="W1508" s="4" t="s">
        <v>271</v>
      </c>
      <c r="X1508" s="4" t="s">
        <v>273</v>
      </c>
      <c r="Y1508" s="4" t="s">
        <v>241</v>
      </c>
      <c r="AB1508" s="4" t="s">
        <v>241</v>
      </c>
      <c r="AD1508" s="5" t="s">
        <v>241</v>
      </c>
      <c r="AG1508" s="5" t="s">
        <v>246</v>
      </c>
      <c r="AH1508" s="4" t="s">
        <v>241</v>
      </c>
      <c r="AI1508" s="4" t="s">
        <v>247</v>
      </c>
      <c r="AJ1508" s="4" t="s">
        <v>248</v>
      </c>
      <c r="AZ1508" s="4" t="s">
        <v>249</v>
      </c>
      <c r="BA1508" s="4" t="s">
        <v>241</v>
      </c>
      <c r="BB1508" s="4" t="s">
        <v>250</v>
      </c>
      <c r="BC1508" s="4" t="s">
        <v>241</v>
      </c>
      <c r="BD1508" s="4" t="s">
        <v>252</v>
      </c>
      <c r="BE1508" s="4" t="s">
        <v>241</v>
      </c>
      <c r="BI1508" s="4" t="s">
        <v>253</v>
      </c>
      <c r="BJ1508" s="5" t="s">
        <v>246</v>
      </c>
      <c r="BK1508" s="4" t="s">
        <v>254</v>
      </c>
      <c r="BL1508" s="4" t="s">
        <v>255</v>
      </c>
      <c r="BM1508" s="4" t="s">
        <v>241</v>
      </c>
      <c r="BN1508" s="6">
        <f>0</f>
        <v>0</v>
      </c>
      <c r="BO1508" s="6">
        <f>0</f>
        <v>0</v>
      </c>
      <c r="BP1508" s="4" t="s">
        <v>256</v>
      </c>
      <c r="BQ1508" s="4" t="s">
        <v>257</v>
      </c>
      <c r="CE1508" s="4" t="s">
        <v>241</v>
      </c>
      <c r="CF1508" s="4" t="s">
        <v>241</v>
      </c>
      <c r="CJ1508" s="4" t="s">
        <v>276</v>
      </c>
      <c r="CK1508" s="4" t="s">
        <v>259</v>
      </c>
      <c r="CL1508" s="4" t="s">
        <v>241</v>
      </c>
      <c r="CO1508" s="5" t="s">
        <v>260</v>
      </c>
      <c r="CP1508" s="4" t="s">
        <v>241</v>
      </c>
      <c r="CQ1508" s="4" t="s">
        <v>261</v>
      </c>
      <c r="CR1508" s="4" t="s">
        <v>241</v>
      </c>
      <c r="CS1508" s="4" t="s">
        <v>241</v>
      </c>
      <c r="CT1508" s="4">
        <v>0</v>
      </c>
      <c r="CU1508" s="4" t="s">
        <v>262</v>
      </c>
      <c r="CV1508" s="4" t="s">
        <v>263</v>
      </c>
      <c r="CW1508" s="4" t="s">
        <v>263</v>
      </c>
      <c r="CX1508" s="4" t="s">
        <v>264</v>
      </c>
      <c r="DA1508" s="6">
        <f>1</f>
        <v>1</v>
      </c>
      <c r="DC1508" s="4" t="s">
        <v>277</v>
      </c>
      <c r="DD1508" s="4" t="s">
        <v>241</v>
      </c>
      <c r="DF1508" s="4" t="s">
        <v>277</v>
      </c>
      <c r="DG1508" s="6">
        <f>2919</f>
        <v>2919</v>
      </c>
      <c r="DI1508" s="4" t="s">
        <v>241</v>
      </c>
      <c r="DJ1508" s="4" t="s">
        <v>241</v>
      </c>
      <c r="DK1508" s="4" t="s">
        <v>241</v>
      </c>
      <c r="DL1508" s="4" t="s">
        <v>241</v>
      </c>
      <c r="DP1508" s="4" t="s">
        <v>241</v>
      </c>
      <c r="DQ1508" s="4" t="s">
        <v>241</v>
      </c>
      <c r="DR1508" s="4" t="s">
        <v>241</v>
      </c>
      <c r="DS1508" s="4" t="s">
        <v>241</v>
      </c>
      <c r="DV1508" s="4" t="s">
        <v>278</v>
      </c>
      <c r="DW1508" s="4" t="s">
        <v>776</v>
      </c>
      <c r="HO1508" s="4" t="s">
        <v>267</v>
      </c>
    </row>
    <row r="1509" spans="1:223" ht="19.5" customHeight="1" x14ac:dyDescent="0.4">
      <c r="A1509" s="4">
        <v>1</v>
      </c>
      <c r="B1509" s="4" t="s">
        <v>239</v>
      </c>
      <c r="C1509" s="4">
        <v>3183</v>
      </c>
      <c r="D1509" s="4">
        <v>1</v>
      </c>
      <c r="E1509" s="4">
        <v>1</v>
      </c>
      <c r="F1509" s="4" t="s">
        <v>268</v>
      </c>
      <c r="G1509" s="4" t="s">
        <v>241</v>
      </c>
      <c r="H1509" s="4" t="s">
        <v>241</v>
      </c>
      <c r="I1509" s="4" t="s">
        <v>272</v>
      </c>
      <c r="J1509" s="4" t="s">
        <v>274</v>
      </c>
      <c r="K1509" s="4" t="s">
        <v>251</v>
      </c>
      <c r="L1509" s="4" t="s">
        <v>269</v>
      </c>
      <c r="M1509" s="5" t="s">
        <v>2508</v>
      </c>
      <c r="N1509" s="6">
        <f>3253</f>
        <v>3253</v>
      </c>
      <c r="O1509" s="4" t="s">
        <v>265</v>
      </c>
      <c r="P1509" s="6">
        <f>1</f>
        <v>1</v>
      </c>
      <c r="Q1509" s="6">
        <f>0</f>
        <v>0</v>
      </c>
      <c r="S1509" s="6">
        <f>0</f>
        <v>0</v>
      </c>
      <c r="T1509" s="6">
        <f>1</f>
        <v>1</v>
      </c>
      <c r="U1509" s="5" t="s">
        <v>245</v>
      </c>
      <c r="V1509" s="4" t="s">
        <v>270</v>
      </c>
      <c r="W1509" s="4" t="s">
        <v>271</v>
      </c>
      <c r="X1509" s="4" t="s">
        <v>273</v>
      </c>
      <c r="Y1509" s="4" t="s">
        <v>241</v>
      </c>
      <c r="AB1509" s="4" t="s">
        <v>241</v>
      </c>
      <c r="AD1509" s="5" t="s">
        <v>241</v>
      </c>
      <c r="AG1509" s="5" t="s">
        <v>246</v>
      </c>
      <c r="AH1509" s="4" t="s">
        <v>241</v>
      </c>
      <c r="AI1509" s="4" t="s">
        <v>247</v>
      </c>
      <c r="AJ1509" s="4" t="s">
        <v>248</v>
      </c>
      <c r="AZ1509" s="4" t="s">
        <v>249</v>
      </c>
      <c r="BA1509" s="4" t="s">
        <v>241</v>
      </c>
      <c r="BB1509" s="4" t="s">
        <v>250</v>
      </c>
      <c r="BC1509" s="4" t="s">
        <v>241</v>
      </c>
      <c r="BD1509" s="4" t="s">
        <v>252</v>
      </c>
      <c r="BE1509" s="4" t="s">
        <v>241</v>
      </c>
      <c r="BI1509" s="4" t="s">
        <v>253</v>
      </c>
      <c r="BJ1509" s="5" t="s">
        <v>246</v>
      </c>
      <c r="BK1509" s="4" t="s">
        <v>254</v>
      </c>
      <c r="BL1509" s="4" t="s">
        <v>255</v>
      </c>
      <c r="BM1509" s="4" t="s">
        <v>241</v>
      </c>
      <c r="BN1509" s="6">
        <f>0</f>
        <v>0</v>
      </c>
      <c r="BO1509" s="6">
        <f>0</f>
        <v>0</v>
      </c>
      <c r="BP1509" s="4" t="s">
        <v>256</v>
      </c>
      <c r="BQ1509" s="4" t="s">
        <v>257</v>
      </c>
      <c r="CE1509" s="4" t="s">
        <v>241</v>
      </c>
      <c r="CF1509" s="4" t="s">
        <v>241</v>
      </c>
      <c r="CJ1509" s="4" t="s">
        <v>276</v>
      </c>
      <c r="CK1509" s="4" t="s">
        <v>259</v>
      </c>
      <c r="CL1509" s="4" t="s">
        <v>241</v>
      </c>
      <c r="CO1509" s="5" t="s">
        <v>260</v>
      </c>
      <c r="CP1509" s="4" t="s">
        <v>241</v>
      </c>
      <c r="CQ1509" s="4" t="s">
        <v>261</v>
      </c>
      <c r="CR1509" s="4" t="s">
        <v>241</v>
      </c>
      <c r="CS1509" s="4" t="s">
        <v>241</v>
      </c>
      <c r="CT1509" s="4">
        <v>0</v>
      </c>
      <c r="CU1509" s="4" t="s">
        <v>262</v>
      </c>
      <c r="CV1509" s="4" t="s">
        <v>263</v>
      </c>
      <c r="CW1509" s="4" t="s">
        <v>263</v>
      </c>
      <c r="CX1509" s="4" t="s">
        <v>264</v>
      </c>
      <c r="DA1509" s="6">
        <f>1</f>
        <v>1</v>
      </c>
      <c r="DC1509" s="4" t="s">
        <v>277</v>
      </c>
      <c r="DD1509" s="4" t="s">
        <v>241</v>
      </c>
      <c r="DF1509" s="4" t="s">
        <v>277</v>
      </c>
      <c r="DG1509" s="6">
        <f>3253</f>
        <v>3253</v>
      </c>
      <c r="DI1509" s="4" t="s">
        <v>241</v>
      </c>
      <c r="DJ1509" s="4" t="s">
        <v>241</v>
      </c>
      <c r="DK1509" s="4" t="s">
        <v>241</v>
      </c>
      <c r="DL1509" s="4" t="s">
        <v>241</v>
      </c>
      <c r="DP1509" s="4" t="s">
        <v>241</v>
      </c>
      <c r="DQ1509" s="4" t="s">
        <v>241</v>
      </c>
      <c r="DR1509" s="4" t="s">
        <v>241</v>
      </c>
      <c r="DS1509" s="4" t="s">
        <v>241</v>
      </c>
      <c r="DV1509" s="4" t="s">
        <v>278</v>
      </c>
      <c r="DW1509" s="4" t="s">
        <v>784</v>
      </c>
      <c r="HO1509" s="4" t="s">
        <v>267</v>
      </c>
    </row>
    <row r="1510" spans="1:223" ht="19.5" customHeight="1" x14ac:dyDescent="0.4">
      <c r="A1510" s="4">
        <v>1</v>
      </c>
      <c r="B1510" s="4" t="s">
        <v>239</v>
      </c>
      <c r="C1510" s="4">
        <v>3184</v>
      </c>
      <c r="D1510" s="4">
        <v>1</v>
      </c>
      <c r="E1510" s="4">
        <v>1</v>
      </c>
      <c r="F1510" s="4" t="s">
        <v>268</v>
      </c>
      <c r="G1510" s="4" t="s">
        <v>241</v>
      </c>
      <c r="H1510" s="4" t="s">
        <v>241</v>
      </c>
      <c r="I1510" s="4" t="s">
        <v>272</v>
      </c>
      <c r="J1510" s="4" t="s">
        <v>274</v>
      </c>
      <c r="K1510" s="4" t="s">
        <v>251</v>
      </c>
      <c r="L1510" s="4" t="s">
        <v>269</v>
      </c>
      <c r="M1510" s="5" t="s">
        <v>2507</v>
      </c>
      <c r="N1510" s="6">
        <f>3108</f>
        <v>3108</v>
      </c>
      <c r="O1510" s="4" t="s">
        <v>265</v>
      </c>
      <c r="P1510" s="6">
        <f>1</f>
        <v>1</v>
      </c>
      <c r="Q1510" s="6">
        <f>0</f>
        <v>0</v>
      </c>
      <c r="S1510" s="6">
        <f>0</f>
        <v>0</v>
      </c>
      <c r="T1510" s="6">
        <f>1</f>
        <v>1</v>
      </c>
      <c r="U1510" s="5" t="s">
        <v>245</v>
      </c>
      <c r="V1510" s="4" t="s">
        <v>270</v>
      </c>
      <c r="W1510" s="4" t="s">
        <v>271</v>
      </c>
      <c r="X1510" s="4" t="s">
        <v>273</v>
      </c>
      <c r="Y1510" s="4" t="s">
        <v>241</v>
      </c>
      <c r="AB1510" s="4" t="s">
        <v>241</v>
      </c>
      <c r="AD1510" s="5" t="s">
        <v>241</v>
      </c>
      <c r="AG1510" s="5" t="s">
        <v>246</v>
      </c>
      <c r="AH1510" s="4" t="s">
        <v>241</v>
      </c>
      <c r="AI1510" s="4" t="s">
        <v>247</v>
      </c>
      <c r="AJ1510" s="4" t="s">
        <v>248</v>
      </c>
      <c r="AZ1510" s="4" t="s">
        <v>249</v>
      </c>
      <c r="BA1510" s="4" t="s">
        <v>241</v>
      </c>
      <c r="BB1510" s="4" t="s">
        <v>250</v>
      </c>
      <c r="BC1510" s="4" t="s">
        <v>241</v>
      </c>
      <c r="BD1510" s="4" t="s">
        <v>252</v>
      </c>
      <c r="BE1510" s="4" t="s">
        <v>241</v>
      </c>
      <c r="BI1510" s="4" t="s">
        <v>253</v>
      </c>
      <c r="BJ1510" s="5" t="s">
        <v>246</v>
      </c>
      <c r="BK1510" s="4" t="s">
        <v>254</v>
      </c>
      <c r="BL1510" s="4" t="s">
        <v>255</v>
      </c>
      <c r="BM1510" s="4" t="s">
        <v>241</v>
      </c>
      <c r="BN1510" s="6">
        <f>0</f>
        <v>0</v>
      </c>
      <c r="BO1510" s="6">
        <f>0</f>
        <v>0</v>
      </c>
      <c r="BP1510" s="4" t="s">
        <v>256</v>
      </c>
      <c r="BQ1510" s="4" t="s">
        <v>257</v>
      </c>
      <c r="CE1510" s="4" t="s">
        <v>241</v>
      </c>
      <c r="CF1510" s="4" t="s">
        <v>241</v>
      </c>
      <c r="CJ1510" s="4" t="s">
        <v>276</v>
      </c>
      <c r="CK1510" s="4" t="s">
        <v>259</v>
      </c>
      <c r="CL1510" s="4" t="s">
        <v>241</v>
      </c>
      <c r="CO1510" s="5" t="s">
        <v>260</v>
      </c>
      <c r="CP1510" s="4" t="s">
        <v>241</v>
      </c>
      <c r="CQ1510" s="4" t="s">
        <v>261</v>
      </c>
      <c r="CR1510" s="4" t="s">
        <v>241</v>
      </c>
      <c r="CS1510" s="4" t="s">
        <v>241</v>
      </c>
      <c r="CT1510" s="4">
        <v>0</v>
      </c>
      <c r="CU1510" s="4" t="s">
        <v>262</v>
      </c>
      <c r="CV1510" s="4" t="s">
        <v>263</v>
      </c>
      <c r="CW1510" s="4" t="s">
        <v>263</v>
      </c>
      <c r="CX1510" s="4" t="s">
        <v>264</v>
      </c>
      <c r="DA1510" s="6">
        <f>1</f>
        <v>1</v>
      </c>
      <c r="DC1510" s="4" t="s">
        <v>277</v>
      </c>
      <c r="DD1510" s="4" t="s">
        <v>241</v>
      </c>
      <c r="DF1510" s="4" t="s">
        <v>277</v>
      </c>
      <c r="DG1510" s="6">
        <f>3108</f>
        <v>3108</v>
      </c>
      <c r="DI1510" s="4" t="s">
        <v>241</v>
      </c>
      <c r="DJ1510" s="4" t="s">
        <v>241</v>
      </c>
      <c r="DK1510" s="4" t="s">
        <v>241</v>
      </c>
      <c r="DL1510" s="4" t="s">
        <v>241</v>
      </c>
      <c r="DP1510" s="4" t="s">
        <v>241</v>
      </c>
      <c r="DQ1510" s="4" t="s">
        <v>241</v>
      </c>
      <c r="DR1510" s="4" t="s">
        <v>241</v>
      </c>
      <c r="DS1510" s="4" t="s">
        <v>241</v>
      </c>
      <c r="DV1510" s="4" t="s">
        <v>278</v>
      </c>
      <c r="DW1510" s="4" t="s">
        <v>800</v>
      </c>
      <c r="HO1510" s="4" t="s">
        <v>267</v>
      </c>
    </row>
    <row r="1511" spans="1:223" ht="19.5" customHeight="1" x14ac:dyDescent="0.4">
      <c r="A1511" s="4">
        <v>1</v>
      </c>
      <c r="B1511" s="4" t="s">
        <v>239</v>
      </c>
      <c r="C1511" s="4">
        <v>3185</v>
      </c>
      <c r="D1511" s="4">
        <v>1</v>
      </c>
      <c r="E1511" s="4">
        <v>1</v>
      </c>
      <c r="F1511" s="4" t="s">
        <v>268</v>
      </c>
      <c r="G1511" s="4" t="s">
        <v>241</v>
      </c>
      <c r="H1511" s="4" t="s">
        <v>241</v>
      </c>
      <c r="I1511" s="4" t="s">
        <v>272</v>
      </c>
      <c r="J1511" s="4" t="s">
        <v>274</v>
      </c>
      <c r="K1511" s="4" t="s">
        <v>251</v>
      </c>
      <c r="L1511" s="4" t="s">
        <v>269</v>
      </c>
      <c r="M1511" s="5" t="s">
        <v>2506</v>
      </c>
      <c r="N1511" s="6">
        <f>6187</f>
        <v>6187</v>
      </c>
      <c r="O1511" s="4" t="s">
        <v>265</v>
      </c>
      <c r="P1511" s="6">
        <f>1</f>
        <v>1</v>
      </c>
      <c r="Q1511" s="6">
        <f>0</f>
        <v>0</v>
      </c>
      <c r="S1511" s="6">
        <f>0</f>
        <v>0</v>
      </c>
      <c r="T1511" s="6">
        <f>1</f>
        <v>1</v>
      </c>
      <c r="U1511" s="5" t="s">
        <v>245</v>
      </c>
      <c r="V1511" s="4" t="s">
        <v>270</v>
      </c>
      <c r="W1511" s="4" t="s">
        <v>271</v>
      </c>
      <c r="X1511" s="4" t="s">
        <v>273</v>
      </c>
      <c r="Y1511" s="4" t="s">
        <v>241</v>
      </c>
      <c r="AB1511" s="4" t="s">
        <v>241</v>
      </c>
      <c r="AD1511" s="5" t="s">
        <v>241</v>
      </c>
      <c r="AG1511" s="5" t="s">
        <v>246</v>
      </c>
      <c r="AH1511" s="4" t="s">
        <v>241</v>
      </c>
      <c r="AI1511" s="4" t="s">
        <v>247</v>
      </c>
      <c r="AJ1511" s="4" t="s">
        <v>248</v>
      </c>
      <c r="AZ1511" s="4" t="s">
        <v>249</v>
      </c>
      <c r="BA1511" s="4" t="s">
        <v>241</v>
      </c>
      <c r="BB1511" s="4" t="s">
        <v>250</v>
      </c>
      <c r="BC1511" s="4" t="s">
        <v>241</v>
      </c>
      <c r="BD1511" s="4" t="s">
        <v>252</v>
      </c>
      <c r="BE1511" s="4" t="s">
        <v>241</v>
      </c>
      <c r="BI1511" s="4" t="s">
        <v>253</v>
      </c>
      <c r="BJ1511" s="5" t="s">
        <v>246</v>
      </c>
      <c r="BK1511" s="4" t="s">
        <v>254</v>
      </c>
      <c r="BL1511" s="4" t="s">
        <v>255</v>
      </c>
      <c r="BM1511" s="4" t="s">
        <v>241</v>
      </c>
      <c r="BN1511" s="6">
        <f>0</f>
        <v>0</v>
      </c>
      <c r="BO1511" s="6">
        <f>0</f>
        <v>0</v>
      </c>
      <c r="BP1511" s="4" t="s">
        <v>256</v>
      </c>
      <c r="BQ1511" s="4" t="s">
        <v>257</v>
      </c>
      <c r="CE1511" s="4" t="s">
        <v>241</v>
      </c>
      <c r="CF1511" s="4" t="s">
        <v>241</v>
      </c>
      <c r="CJ1511" s="4" t="s">
        <v>276</v>
      </c>
      <c r="CK1511" s="4" t="s">
        <v>259</v>
      </c>
      <c r="CL1511" s="4" t="s">
        <v>241</v>
      </c>
      <c r="CO1511" s="5" t="s">
        <v>260</v>
      </c>
      <c r="CP1511" s="4" t="s">
        <v>241</v>
      </c>
      <c r="CQ1511" s="4" t="s">
        <v>261</v>
      </c>
      <c r="CR1511" s="4" t="s">
        <v>241</v>
      </c>
      <c r="CS1511" s="4" t="s">
        <v>241</v>
      </c>
      <c r="CT1511" s="4">
        <v>0</v>
      </c>
      <c r="CU1511" s="4" t="s">
        <v>262</v>
      </c>
      <c r="CV1511" s="4" t="s">
        <v>263</v>
      </c>
      <c r="CW1511" s="4" t="s">
        <v>263</v>
      </c>
      <c r="CX1511" s="4" t="s">
        <v>264</v>
      </c>
      <c r="DA1511" s="6">
        <f>1</f>
        <v>1</v>
      </c>
      <c r="DC1511" s="4" t="s">
        <v>277</v>
      </c>
      <c r="DD1511" s="4" t="s">
        <v>241</v>
      </c>
      <c r="DF1511" s="4" t="s">
        <v>277</v>
      </c>
      <c r="DG1511" s="6">
        <f>6187</f>
        <v>6187</v>
      </c>
      <c r="DI1511" s="4" t="s">
        <v>241</v>
      </c>
      <c r="DJ1511" s="4" t="s">
        <v>241</v>
      </c>
      <c r="DK1511" s="4" t="s">
        <v>241</v>
      </c>
      <c r="DL1511" s="4" t="s">
        <v>241</v>
      </c>
      <c r="DP1511" s="4" t="s">
        <v>241</v>
      </c>
      <c r="DQ1511" s="4" t="s">
        <v>241</v>
      </c>
      <c r="DR1511" s="4" t="s">
        <v>241</v>
      </c>
      <c r="DS1511" s="4" t="s">
        <v>241</v>
      </c>
      <c r="DV1511" s="4" t="s">
        <v>278</v>
      </c>
      <c r="DW1511" s="4" t="s">
        <v>810</v>
      </c>
      <c r="HO1511" s="4" t="s">
        <v>267</v>
      </c>
    </row>
    <row r="1512" spans="1:223" ht="19.5" customHeight="1" x14ac:dyDescent="0.4">
      <c r="A1512" s="4">
        <v>1</v>
      </c>
      <c r="B1512" s="4" t="s">
        <v>239</v>
      </c>
      <c r="C1512" s="4">
        <v>3186</v>
      </c>
      <c r="D1512" s="4">
        <v>1</v>
      </c>
      <c r="E1512" s="4">
        <v>1</v>
      </c>
      <c r="F1512" s="4" t="s">
        <v>268</v>
      </c>
      <c r="G1512" s="4" t="s">
        <v>241</v>
      </c>
      <c r="H1512" s="4" t="s">
        <v>241</v>
      </c>
      <c r="I1512" s="4" t="s">
        <v>272</v>
      </c>
      <c r="J1512" s="4" t="s">
        <v>274</v>
      </c>
      <c r="K1512" s="4" t="s">
        <v>251</v>
      </c>
      <c r="L1512" s="4" t="s">
        <v>269</v>
      </c>
      <c r="M1512" s="5" t="s">
        <v>2505</v>
      </c>
      <c r="N1512" s="6">
        <f>3137</f>
        <v>3137</v>
      </c>
      <c r="O1512" s="4" t="s">
        <v>265</v>
      </c>
      <c r="P1512" s="6">
        <f>1</f>
        <v>1</v>
      </c>
      <c r="Q1512" s="6">
        <f>0</f>
        <v>0</v>
      </c>
      <c r="S1512" s="6">
        <f>0</f>
        <v>0</v>
      </c>
      <c r="T1512" s="6">
        <f>1</f>
        <v>1</v>
      </c>
      <c r="U1512" s="5" t="s">
        <v>245</v>
      </c>
      <c r="V1512" s="4" t="s">
        <v>270</v>
      </c>
      <c r="W1512" s="4" t="s">
        <v>271</v>
      </c>
      <c r="X1512" s="4" t="s">
        <v>273</v>
      </c>
      <c r="Y1512" s="4" t="s">
        <v>241</v>
      </c>
      <c r="AB1512" s="4" t="s">
        <v>241</v>
      </c>
      <c r="AD1512" s="5" t="s">
        <v>241</v>
      </c>
      <c r="AG1512" s="5" t="s">
        <v>246</v>
      </c>
      <c r="AH1512" s="4" t="s">
        <v>241</v>
      </c>
      <c r="AI1512" s="4" t="s">
        <v>247</v>
      </c>
      <c r="AJ1512" s="4" t="s">
        <v>248</v>
      </c>
      <c r="AZ1512" s="4" t="s">
        <v>249</v>
      </c>
      <c r="BA1512" s="4" t="s">
        <v>241</v>
      </c>
      <c r="BB1512" s="4" t="s">
        <v>250</v>
      </c>
      <c r="BC1512" s="4" t="s">
        <v>241</v>
      </c>
      <c r="BD1512" s="4" t="s">
        <v>252</v>
      </c>
      <c r="BE1512" s="4" t="s">
        <v>241</v>
      </c>
      <c r="BI1512" s="4" t="s">
        <v>253</v>
      </c>
      <c r="BJ1512" s="5" t="s">
        <v>246</v>
      </c>
      <c r="BK1512" s="4" t="s">
        <v>254</v>
      </c>
      <c r="BL1512" s="4" t="s">
        <v>255</v>
      </c>
      <c r="BM1512" s="4" t="s">
        <v>241</v>
      </c>
      <c r="BN1512" s="6">
        <f>0</f>
        <v>0</v>
      </c>
      <c r="BO1512" s="6">
        <f>0</f>
        <v>0</v>
      </c>
      <c r="BP1512" s="4" t="s">
        <v>256</v>
      </c>
      <c r="BQ1512" s="4" t="s">
        <v>257</v>
      </c>
      <c r="CE1512" s="4" t="s">
        <v>241</v>
      </c>
      <c r="CF1512" s="4" t="s">
        <v>241</v>
      </c>
      <c r="CJ1512" s="4" t="s">
        <v>276</v>
      </c>
      <c r="CK1512" s="4" t="s">
        <v>259</v>
      </c>
      <c r="CL1512" s="4" t="s">
        <v>241</v>
      </c>
      <c r="CO1512" s="5" t="s">
        <v>260</v>
      </c>
      <c r="CP1512" s="4" t="s">
        <v>241</v>
      </c>
      <c r="CQ1512" s="4" t="s">
        <v>261</v>
      </c>
      <c r="CR1512" s="4" t="s">
        <v>241</v>
      </c>
      <c r="CS1512" s="4" t="s">
        <v>241</v>
      </c>
      <c r="CT1512" s="4">
        <v>0</v>
      </c>
      <c r="CU1512" s="4" t="s">
        <v>262</v>
      </c>
      <c r="CV1512" s="4" t="s">
        <v>263</v>
      </c>
      <c r="CW1512" s="4" t="s">
        <v>263</v>
      </c>
      <c r="CX1512" s="4" t="s">
        <v>264</v>
      </c>
      <c r="DA1512" s="6">
        <f>1</f>
        <v>1</v>
      </c>
      <c r="DC1512" s="4" t="s">
        <v>277</v>
      </c>
      <c r="DD1512" s="4" t="s">
        <v>241</v>
      </c>
      <c r="DF1512" s="4" t="s">
        <v>277</v>
      </c>
      <c r="DG1512" s="6">
        <f>3137</f>
        <v>3137</v>
      </c>
      <c r="DI1512" s="4" t="s">
        <v>241</v>
      </c>
      <c r="DJ1512" s="4" t="s">
        <v>241</v>
      </c>
      <c r="DK1512" s="4" t="s">
        <v>241</v>
      </c>
      <c r="DL1512" s="4" t="s">
        <v>241</v>
      </c>
      <c r="DP1512" s="4" t="s">
        <v>241</v>
      </c>
      <c r="DQ1512" s="4" t="s">
        <v>241</v>
      </c>
      <c r="DR1512" s="4" t="s">
        <v>241</v>
      </c>
      <c r="DS1512" s="4" t="s">
        <v>241</v>
      </c>
      <c r="DV1512" s="4" t="s">
        <v>278</v>
      </c>
      <c r="DW1512" s="4" t="s">
        <v>814</v>
      </c>
      <c r="HO1512" s="4" t="s">
        <v>267</v>
      </c>
    </row>
    <row r="1513" spans="1:223" ht="19.5" customHeight="1" x14ac:dyDescent="0.4">
      <c r="A1513" s="4">
        <v>1</v>
      </c>
      <c r="B1513" s="4" t="s">
        <v>239</v>
      </c>
      <c r="C1513" s="4">
        <v>3187</v>
      </c>
      <c r="D1513" s="4">
        <v>1</v>
      </c>
      <c r="E1513" s="4">
        <v>1</v>
      </c>
      <c r="F1513" s="4" t="s">
        <v>268</v>
      </c>
      <c r="G1513" s="4" t="s">
        <v>241</v>
      </c>
      <c r="H1513" s="4" t="s">
        <v>241</v>
      </c>
      <c r="I1513" s="4" t="s">
        <v>272</v>
      </c>
      <c r="J1513" s="4" t="s">
        <v>274</v>
      </c>
      <c r="K1513" s="4" t="s">
        <v>251</v>
      </c>
      <c r="L1513" s="4" t="s">
        <v>269</v>
      </c>
      <c r="M1513" s="5" t="s">
        <v>2504</v>
      </c>
      <c r="N1513" s="6">
        <f>3145</f>
        <v>3145</v>
      </c>
      <c r="O1513" s="4" t="s">
        <v>265</v>
      </c>
      <c r="P1513" s="6">
        <f>1</f>
        <v>1</v>
      </c>
      <c r="Q1513" s="6">
        <f>0</f>
        <v>0</v>
      </c>
      <c r="S1513" s="6">
        <f>0</f>
        <v>0</v>
      </c>
      <c r="T1513" s="6">
        <f>1</f>
        <v>1</v>
      </c>
      <c r="U1513" s="5" t="s">
        <v>245</v>
      </c>
      <c r="V1513" s="4" t="s">
        <v>270</v>
      </c>
      <c r="W1513" s="4" t="s">
        <v>271</v>
      </c>
      <c r="X1513" s="4" t="s">
        <v>273</v>
      </c>
      <c r="Y1513" s="4" t="s">
        <v>241</v>
      </c>
      <c r="AB1513" s="4" t="s">
        <v>241</v>
      </c>
      <c r="AD1513" s="5" t="s">
        <v>241</v>
      </c>
      <c r="AG1513" s="5" t="s">
        <v>246</v>
      </c>
      <c r="AH1513" s="4" t="s">
        <v>241</v>
      </c>
      <c r="AI1513" s="4" t="s">
        <v>247</v>
      </c>
      <c r="AJ1513" s="4" t="s">
        <v>248</v>
      </c>
      <c r="AZ1513" s="4" t="s">
        <v>249</v>
      </c>
      <c r="BA1513" s="4" t="s">
        <v>241</v>
      </c>
      <c r="BB1513" s="4" t="s">
        <v>250</v>
      </c>
      <c r="BC1513" s="4" t="s">
        <v>241</v>
      </c>
      <c r="BD1513" s="4" t="s">
        <v>252</v>
      </c>
      <c r="BE1513" s="4" t="s">
        <v>241</v>
      </c>
      <c r="BI1513" s="4" t="s">
        <v>253</v>
      </c>
      <c r="BJ1513" s="5" t="s">
        <v>246</v>
      </c>
      <c r="BK1513" s="4" t="s">
        <v>254</v>
      </c>
      <c r="BL1513" s="4" t="s">
        <v>255</v>
      </c>
      <c r="BM1513" s="4" t="s">
        <v>241</v>
      </c>
      <c r="BN1513" s="6">
        <f>0</f>
        <v>0</v>
      </c>
      <c r="BO1513" s="6">
        <f>0</f>
        <v>0</v>
      </c>
      <c r="BP1513" s="4" t="s">
        <v>256</v>
      </c>
      <c r="BQ1513" s="4" t="s">
        <v>257</v>
      </c>
      <c r="CE1513" s="4" t="s">
        <v>241</v>
      </c>
      <c r="CF1513" s="4" t="s">
        <v>241</v>
      </c>
      <c r="CJ1513" s="4" t="s">
        <v>276</v>
      </c>
      <c r="CK1513" s="4" t="s">
        <v>259</v>
      </c>
      <c r="CL1513" s="4" t="s">
        <v>241</v>
      </c>
      <c r="CO1513" s="5" t="s">
        <v>260</v>
      </c>
      <c r="CP1513" s="4" t="s">
        <v>241</v>
      </c>
      <c r="CQ1513" s="4" t="s">
        <v>261</v>
      </c>
      <c r="CR1513" s="4" t="s">
        <v>241</v>
      </c>
      <c r="CS1513" s="4" t="s">
        <v>241</v>
      </c>
      <c r="CT1513" s="4">
        <v>0</v>
      </c>
      <c r="CU1513" s="4" t="s">
        <v>262</v>
      </c>
      <c r="CV1513" s="4" t="s">
        <v>263</v>
      </c>
      <c r="CW1513" s="4" t="s">
        <v>263</v>
      </c>
      <c r="CX1513" s="4" t="s">
        <v>264</v>
      </c>
      <c r="DA1513" s="6">
        <f>1</f>
        <v>1</v>
      </c>
      <c r="DC1513" s="4" t="s">
        <v>277</v>
      </c>
      <c r="DD1513" s="4" t="s">
        <v>241</v>
      </c>
      <c r="DF1513" s="4" t="s">
        <v>277</v>
      </c>
      <c r="DG1513" s="6">
        <f>3145</f>
        <v>3145</v>
      </c>
      <c r="DI1513" s="4" t="s">
        <v>241</v>
      </c>
      <c r="DJ1513" s="4" t="s">
        <v>241</v>
      </c>
      <c r="DK1513" s="4" t="s">
        <v>241</v>
      </c>
      <c r="DL1513" s="4" t="s">
        <v>241</v>
      </c>
      <c r="DP1513" s="4" t="s">
        <v>241</v>
      </c>
      <c r="DQ1513" s="4" t="s">
        <v>241</v>
      </c>
      <c r="DR1513" s="4" t="s">
        <v>241</v>
      </c>
      <c r="DS1513" s="4" t="s">
        <v>241</v>
      </c>
      <c r="DV1513" s="4" t="s">
        <v>278</v>
      </c>
      <c r="DW1513" s="4" t="s">
        <v>818</v>
      </c>
      <c r="HO1513" s="4" t="s">
        <v>267</v>
      </c>
    </row>
    <row r="1514" spans="1:223" ht="19.5" customHeight="1" x14ac:dyDescent="0.4">
      <c r="A1514" s="4">
        <v>1</v>
      </c>
      <c r="B1514" s="4" t="s">
        <v>239</v>
      </c>
      <c r="C1514" s="4">
        <v>3188</v>
      </c>
      <c r="D1514" s="4">
        <v>1</v>
      </c>
      <c r="E1514" s="4">
        <v>1</v>
      </c>
      <c r="F1514" s="4" t="s">
        <v>268</v>
      </c>
      <c r="G1514" s="4" t="s">
        <v>241</v>
      </c>
      <c r="H1514" s="4" t="s">
        <v>241</v>
      </c>
      <c r="I1514" s="4" t="s">
        <v>272</v>
      </c>
      <c r="J1514" s="4" t="s">
        <v>274</v>
      </c>
      <c r="K1514" s="4" t="s">
        <v>251</v>
      </c>
      <c r="L1514" s="4" t="s">
        <v>269</v>
      </c>
      <c r="M1514" s="5" t="s">
        <v>2501</v>
      </c>
      <c r="N1514" s="6">
        <f>3121</f>
        <v>3121</v>
      </c>
      <c r="O1514" s="4" t="s">
        <v>265</v>
      </c>
      <c r="P1514" s="6">
        <f>1</f>
        <v>1</v>
      </c>
      <c r="Q1514" s="6">
        <f>0</f>
        <v>0</v>
      </c>
      <c r="S1514" s="6">
        <f>0</f>
        <v>0</v>
      </c>
      <c r="T1514" s="6">
        <f>1</f>
        <v>1</v>
      </c>
      <c r="U1514" s="5" t="s">
        <v>245</v>
      </c>
      <c r="V1514" s="4" t="s">
        <v>270</v>
      </c>
      <c r="W1514" s="4" t="s">
        <v>271</v>
      </c>
      <c r="X1514" s="4" t="s">
        <v>273</v>
      </c>
      <c r="Y1514" s="4" t="s">
        <v>241</v>
      </c>
      <c r="AB1514" s="4" t="s">
        <v>241</v>
      </c>
      <c r="AD1514" s="5" t="s">
        <v>241</v>
      </c>
      <c r="AG1514" s="5" t="s">
        <v>246</v>
      </c>
      <c r="AH1514" s="4" t="s">
        <v>241</v>
      </c>
      <c r="AI1514" s="4" t="s">
        <v>247</v>
      </c>
      <c r="AJ1514" s="4" t="s">
        <v>248</v>
      </c>
      <c r="AZ1514" s="4" t="s">
        <v>249</v>
      </c>
      <c r="BA1514" s="4" t="s">
        <v>241</v>
      </c>
      <c r="BB1514" s="4" t="s">
        <v>250</v>
      </c>
      <c r="BC1514" s="4" t="s">
        <v>241</v>
      </c>
      <c r="BD1514" s="4" t="s">
        <v>252</v>
      </c>
      <c r="BE1514" s="4" t="s">
        <v>241</v>
      </c>
      <c r="BI1514" s="4" t="s">
        <v>253</v>
      </c>
      <c r="BJ1514" s="5" t="s">
        <v>246</v>
      </c>
      <c r="BK1514" s="4" t="s">
        <v>254</v>
      </c>
      <c r="BL1514" s="4" t="s">
        <v>255</v>
      </c>
      <c r="BM1514" s="4" t="s">
        <v>241</v>
      </c>
      <c r="BN1514" s="6">
        <f>0</f>
        <v>0</v>
      </c>
      <c r="BO1514" s="6">
        <f>0</f>
        <v>0</v>
      </c>
      <c r="BP1514" s="4" t="s">
        <v>256</v>
      </c>
      <c r="BQ1514" s="4" t="s">
        <v>257</v>
      </c>
      <c r="CE1514" s="4" t="s">
        <v>241</v>
      </c>
      <c r="CF1514" s="4" t="s">
        <v>241</v>
      </c>
      <c r="CJ1514" s="4" t="s">
        <v>276</v>
      </c>
      <c r="CK1514" s="4" t="s">
        <v>259</v>
      </c>
      <c r="CL1514" s="4" t="s">
        <v>241</v>
      </c>
      <c r="CO1514" s="5" t="s">
        <v>260</v>
      </c>
      <c r="CP1514" s="4" t="s">
        <v>241</v>
      </c>
      <c r="CQ1514" s="4" t="s">
        <v>261</v>
      </c>
      <c r="CR1514" s="4" t="s">
        <v>241</v>
      </c>
      <c r="CS1514" s="4" t="s">
        <v>241</v>
      </c>
      <c r="CT1514" s="4">
        <v>0</v>
      </c>
      <c r="CU1514" s="4" t="s">
        <v>262</v>
      </c>
      <c r="CV1514" s="4" t="s">
        <v>263</v>
      </c>
      <c r="CW1514" s="4" t="s">
        <v>263</v>
      </c>
      <c r="CX1514" s="4" t="s">
        <v>264</v>
      </c>
      <c r="DA1514" s="6">
        <f>1</f>
        <v>1</v>
      </c>
      <c r="DC1514" s="4" t="s">
        <v>277</v>
      </c>
      <c r="DD1514" s="4" t="s">
        <v>241</v>
      </c>
      <c r="DF1514" s="4" t="s">
        <v>277</v>
      </c>
      <c r="DG1514" s="6">
        <f>3121</f>
        <v>3121</v>
      </c>
      <c r="DI1514" s="4" t="s">
        <v>241</v>
      </c>
      <c r="DJ1514" s="4" t="s">
        <v>241</v>
      </c>
      <c r="DK1514" s="4" t="s">
        <v>241</v>
      </c>
      <c r="DL1514" s="4" t="s">
        <v>241</v>
      </c>
      <c r="DP1514" s="4" t="s">
        <v>241</v>
      </c>
      <c r="DQ1514" s="4" t="s">
        <v>241</v>
      </c>
      <c r="DR1514" s="4" t="s">
        <v>241</v>
      </c>
      <c r="DS1514" s="4" t="s">
        <v>241</v>
      </c>
      <c r="DV1514" s="4" t="s">
        <v>278</v>
      </c>
      <c r="DW1514" s="4" t="s">
        <v>820</v>
      </c>
      <c r="HO1514" s="4" t="s">
        <v>267</v>
      </c>
    </row>
    <row r="1515" spans="1:223" ht="19.5" customHeight="1" x14ac:dyDescent="0.4">
      <c r="A1515" s="4">
        <v>1</v>
      </c>
      <c r="B1515" s="4" t="s">
        <v>239</v>
      </c>
      <c r="C1515" s="4">
        <v>3189</v>
      </c>
      <c r="D1515" s="4">
        <v>1</v>
      </c>
      <c r="E1515" s="4">
        <v>1</v>
      </c>
      <c r="F1515" s="4" t="s">
        <v>268</v>
      </c>
      <c r="G1515" s="4" t="s">
        <v>241</v>
      </c>
      <c r="H1515" s="4" t="s">
        <v>241</v>
      </c>
      <c r="I1515" s="4" t="s">
        <v>272</v>
      </c>
      <c r="J1515" s="4" t="s">
        <v>274</v>
      </c>
      <c r="K1515" s="4" t="s">
        <v>251</v>
      </c>
      <c r="L1515" s="4" t="s">
        <v>269</v>
      </c>
      <c r="M1515" s="5" t="s">
        <v>2498</v>
      </c>
      <c r="N1515" s="6">
        <f>295</f>
        <v>295</v>
      </c>
      <c r="O1515" s="4" t="s">
        <v>265</v>
      </c>
      <c r="P1515" s="6">
        <f>1</f>
        <v>1</v>
      </c>
      <c r="Q1515" s="6">
        <f>0</f>
        <v>0</v>
      </c>
      <c r="S1515" s="6">
        <f>0</f>
        <v>0</v>
      </c>
      <c r="T1515" s="6">
        <f>1</f>
        <v>1</v>
      </c>
      <c r="U1515" s="5" t="s">
        <v>245</v>
      </c>
      <c r="V1515" s="4" t="s">
        <v>270</v>
      </c>
      <c r="W1515" s="4" t="s">
        <v>271</v>
      </c>
      <c r="X1515" s="4" t="s">
        <v>273</v>
      </c>
      <c r="Y1515" s="4" t="s">
        <v>241</v>
      </c>
      <c r="AB1515" s="4" t="s">
        <v>241</v>
      </c>
      <c r="AD1515" s="5" t="s">
        <v>241</v>
      </c>
      <c r="AG1515" s="5" t="s">
        <v>246</v>
      </c>
      <c r="AH1515" s="4" t="s">
        <v>241</v>
      </c>
      <c r="AI1515" s="4" t="s">
        <v>247</v>
      </c>
      <c r="AJ1515" s="4" t="s">
        <v>248</v>
      </c>
      <c r="AZ1515" s="4" t="s">
        <v>249</v>
      </c>
      <c r="BA1515" s="4" t="s">
        <v>241</v>
      </c>
      <c r="BB1515" s="4" t="s">
        <v>250</v>
      </c>
      <c r="BC1515" s="4" t="s">
        <v>241</v>
      </c>
      <c r="BD1515" s="4" t="s">
        <v>252</v>
      </c>
      <c r="BE1515" s="4" t="s">
        <v>241</v>
      </c>
      <c r="BI1515" s="4" t="s">
        <v>253</v>
      </c>
      <c r="BJ1515" s="5" t="s">
        <v>246</v>
      </c>
      <c r="BK1515" s="4" t="s">
        <v>254</v>
      </c>
      <c r="BL1515" s="4" t="s">
        <v>255</v>
      </c>
      <c r="BM1515" s="4" t="s">
        <v>241</v>
      </c>
      <c r="BN1515" s="6">
        <f>0</f>
        <v>0</v>
      </c>
      <c r="BO1515" s="6">
        <f>0</f>
        <v>0</v>
      </c>
      <c r="BP1515" s="4" t="s">
        <v>256</v>
      </c>
      <c r="BQ1515" s="4" t="s">
        <v>257</v>
      </c>
      <c r="CE1515" s="4" t="s">
        <v>241</v>
      </c>
      <c r="CF1515" s="4" t="s">
        <v>241</v>
      </c>
      <c r="CJ1515" s="4" t="s">
        <v>276</v>
      </c>
      <c r="CK1515" s="4" t="s">
        <v>259</v>
      </c>
      <c r="CL1515" s="4" t="s">
        <v>241</v>
      </c>
      <c r="CO1515" s="5" t="s">
        <v>260</v>
      </c>
      <c r="CP1515" s="4" t="s">
        <v>241</v>
      </c>
      <c r="CQ1515" s="4" t="s">
        <v>261</v>
      </c>
      <c r="CR1515" s="4" t="s">
        <v>241</v>
      </c>
      <c r="CS1515" s="4" t="s">
        <v>241</v>
      </c>
      <c r="CT1515" s="4">
        <v>0</v>
      </c>
      <c r="CU1515" s="4" t="s">
        <v>262</v>
      </c>
      <c r="CV1515" s="4" t="s">
        <v>263</v>
      </c>
      <c r="CW1515" s="4" t="s">
        <v>263</v>
      </c>
      <c r="CX1515" s="4" t="s">
        <v>264</v>
      </c>
      <c r="DA1515" s="6">
        <f>1</f>
        <v>1</v>
      </c>
      <c r="DC1515" s="4" t="s">
        <v>277</v>
      </c>
      <c r="DD1515" s="4" t="s">
        <v>241</v>
      </c>
      <c r="DF1515" s="4" t="s">
        <v>277</v>
      </c>
      <c r="DG1515" s="6">
        <f>295</f>
        <v>295</v>
      </c>
      <c r="DI1515" s="4" t="s">
        <v>241</v>
      </c>
      <c r="DJ1515" s="4" t="s">
        <v>241</v>
      </c>
      <c r="DK1515" s="4" t="s">
        <v>241</v>
      </c>
      <c r="DL1515" s="4" t="s">
        <v>241</v>
      </c>
      <c r="DP1515" s="4" t="s">
        <v>241</v>
      </c>
      <c r="DQ1515" s="4" t="s">
        <v>241</v>
      </c>
      <c r="DR1515" s="4" t="s">
        <v>241</v>
      </c>
      <c r="DS1515" s="4" t="s">
        <v>241</v>
      </c>
      <c r="DV1515" s="4" t="s">
        <v>278</v>
      </c>
      <c r="DW1515" s="4" t="s">
        <v>830</v>
      </c>
      <c r="HO1515" s="4" t="s">
        <v>267</v>
      </c>
    </row>
    <row r="1516" spans="1:223" ht="19.5" customHeight="1" x14ac:dyDescent="0.4">
      <c r="A1516" s="4">
        <v>1</v>
      </c>
      <c r="B1516" s="4" t="s">
        <v>239</v>
      </c>
      <c r="C1516" s="4">
        <v>3190</v>
      </c>
      <c r="D1516" s="4">
        <v>1</v>
      </c>
      <c r="E1516" s="4">
        <v>1</v>
      </c>
      <c r="F1516" s="4" t="s">
        <v>268</v>
      </c>
      <c r="G1516" s="4" t="s">
        <v>241</v>
      </c>
      <c r="H1516" s="4" t="s">
        <v>241</v>
      </c>
      <c r="I1516" s="4" t="s">
        <v>272</v>
      </c>
      <c r="J1516" s="4" t="s">
        <v>274</v>
      </c>
      <c r="K1516" s="4" t="s">
        <v>251</v>
      </c>
      <c r="L1516" s="4" t="s">
        <v>269</v>
      </c>
      <c r="M1516" s="5" t="s">
        <v>2495</v>
      </c>
      <c r="N1516" s="6">
        <f>2986</f>
        <v>2986</v>
      </c>
      <c r="O1516" s="4" t="s">
        <v>265</v>
      </c>
      <c r="P1516" s="6">
        <f>1</f>
        <v>1</v>
      </c>
      <c r="Q1516" s="6">
        <f>0</f>
        <v>0</v>
      </c>
      <c r="S1516" s="6">
        <f>0</f>
        <v>0</v>
      </c>
      <c r="T1516" s="6">
        <f>1</f>
        <v>1</v>
      </c>
      <c r="U1516" s="5" t="s">
        <v>245</v>
      </c>
      <c r="V1516" s="4" t="s">
        <v>270</v>
      </c>
      <c r="W1516" s="4" t="s">
        <v>271</v>
      </c>
      <c r="X1516" s="4" t="s">
        <v>273</v>
      </c>
      <c r="Y1516" s="4" t="s">
        <v>241</v>
      </c>
      <c r="AB1516" s="4" t="s">
        <v>241</v>
      </c>
      <c r="AD1516" s="5" t="s">
        <v>241</v>
      </c>
      <c r="AG1516" s="5" t="s">
        <v>246</v>
      </c>
      <c r="AH1516" s="4" t="s">
        <v>241</v>
      </c>
      <c r="AI1516" s="4" t="s">
        <v>247</v>
      </c>
      <c r="AJ1516" s="4" t="s">
        <v>248</v>
      </c>
      <c r="AZ1516" s="4" t="s">
        <v>249</v>
      </c>
      <c r="BA1516" s="4" t="s">
        <v>241</v>
      </c>
      <c r="BB1516" s="4" t="s">
        <v>250</v>
      </c>
      <c r="BC1516" s="4" t="s">
        <v>241</v>
      </c>
      <c r="BD1516" s="4" t="s">
        <v>252</v>
      </c>
      <c r="BE1516" s="4" t="s">
        <v>241</v>
      </c>
      <c r="BI1516" s="4" t="s">
        <v>253</v>
      </c>
      <c r="BJ1516" s="5" t="s">
        <v>246</v>
      </c>
      <c r="BK1516" s="4" t="s">
        <v>254</v>
      </c>
      <c r="BL1516" s="4" t="s">
        <v>255</v>
      </c>
      <c r="BM1516" s="4" t="s">
        <v>241</v>
      </c>
      <c r="BN1516" s="6">
        <f>0</f>
        <v>0</v>
      </c>
      <c r="BO1516" s="6">
        <f>0</f>
        <v>0</v>
      </c>
      <c r="BP1516" s="4" t="s">
        <v>256</v>
      </c>
      <c r="BQ1516" s="4" t="s">
        <v>257</v>
      </c>
      <c r="CE1516" s="4" t="s">
        <v>241</v>
      </c>
      <c r="CF1516" s="4" t="s">
        <v>241</v>
      </c>
      <c r="CJ1516" s="4" t="s">
        <v>276</v>
      </c>
      <c r="CK1516" s="4" t="s">
        <v>259</v>
      </c>
      <c r="CL1516" s="4" t="s">
        <v>241</v>
      </c>
      <c r="CO1516" s="5" t="s">
        <v>260</v>
      </c>
      <c r="CP1516" s="4" t="s">
        <v>241</v>
      </c>
      <c r="CQ1516" s="4" t="s">
        <v>261</v>
      </c>
      <c r="CR1516" s="4" t="s">
        <v>241</v>
      </c>
      <c r="CS1516" s="4" t="s">
        <v>241</v>
      </c>
      <c r="CT1516" s="4">
        <v>0</v>
      </c>
      <c r="CU1516" s="4" t="s">
        <v>262</v>
      </c>
      <c r="CV1516" s="4" t="s">
        <v>263</v>
      </c>
      <c r="CW1516" s="4" t="s">
        <v>263</v>
      </c>
      <c r="CX1516" s="4" t="s">
        <v>264</v>
      </c>
      <c r="DA1516" s="6">
        <f>1</f>
        <v>1</v>
      </c>
      <c r="DC1516" s="4" t="s">
        <v>277</v>
      </c>
      <c r="DD1516" s="4" t="s">
        <v>241</v>
      </c>
      <c r="DF1516" s="4" t="s">
        <v>277</v>
      </c>
      <c r="DG1516" s="6">
        <f>2986</f>
        <v>2986</v>
      </c>
      <c r="DI1516" s="4" t="s">
        <v>241</v>
      </c>
      <c r="DJ1516" s="4" t="s">
        <v>241</v>
      </c>
      <c r="DK1516" s="4" t="s">
        <v>241</v>
      </c>
      <c r="DL1516" s="4" t="s">
        <v>241</v>
      </c>
      <c r="DP1516" s="4" t="s">
        <v>241</v>
      </c>
      <c r="DQ1516" s="4" t="s">
        <v>241</v>
      </c>
      <c r="DR1516" s="4" t="s">
        <v>241</v>
      </c>
      <c r="DS1516" s="4" t="s">
        <v>241</v>
      </c>
      <c r="DV1516" s="4" t="s">
        <v>278</v>
      </c>
      <c r="DW1516" s="4" t="s">
        <v>834</v>
      </c>
      <c r="HO1516" s="4" t="s">
        <v>267</v>
      </c>
    </row>
    <row r="1517" spans="1:223" ht="19.5" customHeight="1" x14ac:dyDescent="0.4">
      <c r="A1517" s="4">
        <v>1</v>
      </c>
      <c r="B1517" s="4" t="s">
        <v>239</v>
      </c>
      <c r="C1517" s="4">
        <v>3191</v>
      </c>
      <c r="D1517" s="4">
        <v>1</v>
      </c>
      <c r="E1517" s="4">
        <v>1</v>
      </c>
      <c r="F1517" s="4" t="s">
        <v>268</v>
      </c>
      <c r="G1517" s="4" t="s">
        <v>241</v>
      </c>
      <c r="H1517" s="4" t="s">
        <v>241</v>
      </c>
      <c r="I1517" s="4" t="s">
        <v>272</v>
      </c>
      <c r="J1517" s="4" t="s">
        <v>274</v>
      </c>
      <c r="K1517" s="4" t="s">
        <v>251</v>
      </c>
      <c r="L1517" s="4" t="s">
        <v>269</v>
      </c>
      <c r="M1517" s="5" t="s">
        <v>2494</v>
      </c>
      <c r="N1517" s="6">
        <f>2931</f>
        <v>2931</v>
      </c>
      <c r="O1517" s="4" t="s">
        <v>265</v>
      </c>
      <c r="P1517" s="6">
        <f>1</f>
        <v>1</v>
      </c>
      <c r="Q1517" s="6">
        <f>0</f>
        <v>0</v>
      </c>
      <c r="S1517" s="6">
        <f>0</f>
        <v>0</v>
      </c>
      <c r="T1517" s="6">
        <f>1</f>
        <v>1</v>
      </c>
      <c r="U1517" s="5" t="s">
        <v>245</v>
      </c>
      <c r="V1517" s="4" t="s">
        <v>270</v>
      </c>
      <c r="W1517" s="4" t="s">
        <v>271</v>
      </c>
      <c r="X1517" s="4" t="s">
        <v>273</v>
      </c>
      <c r="Y1517" s="4" t="s">
        <v>241</v>
      </c>
      <c r="AB1517" s="4" t="s">
        <v>241</v>
      </c>
      <c r="AD1517" s="5" t="s">
        <v>241</v>
      </c>
      <c r="AG1517" s="5" t="s">
        <v>246</v>
      </c>
      <c r="AH1517" s="4" t="s">
        <v>241</v>
      </c>
      <c r="AI1517" s="4" t="s">
        <v>247</v>
      </c>
      <c r="AJ1517" s="4" t="s">
        <v>248</v>
      </c>
      <c r="AZ1517" s="4" t="s">
        <v>249</v>
      </c>
      <c r="BA1517" s="4" t="s">
        <v>241</v>
      </c>
      <c r="BB1517" s="4" t="s">
        <v>250</v>
      </c>
      <c r="BC1517" s="4" t="s">
        <v>241</v>
      </c>
      <c r="BD1517" s="4" t="s">
        <v>252</v>
      </c>
      <c r="BE1517" s="4" t="s">
        <v>241</v>
      </c>
      <c r="BI1517" s="4" t="s">
        <v>253</v>
      </c>
      <c r="BJ1517" s="5" t="s">
        <v>246</v>
      </c>
      <c r="BK1517" s="4" t="s">
        <v>254</v>
      </c>
      <c r="BL1517" s="4" t="s">
        <v>255</v>
      </c>
      <c r="BM1517" s="4" t="s">
        <v>241</v>
      </c>
      <c r="BN1517" s="6">
        <f>0</f>
        <v>0</v>
      </c>
      <c r="BO1517" s="6">
        <f>0</f>
        <v>0</v>
      </c>
      <c r="BP1517" s="4" t="s">
        <v>256</v>
      </c>
      <c r="BQ1517" s="4" t="s">
        <v>257</v>
      </c>
      <c r="CE1517" s="4" t="s">
        <v>241</v>
      </c>
      <c r="CF1517" s="4" t="s">
        <v>241</v>
      </c>
      <c r="CJ1517" s="4" t="s">
        <v>276</v>
      </c>
      <c r="CK1517" s="4" t="s">
        <v>259</v>
      </c>
      <c r="CL1517" s="4" t="s">
        <v>241</v>
      </c>
      <c r="CO1517" s="5" t="s">
        <v>260</v>
      </c>
      <c r="CP1517" s="4" t="s">
        <v>241</v>
      </c>
      <c r="CQ1517" s="4" t="s">
        <v>261</v>
      </c>
      <c r="CR1517" s="4" t="s">
        <v>241</v>
      </c>
      <c r="CS1517" s="4" t="s">
        <v>241</v>
      </c>
      <c r="CT1517" s="4">
        <v>0</v>
      </c>
      <c r="CU1517" s="4" t="s">
        <v>262</v>
      </c>
      <c r="CV1517" s="4" t="s">
        <v>263</v>
      </c>
      <c r="CW1517" s="4" t="s">
        <v>263</v>
      </c>
      <c r="CX1517" s="4" t="s">
        <v>264</v>
      </c>
      <c r="DA1517" s="6">
        <f>1</f>
        <v>1</v>
      </c>
      <c r="DC1517" s="4" t="s">
        <v>277</v>
      </c>
      <c r="DD1517" s="4" t="s">
        <v>241</v>
      </c>
      <c r="DF1517" s="4" t="s">
        <v>277</v>
      </c>
      <c r="DG1517" s="6">
        <f>2931</f>
        <v>2931</v>
      </c>
      <c r="DI1517" s="4" t="s">
        <v>241</v>
      </c>
      <c r="DJ1517" s="4" t="s">
        <v>241</v>
      </c>
      <c r="DK1517" s="4" t="s">
        <v>241</v>
      </c>
      <c r="DL1517" s="4" t="s">
        <v>241</v>
      </c>
      <c r="DP1517" s="4" t="s">
        <v>241</v>
      </c>
      <c r="DQ1517" s="4" t="s">
        <v>241</v>
      </c>
      <c r="DR1517" s="4" t="s">
        <v>241</v>
      </c>
      <c r="DS1517" s="4" t="s">
        <v>241</v>
      </c>
      <c r="DV1517" s="4" t="s">
        <v>278</v>
      </c>
      <c r="DW1517" s="4" t="s">
        <v>836</v>
      </c>
      <c r="HO1517" s="4" t="s">
        <v>267</v>
      </c>
    </row>
    <row r="1518" spans="1:223" ht="19.5" customHeight="1" x14ac:dyDescent="0.4">
      <c r="A1518" s="4">
        <v>1</v>
      </c>
      <c r="B1518" s="4" t="s">
        <v>239</v>
      </c>
      <c r="C1518" s="4">
        <v>3192</v>
      </c>
      <c r="D1518" s="4">
        <v>1</v>
      </c>
      <c r="E1518" s="4">
        <v>1</v>
      </c>
      <c r="F1518" s="4" t="s">
        <v>268</v>
      </c>
      <c r="G1518" s="4" t="s">
        <v>241</v>
      </c>
      <c r="H1518" s="4" t="s">
        <v>241</v>
      </c>
      <c r="I1518" s="4" t="s">
        <v>272</v>
      </c>
      <c r="J1518" s="4" t="s">
        <v>274</v>
      </c>
      <c r="K1518" s="4" t="s">
        <v>251</v>
      </c>
      <c r="L1518" s="4" t="s">
        <v>269</v>
      </c>
      <c r="M1518" s="5" t="s">
        <v>2493</v>
      </c>
      <c r="N1518" s="6">
        <f>2993</f>
        <v>2993</v>
      </c>
      <c r="O1518" s="4" t="s">
        <v>265</v>
      </c>
      <c r="P1518" s="6">
        <f>1</f>
        <v>1</v>
      </c>
      <c r="Q1518" s="6">
        <f>0</f>
        <v>0</v>
      </c>
      <c r="S1518" s="6">
        <f>0</f>
        <v>0</v>
      </c>
      <c r="T1518" s="6">
        <f>1</f>
        <v>1</v>
      </c>
      <c r="U1518" s="5" t="s">
        <v>245</v>
      </c>
      <c r="V1518" s="4" t="s">
        <v>270</v>
      </c>
      <c r="W1518" s="4" t="s">
        <v>271</v>
      </c>
      <c r="X1518" s="4" t="s">
        <v>273</v>
      </c>
      <c r="Y1518" s="4" t="s">
        <v>241</v>
      </c>
      <c r="AB1518" s="4" t="s">
        <v>241</v>
      </c>
      <c r="AD1518" s="5" t="s">
        <v>241</v>
      </c>
      <c r="AG1518" s="5" t="s">
        <v>246</v>
      </c>
      <c r="AH1518" s="4" t="s">
        <v>241</v>
      </c>
      <c r="AI1518" s="4" t="s">
        <v>247</v>
      </c>
      <c r="AJ1518" s="4" t="s">
        <v>248</v>
      </c>
      <c r="AZ1518" s="4" t="s">
        <v>249</v>
      </c>
      <c r="BA1518" s="4" t="s">
        <v>241</v>
      </c>
      <c r="BB1518" s="4" t="s">
        <v>250</v>
      </c>
      <c r="BC1518" s="4" t="s">
        <v>241</v>
      </c>
      <c r="BD1518" s="4" t="s">
        <v>252</v>
      </c>
      <c r="BE1518" s="4" t="s">
        <v>241</v>
      </c>
      <c r="BI1518" s="4" t="s">
        <v>253</v>
      </c>
      <c r="BJ1518" s="5" t="s">
        <v>246</v>
      </c>
      <c r="BK1518" s="4" t="s">
        <v>254</v>
      </c>
      <c r="BL1518" s="4" t="s">
        <v>255</v>
      </c>
      <c r="BM1518" s="4" t="s">
        <v>241</v>
      </c>
      <c r="BN1518" s="6">
        <f>0</f>
        <v>0</v>
      </c>
      <c r="BO1518" s="6">
        <f>0</f>
        <v>0</v>
      </c>
      <c r="BP1518" s="4" t="s">
        <v>256</v>
      </c>
      <c r="BQ1518" s="4" t="s">
        <v>257</v>
      </c>
      <c r="CE1518" s="4" t="s">
        <v>241</v>
      </c>
      <c r="CF1518" s="4" t="s">
        <v>241</v>
      </c>
      <c r="CJ1518" s="4" t="s">
        <v>276</v>
      </c>
      <c r="CK1518" s="4" t="s">
        <v>259</v>
      </c>
      <c r="CL1518" s="4" t="s">
        <v>241</v>
      </c>
      <c r="CO1518" s="5" t="s">
        <v>260</v>
      </c>
      <c r="CP1518" s="4" t="s">
        <v>241</v>
      </c>
      <c r="CQ1518" s="4" t="s">
        <v>261</v>
      </c>
      <c r="CR1518" s="4" t="s">
        <v>241</v>
      </c>
      <c r="CS1518" s="4" t="s">
        <v>241</v>
      </c>
      <c r="CT1518" s="4">
        <v>0</v>
      </c>
      <c r="CU1518" s="4" t="s">
        <v>262</v>
      </c>
      <c r="CV1518" s="4" t="s">
        <v>263</v>
      </c>
      <c r="CW1518" s="4" t="s">
        <v>263</v>
      </c>
      <c r="CX1518" s="4" t="s">
        <v>264</v>
      </c>
      <c r="DA1518" s="6">
        <f>1</f>
        <v>1</v>
      </c>
      <c r="DC1518" s="4" t="s">
        <v>277</v>
      </c>
      <c r="DD1518" s="4" t="s">
        <v>241</v>
      </c>
      <c r="DF1518" s="4" t="s">
        <v>277</v>
      </c>
      <c r="DG1518" s="6">
        <f>2993</f>
        <v>2993</v>
      </c>
      <c r="DI1518" s="4" t="s">
        <v>241</v>
      </c>
      <c r="DJ1518" s="4" t="s">
        <v>241</v>
      </c>
      <c r="DK1518" s="4" t="s">
        <v>241</v>
      </c>
      <c r="DL1518" s="4" t="s">
        <v>241</v>
      </c>
      <c r="DP1518" s="4" t="s">
        <v>241</v>
      </c>
      <c r="DQ1518" s="4" t="s">
        <v>241</v>
      </c>
      <c r="DR1518" s="4" t="s">
        <v>241</v>
      </c>
      <c r="DS1518" s="4" t="s">
        <v>241</v>
      </c>
      <c r="DV1518" s="4" t="s">
        <v>278</v>
      </c>
      <c r="DW1518" s="4" t="s">
        <v>840</v>
      </c>
      <c r="HO1518" s="4" t="s">
        <v>267</v>
      </c>
    </row>
    <row r="1519" spans="1:223" ht="19.5" customHeight="1" x14ac:dyDescent="0.4">
      <c r="A1519" s="4">
        <v>1</v>
      </c>
      <c r="B1519" s="4" t="s">
        <v>239</v>
      </c>
      <c r="C1519" s="4">
        <v>3193</v>
      </c>
      <c r="D1519" s="4">
        <v>1</v>
      </c>
      <c r="E1519" s="4">
        <v>1</v>
      </c>
      <c r="F1519" s="4" t="s">
        <v>268</v>
      </c>
      <c r="G1519" s="4" t="s">
        <v>241</v>
      </c>
      <c r="H1519" s="4" t="s">
        <v>241</v>
      </c>
      <c r="I1519" s="4" t="s">
        <v>272</v>
      </c>
      <c r="J1519" s="4" t="s">
        <v>274</v>
      </c>
      <c r="K1519" s="4" t="s">
        <v>251</v>
      </c>
      <c r="L1519" s="4" t="s">
        <v>269</v>
      </c>
      <c r="M1519" s="5" t="s">
        <v>2492</v>
      </c>
      <c r="N1519" s="6">
        <f>4549</f>
        <v>4549</v>
      </c>
      <c r="O1519" s="4" t="s">
        <v>265</v>
      </c>
      <c r="P1519" s="6">
        <f>1</f>
        <v>1</v>
      </c>
      <c r="Q1519" s="6">
        <f>0</f>
        <v>0</v>
      </c>
      <c r="S1519" s="6">
        <f>0</f>
        <v>0</v>
      </c>
      <c r="T1519" s="6">
        <f>1</f>
        <v>1</v>
      </c>
      <c r="U1519" s="5" t="s">
        <v>245</v>
      </c>
      <c r="V1519" s="4" t="s">
        <v>270</v>
      </c>
      <c r="W1519" s="4" t="s">
        <v>271</v>
      </c>
      <c r="X1519" s="4" t="s">
        <v>273</v>
      </c>
      <c r="Y1519" s="4" t="s">
        <v>241</v>
      </c>
      <c r="AB1519" s="4" t="s">
        <v>241</v>
      </c>
      <c r="AD1519" s="5" t="s">
        <v>241</v>
      </c>
      <c r="AG1519" s="5" t="s">
        <v>246</v>
      </c>
      <c r="AH1519" s="4" t="s">
        <v>241</v>
      </c>
      <c r="AI1519" s="4" t="s">
        <v>247</v>
      </c>
      <c r="AJ1519" s="4" t="s">
        <v>248</v>
      </c>
      <c r="AZ1519" s="4" t="s">
        <v>249</v>
      </c>
      <c r="BA1519" s="4" t="s">
        <v>241</v>
      </c>
      <c r="BB1519" s="4" t="s">
        <v>250</v>
      </c>
      <c r="BC1519" s="4" t="s">
        <v>241</v>
      </c>
      <c r="BD1519" s="4" t="s">
        <v>252</v>
      </c>
      <c r="BE1519" s="4" t="s">
        <v>241</v>
      </c>
      <c r="BI1519" s="4" t="s">
        <v>253</v>
      </c>
      <c r="BJ1519" s="5" t="s">
        <v>246</v>
      </c>
      <c r="BK1519" s="4" t="s">
        <v>254</v>
      </c>
      <c r="BL1519" s="4" t="s">
        <v>255</v>
      </c>
      <c r="BM1519" s="4" t="s">
        <v>241</v>
      </c>
      <c r="BN1519" s="6">
        <f>0</f>
        <v>0</v>
      </c>
      <c r="BO1519" s="6">
        <f>0</f>
        <v>0</v>
      </c>
      <c r="BP1519" s="4" t="s">
        <v>256</v>
      </c>
      <c r="BQ1519" s="4" t="s">
        <v>257</v>
      </c>
      <c r="CE1519" s="4" t="s">
        <v>241</v>
      </c>
      <c r="CF1519" s="4" t="s">
        <v>241</v>
      </c>
      <c r="CJ1519" s="4" t="s">
        <v>276</v>
      </c>
      <c r="CK1519" s="4" t="s">
        <v>259</v>
      </c>
      <c r="CL1519" s="4" t="s">
        <v>241</v>
      </c>
      <c r="CO1519" s="5" t="s">
        <v>260</v>
      </c>
      <c r="CP1519" s="4" t="s">
        <v>241</v>
      </c>
      <c r="CQ1519" s="4" t="s">
        <v>261</v>
      </c>
      <c r="CR1519" s="4" t="s">
        <v>241</v>
      </c>
      <c r="CS1519" s="4" t="s">
        <v>241</v>
      </c>
      <c r="CT1519" s="4">
        <v>0</v>
      </c>
      <c r="CU1519" s="4" t="s">
        <v>262</v>
      </c>
      <c r="CV1519" s="4" t="s">
        <v>263</v>
      </c>
      <c r="CW1519" s="4" t="s">
        <v>263</v>
      </c>
      <c r="CX1519" s="4" t="s">
        <v>264</v>
      </c>
      <c r="DA1519" s="6">
        <f>1</f>
        <v>1</v>
      </c>
      <c r="DC1519" s="4" t="s">
        <v>277</v>
      </c>
      <c r="DD1519" s="4" t="s">
        <v>241</v>
      </c>
      <c r="DF1519" s="4" t="s">
        <v>277</v>
      </c>
      <c r="DG1519" s="6">
        <f>4549</f>
        <v>4549</v>
      </c>
      <c r="DI1519" s="4" t="s">
        <v>241</v>
      </c>
      <c r="DJ1519" s="4" t="s">
        <v>241</v>
      </c>
      <c r="DK1519" s="4" t="s">
        <v>241</v>
      </c>
      <c r="DL1519" s="4" t="s">
        <v>241</v>
      </c>
      <c r="DP1519" s="4" t="s">
        <v>241</v>
      </c>
      <c r="DQ1519" s="4" t="s">
        <v>241</v>
      </c>
      <c r="DR1519" s="4" t="s">
        <v>241</v>
      </c>
      <c r="DS1519" s="4" t="s">
        <v>241</v>
      </c>
      <c r="DV1519" s="4" t="s">
        <v>278</v>
      </c>
      <c r="DW1519" s="4" t="s">
        <v>842</v>
      </c>
      <c r="HO1519" s="4" t="s">
        <v>267</v>
      </c>
    </row>
    <row r="1520" spans="1:223" ht="19.5" customHeight="1" x14ac:dyDescent="0.4">
      <c r="A1520" s="4">
        <v>1</v>
      </c>
      <c r="B1520" s="4" t="s">
        <v>239</v>
      </c>
      <c r="C1520" s="4">
        <v>3194</v>
      </c>
      <c r="D1520" s="4">
        <v>1</v>
      </c>
      <c r="E1520" s="4">
        <v>1</v>
      </c>
      <c r="F1520" s="4" t="s">
        <v>268</v>
      </c>
      <c r="G1520" s="4" t="s">
        <v>241</v>
      </c>
      <c r="H1520" s="4" t="s">
        <v>241</v>
      </c>
      <c r="I1520" s="4" t="s">
        <v>272</v>
      </c>
      <c r="J1520" s="4" t="s">
        <v>274</v>
      </c>
      <c r="K1520" s="4" t="s">
        <v>251</v>
      </c>
      <c r="L1520" s="4" t="s">
        <v>269</v>
      </c>
      <c r="M1520" s="5" t="s">
        <v>2491</v>
      </c>
      <c r="N1520" s="6">
        <f>1440</f>
        <v>1440</v>
      </c>
      <c r="O1520" s="4" t="s">
        <v>265</v>
      </c>
      <c r="P1520" s="6">
        <f>1</f>
        <v>1</v>
      </c>
      <c r="Q1520" s="6">
        <f>0</f>
        <v>0</v>
      </c>
      <c r="S1520" s="6">
        <f>0</f>
        <v>0</v>
      </c>
      <c r="T1520" s="6">
        <f>1</f>
        <v>1</v>
      </c>
      <c r="U1520" s="5" t="s">
        <v>245</v>
      </c>
      <c r="V1520" s="4" t="s">
        <v>270</v>
      </c>
      <c r="W1520" s="4" t="s">
        <v>271</v>
      </c>
      <c r="X1520" s="4" t="s">
        <v>273</v>
      </c>
      <c r="Y1520" s="4" t="s">
        <v>241</v>
      </c>
      <c r="AB1520" s="4" t="s">
        <v>241</v>
      </c>
      <c r="AD1520" s="5" t="s">
        <v>241</v>
      </c>
      <c r="AG1520" s="5" t="s">
        <v>246</v>
      </c>
      <c r="AH1520" s="4" t="s">
        <v>241</v>
      </c>
      <c r="AI1520" s="4" t="s">
        <v>247</v>
      </c>
      <c r="AJ1520" s="4" t="s">
        <v>248</v>
      </c>
      <c r="AZ1520" s="4" t="s">
        <v>249</v>
      </c>
      <c r="BA1520" s="4" t="s">
        <v>241</v>
      </c>
      <c r="BB1520" s="4" t="s">
        <v>250</v>
      </c>
      <c r="BC1520" s="4" t="s">
        <v>241</v>
      </c>
      <c r="BD1520" s="4" t="s">
        <v>252</v>
      </c>
      <c r="BE1520" s="4" t="s">
        <v>241</v>
      </c>
      <c r="BI1520" s="4" t="s">
        <v>253</v>
      </c>
      <c r="BJ1520" s="5" t="s">
        <v>246</v>
      </c>
      <c r="BK1520" s="4" t="s">
        <v>254</v>
      </c>
      <c r="BL1520" s="4" t="s">
        <v>255</v>
      </c>
      <c r="BM1520" s="4" t="s">
        <v>241</v>
      </c>
      <c r="BN1520" s="6">
        <f>0</f>
        <v>0</v>
      </c>
      <c r="BO1520" s="6">
        <f>0</f>
        <v>0</v>
      </c>
      <c r="BP1520" s="4" t="s">
        <v>256</v>
      </c>
      <c r="BQ1520" s="4" t="s">
        <v>257</v>
      </c>
      <c r="CE1520" s="4" t="s">
        <v>241</v>
      </c>
      <c r="CF1520" s="4" t="s">
        <v>241</v>
      </c>
      <c r="CJ1520" s="4" t="s">
        <v>276</v>
      </c>
      <c r="CK1520" s="4" t="s">
        <v>259</v>
      </c>
      <c r="CL1520" s="4" t="s">
        <v>241</v>
      </c>
      <c r="CO1520" s="5" t="s">
        <v>260</v>
      </c>
      <c r="CP1520" s="4" t="s">
        <v>241</v>
      </c>
      <c r="CQ1520" s="4" t="s">
        <v>261</v>
      </c>
      <c r="CR1520" s="4" t="s">
        <v>241</v>
      </c>
      <c r="CS1520" s="4" t="s">
        <v>241</v>
      </c>
      <c r="CT1520" s="4">
        <v>0</v>
      </c>
      <c r="CU1520" s="4" t="s">
        <v>262</v>
      </c>
      <c r="CV1520" s="4" t="s">
        <v>263</v>
      </c>
      <c r="CW1520" s="4" t="s">
        <v>263</v>
      </c>
      <c r="CX1520" s="4" t="s">
        <v>264</v>
      </c>
      <c r="DA1520" s="6">
        <f>1</f>
        <v>1</v>
      </c>
      <c r="DC1520" s="4" t="s">
        <v>277</v>
      </c>
      <c r="DD1520" s="4" t="s">
        <v>241</v>
      </c>
      <c r="DF1520" s="4" t="s">
        <v>277</v>
      </c>
      <c r="DG1520" s="6">
        <f>1440</f>
        <v>1440</v>
      </c>
      <c r="DI1520" s="4" t="s">
        <v>241</v>
      </c>
      <c r="DJ1520" s="4" t="s">
        <v>241</v>
      </c>
      <c r="DK1520" s="4" t="s">
        <v>241</v>
      </c>
      <c r="DL1520" s="4" t="s">
        <v>241</v>
      </c>
      <c r="DP1520" s="4" t="s">
        <v>241</v>
      </c>
      <c r="DQ1520" s="4" t="s">
        <v>241</v>
      </c>
      <c r="DR1520" s="4" t="s">
        <v>241</v>
      </c>
      <c r="DS1520" s="4" t="s">
        <v>241</v>
      </c>
      <c r="DV1520" s="4" t="s">
        <v>278</v>
      </c>
      <c r="DW1520" s="4" t="s">
        <v>846</v>
      </c>
      <c r="HO1520" s="4" t="s">
        <v>267</v>
      </c>
    </row>
    <row r="1521" spans="1:223" ht="19.5" customHeight="1" x14ac:dyDescent="0.4">
      <c r="A1521" s="4">
        <v>1</v>
      </c>
      <c r="B1521" s="4" t="s">
        <v>239</v>
      </c>
      <c r="C1521" s="4">
        <v>3195</v>
      </c>
      <c r="D1521" s="4">
        <v>1</v>
      </c>
      <c r="E1521" s="4">
        <v>1</v>
      </c>
      <c r="F1521" s="4" t="s">
        <v>268</v>
      </c>
      <c r="G1521" s="4" t="s">
        <v>241</v>
      </c>
      <c r="H1521" s="4" t="s">
        <v>241</v>
      </c>
      <c r="I1521" s="4" t="s">
        <v>272</v>
      </c>
      <c r="J1521" s="4" t="s">
        <v>274</v>
      </c>
      <c r="K1521" s="4" t="s">
        <v>251</v>
      </c>
      <c r="L1521" s="4" t="s">
        <v>269</v>
      </c>
      <c r="M1521" s="5" t="s">
        <v>2490</v>
      </c>
      <c r="N1521" s="6">
        <f>308</f>
        <v>308</v>
      </c>
      <c r="O1521" s="4" t="s">
        <v>265</v>
      </c>
      <c r="P1521" s="6">
        <f>1</f>
        <v>1</v>
      </c>
      <c r="Q1521" s="6">
        <f>0</f>
        <v>0</v>
      </c>
      <c r="S1521" s="6">
        <f>0</f>
        <v>0</v>
      </c>
      <c r="T1521" s="6">
        <f>1</f>
        <v>1</v>
      </c>
      <c r="U1521" s="5" t="s">
        <v>245</v>
      </c>
      <c r="V1521" s="4" t="s">
        <v>270</v>
      </c>
      <c r="W1521" s="4" t="s">
        <v>271</v>
      </c>
      <c r="X1521" s="4" t="s">
        <v>273</v>
      </c>
      <c r="Y1521" s="4" t="s">
        <v>241</v>
      </c>
      <c r="AB1521" s="4" t="s">
        <v>241</v>
      </c>
      <c r="AD1521" s="5" t="s">
        <v>241</v>
      </c>
      <c r="AG1521" s="5" t="s">
        <v>246</v>
      </c>
      <c r="AH1521" s="4" t="s">
        <v>241</v>
      </c>
      <c r="AI1521" s="4" t="s">
        <v>247</v>
      </c>
      <c r="AJ1521" s="4" t="s">
        <v>248</v>
      </c>
      <c r="AZ1521" s="4" t="s">
        <v>249</v>
      </c>
      <c r="BA1521" s="4" t="s">
        <v>241</v>
      </c>
      <c r="BB1521" s="4" t="s">
        <v>250</v>
      </c>
      <c r="BC1521" s="4" t="s">
        <v>241</v>
      </c>
      <c r="BD1521" s="4" t="s">
        <v>252</v>
      </c>
      <c r="BE1521" s="4" t="s">
        <v>241</v>
      </c>
      <c r="BI1521" s="4" t="s">
        <v>253</v>
      </c>
      <c r="BJ1521" s="5" t="s">
        <v>246</v>
      </c>
      <c r="BK1521" s="4" t="s">
        <v>254</v>
      </c>
      <c r="BL1521" s="4" t="s">
        <v>255</v>
      </c>
      <c r="BM1521" s="4" t="s">
        <v>241</v>
      </c>
      <c r="BN1521" s="6">
        <f>0</f>
        <v>0</v>
      </c>
      <c r="BO1521" s="6">
        <f>0</f>
        <v>0</v>
      </c>
      <c r="BP1521" s="4" t="s">
        <v>256</v>
      </c>
      <c r="BQ1521" s="4" t="s">
        <v>257</v>
      </c>
      <c r="CE1521" s="4" t="s">
        <v>241</v>
      </c>
      <c r="CF1521" s="4" t="s">
        <v>241</v>
      </c>
      <c r="CJ1521" s="4" t="s">
        <v>276</v>
      </c>
      <c r="CK1521" s="4" t="s">
        <v>259</v>
      </c>
      <c r="CL1521" s="4" t="s">
        <v>241</v>
      </c>
      <c r="CO1521" s="5" t="s">
        <v>260</v>
      </c>
      <c r="CP1521" s="4" t="s">
        <v>241</v>
      </c>
      <c r="CQ1521" s="4" t="s">
        <v>261</v>
      </c>
      <c r="CR1521" s="4" t="s">
        <v>241</v>
      </c>
      <c r="CS1521" s="4" t="s">
        <v>241</v>
      </c>
      <c r="CT1521" s="4">
        <v>0</v>
      </c>
      <c r="CU1521" s="4" t="s">
        <v>262</v>
      </c>
      <c r="CV1521" s="4" t="s">
        <v>263</v>
      </c>
      <c r="CW1521" s="4" t="s">
        <v>263</v>
      </c>
      <c r="CX1521" s="4" t="s">
        <v>264</v>
      </c>
      <c r="DA1521" s="6">
        <f>1</f>
        <v>1</v>
      </c>
      <c r="DC1521" s="4" t="s">
        <v>277</v>
      </c>
      <c r="DD1521" s="4" t="s">
        <v>241</v>
      </c>
      <c r="DF1521" s="4" t="s">
        <v>277</v>
      </c>
      <c r="DG1521" s="6">
        <f>308</f>
        <v>308</v>
      </c>
      <c r="DI1521" s="4" t="s">
        <v>241</v>
      </c>
      <c r="DJ1521" s="4" t="s">
        <v>241</v>
      </c>
      <c r="DK1521" s="4" t="s">
        <v>241</v>
      </c>
      <c r="DL1521" s="4" t="s">
        <v>241</v>
      </c>
      <c r="DP1521" s="4" t="s">
        <v>241</v>
      </c>
      <c r="DQ1521" s="4" t="s">
        <v>241</v>
      </c>
      <c r="DR1521" s="4" t="s">
        <v>241</v>
      </c>
      <c r="DS1521" s="4" t="s">
        <v>241</v>
      </c>
      <c r="DV1521" s="4" t="s">
        <v>278</v>
      </c>
      <c r="DW1521" s="4" t="s">
        <v>860</v>
      </c>
      <c r="HO1521" s="4" t="s">
        <v>267</v>
      </c>
    </row>
    <row r="1522" spans="1:223" ht="19.5" customHeight="1" x14ac:dyDescent="0.4">
      <c r="A1522" s="4">
        <v>1</v>
      </c>
      <c r="B1522" s="4" t="s">
        <v>239</v>
      </c>
      <c r="C1522" s="4">
        <v>3196</v>
      </c>
      <c r="D1522" s="4">
        <v>1</v>
      </c>
      <c r="E1522" s="4">
        <v>1</v>
      </c>
      <c r="F1522" s="4" t="s">
        <v>268</v>
      </c>
      <c r="G1522" s="4" t="s">
        <v>241</v>
      </c>
      <c r="H1522" s="4" t="s">
        <v>241</v>
      </c>
      <c r="I1522" s="4" t="s">
        <v>272</v>
      </c>
      <c r="J1522" s="4" t="s">
        <v>274</v>
      </c>
      <c r="K1522" s="4" t="s">
        <v>251</v>
      </c>
      <c r="L1522" s="4" t="s">
        <v>269</v>
      </c>
      <c r="M1522" s="5" t="s">
        <v>2489</v>
      </c>
      <c r="N1522" s="6">
        <f>724</f>
        <v>724</v>
      </c>
      <c r="O1522" s="4" t="s">
        <v>265</v>
      </c>
      <c r="P1522" s="6">
        <f>1</f>
        <v>1</v>
      </c>
      <c r="Q1522" s="6">
        <f>0</f>
        <v>0</v>
      </c>
      <c r="S1522" s="6">
        <f>0</f>
        <v>0</v>
      </c>
      <c r="T1522" s="6">
        <f>1</f>
        <v>1</v>
      </c>
      <c r="U1522" s="5" t="s">
        <v>245</v>
      </c>
      <c r="V1522" s="4" t="s">
        <v>270</v>
      </c>
      <c r="W1522" s="4" t="s">
        <v>271</v>
      </c>
      <c r="X1522" s="4" t="s">
        <v>273</v>
      </c>
      <c r="Y1522" s="4" t="s">
        <v>241</v>
      </c>
      <c r="AB1522" s="4" t="s">
        <v>241</v>
      </c>
      <c r="AD1522" s="5" t="s">
        <v>241</v>
      </c>
      <c r="AG1522" s="5" t="s">
        <v>246</v>
      </c>
      <c r="AH1522" s="4" t="s">
        <v>241</v>
      </c>
      <c r="AI1522" s="4" t="s">
        <v>247</v>
      </c>
      <c r="AJ1522" s="4" t="s">
        <v>248</v>
      </c>
      <c r="AZ1522" s="4" t="s">
        <v>249</v>
      </c>
      <c r="BA1522" s="4" t="s">
        <v>241</v>
      </c>
      <c r="BB1522" s="4" t="s">
        <v>250</v>
      </c>
      <c r="BC1522" s="4" t="s">
        <v>241</v>
      </c>
      <c r="BD1522" s="4" t="s">
        <v>252</v>
      </c>
      <c r="BE1522" s="4" t="s">
        <v>241</v>
      </c>
      <c r="BI1522" s="4" t="s">
        <v>253</v>
      </c>
      <c r="BJ1522" s="5" t="s">
        <v>246</v>
      </c>
      <c r="BK1522" s="4" t="s">
        <v>254</v>
      </c>
      <c r="BL1522" s="4" t="s">
        <v>255</v>
      </c>
      <c r="BM1522" s="4" t="s">
        <v>241</v>
      </c>
      <c r="BN1522" s="6">
        <f>0</f>
        <v>0</v>
      </c>
      <c r="BO1522" s="6">
        <f>0</f>
        <v>0</v>
      </c>
      <c r="BP1522" s="4" t="s">
        <v>256</v>
      </c>
      <c r="BQ1522" s="4" t="s">
        <v>257</v>
      </c>
      <c r="CE1522" s="4" t="s">
        <v>241</v>
      </c>
      <c r="CF1522" s="4" t="s">
        <v>241</v>
      </c>
      <c r="CJ1522" s="4" t="s">
        <v>276</v>
      </c>
      <c r="CK1522" s="4" t="s">
        <v>259</v>
      </c>
      <c r="CL1522" s="4" t="s">
        <v>241</v>
      </c>
      <c r="CO1522" s="5" t="s">
        <v>260</v>
      </c>
      <c r="CP1522" s="4" t="s">
        <v>241</v>
      </c>
      <c r="CQ1522" s="4" t="s">
        <v>261</v>
      </c>
      <c r="CR1522" s="4" t="s">
        <v>241</v>
      </c>
      <c r="CS1522" s="4" t="s">
        <v>241</v>
      </c>
      <c r="CT1522" s="4">
        <v>0</v>
      </c>
      <c r="CU1522" s="4" t="s">
        <v>262</v>
      </c>
      <c r="CV1522" s="4" t="s">
        <v>263</v>
      </c>
      <c r="CW1522" s="4" t="s">
        <v>263</v>
      </c>
      <c r="CX1522" s="4" t="s">
        <v>264</v>
      </c>
      <c r="DA1522" s="6">
        <f>1</f>
        <v>1</v>
      </c>
      <c r="DC1522" s="4" t="s">
        <v>277</v>
      </c>
      <c r="DD1522" s="4" t="s">
        <v>241</v>
      </c>
      <c r="DF1522" s="4" t="s">
        <v>277</v>
      </c>
      <c r="DG1522" s="6">
        <f>724</f>
        <v>724</v>
      </c>
      <c r="DI1522" s="4" t="s">
        <v>241</v>
      </c>
      <c r="DJ1522" s="4" t="s">
        <v>241</v>
      </c>
      <c r="DK1522" s="4" t="s">
        <v>241</v>
      </c>
      <c r="DL1522" s="4" t="s">
        <v>241</v>
      </c>
      <c r="DP1522" s="4" t="s">
        <v>241</v>
      </c>
      <c r="DQ1522" s="4" t="s">
        <v>241</v>
      </c>
      <c r="DR1522" s="4" t="s">
        <v>241</v>
      </c>
      <c r="DS1522" s="4" t="s">
        <v>241</v>
      </c>
      <c r="DV1522" s="4" t="s">
        <v>278</v>
      </c>
      <c r="DW1522" s="4" t="s">
        <v>862</v>
      </c>
      <c r="HO1522" s="4" t="s">
        <v>267</v>
      </c>
    </row>
    <row r="1523" spans="1:223" ht="19.5" customHeight="1" x14ac:dyDescent="0.4">
      <c r="A1523" s="4">
        <v>1</v>
      </c>
      <c r="B1523" s="4" t="s">
        <v>239</v>
      </c>
      <c r="C1523" s="4">
        <v>3197</v>
      </c>
      <c r="D1523" s="4">
        <v>1</v>
      </c>
      <c r="E1523" s="4">
        <v>1</v>
      </c>
      <c r="F1523" s="4" t="s">
        <v>268</v>
      </c>
      <c r="G1523" s="4" t="s">
        <v>241</v>
      </c>
      <c r="H1523" s="4" t="s">
        <v>241</v>
      </c>
      <c r="I1523" s="4" t="s">
        <v>272</v>
      </c>
      <c r="J1523" s="4" t="s">
        <v>274</v>
      </c>
      <c r="K1523" s="4" t="s">
        <v>251</v>
      </c>
      <c r="L1523" s="4" t="s">
        <v>269</v>
      </c>
      <c r="M1523" s="5" t="s">
        <v>2487</v>
      </c>
      <c r="N1523" s="6">
        <f>1460</f>
        <v>1460</v>
      </c>
      <c r="O1523" s="4" t="s">
        <v>265</v>
      </c>
      <c r="P1523" s="6">
        <f>1</f>
        <v>1</v>
      </c>
      <c r="Q1523" s="6">
        <f>0</f>
        <v>0</v>
      </c>
      <c r="S1523" s="6">
        <f>0</f>
        <v>0</v>
      </c>
      <c r="T1523" s="6">
        <f>1</f>
        <v>1</v>
      </c>
      <c r="U1523" s="5" t="s">
        <v>245</v>
      </c>
      <c r="V1523" s="4" t="s">
        <v>270</v>
      </c>
      <c r="W1523" s="4" t="s">
        <v>271</v>
      </c>
      <c r="X1523" s="4" t="s">
        <v>273</v>
      </c>
      <c r="Y1523" s="4" t="s">
        <v>241</v>
      </c>
      <c r="AB1523" s="4" t="s">
        <v>241</v>
      </c>
      <c r="AD1523" s="5" t="s">
        <v>241</v>
      </c>
      <c r="AG1523" s="5" t="s">
        <v>246</v>
      </c>
      <c r="AH1523" s="4" t="s">
        <v>241</v>
      </c>
      <c r="AI1523" s="4" t="s">
        <v>247</v>
      </c>
      <c r="AJ1523" s="4" t="s">
        <v>248</v>
      </c>
      <c r="AZ1523" s="4" t="s">
        <v>249</v>
      </c>
      <c r="BA1523" s="4" t="s">
        <v>241</v>
      </c>
      <c r="BB1523" s="4" t="s">
        <v>250</v>
      </c>
      <c r="BC1523" s="4" t="s">
        <v>241</v>
      </c>
      <c r="BD1523" s="4" t="s">
        <v>252</v>
      </c>
      <c r="BE1523" s="4" t="s">
        <v>241</v>
      </c>
      <c r="BI1523" s="4" t="s">
        <v>253</v>
      </c>
      <c r="BJ1523" s="5" t="s">
        <v>246</v>
      </c>
      <c r="BK1523" s="4" t="s">
        <v>254</v>
      </c>
      <c r="BL1523" s="4" t="s">
        <v>255</v>
      </c>
      <c r="BM1523" s="4" t="s">
        <v>241</v>
      </c>
      <c r="BN1523" s="6">
        <f>0</f>
        <v>0</v>
      </c>
      <c r="BO1523" s="6">
        <f>0</f>
        <v>0</v>
      </c>
      <c r="BP1523" s="4" t="s">
        <v>256</v>
      </c>
      <c r="BQ1523" s="4" t="s">
        <v>257</v>
      </c>
      <c r="CE1523" s="4" t="s">
        <v>241</v>
      </c>
      <c r="CF1523" s="4" t="s">
        <v>241</v>
      </c>
      <c r="CJ1523" s="4" t="s">
        <v>276</v>
      </c>
      <c r="CK1523" s="4" t="s">
        <v>259</v>
      </c>
      <c r="CL1523" s="4" t="s">
        <v>241</v>
      </c>
      <c r="CO1523" s="5" t="s">
        <v>260</v>
      </c>
      <c r="CP1523" s="4" t="s">
        <v>241</v>
      </c>
      <c r="CQ1523" s="4" t="s">
        <v>261</v>
      </c>
      <c r="CR1523" s="4" t="s">
        <v>241</v>
      </c>
      <c r="CS1523" s="4" t="s">
        <v>241</v>
      </c>
      <c r="CT1523" s="4">
        <v>0</v>
      </c>
      <c r="CU1523" s="4" t="s">
        <v>262</v>
      </c>
      <c r="CV1523" s="4" t="s">
        <v>263</v>
      </c>
      <c r="CW1523" s="4" t="s">
        <v>263</v>
      </c>
      <c r="CX1523" s="4" t="s">
        <v>264</v>
      </c>
      <c r="DA1523" s="6">
        <f>1</f>
        <v>1</v>
      </c>
      <c r="DC1523" s="4" t="s">
        <v>277</v>
      </c>
      <c r="DD1523" s="4" t="s">
        <v>241</v>
      </c>
      <c r="DF1523" s="4" t="s">
        <v>277</v>
      </c>
      <c r="DG1523" s="6">
        <f>1460</f>
        <v>1460</v>
      </c>
      <c r="DI1523" s="4" t="s">
        <v>241</v>
      </c>
      <c r="DJ1523" s="4" t="s">
        <v>241</v>
      </c>
      <c r="DK1523" s="4" t="s">
        <v>241</v>
      </c>
      <c r="DL1523" s="4" t="s">
        <v>241</v>
      </c>
      <c r="DP1523" s="4" t="s">
        <v>241</v>
      </c>
      <c r="DQ1523" s="4" t="s">
        <v>241</v>
      </c>
      <c r="DR1523" s="4" t="s">
        <v>241</v>
      </c>
      <c r="DS1523" s="4" t="s">
        <v>241</v>
      </c>
      <c r="DV1523" s="4" t="s">
        <v>278</v>
      </c>
      <c r="DW1523" s="4" t="s">
        <v>2488</v>
      </c>
      <c r="HO1523" s="4" t="s">
        <v>267</v>
      </c>
    </row>
    <row r="1524" spans="1:223" ht="19.5" customHeight="1" x14ac:dyDescent="0.4">
      <c r="A1524" s="4">
        <v>1</v>
      </c>
      <c r="B1524" s="4" t="s">
        <v>239</v>
      </c>
      <c r="C1524" s="4">
        <v>3198</v>
      </c>
      <c r="D1524" s="4">
        <v>1</v>
      </c>
      <c r="E1524" s="4">
        <v>1</v>
      </c>
      <c r="F1524" s="4" t="s">
        <v>268</v>
      </c>
      <c r="G1524" s="4" t="s">
        <v>241</v>
      </c>
      <c r="H1524" s="4" t="s">
        <v>241</v>
      </c>
      <c r="I1524" s="4" t="s">
        <v>272</v>
      </c>
      <c r="J1524" s="4" t="s">
        <v>274</v>
      </c>
      <c r="K1524" s="4" t="s">
        <v>251</v>
      </c>
      <c r="L1524" s="4" t="s">
        <v>269</v>
      </c>
      <c r="M1524" s="5" t="s">
        <v>2485</v>
      </c>
      <c r="N1524" s="6">
        <f>1474</f>
        <v>1474</v>
      </c>
      <c r="O1524" s="4" t="s">
        <v>265</v>
      </c>
      <c r="P1524" s="6">
        <f>1</f>
        <v>1</v>
      </c>
      <c r="Q1524" s="6">
        <f>0</f>
        <v>0</v>
      </c>
      <c r="S1524" s="6">
        <f>0</f>
        <v>0</v>
      </c>
      <c r="T1524" s="6">
        <f>1</f>
        <v>1</v>
      </c>
      <c r="U1524" s="5" t="s">
        <v>245</v>
      </c>
      <c r="V1524" s="4" t="s">
        <v>270</v>
      </c>
      <c r="W1524" s="4" t="s">
        <v>271</v>
      </c>
      <c r="X1524" s="4" t="s">
        <v>273</v>
      </c>
      <c r="Y1524" s="4" t="s">
        <v>241</v>
      </c>
      <c r="AB1524" s="4" t="s">
        <v>241</v>
      </c>
      <c r="AD1524" s="5" t="s">
        <v>241</v>
      </c>
      <c r="AG1524" s="5" t="s">
        <v>246</v>
      </c>
      <c r="AH1524" s="4" t="s">
        <v>241</v>
      </c>
      <c r="AI1524" s="4" t="s">
        <v>247</v>
      </c>
      <c r="AJ1524" s="4" t="s">
        <v>248</v>
      </c>
      <c r="AZ1524" s="4" t="s">
        <v>249</v>
      </c>
      <c r="BA1524" s="4" t="s">
        <v>241</v>
      </c>
      <c r="BB1524" s="4" t="s">
        <v>250</v>
      </c>
      <c r="BC1524" s="4" t="s">
        <v>241</v>
      </c>
      <c r="BD1524" s="4" t="s">
        <v>252</v>
      </c>
      <c r="BE1524" s="4" t="s">
        <v>241</v>
      </c>
      <c r="BI1524" s="4" t="s">
        <v>253</v>
      </c>
      <c r="BJ1524" s="5" t="s">
        <v>246</v>
      </c>
      <c r="BK1524" s="4" t="s">
        <v>254</v>
      </c>
      <c r="BL1524" s="4" t="s">
        <v>255</v>
      </c>
      <c r="BM1524" s="4" t="s">
        <v>241</v>
      </c>
      <c r="BN1524" s="6">
        <f>0</f>
        <v>0</v>
      </c>
      <c r="BO1524" s="6">
        <f>0</f>
        <v>0</v>
      </c>
      <c r="BP1524" s="4" t="s">
        <v>256</v>
      </c>
      <c r="BQ1524" s="4" t="s">
        <v>257</v>
      </c>
      <c r="CE1524" s="4" t="s">
        <v>241</v>
      </c>
      <c r="CF1524" s="4" t="s">
        <v>241</v>
      </c>
      <c r="CJ1524" s="4" t="s">
        <v>276</v>
      </c>
      <c r="CK1524" s="4" t="s">
        <v>259</v>
      </c>
      <c r="CL1524" s="4" t="s">
        <v>241</v>
      </c>
      <c r="CO1524" s="5" t="s">
        <v>260</v>
      </c>
      <c r="CP1524" s="4" t="s">
        <v>241</v>
      </c>
      <c r="CQ1524" s="4" t="s">
        <v>261</v>
      </c>
      <c r="CR1524" s="4" t="s">
        <v>241</v>
      </c>
      <c r="CS1524" s="4" t="s">
        <v>241</v>
      </c>
      <c r="CT1524" s="4">
        <v>0</v>
      </c>
      <c r="CU1524" s="4" t="s">
        <v>262</v>
      </c>
      <c r="CV1524" s="4" t="s">
        <v>263</v>
      </c>
      <c r="CW1524" s="4" t="s">
        <v>263</v>
      </c>
      <c r="CX1524" s="4" t="s">
        <v>264</v>
      </c>
      <c r="DA1524" s="6">
        <f>1</f>
        <v>1</v>
      </c>
      <c r="DC1524" s="4" t="s">
        <v>277</v>
      </c>
      <c r="DD1524" s="4" t="s">
        <v>241</v>
      </c>
      <c r="DF1524" s="4" t="s">
        <v>277</v>
      </c>
      <c r="DG1524" s="6">
        <f>1474</f>
        <v>1474</v>
      </c>
      <c r="DI1524" s="4" t="s">
        <v>241</v>
      </c>
      <c r="DJ1524" s="4" t="s">
        <v>241</v>
      </c>
      <c r="DK1524" s="4" t="s">
        <v>241</v>
      </c>
      <c r="DL1524" s="4" t="s">
        <v>241</v>
      </c>
      <c r="DP1524" s="4" t="s">
        <v>241</v>
      </c>
      <c r="DQ1524" s="4" t="s">
        <v>241</v>
      </c>
      <c r="DR1524" s="4" t="s">
        <v>241</v>
      </c>
      <c r="DS1524" s="4" t="s">
        <v>241</v>
      </c>
      <c r="DV1524" s="4" t="s">
        <v>278</v>
      </c>
      <c r="DW1524" s="4" t="s">
        <v>2486</v>
      </c>
      <c r="HO1524" s="4" t="s">
        <v>267</v>
      </c>
    </row>
    <row r="1525" spans="1:223" ht="19.5" customHeight="1" x14ac:dyDescent="0.4">
      <c r="A1525" s="4">
        <v>1</v>
      </c>
      <c r="B1525" s="4" t="s">
        <v>239</v>
      </c>
      <c r="C1525" s="4">
        <v>3199</v>
      </c>
      <c r="D1525" s="4">
        <v>1</v>
      </c>
      <c r="E1525" s="4">
        <v>1</v>
      </c>
      <c r="F1525" s="4" t="s">
        <v>268</v>
      </c>
      <c r="G1525" s="4" t="s">
        <v>241</v>
      </c>
      <c r="H1525" s="4" t="s">
        <v>241</v>
      </c>
      <c r="I1525" s="4" t="s">
        <v>272</v>
      </c>
      <c r="J1525" s="4" t="s">
        <v>274</v>
      </c>
      <c r="K1525" s="4" t="s">
        <v>251</v>
      </c>
      <c r="L1525" s="4" t="s">
        <v>269</v>
      </c>
      <c r="M1525" s="5" t="s">
        <v>2484</v>
      </c>
      <c r="N1525" s="6">
        <f>1314</f>
        <v>1314</v>
      </c>
      <c r="O1525" s="4" t="s">
        <v>265</v>
      </c>
      <c r="P1525" s="6">
        <f>1</f>
        <v>1</v>
      </c>
      <c r="Q1525" s="6">
        <f>0</f>
        <v>0</v>
      </c>
      <c r="S1525" s="6">
        <f>0</f>
        <v>0</v>
      </c>
      <c r="T1525" s="6">
        <f>1</f>
        <v>1</v>
      </c>
      <c r="U1525" s="5" t="s">
        <v>245</v>
      </c>
      <c r="V1525" s="4" t="s">
        <v>270</v>
      </c>
      <c r="W1525" s="4" t="s">
        <v>271</v>
      </c>
      <c r="X1525" s="4" t="s">
        <v>273</v>
      </c>
      <c r="Y1525" s="4" t="s">
        <v>241</v>
      </c>
      <c r="AB1525" s="4" t="s">
        <v>241</v>
      </c>
      <c r="AD1525" s="5" t="s">
        <v>241</v>
      </c>
      <c r="AG1525" s="5" t="s">
        <v>246</v>
      </c>
      <c r="AH1525" s="4" t="s">
        <v>241</v>
      </c>
      <c r="AI1525" s="4" t="s">
        <v>247</v>
      </c>
      <c r="AJ1525" s="4" t="s">
        <v>248</v>
      </c>
      <c r="AZ1525" s="4" t="s">
        <v>249</v>
      </c>
      <c r="BA1525" s="4" t="s">
        <v>241</v>
      </c>
      <c r="BB1525" s="4" t="s">
        <v>250</v>
      </c>
      <c r="BC1525" s="4" t="s">
        <v>241</v>
      </c>
      <c r="BD1525" s="4" t="s">
        <v>252</v>
      </c>
      <c r="BE1525" s="4" t="s">
        <v>241</v>
      </c>
      <c r="BI1525" s="4" t="s">
        <v>253</v>
      </c>
      <c r="BJ1525" s="5" t="s">
        <v>246</v>
      </c>
      <c r="BK1525" s="4" t="s">
        <v>254</v>
      </c>
      <c r="BL1525" s="4" t="s">
        <v>255</v>
      </c>
      <c r="BM1525" s="4" t="s">
        <v>241</v>
      </c>
      <c r="BN1525" s="6">
        <f>0</f>
        <v>0</v>
      </c>
      <c r="BO1525" s="6">
        <f>0</f>
        <v>0</v>
      </c>
      <c r="BP1525" s="4" t="s">
        <v>256</v>
      </c>
      <c r="BQ1525" s="4" t="s">
        <v>257</v>
      </c>
      <c r="CE1525" s="4" t="s">
        <v>241</v>
      </c>
      <c r="CF1525" s="4" t="s">
        <v>241</v>
      </c>
      <c r="CJ1525" s="4" t="s">
        <v>276</v>
      </c>
      <c r="CK1525" s="4" t="s">
        <v>259</v>
      </c>
      <c r="CL1525" s="4" t="s">
        <v>241</v>
      </c>
      <c r="CO1525" s="5" t="s">
        <v>260</v>
      </c>
      <c r="CP1525" s="4" t="s">
        <v>241</v>
      </c>
      <c r="CQ1525" s="4" t="s">
        <v>261</v>
      </c>
      <c r="CR1525" s="4" t="s">
        <v>241</v>
      </c>
      <c r="CS1525" s="4" t="s">
        <v>241</v>
      </c>
      <c r="CT1525" s="4">
        <v>0</v>
      </c>
      <c r="CU1525" s="4" t="s">
        <v>262</v>
      </c>
      <c r="CV1525" s="4" t="s">
        <v>263</v>
      </c>
      <c r="CW1525" s="4" t="s">
        <v>263</v>
      </c>
      <c r="CX1525" s="4" t="s">
        <v>264</v>
      </c>
      <c r="DA1525" s="6">
        <f>1</f>
        <v>1</v>
      </c>
      <c r="DC1525" s="4" t="s">
        <v>277</v>
      </c>
      <c r="DD1525" s="4" t="s">
        <v>241</v>
      </c>
      <c r="DF1525" s="4" t="s">
        <v>277</v>
      </c>
      <c r="DG1525" s="6">
        <f>1314</f>
        <v>1314</v>
      </c>
      <c r="DI1525" s="4" t="s">
        <v>241</v>
      </c>
      <c r="DJ1525" s="4" t="s">
        <v>241</v>
      </c>
      <c r="DK1525" s="4" t="s">
        <v>241</v>
      </c>
      <c r="DL1525" s="4" t="s">
        <v>241</v>
      </c>
      <c r="DP1525" s="4" t="s">
        <v>241</v>
      </c>
      <c r="DQ1525" s="4" t="s">
        <v>241</v>
      </c>
      <c r="DR1525" s="4" t="s">
        <v>241</v>
      </c>
      <c r="DS1525" s="4" t="s">
        <v>241</v>
      </c>
      <c r="DV1525" s="4" t="s">
        <v>278</v>
      </c>
      <c r="DW1525" s="4" t="s">
        <v>878</v>
      </c>
      <c r="HO1525" s="4" t="s">
        <v>267</v>
      </c>
    </row>
    <row r="1526" spans="1:223" ht="19.5" customHeight="1" x14ac:dyDescent="0.4">
      <c r="A1526" s="4">
        <v>1</v>
      </c>
      <c r="B1526" s="4" t="s">
        <v>239</v>
      </c>
      <c r="C1526" s="4">
        <v>3200</v>
      </c>
      <c r="D1526" s="4">
        <v>1</v>
      </c>
      <c r="E1526" s="4">
        <v>1</v>
      </c>
      <c r="F1526" s="4" t="s">
        <v>268</v>
      </c>
      <c r="G1526" s="4" t="s">
        <v>241</v>
      </c>
      <c r="H1526" s="4" t="s">
        <v>241</v>
      </c>
      <c r="I1526" s="4" t="s">
        <v>272</v>
      </c>
      <c r="J1526" s="4" t="s">
        <v>274</v>
      </c>
      <c r="K1526" s="4" t="s">
        <v>251</v>
      </c>
      <c r="L1526" s="4" t="s">
        <v>269</v>
      </c>
      <c r="M1526" s="5" t="s">
        <v>2483</v>
      </c>
      <c r="N1526" s="6">
        <f>852</f>
        <v>852</v>
      </c>
      <c r="O1526" s="4" t="s">
        <v>265</v>
      </c>
      <c r="P1526" s="6">
        <f>1</f>
        <v>1</v>
      </c>
      <c r="Q1526" s="6">
        <f>0</f>
        <v>0</v>
      </c>
      <c r="S1526" s="6">
        <f>0</f>
        <v>0</v>
      </c>
      <c r="T1526" s="6">
        <f>1</f>
        <v>1</v>
      </c>
      <c r="U1526" s="5" t="s">
        <v>245</v>
      </c>
      <c r="V1526" s="4" t="s">
        <v>270</v>
      </c>
      <c r="W1526" s="4" t="s">
        <v>271</v>
      </c>
      <c r="X1526" s="4" t="s">
        <v>273</v>
      </c>
      <c r="Y1526" s="4" t="s">
        <v>241</v>
      </c>
      <c r="AB1526" s="4" t="s">
        <v>241</v>
      </c>
      <c r="AD1526" s="5" t="s">
        <v>241</v>
      </c>
      <c r="AG1526" s="5" t="s">
        <v>246</v>
      </c>
      <c r="AH1526" s="4" t="s">
        <v>241</v>
      </c>
      <c r="AI1526" s="4" t="s">
        <v>247</v>
      </c>
      <c r="AJ1526" s="4" t="s">
        <v>248</v>
      </c>
      <c r="AZ1526" s="4" t="s">
        <v>249</v>
      </c>
      <c r="BA1526" s="4" t="s">
        <v>241</v>
      </c>
      <c r="BB1526" s="4" t="s">
        <v>250</v>
      </c>
      <c r="BC1526" s="4" t="s">
        <v>241</v>
      </c>
      <c r="BD1526" s="4" t="s">
        <v>252</v>
      </c>
      <c r="BE1526" s="4" t="s">
        <v>241</v>
      </c>
      <c r="BI1526" s="4" t="s">
        <v>253</v>
      </c>
      <c r="BJ1526" s="5" t="s">
        <v>246</v>
      </c>
      <c r="BK1526" s="4" t="s">
        <v>254</v>
      </c>
      <c r="BL1526" s="4" t="s">
        <v>255</v>
      </c>
      <c r="BM1526" s="4" t="s">
        <v>241</v>
      </c>
      <c r="BN1526" s="6">
        <f>0</f>
        <v>0</v>
      </c>
      <c r="BO1526" s="6">
        <f>0</f>
        <v>0</v>
      </c>
      <c r="BP1526" s="4" t="s">
        <v>256</v>
      </c>
      <c r="BQ1526" s="4" t="s">
        <v>257</v>
      </c>
      <c r="CE1526" s="4" t="s">
        <v>241</v>
      </c>
      <c r="CF1526" s="4" t="s">
        <v>241</v>
      </c>
      <c r="CJ1526" s="4" t="s">
        <v>276</v>
      </c>
      <c r="CK1526" s="4" t="s">
        <v>259</v>
      </c>
      <c r="CL1526" s="4" t="s">
        <v>241</v>
      </c>
      <c r="CO1526" s="5" t="s">
        <v>260</v>
      </c>
      <c r="CP1526" s="4" t="s">
        <v>241</v>
      </c>
      <c r="CQ1526" s="4" t="s">
        <v>261</v>
      </c>
      <c r="CR1526" s="4" t="s">
        <v>241</v>
      </c>
      <c r="CS1526" s="4" t="s">
        <v>241</v>
      </c>
      <c r="CT1526" s="4">
        <v>0</v>
      </c>
      <c r="CU1526" s="4" t="s">
        <v>262</v>
      </c>
      <c r="CV1526" s="4" t="s">
        <v>263</v>
      </c>
      <c r="CW1526" s="4" t="s">
        <v>263</v>
      </c>
      <c r="CX1526" s="4" t="s">
        <v>264</v>
      </c>
      <c r="DA1526" s="6">
        <f>1</f>
        <v>1</v>
      </c>
      <c r="DC1526" s="4" t="s">
        <v>277</v>
      </c>
      <c r="DD1526" s="4" t="s">
        <v>241</v>
      </c>
      <c r="DF1526" s="4" t="s">
        <v>277</v>
      </c>
      <c r="DG1526" s="6">
        <f>852</f>
        <v>852</v>
      </c>
      <c r="DI1526" s="4" t="s">
        <v>241</v>
      </c>
      <c r="DJ1526" s="4" t="s">
        <v>241</v>
      </c>
      <c r="DK1526" s="4" t="s">
        <v>241</v>
      </c>
      <c r="DL1526" s="4" t="s">
        <v>241</v>
      </c>
      <c r="DP1526" s="4" t="s">
        <v>241</v>
      </c>
      <c r="DQ1526" s="4" t="s">
        <v>241</v>
      </c>
      <c r="DR1526" s="4" t="s">
        <v>241</v>
      </c>
      <c r="DS1526" s="4" t="s">
        <v>241</v>
      </c>
      <c r="DV1526" s="4" t="s">
        <v>278</v>
      </c>
      <c r="DW1526" s="4" t="s">
        <v>882</v>
      </c>
      <c r="HO1526" s="4" t="s">
        <v>267</v>
      </c>
    </row>
    <row r="1527" spans="1:223" ht="19.5" customHeight="1" x14ac:dyDescent="0.4">
      <c r="A1527" s="4">
        <v>1</v>
      </c>
      <c r="B1527" s="4" t="s">
        <v>239</v>
      </c>
      <c r="C1527" s="4">
        <v>3201</v>
      </c>
      <c r="D1527" s="4">
        <v>1</v>
      </c>
      <c r="E1527" s="4">
        <v>1</v>
      </c>
      <c r="F1527" s="4" t="s">
        <v>268</v>
      </c>
      <c r="G1527" s="4" t="s">
        <v>241</v>
      </c>
      <c r="H1527" s="4" t="s">
        <v>241</v>
      </c>
      <c r="I1527" s="4" t="s">
        <v>272</v>
      </c>
      <c r="J1527" s="4" t="s">
        <v>274</v>
      </c>
      <c r="K1527" s="4" t="s">
        <v>251</v>
      </c>
      <c r="L1527" s="4" t="s">
        <v>269</v>
      </c>
      <c r="M1527" s="5" t="s">
        <v>2482</v>
      </c>
      <c r="N1527" s="6">
        <f>648</f>
        <v>648</v>
      </c>
      <c r="O1527" s="4" t="s">
        <v>265</v>
      </c>
      <c r="P1527" s="6">
        <f>1</f>
        <v>1</v>
      </c>
      <c r="Q1527" s="6">
        <f>0</f>
        <v>0</v>
      </c>
      <c r="S1527" s="6">
        <f>0</f>
        <v>0</v>
      </c>
      <c r="T1527" s="6">
        <f>1</f>
        <v>1</v>
      </c>
      <c r="U1527" s="5" t="s">
        <v>245</v>
      </c>
      <c r="V1527" s="4" t="s">
        <v>270</v>
      </c>
      <c r="W1527" s="4" t="s">
        <v>271</v>
      </c>
      <c r="X1527" s="4" t="s">
        <v>273</v>
      </c>
      <c r="Y1527" s="4" t="s">
        <v>241</v>
      </c>
      <c r="AB1527" s="4" t="s">
        <v>241</v>
      </c>
      <c r="AD1527" s="5" t="s">
        <v>241</v>
      </c>
      <c r="AG1527" s="5" t="s">
        <v>246</v>
      </c>
      <c r="AH1527" s="4" t="s">
        <v>241</v>
      </c>
      <c r="AI1527" s="4" t="s">
        <v>247</v>
      </c>
      <c r="AJ1527" s="4" t="s">
        <v>248</v>
      </c>
      <c r="AZ1527" s="4" t="s">
        <v>249</v>
      </c>
      <c r="BA1527" s="4" t="s">
        <v>241</v>
      </c>
      <c r="BB1527" s="4" t="s">
        <v>250</v>
      </c>
      <c r="BC1527" s="4" t="s">
        <v>241</v>
      </c>
      <c r="BD1527" s="4" t="s">
        <v>252</v>
      </c>
      <c r="BE1527" s="4" t="s">
        <v>241</v>
      </c>
      <c r="BI1527" s="4" t="s">
        <v>253</v>
      </c>
      <c r="BJ1527" s="5" t="s">
        <v>246</v>
      </c>
      <c r="BK1527" s="4" t="s">
        <v>254</v>
      </c>
      <c r="BL1527" s="4" t="s">
        <v>255</v>
      </c>
      <c r="BM1527" s="4" t="s">
        <v>241</v>
      </c>
      <c r="BN1527" s="6">
        <f>0</f>
        <v>0</v>
      </c>
      <c r="BO1527" s="6">
        <f>0</f>
        <v>0</v>
      </c>
      <c r="BP1527" s="4" t="s">
        <v>256</v>
      </c>
      <c r="BQ1527" s="4" t="s">
        <v>257</v>
      </c>
      <c r="CE1527" s="4" t="s">
        <v>241</v>
      </c>
      <c r="CF1527" s="4" t="s">
        <v>241</v>
      </c>
      <c r="CJ1527" s="4" t="s">
        <v>276</v>
      </c>
      <c r="CK1527" s="4" t="s">
        <v>259</v>
      </c>
      <c r="CL1527" s="4" t="s">
        <v>241</v>
      </c>
      <c r="CO1527" s="5" t="s">
        <v>260</v>
      </c>
      <c r="CP1527" s="4" t="s">
        <v>241</v>
      </c>
      <c r="CQ1527" s="4" t="s">
        <v>261</v>
      </c>
      <c r="CR1527" s="4" t="s">
        <v>241</v>
      </c>
      <c r="CS1527" s="4" t="s">
        <v>241</v>
      </c>
      <c r="CT1527" s="4">
        <v>0</v>
      </c>
      <c r="CU1527" s="4" t="s">
        <v>262</v>
      </c>
      <c r="CV1527" s="4" t="s">
        <v>263</v>
      </c>
      <c r="CW1527" s="4" t="s">
        <v>263</v>
      </c>
      <c r="CX1527" s="4" t="s">
        <v>264</v>
      </c>
      <c r="DA1527" s="6">
        <f>1</f>
        <v>1</v>
      </c>
      <c r="DC1527" s="4" t="s">
        <v>277</v>
      </c>
      <c r="DD1527" s="4" t="s">
        <v>241</v>
      </c>
      <c r="DF1527" s="4" t="s">
        <v>277</v>
      </c>
      <c r="DG1527" s="6">
        <f>648</f>
        <v>648</v>
      </c>
      <c r="DI1527" s="4" t="s">
        <v>241</v>
      </c>
      <c r="DJ1527" s="4" t="s">
        <v>241</v>
      </c>
      <c r="DK1527" s="4" t="s">
        <v>241</v>
      </c>
      <c r="DL1527" s="4" t="s">
        <v>241</v>
      </c>
      <c r="DP1527" s="4" t="s">
        <v>241</v>
      </c>
      <c r="DQ1527" s="4" t="s">
        <v>241</v>
      </c>
      <c r="DR1527" s="4" t="s">
        <v>241</v>
      </c>
      <c r="DS1527" s="4" t="s">
        <v>241</v>
      </c>
      <c r="DV1527" s="4" t="s">
        <v>278</v>
      </c>
      <c r="DW1527" s="4" t="s">
        <v>888</v>
      </c>
      <c r="HO1527" s="4" t="s">
        <v>267</v>
      </c>
    </row>
    <row r="1528" spans="1:223" ht="19.5" customHeight="1" x14ac:dyDescent="0.4">
      <c r="A1528" s="4">
        <v>1</v>
      </c>
      <c r="B1528" s="4" t="s">
        <v>239</v>
      </c>
      <c r="C1528" s="4">
        <v>3202</v>
      </c>
      <c r="D1528" s="4">
        <v>1</v>
      </c>
      <c r="E1528" s="4">
        <v>1</v>
      </c>
      <c r="F1528" s="4" t="s">
        <v>268</v>
      </c>
      <c r="G1528" s="4" t="s">
        <v>241</v>
      </c>
      <c r="H1528" s="4" t="s">
        <v>241</v>
      </c>
      <c r="I1528" s="4" t="s">
        <v>272</v>
      </c>
      <c r="J1528" s="4" t="s">
        <v>274</v>
      </c>
      <c r="K1528" s="4" t="s">
        <v>251</v>
      </c>
      <c r="L1528" s="4" t="s">
        <v>269</v>
      </c>
      <c r="M1528" s="5" t="s">
        <v>2481</v>
      </c>
      <c r="N1528" s="6">
        <f>2041</f>
        <v>2041</v>
      </c>
      <c r="O1528" s="4" t="s">
        <v>265</v>
      </c>
      <c r="P1528" s="6">
        <f>1</f>
        <v>1</v>
      </c>
      <c r="Q1528" s="6">
        <f>0</f>
        <v>0</v>
      </c>
      <c r="S1528" s="6">
        <f>0</f>
        <v>0</v>
      </c>
      <c r="T1528" s="6">
        <f>1</f>
        <v>1</v>
      </c>
      <c r="U1528" s="5" t="s">
        <v>245</v>
      </c>
      <c r="V1528" s="4" t="s">
        <v>270</v>
      </c>
      <c r="W1528" s="4" t="s">
        <v>271</v>
      </c>
      <c r="X1528" s="4" t="s">
        <v>273</v>
      </c>
      <c r="Y1528" s="4" t="s">
        <v>241</v>
      </c>
      <c r="AB1528" s="4" t="s">
        <v>241</v>
      </c>
      <c r="AD1528" s="5" t="s">
        <v>241</v>
      </c>
      <c r="AG1528" s="5" t="s">
        <v>246</v>
      </c>
      <c r="AH1528" s="4" t="s">
        <v>241</v>
      </c>
      <c r="AI1528" s="4" t="s">
        <v>247</v>
      </c>
      <c r="AJ1528" s="4" t="s">
        <v>248</v>
      </c>
      <c r="AZ1528" s="4" t="s">
        <v>249</v>
      </c>
      <c r="BA1528" s="4" t="s">
        <v>241</v>
      </c>
      <c r="BB1528" s="4" t="s">
        <v>250</v>
      </c>
      <c r="BC1528" s="4" t="s">
        <v>241</v>
      </c>
      <c r="BD1528" s="4" t="s">
        <v>252</v>
      </c>
      <c r="BE1528" s="4" t="s">
        <v>241</v>
      </c>
      <c r="BI1528" s="4" t="s">
        <v>253</v>
      </c>
      <c r="BJ1528" s="5" t="s">
        <v>246</v>
      </c>
      <c r="BK1528" s="4" t="s">
        <v>254</v>
      </c>
      <c r="BL1528" s="4" t="s">
        <v>255</v>
      </c>
      <c r="BM1528" s="4" t="s">
        <v>241</v>
      </c>
      <c r="BN1528" s="6">
        <f>0</f>
        <v>0</v>
      </c>
      <c r="BO1528" s="6">
        <f>0</f>
        <v>0</v>
      </c>
      <c r="BP1528" s="4" t="s">
        <v>256</v>
      </c>
      <c r="BQ1528" s="4" t="s">
        <v>257</v>
      </c>
      <c r="CE1528" s="4" t="s">
        <v>241</v>
      </c>
      <c r="CF1528" s="4" t="s">
        <v>241</v>
      </c>
      <c r="CJ1528" s="4" t="s">
        <v>276</v>
      </c>
      <c r="CK1528" s="4" t="s">
        <v>259</v>
      </c>
      <c r="CL1528" s="4" t="s">
        <v>241</v>
      </c>
      <c r="CO1528" s="5" t="s">
        <v>260</v>
      </c>
      <c r="CP1528" s="4" t="s">
        <v>241</v>
      </c>
      <c r="CQ1528" s="4" t="s">
        <v>261</v>
      </c>
      <c r="CR1528" s="4" t="s">
        <v>241</v>
      </c>
      <c r="CS1528" s="4" t="s">
        <v>241</v>
      </c>
      <c r="CT1528" s="4">
        <v>0</v>
      </c>
      <c r="CU1528" s="4" t="s">
        <v>262</v>
      </c>
      <c r="CV1528" s="4" t="s">
        <v>263</v>
      </c>
      <c r="CW1528" s="4" t="s">
        <v>263</v>
      </c>
      <c r="CX1528" s="4" t="s">
        <v>264</v>
      </c>
      <c r="DA1528" s="6">
        <f>1</f>
        <v>1</v>
      </c>
      <c r="DC1528" s="4" t="s">
        <v>277</v>
      </c>
      <c r="DD1528" s="4" t="s">
        <v>241</v>
      </c>
      <c r="DF1528" s="4" t="s">
        <v>277</v>
      </c>
      <c r="DG1528" s="6">
        <f>2041</f>
        <v>2041</v>
      </c>
      <c r="DI1528" s="4" t="s">
        <v>241</v>
      </c>
      <c r="DJ1528" s="4" t="s">
        <v>241</v>
      </c>
      <c r="DK1528" s="4" t="s">
        <v>241</v>
      </c>
      <c r="DL1528" s="4" t="s">
        <v>241</v>
      </c>
      <c r="DP1528" s="4" t="s">
        <v>241</v>
      </c>
      <c r="DQ1528" s="4" t="s">
        <v>241</v>
      </c>
      <c r="DR1528" s="4" t="s">
        <v>241</v>
      </c>
      <c r="DS1528" s="4" t="s">
        <v>241</v>
      </c>
      <c r="DV1528" s="4" t="s">
        <v>278</v>
      </c>
      <c r="DW1528" s="4" t="s">
        <v>899</v>
      </c>
      <c r="HO1528" s="4" t="s">
        <v>267</v>
      </c>
    </row>
    <row r="1529" spans="1:223" ht="19.5" customHeight="1" x14ac:dyDescent="0.4">
      <c r="A1529" s="4">
        <v>1</v>
      </c>
      <c r="B1529" s="4" t="s">
        <v>239</v>
      </c>
      <c r="C1529" s="4">
        <v>3203</v>
      </c>
      <c r="D1529" s="4">
        <v>1</v>
      </c>
      <c r="E1529" s="4">
        <v>1</v>
      </c>
      <c r="F1529" s="4" t="s">
        <v>268</v>
      </c>
      <c r="G1529" s="4" t="s">
        <v>241</v>
      </c>
      <c r="H1529" s="4" t="s">
        <v>241</v>
      </c>
      <c r="I1529" s="4" t="s">
        <v>272</v>
      </c>
      <c r="J1529" s="4" t="s">
        <v>274</v>
      </c>
      <c r="K1529" s="4" t="s">
        <v>251</v>
      </c>
      <c r="L1529" s="4" t="s">
        <v>269</v>
      </c>
      <c r="M1529" s="5" t="s">
        <v>2480</v>
      </c>
      <c r="N1529" s="6">
        <f>604</f>
        <v>604</v>
      </c>
      <c r="O1529" s="4" t="s">
        <v>265</v>
      </c>
      <c r="P1529" s="6">
        <f>1</f>
        <v>1</v>
      </c>
      <c r="Q1529" s="6">
        <f>0</f>
        <v>0</v>
      </c>
      <c r="S1529" s="6">
        <f>0</f>
        <v>0</v>
      </c>
      <c r="T1529" s="6">
        <f>1</f>
        <v>1</v>
      </c>
      <c r="U1529" s="5" t="s">
        <v>245</v>
      </c>
      <c r="V1529" s="4" t="s">
        <v>270</v>
      </c>
      <c r="W1529" s="4" t="s">
        <v>271</v>
      </c>
      <c r="X1529" s="4" t="s">
        <v>273</v>
      </c>
      <c r="Y1529" s="4" t="s">
        <v>241</v>
      </c>
      <c r="AB1529" s="4" t="s">
        <v>241</v>
      </c>
      <c r="AD1529" s="5" t="s">
        <v>241</v>
      </c>
      <c r="AG1529" s="5" t="s">
        <v>246</v>
      </c>
      <c r="AH1529" s="4" t="s">
        <v>241</v>
      </c>
      <c r="AI1529" s="4" t="s">
        <v>247</v>
      </c>
      <c r="AJ1529" s="4" t="s">
        <v>248</v>
      </c>
      <c r="AZ1529" s="4" t="s">
        <v>249</v>
      </c>
      <c r="BA1529" s="4" t="s">
        <v>241</v>
      </c>
      <c r="BB1529" s="4" t="s">
        <v>250</v>
      </c>
      <c r="BC1529" s="4" t="s">
        <v>241</v>
      </c>
      <c r="BD1529" s="4" t="s">
        <v>252</v>
      </c>
      <c r="BE1529" s="4" t="s">
        <v>241</v>
      </c>
      <c r="BI1529" s="4" t="s">
        <v>253</v>
      </c>
      <c r="BJ1529" s="5" t="s">
        <v>246</v>
      </c>
      <c r="BK1529" s="4" t="s">
        <v>254</v>
      </c>
      <c r="BL1529" s="4" t="s">
        <v>255</v>
      </c>
      <c r="BM1529" s="4" t="s">
        <v>241</v>
      </c>
      <c r="BN1529" s="6">
        <f>0</f>
        <v>0</v>
      </c>
      <c r="BO1529" s="6">
        <f>0</f>
        <v>0</v>
      </c>
      <c r="BP1529" s="4" t="s">
        <v>256</v>
      </c>
      <c r="BQ1529" s="4" t="s">
        <v>257</v>
      </c>
      <c r="CE1529" s="4" t="s">
        <v>241</v>
      </c>
      <c r="CF1529" s="4" t="s">
        <v>241</v>
      </c>
      <c r="CJ1529" s="4" t="s">
        <v>276</v>
      </c>
      <c r="CK1529" s="4" t="s">
        <v>259</v>
      </c>
      <c r="CL1529" s="4" t="s">
        <v>241</v>
      </c>
      <c r="CO1529" s="5" t="s">
        <v>260</v>
      </c>
      <c r="CP1529" s="4" t="s">
        <v>241</v>
      </c>
      <c r="CQ1529" s="4" t="s">
        <v>261</v>
      </c>
      <c r="CR1529" s="4" t="s">
        <v>241</v>
      </c>
      <c r="CS1529" s="4" t="s">
        <v>241</v>
      </c>
      <c r="CT1529" s="4">
        <v>0</v>
      </c>
      <c r="CU1529" s="4" t="s">
        <v>262</v>
      </c>
      <c r="CV1529" s="4" t="s">
        <v>263</v>
      </c>
      <c r="CW1529" s="4" t="s">
        <v>263</v>
      </c>
      <c r="CX1529" s="4" t="s">
        <v>264</v>
      </c>
      <c r="DA1529" s="6">
        <f>1</f>
        <v>1</v>
      </c>
      <c r="DC1529" s="4" t="s">
        <v>277</v>
      </c>
      <c r="DD1529" s="4" t="s">
        <v>241</v>
      </c>
      <c r="DF1529" s="4" t="s">
        <v>277</v>
      </c>
      <c r="DG1529" s="6">
        <f>604</f>
        <v>604</v>
      </c>
      <c r="DI1529" s="4" t="s">
        <v>241</v>
      </c>
      <c r="DJ1529" s="4" t="s">
        <v>241</v>
      </c>
      <c r="DK1529" s="4" t="s">
        <v>241</v>
      </c>
      <c r="DL1529" s="4" t="s">
        <v>241</v>
      </c>
      <c r="DP1529" s="4" t="s">
        <v>241</v>
      </c>
      <c r="DQ1529" s="4" t="s">
        <v>241</v>
      </c>
      <c r="DR1529" s="4" t="s">
        <v>241</v>
      </c>
      <c r="DS1529" s="4" t="s">
        <v>241</v>
      </c>
      <c r="DV1529" s="4" t="s">
        <v>278</v>
      </c>
      <c r="DW1529" s="4" t="s">
        <v>904</v>
      </c>
      <c r="HO1529" s="4" t="s">
        <v>267</v>
      </c>
    </row>
    <row r="1530" spans="1:223" ht="19.5" customHeight="1" x14ac:dyDescent="0.4">
      <c r="A1530" s="4">
        <v>1</v>
      </c>
      <c r="B1530" s="4" t="s">
        <v>239</v>
      </c>
      <c r="C1530" s="4">
        <v>3204</v>
      </c>
      <c r="D1530" s="4">
        <v>1</v>
      </c>
      <c r="E1530" s="4">
        <v>1</v>
      </c>
      <c r="F1530" s="4" t="s">
        <v>268</v>
      </c>
      <c r="G1530" s="4" t="s">
        <v>241</v>
      </c>
      <c r="H1530" s="4" t="s">
        <v>241</v>
      </c>
      <c r="I1530" s="4" t="s">
        <v>272</v>
      </c>
      <c r="J1530" s="4" t="s">
        <v>274</v>
      </c>
      <c r="K1530" s="4" t="s">
        <v>251</v>
      </c>
      <c r="L1530" s="4" t="s">
        <v>269</v>
      </c>
      <c r="M1530" s="5" t="s">
        <v>2479</v>
      </c>
      <c r="N1530" s="6">
        <f>10</f>
        <v>10</v>
      </c>
      <c r="O1530" s="4" t="s">
        <v>265</v>
      </c>
      <c r="P1530" s="6">
        <f>1</f>
        <v>1</v>
      </c>
      <c r="Q1530" s="6">
        <f>0</f>
        <v>0</v>
      </c>
      <c r="S1530" s="6">
        <f>0</f>
        <v>0</v>
      </c>
      <c r="T1530" s="6">
        <f>1</f>
        <v>1</v>
      </c>
      <c r="U1530" s="5" t="s">
        <v>245</v>
      </c>
      <c r="V1530" s="4" t="s">
        <v>270</v>
      </c>
      <c r="W1530" s="4" t="s">
        <v>271</v>
      </c>
      <c r="X1530" s="4" t="s">
        <v>273</v>
      </c>
      <c r="Y1530" s="4" t="s">
        <v>241</v>
      </c>
      <c r="AB1530" s="4" t="s">
        <v>241</v>
      </c>
      <c r="AD1530" s="5" t="s">
        <v>241</v>
      </c>
      <c r="AG1530" s="5" t="s">
        <v>246</v>
      </c>
      <c r="AH1530" s="4" t="s">
        <v>241</v>
      </c>
      <c r="AI1530" s="4" t="s">
        <v>247</v>
      </c>
      <c r="AJ1530" s="4" t="s">
        <v>248</v>
      </c>
      <c r="AZ1530" s="4" t="s">
        <v>249</v>
      </c>
      <c r="BA1530" s="4" t="s">
        <v>241</v>
      </c>
      <c r="BB1530" s="4" t="s">
        <v>250</v>
      </c>
      <c r="BC1530" s="4" t="s">
        <v>241</v>
      </c>
      <c r="BD1530" s="4" t="s">
        <v>252</v>
      </c>
      <c r="BE1530" s="4" t="s">
        <v>241</v>
      </c>
      <c r="BI1530" s="4" t="s">
        <v>253</v>
      </c>
      <c r="BJ1530" s="5" t="s">
        <v>246</v>
      </c>
      <c r="BK1530" s="4" t="s">
        <v>254</v>
      </c>
      <c r="BL1530" s="4" t="s">
        <v>255</v>
      </c>
      <c r="BM1530" s="4" t="s">
        <v>241</v>
      </c>
      <c r="BN1530" s="6">
        <f>0</f>
        <v>0</v>
      </c>
      <c r="BO1530" s="6">
        <f>0</f>
        <v>0</v>
      </c>
      <c r="BP1530" s="4" t="s">
        <v>256</v>
      </c>
      <c r="BQ1530" s="4" t="s">
        <v>257</v>
      </c>
      <c r="CE1530" s="4" t="s">
        <v>241</v>
      </c>
      <c r="CF1530" s="4" t="s">
        <v>241</v>
      </c>
      <c r="CJ1530" s="4" t="s">
        <v>276</v>
      </c>
      <c r="CK1530" s="4" t="s">
        <v>259</v>
      </c>
      <c r="CL1530" s="4" t="s">
        <v>241</v>
      </c>
      <c r="CO1530" s="5" t="s">
        <v>260</v>
      </c>
      <c r="CP1530" s="4" t="s">
        <v>241</v>
      </c>
      <c r="CQ1530" s="4" t="s">
        <v>261</v>
      </c>
      <c r="CR1530" s="4" t="s">
        <v>241</v>
      </c>
      <c r="CS1530" s="4" t="s">
        <v>241</v>
      </c>
      <c r="CT1530" s="4">
        <v>0</v>
      </c>
      <c r="CU1530" s="4" t="s">
        <v>262</v>
      </c>
      <c r="CV1530" s="4" t="s">
        <v>263</v>
      </c>
      <c r="CW1530" s="4" t="s">
        <v>263</v>
      </c>
      <c r="CX1530" s="4" t="s">
        <v>264</v>
      </c>
      <c r="DA1530" s="6">
        <f>1</f>
        <v>1</v>
      </c>
      <c r="DC1530" s="4" t="s">
        <v>277</v>
      </c>
      <c r="DD1530" s="4" t="s">
        <v>241</v>
      </c>
      <c r="DF1530" s="4" t="s">
        <v>277</v>
      </c>
      <c r="DG1530" s="6">
        <f>10</f>
        <v>10</v>
      </c>
      <c r="DI1530" s="4" t="s">
        <v>241</v>
      </c>
      <c r="DJ1530" s="4" t="s">
        <v>241</v>
      </c>
      <c r="DK1530" s="4" t="s">
        <v>241</v>
      </c>
      <c r="DL1530" s="4" t="s">
        <v>241</v>
      </c>
      <c r="DP1530" s="4" t="s">
        <v>241</v>
      </c>
      <c r="DQ1530" s="4" t="s">
        <v>241</v>
      </c>
      <c r="DR1530" s="4" t="s">
        <v>241</v>
      </c>
      <c r="DS1530" s="4" t="s">
        <v>241</v>
      </c>
      <c r="DV1530" s="4" t="s">
        <v>278</v>
      </c>
      <c r="DW1530" s="4" t="s">
        <v>910</v>
      </c>
      <c r="HO1530" s="4" t="s">
        <v>267</v>
      </c>
    </row>
    <row r="1531" spans="1:223" ht="19.5" customHeight="1" x14ac:dyDescent="0.4">
      <c r="A1531" s="4">
        <v>1</v>
      </c>
      <c r="B1531" s="4" t="s">
        <v>239</v>
      </c>
      <c r="C1531" s="4">
        <v>3205</v>
      </c>
      <c r="D1531" s="4">
        <v>1</v>
      </c>
      <c r="E1531" s="4">
        <v>1</v>
      </c>
      <c r="F1531" s="4" t="s">
        <v>268</v>
      </c>
      <c r="G1531" s="4" t="s">
        <v>241</v>
      </c>
      <c r="H1531" s="4" t="s">
        <v>241</v>
      </c>
      <c r="I1531" s="4" t="s">
        <v>272</v>
      </c>
      <c r="J1531" s="4" t="s">
        <v>274</v>
      </c>
      <c r="K1531" s="4" t="s">
        <v>251</v>
      </c>
      <c r="L1531" s="4" t="s">
        <v>269</v>
      </c>
      <c r="M1531" s="5" t="s">
        <v>2476</v>
      </c>
      <c r="N1531" s="6">
        <f>94</f>
        <v>94</v>
      </c>
      <c r="O1531" s="4" t="s">
        <v>265</v>
      </c>
      <c r="P1531" s="6">
        <f>1</f>
        <v>1</v>
      </c>
      <c r="Q1531" s="6">
        <f>0</f>
        <v>0</v>
      </c>
      <c r="S1531" s="6">
        <f>0</f>
        <v>0</v>
      </c>
      <c r="T1531" s="6">
        <f>1</f>
        <v>1</v>
      </c>
      <c r="U1531" s="5" t="s">
        <v>245</v>
      </c>
      <c r="V1531" s="4" t="s">
        <v>270</v>
      </c>
      <c r="W1531" s="4" t="s">
        <v>271</v>
      </c>
      <c r="X1531" s="4" t="s">
        <v>273</v>
      </c>
      <c r="Y1531" s="4" t="s">
        <v>241</v>
      </c>
      <c r="AB1531" s="4" t="s">
        <v>241</v>
      </c>
      <c r="AD1531" s="5" t="s">
        <v>241</v>
      </c>
      <c r="AG1531" s="5" t="s">
        <v>246</v>
      </c>
      <c r="AH1531" s="4" t="s">
        <v>241</v>
      </c>
      <c r="AI1531" s="4" t="s">
        <v>247</v>
      </c>
      <c r="AJ1531" s="4" t="s">
        <v>248</v>
      </c>
      <c r="AZ1531" s="4" t="s">
        <v>249</v>
      </c>
      <c r="BA1531" s="4" t="s">
        <v>241</v>
      </c>
      <c r="BB1531" s="4" t="s">
        <v>250</v>
      </c>
      <c r="BC1531" s="4" t="s">
        <v>241</v>
      </c>
      <c r="BD1531" s="4" t="s">
        <v>252</v>
      </c>
      <c r="BE1531" s="4" t="s">
        <v>241</v>
      </c>
      <c r="BI1531" s="4" t="s">
        <v>253</v>
      </c>
      <c r="BJ1531" s="5" t="s">
        <v>246</v>
      </c>
      <c r="BK1531" s="4" t="s">
        <v>254</v>
      </c>
      <c r="BL1531" s="4" t="s">
        <v>255</v>
      </c>
      <c r="BM1531" s="4" t="s">
        <v>241</v>
      </c>
      <c r="BN1531" s="6">
        <f>0</f>
        <v>0</v>
      </c>
      <c r="BO1531" s="6">
        <f>0</f>
        <v>0</v>
      </c>
      <c r="BP1531" s="4" t="s">
        <v>256</v>
      </c>
      <c r="BQ1531" s="4" t="s">
        <v>257</v>
      </c>
      <c r="CE1531" s="4" t="s">
        <v>241</v>
      </c>
      <c r="CF1531" s="4" t="s">
        <v>241</v>
      </c>
      <c r="CJ1531" s="4" t="s">
        <v>276</v>
      </c>
      <c r="CK1531" s="4" t="s">
        <v>259</v>
      </c>
      <c r="CL1531" s="4" t="s">
        <v>241</v>
      </c>
      <c r="CO1531" s="5" t="s">
        <v>260</v>
      </c>
      <c r="CP1531" s="4" t="s">
        <v>241</v>
      </c>
      <c r="CQ1531" s="4" t="s">
        <v>261</v>
      </c>
      <c r="CR1531" s="4" t="s">
        <v>241</v>
      </c>
      <c r="CS1531" s="4" t="s">
        <v>241</v>
      </c>
      <c r="CT1531" s="4">
        <v>0</v>
      </c>
      <c r="CU1531" s="4" t="s">
        <v>262</v>
      </c>
      <c r="CV1531" s="4" t="s">
        <v>263</v>
      </c>
      <c r="CW1531" s="4" t="s">
        <v>263</v>
      </c>
      <c r="CX1531" s="4" t="s">
        <v>264</v>
      </c>
      <c r="DA1531" s="6">
        <f>1</f>
        <v>1</v>
      </c>
      <c r="DC1531" s="4" t="s">
        <v>277</v>
      </c>
      <c r="DD1531" s="4" t="s">
        <v>241</v>
      </c>
      <c r="DF1531" s="4" t="s">
        <v>277</v>
      </c>
      <c r="DG1531" s="6">
        <f>94</f>
        <v>94</v>
      </c>
      <c r="DI1531" s="4" t="s">
        <v>241</v>
      </c>
      <c r="DJ1531" s="4" t="s">
        <v>241</v>
      </c>
      <c r="DK1531" s="4" t="s">
        <v>241</v>
      </c>
      <c r="DL1531" s="4" t="s">
        <v>241</v>
      </c>
      <c r="DP1531" s="4" t="s">
        <v>241</v>
      </c>
      <c r="DQ1531" s="4" t="s">
        <v>241</v>
      </c>
      <c r="DR1531" s="4" t="s">
        <v>241</v>
      </c>
      <c r="DS1531" s="4" t="s">
        <v>241</v>
      </c>
      <c r="DV1531" s="4" t="s">
        <v>278</v>
      </c>
      <c r="DW1531" s="4" t="s">
        <v>918</v>
      </c>
      <c r="HO1531" s="4" t="s">
        <v>267</v>
      </c>
    </row>
    <row r="1532" spans="1:223" ht="19.5" customHeight="1" x14ac:dyDescent="0.4">
      <c r="A1532" s="4">
        <v>1</v>
      </c>
      <c r="B1532" s="4" t="s">
        <v>239</v>
      </c>
      <c r="C1532" s="4">
        <v>3206</v>
      </c>
      <c r="D1532" s="4">
        <v>1</v>
      </c>
      <c r="E1532" s="4">
        <v>1</v>
      </c>
      <c r="F1532" s="4" t="s">
        <v>268</v>
      </c>
      <c r="G1532" s="4" t="s">
        <v>241</v>
      </c>
      <c r="H1532" s="4" t="s">
        <v>241</v>
      </c>
      <c r="I1532" s="4" t="s">
        <v>272</v>
      </c>
      <c r="J1532" s="4" t="s">
        <v>274</v>
      </c>
      <c r="K1532" s="4" t="s">
        <v>251</v>
      </c>
      <c r="L1532" s="4" t="s">
        <v>269</v>
      </c>
      <c r="M1532" s="5" t="s">
        <v>2474</v>
      </c>
      <c r="N1532" s="6">
        <f>29</f>
        <v>29</v>
      </c>
      <c r="O1532" s="4" t="s">
        <v>265</v>
      </c>
      <c r="P1532" s="6">
        <f>1</f>
        <v>1</v>
      </c>
      <c r="Q1532" s="6">
        <f>0</f>
        <v>0</v>
      </c>
      <c r="S1532" s="6">
        <f>0</f>
        <v>0</v>
      </c>
      <c r="T1532" s="6">
        <f>1</f>
        <v>1</v>
      </c>
      <c r="U1532" s="5" t="s">
        <v>245</v>
      </c>
      <c r="V1532" s="4" t="s">
        <v>270</v>
      </c>
      <c r="W1532" s="4" t="s">
        <v>271</v>
      </c>
      <c r="X1532" s="4" t="s">
        <v>273</v>
      </c>
      <c r="Y1532" s="4" t="s">
        <v>241</v>
      </c>
      <c r="AB1532" s="4" t="s">
        <v>241</v>
      </c>
      <c r="AD1532" s="5" t="s">
        <v>241</v>
      </c>
      <c r="AG1532" s="5" t="s">
        <v>246</v>
      </c>
      <c r="AH1532" s="4" t="s">
        <v>241</v>
      </c>
      <c r="AI1532" s="4" t="s">
        <v>247</v>
      </c>
      <c r="AJ1532" s="4" t="s">
        <v>248</v>
      </c>
      <c r="AZ1532" s="4" t="s">
        <v>249</v>
      </c>
      <c r="BA1532" s="4" t="s">
        <v>241</v>
      </c>
      <c r="BB1532" s="4" t="s">
        <v>250</v>
      </c>
      <c r="BC1532" s="4" t="s">
        <v>241</v>
      </c>
      <c r="BD1532" s="4" t="s">
        <v>252</v>
      </c>
      <c r="BE1532" s="4" t="s">
        <v>241</v>
      </c>
      <c r="BI1532" s="4" t="s">
        <v>253</v>
      </c>
      <c r="BJ1532" s="5" t="s">
        <v>246</v>
      </c>
      <c r="BK1532" s="4" t="s">
        <v>254</v>
      </c>
      <c r="BL1532" s="4" t="s">
        <v>255</v>
      </c>
      <c r="BM1532" s="4" t="s">
        <v>241</v>
      </c>
      <c r="BN1532" s="6">
        <f>0</f>
        <v>0</v>
      </c>
      <c r="BO1532" s="6">
        <f>0</f>
        <v>0</v>
      </c>
      <c r="BP1532" s="4" t="s">
        <v>256</v>
      </c>
      <c r="BQ1532" s="4" t="s">
        <v>257</v>
      </c>
      <c r="CE1532" s="4" t="s">
        <v>241</v>
      </c>
      <c r="CF1532" s="4" t="s">
        <v>241</v>
      </c>
      <c r="CJ1532" s="4" t="s">
        <v>276</v>
      </c>
      <c r="CK1532" s="4" t="s">
        <v>259</v>
      </c>
      <c r="CL1532" s="4" t="s">
        <v>241</v>
      </c>
      <c r="CO1532" s="5" t="s">
        <v>260</v>
      </c>
      <c r="CP1532" s="4" t="s">
        <v>241</v>
      </c>
      <c r="CQ1532" s="4" t="s">
        <v>261</v>
      </c>
      <c r="CR1532" s="4" t="s">
        <v>241</v>
      </c>
      <c r="CS1532" s="4" t="s">
        <v>241</v>
      </c>
      <c r="CT1532" s="4">
        <v>0</v>
      </c>
      <c r="CU1532" s="4" t="s">
        <v>262</v>
      </c>
      <c r="CV1532" s="4" t="s">
        <v>263</v>
      </c>
      <c r="CW1532" s="4" t="s">
        <v>263</v>
      </c>
      <c r="CX1532" s="4" t="s">
        <v>264</v>
      </c>
      <c r="DA1532" s="6">
        <f>1</f>
        <v>1</v>
      </c>
      <c r="DC1532" s="4" t="s">
        <v>277</v>
      </c>
      <c r="DD1532" s="4" t="s">
        <v>241</v>
      </c>
      <c r="DF1532" s="4" t="s">
        <v>277</v>
      </c>
      <c r="DG1532" s="6">
        <f>29</f>
        <v>29</v>
      </c>
      <c r="DI1532" s="4" t="s">
        <v>241</v>
      </c>
      <c r="DJ1532" s="4" t="s">
        <v>241</v>
      </c>
      <c r="DK1532" s="4" t="s">
        <v>241</v>
      </c>
      <c r="DL1532" s="4" t="s">
        <v>241</v>
      </c>
      <c r="DP1532" s="4" t="s">
        <v>241</v>
      </c>
      <c r="DQ1532" s="4" t="s">
        <v>241</v>
      </c>
      <c r="DR1532" s="4" t="s">
        <v>241</v>
      </c>
      <c r="DS1532" s="4" t="s">
        <v>241</v>
      </c>
      <c r="DV1532" s="4" t="s">
        <v>278</v>
      </c>
      <c r="DW1532" s="4" t="s">
        <v>926</v>
      </c>
      <c r="HO1532" s="4" t="s">
        <v>267</v>
      </c>
    </row>
    <row r="1533" spans="1:223" ht="19.5" customHeight="1" x14ac:dyDescent="0.4">
      <c r="A1533" s="4">
        <v>1</v>
      </c>
      <c r="B1533" s="4" t="s">
        <v>239</v>
      </c>
      <c r="C1533" s="4">
        <v>3207</v>
      </c>
      <c r="D1533" s="4">
        <v>1</v>
      </c>
      <c r="E1533" s="4">
        <v>1</v>
      </c>
      <c r="F1533" s="4" t="s">
        <v>268</v>
      </c>
      <c r="G1533" s="4" t="s">
        <v>241</v>
      </c>
      <c r="H1533" s="4" t="s">
        <v>241</v>
      </c>
      <c r="I1533" s="4" t="s">
        <v>272</v>
      </c>
      <c r="J1533" s="4" t="s">
        <v>274</v>
      </c>
      <c r="K1533" s="4" t="s">
        <v>251</v>
      </c>
      <c r="L1533" s="4" t="s">
        <v>269</v>
      </c>
      <c r="M1533" s="5" t="s">
        <v>2473</v>
      </c>
      <c r="N1533" s="6">
        <f>94</f>
        <v>94</v>
      </c>
      <c r="O1533" s="4" t="s">
        <v>265</v>
      </c>
      <c r="P1533" s="6">
        <f>1</f>
        <v>1</v>
      </c>
      <c r="Q1533" s="6">
        <f>0</f>
        <v>0</v>
      </c>
      <c r="S1533" s="6">
        <f>0</f>
        <v>0</v>
      </c>
      <c r="T1533" s="6">
        <f>1</f>
        <v>1</v>
      </c>
      <c r="U1533" s="5" t="s">
        <v>245</v>
      </c>
      <c r="V1533" s="4" t="s">
        <v>270</v>
      </c>
      <c r="W1533" s="4" t="s">
        <v>271</v>
      </c>
      <c r="X1533" s="4" t="s">
        <v>273</v>
      </c>
      <c r="Y1533" s="4" t="s">
        <v>241</v>
      </c>
      <c r="AB1533" s="4" t="s">
        <v>241</v>
      </c>
      <c r="AD1533" s="5" t="s">
        <v>241</v>
      </c>
      <c r="AG1533" s="5" t="s">
        <v>246</v>
      </c>
      <c r="AH1533" s="4" t="s">
        <v>241</v>
      </c>
      <c r="AI1533" s="4" t="s">
        <v>247</v>
      </c>
      <c r="AJ1533" s="4" t="s">
        <v>248</v>
      </c>
      <c r="AZ1533" s="4" t="s">
        <v>249</v>
      </c>
      <c r="BA1533" s="4" t="s">
        <v>241</v>
      </c>
      <c r="BB1533" s="4" t="s">
        <v>250</v>
      </c>
      <c r="BC1533" s="4" t="s">
        <v>241</v>
      </c>
      <c r="BD1533" s="4" t="s">
        <v>252</v>
      </c>
      <c r="BE1533" s="4" t="s">
        <v>241</v>
      </c>
      <c r="BI1533" s="4" t="s">
        <v>253</v>
      </c>
      <c r="BJ1533" s="5" t="s">
        <v>246</v>
      </c>
      <c r="BK1533" s="4" t="s">
        <v>254</v>
      </c>
      <c r="BL1533" s="4" t="s">
        <v>255</v>
      </c>
      <c r="BM1533" s="4" t="s">
        <v>241</v>
      </c>
      <c r="BN1533" s="6">
        <f>0</f>
        <v>0</v>
      </c>
      <c r="BO1533" s="6">
        <f>0</f>
        <v>0</v>
      </c>
      <c r="BP1533" s="4" t="s">
        <v>256</v>
      </c>
      <c r="BQ1533" s="4" t="s">
        <v>257</v>
      </c>
      <c r="CE1533" s="4" t="s">
        <v>241</v>
      </c>
      <c r="CF1533" s="4" t="s">
        <v>241</v>
      </c>
      <c r="CJ1533" s="4" t="s">
        <v>276</v>
      </c>
      <c r="CK1533" s="4" t="s">
        <v>259</v>
      </c>
      <c r="CL1533" s="4" t="s">
        <v>241</v>
      </c>
      <c r="CO1533" s="5" t="s">
        <v>260</v>
      </c>
      <c r="CP1533" s="4" t="s">
        <v>241</v>
      </c>
      <c r="CQ1533" s="4" t="s">
        <v>261</v>
      </c>
      <c r="CR1533" s="4" t="s">
        <v>241</v>
      </c>
      <c r="CS1533" s="4" t="s">
        <v>241</v>
      </c>
      <c r="CT1533" s="4">
        <v>0</v>
      </c>
      <c r="CU1533" s="4" t="s">
        <v>262</v>
      </c>
      <c r="CV1533" s="4" t="s">
        <v>263</v>
      </c>
      <c r="CW1533" s="4" t="s">
        <v>263</v>
      </c>
      <c r="CX1533" s="4" t="s">
        <v>264</v>
      </c>
      <c r="DA1533" s="6">
        <f>1</f>
        <v>1</v>
      </c>
      <c r="DC1533" s="4" t="s">
        <v>277</v>
      </c>
      <c r="DD1533" s="4" t="s">
        <v>241</v>
      </c>
      <c r="DF1533" s="4" t="s">
        <v>277</v>
      </c>
      <c r="DG1533" s="6">
        <f>94</f>
        <v>94</v>
      </c>
      <c r="DI1533" s="4" t="s">
        <v>241</v>
      </c>
      <c r="DJ1533" s="4" t="s">
        <v>241</v>
      </c>
      <c r="DK1533" s="4" t="s">
        <v>241</v>
      </c>
      <c r="DL1533" s="4" t="s">
        <v>241</v>
      </c>
      <c r="DP1533" s="4" t="s">
        <v>241</v>
      </c>
      <c r="DQ1533" s="4" t="s">
        <v>241</v>
      </c>
      <c r="DR1533" s="4" t="s">
        <v>241</v>
      </c>
      <c r="DS1533" s="4" t="s">
        <v>241</v>
      </c>
      <c r="DV1533" s="4" t="s">
        <v>278</v>
      </c>
      <c r="DW1533" s="4" t="s">
        <v>932</v>
      </c>
      <c r="HO1533" s="4" t="s">
        <v>267</v>
      </c>
    </row>
    <row r="1534" spans="1:223" ht="19.5" customHeight="1" x14ac:dyDescent="0.4">
      <c r="A1534" s="4">
        <v>1</v>
      </c>
      <c r="B1534" s="4" t="s">
        <v>239</v>
      </c>
      <c r="C1534" s="4">
        <v>3208</v>
      </c>
      <c r="D1534" s="4">
        <v>1</v>
      </c>
      <c r="E1534" s="4">
        <v>1</v>
      </c>
      <c r="F1534" s="4" t="s">
        <v>268</v>
      </c>
      <c r="G1534" s="4" t="s">
        <v>241</v>
      </c>
      <c r="H1534" s="4" t="s">
        <v>241</v>
      </c>
      <c r="I1534" s="4" t="s">
        <v>272</v>
      </c>
      <c r="J1534" s="4" t="s">
        <v>274</v>
      </c>
      <c r="K1534" s="4" t="s">
        <v>251</v>
      </c>
      <c r="L1534" s="4" t="s">
        <v>269</v>
      </c>
      <c r="M1534" s="5" t="s">
        <v>2470</v>
      </c>
      <c r="N1534" s="6">
        <f>441</f>
        <v>441</v>
      </c>
      <c r="O1534" s="4" t="s">
        <v>265</v>
      </c>
      <c r="P1534" s="6">
        <f>1</f>
        <v>1</v>
      </c>
      <c r="Q1534" s="6">
        <f>0</f>
        <v>0</v>
      </c>
      <c r="S1534" s="6">
        <f>0</f>
        <v>0</v>
      </c>
      <c r="T1534" s="6">
        <f>1</f>
        <v>1</v>
      </c>
      <c r="U1534" s="5" t="s">
        <v>245</v>
      </c>
      <c r="V1534" s="4" t="s">
        <v>270</v>
      </c>
      <c r="W1534" s="4" t="s">
        <v>271</v>
      </c>
      <c r="X1534" s="4" t="s">
        <v>273</v>
      </c>
      <c r="Y1534" s="4" t="s">
        <v>241</v>
      </c>
      <c r="AB1534" s="4" t="s">
        <v>241</v>
      </c>
      <c r="AD1534" s="5" t="s">
        <v>241</v>
      </c>
      <c r="AG1534" s="5" t="s">
        <v>246</v>
      </c>
      <c r="AH1534" s="4" t="s">
        <v>241</v>
      </c>
      <c r="AI1534" s="4" t="s">
        <v>247</v>
      </c>
      <c r="AJ1534" s="4" t="s">
        <v>248</v>
      </c>
      <c r="AZ1534" s="4" t="s">
        <v>249</v>
      </c>
      <c r="BA1534" s="4" t="s">
        <v>241</v>
      </c>
      <c r="BB1534" s="4" t="s">
        <v>250</v>
      </c>
      <c r="BC1534" s="4" t="s">
        <v>241</v>
      </c>
      <c r="BD1534" s="4" t="s">
        <v>252</v>
      </c>
      <c r="BE1534" s="4" t="s">
        <v>241</v>
      </c>
      <c r="BI1534" s="4" t="s">
        <v>253</v>
      </c>
      <c r="BJ1534" s="5" t="s">
        <v>246</v>
      </c>
      <c r="BK1534" s="4" t="s">
        <v>254</v>
      </c>
      <c r="BL1534" s="4" t="s">
        <v>255</v>
      </c>
      <c r="BM1534" s="4" t="s">
        <v>241</v>
      </c>
      <c r="BN1534" s="6">
        <f>0</f>
        <v>0</v>
      </c>
      <c r="BO1534" s="6">
        <f>0</f>
        <v>0</v>
      </c>
      <c r="BP1534" s="4" t="s">
        <v>256</v>
      </c>
      <c r="BQ1534" s="4" t="s">
        <v>257</v>
      </c>
      <c r="CE1534" s="4" t="s">
        <v>241</v>
      </c>
      <c r="CF1534" s="4" t="s">
        <v>241</v>
      </c>
      <c r="CJ1534" s="4" t="s">
        <v>276</v>
      </c>
      <c r="CK1534" s="4" t="s">
        <v>259</v>
      </c>
      <c r="CL1534" s="4" t="s">
        <v>241</v>
      </c>
      <c r="CO1534" s="5" t="s">
        <v>260</v>
      </c>
      <c r="CP1534" s="4" t="s">
        <v>241</v>
      </c>
      <c r="CQ1534" s="4" t="s">
        <v>261</v>
      </c>
      <c r="CR1534" s="4" t="s">
        <v>241</v>
      </c>
      <c r="CS1534" s="4" t="s">
        <v>241</v>
      </c>
      <c r="CT1534" s="4">
        <v>0</v>
      </c>
      <c r="CU1534" s="4" t="s">
        <v>262</v>
      </c>
      <c r="CV1534" s="4" t="s">
        <v>263</v>
      </c>
      <c r="CW1534" s="4" t="s">
        <v>263</v>
      </c>
      <c r="CX1534" s="4" t="s">
        <v>264</v>
      </c>
      <c r="DA1534" s="6">
        <f>1</f>
        <v>1</v>
      </c>
      <c r="DC1534" s="4" t="s">
        <v>277</v>
      </c>
      <c r="DD1534" s="4" t="s">
        <v>241</v>
      </c>
      <c r="DF1534" s="4" t="s">
        <v>277</v>
      </c>
      <c r="DG1534" s="6">
        <f>441</f>
        <v>441</v>
      </c>
      <c r="DI1534" s="4" t="s">
        <v>241</v>
      </c>
      <c r="DJ1534" s="4" t="s">
        <v>241</v>
      </c>
      <c r="DK1534" s="4" t="s">
        <v>241</v>
      </c>
      <c r="DL1534" s="4" t="s">
        <v>241</v>
      </c>
      <c r="DP1534" s="4" t="s">
        <v>241</v>
      </c>
      <c r="DQ1534" s="4" t="s">
        <v>241</v>
      </c>
      <c r="DR1534" s="4" t="s">
        <v>241</v>
      </c>
      <c r="DS1534" s="4" t="s">
        <v>241</v>
      </c>
      <c r="DV1534" s="4" t="s">
        <v>278</v>
      </c>
      <c r="DW1534" s="4" t="s">
        <v>937</v>
      </c>
      <c r="HO1534" s="4" t="s">
        <v>267</v>
      </c>
    </row>
    <row r="1535" spans="1:223" ht="19.5" customHeight="1" x14ac:dyDescent="0.4">
      <c r="A1535" s="4">
        <v>1</v>
      </c>
      <c r="B1535" s="4" t="s">
        <v>239</v>
      </c>
      <c r="C1535" s="4">
        <v>3209</v>
      </c>
      <c r="D1535" s="4">
        <v>1</v>
      </c>
      <c r="E1535" s="4">
        <v>1</v>
      </c>
      <c r="F1535" s="4" t="s">
        <v>268</v>
      </c>
      <c r="G1535" s="4" t="s">
        <v>241</v>
      </c>
      <c r="H1535" s="4" t="s">
        <v>241</v>
      </c>
      <c r="I1535" s="4" t="s">
        <v>272</v>
      </c>
      <c r="J1535" s="4" t="s">
        <v>274</v>
      </c>
      <c r="K1535" s="4" t="s">
        <v>251</v>
      </c>
      <c r="L1535" s="4" t="s">
        <v>269</v>
      </c>
      <c r="M1535" s="5" t="s">
        <v>2467</v>
      </c>
      <c r="N1535" s="6">
        <f>2520</f>
        <v>2520</v>
      </c>
      <c r="O1535" s="4" t="s">
        <v>265</v>
      </c>
      <c r="P1535" s="6">
        <f>1</f>
        <v>1</v>
      </c>
      <c r="Q1535" s="6">
        <f>0</f>
        <v>0</v>
      </c>
      <c r="S1535" s="6">
        <f>0</f>
        <v>0</v>
      </c>
      <c r="T1535" s="6">
        <f>1</f>
        <v>1</v>
      </c>
      <c r="U1535" s="5" t="s">
        <v>245</v>
      </c>
      <c r="V1535" s="4" t="s">
        <v>270</v>
      </c>
      <c r="W1535" s="4" t="s">
        <v>271</v>
      </c>
      <c r="X1535" s="4" t="s">
        <v>273</v>
      </c>
      <c r="Y1535" s="4" t="s">
        <v>241</v>
      </c>
      <c r="AB1535" s="4" t="s">
        <v>241</v>
      </c>
      <c r="AD1535" s="5" t="s">
        <v>241</v>
      </c>
      <c r="AG1535" s="5" t="s">
        <v>246</v>
      </c>
      <c r="AH1535" s="4" t="s">
        <v>241</v>
      </c>
      <c r="AI1535" s="4" t="s">
        <v>247</v>
      </c>
      <c r="AJ1535" s="4" t="s">
        <v>248</v>
      </c>
      <c r="AZ1535" s="4" t="s">
        <v>249</v>
      </c>
      <c r="BA1535" s="4" t="s">
        <v>241</v>
      </c>
      <c r="BB1535" s="4" t="s">
        <v>250</v>
      </c>
      <c r="BC1535" s="4" t="s">
        <v>241</v>
      </c>
      <c r="BD1535" s="4" t="s">
        <v>252</v>
      </c>
      <c r="BE1535" s="4" t="s">
        <v>241</v>
      </c>
      <c r="BI1535" s="4" t="s">
        <v>253</v>
      </c>
      <c r="BJ1535" s="5" t="s">
        <v>246</v>
      </c>
      <c r="BK1535" s="4" t="s">
        <v>254</v>
      </c>
      <c r="BL1535" s="4" t="s">
        <v>255</v>
      </c>
      <c r="BM1535" s="4" t="s">
        <v>241</v>
      </c>
      <c r="BN1535" s="6">
        <f>0</f>
        <v>0</v>
      </c>
      <c r="BO1535" s="6">
        <f>0</f>
        <v>0</v>
      </c>
      <c r="BP1535" s="4" t="s">
        <v>256</v>
      </c>
      <c r="BQ1535" s="4" t="s">
        <v>257</v>
      </c>
      <c r="CE1535" s="4" t="s">
        <v>241</v>
      </c>
      <c r="CF1535" s="4" t="s">
        <v>241</v>
      </c>
      <c r="CJ1535" s="4" t="s">
        <v>276</v>
      </c>
      <c r="CK1535" s="4" t="s">
        <v>259</v>
      </c>
      <c r="CL1535" s="4" t="s">
        <v>241</v>
      </c>
      <c r="CO1535" s="5" t="s">
        <v>260</v>
      </c>
      <c r="CP1535" s="4" t="s">
        <v>241</v>
      </c>
      <c r="CQ1535" s="4" t="s">
        <v>261</v>
      </c>
      <c r="CR1535" s="4" t="s">
        <v>241</v>
      </c>
      <c r="CS1535" s="4" t="s">
        <v>241</v>
      </c>
      <c r="CT1535" s="4">
        <v>0</v>
      </c>
      <c r="CU1535" s="4" t="s">
        <v>262</v>
      </c>
      <c r="CV1535" s="4" t="s">
        <v>263</v>
      </c>
      <c r="CW1535" s="4" t="s">
        <v>263</v>
      </c>
      <c r="CX1535" s="4" t="s">
        <v>264</v>
      </c>
      <c r="DA1535" s="6">
        <f>1</f>
        <v>1</v>
      </c>
      <c r="DC1535" s="4" t="s">
        <v>277</v>
      </c>
      <c r="DD1535" s="4" t="s">
        <v>241</v>
      </c>
      <c r="DF1535" s="4" t="s">
        <v>277</v>
      </c>
      <c r="DG1535" s="6">
        <f>2520</f>
        <v>2520</v>
      </c>
      <c r="DI1535" s="4" t="s">
        <v>241</v>
      </c>
      <c r="DJ1535" s="4" t="s">
        <v>241</v>
      </c>
      <c r="DK1535" s="4" t="s">
        <v>241</v>
      </c>
      <c r="DL1535" s="4" t="s">
        <v>241</v>
      </c>
      <c r="DP1535" s="4" t="s">
        <v>241</v>
      </c>
      <c r="DQ1535" s="4" t="s">
        <v>241</v>
      </c>
      <c r="DR1535" s="4" t="s">
        <v>241</v>
      </c>
      <c r="DS1535" s="4" t="s">
        <v>241</v>
      </c>
      <c r="DV1535" s="4" t="s">
        <v>278</v>
      </c>
      <c r="DW1535" s="4" t="s">
        <v>945</v>
      </c>
      <c r="HO1535" s="4" t="s">
        <v>267</v>
      </c>
    </row>
    <row r="1536" spans="1:223" ht="19.5" customHeight="1" x14ac:dyDescent="0.4">
      <c r="A1536" s="4">
        <v>1</v>
      </c>
      <c r="B1536" s="4" t="s">
        <v>239</v>
      </c>
      <c r="C1536" s="4">
        <v>3210</v>
      </c>
      <c r="D1536" s="4">
        <v>1</v>
      </c>
      <c r="E1536" s="4">
        <v>1</v>
      </c>
      <c r="F1536" s="4" t="s">
        <v>268</v>
      </c>
      <c r="G1536" s="4" t="s">
        <v>241</v>
      </c>
      <c r="H1536" s="4" t="s">
        <v>241</v>
      </c>
      <c r="I1536" s="4" t="s">
        <v>272</v>
      </c>
      <c r="J1536" s="4" t="s">
        <v>274</v>
      </c>
      <c r="K1536" s="4" t="s">
        <v>251</v>
      </c>
      <c r="L1536" s="4" t="s">
        <v>269</v>
      </c>
      <c r="M1536" s="5" t="s">
        <v>2466</v>
      </c>
      <c r="N1536" s="6">
        <f>2101</f>
        <v>2101</v>
      </c>
      <c r="O1536" s="4" t="s">
        <v>265</v>
      </c>
      <c r="P1536" s="6">
        <f>1</f>
        <v>1</v>
      </c>
      <c r="Q1536" s="6">
        <f>0</f>
        <v>0</v>
      </c>
      <c r="S1536" s="6">
        <f>0</f>
        <v>0</v>
      </c>
      <c r="T1536" s="6">
        <f>1</f>
        <v>1</v>
      </c>
      <c r="U1536" s="5" t="s">
        <v>245</v>
      </c>
      <c r="V1536" s="4" t="s">
        <v>270</v>
      </c>
      <c r="W1536" s="4" t="s">
        <v>271</v>
      </c>
      <c r="X1536" s="4" t="s">
        <v>273</v>
      </c>
      <c r="Y1536" s="4" t="s">
        <v>241</v>
      </c>
      <c r="AB1536" s="4" t="s">
        <v>241</v>
      </c>
      <c r="AD1536" s="5" t="s">
        <v>241</v>
      </c>
      <c r="AG1536" s="5" t="s">
        <v>246</v>
      </c>
      <c r="AH1536" s="4" t="s">
        <v>241</v>
      </c>
      <c r="AI1536" s="4" t="s">
        <v>247</v>
      </c>
      <c r="AJ1536" s="4" t="s">
        <v>248</v>
      </c>
      <c r="AZ1536" s="4" t="s">
        <v>249</v>
      </c>
      <c r="BA1536" s="4" t="s">
        <v>241</v>
      </c>
      <c r="BB1536" s="4" t="s">
        <v>250</v>
      </c>
      <c r="BC1536" s="4" t="s">
        <v>241</v>
      </c>
      <c r="BD1536" s="4" t="s">
        <v>252</v>
      </c>
      <c r="BE1536" s="4" t="s">
        <v>241</v>
      </c>
      <c r="BI1536" s="4" t="s">
        <v>253</v>
      </c>
      <c r="BJ1536" s="5" t="s">
        <v>246</v>
      </c>
      <c r="BK1536" s="4" t="s">
        <v>254</v>
      </c>
      <c r="BL1536" s="4" t="s">
        <v>255</v>
      </c>
      <c r="BM1536" s="4" t="s">
        <v>241</v>
      </c>
      <c r="BN1536" s="6">
        <f>0</f>
        <v>0</v>
      </c>
      <c r="BO1536" s="6">
        <f>0</f>
        <v>0</v>
      </c>
      <c r="BP1536" s="4" t="s">
        <v>256</v>
      </c>
      <c r="BQ1536" s="4" t="s">
        <v>257</v>
      </c>
      <c r="CE1536" s="4" t="s">
        <v>241</v>
      </c>
      <c r="CF1536" s="4" t="s">
        <v>241</v>
      </c>
      <c r="CJ1536" s="4" t="s">
        <v>276</v>
      </c>
      <c r="CK1536" s="4" t="s">
        <v>259</v>
      </c>
      <c r="CL1536" s="4" t="s">
        <v>241</v>
      </c>
      <c r="CO1536" s="5" t="s">
        <v>260</v>
      </c>
      <c r="CP1536" s="4" t="s">
        <v>241</v>
      </c>
      <c r="CQ1536" s="4" t="s">
        <v>261</v>
      </c>
      <c r="CR1536" s="4" t="s">
        <v>241</v>
      </c>
      <c r="CS1536" s="4" t="s">
        <v>241</v>
      </c>
      <c r="CT1536" s="4">
        <v>0</v>
      </c>
      <c r="CU1536" s="4" t="s">
        <v>262</v>
      </c>
      <c r="CV1536" s="4" t="s">
        <v>263</v>
      </c>
      <c r="CW1536" s="4" t="s">
        <v>263</v>
      </c>
      <c r="CX1536" s="4" t="s">
        <v>264</v>
      </c>
      <c r="DA1536" s="6">
        <f>1</f>
        <v>1</v>
      </c>
      <c r="DC1536" s="4" t="s">
        <v>277</v>
      </c>
      <c r="DD1536" s="4" t="s">
        <v>241</v>
      </c>
      <c r="DF1536" s="4" t="s">
        <v>277</v>
      </c>
      <c r="DG1536" s="6">
        <f>2101</f>
        <v>2101</v>
      </c>
      <c r="DI1536" s="4" t="s">
        <v>241</v>
      </c>
      <c r="DJ1536" s="4" t="s">
        <v>241</v>
      </c>
      <c r="DK1536" s="4" t="s">
        <v>241</v>
      </c>
      <c r="DL1536" s="4" t="s">
        <v>241</v>
      </c>
      <c r="DP1536" s="4" t="s">
        <v>241</v>
      </c>
      <c r="DQ1536" s="4" t="s">
        <v>241</v>
      </c>
      <c r="DR1536" s="4" t="s">
        <v>241</v>
      </c>
      <c r="DS1536" s="4" t="s">
        <v>241</v>
      </c>
      <c r="DV1536" s="4" t="s">
        <v>278</v>
      </c>
      <c r="DW1536" s="4" t="s">
        <v>951</v>
      </c>
      <c r="HO1536" s="4" t="s">
        <v>267</v>
      </c>
    </row>
    <row r="1537" spans="1:223" ht="19.5" customHeight="1" x14ac:dyDescent="0.4">
      <c r="A1537" s="4">
        <v>1</v>
      </c>
      <c r="B1537" s="4" t="s">
        <v>239</v>
      </c>
      <c r="C1537" s="4">
        <v>3211</v>
      </c>
      <c r="D1537" s="4">
        <v>1</v>
      </c>
      <c r="E1537" s="4">
        <v>1</v>
      </c>
      <c r="F1537" s="4" t="s">
        <v>268</v>
      </c>
      <c r="G1537" s="4" t="s">
        <v>241</v>
      </c>
      <c r="H1537" s="4" t="s">
        <v>241</v>
      </c>
      <c r="I1537" s="4" t="s">
        <v>272</v>
      </c>
      <c r="J1537" s="4" t="s">
        <v>274</v>
      </c>
      <c r="K1537" s="4" t="s">
        <v>251</v>
      </c>
      <c r="L1537" s="4" t="s">
        <v>269</v>
      </c>
      <c r="M1537" s="5" t="s">
        <v>2465</v>
      </c>
      <c r="N1537" s="6">
        <f>1552</f>
        <v>1552</v>
      </c>
      <c r="O1537" s="4" t="s">
        <v>265</v>
      </c>
      <c r="P1537" s="6">
        <f>1</f>
        <v>1</v>
      </c>
      <c r="Q1537" s="6">
        <f>0</f>
        <v>0</v>
      </c>
      <c r="S1537" s="6">
        <f>0</f>
        <v>0</v>
      </c>
      <c r="T1537" s="6">
        <f>1</f>
        <v>1</v>
      </c>
      <c r="U1537" s="5" t="s">
        <v>245</v>
      </c>
      <c r="V1537" s="4" t="s">
        <v>270</v>
      </c>
      <c r="W1537" s="4" t="s">
        <v>271</v>
      </c>
      <c r="X1537" s="4" t="s">
        <v>273</v>
      </c>
      <c r="Y1537" s="4" t="s">
        <v>241</v>
      </c>
      <c r="AB1537" s="4" t="s">
        <v>241</v>
      </c>
      <c r="AD1537" s="5" t="s">
        <v>241</v>
      </c>
      <c r="AG1537" s="5" t="s">
        <v>246</v>
      </c>
      <c r="AH1537" s="4" t="s">
        <v>241</v>
      </c>
      <c r="AI1537" s="4" t="s">
        <v>247</v>
      </c>
      <c r="AJ1537" s="4" t="s">
        <v>248</v>
      </c>
      <c r="AZ1537" s="4" t="s">
        <v>249</v>
      </c>
      <c r="BA1537" s="4" t="s">
        <v>241</v>
      </c>
      <c r="BB1537" s="4" t="s">
        <v>250</v>
      </c>
      <c r="BC1537" s="4" t="s">
        <v>241</v>
      </c>
      <c r="BD1537" s="4" t="s">
        <v>252</v>
      </c>
      <c r="BE1537" s="4" t="s">
        <v>241</v>
      </c>
      <c r="BI1537" s="4" t="s">
        <v>253</v>
      </c>
      <c r="BJ1537" s="5" t="s">
        <v>246</v>
      </c>
      <c r="BK1537" s="4" t="s">
        <v>254</v>
      </c>
      <c r="BL1537" s="4" t="s">
        <v>255</v>
      </c>
      <c r="BM1537" s="4" t="s">
        <v>241</v>
      </c>
      <c r="BN1537" s="6">
        <f>0</f>
        <v>0</v>
      </c>
      <c r="BO1537" s="6">
        <f>0</f>
        <v>0</v>
      </c>
      <c r="BP1537" s="4" t="s">
        <v>256</v>
      </c>
      <c r="BQ1537" s="4" t="s">
        <v>257</v>
      </c>
      <c r="CE1537" s="4" t="s">
        <v>241</v>
      </c>
      <c r="CF1537" s="4" t="s">
        <v>241</v>
      </c>
      <c r="CJ1537" s="4" t="s">
        <v>276</v>
      </c>
      <c r="CK1537" s="4" t="s">
        <v>259</v>
      </c>
      <c r="CL1537" s="4" t="s">
        <v>241</v>
      </c>
      <c r="CO1537" s="5" t="s">
        <v>260</v>
      </c>
      <c r="CP1537" s="4" t="s">
        <v>241</v>
      </c>
      <c r="CQ1537" s="4" t="s">
        <v>261</v>
      </c>
      <c r="CR1537" s="4" t="s">
        <v>241</v>
      </c>
      <c r="CS1537" s="4" t="s">
        <v>241</v>
      </c>
      <c r="CT1537" s="4">
        <v>0</v>
      </c>
      <c r="CU1537" s="4" t="s">
        <v>262</v>
      </c>
      <c r="CV1537" s="4" t="s">
        <v>263</v>
      </c>
      <c r="CW1537" s="4" t="s">
        <v>263</v>
      </c>
      <c r="CX1537" s="4" t="s">
        <v>264</v>
      </c>
      <c r="DA1537" s="6">
        <f>1</f>
        <v>1</v>
      </c>
      <c r="DC1537" s="4" t="s">
        <v>277</v>
      </c>
      <c r="DD1537" s="4" t="s">
        <v>241</v>
      </c>
      <c r="DF1537" s="4" t="s">
        <v>277</v>
      </c>
      <c r="DG1537" s="6">
        <f>1552</f>
        <v>1552</v>
      </c>
      <c r="DI1537" s="4" t="s">
        <v>241</v>
      </c>
      <c r="DJ1537" s="4" t="s">
        <v>241</v>
      </c>
      <c r="DK1537" s="4" t="s">
        <v>241</v>
      </c>
      <c r="DL1537" s="4" t="s">
        <v>241</v>
      </c>
      <c r="DP1537" s="4" t="s">
        <v>241</v>
      </c>
      <c r="DQ1537" s="4" t="s">
        <v>241</v>
      </c>
      <c r="DR1537" s="4" t="s">
        <v>241</v>
      </c>
      <c r="DS1537" s="4" t="s">
        <v>241</v>
      </c>
      <c r="DV1537" s="4" t="s">
        <v>278</v>
      </c>
      <c r="DW1537" s="4" t="s">
        <v>956</v>
      </c>
      <c r="HO1537" s="4" t="s">
        <v>267</v>
      </c>
    </row>
    <row r="1538" spans="1:223" ht="19.5" customHeight="1" x14ac:dyDescent="0.4">
      <c r="A1538" s="4">
        <v>1</v>
      </c>
      <c r="B1538" s="4" t="s">
        <v>239</v>
      </c>
      <c r="C1538" s="4">
        <v>3212</v>
      </c>
      <c r="D1538" s="4">
        <v>1</v>
      </c>
      <c r="E1538" s="4">
        <v>1</v>
      </c>
      <c r="F1538" s="4" t="s">
        <v>268</v>
      </c>
      <c r="G1538" s="4" t="s">
        <v>241</v>
      </c>
      <c r="H1538" s="4" t="s">
        <v>241</v>
      </c>
      <c r="I1538" s="4" t="s">
        <v>272</v>
      </c>
      <c r="J1538" s="4" t="s">
        <v>274</v>
      </c>
      <c r="K1538" s="4" t="s">
        <v>251</v>
      </c>
      <c r="L1538" s="4" t="s">
        <v>269</v>
      </c>
      <c r="M1538" s="5" t="s">
        <v>2464</v>
      </c>
      <c r="N1538" s="6">
        <f>1467</f>
        <v>1467</v>
      </c>
      <c r="O1538" s="4" t="s">
        <v>265</v>
      </c>
      <c r="P1538" s="6">
        <f>1</f>
        <v>1</v>
      </c>
      <c r="Q1538" s="6">
        <f>0</f>
        <v>0</v>
      </c>
      <c r="S1538" s="6">
        <f>0</f>
        <v>0</v>
      </c>
      <c r="T1538" s="6">
        <f>1</f>
        <v>1</v>
      </c>
      <c r="U1538" s="5" t="s">
        <v>245</v>
      </c>
      <c r="V1538" s="4" t="s">
        <v>270</v>
      </c>
      <c r="W1538" s="4" t="s">
        <v>271</v>
      </c>
      <c r="X1538" s="4" t="s">
        <v>273</v>
      </c>
      <c r="Y1538" s="4" t="s">
        <v>241</v>
      </c>
      <c r="AB1538" s="4" t="s">
        <v>241</v>
      </c>
      <c r="AD1538" s="5" t="s">
        <v>241</v>
      </c>
      <c r="AG1538" s="5" t="s">
        <v>246</v>
      </c>
      <c r="AH1538" s="4" t="s">
        <v>241</v>
      </c>
      <c r="AI1538" s="4" t="s">
        <v>247</v>
      </c>
      <c r="AJ1538" s="4" t="s">
        <v>248</v>
      </c>
      <c r="AZ1538" s="4" t="s">
        <v>249</v>
      </c>
      <c r="BA1538" s="4" t="s">
        <v>241</v>
      </c>
      <c r="BB1538" s="4" t="s">
        <v>250</v>
      </c>
      <c r="BC1538" s="4" t="s">
        <v>241</v>
      </c>
      <c r="BD1538" s="4" t="s">
        <v>252</v>
      </c>
      <c r="BE1538" s="4" t="s">
        <v>241</v>
      </c>
      <c r="BI1538" s="4" t="s">
        <v>253</v>
      </c>
      <c r="BJ1538" s="5" t="s">
        <v>246</v>
      </c>
      <c r="BK1538" s="4" t="s">
        <v>254</v>
      </c>
      <c r="BL1538" s="4" t="s">
        <v>255</v>
      </c>
      <c r="BM1538" s="4" t="s">
        <v>241</v>
      </c>
      <c r="BN1538" s="6">
        <f>0</f>
        <v>0</v>
      </c>
      <c r="BO1538" s="6">
        <f>0</f>
        <v>0</v>
      </c>
      <c r="BP1538" s="4" t="s">
        <v>256</v>
      </c>
      <c r="BQ1538" s="4" t="s">
        <v>257</v>
      </c>
      <c r="CE1538" s="4" t="s">
        <v>241</v>
      </c>
      <c r="CF1538" s="4" t="s">
        <v>241</v>
      </c>
      <c r="CJ1538" s="4" t="s">
        <v>276</v>
      </c>
      <c r="CK1538" s="4" t="s">
        <v>259</v>
      </c>
      <c r="CL1538" s="4" t="s">
        <v>241</v>
      </c>
      <c r="CO1538" s="5" t="s">
        <v>260</v>
      </c>
      <c r="CP1538" s="4" t="s">
        <v>241</v>
      </c>
      <c r="CQ1538" s="4" t="s">
        <v>261</v>
      </c>
      <c r="CR1538" s="4" t="s">
        <v>241</v>
      </c>
      <c r="CS1538" s="4" t="s">
        <v>241</v>
      </c>
      <c r="CT1538" s="4">
        <v>0</v>
      </c>
      <c r="CU1538" s="4" t="s">
        <v>262</v>
      </c>
      <c r="CV1538" s="4" t="s">
        <v>263</v>
      </c>
      <c r="CW1538" s="4" t="s">
        <v>263</v>
      </c>
      <c r="CX1538" s="4" t="s">
        <v>264</v>
      </c>
      <c r="DA1538" s="6">
        <f>1</f>
        <v>1</v>
      </c>
      <c r="DC1538" s="4" t="s">
        <v>277</v>
      </c>
      <c r="DD1538" s="4" t="s">
        <v>241</v>
      </c>
      <c r="DF1538" s="4" t="s">
        <v>277</v>
      </c>
      <c r="DG1538" s="6">
        <f>1467</f>
        <v>1467</v>
      </c>
      <c r="DI1538" s="4" t="s">
        <v>241</v>
      </c>
      <c r="DJ1538" s="4" t="s">
        <v>241</v>
      </c>
      <c r="DK1538" s="4" t="s">
        <v>241</v>
      </c>
      <c r="DL1538" s="4" t="s">
        <v>241</v>
      </c>
      <c r="DP1538" s="4" t="s">
        <v>241</v>
      </c>
      <c r="DQ1538" s="4" t="s">
        <v>241</v>
      </c>
      <c r="DR1538" s="4" t="s">
        <v>241</v>
      </c>
      <c r="DS1538" s="4" t="s">
        <v>241</v>
      </c>
      <c r="DV1538" s="4" t="s">
        <v>278</v>
      </c>
      <c r="DW1538" s="4" t="s">
        <v>962</v>
      </c>
      <c r="HO1538" s="4" t="s">
        <v>267</v>
      </c>
    </row>
    <row r="1539" spans="1:223" ht="19.5" customHeight="1" x14ac:dyDescent="0.4">
      <c r="A1539" s="4">
        <v>1</v>
      </c>
      <c r="B1539" s="4" t="s">
        <v>239</v>
      </c>
      <c r="C1539" s="4">
        <v>3213</v>
      </c>
      <c r="D1539" s="4">
        <v>1</v>
      </c>
      <c r="E1539" s="4">
        <v>1</v>
      </c>
      <c r="F1539" s="4" t="s">
        <v>268</v>
      </c>
      <c r="G1539" s="4" t="s">
        <v>241</v>
      </c>
      <c r="H1539" s="4" t="s">
        <v>241</v>
      </c>
      <c r="I1539" s="4" t="s">
        <v>272</v>
      </c>
      <c r="J1539" s="4" t="s">
        <v>274</v>
      </c>
      <c r="K1539" s="4" t="s">
        <v>251</v>
      </c>
      <c r="L1539" s="4" t="s">
        <v>269</v>
      </c>
      <c r="M1539" s="5" t="s">
        <v>2462</v>
      </c>
      <c r="N1539" s="6">
        <f>8131</f>
        <v>8131</v>
      </c>
      <c r="O1539" s="4" t="s">
        <v>265</v>
      </c>
      <c r="P1539" s="6">
        <f>1</f>
        <v>1</v>
      </c>
      <c r="Q1539" s="6">
        <f>0</f>
        <v>0</v>
      </c>
      <c r="S1539" s="6">
        <f>0</f>
        <v>0</v>
      </c>
      <c r="T1539" s="6">
        <f>1</f>
        <v>1</v>
      </c>
      <c r="U1539" s="5" t="s">
        <v>245</v>
      </c>
      <c r="V1539" s="4" t="s">
        <v>270</v>
      </c>
      <c r="W1539" s="4" t="s">
        <v>271</v>
      </c>
      <c r="X1539" s="4" t="s">
        <v>273</v>
      </c>
      <c r="Y1539" s="4" t="s">
        <v>241</v>
      </c>
      <c r="AB1539" s="4" t="s">
        <v>241</v>
      </c>
      <c r="AD1539" s="5" t="s">
        <v>241</v>
      </c>
      <c r="AG1539" s="5" t="s">
        <v>246</v>
      </c>
      <c r="AH1539" s="4" t="s">
        <v>241</v>
      </c>
      <c r="AI1539" s="4" t="s">
        <v>247</v>
      </c>
      <c r="AJ1539" s="4" t="s">
        <v>248</v>
      </c>
      <c r="AZ1539" s="4" t="s">
        <v>249</v>
      </c>
      <c r="BA1539" s="4" t="s">
        <v>241</v>
      </c>
      <c r="BB1539" s="4" t="s">
        <v>250</v>
      </c>
      <c r="BC1539" s="4" t="s">
        <v>241</v>
      </c>
      <c r="BD1539" s="4" t="s">
        <v>252</v>
      </c>
      <c r="BE1539" s="4" t="s">
        <v>241</v>
      </c>
      <c r="BI1539" s="4" t="s">
        <v>253</v>
      </c>
      <c r="BJ1539" s="5" t="s">
        <v>246</v>
      </c>
      <c r="BK1539" s="4" t="s">
        <v>254</v>
      </c>
      <c r="BL1539" s="4" t="s">
        <v>255</v>
      </c>
      <c r="BM1539" s="4" t="s">
        <v>241</v>
      </c>
      <c r="BN1539" s="6">
        <f>0</f>
        <v>0</v>
      </c>
      <c r="BO1539" s="6">
        <f>0</f>
        <v>0</v>
      </c>
      <c r="BP1539" s="4" t="s">
        <v>256</v>
      </c>
      <c r="BQ1539" s="4" t="s">
        <v>257</v>
      </c>
      <c r="CE1539" s="4" t="s">
        <v>241</v>
      </c>
      <c r="CF1539" s="4" t="s">
        <v>241</v>
      </c>
      <c r="CJ1539" s="4" t="s">
        <v>276</v>
      </c>
      <c r="CK1539" s="4" t="s">
        <v>259</v>
      </c>
      <c r="CL1539" s="4" t="s">
        <v>241</v>
      </c>
      <c r="CO1539" s="5" t="s">
        <v>260</v>
      </c>
      <c r="CP1539" s="4" t="s">
        <v>241</v>
      </c>
      <c r="CQ1539" s="4" t="s">
        <v>261</v>
      </c>
      <c r="CR1539" s="4" t="s">
        <v>241</v>
      </c>
      <c r="CS1539" s="4" t="s">
        <v>241</v>
      </c>
      <c r="CT1539" s="4">
        <v>0</v>
      </c>
      <c r="CU1539" s="4" t="s">
        <v>262</v>
      </c>
      <c r="CV1539" s="4" t="s">
        <v>263</v>
      </c>
      <c r="CW1539" s="4" t="s">
        <v>263</v>
      </c>
      <c r="CX1539" s="4" t="s">
        <v>264</v>
      </c>
      <c r="DA1539" s="6">
        <f>1</f>
        <v>1</v>
      </c>
      <c r="DC1539" s="4" t="s">
        <v>277</v>
      </c>
      <c r="DD1539" s="4" t="s">
        <v>241</v>
      </c>
      <c r="DF1539" s="4" t="s">
        <v>277</v>
      </c>
      <c r="DG1539" s="6">
        <f>8131</f>
        <v>8131</v>
      </c>
      <c r="DI1539" s="4" t="s">
        <v>241</v>
      </c>
      <c r="DJ1539" s="4" t="s">
        <v>241</v>
      </c>
      <c r="DK1539" s="4" t="s">
        <v>241</v>
      </c>
      <c r="DL1539" s="4" t="s">
        <v>241</v>
      </c>
      <c r="DP1539" s="4" t="s">
        <v>241</v>
      </c>
      <c r="DQ1539" s="4" t="s">
        <v>241</v>
      </c>
      <c r="DR1539" s="4" t="s">
        <v>241</v>
      </c>
      <c r="DS1539" s="4" t="s">
        <v>241</v>
      </c>
      <c r="DV1539" s="4" t="s">
        <v>278</v>
      </c>
      <c r="DW1539" s="4" t="s">
        <v>2463</v>
      </c>
      <c r="HO1539" s="4" t="s">
        <v>267</v>
      </c>
    </row>
    <row r="1540" spans="1:223" ht="19.5" customHeight="1" x14ac:dyDescent="0.4">
      <c r="A1540" s="4">
        <v>1</v>
      </c>
      <c r="B1540" s="4" t="s">
        <v>239</v>
      </c>
      <c r="C1540" s="4">
        <v>3214</v>
      </c>
      <c r="D1540" s="4">
        <v>1</v>
      </c>
      <c r="E1540" s="4">
        <v>1</v>
      </c>
      <c r="F1540" s="4" t="s">
        <v>268</v>
      </c>
      <c r="G1540" s="4" t="s">
        <v>241</v>
      </c>
      <c r="H1540" s="4" t="s">
        <v>241</v>
      </c>
      <c r="I1540" s="4" t="s">
        <v>272</v>
      </c>
      <c r="J1540" s="4" t="s">
        <v>274</v>
      </c>
      <c r="K1540" s="4" t="s">
        <v>251</v>
      </c>
      <c r="L1540" s="4" t="s">
        <v>269</v>
      </c>
      <c r="M1540" s="5" t="s">
        <v>2460</v>
      </c>
      <c r="N1540" s="6">
        <f>8161</f>
        <v>8161</v>
      </c>
      <c r="O1540" s="4" t="s">
        <v>265</v>
      </c>
      <c r="P1540" s="6">
        <f>1</f>
        <v>1</v>
      </c>
      <c r="Q1540" s="6">
        <f>0</f>
        <v>0</v>
      </c>
      <c r="S1540" s="6">
        <f>0</f>
        <v>0</v>
      </c>
      <c r="T1540" s="6">
        <f>1</f>
        <v>1</v>
      </c>
      <c r="U1540" s="5" t="s">
        <v>245</v>
      </c>
      <c r="V1540" s="4" t="s">
        <v>270</v>
      </c>
      <c r="W1540" s="4" t="s">
        <v>271</v>
      </c>
      <c r="X1540" s="4" t="s">
        <v>273</v>
      </c>
      <c r="Y1540" s="4" t="s">
        <v>241</v>
      </c>
      <c r="AB1540" s="4" t="s">
        <v>241</v>
      </c>
      <c r="AD1540" s="5" t="s">
        <v>241</v>
      </c>
      <c r="AG1540" s="5" t="s">
        <v>246</v>
      </c>
      <c r="AH1540" s="4" t="s">
        <v>241</v>
      </c>
      <c r="AI1540" s="4" t="s">
        <v>247</v>
      </c>
      <c r="AJ1540" s="4" t="s">
        <v>248</v>
      </c>
      <c r="AZ1540" s="4" t="s">
        <v>249</v>
      </c>
      <c r="BA1540" s="4" t="s">
        <v>241</v>
      </c>
      <c r="BB1540" s="4" t="s">
        <v>250</v>
      </c>
      <c r="BC1540" s="4" t="s">
        <v>241</v>
      </c>
      <c r="BD1540" s="4" t="s">
        <v>252</v>
      </c>
      <c r="BE1540" s="4" t="s">
        <v>241</v>
      </c>
      <c r="BI1540" s="4" t="s">
        <v>253</v>
      </c>
      <c r="BJ1540" s="5" t="s">
        <v>246</v>
      </c>
      <c r="BK1540" s="4" t="s">
        <v>254</v>
      </c>
      <c r="BL1540" s="4" t="s">
        <v>255</v>
      </c>
      <c r="BM1540" s="4" t="s">
        <v>241</v>
      </c>
      <c r="BN1540" s="6">
        <f>0</f>
        <v>0</v>
      </c>
      <c r="BO1540" s="6">
        <f>0</f>
        <v>0</v>
      </c>
      <c r="BP1540" s="4" t="s">
        <v>256</v>
      </c>
      <c r="BQ1540" s="4" t="s">
        <v>257</v>
      </c>
      <c r="CE1540" s="4" t="s">
        <v>241</v>
      </c>
      <c r="CF1540" s="4" t="s">
        <v>241</v>
      </c>
      <c r="CJ1540" s="4" t="s">
        <v>276</v>
      </c>
      <c r="CK1540" s="4" t="s">
        <v>259</v>
      </c>
      <c r="CL1540" s="4" t="s">
        <v>241</v>
      </c>
      <c r="CO1540" s="5" t="s">
        <v>260</v>
      </c>
      <c r="CP1540" s="4" t="s">
        <v>241</v>
      </c>
      <c r="CQ1540" s="4" t="s">
        <v>261</v>
      </c>
      <c r="CR1540" s="4" t="s">
        <v>241</v>
      </c>
      <c r="CS1540" s="4" t="s">
        <v>241</v>
      </c>
      <c r="CT1540" s="4">
        <v>0</v>
      </c>
      <c r="CU1540" s="4" t="s">
        <v>262</v>
      </c>
      <c r="CV1540" s="4" t="s">
        <v>263</v>
      </c>
      <c r="CW1540" s="4" t="s">
        <v>263</v>
      </c>
      <c r="CX1540" s="4" t="s">
        <v>264</v>
      </c>
      <c r="DA1540" s="6">
        <f>1</f>
        <v>1</v>
      </c>
      <c r="DC1540" s="4" t="s">
        <v>277</v>
      </c>
      <c r="DD1540" s="4" t="s">
        <v>241</v>
      </c>
      <c r="DF1540" s="4" t="s">
        <v>277</v>
      </c>
      <c r="DG1540" s="6">
        <f>8161</f>
        <v>8161</v>
      </c>
      <c r="DI1540" s="4" t="s">
        <v>241</v>
      </c>
      <c r="DJ1540" s="4" t="s">
        <v>241</v>
      </c>
      <c r="DK1540" s="4" t="s">
        <v>241</v>
      </c>
      <c r="DL1540" s="4" t="s">
        <v>241</v>
      </c>
      <c r="DP1540" s="4" t="s">
        <v>241</v>
      </c>
      <c r="DQ1540" s="4" t="s">
        <v>241</v>
      </c>
      <c r="DR1540" s="4" t="s">
        <v>241</v>
      </c>
      <c r="DS1540" s="4" t="s">
        <v>241</v>
      </c>
      <c r="DV1540" s="4" t="s">
        <v>278</v>
      </c>
      <c r="DW1540" s="4" t="s">
        <v>2461</v>
      </c>
      <c r="HO1540" s="4" t="s">
        <v>267</v>
      </c>
    </row>
    <row r="1541" spans="1:223" ht="19.5" customHeight="1" x14ac:dyDescent="0.4">
      <c r="A1541" s="4">
        <v>1</v>
      </c>
      <c r="B1541" s="4" t="s">
        <v>239</v>
      </c>
      <c r="C1541" s="4">
        <v>3215</v>
      </c>
      <c r="D1541" s="4">
        <v>1</v>
      </c>
      <c r="E1541" s="4">
        <v>1</v>
      </c>
      <c r="F1541" s="4" t="s">
        <v>268</v>
      </c>
      <c r="G1541" s="4" t="s">
        <v>241</v>
      </c>
      <c r="H1541" s="4" t="s">
        <v>241</v>
      </c>
      <c r="I1541" s="4" t="s">
        <v>272</v>
      </c>
      <c r="J1541" s="4" t="s">
        <v>274</v>
      </c>
      <c r="K1541" s="4" t="s">
        <v>251</v>
      </c>
      <c r="L1541" s="4" t="s">
        <v>269</v>
      </c>
      <c r="M1541" s="5" t="s">
        <v>2458</v>
      </c>
      <c r="N1541" s="6">
        <f>979</f>
        <v>979</v>
      </c>
      <c r="O1541" s="4" t="s">
        <v>265</v>
      </c>
      <c r="P1541" s="6">
        <f>1</f>
        <v>1</v>
      </c>
      <c r="Q1541" s="6">
        <f>0</f>
        <v>0</v>
      </c>
      <c r="S1541" s="6">
        <f>0</f>
        <v>0</v>
      </c>
      <c r="T1541" s="6">
        <f>1</f>
        <v>1</v>
      </c>
      <c r="U1541" s="5" t="s">
        <v>245</v>
      </c>
      <c r="V1541" s="4" t="s">
        <v>270</v>
      </c>
      <c r="W1541" s="4" t="s">
        <v>271</v>
      </c>
      <c r="X1541" s="4" t="s">
        <v>273</v>
      </c>
      <c r="Y1541" s="4" t="s">
        <v>241</v>
      </c>
      <c r="AB1541" s="4" t="s">
        <v>241</v>
      </c>
      <c r="AD1541" s="5" t="s">
        <v>241</v>
      </c>
      <c r="AG1541" s="5" t="s">
        <v>246</v>
      </c>
      <c r="AH1541" s="4" t="s">
        <v>241</v>
      </c>
      <c r="AI1541" s="4" t="s">
        <v>247</v>
      </c>
      <c r="AJ1541" s="4" t="s">
        <v>248</v>
      </c>
      <c r="AZ1541" s="4" t="s">
        <v>249</v>
      </c>
      <c r="BA1541" s="4" t="s">
        <v>241</v>
      </c>
      <c r="BB1541" s="4" t="s">
        <v>250</v>
      </c>
      <c r="BC1541" s="4" t="s">
        <v>241</v>
      </c>
      <c r="BD1541" s="4" t="s">
        <v>252</v>
      </c>
      <c r="BE1541" s="4" t="s">
        <v>241</v>
      </c>
      <c r="BI1541" s="4" t="s">
        <v>253</v>
      </c>
      <c r="BJ1541" s="5" t="s">
        <v>246</v>
      </c>
      <c r="BK1541" s="4" t="s">
        <v>254</v>
      </c>
      <c r="BL1541" s="4" t="s">
        <v>255</v>
      </c>
      <c r="BM1541" s="4" t="s">
        <v>241</v>
      </c>
      <c r="BN1541" s="6">
        <f>0</f>
        <v>0</v>
      </c>
      <c r="BO1541" s="6">
        <f>0</f>
        <v>0</v>
      </c>
      <c r="BP1541" s="4" t="s">
        <v>256</v>
      </c>
      <c r="BQ1541" s="4" t="s">
        <v>257</v>
      </c>
      <c r="CE1541" s="4" t="s">
        <v>241</v>
      </c>
      <c r="CF1541" s="4" t="s">
        <v>241</v>
      </c>
      <c r="CJ1541" s="4" t="s">
        <v>276</v>
      </c>
      <c r="CK1541" s="4" t="s">
        <v>259</v>
      </c>
      <c r="CL1541" s="4" t="s">
        <v>241</v>
      </c>
      <c r="CO1541" s="5" t="s">
        <v>260</v>
      </c>
      <c r="CP1541" s="4" t="s">
        <v>241</v>
      </c>
      <c r="CQ1541" s="4" t="s">
        <v>261</v>
      </c>
      <c r="CR1541" s="4" t="s">
        <v>241</v>
      </c>
      <c r="CS1541" s="4" t="s">
        <v>241</v>
      </c>
      <c r="CT1541" s="4">
        <v>0</v>
      </c>
      <c r="CU1541" s="4" t="s">
        <v>262</v>
      </c>
      <c r="CV1541" s="4" t="s">
        <v>263</v>
      </c>
      <c r="CW1541" s="4" t="s">
        <v>263</v>
      </c>
      <c r="CX1541" s="4" t="s">
        <v>264</v>
      </c>
      <c r="DA1541" s="6">
        <f>1</f>
        <v>1</v>
      </c>
      <c r="DC1541" s="4" t="s">
        <v>277</v>
      </c>
      <c r="DD1541" s="4" t="s">
        <v>241</v>
      </c>
      <c r="DF1541" s="4" t="s">
        <v>277</v>
      </c>
      <c r="DG1541" s="6">
        <f>979</f>
        <v>979</v>
      </c>
      <c r="DI1541" s="4" t="s">
        <v>241</v>
      </c>
      <c r="DJ1541" s="4" t="s">
        <v>241</v>
      </c>
      <c r="DK1541" s="4" t="s">
        <v>241</v>
      </c>
      <c r="DL1541" s="4" t="s">
        <v>241</v>
      </c>
      <c r="DP1541" s="4" t="s">
        <v>241</v>
      </c>
      <c r="DQ1541" s="4" t="s">
        <v>241</v>
      </c>
      <c r="DR1541" s="4" t="s">
        <v>241</v>
      </c>
      <c r="DS1541" s="4" t="s">
        <v>241</v>
      </c>
      <c r="DV1541" s="4" t="s">
        <v>278</v>
      </c>
      <c r="DW1541" s="4" t="s">
        <v>2459</v>
      </c>
      <c r="HO1541" s="4" t="s">
        <v>267</v>
      </c>
    </row>
    <row r="1542" spans="1:223" ht="19.5" customHeight="1" x14ac:dyDescent="0.4">
      <c r="A1542" s="4">
        <v>1</v>
      </c>
      <c r="B1542" s="4" t="s">
        <v>239</v>
      </c>
      <c r="C1542" s="4">
        <v>3216</v>
      </c>
      <c r="D1542" s="4">
        <v>1</v>
      </c>
      <c r="E1542" s="4">
        <v>1</v>
      </c>
      <c r="F1542" s="4" t="s">
        <v>268</v>
      </c>
      <c r="G1542" s="4" t="s">
        <v>241</v>
      </c>
      <c r="H1542" s="4" t="s">
        <v>241</v>
      </c>
      <c r="I1542" s="4" t="s">
        <v>272</v>
      </c>
      <c r="J1542" s="4" t="s">
        <v>274</v>
      </c>
      <c r="K1542" s="4" t="s">
        <v>251</v>
      </c>
      <c r="L1542" s="4" t="s">
        <v>269</v>
      </c>
      <c r="M1542" s="5" t="s">
        <v>2456</v>
      </c>
      <c r="N1542" s="6">
        <f>102</f>
        <v>102</v>
      </c>
      <c r="O1542" s="4" t="s">
        <v>265</v>
      </c>
      <c r="P1542" s="6">
        <f>1</f>
        <v>1</v>
      </c>
      <c r="Q1542" s="6">
        <f>0</f>
        <v>0</v>
      </c>
      <c r="S1542" s="6">
        <f>0</f>
        <v>0</v>
      </c>
      <c r="T1542" s="6">
        <f>1</f>
        <v>1</v>
      </c>
      <c r="U1542" s="5" t="s">
        <v>245</v>
      </c>
      <c r="V1542" s="4" t="s">
        <v>270</v>
      </c>
      <c r="W1542" s="4" t="s">
        <v>271</v>
      </c>
      <c r="X1542" s="4" t="s">
        <v>273</v>
      </c>
      <c r="Y1542" s="4" t="s">
        <v>241</v>
      </c>
      <c r="AB1542" s="4" t="s">
        <v>241</v>
      </c>
      <c r="AD1542" s="5" t="s">
        <v>241</v>
      </c>
      <c r="AG1542" s="5" t="s">
        <v>246</v>
      </c>
      <c r="AH1542" s="4" t="s">
        <v>241</v>
      </c>
      <c r="AI1542" s="4" t="s">
        <v>247</v>
      </c>
      <c r="AJ1542" s="4" t="s">
        <v>248</v>
      </c>
      <c r="AZ1542" s="4" t="s">
        <v>249</v>
      </c>
      <c r="BA1542" s="4" t="s">
        <v>241</v>
      </c>
      <c r="BB1542" s="4" t="s">
        <v>250</v>
      </c>
      <c r="BC1542" s="4" t="s">
        <v>241</v>
      </c>
      <c r="BD1542" s="4" t="s">
        <v>252</v>
      </c>
      <c r="BE1542" s="4" t="s">
        <v>241</v>
      </c>
      <c r="BI1542" s="4" t="s">
        <v>253</v>
      </c>
      <c r="BJ1542" s="5" t="s">
        <v>246</v>
      </c>
      <c r="BK1542" s="4" t="s">
        <v>254</v>
      </c>
      <c r="BL1542" s="4" t="s">
        <v>255</v>
      </c>
      <c r="BM1542" s="4" t="s">
        <v>241</v>
      </c>
      <c r="BN1542" s="6">
        <f>0</f>
        <v>0</v>
      </c>
      <c r="BO1542" s="6">
        <f>0</f>
        <v>0</v>
      </c>
      <c r="BP1542" s="4" t="s">
        <v>256</v>
      </c>
      <c r="BQ1542" s="4" t="s">
        <v>257</v>
      </c>
      <c r="CE1542" s="4" t="s">
        <v>241</v>
      </c>
      <c r="CF1542" s="4" t="s">
        <v>241</v>
      </c>
      <c r="CJ1542" s="4" t="s">
        <v>276</v>
      </c>
      <c r="CK1542" s="4" t="s">
        <v>259</v>
      </c>
      <c r="CL1542" s="4" t="s">
        <v>241</v>
      </c>
      <c r="CO1542" s="5" t="s">
        <v>260</v>
      </c>
      <c r="CP1542" s="4" t="s">
        <v>241</v>
      </c>
      <c r="CQ1542" s="4" t="s">
        <v>261</v>
      </c>
      <c r="CR1542" s="4" t="s">
        <v>241</v>
      </c>
      <c r="CS1542" s="4" t="s">
        <v>241</v>
      </c>
      <c r="CT1542" s="4">
        <v>0</v>
      </c>
      <c r="CU1542" s="4" t="s">
        <v>262</v>
      </c>
      <c r="CV1542" s="4" t="s">
        <v>263</v>
      </c>
      <c r="CW1542" s="4" t="s">
        <v>263</v>
      </c>
      <c r="CX1542" s="4" t="s">
        <v>264</v>
      </c>
      <c r="DA1542" s="6">
        <f>1</f>
        <v>1</v>
      </c>
      <c r="DC1542" s="4" t="s">
        <v>277</v>
      </c>
      <c r="DD1542" s="4" t="s">
        <v>241</v>
      </c>
      <c r="DF1542" s="4" t="s">
        <v>277</v>
      </c>
      <c r="DG1542" s="6">
        <f>102</f>
        <v>102</v>
      </c>
      <c r="DI1542" s="4" t="s">
        <v>241</v>
      </c>
      <c r="DJ1542" s="4" t="s">
        <v>241</v>
      </c>
      <c r="DK1542" s="4" t="s">
        <v>241</v>
      </c>
      <c r="DL1542" s="4" t="s">
        <v>241</v>
      </c>
      <c r="DP1542" s="4" t="s">
        <v>241</v>
      </c>
      <c r="DQ1542" s="4" t="s">
        <v>241</v>
      </c>
      <c r="DR1542" s="4" t="s">
        <v>241</v>
      </c>
      <c r="DS1542" s="4" t="s">
        <v>241</v>
      </c>
      <c r="DV1542" s="4" t="s">
        <v>278</v>
      </c>
      <c r="DW1542" s="4" t="s">
        <v>2457</v>
      </c>
      <c r="HO1542" s="4" t="s">
        <v>267</v>
      </c>
    </row>
    <row r="1543" spans="1:223" ht="19.5" customHeight="1" x14ac:dyDescent="0.4">
      <c r="A1543" s="4">
        <v>1</v>
      </c>
      <c r="B1543" s="4" t="s">
        <v>239</v>
      </c>
      <c r="C1543" s="4">
        <v>3217</v>
      </c>
      <c r="D1543" s="4">
        <v>1</v>
      </c>
      <c r="E1543" s="4">
        <v>1</v>
      </c>
      <c r="F1543" s="4" t="s">
        <v>268</v>
      </c>
      <c r="G1543" s="4" t="s">
        <v>241</v>
      </c>
      <c r="H1543" s="4" t="s">
        <v>241</v>
      </c>
      <c r="I1543" s="4" t="s">
        <v>272</v>
      </c>
      <c r="J1543" s="4" t="s">
        <v>274</v>
      </c>
      <c r="K1543" s="4" t="s">
        <v>251</v>
      </c>
      <c r="L1543" s="4" t="s">
        <v>269</v>
      </c>
      <c r="M1543" s="5" t="s">
        <v>2454</v>
      </c>
      <c r="N1543" s="6">
        <f>290</f>
        <v>290</v>
      </c>
      <c r="O1543" s="4" t="s">
        <v>265</v>
      </c>
      <c r="P1543" s="6">
        <f>1</f>
        <v>1</v>
      </c>
      <c r="Q1543" s="6">
        <f>0</f>
        <v>0</v>
      </c>
      <c r="S1543" s="6">
        <f>0</f>
        <v>0</v>
      </c>
      <c r="T1543" s="6">
        <f>1</f>
        <v>1</v>
      </c>
      <c r="U1543" s="5" t="s">
        <v>245</v>
      </c>
      <c r="V1543" s="4" t="s">
        <v>270</v>
      </c>
      <c r="W1543" s="4" t="s">
        <v>271</v>
      </c>
      <c r="X1543" s="4" t="s">
        <v>273</v>
      </c>
      <c r="Y1543" s="4" t="s">
        <v>241</v>
      </c>
      <c r="AB1543" s="4" t="s">
        <v>241</v>
      </c>
      <c r="AD1543" s="5" t="s">
        <v>241</v>
      </c>
      <c r="AG1543" s="5" t="s">
        <v>246</v>
      </c>
      <c r="AH1543" s="4" t="s">
        <v>241</v>
      </c>
      <c r="AI1543" s="4" t="s">
        <v>247</v>
      </c>
      <c r="AJ1543" s="4" t="s">
        <v>248</v>
      </c>
      <c r="AZ1543" s="4" t="s">
        <v>249</v>
      </c>
      <c r="BA1543" s="4" t="s">
        <v>241</v>
      </c>
      <c r="BB1543" s="4" t="s">
        <v>250</v>
      </c>
      <c r="BC1543" s="4" t="s">
        <v>241</v>
      </c>
      <c r="BD1543" s="4" t="s">
        <v>252</v>
      </c>
      <c r="BE1543" s="4" t="s">
        <v>241</v>
      </c>
      <c r="BI1543" s="4" t="s">
        <v>253</v>
      </c>
      <c r="BJ1543" s="5" t="s">
        <v>246</v>
      </c>
      <c r="BK1543" s="4" t="s">
        <v>254</v>
      </c>
      <c r="BL1543" s="4" t="s">
        <v>255</v>
      </c>
      <c r="BM1543" s="4" t="s">
        <v>241</v>
      </c>
      <c r="BN1543" s="6">
        <f>0</f>
        <v>0</v>
      </c>
      <c r="BO1543" s="6">
        <f>0</f>
        <v>0</v>
      </c>
      <c r="BP1543" s="4" t="s">
        <v>256</v>
      </c>
      <c r="BQ1543" s="4" t="s">
        <v>257</v>
      </c>
      <c r="CE1543" s="4" t="s">
        <v>241</v>
      </c>
      <c r="CF1543" s="4" t="s">
        <v>241</v>
      </c>
      <c r="CJ1543" s="4" t="s">
        <v>276</v>
      </c>
      <c r="CK1543" s="4" t="s">
        <v>259</v>
      </c>
      <c r="CL1543" s="4" t="s">
        <v>241</v>
      </c>
      <c r="CO1543" s="5" t="s">
        <v>260</v>
      </c>
      <c r="CP1543" s="4" t="s">
        <v>241</v>
      </c>
      <c r="CQ1543" s="4" t="s">
        <v>261</v>
      </c>
      <c r="CR1543" s="4" t="s">
        <v>241</v>
      </c>
      <c r="CS1543" s="4" t="s">
        <v>241</v>
      </c>
      <c r="CT1543" s="4">
        <v>0</v>
      </c>
      <c r="CU1543" s="4" t="s">
        <v>262</v>
      </c>
      <c r="CV1543" s="4" t="s">
        <v>263</v>
      </c>
      <c r="CW1543" s="4" t="s">
        <v>263</v>
      </c>
      <c r="CX1543" s="4" t="s">
        <v>264</v>
      </c>
      <c r="DA1543" s="6">
        <f>1</f>
        <v>1</v>
      </c>
      <c r="DC1543" s="4" t="s">
        <v>277</v>
      </c>
      <c r="DD1543" s="4" t="s">
        <v>241</v>
      </c>
      <c r="DF1543" s="4" t="s">
        <v>277</v>
      </c>
      <c r="DG1543" s="6">
        <f>290</f>
        <v>290</v>
      </c>
      <c r="DI1543" s="4" t="s">
        <v>241</v>
      </c>
      <c r="DJ1543" s="4" t="s">
        <v>241</v>
      </c>
      <c r="DK1543" s="4" t="s">
        <v>241</v>
      </c>
      <c r="DL1543" s="4" t="s">
        <v>241</v>
      </c>
      <c r="DP1543" s="4" t="s">
        <v>241</v>
      </c>
      <c r="DQ1543" s="4" t="s">
        <v>241</v>
      </c>
      <c r="DR1543" s="4" t="s">
        <v>241</v>
      </c>
      <c r="DS1543" s="4" t="s">
        <v>241</v>
      </c>
      <c r="DV1543" s="4" t="s">
        <v>278</v>
      </c>
      <c r="DW1543" s="4" t="s">
        <v>2455</v>
      </c>
      <c r="HO1543" s="4" t="s">
        <v>267</v>
      </c>
    </row>
    <row r="1544" spans="1:223" ht="19.5" customHeight="1" x14ac:dyDescent="0.4">
      <c r="A1544" s="4">
        <v>1</v>
      </c>
      <c r="B1544" s="4" t="s">
        <v>239</v>
      </c>
      <c r="C1544" s="4">
        <v>3218</v>
      </c>
      <c r="D1544" s="4">
        <v>1</v>
      </c>
      <c r="E1544" s="4">
        <v>1</v>
      </c>
      <c r="F1544" s="4" t="s">
        <v>268</v>
      </c>
      <c r="G1544" s="4" t="s">
        <v>241</v>
      </c>
      <c r="H1544" s="4" t="s">
        <v>241</v>
      </c>
      <c r="I1544" s="4" t="s">
        <v>272</v>
      </c>
      <c r="J1544" s="4" t="s">
        <v>274</v>
      </c>
      <c r="K1544" s="4" t="s">
        <v>251</v>
      </c>
      <c r="L1544" s="4" t="s">
        <v>269</v>
      </c>
      <c r="M1544" s="5" t="s">
        <v>2452</v>
      </c>
      <c r="N1544" s="6">
        <f>1004</f>
        <v>1004</v>
      </c>
      <c r="O1544" s="4" t="s">
        <v>265</v>
      </c>
      <c r="P1544" s="6">
        <f>1</f>
        <v>1</v>
      </c>
      <c r="Q1544" s="6">
        <f>0</f>
        <v>0</v>
      </c>
      <c r="S1544" s="6">
        <f>0</f>
        <v>0</v>
      </c>
      <c r="T1544" s="6">
        <f>1</f>
        <v>1</v>
      </c>
      <c r="U1544" s="5" t="s">
        <v>245</v>
      </c>
      <c r="V1544" s="4" t="s">
        <v>270</v>
      </c>
      <c r="W1544" s="4" t="s">
        <v>271</v>
      </c>
      <c r="X1544" s="4" t="s">
        <v>273</v>
      </c>
      <c r="Y1544" s="4" t="s">
        <v>241</v>
      </c>
      <c r="AB1544" s="4" t="s">
        <v>241</v>
      </c>
      <c r="AD1544" s="5" t="s">
        <v>241</v>
      </c>
      <c r="AG1544" s="5" t="s">
        <v>246</v>
      </c>
      <c r="AH1544" s="4" t="s">
        <v>241</v>
      </c>
      <c r="AI1544" s="4" t="s">
        <v>247</v>
      </c>
      <c r="AJ1544" s="4" t="s">
        <v>248</v>
      </c>
      <c r="AZ1544" s="4" t="s">
        <v>249</v>
      </c>
      <c r="BA1544" s="4" t="s">
        <v>241</v>
      </c>
      <c r="BB1544" s="4" t="s">
        <v>250</v>
      </c>
      <c r="BC1544" s="4" t="s">
        <v>241</v>
      </c>
      <c r="BD1544" s="4" t="s">
        <v>252</v>
      </c>
      <c r="BE1544" s="4" t="s">
        <v>241</v>
      </c>
      <c r="BI1544" s="4" t="s">
        <v>253</v>
      </c>
      <c r="BJ1544" s="5" t="s">
        <v>246</v>
      </c>
      <c r="BK1544" s="4" t="s">
        <v>254</v>
      </c>
      <c r="BL1544" s="4" t="s">
        <v>255</v>
      </c>
      <c r="BM1544" s="4" t="s">
        <v>241</v>
      </c>
      <c r="BN1544" s="6">
        <f>0</f>
        <v>0</v>
      </c>
      <c r="BO1544" s="6">
        <f>0</f>
        <v>0</v>
      </c>
      <c r="BP1544" s="4" t="s">
        <v>256</v>
      </c>
      <c r="BQ1544" s="4" t="s">
        <v>257</v>
      </c>
      <c r="CE1544" s="4" t="s">
        <v>241</v>
      </c>
      <c r="CF1544" s="4" t="s">
        <v>241</v>
      </c>
      <c r="CJ1544" s="4" t="s">
        <v>276</v>
      </c>
      <c r="CK1544" s="4" t="s">
        <v>259</v>
      </c>
      <c r="CL1544" s="4" t="s">
        <v>241</v>
      </c>
      <c r="CO1544" s="5" t="s">
        <v>260</v>
      </c>
      <c r="CP1544" s="4" t="s">
        <v>241</v>
      </c>
      <c r="CQ1544" s="4" t="s">
        <v>261</v>
      </c>
      <c r="CR1544" s="4" t="s">
        <v>241</v>
      </c>
      <c r="CS1544" s="4" t="s">
        <v>241</v>
      </c>
      <c r="CT1544" s="4">
        <v>0</v>
      </c>
      <c r="CU1544" s="4" t="s">
        <v>262</v>
      </c>
      <c r="CV1544" s="4" t="s">
        <v>263</v>
      </c>
      <c r="CW1544" s="4" t="s">
        <v>263</v>
      </c>
      <c r="CX1544" s="4" t="s">
        <v>264</v>
      </c>
      <c r="DA1544" s="6">
        <f>1</f>
        <v>1</v>
      </c>
      <c r="DC1544" s="4" t="s">
        <v>277</v>
      </c>
      <c r="DD1544" s="4" t="s">
        <v>241</v>
      </c>
      <c r="DF1544" s="4" t="s">
        <v>277</v>
      </c>
      <c r="DG1544" s="6">
        <f>1004</f>
        <v>1004</v>
      </c>
      <c r="DI1544" s="4" t="s">
        <v>241</v>
      </c>
      <c r="DJ1544" s="4" t="s">
        <v>241</v>
      </c>
      <c r="DK1544" s="4" t="s">
        <v>241</v>
      </c>
      <c r="DL1544" s="4" t="s">
        <v>241</v>
      </c>
      <c r="DP1544" s="4" t="s">
        <v>241</v>
      </c>
      <c r="DQ1544" s="4" t="s">
        <v>241</v>
      </c>
      <c r="DR1544" s="4" t="s">
        <v>241</v>
      </c>
      <c r="DS1544" s="4" t="s">
        <v>241</v>
      </c>
      <c r="DV1544" s="4" t="s">
        <v>278</v>
      </c>
      <c r="DW1544" s="4" t="s">
        <v>2453</v>
      </c>
      <c r="HO1544" s="4" t="s">
        <v>267</v>
      </c>
    </row>
    <row r="1545" spans="1:223" ht="19.5" customHeight="1" x14ac:dyDescent="0.4">
      <c r="A1545" s="4">
        <v>1</v>
      </c>
      <c r="B1545" s="4" t="s">
        <v>239</v>
      </c>
      <c r="C1545" s="4">
        <v>3219</v>
      </c>
      <c r="D1545" s="4">
        <v>1</v>
      </c>
      <c r="E1545" s="4">
        <v>1</v>
      </c>
      <c r="F1545" s="4" t="s">
        <v>268</v>
      </c>
      <c r="G1545" s="4" t="s">
        <v>241</v>
      </c>
      <c r="H1545" s="4" t="s">
        <v>241</v>
      </c>
      <c r="I1545" s="4" t="s">
        <v>272</v>
      </c>
      <c r="J1545" s="4" t="s">
        <v>274</v>
      </c>
      <c r="K1545" s="4" t="s">
        <v>251</v>
      </c>
      <c r="L1545" s="4" t="s">
        <v>269</v>
      </c>
      <c r="M1545" s="5" t="s">
        <v>2450</v>
      </c>
      <c r="N1545" s="6">
        <f>1933</f>
        <v>1933</v>
      </c>
      <c r="O1545" s="4" t="s">
        <v>265</v>
      </c>
      <c r="P1545" s="6">
        <f>1</f>
        <v>1</v>
      </c>
      <c r="Q1545" s="6">
        <f>0</f>
        <v>0</v>
      </c>
      <c r="S1545" s="6">
        <f>0</f>
        <v>0</v>
      </c>
      <c r="T1545" s="6">
        <f>1</f>
        <v>1</v>
      </c>
      <c r="U1545" s="5" t="s">
        <v>245</v>
      </c>
      <c r="V1545" s="4" t="s">
        <v>270</v>
      </c>
      <c r="W1545" s="4" t="s">
        <v>271</v>
      </c>
      <c r="X1545" s="4" t="s">
        <v>273</v>
      </c>
      <c r="Y1545" s="4" t="s">
        <v>241</v>
      </c>
      <c r="AB1545" s="4" t="s">
        <v>241</v>
      </c>
      <c r="AD1545" s="5" t="s">
        <v>241</v>
      </c>
      <c r="AG1545" s="5" t="s">
        <v>246</v>
      </c>
      <c r="AH1545" s="4" t="s">
        <v>241</v>
      </c>
      <c r="AI1545" s="4" t="s">
        <v>247</v>
      </c>
      <c r="AJ1545" s="4" t="s">
        <v>248</v>
      </c>
      <c r="AZ1545" s="4" t="s">
        <v>249</v>
      </c>
      <c r="BA1545" s="4" t="s">
        <v>241</v>
      </c>
      <c r="BB1545" s="4" t="s">
        <v>250</v>
      </c>
      <c r="BC1545" s="4" t="s">
        <v>241</v>
      </c>
      <c r="BD1545" s="4" t="s">
        <v>252</v>
      </c>
      <c r="BE1545" s="4" t="s">
        <v>241</v>
      </c>
      <c r="BI1545" s="4" t="s">
        <v>253</v>
      </c>
      <c r="BJ1545" s="5" t="s">
        <v>246</v>
      </c>
      <c r="BK1545" s="4" t="s">
        <v>254</v>
      </c>
      <c r="BL1545" s="4" t="s">
        <v>255</v>
      </c>
      <c r="BM1545" s="4" t="s">
        <v>241</v>
      </c>
      <c r="BN1545" s="6">
        <f>0</f>
        <v>0</v>
      </c>
      <c r="BO1545" s="6">
        <f>0</f>
        <v>0</v>
      </c>
      <c r="BP1545" s="4" t="s">
        <v>256</v>
      </c>
      <c r="BQ1545" s="4" t="s">
        <v>257</v>
      </c>
      <c r="CE1545" s="4" t="s">
        <v>241</v>
      </c>
      <c r="CF1545" s="4" t="s">
        <v>241</v>
      </c>
      <c r="CJ1545" s="4" t="s">
        <v>276</v>
      </c>
      <c r="CK1545" s="4" t="s">
        <v>259</v>
      </c>
      <c r="CL1545" s="4" t="s">
        <v>241</v>
      </c>
      <c r="CO1545" s="5" t="s">
        <v>260</v>
      </c>
      <c r="CP1545" s="4" t="s">
        <v>241</v>
      </c>
      <c r="CQ1545" s="4" t="s">
        <v>261</v>
      </c>
      <c r="CR1545" s="4" t="s">
        <v>241</v>
      </c>
      <c r="CS1545" s="4" t="s">
        <v>241</v>
      </c>
      <c r="CT1545" s="4">
        <v>0</v>
      </c>
      <c r="CU1545" s="4" t="s">
        <v>262</v>
      </c>
      <c r="CV1545" s="4" t="s">
        <v>263</v>
      </c>
      <c r="CW1545" s="4" t="s">
        <v>263</v>
      </c>
      <c r="CX1545" s="4" t="s">
        <v>264</v>
      </c>
      <c r="DA1545" s="6">
        <f>1</f>
        <v>1</v>
      </c>
      <c r="DC1545" s="4" t="s">
        <v>277</v>
      </c>
      <c r="DD1545" s="4" t="s">
        <v>241</v>
      </c>
      <c r="DF1545" s="4" t="s">
        <v>277</v>
      </c>
      <c r="DG1545" s="6">
        <f>1933</f>
        <v>1933</v>
      </c>
      <c r="DI1545" s="4" t="s">
        <v>241</v>
      </c>
      <c r="DJ1545" s="4" t="s">
        <v>241</v>
      </c>
      <c r="DK1545" s="4" t="s">
        <v>241</v>
      </c>
      <c r="DL1545" s="4" t="s">
        <v>241</v>
      </c>
      <c r="DP1545" s="4" t="s">
        <v>241</v>
      </c>
      <c r="DQ1545" s="4" t="s">
        <v>241</v>
      </c>
      <c r="DR1545" s="4" t="s">
        <v>241</v>
      </c>
      <c r="DS1545" s="4" t="s">
        <v>241</v>
      </c>
      <c r="DV1545" s="4" t="s">
        <v>278</v>
      </c>
      <c r="DW1545" s="4" t="s">
        <v>2451</v>
      </c>
      <c r="HO1545" s="4" t="s">
        <v>267</v>
      </c>
    </row>
    <row r="1546" spans="1:223" ht="19.5" customHeight="1" x14ac:dyDescent="0.4">
      <c r="A1546" s="4">
        <v>1</v>
      </c>
      <c r="B1546" s="4" t="s">
        <v>239</v>
      </c>
      <c r="C1546" s="4">
        <v>3220</v>
      </c>
      <c r="D1546" s="4">
        <v>1</v>
      </c>
      <c r="E1546" s="4">
        <v>1</v>
      </c>
      <c r="F1546" s="4" t="s">
        <v>268</v>
      </c>
      <c r="G1546" s="4" t="s">
        <v>241</v>
      </c>
      <c r="H1546" s="4" t="s">
        <v>241</v>
      </c>
      <c r="I1546" s="4" t="s">
        <v>272</v>
      </c>
      <c r="J1546" s="4" t="s">
        <v>274</v>
      </c>
      <c r="K1546" s="4" t="s">
        <v>251</v>
      </c>
      <c r="L1546" s="4" t="s">
        <v>269</v>
      </c>
      <c r="M1546" s="5" t="s">
        <v>2448</v>
      </c>
      <c r="N1546" s="6">
        <f>561</f>
        <v>561</v>
      </c>
      <c r="O1546" s="4" t="s">
        <v>265</v>
      </c>
      <c r="P1546" s="6">
        <f>1</f>
        <v>1</v>
      </c>
      <c r="Q1546" s="6">
        <f>0</f>
        <v>0</v>
      </c>
      <c r="S1546" s="6">
        <f>0</f>
        <v>0</v>
      </c>
      <c r="T1546" s="6">
        <f>1</f>
        <v>1</v>
      </c>
      <c r="U1546" s="5" t="s">
        <v>245</v>
      </c>
      <c r="V1546" s="4" t="s">
        <v>270</v>
      </c>
      <c r="W1546" s="4" t="s">
        <v>271</v>
      </c>
      <c r="X1546" s="4" t="s">
        <v>273</v>
      </c>
      <c r="Y1546" s="4" t="s">
        <v>241</v>
      </c>
      <c r="AB1546" s="4" t="s">
        <v>241</v>
      </c>
      <c r="AD1546" s="5" t="s">
        <v>241</v>
      </c>
      <c r="AG1546" s="5" t="s">
        <v>246</v>
      </c>
      <c r="AH1546" s="4" t="s">
        <v>241</v>
      </c>
      <c r="AI1546" s="4" t="s">
        <v>247</v>
      </c>
      <c r="AJ1546" s="4" t="s">
        <v>248</v>
      </c>
      <c r="AZ1546" s="4" t="s">
        <v>249</v>
      </c>
      <c r="BA1546" s="4" t="s">
        <v>241</v>
      </c>
      <c r="BB1546" s="4" t="s">
        <v>250</v>
      </c>
      <c r="BC1546" s="4" t="s">
        <v>241</v>
      </c>
      <c r="BD1546" s="4" t="s">
        <v>252</v>
      </c>
      <c r="BE1546" s="4" t="s">
        <v>241</v>
      </c>
      <c r="BI1546" s="4" t="s">
        <v>253</v>
      </c>
      <c r="BJ1546" s="5" t="s">
        <v>246</v>
      </c>
      <c r="BK1546" s="4" t="s">
        <v>254</v>
      </c>
      <c r="BL1546" s="4" t="s">
        <v>255</v>
      </c>
      <c r="BM1546" s="4" t="s">
        <v>241</v>
      </c>
      <c r="BN1546" s="6">
        <f>0</f>
        <v>0</v>
      </c>
      <c r="BO1546" s="6">
        <f>0</f>
        <v>0</v>
      </c>
      <c r="BP1546" s="4" t="s">
        <v>256</v>
      </c>
      <c r="BQ1546" s="4" t="s">
        <v>257</v>
      </c>
      <c r="CE1546" s="4" t="s">
        <v>241</v>
      </c>
      <c r="CF1546" s="4" t="s">
        <v>241</v>
      </c>
      <c r="CJ1546" s="4" t="s">
        <v>276</v>
      </c>
      <c r="CK1546" s="4" t="s">
        <v>259</v>
      </c>
      <c r="CL1546" s="4" t="s">
        <v>241</v>
      </c>
      <c r="CO1546" s="5" t="s">
        <v>260</v>
      </c>
      <c r="CP1546" s="4" t="s">
        <v>241</v>
      </c>
      <c r="CQ1546" s="4" t="s">
        <v>261</v>
      </c>
      <c r="CR1546" s="4" t="s">
        <v>241</v>
      </c>
      <c r="CS1546" s="4" t="s">
        <v>241</v>
      </c>
      <c r="CT1546" s="4">
        <v>0</v>
      </c>
      <c r="CU1546" s="4" t="s">
        <v>262</v>
      </c>
      <c r="CV1546" s="4" t="s">
        <v>263</v>
      </c>
      <c r="CW1546" s="4" t="s">
        <v>263</v>
      </c>
      <c r="CX1546" s="4" t="s">
        <v>264</v>
      </c>
      <c r="DA1546" s="6">
        <f>1</f>
        <v>1</v>
      </c>
      <c r="DC1546" s="4" t="s">
        <v>277</v>
      </c>
      <c r="DD1546" s="4" t="s">
        <v>241</v>
      </c>
      <c r="DF1546" s="4" t="s">
        <v>277</v>
      </c>
      <c r="DG1546" s="6">
        <f>561</f>
        <v>561</v>
      </c>
      <c r="DI1546" s="4" t="s">
        <v>241</v>
      </c>
      <c r="DJ1546" s="4" t="s">
        <v>241</v>
      </c>
      <c r="DK1546" s="4" t="s">
        <v>241</v>
      </c>
      <c r="DL1546" s="4" t="s">
        <v>241</v>
      </c>
      <c r="DP1546" s="4" t="s">
        <v>241</v>
      </c>
      <c r="DQ1546" s="4" t="s">
        <v>241</v>
      </c>
      <c r="DR1546" s="4" t="s">
        <v>241</v>
      </c>
      <c r="DS1546" s="4" t="s">
        <v>241</v>
      </c>
      <c r="DV1546" s="4" t="s">
        <v>278</v>
      </c>
      <c r="DW1546" s="4" t="s">
        <v>2449</v>
      </c>
      <c r="HO1546" s="4" t="s">
        <v>267</v>
      </c>
    </row>
    <row r="1547" spans="1:223" ht="19.5" customHeight="1" x14ac:dyDescent="0.4">
      <c r="A1547" s="4">
        <v>1</v>
      </c>
      <c r="B1547" s="4" t="s">
        <v>239</v>
      </c>
      <c r="C1547" s="4">
        <v>3221</v>
      </c>
      <c r="D1547" s="4">
        <v>1</v>
      </c>
      <c r="E1547" s="4">
        <v>1</v>
      </c>
      <c r="F1547" s="4" t="s">
        <v>268</v>
      </c>
      <c r="G1547" s="4" t="s">
        <v>241</v>
      </c>
      <c r="H1547" s="4" t="s">
        <v>241</v>
      </c>
      <c r="I1547" s="4" t="s">
        <v>272</v>
      </c>
      <c r="J1547" s="4" t="s">
        <v>274</v>
      </c>
      <c r="K1547" s="4" t="s">
        <v>251</v>
      </c>
      <c r="L1547" s="4" t="s">
        <v>269</v>
      </c>
      <c r="M1547" s="5" t="s">
        <v>2446</v>
      </c>
      <c r="N1547" s="6">
        <f>259</f>
        <v>259</v>
      </c>
      <c r="O1547" s="4" t="s">
        <v>265</v>
      </c>
      <c r="P1547" s="6">
        <f>1</f>
        <v>1</v>
      </c>
      <c r="Q1547" s="6">
        <f>0</f>
        <v>0</v>
      </c>
      <c r="S1547" s="6">
        <f>0</f>
        <v>0</v>
      </c>
      <c r="T1547" s="6">
        <f>1</f>
        <v>1</v>
      </c>
      <c r="U1547" s="5" t="s">
        <v>245</v>
      </c>
      <c r="V1547" s="4" t="s">
        <v>270</v>
      </c>
      <c r="W1547" s="4" t="s">
        <v>271</v>
      </c>
      <c r="X1547" s="4" t="s">
        <v>273</v>
      </c>
      <c r="Y1547" s="4" t="s">
        <v>241</v>
      </c>
      <c r="AB1547" s="4" t="s">
        <v>241</v>
      </c>
      <c r="AD1547" s="5" t="s">
        <v>241</v>
      </c>
      <c r="AG1547" s="5" t="s">
        <v>246</v>
      </c>
      <c r="AH1547" s="4" t="s">
        <v>241</v>
      </c>
      <c r="AI1547" s="4" t="s">
        <v>247</v>
      </c>
      <c r="AJ1547" s="4" t="s">
        <v>248</v>
      </c>
      <c r="AZ1547" s="4" t="s">
        <v>249</v>
      </c>
      <c r="BA1547" s="4" t="s">
        <v>241</v>
      </c>
      <c r="BB1547" s="4" t="s">
        <v>250</v>
      </c>
      <c r="BC1547" s="4" t="s">
        <v>241</v>
      </c>
      <c r="BD1547" s="4" t="s">
        <v>252</v>
      </c>
      <c r="BE1547" s="4" t="s">
        <v>241</v>
      </c>
      <c r="BI1547" s="4" t="s">
        <v>253</v>
      </c>
      <c r="BJ1547" s="5" t="s">
        <v>246</v>
      </c>
      <c r="BK1547" s="4" t="s">
        <v>254</v>
      </c>
      <c r="BL1547" s="4" t="s">
        <v>255</v>
      </c>
      <c r="BM1547" s="4" t="s">
        <v>241</v>
      </c>
      <c r="BN1547" s="6">
        <f>0</f>
        <v>0</v>
      </c>
      <c r="BO1547" s="6">
        <f>0</f>
        <v>0</v>
      </c>
      <c r="BP1547" s="4" t="s">
        <v>256</v>
      </c>
      <c r="BQ1547" s="4" t="s">
        <v>257</v>
      </c>
      <c r="CE1547" s="4" t="s">
        <v>241</v>
      </c>
      <c r="CF1547" s="4" t="s">
        <v>241</v>
      </c>
      <c r="CJ1547" s="4" t="s">
        <v>276</v>
      </c>
      <c r="CK1547" s="4" t="s">
        <v>259</v>
      </c>
      <c r="CL1547" s="4" t="s">
        <v>241</v>
      </c>
      <c r="CO1547" s="5" t="s">
        <v>260</v>
      </c>
      <c r="CP1547" s="4" t="s">
        <v>241</v>
      </c>
      <c r="CQ1547" s="4" t="s">
        <v>261</v>
      </c>
      <c r="CR1547" s="4" t="s">
        <v>241</v>
      </c>
      <c r="CS1547" s="4" t="s">
        <v>241</v>
      </c>
      <c r="CT1547" s="4">
        <v>0</v>
      </c>
      <c r="CU1547" s="4" t="s">
        <v>262</v>
      </c>
      <c r="CV1547" s="4" t="s">
        <v>263</v>
      </c>
      <c r="CW1547" s="4" t="s">
        <v>263</v>
      </c>
      <c r="CX1547" s="4" t="s">
        <v>264</v>
      </c>
      <c r="DA1547" s="6">
        <f>1</f>
        <v>1</v>
      </c>
      <c r="DC1547" s="4" t="s">
        <v>277</v>
      </c>
      <c r="DD1547" s="4" t="s">
        <v>241</v>
      </c>
      <c r="DF1547" s="4" t="s">
        <v>277</v>
      </c>
      <c r="DG1547" s="6">
        <f>259</f>
        <v>259</v>
      </c>
      <c r="DI1547" s="4" t="s">
        <v>241</v>
      </c>
      <c r="DJ1547" s="4" t="s">
        <v>241</v>
      </c>
      <c r="DK1547" s="4" t="s">
        <v>241</v>
      </c>
      <c r="DL1547" s="4" t="s">
        <v>241</v>
      </c>
      <c r="DP1547" s="4" t="s">
        <v>241</v>
      </c>
      <c r="DQ1547" s="4" t="s">
        <v>241</v>
      </c>
      <c r="DR1547" s="4" t="s">
        <v>241</v>
      </c>
      <c r="DS1547" s="4" t="s">
        <v>241</v>
      </c>
      <c r="DV1547" s="4" t="s">
        <v>278</v>
      </c>
      <c r="DW1547" s="4" t="s">
        <v>2447</v>
      </c>
      <c r="HO1547" s="4" t="s">
        <v>267</v>
      </c>
    </row>
    <row r="1548" spans="1:223" ht="19.5" customHeight="1" x14ac:dyDescent="0.4">
      <c r="A1548" s="4">
        <v>1</v>
      </c>
      <c r="B1548" s="4" t="s">
        <v>239</v>
      </c>
      <c r="C1548" s="4">
        <v>3222</v>
      </c>
      <c r="D1548" s="4">
        <v>1</v>
      </c>
      <c r="E1548" s="4">
        <v>1</v>
      </c>
      <c r="F1548" s="4" t="s">
        <v>268</v>
      </c>
      <c r="G1548" s="4" t="s">
        <v>241</v>
      </c>
      <c r="H1548" s="4" t="s">
        <v>241</v>
      </c>
      <c r="I1548" s="4" t="s">
        <v>272</v>
      </c>
      <c r="J1548" s="4" t="s">
        <v>274</v>
      </c>
      <c r="K1548" s="4" t="s">
        <v>251</v>
      </c>
      <c r="L1548" s="4" t="s">
        <v>269</v>
      </c>
      <c r="M1548" s="5" t="s">
        <v>2444</v>
      </c>
      <c r="N1548" s="6">
        <f>1759</f>
        <v>1759</v>
      </c>
      <c r="O1548" s="4" t="s">
        <v>265</v>
      </c>
      <c r="P1548" s="6">
        <f>1</f>
        <v>1</v>
      </c>
      <c r="Q1548" s="6">
        <f>0</f>
        <v>0</v>
      </c>
      <c r="S1548" s="6">
        <f>0</f>
        <v>0</v>
      </c>
      <c r="T1548" s="6">
        <f>1</f>
        <v>1</v>
      </c>
      <c r="U1548" s="5" t="s">
        <v>245</v>
      </c>
      <c r="V1548" s="4" t="s">
        <v>270</v>
      </c>
      <c r="W1548" s="4" t="s">
        <v>271</v>
      </c>
      <c r="X1548" s="4" t="s">
        <v>273</v>
      </c>
      <c r="Y1548" s="4" t="s">
        <v>241</v>
      </c>
      <c r="AB1548" s="4" t="s">
        <v>241</v>
      </c>
      <c r="AD1548" s="5" t="s">
        <v>241</v>
      </c>
      <c r="AG1548" s="5" t="s">
        <v>246</v>
      </c>
      <c r="AH1548" s="4" t="s">
        <v>241</v>
      </c>
      <c r="AI1548" s="4" t="s">
        <v>247</v>
      </c>
      <c r="AJ1548" s="4" t="s">
        <v>248</v>
      </c>
      <c r="AZ1548" s="4" t="s">
        <v>249</v>
      </c>
      <c r="BA1548" s="4" t="s">
        <v>241</v>
      </c>
      <c r="BB1548" s="4" t="s">
        <v>250</v>
      </c>
      <c r="BC1548" s="4" t="s">
        <v>241</v>
      </c>
      <c r="BD1548" s="4" t="s">
        <v>252</v>
      </c>
      <c r="BE1548" s="4" t="s">
        <v>241</v>
      </c>
      <c r="BI1548" s="4" t="s">
        <v>253</v>
      </c>
      <c r="BJ1548" s="5" t="s">
        <v>246</v>
      </c>
      <c r="BK1548" s="4" t="s">
        <v>254</v>
      </c>
      <c r="BL1548" s="4" t="s">
        <v>255</v>
      </c>
      <c r="BM1548" s="4" t="s">
        <v>241</v>
      </c>
      <c r="BN1548" s="6">
        <f>0</f>
        <v>0</v>
      </c>
      <c r="BO1548" s="6">
        <f>0</f>
        <v>0</v>
      </c>
      <c r="BP1548" s="4" t="s">
        <v>256</v>
      </c>
      <c r="BQ1548" s="4" t="s">
        <v>257</v>
      </c>
      <c r="CE1548" s="4" t="s">
        <v>241</v>
      </c>
      <c r="CF1548" s="4" t="s">
        <v>241</v>
      </c>
      <c r="CJ1548" s="4" t="s">
        <v>276</v>
      </c>
      <c r="CK1548" s="4" t="s">
        <v>259</v>
      </c>
      <c r="CL1548" s="4" t="s">
        <v>241</v>
      </c>
      <c r="CO1548" s="5" t="s">
        <v>260</v>
      </c>
      <c r="CP1548" s="4" t="s">
        <v>241</v>
      </c>
      <c r="CQ1548" s="4" t="s">
        <v>261</v>
      </c>
      <c r="CR1548" s="4" t="s">
        <v>241</v>
      </c>
      <c r="CS1548" s="4" t="s">
        <v>241</v>
      </c>
      <c r="CT1548" s="4">
        <v>0</v>
      </c>
      <c r="CU1548" s="4" t="s">
        <v>262</v>
      </c>
      <c r="CV1548" s="4" t="s">
        <v>263</v>
      </c>
      <c r="CW1548" s="4" t="s">
        <v>263</v>
      </c>
      <c r="CX1548" s="4" t="s">
        <v>264</v>
      </c>
      <c r="DA1548" s="6">
        <f>1</f>
        <v>1</v>
      </c>
      <c r="DC1548" s="4" t="s">
        <v>277</v>
      </c>
      <c r="DD1548" s="4" t="s">
        <v>241</v>
      </c>
      <c r="DF1548" s="4" t="s">
        <v>277</v>
      </c>
      <c r="DG1548" s="6">
        <f>1759</f>
        <v>1759</v>
      </c>
      <c r="DI1548" s="4" t="s">
        <v>241</v>
      </c>
      <c r="DJ1548" s="4" t="s">
        <v>241</v>
      </c>
      <c r="DK1548" s="4" t="s">
        <v>241</v>
      </c>
      <c r="DL1548" s="4" t="s">
        <v>241</v>
      </c>
      <c r="DP1548" s="4" t="s">
        <v>241</v>
      </c>
      <c r="DQ1548" s="4" t="s">
        <v>241</v>
      </c>
      <c r="DR1548" s="4" t="s">
        <v>241</v>
      </c>
      <c r="DS1548" s="4" t="s">
        <v>241</v>
      </c>
      <c r="DV1548" s="4" t="s">
        <v>278</v>
      </c>
      <c r="DW1548" s="4" t="s">
        <v>2445</v>
      </c>
      <c r="HO1548" s="4" t="s">
        <v>267</v>
      </c>
    </row>
    <row r="1549" spans="1:223" ht="19.5" customHeight="1" x14ac:dyDescent="0.4">
      <c r="A1549" s="4">
        <v>1</v>
      </c>
      <c r="B1549" s="4" t="s">
        <v>239</v>
      </c>
      <c r="C1549" s="4">
        <v>3223</v>
      </c>
      <c r="D1549" s="4">
        <v>1</v>
      </c>
      <c r="E1549" s="4">
        <v>1</v>
      </c>
      <c r="F1549" s="4" t="s">
        <v>268</v>
      </c>
      <c r="G1549" s="4" t="s">
        <v>241</v>
      </c>
      <c r="H1549" s="4" t="s">
        <v>241</v>
      </c>
      <c r="I1549" s="4" t="s">
        <v>272</v>
      </c>
      <c r="J1549" s="4" t="s">
        <v>274</v>
      </c>
      <c r="K1549" s="4" t="s">
        <v>251</v>
      </c>
      <c r="L1549" s="4" t="s">
        <v>269</v>
      </c>
      <c r="M1549" s="5" t="s">
        <v>2442</v>
      </c>
      <c r="N1549" s="6">
        <f>745</f>
        <v>745</v>
      </c>
      <c r="O1549" s="4" t="s">
        <v>265</v>
      </c>
      <c r="P1549" s="6">
        <f>1</f>
        <v>1</v>
      </c>
      <c r="Q1549" s="6">
        <f>0</f>
        <v>0</v>
      </c>
      <c r="S1549" s="6">
        <f>0</f>
        <v>0</v>
      </c>
      <c r="T1549" s="6">
        <f>1</f>
        <v>1</v>
      </c>
      <c r="U1549" s="5" t="s">
        <v>245</v>
      </c>
      <c r="V1549" s="4" t="s">
        <v>270</v>
      </c>
      <c r="W1549" s="4" t="s">
        <v>271</v>
      </c>
      <c r="X1549" s="4" t="s">
        <v>273</v>
      </c>
      <c r="Y1549" s="4" t="s">
        <v>241</v>
      </c>
      <c r="AB1549" s="4" t="s">
        <v>241</v>
      </c>
      <c r="AD1549" s="5" t="s">
        <v>241</v>
      </c>
      <c r="AG1549" s="5" t="s">
        <v>246</v>
      </c>
      <c r="AH1549" s="4" t="s">
        <v>241</v>
      </c>
      <c r="AI1549" s="4" t="s">
        <v>247</v>
      </c>
      <c r="AJ1549" s="4" t="s">
        <v>248</v>
      </c>
      <c r="AZ1549" s="4" t="s">
        <v>249</v>
      </c>
      <c r="BA1549" s="4" t="s">
        <v>241</v>
      </c>
      <c r="BB1549" s="4" t="s">
        <v>250</v>
      </c>
      <c r="BC1549" s="4" t="s">
        <v>241</v>
      </c>
      <c r="BD1549" s="4" t="s">
        <v>252</v>
      </c>
      <c r="BE1549" s="4" t="s">
        <v>241</v>
      </c>
      <c r="BI1549" s="4" t="s">
        <v>253</v>
      </c>
      <c r="BJ1549" s="5" t="s">
        <v>246</v>
      </c>
      <c r="BK1549" s="4" t="s">
        <v>254</v>
      </c>
      <c r="BL1549" s="4" t="s">
        <v>255</v>
      </c>
      <c r="BM1549" s="4" t="s">
        <v>241</v>
      </c>
      <c r="BN1549" s="6">
        <f>0</f>
        <v>0</v>
      </c>
      <c r="BO1549" s="6">
        <f>0</f>
        <v>0</v>
      </c>
      <c r="BP1549" s="4" t="s">
        <v>256</v>
      </c>
      <c r="BQ1549" s="4" t="s">
        <v>257</v>
      </c>
      <c r="CE1549" s="4" t="s">
        <v>241</v>
      </c>
      <c r="CF1549" s="4" t="s">
        <v>241</v>
      </c>
      <c r="CJ1549" s="4" t="s">
        <v>276</v>
      </c>
      <c r="CK1549" s="4" t="s">
        <v>259</v>
      </c>
      <c r="CL1549" s="4" t="s">
        <v>241</v>
      </c>
      <c r="CO1549" s="5" t="s">
        <v>260</v>
      </c>
      <c r="CP1549" s="4" t="s">
        <v>241</v>
      </c>
      <c r="CQ1549" s="4" t="s">
        <v>261</v>
      </c>
      <c r="CR1549" s="4" t="s">
        <v>241</v>
      </c>
      <c r="CS1549" s="4" t="s">
        <v>241</v>
      </c>
      <c r="CT1549" s="4">
        <v>0</v>
      </c>
      <c r="CU1549" s="4" t="s">
        <v>262</v>
      </c>
      <c r="CV1549" s="4" t="s">
        <v>263</v>
      </c>
      <c r="CW1549" s="4" t="s">
        <v>263</v>
      </c>
      <c r="CX1549" s="4" t="s">
        <v>264</v>
      </c>
      <c r="DA1549" s="6">
        <f>1</f>
        <v>1</v>
      </c>
      <c r="DC1549" s="4" t="s">
        <v>277</v>
      </c>
      <c r="DD1549" s="4" t="s">
        <v>241</v>
      </c>
      <c r="DF1549" s="4" t="s">
        <v>277</v>
      </c>
      <c r="DG1549" s="6">
        <f>745</f>
        <v>745</v>
      </c>
      <c r="DI1549" s="4" t="s">
        <v>241</v>
      </c>
      <c r="DJ1549" s="4" t="s">
        <v>241</v>
      </c>
      <c r="DK1549" s="4" t="s">
        <v>241</v>
      </c>
      <c r="DL1549" s="4" t="s">
        <v>241</v>
      </c>
      <c r="DP1549" s="4" t="s">
        <v>241</v>
      </c>
      <c r="DQ1549" s="4" t="s">
        <v>241</v>
      </c>
      <c r="DR1549" s="4" t="s">
        <v>241</v>
      </c>
      <c r="DS1549" s="4" t="s">
        <v>241</v>
      </c>
      <c r="DV1549" s="4" t="s">
        <v>278</v>
      </c>
      <c r="DW1549" s="4" t="s">
        <v>2443</v>
      </c>
      <c r="HO1549" s="4" t="s">
        <v>267</v>
      </c>
    </row>
    <row r="1550" spans="1:223" ht="19.5" customHeight="1" x14ac:dyDescent="0.4">
      <c r="A1550" s="4">
        <v>1</v>
      </c>
      <c r="B1550" s="4" t="s">
        <v>239</v>
      </c>
      <c r="C1550" s="4">
        <v>3224</v>
      </c>
      <c r="D1550" s="4">
        <v>1</v>
      </c>
      <c r="E1550" s="4">
        <v>1</v>
      </c>
      <c r="F1550" s="4" t="s">
        <v>268</v>
      </c>
      <c r="G1550" s="4" t="s">
        <v>241</v>
      </c>
      <c r="H1550" s="4" t="s">
        <v>241</v>
      </c>
      <c r="I1550" s="4" t="s">
        <v>272</v>
      </c>
      <c r="J1550" s="4" t="s">
        <v>274</v>
      </c>
      <c r="K1550" s="4" t="s">
        <v>251</v>
      </c>
      <c r="L1550" s="4" t="s">
        <v>269</v>
      </c>
      <c r="M1550" s="5" t="s">
        <v>2440</v>
      </c>
      <c r="N1550" s="6">
        <f>293</f>
        <v>293</v>
      </c>
      <c r="O1550" s="4" t="s">
        <v>265</v>
      </c>
      <c r="P1550" s="6">
        <f>1</f>
        <v>1</v>
      </c>
      <c r="Q1550" s="6">
        <f>0</f>
        <v>0</v>
      </c>
      <c r="S1550" s="6">
        <f>0</f>
        <v>0</v>
      </c>
      <c r="T1550" s="6">
        <f>1</f>
        <v>1</v>
      </c>
      <c r="U1550" s="5" t="s">
        <v>245</v>
      </c>
      <c r="V1550" s="4" t="s">
        <v>270</v>
      </c>
      <c r="W1550" s="4" t="s">
        <v>271</v>
      </c>
      <c r="X1550" s="4" t="s">
        <v>273</v>
      </c>
      <c r="Y1550" s="4" t="s">
        <v>241</v>
      </c>
      <c r="AB1550" s="4" t="s">
        <v>241</v>
      </c>
      <c r="AD1550" s="5" t="s">
        <v>241</v>
      </c>
      <c r="AG1550" s="5" t="s">
        <v>246</v>
      </c>
      <c r="AH1550" s="4" t="s">
        <v>241</v>
      </c>
      <c r="AI1550" s="4" t="s">
        <v>247</v>
      </c>
      <c r="AJ1550" s="4" t="s">
        <v>248</v>
      </c>
      <c r="AZ1550" s="4" t="s">
        <v>249</v>
      </c>
      <c r="BA1550" s="4" t="s">
        <v>241</v>
      </c>
      <c r="BB1550" s="4" t="s">
        <v>250</v>
      </c>
      <c r="BC1550" s="4" t="s">
        <v>241</v>
      </c>
      <c r="BD1550" s="4" t="s">
        <v>252</v>
      </c>
      <c r="BE1550" s="4" t="s">
        <v>241</v>
      </c>
      <c r="BI1550" s="4" t="s">
        <v>253</v>
      </c>
      <c r="BJ1550" s="5" t="s">
        <v>246</v>
      </c>
      <c r="BK1550" s="4" t="s">
        <v>254</v>
      </c>
      <c r="BL1550" s="4" t="s">
        <v>255</v>
      </c>
      <c r="BM1550" s="4" t="s">
        <v>241</v>
      </c>
      <c r="BN1550" s="6">
        <f>0</f>
        <v>0</v>
      </c>
      <c r="BO1550" s="6">
        <f>0</f>
        <v>0</v>
      </c>
      <c r="BP1550" s="4" t="s">
        <v>256</v>
      </c>
      <c r="BQ1550" s="4" t="s">
        <v>257</v>
      </c>
      <c r="CE1550" s="4" t="s">
        <v>241</v>
      </c>
      <c r="CF1550" s="4" t="s">
        <v>241</v>
      </c>
      <c r="CJ1550" s="4" t="s">
        <v>276</v>
      </c>
      <c r="CK1550" s="4" t="s">
        <v>259</v>
      </c>
      <c r="CL1550" s="4" t="s">
        <v>241</v>
      </c>
      <c r="CO1550" s="5" t="s">
        <v>260</v>
      </c>
      <c r="CP1550" s="4" t="s">
        <v>241</v>
      </c>
      <c r="CQ1550" s="4" t="s">
        <v>261</v>
      </c>
      <c r="CR1550" s="4" t="s">
        <v>241</v>
      </c>
      <c r="CS1550" s="4" t="s">
        <v>241</v>
      </c>
      <c r="CT1550" s="4">
        <v>0</v>
      </c>
      <c r="CU1550" s="4" t="s">
        <v>262</v>
      </c>
      <c r="CV1550" s="4" t="s">
        <v>263</v>
      </c>
      <c r="CW1550" s="4" t="s">
        <v>263</v>
      </c>
      <c r="CX1550" s="4" t="s">
        <v>264</v>
      </c>
      <c r="DA1550" s="6">
        <f>1</f>
        <v>1</v>
      </c>
      <c r="DC1550" s="4" t="s">
        <v>277</v>
      </c>
      <c r="DD1550" s="4" t="s">
        <v>241</v>
      </c>
      <c r="DF1550" s="4" t="s">
        <v>277</v>
      </c>
      <c r="DG1550" s="6">
        <f>293</f>
        <v>293</v>
      </c>
      <c r="DI1550" s="4" t="s">
        <v>241</v>
      </c>
      <c r="DJ1550" s="4" t="s">
        <v>241</v>
      </c>
      <c r="DK1550" s="4" t="s">
        <v>241</v>
      </c>
      <c r="DL1550" s="4" t="s">
        <v>241</v>
      </c>
      <c r="DP1550" s="4" t="s">
        <v>241</v>
      </c>
      <c r="DQ1550" s="4" t="s">
        <v>241</v>
      </c>
      <c r="DR1550" s="4" t="s">
        <v>241</v>
      </c>
      <c r="DS1550" s="4" t="s">
        <v>241</v>
      </c>
      <c r="DV1550" s="4" t="s">
        <v>278</v>
      </c>
      <c r="DW1550" s="4" t="s">
        <v>2441</v>
      </c>
      <c r="HO1550" s="4" t="s">
        <v>267</v>
      </c>
    </row>
    <row r="1551" spans="1:223" ht="19.5" customHeight="1" x14ac:dyDescent="0.4">
      <c r="A1551" s="4">
        <v>1</v>
      </c>
      <c r="B1551" s="4" t="s">
        <v>239</v>
      </c>
      <c r="C1551" s="4">
        <v>3225</v>
      </c>
      <c r="D1551" s="4">
        <v>1</v>
      </c>
      <c r="E1551" s="4">
        <v>1</v>
      </c>
      <c r="F1551" s="4" t="s">
        <v>268</v>
      </c>
      <c r="G1551" s="4" t="s">
        <v>241</v>
      </c>
      <c r="H1551" s="4" t="s">
        <v>241</v>
      </c>
      <c r="I1551" s="4" t="s">
        <v>272</v>
      </c>
      <c r="J1551" s="4" t="s">
        <v>274</v>
      </c>
      <c r="K1551" s="4" t="s">
        <v>251</v>
      </c>
      <c r="L1551" s="4" t="s">
        <v>269</v>
      </c>
      <c r="M1551" s="5" t="s">
        <v>2438</v>
      </c>
      <c r="N1551" s="6">
        <f>2173</f>
        <v>2173</v>
      </c>
      <c r="O1551" s="4" t="s">
        <v>265</v>
      </c>
      <c r="P1551" s="6">
        <f>1</f>
        <v>1</v>
      </c>
      <c r="Q1551" s="6">
        <f>0</f>
        <v>0</v>
      </c>
      <c r="S1551" s="6">
        <f>0</f>
        <v>0</v>
      </c>
      <c r="T1551" s="6">
        <f>1</f>
        <v>1</v>
      </c>
      <c r="U1551" s="5" t="s">
        <v>245</v>
      </c>
      <c r="V1551" s="4" t="s">
        <v>270</v>
      </c>
      <c r="W1551" s="4" t="s">
        <v>271</v>
      </c>
      <c r="X1551" s="4" t="s">
        <v>273</v>
      </c>
      <c r="Y1551" s="4" t="s">
        <v>241</v>
      </c>
      <c r="AB1551" s="4" t="s">
        <v>241</v>
      </c>
      <c r="AD1551" s="5" t="s">
        <v>241</v>
      </c>
      <c r="AG1551" s="5" t="s">
        <v>246</v>
      </c>
      <c r="AH1551" s="4" t="s">
        <v>241</v>
      </c>
      <c r="AI1551" s="4" t="s">
        <v>247</v>
      </c>
      <c r="AJ1551" s="4" t="s">
        <v>248</v>
      </c>
      <c r="AZ1551" s="4" t="s">
        <v>249</v>
      </c>
      <c r="BA1551" s="4" t="s">
        <v>241</v>
      </c>
      <c r="BB1551" s="4" t="s">
        <v>250</v>
      </c>
      <c r="BC1551" s="4" t="s">
        <v>241</v>
      </c>
      <c r="BD1551" s="4" t="s">
        <v>252</v>
      </c>
      <c r="BE1551" s="4" t="s">
        <v>241</v>
      </c>
      <c r="BI1551" s="4" t="s">
        <v>253</v>
      </c>
      <c r="BJ1551" s="5" t="s">
        <v>246</v>
      </c>
      <c r="BK1551" s="4" t="s">
        <v>254</v>
      </c>
      <c r="BL1551" s="4" t="s">
        <v>255</v>
      </c>
      <c r="BM1551" s="4" t="s">
        <v>241</v>
      </c>
      <c r="BN1551" s="6">
        <f>0</f>
        <v>0</v>
      </c>
      <c r="BO1551" s="6">
        <f>0</f>
        <v>0</v>
      </c>
      <c r="BP1551" s="4" t="s">
        <v>256</v>
      </c>
      <c r="BQ1551" s="4" t="s">
        <v>257</v>
      </c>
      <c r="CE1551" s="4" t="s">
        <v>241</v>
      </c>
      <c r="CF1551" s="4" t="s">
        <v>241</v>
      </c>
      <c r="CJ1551" s="4" t="s">
        <v>276</v>
      </c>
      <c r="CK1551" s="4" t="s">
        <v>259</v>
      </c>
      <c r="CL1551" s="4" t="s">
        <v>241</v>
      </c>
      <c r="CO1551" s="5" t="s">
        <v>260</v>
      </c>
      <c r="CP1551" s="4" t="s">
        <v>241</v>
      </c>
      <c r="CQ1551" s="4" t="s">
        <v>261</v>
      </c>
      <c r="CR1551" s="4" t="s">
        <v>241</v>
      </c>
      <c r="CS1551" s="4" t="s">
        <v>241</v>
      </c>
      <c r="CT1551" s="4">
        <v>0</v>
      </c>
      <c r="CU1551" s="4" t="s">
        <v>262</v>
      </c>
      <c r="CV1551" s="4" t="s">
        <v>263</v>
      </c>
      <c r="CW1551" s="4" t="s">
        <v>263</v>
      </c>
      <c r="CX1551" s="4" t="s">
        <v>264</v>
      </c>
      <c r="DA1551" s="6">
        <f>1</f>
        <v>1</v>
      </c>
      <c r="DC1551" s="4" t="s">
        <v>277</v>
      </c>
      <c r="DD1551" s="4" t="s">
        <v>241</v>
      </c>
      <c r="DF1551" s="4" t="s">
        <v>277</v>
      </c>
      <c r="DG1551" s="6">
        <f>2173</f>
        <v>2173</v>
      </c>
      <c r="DI1551" s="4" t="s">
        <v>241</v>
      </c>
      <c r="DJ1551" s="4" t="s">
        <v>241</v>
      </c>
      <c r="DK1551" s="4" t="s">
        <v>241</v>
      </c>
      <c r="DL1551" s="4" t="s">
        <v>241</v>
      </c>
      <c r="DP1551" s="4" t="s">
        <v>241</v>
      </c>
      <c r="DQ1551" s="4" t="s">
        <v>241</v>
      </c>
      <c r="DR1551" s="4" t="s">
        <v>241</v>
      </c>
      <c r="DS1551" s="4" t="s">
        <v>241</v>
      </c>
      <c r="DV1551" s="4" t="s">
        <v>278</v>
      </c>
      <c r="DW1551" s="4" t="s">
        <v>2439</v>
      </c>
      <c r="HO1551" s="4" t="s">
        <v>267</v>
      </c>
    </row>
    <row r="1552" spans="1:223" ht="19.5" customHeight="1" x14ac:dyDescent="0.4">
      <c r="A1552" s="4">
        <v>1</v>
      </c>
      <c r="B1552" s="4" t="s">
        <v>239</v>
      </c>
      <c r="C1552" s="4">
        <v>3226</v>
      </c>
      <c r="D1552" s="4">
        <v>1</v>
      </c>
      <c r="E1552" s="4">
        <v>1</v>
      </c>
      <c r="F1552" s="4" t="s">
        <v>268</v>
      </c>
      <c r="G1552" s="4" t="s">
        <v>241</v>
      </c>
      <c r="H1552" s="4" t="s">
        <v>241</v>
      </c>
      <c r="I1552" s="4" t="s">
        <v>272</v>
      </c>
      <c r="J1552" s="4" t="s">
        <v>274</v>
      </c>
      <c r="K1552" s="4" t="s">
        <v>251</v>
      </c>
      <c r="L1552" s="4" t="s">
        <v>269</v>
      </c>
      <c r="M1552" s="5" t="s">
        <v>2436</v>
      </c>
      <c r="N1552" s="6">
        <f>382</f>
        <v>382</v>
      </c>
      <c r="O1552" s="4" t="s">
        <v>265</v>
      </c>
      <c r="P1552" s="6">
        <f>1</f>
        <v>1</v>
      </c>
      <c r="Q1552" s="6">
        <f>0</f>
        <v>0</v>
      </c>
      <c r="S1552" s="6">
        <f>0</f>
        <v>0</v>
      </c>
      <c r="T1552" s="6">
        <f>1</f>
        <v>1</v>
      </c>
      <c r="U1552" s="5" t="s">
        <v>245</v>
      </c>
      <c r="V1552" s="4" t="s">
        <v>270</v>
      </c>
      <c r="W1552" s="4" t="s">
        <v>271</v>
      </c>
      <c r="X1552" s="4" t="s">
        <v>273</v>
      </c>
      <c r="Y1552" s="4" t="s">
        <v>241</v>
      </c>
      <c r="AB1552" s="4" t="s">
        <v>241</v>
      </c>
      <c r="AD1552" s="5" t="s">
        <v>241</v>
      </c>
      <c r="AG1552" s="5" t="s">
        <v>246</v>
      </c>
      <c r="AH1552" s="4" t="s">
        <v>241</v>
      </c>
      <c r="AI1552" s="4" t="s">
        <v>247</v>
      </c>
      <c r="AJ1552" s="4" t="s">
        <v>248</v>
      </c>
      <c r="AZ1552" s="4" t="s">
        <v>249</v>
      </c>
      <c r="BA1552" s="4" t="s">
        <v>241</v>
      </c>
      <c r="BB1552" s="4" t="s">
        <v>250</v>
      </c>
      <c r="BC1552" s="4" t="s">
        <v>241</v>
      </c>
      <c r="BD1552" s="4" t="s">
        <v>252</v>
      </c>
      <c r="BE1552" s="4" t="s">
        <v>241</v>
      </c>
      <c r="BI1552" s="4" t="s">
        <v>253</v>
      </c>
      <c r="BJ1552" s="5" t="s">
        <v>246</v>
      </c>
      <c r="BK1552" s="4" t="s">
        <v>254</v>
      </c>
      <c r="BL1552" s="4" t="s">
        <v>255</v>
      </c>
      <c r="BM1552" s="4" t="s">
        <v>241</v>
      </c>
      <c r="BN1552" s="6">
        <f>0</f>
        <v>0</v>
      </c>
      <c r="BO1552" s="6">
        <f>0</f>
        <v>0</v>
      </c>
      <c r="BP1552" s="4" t="s">
        <v>256</v>
      </c>
      <c r="BQ1552" s="4" t="s">
        <v>257</v>
      </c>
      <c r="CE1552" s="4" t="s">
        <v>241</v>
      </c>
      <c r="CF1552" s="4" t="s">
        <v>241</v>
      </c>
      <c r="CJ1552" s="4" t="s">
        <v>276</v>
      </c>
      <c r="CK1552" s="4" t="s">
        <v>259</v>
      </c>
      <c r="CL1552" s="4" t="s">
        <v>241</v>
      </c>
      <c r="CO1552" s="5" t="s">
        <v>260</v>
      </c>
      <c r="CP1552" s="4" t="s">
        <v>241</v>
      </c>
      <c r="CQ1552" s="4" t="s">
        <v>261</v>
      </c>
      <c r="CR1552" s="4" t="s">
        <v>241</v>
      </c>
      <c r="CS1552" s="4" t="s">
        <v>241</v>
      </c>
      <c r="CT1552" s="4">
        <v>0</v>
      </c>
      <c r="CU1552" s="4" t="s">
        <v>262</v>
      </c>
      <c r="CV1552" s="4" t="s">
        <v>263</v>
      </c>
      <c r="CW1552" s="4" t="s">
        <v>263</v>
      </c>
      <c r="CX1552" s="4" t="s">
        <v>264</v>
      </c>
      <c r="DA1552" s="6">
        <f>1</f>
        <v>1</v>
      </c>
      <c r="DC1552" s="4" t="s">
        <v>277</v>
      </c>
      <c r="DD1552" s="4" t="s">
        <v>241</v>
      </c>
      <c r="DF1552" s="4" t="s">
        <v>277</v>
      </c>
      <c r="DG1552" s="6">
        <f>382</f>
        <v>382</v>
      </c>
      <c r="DI1552" s="4" t="s">
        <v>241</v>
      </c>
      <c r="DJ1552" s="4" t="s">
        <v>241</v>
      </c>
      <c r="DK1552" s="4" t="s">
        <v>241</v>
      </c>
      <c r="DL1552" s="4" t="s">
        <v>241</v>
      </c>
      <c r="DP1552" s="4" t="s">
        <v>241</v>
      </c>
      <c r="DQ1552" s="4" t="s">
        <v>241</v>
      </c>
      <c r="DR1552" s="4" t="s">
        <v>241</v>
      </c>
      <c r="DS1552" s="4" t="s">
        <v>241</v>
      </c>
      <c r="DV1552" s="4" t="s">
        <v>278</v>
      </c>
      <c r="DW1552" s="4" t="s">
        <v>2437</v>
      </c>
      <c r="HO1552" s="4" t="s">
        <v>267</v>
      </c>
    </row>
    <row r="1553" spans="1:223" ht="19.5" customHeight="1" x14ac:dyDescent="0.4">
      <c r="A1553" s="4">
        <v>1</v>
      </c>
      <c r="B1553" s="4" t="s">
        <v>239</v>
      </c>
      <c r="C1553" s="4">
        <v>3227</v>
      </c>
      <c r="D1553" s="4">
        <v>1</v>
      </c>
      <c r="E1553" s="4">
        <v>1</v>
      </c>
      <c r="F1553" s="4" t="s">
        <v>268</v>
      </c>
      <c r="G1553" s="4" t="s">
        <v>241</v>
      </c>
      <c r="H1553" s="4" t="s">
        <v>241</v>
      </c>
      <c r="I1553" s="4" t="s">
        <v>272</v>
      </c>
      <c r="J1553" s="4" t="s">
        <v>274</v>
      </c>
      <c r="K1553" s="4" t="s">
        <v>251</v>
      </c>
      <c r="L1553" s="4" t="s">
        <v>269</v>
      </c>
      <c r="M1553" s="5" t="s">
        <v>2434</v>
      </c>
      <c r="N1553" s="6">
        <f>694</f>
        <v>694</v>
      </c>
      <c r="O1553" s="4" t="s">
        <v>265</v>
      </c>
      <c r="P1553" s="6">
        <f>1</f>
        <v>1</v>
      </c>
      <c r="Q1553" s="6">
        <f>0</f>
        <v>0</v>
      </c>
      <c r="S1553" s="6">
        <f>0</f>
        <v>0</v>
      </c>
      <c r="T1553" s="6">
        <f>1</f>
        <v>1</v>
      </c>
      <c r="U1553" s="5" t="s">
        <v>245</v>
      </c>
      <c r="V1553" s="4" t="s">
        <v>270</v>
      </c>
      <c r="W1553" s="4" t="s">
        <v>271</v>
      </c>
      <c r="X1553" s="4" t="s">
        <v>273</v>
      </c>
      <c r="Y1553" s="4" t="s">
        <v>241</v>
      </c>
      <c r="AB1553" s="4" t="s">
        <v>241</v>
      </c>
      <c r="AD1553" s="5" t="s">
        <v>241</v>
      </c>
      <c r="AG1553" s="5" t="s">
        <v>246</v>
      </c>
      <c r="AH1553" s="4" t="s">
        <v>241</v>
      </c>
      <c r="AI1553" s="4" t="s">
        <v>247</v>
      </c>
      <c r="AJ1553" s="4" t="s">
        <v>248</v>
      </c>
      <c r="AZ1553" s="4" t="s">
        <v>249</v>
      </c>
      <c r="BA1553" s="4" t="s">
        <v>241</v>
      </c>
      <c r="BB1553" s="4" t="s">
        <v>250</v>
      </c>
      <c r="BC1553" s="4" t="s">
        <v>241</v>
      </c>
      <c r="BD1553" s="4" t="s">
        <v>252</v>
      </c>
      <c r="BE1553" s="4" t="s">
        <v>241</v>
      </c>
      <c r="BI1553" s="4" t="s">
        <v>253</v>
      </c>
      <c r="BJ1553" s="5" t="s">
        <v>246</v>
      </c>
      <c r="BK1553" s="4" t="s">
        <v>254</v>
      </c>
      <c r="BL1553" s="4" t="s">
        <v>255</v>
      </c>
      <c r="BM1553" s="4" t="s">
        <v>241</v>
      </c>
      <c r="BN1553" s="6">
        <f>0</f>
        <v>0</v>
      </c>
      <c r="BO1553" s="6">
        <f>0</f>
        <v>0</v>
      </c>
      <c r="BP1553" s="4" t="s">
        <v>256</v>
      </c>
      <c r="BQ1553" s="4" t="s">
        <v>257</v>
      </c>
      <c r="CE1553" s="4" t="s">
        <v>241</v>
      </c>
      <c r="CF1553" s="4" t="s">
        <v>241</v>
      </c>
      <c r="CJ1553" s="4" t="s">
        <v>276</v>
      </c>
      <c r="CK1553" s="4" t="s">
        <v>259</v>
      </c>
      <c r="CL1553" s="4" t="s">
        <v>241</v>
      </c>
      <c r="CO1553" s="5" t="s">
        <v>260</v>
      </c>
      <c r="CP1553" s="4" t="s">
        <v>241</v>
      </c>
      <c r="CQ1553" s="4" t="s">
        <v>261</v>
      </c>
      <c r="CR1553" s="4" t="s">
        <v>241</v>
      </c>
      <c r="CS1553" s="4" t="s">
        <v>241</v>
      </c>
      <c r="CT1553" s="4">
        <v>0</v>
      </c>
      <c r="CU1553" s="4" t="s">
        <v>262</v>
      </c>
      <c r="CV1553" s="4" t="s">
        <v>263</v>
      </c>
      <c r="CW1553" s="4" t="s">
        <v>263</v>
      </c>
      <c r="CX1553" s="4" t="s">
        <v>264</v>
      </c>
      <c r="DA1553" s="6">
        <f>1</f>
        <v>1</v>
      </c>
      <c r="DC1553" s="4" t="s">
        <v>277</v>
      </c>
      <c r="DD1553" s="4" t="s">
        <v>241</v>
      </c>
      <c r="DF1553" s="4" t="s">
        <v>277</v>
      </c>
      <c r="DG1553" s="6">
        <f>694</f>
        <v>694</v>
      </c>
      <c r="DI1553" s="4" t="s">
        <v>241</v>
      </c>
      <c r="DJ1553" s="4" t="s">
        <v>241</v>
      </c>
      <c r="DK1553" s="4" t="s">
        <v>241</v>
      </c>
      <c r="DL1553" s="4" t="s">
        <v>241</v>
      </c>
      <c r="DP1553" s="4" t="s">
        <v>241</v>
      </c>
      <c r="DQ1553" s="4" t="s">
        <v>241</v>
      </c>
      <c r="DR1553" s="4" t="s">
        <v>241</v>
      </c>
      <c r="DS1553" s="4" t="s">
        <v>241</v>
      </c>
      <c r="DV1553" s="4" t="s">
        <v>278</v>
      </c>
      <c r="DW1553" s="4" t="s">
        <v>2435</v>
      </c>
      <c r="HO1553" s="4" t="s">
        <v>267</v>
      </c>
    </row>
    <row r="1554" spans="1:223" ht="19.5" customHeight="1" x14ac:dyDescent="0.4">
      <c r="A1554" s="4">
        <v>1</v>
      </c>
      <c r="B1554" s="4" t="s">
        <v>239</v>
      </c>
      <c r="C1554" s="4">
        <v>3228</v>
      </c>
      <c r="D1554" s="4">
        <v>1</v>
      </c>
      <c r="E1554" s="4">
        <v>1</v>
      </c>
      <c r="F1554" s="4" t="s">
        <v>268</v>
      </c>
      <c r="G1554" s="4" t="s">
        <v>241</v>
      </c>
      <c r="H1554" s="4" t="s">
        <v>241</v>
      </c>
      <c r="I1554" s="4" t="s">
        <v>272</v>
      </c>
      <c r="J1554" s="4" t="s">
        <v>274</v>
      </c>
      <c r="K1554" s="4" t="s">
        <v>251</v>
      </c>
      <c r="L1554" s="4" t="s">
        <v>269</v>
      </c>
      <c r="M1554" s="5" t="s">
        <v>2432</v>
      </c>
      <c r="N1554" s="6">
        <f>157</f>
        <v>157</v>
      </c>
      <c r="O1554" s="4" t="s">
        <v>265</v>
      </c>
      <c r="P1554" s="6">
        <f>1</f>
        <v>1</v>
      </c>
      <c r="Q1554" s="6">
        <f>0</f>
        <v>0</v>
      </c>
      <c r="S1554" s="6">
        <f>0</f>
        <v>0</v>
      </c>
      <c r="T1554" s="6">
        <f>1</f>
        <v>1</v>
      </c>
      <c r="U1554" s="5" t="s">
        <v>245</v>
      </c>
      <c r="V1554" s="4" t="s">
        <v>270</v>
      </c>
      <c r="W1554" s="4" t="s">
        <v>271</v>
      </c>
      <c r="X1554" s="4" t="s">
        <v>273</v>
      </c>
      <c r="Y1554" s="4" t="s">
        <v>241</v>
      </c>
      <c r="AB1554" s="4" t="s">
        <v>241</v>
      </c>
      <c r="AD1554" s="5" t="s">
        <v>241</v>
      </c>
      <c r="AG1554" s="5" t="s">
        <v>246</v>
      </c>
      <c r="AH1554" s="4" t="s">
        <v>241</v>
      </c>
      <c r="AI1554" s="4" t="s">
        <v>247</v>
      </c>
      <c r="AJ1554" s="4" t="s">
        <v>248</v>
      </c>
      <c r="AZ1554" s="4" t="s">
        <v>249</v>
      </c>
      <c r="BA1554" s="4" t="s">
        <v>241</v>
      </c>
      <c r="BB1554" s="4" t="s">
        <v>250</v>
      </c>
      <c r="BC1554" s="4" t="s">
        <v>241</v>
      </c>
      <c r="BD1554" s="4" t="s">
        <v>252</v>
      </c>
      <c r="BE1554" s="4" t="s">
        <v>241</v>
      </c>
      <c r="BI1554" s="4" t="s">
        <v>253</v>
      </c>
      <c r="BJ1554" s="5" t="s">
        <v>246</v>
      </c>
      <c r="BK1554" s="4" t="s">
        <v>254</v>
      </c>
      <c r="BL1554" s="4" t="s">
        <v>255</v>
      </c>
      <c r="BM1554" s="4" t="s">
        <v>241</v>
      </c>
      <c r="BN1554" s="6">
        <f>0</f>
        <v>0</v>
      </c>
      <c r="BO1554" s="6">
        <f>0</f>
        <v>0</v>
      </c>
      <c r="BP1554" s="4" t="s">
        <v>256</v>
      </c>
      <c r="BQ1554" s="4" t="s">
        <v>257</v>
      </c>
      <c r="CE1554" s="4" t="s">
        <v>241</v>
      </c>
      <c r="CF1554" s="4" t="s">
        <v>241</v>
      </c>
      <c r="CJ1554" s="4" t="s">
        <v>276</v>
      </c>
      <c r="CK1554" s="4" t="s">
        <v>259</v>
      </c>
      <c r="CL1554" s="4" t="s">
        <v>241</v>
      </c>
      <c r="CO1554" s="5" t="s">
        <v>260</v>
      </c>
      <c r="CP1554" s="4" t="s">
        <v>241</v>
      </c>
      <c r="CQ1554" s="4" t="s">
        <v>261</v>
      </c>
      <c r="CR1554" s="4" t="s">
        <v>241</v>
      </c>
      <c r="CS1554" s="4" t="s">
        <v>241</v>
      </c>
      <c r="CT1554" s="4">
        <v>0</v>
      </c>
      <c r="CU1554" s="4" t="s">
        <v>262</v>
      </c>
      <c r="CV1554" s="4" t="s">
        <v>263</v>
      </c>
      <c r="CW1554" s="4" t="s">
        <v>263</v>
      </c>
      <c r="CX1554" s="4" t="s">
        <v>264</v>
      </c>
      <c r="DA1554" s="6">
        <f>1</f>
        <v>1</v>
      </c>
      <c r="DC1554" s="4" t="s">
        <v>277</v>
      </c>
      <c r="DD1554" s="4" t="s">
        <v>241</v>
      </c>
      <c r="DF1554" s="4" t="s">
        <v>277</v>
      </c>
      <c r="DG1554" s="6">
        <f>157</f>
        <v>157</v>
      </c>
      <c r="DI1554" s="4" t="s">
        <v>241</v>
      </c>
      <c r="DJ1554" s="4" t="s">
        <v>241</v>
      </c>
      <c r="DK1554" s="4" t="s">
        <v>241</v>
      </c>
      <c r="DL1554" s="4" t="s">
        <v>241</v>
      </c>
      <c r="DP1554" s="4" t="s">
        <v>241</v>
      </c>
      <c r="DQ1554" s="4" t="s">
        <v>241</v>
      </c>
      <c r="DR1554" s="4" t="s">
        <v>241</v>
      </c>
      <c r="DS1554" s="4" t="s">
        <v>241</v>
      </c>
      <c r="DV1554" s="4" t="s">
        <v>278</v>
      </c>
      <c r="DW1554" s="4" t="s">
        <v>2433</v>
      </c>
      <c r="HO1554" s="4" t="s">
        <v>267</v>
      </c>
    </row>
    <row r="1555" spans="1:223" ht="19.5" customHeight="1" x14ac:dyDescent="0.4">
      <c r="A1555" s="4">
        <v>1</v>
      </c>
      <c r="B1555" s="4" t="s">
        <v>239</v>
      </c>
      <c r="C1555" s="4">
        <v>3229</v>
      </c>
      <c r="D1555" s="4">
        <v>1</v>
      </c>
      <c r="E1555" s="4">
        <v>1</v>
      </c>
      <c r="F1555" s="4" t="s">
        <v>268</v>
      </c>
      <c r="G1555" s="4" t="s">
        <v>241</v>
      </c>
      <c r="H1555" s="4" t="s">
        <v>241</v>
      </c>
      <c r="I1555" s="4" t="s">
        <v>272</v>
      </c>
      <c r="J1555" s="4" t="s">
        <v>274</v>
      </c>
      <c r="K1555" s="4" t="s">
        <v>251</v>
      </c>
      <c r="L1555" s="4" t="s">
        <v>269</v>
      </c>
      <c r="M1555" s="5" t="s">
        <v>2430</v>
      </c>
      <c r="N1555" s="6">
        <f>8.3</f>
        <v>8.3000000000000007</v>
      </c>
      <c r="O1555" s="4" t="s">
        <v>265</v>
      </c>
      <c r="P1555" s="6">
        <f>1</f>
        <v>1</v>
      </c>
      <c r="Q1555" s="6">
        <f>0</f>
        <v>0</v>
      </c>
      <c r="S1555" s="6">
        <f>0</f>
        <v>0</v>
      </c>
      <c r="T1555" s="6">
        <f>1</f>
        <v>1</v>
      </c>
      <c r="U1555" s="5" t="s">
        <v>245</v>
      </c>
      <c r="V1555" s="4" t="s">
        <v>270</v>
      </c>
      <c r="W1555" s="4" t="s">
        <v>271</v>
      </c>
      <c r="X1555" s="4" t="s">
        <v>273</v>
      </c>
      <c r="Y1555" s="4" t="s">
        <v>241</v>
      </c>
      <c r="AB1555" s="4" t="s">
        <v>241</v>
      </c>
      <c r="AD1555" s="5" t="s">
        <v>241</v>
      </c>
      <c r="AG1555" s="5" t="s">
        <v>246</v>
      </c>
      <c r="AH1555" s="4" t="s">
        <v>241</v>
      </c>
      <c r="AI1555" s="4" t="s">
        <v>247</v>
      </c>
      <c r="AJ1555" s="4" t="s">
        <v>248</v>
      </c>
      <c r="AZ1555" s="4" t="s">
        <v>249</v>
      </c>
      <c r="BA1555" s="4" t="s">
        <v>241</v>
      </c>
      <c r="BB1555" s="4" t="s">
        <v>250</v>
      </c>
      <c r="BC1555" s="4" t="s">
        <v>241</v>
      </c>
      <c r="BD1555" s="4" t="s">
        <v>252</v>
      </c>
      <c r="BE1555" s="4" t="s">
        <v>241</v>
      </c>
      <c r="BI1555" s="4" t="s">
        <v>253</v>
      </c>
      <c r="BJ1555" s="5" t="s">
        <v>246</v>
      </c>
      <c r="BK1555" s="4" t="s">
        <v>254</v>
      </c>
      <c r="BL1555" s="4" t="s">
        <v>255</v>
      </c>
      <c r="BM1555" s="4" t="s">
        <v>241</v>
      </c>
      <c r="BN1555" s="6">
        <f>0</f>
        <v>0</v>
      </c>
      <c r="BO1555" s="6">
        <f>0</f>
        <v>0</v>
      </c>
      <c r="BP1555" s="4" t="s">
        <v>256</v>
      </c>
      <c r="BQ1555" s="4" t="s">
        <v>257</v>
      </c>
      <c r="CE1555" s="4" t="s">
        <v>241</v>
      </c>
      <c r="CF1555" s="4" t="s">
        <v>241</v>
      </c>
      <c r="CJ1555" s="4" t="s">
        <v>276</v>
      </c>
      <c r="CK1555" s="4" t="s">
        <v>259</v>
      </c>
      <c r="CL1555" s="4" t="s">
        <v>241</v>
      </c>
      <c r="CO1555" s="5" t="s">
        <v>260</v>
      </c>
      <c r="CP1555" s="4" t="s">
        <v>241</v>
      </c>
      <c r="CQ1555" s="4" t="s">
        <v>261</v>
      </c>
      <c r="CR1555" s="4" t="s">
        <v>241</v>
      </c>
      <c r="CS1555" s="4" t="s">
        <v>241</v>
      </c>
      <c r="CT1555" s="4">
        <v>0</v>
      </c>
      <c r="CU1555" s="4" t="s">
        <v>262</v>
      </c>
      <c r="CV1555" s="4" t="s">
        <v>263</v>
      </c>
      <c r="CW1555" s="4" t="s">
        <v>263</v>
      </c>
      <c r="CX1555" s="4" t="s">
        <v>264</v>
      </c>
      <c r="DA1555" s="6">
        <f>1</f>
        <v>1</v>
      </c>
      <c r="DC1555" s="4" t="s">
        <v>277</v>
      </c>
      <c r="DD1555" s="4" t="s">
        <v>241</v>
      </c>
      <c r="DF1555" s="4" t="s">
        <v>277</v>
      </c>
      <c r="DG1555" s="6">
        <f>8.3</f>
        <v>8.3000000000000007</v>
      </c>
      <c r="DI1555" s="4" t="s">
        <v>241</v>
      </c>
      <c r="DJ1555" s="4" t="s">
        <v>241</v>
      </c>
      <c r="DK1555" s="4" t="s">
        <v>241</v>
      </c>
      <c r="DL1555" s="4" t="s">
        <v>241</v>
      </c>
      <c r="DP1555" s="4" t="s">
        <v>241</v>
      </c>
      <c r="DQ1555" s="4" t="s">
        <v>241</v>
      </c>
      <c r="DR1555" s="4" t="s">
        <v>241</v>
      </c>
      <c r="DS1555" s="4" t="s">
        <v>241</v>
      </c>
      <c r="DV1555" s="4" t="s">
        <v>278</v>
      </c>
      <c r="DW1555" s="4" t="s">
        <v>2431</v>
      </c>
      <c r="HO1555" s="4" t="s">
        <v>267</v>
      </c>
    </row>
    <row r="1556" spans="1:223" ht="19.5" customHeight="1" x14ac:dyDescent="0.4">
      <c r="A1556" s="4">
        <v>1</v>
      </c>
      <c r="B1556" s="4" t="s">
        <v>239</v>
      </c>
      <c r="C1556" s="4">
        <v>3230</v>
      </c>
      <c r="D1556" s="4">
        <v>1</v>
      </c>
      <c r="E1556" s="4">
        <v>1</v>
      </c>
      <c r="F1556" s="4" t="s">
        <v>268</v>
      </c>
      <c r="G1556" s="4" t="s">
        <v>241</v>
      </c>
      <c r="H1556" s="4" t="s">
        <v>241</v>
      </c>
      <c r="I1556" s="4" t="s">
        <v>272</v>
      </c>
      <c r="J1556" s="4" t="s">
        <v>274</v>
      </c>
      <c r="K1556" s="4" t="s">
        <v>251</v>
      </c>
      <c r="L1556" s="4" t="s">
        <v>269</v>
      </c>
      <c r="M1556" s="5" t="s">
        <v>2428</v>
      </c>
      <c r="N1556" s="6">
        <f>2759</f>
        <v>2759</v>
      </c>
      <c r="O1556" s="4" t="s">
        <v>265</v>
      </c>
      <c r="P1556" s="6">
        <f>1</f>
        <v>1</v>
      </c>
      <c r="Q1556" s="6">
        <f>0</f>
        <v>0</v>
      </c>
      <c r="S1556" s="6">
        <f>0</f>
        <v>0</v>
      </c>
      <c r="T1556" s="6">
        <f>1</f>
        <v>1</v>
      </c>
      <c r="U1556" s="5" t="s">
        <v>245</v>
      </c>
      <c r="V1556" s="4" t="s">
        <v>270</v>
      </c>
      <c r="W1556" s="4" t="s">
        <v>271</v>
      </c>
      <c r="X1556" s="4" t="s">
        <v>273</v>
      </c>
      <c r="Y1556" s="4" t="s">
        <v>241</v>
      </c>
      <c r="AB1556" s="4" t="s">
        <v>241</v>
      </c>
      <c r="AD1556" s="5" t="s">
        <v>241</v>
      </c>
      <c r="AG1556" s="5" t="s">
        <v>246</v>
      </c>
      <c r="AH1556" s="4" t="s">
        <v>241</v>
      </c>
      <c r="AI1556" s="4" t="s">
        <v>247</v>
      </c>
      <c r="AJ1556" s="4" t="s">
        <v>248</v>
      </c>
      <c r="AZ1556" s="4" t="s">
        <v>249</v>
      </c>
      <c r="BA1556" s="4" t="s">
        <v>241</v>
      </c>
      <c r="BB1556" s="4" t="s">
        <v>250</v>
      </c>
      <c r="BC1556" s="4" t="s">
        <v>241</v>
      </c>
      <c r="BD1556" s="4" t="s">
        <v>252</v>
      </c>
      <c r="BE1556" s="4" t="s">
        <v>241</v>
      </c>
      <c r="BI1556" s="4" t="s">
        <v>253</v>
      </c>
      <c r="BJ1556" s="5" t="s">
        <v>246</v>
      </c>
      <c r="BK1556" s="4" t="s">
        <v>254</v>
      </c>
      <c r="BL1556" s="4" t="s">
        <v>255</v>
      </c>
      <c r="BM1556" s="4" t="s">
        <v>241</v>
      </c>
      <c r="BN1556" s="6">
        <f>0</f>
        <v>0</v>
      </c>
      <c r="BO1556" s="6">
        <f>0</f>
        <v>0</v>
      </c>
      <c r="BP1556" s="4" t="s">
        <v>256</v>
      </c>
      <c r="BQ1556" s="4" t="s">
        <v>257</v>
      </c>
      <c r="CE1556" s="4" t="s">
        <v>241</v>
      </c>
      <c r="CF1556" s="4" t="s">
        <v>241</v>
      </c>
      <c r="CJ1556" s="4" t="s">
        <v>276</v>
      </c>
      <c r="CK1556" s="4" t="s">
        <v>259</v>
      </c>
      <c r="CL1556" s="4" t="s">
        <v>241</v>
      </c>
      <c r="CO1556" s="5" t="s">
        <v>260</v>
      </c>
      <c r="CP1556" s="4" t="s">
        <v>241</v>
      </c>
      <c r="CQ1556" s="4" t="s">
        <v>261</v>
      </c>
      <c r="CR1556" s="4" t="s">
        <v>241</v>
      </c>
      <c r="CS1556" s="4" t="s">
        <v>241</v>
      </c>
      <c r="CT1556" s="4">
        <v>0</v>
      </c>
      <c r="CU1556" s="4" t="s">
        <v>262</v>
      </c>
      <c r="CV1556" s="4" t="s">
        <v>263</v>
      </c>
      <c r="CW1556" s="4" t="s">
        <v>263</v>
      </c>
      <c r="CX1556" s="4" t="s">
        <v>264</v>
      </c>
      <c r="DA1556" s="6">
        <f>1</f>
        <v>1</v>
      </c>
      <c r="DC1556" s="4" t="s">
        <v>277</v>
      </c>
      <c r="DD1556" s="4" t="s">
        <v>241</v>
      </c>
      <c r="DF1556" s="4" t="s">
        <v>277</v>
      </c>
      <c r="DG1556" s="6">
        <f>2759</f>
        <v>2759</v>
      </c>
      <c r="DI1556" s="4" t="s">
        <v>241</v>
      </c>
      <c r="DJ1556" s="4" t="s">
        <v>241</v>
      </c>
      <c r="DK1556" s="4" t="s">
        <v>241</v>
      </c>
      <c r="DL1556" s="4" t="s">
        <v>241</v>
      </c>
      <c r="DP1556" s="4" t="s">
        <v>241</v>
      </c>
      <c r="DQ1556" s="4" t="s">
        <v>241</v>
      </c>
      <c r="DR1556" s="4" t="s">
        <v>241</v>
      </c>
      <c r="DS1556" s="4" t="s">
        <v>241</v>
      </c>
      <c r="DV1556" s="4" t="s">
        <v>278</v>
      </c>
      <c r="DW1556" s="4" t="s">
        <v>2429</v>
      </c>
      <c r="HO1556" s="4" t="s">
        <v>267</v>
      </c>
    </row>
    <row r="1557" spans="1:223" ht="19.5" customHeight="1" x14ac:dyDescent="0.4">
      <c r="A1557" s="4">
        <v>1</v>
      </c>
      <c r="B1557" s="4" t="s">
        <v>239</v>
      </c>
      <c r="C1557" s="4">
        <v>3231</v>
      </c>
      <c r="D1557" s="4">
        <v>1</v>
      </c>
      <c r="E1557" s="4">
        <v>1</v>
      </c>
      <c r="F1557" s="4" t="s">
        <v>268</v>
      </c>
      <c r="G1557" s="4" t="s">
        <v>241</v>
      </c>
      <c r="H1557" s="4" t="s">
        <v>241</v>
      </c>
      <c r="I1557" s="4" t="s">
        <v>272</v>
      </c>
      <c r="J1557" s="4" t="s">
        <v>274</v>
      </c>
      <c r="K1557" s="4" t="s">
        <v>251</v>
      </c>
      <c r="L1557" s="4" t="s">
        <v>269</v>
      </c>
      <c r="M1557" s="5" t="s">
        <v>2426</v>
      </c>
      <c r="N1557" s="6">
        <f>520</f>
        <v>520</v>
      </c>
      <c r="O1557" s="4" t="s">
        <v>265</v>
      </c>
      <c r="P1557" s="6">
        <f>1</f>
        <v>1</v>
      </c>
      <c r="Q1557" s="6">
        <f>0</f>
        <v>0</v>
      </c>
      <c r="S1557" s="6">
        <f>0</f>
        <v>0</v>
      </c>
      <c r="T1557" s="6">
        <f>1</f>
        <v>1</v>
      </c>
      <c r="U1557" s="5" t="s">
        <v>245</v>
      </c>
      <c r="V1557" s="4" t="s">
        <v>270</v>
      </c>
      <c r="W1557" s="4" t="s">
        <v>271</v>
      </c>
      <c r="X1557" s="4" t="s">
        <v>273</v>
      </c>
      <c r="Y1557" s="4" t="s">
        <v>241</v>
      </c>
      <c r="AB1557" s="4" t="s">
        <v>241</v>
      </c>
      <c r="AD1557" s="5" t="s">
        <v>241</v>
      </c>
      <c r="AG1557" s="5" t="s">
        <v>246</v>
      </c>
      <c r="AH1557" s="4" t="s">
        <v>241</v>
      </c>
      <c r="AI1557" s="4" t="s">
        <v>247</v>
      </c>
      <c r="AJ1557" s="4" t="s">
        <v>248</v>
      </c>
      <c r="AZ1557" s="4" t="s">
        <v>249</v>
      </c>
      <c r="BA1557" s="4" t="s">
        <v>241</v>
      </c>
      <c r="BB1557" s="4" t="s">
        <v>250</v>
      </c>
      <c r="BC1557" s="4" t="s">
        <v>241</v>
      </c>
      <c r="BD1557" s="4" t="s">
        <v>252</v>
      </c>
      <c r="BE1557" s="4" t="s">
        <v>241</v>
      </c>
      <c r="BI1557" s="4" t="s">
        <v>253</v>
      </c>
      <c r="BJ1557" s="5" t="s">
        <v>246</v>
      </c>
      <c r="BK1557" s="4" t="s">
        <v>254</v>
      </c>
      <c r="BL1557" s="4" t="s">
        <v>255</v>
      </c>
      <c r="BM1557" s="4" t="s">
        <v>241</v>
      </c>
      <c r="BN1557" s="6">
        <f>0</f>
        <v>0</v>
      </c>
      <c r="BO1557" s="6">
        <f>0</f>
        <v>0</v>
      </c>
      <c r="BP1557" s="4" t="s">
        <v>256</v>
      </c>
      <c r="BQ1557" s="4" t="s">
        <v>257</v>
      </c>
      <c r="CE1557" s="4" t="s">
        <v>241</v>
      </c>
      <c r="CF1557" s="4" t="s">
        <v>241</v>
      </c>
      <c r="CJ1557" s="4" t="s">
        <v>276</v>
      </c>
      <c r="CK1557" s="4" t="s">
        <v>259</v>
      </c>
      <c r="CL1557" s="4" t="s">
        <v>241</v>
      </c>
      <c r="CO1557" s="5" t="s">
        <v>260</v>
      </c>
      <c r="CP1557" s="4" t="s">
        <v>241</v>
      </c>
      <c r="CQ1557" s="4" t="s">
        <v>261</v>
      </c>
      <c r="CR1557" s="4" t="s">
        <v>241</v>
      </c>
      <c r="CS1557" s="4" t="s">
        <v>241</v>
      </c>
      <c r="CT1557" s="4">
        <v>0</v>
      </c>
      <c r="CU1557" s="4" t="s">
        <v>262</v>
      </c>
      <c r="CV1557" s="4" t="s">
        <v>263</v>
      </c>
      <c r="CW1557" s="4" t="s">
        <v>263</v>
      </c>
      <c r="CX1557" s="4" t="s">
        <v>264</v>
      </c>
      <c r="DA1557" s="6">
        <f>1</f>
        <v>1</v>
      </c>
      <c r="DC1557" s="4" t="s">
        <v>277</v>
      </c>
      <c r="DD1557" s="4" t="s">
        <v>241</v>
      </c>
      <c r="DF1557" s="4" t="s">
        <v>277</v>
      </c>
      <c r="DG1557" s="6">
        <f>520</f>
        <v>520</v>
      </c>
      <c r="DI1557" s="4" t="s">
        <v>241</v>
      </c>
      <c r="DJ1557" s="4" t="s">
        <v>241</v>
      </c>
      <c r="DK1557" s="4" t="s">
        <v>241</v>
      </c>
      <c r="DL1557" s="4" t="s">
        <v>241</v>
      </c>
      <c r="DP1557" s="4" t="s">
        <v>241</v>
      </c>
      <c r="DQ1557" s="4" t="s">
        <v>241</v>
      </c>
      <c r="DR1557" s="4" t="s">
        <v>241</v>
      </c>
      <c r="DS1557" s="4" t="s">
        <v>241</v>
      </c>
      <c r="DV1557" s="4" t="s">
        <v>278</v>
      </c>
      <c r="DW1557" s="4" t="s">
        <v>2427</v>
      </c>
      <c r="HO1557" s="4" t="s">
        <v>267</v>
      </c>
    </row>
    <row r="1558" spans="1:223" ht="19.5" customHeight="1" x14ac:dyDescent="0.4">
      <c r="A1558" s="4">
        <v>1</v>
      </c>
      <c r="B1558" s="4" t="s">
        <v>239</v>
      </c>
      <c r="C1558" s="4">
        <v>3232</v>
      </c>
      <c r="D1558" s="4">
        <v>1</v>
      </c>
      <c r="E1558" s="4">
        <v>1</v>
      </c>
      <c r="F1558" s="4" t="s">
        <v>268</v>
      </c>
      <c r="G1558" s="4" t="s">
        <v>241</v>
      </c>
      <c r="H1558" s="4" t="s">
        <v>241</v>
      </c>
      <c r="I1558" s="4" t="s">
        <v>272</v>
      </c>
      <c r="J1558" s="4" t="s">
        <v>274</v>
      </c>
      <c r="K1558" s="4" t="s">
        <v>251</v>
      </c>
      <c r="L1558" s="4" t="s">
        <v>269</v>
      </c>
      <c r="M1558" s="5" t="s">
        <v>2424</v>
      </c>
      <c r="N1558" s="6">
        <f>1329</f>
        <v>1329</v>
      </c>
      <c r="O1558" s="4" t="s">
        <v>265</v>
      </c>
      <c r="P1558" s="6">
        <f>1</f>
        <v>1</v>
      </c>
      <c r="Q1558" s="6">
        <f>0</f>
        <v>0</v>
      </c>
      <c r="S1558" s="6">
        <f>0</f>
        <v>0</v>
      </c>
      <c r="T1558" s="6">
        <f>1</f>
        <v>1</v>
      </c>
      <c r="U1558" s="5" t="s">
        <v>245</v>
      </c>
      <c r="V1558" s="4" t="s">
        <v>270</v>
      </c>
      <c r="W1558" s="4" t="s">
        <v>271</v>
      </c>
      <c r="X1558" s="4" t="s">
        <v>273</v>
      </c>
      <c r="Y1558" s="4" t="s">
        <v>241</v>
      </c>
      <c r="AB1558" s="4" t="s">
        <v>241</v>
      </c>
      <c r="AD1558" s="5" t="s">
        <v>241</v>
      </c>
      <c r="AG1558" s="5" t="s">
        <v>246</v>
      </c>
      <c r="AH1558" s="4" t="s">
        <v>241</v>
      </c>
      <c r="AI1558" s="4" t="s">
        <v>247</v>
      </c>
      <c r="AJ1558" s="4" t="s">
        <v>248</v>
      </c>
      <c r="AZ1558" s="4" t="s">
        <v>249</v>
      </c>
      <c r="BA1558" s="4" t="s">
        <v>241</v>
      </c>
      <c r="BB1558" s="4" t="s">
        <v>250</v>
      </c>
      <c r="BC1558" s="4" t="s">
        <v>241</v>
      </c>
      <c r="BD1558" s="4" t="s">
        <v>252</v>
      </c>
      <c r="BE1558" s="4" t="s">
        <v>241</v>
      </c>
      <c r="BI1558" s="4" t="s">
        <v>253</v>
      </c>
      <c r="BJ1558" s="5" t="s">
        <v>246</v>
      </c>
      <c r="BK1558" s="4" t="s">
        <v>254</v>
      </c>
      <c r="BL1558" s="4" t="s">
        <v>255</v>
      </c>
      <c r="BM1558" s="4" t="s">
        <v>241</v>
      </c>
      <c r="BN1558" s="6">
        <f>0</f>
        <v>0</v>
      </c>
      <c r="BO1558" s="6">
        <f>0</f>
        <v>0</v>
      </c>
      <c r="BP1558" s="4" t="s">
        <v>256</v>
      </c>
      <c r="BQ1558" s="4" t="s">
        <v>257</v>
      </c>
      <c r="CE1558" s="4" t="s">
        <v>241</v>
      </c>
      <c r="CF1558" s="4" t="s">
        <v>241</v>
      </c>
      <c r="CJ1558" s="4" t="s">
        <v>276</v>
      </c>
      <c r="CK1558" s="4" t="s">
        <v>259</v>
      </c>
      <c r="CL1558" s="4" t="s">
        <v>241</v>
      </c>
      <c r="CO1558" s="5" t="s">
        <v>260</v>
      </c>
      <c r="CP1558" s="4" t="s">
        <v>241</v>
      </c>
      <c r="CQ1558" s="4" t="s">
        <v>261</v>
      </c>
      <c r="CR1558" s="4" t="s">
        <v>241</v>
      </c>
      <c r="CS1558" s="4" t="s">
        <v>241</v>
      </c>
      <c r="CT1558" s="4">
        <v>0</v>
      </c>
      <c r="CU1558" s="4" t="s">
        <v>262</v>
      </c>
      <c r="CV1558" s="4" t="s">
        <v>263</v>
      </c>
      <c r="CW1558" s="4" t="s">
        <v>263</v>
      </c>
      <c r="CX1558" s="4" t="s">
        <v>264</v>
      </c>
      <c r="DA1558" s="6">
        <f>1</f>
        <v>1</v>
      </c>
      <c r="DC1558" s="4" t="s">
        <v>277</v>
      </c>
      <c r="DD1558" s="4" t="s">
        <v>241</v>
      </c>
      <c r="DF1558" s="4" t="s">
        <v>277</v>
      </c>
      <c r="DG1558" s="6">
        <f>1329</f>
        <v>1329</v>
      </c>
      <c r="DI1558" s="4" t="s">
        <v>241</v>
      </c>
      <c r="DJ1558" s="4" t="s">
        <v>241</v>
      </c>
      <c r="DK1558" s="4" t="s">
        <v>241</v>
      </c>
      <c r="DL1558" s="4" t="s">
        <v>241</v>
      </c>
      <c r="DP1558" s="4" t="s">
        <v>241</v>
      </c>
      <c r="DQ1558" s="4" t="s">
        <v>241</v>
      </c>
      <c r="DR1558" s="4" t="s">
        <v>241</v>
      </c>
      <c r="DS1558" s="4" t="s">
        <v>241</v>
      </c>
      <c r="DV1558" s="4" t="s">
        <v>278</v>
      </c>
      <c r="DW1558" s="4" t="s">
        <v>2425</v>
      </c>
      <c r="HO1558" s="4" t="s">
        <v>267</v>
      </c>
    </row>
    <row r="1559" spans="1:223" ht="19.5" customHeight="1" x14ac:dyDescent="0.4">
      <c r="A1559" s="4">
        <v>1</v>
      </c>
      <c r="B1559" s="4" t="s">
        <v>239</v>
      </c>
      <c r="C1559" s="4">
        <v>3233</v>
      </c>
      <c r="D1559" s="4">
        <v>1</v>
      </c>
      <c r="E1559" s="4">
        <v>1</v>
      </c>
      <c r="F1559" s="4" t="s">
        <v>268</v>
      </c>
      <c r="G1559" s="4" t="s">
        <v>241</v>
      </c>
      <c r="H1559" s="4" t="s">
        <v>241</v>
      </c>
      <c r="I1559" s="4" t="s">
        <v>272</v>
      </c>
      <c r="J1559" s="4" t="s">
        <v>274</v>
      </c>
      <c r="K1559" s="4" t="s">
        <v>251</v>
      </c>
      <c r="L1559" s="4" t="s">
        <v>269</v>
      </c>
      <c r="M1559" s="5" t="s">
        <v>2422</v>
      </c>
      <c r="N1559" s="6">
        <f>143</f>
        <v>143</v>
      </c>
      <c r="O1559" s="4" t="s">
        <v>265</v>
      </c>
      <c r="P1559" s="6">
        <f>1</f>
        <v>1</v>
      </c>
      <c r="Q1559" s="6">
        <f>0</f>
        <v>0</v>
      </c>
      <c r="S1559" s="6">
        <f>0</f>
        <v>0</v>
      </c>
      <c r="T1559" s="6">
        <f>1</f>
        <v>1</v>
      </c>
      <c r="U1559" s="5" t="s">
        <v>245</v>
      </c>
      <c r="V1559" s="4" t="s">
        <v>270</v>
      </c>
      <c r="W1559" s="4" t="s">
        <v>271</v>
      </c>
      <c r="X1559" s="4" t="s">
        <v>273</v>
      </c>
      <c r="Y1559" s="4" t="s">
        <v>241</v>
      </c>
      <c r="AB1559" s="4" t="s">
        <v>241</v>
      </c>
      <c r="AD1559" s="5" t="s">
        <v>241</v>
      </c>
      <c r="AG1559" s="5" t="s">
        <v>246</v>
      </c>
      <c r="AH1559" s="4" t="s">
        <v>241</v>
      </c>
      <c r="AI1559" s="4" t="s">
        <v>247</v>
      </c>
      <c r="AJ1559" s="4" t="s">
        <v>248</v>
      </c>
      <c r="AZ1559" s="4" t="s">
        <v>249</v>
      </c>
      <c r="BA1559" s="4" t="s">
        <v>241</v>
      </c>
      <c r="BB1559" s="4" t="s">
        <v>250</v>
      </c>
      <c r="BC1559" s="4" t="s">
        <v>241</v>
      </c>
      <c r="BD1559" s="4" t="s">
        <v>252</v>
      </c>
      <c r="BE1559" s="4" t="s">
        <v>241</v>
      </c>
      <c r="BI1559" s="4" t="s">
        <v>253</v>
      </c>
      <c r="BJ1559" s="5" t="s">
        <v>246</v>
      </c>
      <c r="BK1559" s="4" t="s">
        <v>254</v>
      </c>
      <c r="BL1559" s="4" t="s">
        <v>255</v>
      </c>
      <c r="BM1559" s="4" t="s">
        <v>241</v>
      </c>
      <c r="BN1559" s="6">
        <f>0</f>
        <v>0</v>
      </c>
      <c r="BO1559" s="6">
        <f>0</f>
        <v>0</v>
      </c>
      <c r="BP1559" s="4" t="s">
        <v>256</v>
      </c>
      <c r="BQ1559" s="4" t="s">
        <v>257</v>
      </c>
      <c r="CE1559" s="4" t="s">
        <v>241</v>
      </c>
      <c r="CF1559" s="4" t="s">
        <v>241</v>
      </c>
      <c r="CJ1559" s="4" t="s">
        <v>276</v>
      </c>
      <c r="CK1559" s="4" t="s">
        <v>259</v>
      </c>
      <c r="CL1559" s="4" t="s">
        <v>241</v>
      </c>
      <c r="CO1559" s="5" t="s">
        <v>260</v>
      </c>
      <c r="CP1559" s="4" t="s">
        <v>241</v>
      </c>
      <c r="CQ1559" s="4" t="s">
        <v>261</v>
      </c>
      <c r="CR1559" s="4" t="s">
        <v>241</v>
      </c>
      <c r="CS1559" s="4" t="s">
        <v>241</v>
      </c>
      <c r="CT1559" s="4">
        <v>0</v>
      </c>
      <c r="CU1559" s="4" t="s">
        <v>262</v>
      </c>
      <c r="CV1559" s="4" t="s">
        <v>263</v>
      </c>
      <c r="CW1559" s="4" t="s">
        <v>263</v>
      </c>
      <c r="CX1559" s="4" t="s">
        <v>264</v>
      </c>
      <c r="DA1559" s="6">
        <f>1</f>
        <v>1</v>
      </c>
      <c r="DC1559" s="4" t="s">
        <v>277</v>
      </c>
      <c r="DD1559" s="4" t="s">
        <v>241</v>
      </c>
      <c r="DF1559" s="4" t="s">
        <v>277</v>
      </c>
      <c r="DG1559" s="6">
        <f>143</f>
        <v>143</v>
      </c>
      <c r="DI1559" s="4" t="s">
        <v>241</v>
      </c>
      <c r="DJ1559" s="4" t="s">
        <v>241</v>
      </c>
      <c r="DK1559" s="4" t="s">
        <v>241</v>
      </c>
      <c r="DL1559" s="4" t="s">
        <v>241</v>
      </c>
      <c r="DP1559" s="4" t="s">
        <v>241</v>
      </c>
      <c r="DQ1559" s="4" t="s">
        <v>241</v>
      </c>
      <c r="DR1559" s="4" t="s">
        <v>241</v>
      </c>
      <c r="DS1559" s="4" t="s">
        <v>241</v>
      </c>
      <c r="DV1559" s="4" t="s">
        <v>278</v>
      </c>
      <c r="DW1559" s="4" t="s">
        <v>2423</v>
      </c>
      <c r="HO1559" s="4" t="s">
        <v>267</v>
      </c>
    </row>
    <row r="1560" spans="1:223" ht="19.5" customHeight="1" x14ac:dyDescent="0.4">
      <c r="A1560" s="4">
        <v>1</v>
      </c>
      <c r="B1560" s="4" t="s">
        <v>239</v>
      </c>
      <c r="C1560" s="4">
        <v>3234</v>
      </c>
      <c r="D1560" s="4">
        <v>1</v>
      </c>
      <c r="E1560" s="4">
        <v>1</v>
      </c>
      <c r="F1560" s="4" t="s">
        <v>268</v>
      </c>
      <c r="G1560" s="4" t="s">
        <v>241</v>
      </c>
      <c r="H1560" s="4" t="s">
        <v>241</v>
      </c>
      <c r="I1560" s="4" t="s">
        <v>272</v>
      </c>
      <c r="J1560" s="4" t="s">
        <v>274</v>
      </c>
      <c r="K1560" s="4" t="s">
        <v>251</v>
      </c>
      <c r="L1560" s="4" t="s">
        <v>269</v>
      </c>
      <c r="M1560" s="5" t="s">
        <v>2420</v>
      </c>
      <c r="N1560" s="6">
        <f>3353</f>
        <v>3353</v>
      </c>
      <c r="O1560" s="4" t="s">
        <v>265</v>
      </c>
      <c r="P1560" s="6">
        <f>1</f>
        <v>1</v>
      </c>
      <c r="Q1560" s="6">
        <f>0</f>
        <v>0</v>
      </c>
      <c r="S1560" s="6">
        <f>0</f>
        <v>0</v>
      </c>
      <c r="T1560" s="6">
        <f>1</f>
        <v>1</v>
      </c>
      <c r="U1560" s="5" t="s">
        <v>245</v>
      </c>
      <c r="V1560" s="4" t="s">
        <v>270</v>
      </c>
      <c r="W1560" s="4" t="s">
        <v>271</v>
      </c>
      <c r="X1560" s="4" t="s">
        <v>273</v>
      </c>
      <c r="Y1560" s="4" t="s">
        <v>241</v>
      </c>
      <c r="AB1560" s="4" t="s">
        <v>241</v>
      </c>
      <c r="AD1560" s="5" t="s">
        <v>241</v>
      </c>
      <c r="AG1560" s="5" t="s">
        <v>246</v>
      </c>
      <c r="AH1560" s="4" t="s">
        <v>241</v>
      </c>
      <c r="AI1560" s="4" t="s">
        <v>247</v>
      </c>
      <c r="AJ1560" s="4" t="s">
        <v>248</v>
      </c>
      <c r="AZ1560" s="4" t="s">
        <v>249</v>
      </c>
      <c r="BA1560" s="4" t="s">
        <v>241</v>
      </c>
      <c r="BB1560" s="4" t="s">
        <v>250</v>
      </c>
      <c r="BC1560" s="4" t="s">
        <v>241</v>
      </c>
      <c r="BD1560" s="4" t="s">
        <v>252</v>
      </c>
      <c r="BE1560" s="4" t="s">
        <v>241</v>
      </c>
      <c r="BI1560" s="4" t="s">
        <v>253</v>
      </c>
      <c r="BJ1560" s="5" t="s">
        <v>246</v>
      </c>
      <c r="BK1560" s="4" t="s">
        <v>254</v>
      </c>
      <c r="BL1560" s="4" t="s">
        <v>255</v>
      </c>
      <c r="BM1560" s="4" t="s">
        <v>241</v>
      </c>
      <c r="BN1560" s="6">
        <f>0</f>
        <v>0</v>
      </c>
      <c r="BO1560" s="6">
        <f>0</f>
        <v>0</v>
      </c>
      <c r="BP1560" s="4" t="s">
        <v>256</v>
      </c>
      <c r="BQ1560" s="4" t="s">
        <v>257</v>
      </c>
      <c r="CE1560" s="4" t="s">
        <v>241</v>
      </c>
      <c r="CF1560" s="4" t="s">
        <v>241</v>
      </c>
      <c r="CJ1560" s="4" t="s">
        <v>276</v>
      </c>
      <c r="CK1560" s="4" t="s">
        <v>259</v>
      </c>
      <c r="CL1560" s="4" t="s">
        <v>241</v>
      </c>
      <c r="CO1560" s="5" t="s">
        <v>260</v>
      </c>
      <c r="CP1560" s="4" t="s">
        <v>241</v>
      </c>
      <c r="CQ1560" s="4" t="s">
        <v>261</v>
      </c>
      <c r="CR1560" s="4" t="s">
        <v>241</v>
      </c>
      <c r="CS1560" s="4" t="s">
        <v>241</v>
      </c>
      <c r="CT1560" s="4">
        <v>0</v>
      </c>
      <c r="CU1560" s="4" t="s">
        <v>262</v>
      </c>
      <c r="CV1560" s="4" t="s">
        <v>263</v>
      </c>
      <c r="CW1560" s="4" t="s">
        <v>263</v>
      </c>
      <c r="CX1560" s="4" t="s">
        <v>264</v>
      </c>
      <c r="DA1560" s="6">
        <f>1</f>
        <v>1</v>
      </c>
      <c r="DC1560" s="4" t="s">
        <v>277</v>
      </c>
      <c r="DD1560" s="4" t="s">
        <v>241</v>
      </c>
      <c r="DF1560" s="4" t="s">
        <v>277</v>
      </c>
      <c r="DG1560" s="6">
        <f>3353</f>
        <v>3353</v>
      </c>
      <c r="DI1560" s="4" t="s">
        <v>241</v>
      </c>
      <c r="DJ1560" s="4" t="s">
        <v>241</v>
      </c>
      <c r="DK1560" s="4" t="s">
        <v>241</v>
      </c>
      <c r="DL1560" s="4" t="s">
        <v>241</v>
      </c>
      <c r="DP1560" s="4" t="s">
        <v>241</v>
      </c>
      <c r="DQ1560" s="4" t="s">
        <v>241</v>
      </c>
      <c r="DR1560" s="4" t="s">
        <v>241</v>
      </c>
      <c r="DS1560" s="4" t="s">
        <v>241</v>
      </c>
      <c r="DV1560" s="4" t="s">
        <v>278</v>
      </c>
      <c r="DW1560" s="4" t="s">
        <v>2421</v>
      </c>
      <c r="HO1560" s="4" t="s">
        <v>267</v>
      </c>
    </row>
    <row r="1561" spans="1:223" ht="19.5" customHeight="1" x14ac:dyDescent="0.4">
      <c r="A1561" s="4">
        <v>1</v>
      </c>
      <c r="B1561" s="4" t="s">
        <v>239</v>
      </c>
      <c r="C1561" s="4">
        <v>3235</v>
      </c>
      <c r="D1561" s="4">
        <v>1</v>
      </c>
      <c r="E1561" s="4">
        <v>1</v>
      </c>
      <c r="F1561" s="4" t="s">
        <v>268</v>
      </c>
      <c r="G1561" s="4" t="s">
        <v>241</v>
      </c>
      <c r="H1561" s="4" t="s">
        <v>241</v>
      </c>
      <c r="I1561" s="4" t="s">
        <v>272</v>
      </c>
      <c r="J1561" s="4" t="s">
        <v>274</v>
      </c>
      <c r="K1561" s="4" t="s">
        <v>251</v>
      </c>
      <c r="L1561" s="4" t="s">
        <v>269</v>
      </c>
      <c r="M1561" s="5" t="s">
        <v>2418</v>
      </c>
      <c r="N1561" s="6">
        <f>1096</f>
        <v>1096</v>
      </c>
      <c r="O1561" s="4" t="s">
        <v>265</v>
      </c>
      <c r="P1561" s="6">
        <f>1</f>
        <v>1</v>
      </c>
      <c r="Q1561" s="6">
        <f>0</f>
        <v>0</v>
      </c>
      <c r="S1561" s="6">
        <f>0</f>
        <v>0</v>
      </c>
      <c r="T1561" s="6">
        <f>1</f>
        <v>1</v>
      </c>
      <c r="U1561" s="5" t="s">
        <v>245</v>
      </c>
      <c r="V1561" s="4" t="s">
        <v>270</v>
      </c>
      <c r="W1561" s="4" t="s">
        <v>271</v>
      </c>
      <c r="X1561" s="4" t="s">
        <v>273</v>
      </c>
      <c r="Y1561" s="4" t="s">
        <v>241</v>
      </c>
      <c r="AB1561" s="4" t="s">
        <v>241</v>
      </c>
      <c r="AD1561" s="5" t="s">
        <v>241</v>
      </c>
      <c r="AG1561" s="5" t="s">
        <v>246</v>
      </c>
      <c r="AH1561" s="4" t="s">
        <v>241</v>
      </c>
      <c r="AI1561" s="4" t="s">
        <v>247</v>
      </c>
      <c r="AJ1561" s="4" t="s">
        <v>248</v>
      </c>
      <c r="AZ1561" s="4" t="s">
        <v>249</v>
      </c>
      <c r="BA1561" s="4" t="s">
        <v>241</v>
      </c>
      <c r="BB1561" s="4" t="s">
        <v>250</v>
      </c>
      <c r="BC1561" s="4" t="s">
        <v>241</v>
      </c>
      <c r="BD1561" s="4" t="s">
        <v>252</v>
      </c>
      <c r="BE1561" s="4" t="s">
        <v>241</v>
      </c>
      <c r="BI1561" s="4" t="s">
        <v>253</v>
      </c>
      <c r="BJ1561" s="5" t="s">
        <v>246</v>
      </c>
      <c r="BK1561" s="4" t="s">
        <v>254</v>
      </c>
      <c r="BL1561" s="4" t="s">
        <v>255</v>
      </c>
      <c r="BM1561" s="4" t="s">
        <v>241</v>
      </c>
      <c r="BN1561" s="6">
        <f>0</f>
        <v>0</v>
      </c>
      <c r="BO1561" s="6">
        <f>0</f>
        <v>0</v>
      </c>
      <c r="BP1561" s="4" t="s">
        <v>256</v>
      </c>
      <c r="BQ1561" s="4" t="s">
        <v>257</v>
      </c>
      <c r="CE1561" s="4" t="s">
        <v>241</v>
      </c>
      <c r="CF1561" s="4" t="s">
        <v>241</v>
      </c>
      <c r="CJ1561" s="4" t="s">
        <v>276</v>
      </c>
      <c r="CK1561" s="4" t="s">
        <v>259</v>
      </c>
      <c r="CL1561" s="4" t="s">
        <v>241</v>
      </c>
      <c r="CO1561" s="5" t="s">
        <v>260</v>
      </c>
      <c r="CP1561" s="4" t="s">
        <v>241</v>
      </c>
      <c r="CQ1561" s="4" t="s">
        <v>261</v>
      </c>
      <c r="CR1561" s="4" t="s">
        <v>241</v>
      </c>
      <c r="CS1561" s="4" t="s">
        <v>241</v>
      </c>
      <c r="CT1561" s="4">
        <v>0</v>
      </c>
      <c r="CU1561" s="4" t="s">
        <v>262</v>
      </c>
      <c r="CV1561" s="4" t="s">
        <v>263</v>
      </c>
      <c r="CW1561" s="4" t="s">
        <v>263</v>
      </c>
      <c r="CX1561" s="4" t="s">
        <v>264</v>
      </c>
      <c r="DA1561" s="6">
        <f>1</f>
        <v>1</v>
      </c>
      <c r="DC1561" s="4" t="s">
        <v>277</v>
      </c>
      <c r="DD1561" s="4" t="s">
        <v>241</v>
      </c>
      <c r="DF1561" s="4" t="s">
        <v>277</v>
      </c>
      <c r="DG1561" s="6">
        <f>1096</f>
        <v>1096</v>
      </c>
      <c r="DI1561" s="4" t="s">
        <v>241</v>
      </c>
      <c r="DJ1561" s="4" t="s">
        <v>241</v>
      </c>
      <c r="DK1561" s="4" t="s">
        <v>241</v>
      </c>
      <c r="DL1561" s="4" t="s">
        <v>241</v>
      </c>
      <c r="DP1561" s="4" t="s">
        <v>241</v>
      </c>
      <c r="DQ1561" s="4" t="s">
        <v>241</v>
      </c>
      <c r="DR1561" s="4" t="s">
        <v>241</v>
      </c>
      <c r="DS1561" s="4" t="s">
        <v>241</v>
      </c>
      <c r="DV1561" s="4" t="s">
        <v>278</v>
      </c>
      <c r="DW1561" s="4" t="s">
        <v>2419</v>
      </c>
      <c r="HO1561" s="4" t="s">
        <v>267</v>
      </c>
    </row>
    <row r="1562" spans="1:223" ht="19.5" customHeight="1" x14ac:dyDescent="0.4">
      <c r="A1562" s="4">
        <v>1</v>
      </c>
      <c r="B1562" s="4" t="s">
        <v>239</v>
      </c>
      <c r="C1562" s="4">
        <v>3236</v>
      </c>
      <c r="D1562" s="4">
        <v>1</v>
      </c>
      <c r="E1562" s="4">
        <v>1</v>
      </c>
      <c r="F1562" s="4" t="s">
        <v>268</v>
      </c>
      <c r="G1562" s="4" t="s">
        <v>241</v>
      </c>
      <c r="H1562" s="4" t="s">
        <v>241</v>
      </c>
      <c r="I1562" s="4" t="s">
        <v>272</v>
      </c>
      <c r="J1562" s="4" t="s">
        <v>274</v>
      </c>
      <c r="K1562" s="4" t="s">
        <v>251</v>
      </c>
      <c r="L1562" s="4" t="s">
        <v>269</v>
      </c>
      <c r="M1562" s="5" t="s">
        <v>2416</v>
      </c>
      <c r="N1562" s="6">
        <f>177</f>
        <v>177</v>
      </c>
      <c r="O1562" s="4" t="s">
        <v>265</v>
      </c>
      <c r="P1562" s="6">
        <f>1</f>
        <v>1</v>
      </c>
      <c r="Q1562" s="6">
        <f>0</f>
        <v>0</v>
      </c>
      <c r="S1562" s="6">
        <f>0</f>
        <v>0</v>
      </c>
      <c r="T1562" s="6">
        <f>1</f>
        <v>1</v>
      </c>
      <c r="U1562" s="5" t="s">
        <v>245</v>
      </c>
      <c r="V1562" s="4" t="s">
        <v>270</v>
      </c>
      <c r="W1562" s="4" t="s">
        <v>271</v>
      </c>
      <c r="X1562" s="4" t="s">
        <v>273</v>
      </c>
      <c r="Y1562" s="4" t="s">
        <v>241</v>
      </c>
      <c r="AB1562" s="4" t="s">
        <v>241</v>
      </c>
      <c r="AD1562" s="5" t="s">
        <v>241</v>
      </c>
      <c r="AG1562" s="5" t="s">
        <v>246</v>
      </c>
      <c r="AH1562" s="4" t="s">
        <v>241</v>
      </c>
      <c r="AI1562" s="4" t="s">
        <v>247</v>
      </c>
      <c r="AJ1562" s="4" t="s">
        <v>248</v>
      </c>
      <c r="AZ1562" s="4" t="s">
        <v>249</v>
      </c>
      <c r="BA1562" s="4" t="s">
        <v>241</v>
      </c>
      <c r="BB1562" s="4" t="s">
        <v>250</v>
      </c>
      <c r="BC1562" s="4" t="s">
        <v>241</v>
      </c>
      <c r="BD1562" s="4" t="s">
        <v>252</v>
      </c>
      <c r="BE1562" s="4" t="s">
        <v>241</v>
      </c>
      <c r="BI1562" s="4" t="s">
        <v>253</v>
      </c>
      <c r="BJ1562" s="5" t="s">
        <v>246</v>
      </c>
      <c r="BK1562" s="4" t="s">
        <v>254</v>
      </c>
      <c r="BL1562" s="4" t="s">
        <v>255</v>
      </c>
      <c r="BM1562" s="4" t="s">
        <v>241</v>
      </c>
      <c r="BN1562" s="6">
        <f>0</f>
        <v>0</v>
      </c>
      <c r="BO1562" s="6">
        <f>0</f>
        <v>0</v>
      </c>
      <c r="BP1562" s="4" t="s">
        <v>256</v>
      </c>
      <c r="BQ1562" s="4" t="s">
        <v>257</v>
      </c>
      <c r="CE1562" s="4" t="s">
        <v>241</v>
      </c>
      <c r="CF1562" s="4" t="s">
        <v>241</v>
      </c>
      <c r="CJ1562" s="4" t="s">
        <v>276</v>
      </c>
      <c r="CK1562" s="4" t="s">
        <v>259</v>
      </c>
      <c r="CL1562" s="4" t="s">
        <v>241</v>
      </c>
      <c r="CO1562" s="5" t="s">
        <v>260</v>
      </c>
      <c r="CP1562" s="4" t="s">
        <v>241</v>
      </c>
      <c r="CQ1562" s="4" t="s">
        <v>261</v>
      </c>
      <c r="CR1562" s="4" t="s">
        <v>241</v>
      </c>
      <c r="CS1562" s="4" t="s">
        <v>241</v>
      </c>
      <c r="CT1562" s="4">
        <v>0</v>
      </c>
      <c r="CU1562" s="4" t="s">
        <v>262</v>
      </c>
      <c r="CV1562" s="4" t="s">
        <v>263</v>
      </c>
      <c r="CW1562" s="4" t="s">
        <v>263</v>
      </c>
      <c r="CX1562" s="4" t="s">
        <v>264</v>
      </c>
      <c r="DA1562" s="6">
        <f>1</f>
        <v>1</v>
      </c>
      <c r="DC1562" s="4" t="s">
        <v>277</v>
      </c>
      <c r="DD1562" s="4" t="s">
        <v>241</v>
      </c>
      <c r="DF1562" s="4" t="s">
        <v>277</v>
      </c>
      <c r="DG1562" s="6">
        <f>177</f>
        <v>177</v>
      </c>
      <c r="DI1562" s="4" t="s">
        <v>241</v>
      </c>
      <c r="DJ1562" s="4" t="s">
        <v>241</v>
      </c>
      <c r="DK1562" s="4" t="s">
        <v>241</v>
      </c>
      <c r="DL1562" s="4" t="s">
        <v>241</v>
      </c>
      <c r="DP1562" s="4" t="s">
        <v>241</v>
      </c>
      <c r="DQ1562" s="4" t="s">
        <v>241</v>
      </c>
      <c r="DR1562" s="4" t="s">
        <v>241</v>
      </c>
      <c r="DS1562" s="4" t="s">
        <v>241</v>
      </c>
      <c r="DV1562" s="4" t="s">
        <v>278</v>
      </c>
      <c r="DW1562" s="4" t="s">
        <v>2417</v>
      </c>
      <c r="HO1562" s="4" t="s">
        <v>267</v>
      </c>
    </row>
    <row r="1563" spans="1:223" ht="19.5" customHeight="1" x14ac:dyDescent="0.4">
      <c r="A1563" s="4">
        <v>1</v>
      </c>
      <c r="B1563" s="4" t="s">
        <v>239</v>
      </c>
      <c r="C1563" s="4">
        <v>3237</v>
      </c>
      <c r="D1563" s="4">
        <v>1</v>
      </c>
      <c r="E1563" s="4">
        <v>1</v>
      </c>
      <c r="F1563" s="4" t="s">
        <v>268</v>
      </c>
      <c r="G1563" s="4" t="s">
        <v>241</v>
      </c>
      <c r="H1563" s="4" t="s">
        <v>241</v>
      </c>
      <c r="I1563" s="4" t="s">
        <v>272</v>
      </c>
      <c r="J1563" s="4" t="s">
        <v>274</v>
      </c>
      <c r="K1563" s="4" t="s">
        <v>251</v>
      </c>
      <c r="L1563" s="4" t="s">
        <v>269</v>
      </c>
      <c r="M1563" s="5" t="s">
        <v>2404</v>
      </c>
      <c r="N1563" s="6">
        <f>556</f>
        <v>556</v>
      </c>
      <c r="O1563" s="4" t="s">
        <v>265</v>
      </c>
      <c r="P1563" s="6">
        <f>1</f>
        <v>1</v>
      </c>
      <c r="Q1563" s="6">
        <f>0</f>
        <v>0</v>
      </c>
      <c r="S1563" s="6">
        <f>0</f>
        <v>0</v>
      </c>
      <c r="T1563" s="6">
        <f>1</f>
        <v>1</v>
      </c>
      <c r="U1563" s="5" t="s">
        <v>245</v>
      </c>
      <c r="V1563" s="4" t="s">
        <v>270</v>
      </c>
      <c r="W1563" s="4" t="s">
        <v>271</v>
      </c>
      <c r="X1563" s="4" t="s">
        <v>273</v>
      </c>
      <c r="Y1563" s="4" t="s">
        <v>241</v>
      </c>
      <c r="AB1563" s="4" t="s">
        <v>241</v>
      </c>
      <c r="AD1563" s="5" t="s">
        <v>241</v>
      </c>
      <c r="AG1563" s="5" t="s">
        <v>246</v>
      </c>
      <c r="AH1563" s="4" t="s">
        <v>241</v>
      </c>
      <c r="AI1563" s="4" t="s">
        <v>247</v>
      </c>
      <c r="AJ1563" s="4" t="s">
        <v>248</v>
      </c>
      <c r="AZ1563" s="4" t="s">
        <v>249</v>
      </c>
      <c r="BA1563" s="4" t="s">
        <v>241</v>
      </c>
      <c r="BB1563" s="4" t="s">
        <v>250</v>
      </c>
      <c r="BC1563" s="4" t="s">
        <v>241</v>
      </c>
      <c r="BD1563" s="4" t="s">
        <v>252</v>
      </c>
      <c r="BE1563" s="4" t="s">
        <v>241</v>
      </c>
      <c r="BI1563" s="4" t="s">
        <v>253</v>
      </c>
      <c r="BJ1563" s="5" t="s">
        <v>246</v>
      </c>
      <c r="BK1563" s="4" t="s">
        <v>254</v>
      </c>
      <c r="BL1563" s="4" t="s">
        <v>255</v>
      </c>
      <c r="BM1563" s="4" t="s">
        <v>241</v>
      </c>
      <c r="BN1563" s="6">
        <f>0</f>
        <v>0</v>
      </c>
      <c r="BO1563" s="6">
        <f>0</f>
        <v>0</v>
      </c>
      <c r="BP1563" s="4" t="s">
        <v>256</v>
      </c>
      <c r="BQ1563" s="4" t="s">
        <v>257</v>
      </c>
      <c r="CE1563" s="4" t="s">
        <v>241</v>
      </c>
      <c r="CF1563" s="4" t="s">
        <v>241</v>
      </c>
      <c r="CJ1563" s="4" t="s">
        <v>276</v>
      </c>
      <c r="CK1563" s="4" t="s">
        <v>259</v>
      </c>
      <c r="CL1563" s="4" t="s">
        <v>241</v>
      </c>
      <c r="CO1563" s="5" t="s">
        <v>260</v>
      </c>
      <c r="CP1563" s="4" t="s">
        <v>241</v>
      </c>
      <c r="CQ1563" s="4" t="s">
        <v>261</v>
      </c>
      <c r="CR1563" s="4" t="s">
        <v>241</v>
      </c>
      <c r="CS1563" s="4" t="s">
        <v>241</v>
      </c>
      <c r="CT1563" s="4">
        <v>0</v>
      </c>
      <c r="CU1563" s="4" t="s">
        <v>262</v>
      </c>
      <c r="CV1563" s="4" t="s">
        <v>263</v>
      </c>
      <c r="CW1563" s="4" t="s">
        <v>263</v>
      </c>
      <c r="CX1563" s="4" t="s">
        <v>264</v>
      </c>
      <c r="DA1563" s="6">
        <f>1</f>
        <v>1</v>
      </c>
      <c r="DC1563" s="4" t="s">
        <v>277</v>
      </c>
      <c r="DD1563" s="4" t="s">
        <v>241</v>
      </c>
      <c r="DF1563" s="4" t="s">
        <v>277</v>
      </c>
      <c r="DG1563" s="6">
        <f>556</f>
        <v>556</v>
      </c>
      <c r="DI1563" s="4" t="s">
        <v>241</v>
      </c>
      <c r="DJ1563" s="4" t="s">
        <v>241</v>
      </c>
      <c r="DK1563" s="4" t="s">
        <v>241</v>
      </c>
      <c r="DL1563" s="4" t="s">
        <v>241</v>
      </c>
      <c r="DP1563" s="4" t="s">
        <v>241</v>
      </c>
      <c r="DQ1563" s="4" t="s">
        <v>241</v>
      </c>
      <c r="DR1563" s="4" t="s">
        <v>241</v>
      </c>
      <c r="DS1563" s="4" t="s">
        <v>241</v>
      </c>
      <c r="DV1563" s="4" t="s">
        <v>278</v>
      </c>
      <c r="DW1563" s="4" t="s">
        <v>2405</v>
      </c>
      <c r="HO1563" s="4" t="s">
        <v>267</v>
      </c>
    </row>
    <row r="1564" spans="1:223" ht="19.5" customHeight="1" x14ac:dyDescent="0.4">
      <c r="A1564" s="4">
        <v>1</v>
      </c>
      <c r="B1564" s="4" t="s">
        <v>239</v>
      </c>
      <c r="C1564" s="4">
        <v>3238</v>
      </c>
      <c r="D1564" s="4">
        <v>1</v>
      </c>
      <c r="E1564" s="4">
        <v>1</v>
      </c>
      <c r="F1564" s="4" t="s">
        <v>268</v>
      </c>
      <c r="G1564" s="4" t="s">
        <v>241</v>
      </c>
      <c r="H1564" s="4" t="s">
        <v>241</v>
      </c>
      <c r="I1564" s="4" t="s">
        <v>272</v>
      </c>
      <c r="J1564" s="4" t="s">
        <v>274</v>
      </c>
      <c r="K1564" s="4" t="s">
        <v>251</v>
      </c>
      <c r="L1564" s="4" t="s">
        <v>269</v>
      </c>
      <c r="M1564" s="5" t="s">
        <v>2414</v>
      </c>
      <c r="N1564" s="6">
        <f>607</f>
        <v>607</v>
      </c>
      <c r="O1564" s="4" t="s">
        <v>265</v>
      </c>
      <c r="P1564" s="6">
        <f>1</f>
        <v>1</v>
      </c>
      <c r="Q1564" s="6">
        <f>0</f>
        <v>0</v>
      </c>
      <c r="S1564" s="6">
        <f>0</f>
        <v>0</v>
      </c>
      <c r="T1564" s="6">
        <f>1</f>
        <v>1</v>
      </c>
      <c r="U1564" s="5" t="s">
        <v>245</v>
      </c>
      <c r="V1564" s="4" t="s">
        <v>270</v>
      </c>
      <c r="W1564" s="4" t="s">
        <v>271</v>
      </c>
      <c r="X1564" s="4" t="s">
        <v>273</v>
      </c>
      <c r="Y1564" s="4" t="s">
        <v>241</v>
      </c>
      <c r="AB1564" s="4" t="s">
        <v>241</v>
      </c>
      <c r="AD1564" s="5" t="s">
        <v>241</v>
      </c>
      <c r="AG1564" s="5" t="s">
        <v>246</v>
      </c>
      <c r="AH1564" s="4" t="s">
        <v>241</v>
      </c>
      <c r="AI1564" s="4" t="s">
        <v>247</v>
      </c>
      <c r="AJ1564" s="4" t="s">
        <v>248</v>
      </c>
      <c r="AZ1564" s="4" t="s">
        <v>249</v>
      </c>
      <c r="BA1564" s="4" t="s">
        <v>241</v>
      </c>
      <c r="BB1564" s="4" t="s">
        <v>250</v>
      </c>
      <c r="BC1564" s="4" t="s">
        <v>241</v>
      </c>
      <c r="BD1564" s="4" t="s">
        <v>252</v>
      </c>
      <c r="BE1564" s="4" t="s">
        <v>241</v>
      </c>
      <c r="BI1564" s="4" t="s">
        <v>253</v>
      </c>
      <c r="BJ1564" s="5" t="s">
        <v>246</v>
      </c>
      <c r="BK1564" s="4" t="s">
        <v>254</v>
      </c>
      <c r="BL1564" s="4" t="s">
        <v>255</v>
      </c>
      <c r="BM1564" s="4" t="s">
        <v>241</v>
      </c>
      <c r="BN1564" s="6">
        <f>0</f>
        <v>0</v>
      </c>
      <c r="BO1564" s="6">
        <f>0</f>
        <v>0</v>
      </c>
      <c r="BP1564" s="4" t="s">
        <v>256</v>
      </c>
      <c r="BQ1564" s="4" t="s">
        <v>257</v>
      </c>
      <c r="CE1564" s="4" t="s">
        <v>241</v>
      </c>
      <c r="CF1564" s="4" t="s">
        <v>241</v>
      </c>
      <c r="CJ1564" s="4" t="s">
        <v>276</v>
      </c>
      <c r="CK1564" s="4" t="s">
        <v>259</v>
      </c>
      <c r="CL1564" s="4" t="s">
        <v>241</v>
      </c>
      <c r="CO1564" s="5" t="s">
        <v>260</v>
      </c>
      <c r="CP1564" s="4" t="s">
        <v>241</v>
      </c>
      <c r="CQ1564" s="4" t="s">
        <v>261</v>
      </c>
      <c r="CR1564" s="4" t="s">
        <v>241</v>
      </c>
      <c r="CS1564" s="4" t="s">
        <v>241</v>
      </c>
      <c r="CT1564" s="4">
        <v>0</v>
      </c>
      <c r="CU1564" s="4" t="s">
        <v>262</v>
      </c>
      <c r="CV1564" s="4" t="s">
        <v>263</v>
      </c>
      <c r="CW1564" s="4" t="s">
        <v>263</v>
      </c>
      <c r="CX1564" s="4" t="s">
        <v>264</v>
      </c>
      <c r="DA1564" s="6">
        <f>1</f>
        <v>1</v>
      </c>
      <c r="DC1564" s="4" t="s">
        <v>277</v>
      </c>
      <c r="DD1564" s="4" t="s">
        <v>241</v>
      </c>
      <c r="DF1564" s="4" t="s">
        <v>277</v>
      </c>
      <c r="DG1564" s="6">
        <f>607</f>
        <v>607</v>
      </c>
      <c r="DI1564" s="4" t="s">
        <v>241</v>
      </c>
      <c r="DJ1564" s="4" t="s">
        <v>241</v>
      </c>
      <c r="DK1564" s="4" t="s">
        <v>241</v>
      </c>
      <c r="DL1564" s="4" t="s">
        <v>241</v>
      </c>
      <c r="DP1564" s="4" t="s">
        <v>241</v>
      </c>
      <c r="DQ1564" s="4" t="s">
        <v>241</v>
      </c>
      <c r="DR1564" s="4" t="s">
        <v>241</v>
      </c>
      <c r="DS1564" s="4" t="s">
        <v>241</v>
      </c>
      <c r="DV1564" s="4" t="s">
        <v>278</v>
      </c>
      <c r="DW1564" s="4" t="s">
        <v>2415</v>
      </c>
      <c r="HO1564" s="4" t="s">
        <v>267</v>
      </c>
    </row>
    <row r="1565" spans="1:223" ht="19.5" customHeight="1" x14ac:dyDescent="0.4">
      <c r="A1565" s="4">
        <v>1</v>
      </c>
      <c r="B1565" s="4" t="s">
        <v>239</v>
      </c>
      <c r="C1565" s="4">
        <v>3239</v>
      </c>
      <c r="D1565" s="4">
        <v>1</v>
      </c>
      <c r="E1565" s="4">
        <v>1</v>
      </c>
      <c r="F1565" s="4" t="s">
        <v>268</v>
      </c>
      <c r="G1565" s="4" t="s">
        <v>241</v>
      </c>
      <c r="H1565" s="4" t="s">
        <v>241</v>
      </c>
      <c r="I1565" s="4" t="s">
        <v>272</v>
      </c>
      <c r="J1565" s="4" t="s">
        <v>274</v>
      </c>
      <c r="K1565" s="4" t="s">
        <v>251</v>
      </c>
      <c r="L1565" s="4" t="s">
        <v>269</v>
      </c>
      <c r="M1565" s="5" t="s">
        <v>2412</v>
      </c>
      <c r="N1565" s="6">
        <f>119</f>
        <v>119</v>
      </c>
      <c r="O1565" s="4" t="s">
        <v>265</v>
      </c>
      <c r="P1565" s="6">
        <f>1</f>
        <v>1</v>
      </c>
      <c r="Q1565" s="6">
        <f>0</f>
        <v>0</v>
      </c>
      <c r="S1565" s="6">
        <f>0</f>
        <v>0</v>
      </c>
      <c r="T1565" s="6">
        <f>1</f>
        <v>1</v>
      </c>
      <c r="U1565" s="5" t="s">
        <v>245</v>
      </c>
      <c r="V1565" s="4" t="s">
        <v>270</v>
      </c>
      <c r="W1565" s="4" t="s">
        <v>271</v>
      </c>
      <c r="X1565" s="4" t="s">
        <v>273</v>
      </c>
      <c r="Y1565" s="4" t="s">
        <v>241</v>
      </c>
      <c r="AB1565" s="4" t="s">
        <v>241</v>
      </c>
      <c r="AD1565" s="5" t="s">
        <v>241</v>
      </c>
      <c r="AG1565" s="5" t="s">
        <v>246</v>
      </c>
      <c r="AH1565" s="4" t="s">
        <v>241</v>
      </c>
      <c r="AI1565" s="4" t="s">
        <v>247</v>
      </c>
      <c r="AJ1565" s="4" t="s">
        <v>248</v>
      </c>
      <c r="AZ1565" s="4" t="s">
        <v>249</v>
      </c>
      <c r="BA1565" s="4" t="s">
        <v>241</v>
      </c>
      <c r="BB1565" s="4" t="s">
        <v>250</v>
      </c>
      <c r="BC1565" s="4" t="s">
        <v>241</v>
      </c>
      <c r="BD1565" s="4" t="s">
        <v>252</v>
      </c>
      <c r="BE1565" s="4" t="s">
        <v>241</v>
      </c>
      <c r="BI1565" s="4" t="s">
        <v>253</v>
      </c>
      <c r="BJ1565" s="5" t="s">
        <v>246</v>
      </c>
      <c r="BK1565" s="4" t="s">
        <v>254</v>
      </c>
      <c r="BL1565" s="4" t="s">
        <v>255</v>
      </c>
      <c r="BM1565" s="4" t="s">
        <v>241</v>
      </c>
      <c r="BN1565" s="6">
        <f>0</f>
        <v>0</v>
      </c>
      <c r="BO1565" s="6">
        <f>0</f>
        <v>0</v>
      </c>
      <c r="BP1565" s="4" t="s">
        <v>256</v>
      </c>
      <c r="BQ1565" s="4" t="s">
        <v>257</v>
      </c>
      <c r="CE1565" s="4" t="s">
        <v>241</v>
      </c>
      <c r="CF1565" s="4" t="s">
        <v>241</v>
      </c>
      <c r="CJ1565" s="4" t="s">
        <v>276</v>
      </c>
      <c r="CK1565" s="4" t="s">
        <v>259</v>
      </c>
      <c r="CL1565" s="4" t="s">
        <v>241</v>
      </c>
      <c r="CO1565" s="5" t="s">
        <v>260</v>
      </c>
      <c r="CP1565" s="4" t="s">
        <v>241</v>
      </c>
      <c r="CQ1565" s="4" t="s">
        <v>261</v>
      </c>
      <c r="CR1565" s="4" t="s">
        <v>241</v>
      </c>
      <c r="CS1565" s="4" t="s">
        <v>241</v>
      </c>
      <c r="CT1565" s="4">
        <v>0</v>
      </c>
      <c r="CU1565" s="4" t="s">
        <v>262</v>
      </c>
      <c r="CV1565" s="4" t="s">
        <v>263</v>
      </c>
      <c r="CW1565" s="4" t="s">
        <v>263</v>
      </c>
      <c r="CX1565" s="4" t="s">
        <v>264</v>
      </c>
      <c r="DA1565" s="6">
        <f>1</f>
        <v>1</v>
      </c>
      <c r="DC1565" s="4" t="s">
        <v>277</v>
      </c>
      <c r="DD1565" s="4" t="s">
        <v>241</v>
      </c>
      <c r="DF1565" s="4" t="s">
        <v>277</v>
      </c>
      <c r="DG1565" s="6">
        <f>119</f>
        <v>119</v>
      </c>
      <c r="DI1565" s="4" t="s">
        <v>241</v>
      </c>
      <c r="DJ1565" s="4" t="s">
        <v>241</v>
      </c>
      <c r="DK1565" s="4" t="s">
        <v>241</v>
      </c>
      <c r="DL1565" s="4" t="s">
        <v>241</v>
      </c>
      <c r="DP1565" s="4" t="s">
        <v>241</v>
      </c>
      <c r="DQ1565" s="4" t="s">
        <v>241</v>
      </c>
      <c r="DR1565" s="4" t="s">
        <v>241</v>
      </c>
      <c r="DS1565" s="4" t="s">
        <v>241</v>
      </c>
      <c r="DV1565" s="4" t="s">
        <v>278</v>
      </c>
      <c r="DW1565" s="4" t="s">
        <v>2413</v>
      </c>
      <c r="HO1565" s="4" t="s">
        <v>267</v>
      </c>
    </row>
    <row r="1566" spans="1:223" ht="19.5" customHeight="1" x14ac:dyDescent="0.4">
      <c r="A1566" s="4">
        <v>1</v>
      </c>
      <c r="B1566" s="4" t="s">
        <v>239</v>
      </c>
      <c r="C1566" s="4">
        <v>3240</v>
      </c>
      <c r="D1566" s="4">
        <v>1</v>
      </c>
      <c r="E1566" s="4">
        <v>1</v>
      </c>
      <c r="F1566" s="4" t="s">
        <v>268</v>
      </c>
      <c r="G1566" s="4" t="s">
        <v>241</v>
      </c>
      <c r="H1566" s="4" t="s">
        <v>241</v>
      </c>
      <c r="I1566" s="4" t="s">
        <v>272</v>
      </c>
      <c r="J1566" s="4" t="s">
        <v>274</v>
      </c>
      <c r="K1566" s="4" t="s">
        <v>251</v>
      </c>
      <c r="L1566" s="4" t="s">
        <v>269</v>
      </c>
      <c r="M1566" s="5" t="s">
        <v>2410</v>
      </c>
      <c r="N1566" s="6">
        <f>136</f>
        <v>136</v>
      </c>
      <c r="O1566" s="4" t="s">
        <v>265</v>
      </c>
      <c r="P1566" s="6">
        <f>1</f>
        <v>1</v>
      </c>
      <c r="Q1566" s="6">
        <f>0</f>
        <v>0</v>
      </c>
      <c r="S1566" s="6">
        <f>0</f>
        <v>0</v>
      </c>
      <c r="T1566" s="6">
        <f>1</f>
        <v>1</v>
      </c>
      <c r="U1566" s="5" t="s">
        <v>245</v>
      </c>
      <c r="V1566" s="4" t="s">
        <v>270</v>
      </c>
      <c r="W1566" s="4" t="s">
        <v>271</v>
      </c>
      <c r="X1566" s="4" t="s">
        <v>273</v>
      </c>
      <c r="Y1566" s="4" t="s">
        <v>241</v>
      </c>
      <c r="AB1566" s="4" t="s">
        <v>241</v>
      </c>
      <c r="AD1566" s="5" t="s">
        <v>241</v>
      </c>
      <c r="AG1566" s="5" t="s">
        <v>246</v>
      </c>
      <c r="AH1566" s="4" t="s">
        <v>241</v>
      </c>
      <c r="AI1566" s="4" t="s">
        <v>247</v>
      </c>
      <c r="AJ1566" s="4" t="s">
        <v>248</v>
      </c>
      <c r="AZ1566" s="4" t="s">
        <v>249</v>
      </c>
      <c r="BA1566" s="4" t="s">
        <v>241</v>
      </c>
      <c r="BB1566" s="4" t="s">
        <v>250</v>
      </c>
      <c r="BC1566" s="4" t="s">
        <v>241</v>
      </c>
      <c r="BD1566" s="4" t="s">
        <v>252</v>
      </c>
      <c r="BE1566" s="4" t="s">
        <v>241</v>
      </c>
      <c r="BI1566" s="4" t="s">
        <v>253</v>
      </c>
      <c r="BJ1566" s="5" t="s">
        <v>246</v>
      </c>
      <c r="BK1566" s="4" t="s">
        <v>254</v>
      </c>
      <c r="BL1566" s="4" t="s">
        <v>255</v>
      </c>
      <c r="BM1566" s="4" t="s">
        <v>241</v>
      </c>
      <c r="BN1566" s="6">
        <f>0</f>
        <v>0</v>
      </c>
      <c r="BO1566" s="6">
        <f>0</f>
        <v>0</v>
      </c>
      <c r="BP1566" s="4" t="s">
        <v>256</v>
      </c>
      <c r="BQ1566" s="4" t="s">
        <v>257</v>
      </c>
      <c r="CE1566" s="4" t="s">
        <v>241</v>
      </c>
      <c r="CF1566" s="4" t="s">
        <v>241</v>
      </c>
      <c r="CJ1566" s="4" t="s">
        <v>276</v>
      </c>
      <c r="CK1566" s="4" t="s">
        <v>259</v>
      </c>
      <c r="CL1566" s="4" t="s">
        <v>241</v>
      </c>
      <c r="CO1566" s="5" t="s">
        <v>260</v>
      </c>
      <c r="CP1566" s="4" t="s">
        <v>241</v>
      </c>
      <c r="CQ1566" s="4" t="s">
        <v>261</v>
      </c>
      <c r="CR1566" s="4" t="s">
        <v>241</v>
      </c>
      <c r="CS1566" s="4" t="s">
        <v>241</v>
      </c>
      <c r="CT1566" s="4">
        <v>0</v>
      </c>
      <c r="CU1566" s="4" t="s">
        <v>262</v>
      </c>
      <c r="CV1566" s="4" t="s">
        <v>263</v>
      </c>
      <c r="CW1566" s="4" t="s">
        <v>263</v>
      </c>
      <c r="CX1566" s="4" t="s">
        <v>264</v>
      </c>
      <c r="DA1566" s="6">
        <f>1</f>
        <v>1</v>
      </c>
      <c r="DC1566" s="4" t="s">
        <v>277</v>
      </c>
      <c r="DD1566" s="4" t="s">
        <v>241</v>
      </c>
      <c r="DF1566" s="4" t="s">
        <v>277</v>
      </c>
      <c r="DG1566" s="6">
        <f>136</f>
        <v>136</v>
      </c>
      <c r="DI1566" s="4" t="s">
        <v>241</v>
      </c>
      <c r="DJ1566" s="4" t="s">
        <v>241</v>
      </c>
      <c r="DK1566" s="4" t="s">
        <v>241</v>
      </c>
      <c r="DL1566" s="4" t="s">
        <v>241</v>
      </c>
      <c r="DP1566" s="4" t="s">
        <v>241</v>
      </c>
      <c r="DQ1566" s="4" t="s">
        <v>241</v>
      </c>
      <c r="DR1566" s="4" t="s">
        <v>241</v>
      </c>
      <c r="DS1566" s="4" t="s">
        <v>241</v>
      </c>
      <c r="DV1566" s="4" t="s">
        <v>278</v>
      </c>
      <c r="DW1566" s="4" t="s">
        <v>2411</v>
      </c>
      <c r="HO1566" s="4" t="s">
        <v>267</v>
      </c>
    </row>
    <row r="1567" spans="1:223" ht="19.5" customHeight="1" x14ac:dyDescent="0.4">
      <c r="A1567" s="4">
        <v>1</v>
      </c>
      <c r="B1567" s="4" t="s">
        <v>239</v>
      </c>
      <c r="C1567" s="4">
        <v>3241</v>
      </c>
      <c r="D1567" s="4">
        <v>1</v>
      </c>
      <c r="E1567" s="4">
        <v>1</v>
      </c>
      <c r="F1567" s="4" t="s">
        <v>268</v>
      </c>
      <c r="G1567" s="4" t="s">
        <v>241</v>
      </c>
      <c r="H1567" s="4" t="s">
        <v>241</v>
      </c>
      <c r="I1567" s="4" t="s">
        <v>272</v>
      </c>
      <c r="J1567" s="4" t="s">
        <v>274</v>
      </c>
      <c r="K1567" s="4" t="s">
        <v>251</v>
      </c>
      <c r="L1567" s="4" t="s">
        <v>269</v>
      </c>
      <c r="M1567" s="5" t="s">
        <v>2406</v>
      </c>
      <c r="N1567" s="6">
        <f>508</f>
        <v>508</v>
      </c>
      <c r="O1567" s="4" t="s">
        <v>265</v>
      </c>
      <c r="P1567" s="6">
        <f>1</f>
        <v>1</v>
      </c>
      <c r="Q1567" s="6">
        <f>0</f>
        <v>0</v>
      </c>
      <c r="S1567" s="6">
        <f>0</f>
        <v>0</v>
      </c>
      <c r="T1567" s="6">
        <f>1</f>
        <v>1</v>
      </c>
      <c r="U1567" s="5" t="s">
        <v>245</v>
      </c>
      <c r="V1567" s="4" t="s">
        <v>270</v>
      </c>
      <c r="W1567" s="4" t="s">
        <v>271</v>
      </c>
      <c r="X1567" s="4" t="s">
        <v>273</v>
      </c>
      <c r="Y1567" s="4" t="s">
        <v>241</v>
      </c>
      <c r="AB1567" s="4" t="s">
        <v>241</v>
      </c>
      <c r="AD1567" s="5" t="s">
        <v>241</v>
      </c>
      <c r="AG1567" s="5" t="s">
        <v>246</v>
      </c>
      <c r="AH1567" s="4" t="s">
        <v>241</v>
      </c>
      <c r="AI1567" s="4" t="s">
        <v>247</v>
      </c>
      <c r="AJ1567" s="4" t="s">
        <v>248</v>
      </c>
      <c r="AZ1567" s="4" t="s">
        <v>249</v>
      </c>
      <c r="BA1567" s="4" t="s">
        <v>241</v>
      </c>
      <c r="BB1567" s="4" t="s">
        <v>250</v>
      </c>
      <c r="BC1567" s="4" t="s">
        <v>241</v>
      </c>
      <c r="BD1567" s="4" t="s">
        <v>252</v>
      </c>
      <c r="BE1567" s="4" t="s">
        <v>241</v>
      </c>
      <c r="BI1567" s="4" t="s">
        <v>253</v>
      </c>
      <c r="BJ1567" s="5" t="s">
        <v>246</v>
      </c>
      <c r="BK1567" s="4" t="s">
        <v>254</v>
      </c>
      <c r="BL1567" s="4" t="s">
        <v>255</v>
      </c>
      <c r="BM1567" s="4" t="s">
        <v>241</v>
      </c>
      <c r="BN1567" s="6">
        <f>0</f>
        <v>0</v>
      </c>
      <c r="BO1567" s="6">
        <f>0</f>
        <v>0</v>
      </c>
      <c r="BP1567" s="4" t="s">
        <v>256</v>
      </c>
      <c r="BQ1567" s="4" t="s">
        <v>257</v>
      </c>
      <c r="CE1567" s="4" t="s">
        <v>241</v>
      </c>
      <c r="CF1567" s="4" t="s">
        <v>241</v>
      </c>
      <c r="CJ1567" s="4" t="s">
        <v>276</v>
      </c>
      <c r="CK1567" s="4" t="s">
        <v>259</v>
      </c>
      <c r="CL1567" s="4" t="s">
        <v>241</v>
      </c>
      <c r="CO1567" s="5" t="s">
        <v>260</v>
      </c>
      <c r="CP1567" s="4" t="s">
        <v>241</v>
      </c>
      <c r="CQ1567" s="4" t="s">
        <v>261</v>
      </c>
      <c r="CR1567" s="4" t="s">
        <v>241</v>
      </c>
      <c r="CS1567" s="4" t="s">
        <v>241</v>
      </c>
      <c r="CT1567" s="4">
        <v>0</v>
      </c>
      <c r="CU1567" s="4" t="s">
        <v>262</v>
      </c>
      <c r="CV1567" s="4" t="s">
        <v>263</v>
      </c>
      <c r="CW1567" s="4" t="s">
        <v>263</v>
      </c>
      <c r="CX1567" s="4" t="s">
        <v>264</v>
      </c>
      <c r="DA1567" s="6">
        <f>1</f>
        <v>1</v>
      </c>
      <c r="DC1567" s="4" t="s">
        <v>277</v>
      </c>
      <c r="DD1567" s="4" t="s">
        <v>241</v>
      </c>
      <c r="DF1567" s="4" t="s">
        <v>277</v>
      </c>
      <c r="DG1567" s="6">
        <f>508</f>
        <v>508</v>
      </c>
      <c r="DI1567" s="4" t="s">
        <v>241</v>
      </c>
      <c r="DJ1567" s="4" t="s">
        <v>241</v>
      </c>
      <c r="DK1567" s="4" t="s">
        <v>241</v>
      </c>
      <c r="DL1567" s="4" t="s">
        <v>241</v>
      </c>
      <c r="DP1567" s="4" t="s">
        <v>241</v>
      </c>
      <c r="DQ1567" s="4" t="s">
        <v>241</v>
      </c>
      <c r="DR1567" s="4" t="s">
        <v>241</v>
      </c>
      <c r="DS1567" s="4" t="s">
        <v>241</v>
      </c>
      <c r="DV1567" s="4" t="s">
        <v>278</v>
      </c>
      <c r="DW1567" s="4" t="s">
        <v>2407</v>
      </c>
      <c r="HO1567" s="4" t="s">
        <v>267</v>
      </c>
    </row>
    <row r="1568" spans="1:223" ht="19.5" customHeight="1" x14ac:dyDescent="0.4">
      <c r="A1568" s="4">
        <v>1</v>
      </c>
      <c r="B1568" s="4" t="s">
        <v>239</v>
      </c>
      <c r="C1568" s="4">
        <v>3242</v>
      </c>
      <c r="D1568" s="4">
        <v>1</v>
      </c>
      <c r="E1568" s="4">
        <v>1</v>
      </c>
      <c r="F1568" s="4" t="s">
        <v>268</v>
      </c>
      <c r="G1568" s="4" t="s">
        <v>241</v>
      </c>
      <c r="H1568" s="4" t="s">
        <v>241</v>
      </c>
      <c r="I1568" s="4" t="s">
        <v>272</v>
      </c>
      <c r="J1568" s="4" t="s">
        <v>274</v>
      </c>
      <c r="K1568" s="4" t="s">
        <v>251</v>
      </c>
      <c r="L1568" s="4" t="s">
        <v>269</v>
      </c>
      <c r="M1568" s="5" t="s">
        <v>2400</v>
      </c>
      <c r="N1568" s="6">
        <f>105</f>
        <v>105</v>
      </c>
      <c r="O1568" s="4" t="s">
        <v>265</v>
      </c>
      <c r="P1568" s="6">
        <f>1</f>
        <v>1</v>
      </c>
      <c r="Q1568" s="6">
        <f>0</f>
        <v>0</v>
      </c>
      <c r="S1568" s="6">
        <f>0</f>
        <v>0</v>
      </c>
      <c r="T1568" s="6">
        <f>1</f>
        <v>1</v>
      </c>
      <c r="U1568" s="5" t="s">
        <v>245</v>
      </c>
      <c r="V1568" s="4" t="s">
        <v>270</v>
      </c>
      <c r="W1568" s="4" t="s">
        <v>271</v>
      </c>
      <c r="X1568" s="4" t="s">
        <v>273</v>
      </c>
      <c r="Y1568" s="4" t="s">
        <v>241</v>
      </c>
      <c r="AB1568" s="4" t="s">
        <v>241</v>
      </c>
      <c r="AD1568" s="5" t="s">
        <v>241</v>
      </c>
      <c r="AG1568" s="5" t="s">
        <v>246</v>
      </c>
      <c r="AH1568" s="4" t="s">
        <v>241</v>
      </c>
      <c r="AI1568" s="4" t="s">
        <v>247</v>
      </c>
      <c r="AJ1568" s="4" t="s">
        <v>248</v>
      </c>
      <c r="AZ1568" s="4" t="s">
        <v>249</v>
      </c>
      <c r="BA1568" s="4" t="s">
        <v>241</v>
      </c>
      <c r="BB1568" s="4" t="s">
        <v>250</v>
      </c>
      <c r="BC1568" s="4" t="s">
        <v>241</v>
      </c>
      <c r="BD1568" s="4" t="s">
        <v>252</v>
      </c>
      <c r="BE1568" s="4" t="s">
        <v>241</v>
      </c>
      <c r="BI1568" s="4" t="s">
        <v>253</v>
      </c>
      <c r="BJ1568" s="5" t="s">
        <v>246</v>
      </c>
      <c r="BK1568" s="4" t="s">
        <v>254</v>
      </c>
      <c r="BL1568" s="4" t="s">
        <v>255</v>
      </c>
      <c r="BM1568" s="4" t="s">
        <v>241</v>
      </c>
      <c r="BN1568" s="6">
        <f>0</f>
        <v>0</v>
      </c>
      <c r="BO1568" s="6">
        <f>0</f>
        <v>0</v>
      </c>
      <c r="BP1568" s="4" t="s">
        <v>256</v>
      </c>
      <c r="BQ1568" s="4" t="s">
        <v>257</v>
      </c>
      <c r="CE1568" s="4" t="s">
        <v>241</v>
      </c>
      <c r="CF1568" s="4" t="s">
        <v>241</v>
      </c>
      <c r="CJ1568" s="4" t="s">
        <v>276</v>
      </c>
      <c r="CK1568" s="4" t="s">
        <v>259</v>
      </c>
      <c r="CL1568" s="4" t="s">
        <v>241</v>
      </c>
      <c r="CO1568" s="5" t="s">
        <v>260</v>
      </c>
      <c r="CP1568" s="4" t="s">
        <v>241</v>
      </c>
      <c r="CQ1568" s="4" t="s">
        <v>261</v>
      </c>
      <c r="CR1568" s="4" t="s">
        <v>241</v>
      </c>
      <c r="CS1568" s="4" t="s">
        <v>241</v>
      </c>
      <c r="CT1568" s="4">
        <v>0</v>
      </c>
      <c r="CU1568" s="4" t="s">
        <v>262</v>
      </c>
      <c r="CV1568" s="4" t="s">
        <v>263</v>
      </c>
      <c r="CW1568" s="4" t="s">
        <v>263</v>
      </c>
      <c r="CX1568" s="4" t="s">
        <v>264</v>
      </c>
      <c r="DA1568" s="6">
        <f>1</f>
        <v>1</v>
      </c>
      <c r="DC1568" s="4" t="s">
        <v>277</v>
      </c>
      <c r="DD1568" s="4" t="s">
        <v>241</v>
      </c>
      <c r="DF1568" s="4" t="s">
        <v>277</v>
      </c>
      <c r="DG1568" s="6">
        <f>105</f>
        <v>105</v>
      </c>
      <c r="DI1568" s="4" t="s">
        <v>241</v>
      </c>
      <c r="DJ1568" s="4" t="s">
        <v>241</v>
      </c>
      <c r="DK1568" s="4" t="s">
        <v>241</v>
      </c>
      <c r="DL1568" s="4" t="s">
        <v>241</v>
      </c>
      <c r="DP1568" s="4" t="s">
        <v>241</v>
      </c>
      <c r="DQ1568" s="4" t="s">
        <v>241</v>
      </c>
      <c r="DR1568" s="4" t="s">
        <v>241</v>
      </c>
      <c r="DS1568" s="4" t="s">
        <v>241</v>
      </c>
      <c r="DV1568" s="4" t="s">
        <v>278</v>
      </c>
      <c r="DW1568" s="4" t="s">
        <v>2401</v>
      </c>
      <c r="HO1568" s="4" t="s">
        <v>267</v>
      </c>
    </row>
    <row r="1569" spans="1:223" ht="19.5" customHeight="1" x14ac:dyDescent="0.4">
      <c r="A1569" s="4">
        <v>1</v>
      </c>
      <c r="B1569" s="4" t="s">
        <v>239</v>
      </c>
      <c r="C1569" s="4">
        <v>3243</v>
      </c>
      <c r="D1569" s="4">
        <v>1</v>
      </c>
      <c r="E1569" s="4">
        <v>1</v>
      </c>
      <c r="F1569" s="4" t="s">
        <v>268</v>
      </c>
      <c r="G1569" s="4" t="s">
        <v>241</v>
      </c>
      <c r="H1569" s="4" t="s">
        <v>241</v>
      </c>
      <c r="I1569" s="4" t="s">
        <v>272</v>
      </c>
      <c r="J1569" s="4" t="s">
        <v>274</v>
      </c>
      <c r="K1569" s="4" t="s">
        <v>251</v>
      </c>
      <c r="L1569" s="4" t="s">
        <v>269</v>
      </c>
      <c r="M1569" s="5" t="s">
        <v>2398</v>
      </c>
      <c r="N1569" s="6">
        <f>995</f>
        <v>995</v>
      </c>
      <c r="O1569" s="4" t="s">
        <v>265</v>
      </c>
      <c r="P1569" s="6">
        <f>1</f>
        <v>1</v>
      </c>
      <c r="Q1569" s="6">
        <f>0</f>
        <v>0</v>
      </c>
      <c r="S1569" s="6">
        <f>0</f>
        <v>0</v>
      </c>
      <c r="T1569" s="6">
        <f>1</f>
        <v>1</v>
      </c>
      <c r="U1569" s="5" t="s">
        <v>245</v>
      </c>
      <c r="V1569" s="4" t="s">
        <v>270</v>
      </c>
      <c r="W1569" s="4" t="s">
        <v>271</v>
      </c>
      <c r="X1569" s="4" t="s">
        <v>273</v>
      </c>
      <c r="Y1569" s="4" t="s">
        <v>241</v>
      </c>
      <c r="AB1569" s="4" t="s">
        <v>241</v>
      </c>
      <c r="AD1569" s="5" t="s">
        <v>241</v>
      </c>
      <c r="AG1569" s="5" t="s">
        <v>246</v>
      </c>
      <c r="AH1569" s="4" t="s">
        <v>241</v>
      </c>
      <c r="AI1569" s="4" t="s">
        <v>247</v>
      </c>
      <c r="AJ1569" s="4" t="s">
        <v>248</v>
      </c>
      <c r="AZ1569" s="4" t="s">
        <v>249</v>
      </c>
      <c r="BA1569" s="4" t="s">
        <v>241</v>
      </c>
      <c r="BB1569" s="4" t="s">
        <v>250</v>
      </c>
      <c r="BC1569" s="4" t="s">
        <v>241</v>
      </c>
      <c r="BD1569" s="4" t="s">
        <v>252</v>
      </c>
      <c r="BE1569" s="4" t="s">
        <v>241</v>
      </c>
      <c r="BI1569" s="4" t="s">
        <v>253</v>
      </c>
      <c r="BJ1569" s="5" t="s">
        <v>246</v>
      </c>
      <c r="BK1569" s="4" t="s">
        <v>254</v>
      </c>
      <c r="BL1569" s="4" t="s">
        <v>255</v>
      </c>
      <c r="BM1569" s="4" t="s">
        <v>241</v>
      </c>
      <c r="BN1569" s="6">
        <f>0</f>
        <v>0</v>
      </c>
      <c r="BO1569" s="6">
        <f>0</f>
        <v>0</v>
      </c>
      <c r="BP1569" s="4" t="s">
        <v>256</v>
      </c>
      <c r="BQ1569" s="4" t="s">
        <v>257</v>
      </c>
      <c r="CE1569" s="4" t="s">
        <v>241</v>
      </c>
      <c r="CF1569" s="4" t="s">
        <v>241</v>
      </c>
      <c r="CJ1569" s="4" t="s">
        <v>276</v>
      </c>
      <c r="CK1569" s="4" t="s">
        <v>259</v>
      </c>
      <c r="CL1569" s="4" t="s">
        <v>241</v>
      </c>
      <c r="CO1569" s="5" t="s">
        <v>260</v>
      </c>
      <c r="CP1569" s="4" t="s">
        <v>241</v>
      </c>
      <c r="CQ1569" s="4" t="s">
        <v>261</v>
      </c>
      <c r="CR1569" s="4" t="s">
        <v>241</v>
      </c>
      <c r="CS1569" s="4" t="s">
        <v>241</v>
      </c>
      <c r="CT1569" s="4">
        <v>0</v>
      </c>
      <c r="CU1569" s="4" t="s">
        <v>262</v>
      </c>
      <c r="CV1569" s="4" t="s">
        <v>263</v>
      </c>
      <c r="CW1569" s="4" t="s">
        <v>263</v>
      </c>
      <c r="CX1569" s="4" t="s">
        <v>264</v>
      </c>
      <c r="DA1569" s="6">
        <f>1</f>
        <v>1</v>
      </c>
      <c r="DC1569" s="4" t="s">
        <v>277</v>
      </c>
      <c r="DD1569" s="4" t="s">
        <v>241</v>
      </c>
      <c r="DF1569" s="4" t="s">
        <v>277</v>
      </c>
      <c r="DG1569" s="6">
        <f>995</f>
        <v>995</v>
      </c>
      <c r="DI1569" s="4" t="s">
        <v>241</v>
      </c>
      <c r="DJ1569" s="4" t="s">
        <v>241</v>
      </c>
      <c r="DK1569" s="4" t="s">
        <v>241</v>
      </c>
      <c r="DL1569" s="4" t="s">
        <v>241</v>
      </c>
      <c r="DP1569" s="4" t="s">
        <v>241</v>
      </c>
      <c r="DQ1569" s="4" t="s">
        <v>241</v>
      </c>
      <c r="DR1569" s="4" t="s">
        <v>241</v>
      </c>
      <c r="DS1569" s="4" t="s">
        <v>241</v>
      </c>
      <c r="DV1569" s="4" t="s">
        <v>278</v>
      </c>
      <c r="DW1569" s="4" t="s">
        <v>2399</v>
      </c>
      <c r="HO1569" s="4" t="s">
        <v>267</v>
      </c>
    </row>
    <row r="1570" spans="1:223" ht="19.5" customHeight="1" x14ac:dyDescent="0.4">
      <c r="A1570" s="4">
        <v>1</v>
      </c>
      <c r="B1570" s="4" t="s">
        <v>239</v>
      </c>
      <c r="C1570" s="4">
        <v>3244</v>
      </c>
      <c r="D1570" s="4">
        <v>1</v>
      </c>
      <c r="E1570" s="4">
        <v>1</v>
      </c>
      <c r="F1570" s="4" t="s">
        <v>268</v>
      </c>
      <c r="G1570" s="4" t="s">
        <v>241</v>
      </c>
      <c r="H1570" s="4" t="s">
        <v>241</v>
      </c>
      <c r="I1570" s="4" t="s">
        <v>272</v>
      </c>
      <c r="J1570" s="4" t="s">
        <v>274</v>
      </c>
      <c r="K1570" s="4" t="s">
        <v>251</v>
      </c>
      <c r="L1570" s="4" t="s">
        <v>269</v>
      </c>
      <c r="M1570" s="5" t="s">
        <v>2396</v>
      </c>
      <c r="N1570" s="6">
        <f>1610</f>
        <v>1610</v>
      </c>
      <c r="O1570" s="4" t="s">
        <v>265</v>
      </c>
      <c r="P1570" s="6">
        <f>1</f>
        <v>1</v>
      </c>
      <c r="Q1570" s="6">
        <f>0</f>
        <v>0</v>
      </c>
      <c r="S1570" s="6">
        <f>0</f>
        <v>0</v>
      </c>
      <c r="T1570" s="6">
        <f>1</f>
        <v>1</v>
      </c>
      <c r="U1570" s="5" t="s">
        <v>245</v>
      </c>
      <c r="V1570" s="4" t="s">
        <v>270</v>
      </c>
      <c r="W1570" s="4" t="s">
        <v>271</v>
      </c>
      <c r="X1570" s="4" t="s">
        <v>273</v>
      </c>
      <c r="Y1570" s="4" t="s">
        <v>241</v>
      </c>
      <c r="AB1570" s="4" t="s">
        <v>241</v>
      </c>
      <c r="AD1570" s="5" t="s">
        <v>241</v>
      </c>
      <c r="AG1570" s="5" t="s">
        <v>246</v>
      </c>
      <c r="AH1570" s="4" t="s">
        <v>241</v>
      </c>
      <c r="AI1570" s="4" t="s">
        <v>247</v>
      </c>
      <c r="AJ1570" s="4" t="s">
        <v>248</v>
      </c>
      <c r="AZ1570" s="4" t="s">
        <v>249</v>
      </c>
      <c r="BA1570" s="4" t="s">
        <v>241</v>
      </c>
      <c r="BB1570" s="4" t="s">
        <v>250</v>
      </c>
      <c r="BC1570" s="4" t="s">
        <v>241</v>
      </c>
      <c r="BD1570" s="4" t="s">
        <v>252</v>
      </c>
      <c r="BE1570" s="4" t="s">
        <v>241</v>
      </c>
      <c r="BI1570" s="4" t="s">
        <v>253</v>
      </c>
      <c r="BJ1570" s="5" t="s">
        <v>246</v>
      </c>
      <c r="BK1570" s="4" t="s">
        <v>254</v>
      </c>
      <c r="BL1570" s="4" t="s">
        <v>255</v>
      </c>
      <c r="BM1570" s="4" t="s">
        <v>241</v>
      </c>
      <c r="BN1570" s="6">
        <f>0</f>
        <v>0</v>
      </c>
      <c r="BO1570" s="6">
        <f>0</f>
        <v>0</v>
      </c>
      <c r="BP1570" s="4" t="s">
        <v>256</v>
      </c>
      <c r="BQ1570" s="4" t="s">
        <v>257</v>
      </c>
      <c r="CE1570" s="4" t="s">
        <v>241</v>
      </c>
      <c r="CF1570" s="4" t="s">
        <v>241</v>
      </c>
      <c r="CJ1570" s="4" t="s">
        <v>276</v>
      </c>
      <c r="CK1570" s="4" t="s">
        <v>259</v>
      </c>
      <c r="CL1570" s="4" t="s">
        <v>241</v>
      </c>
      <c r="CO1570" s="5" t="s">
        <v>260</v>
      </c>
      <c r="CP1570" s="4" t="s">
        <v>241</v>
      </c>
      <c r="CQ1570" s="4" t="s">
        <v>261</v>
      </c>
      <c r="CR1570" s="4" t="s">
        <v>241</v>
      </c>
      <c r="CS1570" s="4" t="s">
        <v>241</v>
      </c>
      <c r="CT1570" s="4">
        <v>0</v>
      </c>
      <c r="CU1570" s="4" t="s">
        <v>262</v>
      </c>
      <c r="CV1570" s="4" t="s">
        <v>263</v>
      </c>
      <c r="CW1570" s="4" t="s">
        <v>263</v>
      </c>
      <c r="CX1570" s="4" t="s">
        <v>264</v>
      </c>
      <c r="DA1570" s="6">
        <f>1</f>
        <v>1</v>
      </c>
      <c r="DC1570" s="4" t="s">
        <v>277</v>
      </c>
      <c r="DD1570" s="4" t="s">
        <v>241</v>
      </c>
      <c r="DF1570" s="4" t="s">
        <v>277</v>
      </c>
      <c r="DG1570" s="6">
        <f>1610</f>
        <v>1610</v>
      </c>
      <c r="DI1570" s="4" t="s">
        <v>241</v>
      </c>
      <c r="DJ1570" s="4" t="s">
        <v>241</v>
      </c>
      <c r="DK1570" s="4" t="s">
        <v>241</v>
      </c>
      <c r="DL1570" s="4" t="s">
        <v>241</v>
      </c>
      <c r="DP1570" s="4" t="s">
        <v>241</v>
      </c>
      <c r="DQ1570" s="4" t="s">
        <v>241</v>
      </c>
      <c r="DR1570" s="4" t="s">
        <v>241</v>
      </c>
      <c r="DS1570" s="4" t="s">
        <v>241</v>
      </c>
      <c r="DV1570" s="4" t="s">
        <v>278</v>
      </c>
      <c r="DW1570" s="4" t="s">
        <v>2397</v>
      </c>
      <c r="HO1570" s="4" t="s">
        <v>267</v>
      </c>
    </row>
    <row r="1571" spans="1:223" ht="19.5" customHeight="1" x14ac:dyDescent="0.4">
      <c r="A1571" s="4">
        <v>1</v>
      </c>
      <c r="B1571" s="4" t="s">
        <v>239</v>
      </c>
      <c r="C1571" s="4">
        <v>3245</v>
      </c>
      <c r="D1571" s="4">
        <v>1</v>
      </c>
      <c r="E1571" s="4">
        <v>1</v>
      </c>
      <c r="F1571" s="4" t="s">
        <v>268</v>
      </c>
      <c r="G1571" s="4" t="s">
        <v>241</v>
      </c>
      <c r="H1571" s="4" t="s">
        <v>241</v>
      </c>
      <c r="I1571" s="4" t="s">
        <v>272</v>
      </c>
      <c r="J1571" s="4" t="s">
        <v>274</v>
      </c>
      <c r="K1571" s="4" t="s">
        <v>251</v>
      </c>
      <c r="L1571" s="4" t="s">
        <v>269</v>
      </c>
      <c r="M1571" s="5" t="s">
        <v>2394</v>
      </c>
      <c r="N1571" s="6">
        <f>472</f>
        <v>472</v>
      </c>
      <c r="O1571" s="4" t="s">
        <v>265</v>
      </c>
      <c r="P1571" s="6">
        <f>1</f>
        <v>1</v>
      </c>
      <c r="Q1571" s="6">
        <f>0</f>
        <v>0</v>
      </c>
      <c r="S1571" s="6">
        <f>0</f>
        <v>0</v>
      </c>
      <c r="T1571" s="6">
        <f>1</f>
        <v>1</v>
      </c>
      <c r="U1571" s="5" t="s">
        <v>245</v>
      </c>
      <c r="V1571" s="4" t="s">
        <v>270</v>
      </c>
      <c r="W1571" s="4" t="s">
        <v>271</v>
      </c>
      <c r="X1571" s="4" t="s">
        <v>273</v>
      </c>
      <c r="Y1571" s="4" t="s">
        <v>241</v>
      </c>
      <c r="AB1571" s="4" t="s">
        <v>241</v>
      </c>
      <c r="AD1571" s="5" t="s">
        <v>241</v>
      </c>
      <c r="AG1571" s="5" t="s">
        <v>246</v>
      </c>
      <c r="AH1571" s="4" t="s">
        <v>241</v>
      </c>
      <c r="AI1571" s="4" t="s">
        <v>247</v>
      </c>
      <c r="AJ1571" s="4" t="s">
        <v>248</v>
      </c>
      <c r="AZ1571" s="4" t="s">
        <v>249</v>
      </c>
      <c r="BA1571" s="4" t="s">
        <v>241</v>
      </c>
      <c r="BB1571" s="4" t="s">
        <v>250</v>
      </c>
      <c r="BC1571" s="4" t="s">
        <v>241</v>
      </c>
      <c r="BD1571" s="4" t="s">
        <v>252</v>
      </c>
      <c r="BE1571" s="4" t="s">
        <v>241</v>
      </c>
      <c r="BI1571" s="4" t="s">
        <v>253</v>
      </c>
      <c r="BJ1571" s="5" t="s">
        <v>246</v>
      </c>
      <c r="BK1571" s="4" t="s">
        <v>254</v>
      </c>
      <c r="BL1571" s="4" t="s">
        <v>255</v>
      </c>
      <c r="BM1571" s="4" t="s">
        <v>241</v>
      </c>
      <c r="BN1571" s="6">
        <f>0</f>
        <v>0</v>
      </c>
      <c r="BO1571" s="6">
        <f>0</f>
        <v>0</v>
      </c>
      <c r="BP1571" s="4" t="s">
        <v>256</v>
      </c>
      <c r="BQ1571" s="4" t="s">
        <v>257</v>
      </c>
      <c r="CE1571" s="4" t="s">
        <v>241</v>
      </c>
      <c r="CF1571" s="4" t="s">
        <v>241</v>
      </c>
      <c r="CJ1571" s="4" t="s">
        <v>276</v>
      </c>
      <c r="CK1571" s="4" t="s">
        <v>259</v>
      </c>
      <c r="CL1571" s="4" t="s">
        <v>241</v>
      </c>
      <c r="CO1571" s="5" t="s">
        <v>260</v>
      </c>
      <c r="CP1571" s="4" t="s">
        <v>241</v>
      </c>
      <c r="CQ1571" s="4" t="s">
        <v>261</v>
      </c>
      <c r="CR1571" s="4" t="s">
        <v>241</v>
      </c>
      <c r="CS1571" s="4" t="s">
        <v>241</v>
      </c>
      <c r="CT1571" s="4">
        <v>0</v>
      </c>
      <c r="CU1571" s="4" t="s">
        <v>262</v>
      </c>
      <c r="CV1571" s="4" t="s">
        <v>263</v>
      </c>
      <c r="CW1571" s="4" t="s">
        <v>263</v>
      </c>
      <c r="CX1571" s="4" t="s">
        <v>264</v>
      </c>
      <c r="DA1571" s="6">
        <f>1</f>
        <v>1</v>
      </c>
      <c r="DC1571" s="4" t="s">
        <v>277</v>
      </c>
      <c r="DD1571" s="4" t="s">
        <v>241</v>
      </c>
      <c r="DF1571" s="4" t="s">
        <v>277</v>
      </c>
      <c r="DG1571" s="6">
        <f>472</f>
        <v>472</v>
      </c>
      <c r="DI1571" s="4" t="s">
        <v>241</v>
      </c>
      <c r="DJ1571" s="4" t="s">
        <v>241</v>
      </c>
      <c r="DK1571" s="4" t="s">
        <v>241</v>
      </c>
      <c r="DL1571" s="4" t="s">
        <v>241</v>
      </c>
      <c r="DP1571" s="4" t="s">
        <v>241</v>
      </c>
      <c r="DQ1571" s="4" t="s">
        <v>241</v>
      </c>
      <c r="DR1571" s="4" t="s">
        <v>241</v>
      </c>
      <c r="DS1571" s="4" t="s">
        <v>241</v>
      </c>
      <c r="DV1571" s="4" t="s">
        <v>278</v>
      </c>
      <c r="DW1571" s="4" t="s">
        <v>2395</v>
      </c>
      <c r="HO1571" s="4" t="s">
        <v>267</v>
      </c>
    </row>
    <row r="1572" spans="1:223" ht="19.5" customHeight="1" x14ac:dyDescent="0.4">
      <c r="A1572" s="4">
        <v>1</v>
      </c>
      <c r="B1572" s="4" t="s">
        <v>239</v>
      </c>
      <c r="C1572" s="4">
        <v>3246</v>
      </c>
      <c r="D1572" s="4">
        <v>1</v>
      </c>
      <c r="E1572" s="4">
        <v>1</v>
      </c>
      <c r="F1572" s="4" t="s">
        <v>268</v>
      </c>
      <c r="G1572" s="4" t="s">
        <v>241</v>
      </c>
      <c r="H1572" s="4" t="s">
        <v>241</v>
      </c>
      <c r="I1572" s="4" t="s">
        <v>272</v>
      </c>
      <c r="J1572" s="4" t="s">
        <v>274</v>
      </c>
      <c r="K1572" s="4" t="s">
        <v>251</v>
      </c>
      <c r="L1572" s="4" t="s">
        <v>269</v>
      </c>
      <c r="M1572" s="5" t="s">
        <v>2392</v>
      </c>
      <c r="N1572" s="6">
        <f>52</f>
        <v>52</v>
      </c>
      <c r="O1572" s="4" t="s">
        <v>265</v>
      </c>
      <c r="P1572" s="6">
        <f>1</f>
        <v>1</v>
      </c>
      <c r="Q1572" s="6">
        <f>0</f>
        <v>0</v>
      </c>
      <c r="S1572" s="6">
        <f>0</f>
        <v>0</v>
      </c>
      <c r="T1572" s="6">
        <f>1</f>
        <v>1</v>
      </c>
      <c r="U1572" s="5" t="s">
        <v>245</v>
      </c>
      <c r="V1572" s="4" t="s">
        <v>270</v>
      </c>
      <c r="W1572" s="4" t="s">
        <v>271</v>
      </c>
      <c r="X1572" s="4" t="s">
        <v>273</v>
      </c>
      <c r="Y1572" s="4" t="s">
        <v>241</v>
      </c>
      <c r="AB1572" s="4" t="s">
        <v>241</v>
      </c>
      <c r="AD1572" s="5" t="s">
        <v>241</v>
      </c>
      <c r="AG1572" s="5" t="s">
        <v>246</v>
      </c>
      <c r="AH1572" s="4" t="s">
        <v>241</v>
      </c>
      <c r="AI1572" s="4" t="s">
        <v>247</v>
      </c>
      <c r="AJ1572" s="4" t="s">
        <v>248</v>
      </c>
      <c r="AZ1572" s="4" t="s">
        <v>249</v>
      </c>
      <c r="BA1572" s="4" t="s">
        <v>241</v>
      </c>
      <c r="BB1572" s="4" t="s">
        <v>250</v>
      </c>
      <c r="BC1572" s="4" t="s">
        <v>241</v>
      </c>
      <c r="BD1572" s="4" t="s">
        <v>252</v>
      </c>
      <c r="BE1572" s="4" t="s">
        <v>241</v>
      </c>
      <c r="BI1572" s="4" t="s">
        <v>253</v>
      </c>
      <c r="BJ1572" s="5" t="s">
        <v>246</v>
      </c>
      <c r="BK1572" s="4" t="s">
        <v>254</v>
      </c>
      <c r="BL1572" s="4" t="s">
        <v>255</v>
      </c>
      <c r="BM1572" s="4" t="s">
        <v>241</v>
      </c>
      <c r="BN1572" s="6">
        <f>0</f>
        <v>0</v>
      </c>
      <c r="BO1572" s="6">
        <f>0</f>
        <v>0</v>
      </c>
      <c r="BP1572" s="4" t="s">
        <v>256</v>
      </c>
      <c r="BQ1572" s="4" t="s">
        <v>257</v>
      </c>
      <c r="CE1572" s="4" t="s">
        <v>241</v>
      </c>
      <c r="CF1572" s="4" t="s">
        <v>241</v>
      </c>
      <c r="CJ1572" s="4" t="s">
        <v>276</v>
      </c>
      <c r="CK1572" s="4" t="s">
        <v>259</v>
      </c>
      <c r="CL1572" s="4" t="s">
        <v>241</v>
      </c>
      <c r="CO1572" s="5" t="s">
        <v>260</v>
      </c>
      <c r="CP1572" s="4" t="s">
        <v>241</v>
      </c>
      <c r="CQ1572" s="4" t="s">
        <v>261</v>
      </c>
      <c r="CR1572" s="4" t="s">
        <v>241</v>
      </c>
      <c r="CS1572" s="4" t="s">
        <v>241</v>
      </c>
      <c r="CT1572" s="4">
        <v>0</v>
      </c>
      <c r="CU1572" s="4" t="s">
        <v>262</v>
      </c>
      <c r="CV1572" s="4" t="s">
        <v>263</v>
      </c>
      <c r="CW1572" s="4" t="s">
        <v>263</v>
      </c>
      <c r="CX1572" s="4" t="s">
        <v>264</v>
      </c>
      <c r="DA1572" s="6">
        <f>1</f>
        <v>1</v>
      </c>
      <c r="DC1572" s="4" t="s">
        <v>277</v>
      </c>
      <c r="DD1572" s="4" t="s">
        <v>241</v>
      </c>
      <c r="DF1572" s="4" t="s">
        <v>277</v>
      </c>
      <c r="DG1572" s="6">
        <f>52</f>
        <v>52</v>
      </c>
      <c r="DI1572" s="4" t="s">
        <v>241</v>
      </c>
      <c r="DJ1572" s="4" t="s">
        <v>241</v>
      </c>
      <c r="DK1572" s="4" t="s">
        <v>241</v>
      </c>
      <c r="DL1572" s="4" t="s">
        <v>241</v>
      </c>
      <c r="DP1572" s="4" t="s">
        <v>241</v>
      </c>
      <c r="DQ1572" s="4" t="s">
        <v>241</v>
      </c>
      <c r="DR1572" s="4" t="s">
        <v>241</v>
      </c>
      <c r="DS1572" s="4" t="s">
        <v>241</v>
      </c>
      <c r="DV1572" s="4" t="s">
        <v>278</v>
      </c>
      <c r="DW1572" s="4" t="s">
        <v>2393</v>
      </c>
      <c r="HO1572" s="4" t="s">
        <v>267</v>
      </c>
    </row>
    <row r="1573" spans="1:223" ht="19.5" customHeight="1" x14ac:dyDescent="0.4">
      <c r="A1573" s="4">
        <v>1</v>
      </c>
      <c r="B1573" s="4" t="s">
        <v>239</v>
      </c>
      <c r="C1573" s="4">
        <v>3247</v>
      </c>
      <c r="D1573" s="4">
        <v>1</v>
      </c>
      <c r="E1573" s="4">
        <v>1</v>
      </c>
      <c r="F1573" s="4" t="s">
        <v>268</v>
      </c>
      <c r="G1573" s="4" t="s">
        <v>241</v>
      </c>
      <c r="H1573" s="4" t="s">
        <v>241</v>
      </c>
      <c r="I1573" s="4" t="s">
        <v>272</v>
      </c>
      <c r="J1573" s="4" t="s">
        <v>274</v>
      </c>
      <c r="K1573" s="4" t="s">
        <v>251</v>
      </c>
      <c r="L1573" s="4" t="s">
        <v>269</v>
      </c>
      <c r="M1573" s="5" t="s">
        <v>2390</v>
      </c>
      <c r="N1573" s="6">
        <f>450</f>
        <v>450</v>
      </c>
      <c r="O1573" s="4" t="s">
        <v>265</v>
      </c>
      <c r="P1573" s="6">
        <f>1</f>
        <v>1</v>
      </c>
      <c r="Q1573" s="6">
        <f>0</f>
        <v>0</v>
      </c>
      <c r="S1573" s="6">
        <f>0</f>
        <v>0</v>
      </c>
      <c r="T1573" s="6">
        <f>1</f>
        <v>1</v>
      </c>
      <c r="U1573" s="5" t="s">
        <v>245</v>
      </c>
      <c r="V1573" s="4" t="s">
        <v>270</v>
      </c>
      <c r="W1573" s="4" t="s">
        <v>271</v>
      </c>
      <c r="X1573" s="4" t="s">
        <v>273</v>
      </c>
      <c r="Y1573" s="4" t="s">
        <v>241</v>
      </c>
      <c r="AB1573" s="4" t="s">
        <v>241</v>
      </c>
      <c r="AD1573" s="5" t="s">
        <v>241</v>
      </c>
      <c r="AG1573" s="5" t="s">
        <v>246</v>
      </c>
      <c r="AH1573" s="4" t="s">
        <v>241</v>
      </c>
      <c r="AI1573" s="4" t="s">
        <v>247</v>
      </c>
      <c r="AJ1573" s="4" t="s">
        <v>248</v>
      </c>
      <c r="AZ1573" s="4" t="s">
        <v>249</v>
      </c>
      <c r="BA1573" s="4" t="s">
        <v>241</v>
      </c>
      <c r="BB1573" s="4" t="s">
        <v>250</v>
      </c>
      <c r="BC1573" s="4" t="s">
        <v>241</v>
      </c>
      <c r="BD1573" s="4" t="s">
        <v>252</v>
      </c>
      <c r="BE1573" s="4" t="s">
        <v>241</v>
      </c>
      <c r="BI1573" s="4" t="s">
        <v>253</v>
      </c>
      <c r="BJ1573" s="5" t="s">
        <v>246</v>
      </c>
      <c r="BK1573" s="4" t="s">
        <v>254</v>
      </c>
      <c r="BL1573" s="4" t="s">
        <v>255</v>
      </c>
      <c r="BM1573" s="4" t="s">
        <v>241</v>
      </c>
      <c r="BN1573" s="6">
        <f>0</f>
        <v>0</v>
      </c>
      <c r="BO1573" s="6">
        <f>0</f>
        <v>0</v>
      </c>
      <c r="BP1573" s="4" t="s">
        <v>256</v>
      </c>
      <c r="BQ1573" s="4" t="s">
        <v>257</v>
      </c>
      <c r="CE1573" s="4" t="s">
        <v>241</v>
      </c>
      <c r="CF1573" s="4" t="s">
        <v>241</v>
      </c>
      <c r="CJ1573" s="4" t="s">
        <v>276</v>
      </c>
      <c r="CK1573" s="4" t="s">
        <v>259</v>
      </c>
      <c r="CL1573" s="4" t="s">
        <v>241</v>
      </c>
      <c r="CO1573" s="5" t="s">
        <v>260</v>
      </c>
      <c r="CP1573" s="4" t="s">
        <v>241</v>
      </c>
      <c r="CQ1573" s="4" t="s">
        <v>261</v>
      </c>
      <c r="CR1573" s="4" t="s">
        <v>241</v>
      </c>
      <c r="CS1573" s="4" t="s">
        <v>241</v>
      </c>
      <c r="CT1573" s="4">
        <v>0</v>
      </c>
      <c r="CU1573" s="4" t="s">
        <v>262</v>
      </c>
      <c r="CV1573" s="4" t="s">
        <v>263</v>
      </c>
      <c r="CW1573" s="4" t="s">
        <v>263</v>
      </c>
      <c r="CX1573" s="4" t="s">
        <v>264</v>
      </c>
      <c r="DA1573" s="6">
        <f>1</f>
        <v>1</v>
      </c>
      <c r="DC1573" s="4" t="s">
        <v>277</v>
      </c>
      <c r="DD1573" s="4" t="s">
        <v>241</v>
      </c>
      <c r="DF1573" s="4" t="s">
        <v>277</v>
      </c>
      <c r="DG1573" s="6">
        <f>450</f>
        <v>450</v>
      </c>
      <c r="DI1573" s="4" t="s">
        <v>241</v>
      </c>
      <c r="DJ1573" s="4" t="s">
        <v>241</v>
      </c>
      <c r="DK1573" s="4" t="s">
        <v>241</v>
      </c>
      <c r="DL1573" s="4" t="s">
        <v>241</v>
      </c>
      <c r="DP1573" s="4" t="s">
        <v>241</v>
      </c>
      <c r="DQ1573" s="4" t="s">
        <v>241</v>
      </c>
      <c r="DR1573" s="4" t="s">
        <v>241</v>
      </c>
      <c r="DS1573" s="4" t="s">
        <v>241</v>
      </c>
      <c r="DV1573" s="4" t="s">
        <v>278</v>
      </c>
      <c r="DW1573" s="4" t="s">
        <v>2391</v>
      </c>
      <c r="HO1573" s="4" t="s">
        <v>267</v>
      </c>
    </row>
    <row r="1574" spans="1:223" ht="19.5" customHeight="1" x14ac:dyDescent="0.4">
      <c r="A1574" s="4">
        <v>1</v>
      </c>
      <c r="B1574" s="4" t="s">
        <v>239</v>
      </c>
      <c r="C1574" s="4">
        <v>3248</v>
      </c>
      <c r="D1574" s="4">
        <v>1</v>
      </c>
      <c r="E1574" s="4">
        <v>1</v>
      </c>
      <c r="F1574" s="4" t="s">
        <v>268</v>
      </c>
      <c r="G1574" s="4" t="s">
        <v>241</v>
      </c>
      <c r="H1574" s="4" t="s">
        <v>241</v>
      </c>
      <c r="I1574" s="4" t="s">
        <v>272</v>
      </c>
      <c r="J1574" s="4" t="s">
        <v>274</v>
      </c>
      <c r="K1574" s="4" t="s">
        <v>251</v>
      </c>
      <c r="L1574" s="4" t="s">
        <v>269</v>
      </c>
      <c r="M1574" s="5" t="s">
        <v>2388</v>
      </c>
      <c r="N1574" s="6">
        <f>2056</f>
        <v>2056</v>
      </c>
      <c r="O1574" s="4" t="s">
        <v>265</v>
      </c>
      <c r="P1574" s="6">
        <f>1</f>
        <v>1</v>
      </c>
      <c r="Q1574" s="6">
        <f>0</f>
        <v>0</v>
      </c>
      <c r="S1574" s="6">
        <f>0</f>
        <v>0</v>
      </c>
      <c r="T1574" s="6">
        <f>1</f>
        <v>1</v>
      </c>
      <c r="U1574" s="5" t="s">
        <v>245</v>
      </c>
      <c r="V1574" s="4" t="s">
        <v>270</v>
      </c>
      <c r="W1574" s="4" t="s">
        <v>271</v>
      </c>
      <c r="X1574" s="4" t="s">
        <v>273</v>
      </c>
      <c r="Y1574" s="4" t="s">
        <v>241</v>
      </c>
      <c r="AB1574" s="4" t="s">
        <v>241</v>
      </c>
      <c r="AD1574" s="5" t="s">
        <v>241</v>
      </c>
      <c r="AG1574" s="5" t="s">
        <v>246</v>
      </c>
      <c r="AH1574" s="4" t="s">
        <v>241</v>
      </c>
      <c r="AI1574" s="4" t="s">
        <v>247</v>
      </c>
      <c r="AJ1574" s="4" t="s">
        <v>248</v>
      </c>
      <c r="AZ1574" s="4" t="s">
        <v>249</v>
      </c>
      <c r="BA1574" s="4" t="s">
        <v>241</v>
      </c>
      <c r="BB1574" s="4" t="s">
        <v>250</v>
      </c>
      <c r="BC1574" s="4" t="s">
        <v>241</v>
      </c>
      <c r="BD1574" s="4" t="s">
        <v>252</v>
      </c>
      <c r="BE1574" s="4" t="s">
        <v>241</v>
      </c>
      <c r="BI1574" s="4" t="s">
        <v>253</v>
      </c>
      <c r="BJ1574" s="5" t="s">
        <v>246</v>
      </c>
      <c r="BK1574" s="4" t="s">
        <v>254</v>
      </c>
      <c r="BL1574" s="4" t="s">
        <v>255</v>
      </c>
      <c r="BM1574" s="4" t="s">
        <v>241</v>
      </c>
      <c r="BN1574" s="6">
        <f>0</f>
        <v>0</v>
      </c>
      <c r="BO1574" s="6">
        <f>0</f>
        <v>0</v>
      </c>
      <c r="BP1574" s="4" t="s">
        <v>256</v>
      </c>
      <c r="BQ1574" s="4" t="s">
        <v>257</v>
      </c>
      <c r="CE1574" s="4" t="s">
        <v>241</v>
      </c>
      <c r="CF1574" s="4" t="s">
        <v>241</v>
      </c>
      <c r="CJ1574" s="4" t="s">
        <v>276</v>
      </c>
      <c r="CK1574" s="4" t="s">
        <v>259</v>
      </c>
      <c r="CL1574" s="4" t="s">
        <v>241</v>
      </c>
      <c r="CO1574" s="5" t="s">
        <v>260</v>
      </c>
      <c r="CP1574" s="4" t="s">
        <v>241</v>
      </c>
      <c r="CQ1574" s="4" t="s">
        <v>261</v>
      </c>
      <c r="CR1574" s="4" t="s">
        <v>241</v>
      </c>
      <c r="CS1574" s="4" t="s">
        <v>241</v>
      </c>
      <c r="CT1574" s="4">
        <v>0</v>
      </c>
      <c r="CU1574" s="4" t="s">
        <v>262</v>
      </c>
      <c r="CV1574" s="4" t="s">
        <v>263</v>
      </c>
      <c r="CW1574" s="4" t="s">
        <v>263</v>
      </c>
      <c r="CX1574" s="4" t="s">
        <v>264</v>
      </c>
      <c r="DA1574" s="6">
        <f>1</f>
        <v>1</v>
      </c>
      <c r="DC1574" s="4" t="s">
        <v>277</v>
      </c>
      <c r="DD1574" s="4" t="s">
        <v>241</v>
      </c>
      <c r="DF1574" s="4" t="s">
        <v>277</v>
      </c>
      <c r="DG1574" s="6">
        <f>2056</f>
        <v>2056</v>
      </c>
      <c r="DI1574" s="4" t="s">
        <v>241</v>
      </c>
      <c r="DJ1574" s="4" t="s">
        <v>241</v>
      </c>
      <c r="DK1574" s="4" t="s">
        <v>241</v>
      </c>
      <c r="DL1574" s="4" t="s">
        <v>241</v>
      </c>
      <c r="DP1574" s="4" t="s">
        <v>241</v>
      </c>
      <c r="DQ1574" s="4" t="s">
        <v>241</v>
      </c>
      <c r="DR1574" s="4" t="s">
        <v>241</v>
      </c>
      <c r="DS1574" s="4" t="s">
        <v>241</v>
      </c>
      <c r="DV1574" s="4" t="s">
        <v>278</v>
      </c>
      <c r="DW1574" s="4" t="s">
        <v>2389</v>
      </c>
      <c r="HO1574" s="4" t="s">
        <v>267</v>
      </c>
    </row>
    <row r="1575" spans="1:223" ht="19.5" customHeight="1" x14ac:dyDescent="0.4">
      <c r="A1575" s="4">
        <v>1</v>
      </c>
      <c r="B1575" s="4" t="s">
        <v>239</v>
      </c>
      <c r="C1575" s="4">
        <v>3249</v>
      </c>
      <c r="D1575" s="4">
        <v>1</v>
      </c>
      <c r="E1575" s="4">
        <v>1</v>
      </c>
      <c r="F1575" s="4" t="s">
        <v>268</v>
      </c>
      <c r="G1575" s="4" t="s">
        <v>241</v>
      </c>
      <c r="H1575" s="4" t="s">
        <v>241</v>
      </c>
      <c r="I1575" s="4" t="s">
        <v>272</v>
      </c>
      <c r="J1575" s="4" t="s">
        <v>274</v>
      </c>
      <c r="K1575" s="4" t="s">
        <v>251</v>
      </c>
      <c r="L1575" s="4" t="s">
        <v>269</v>
      </c>
      <c r="M1575" s="5" t="s">
        <v>2386</v>
      </c>
      <c r="N1575" s="6">
        <f>1180</f>
        <v>1180</v>
      </c>
      <c r="O1575" s="4" t="s">
        <v>265</v>
      </c>
      <c r="P1575" s="6">
        <f>1</f>
        <v>1</v>
      </c>
      <c r="Q1575" s="6">
        <f>0</f>
        <v>0</v>
      </c>
      <c r="S1575" s="6">
        <f>0</f>
        <v>0</v>
      </c>
      <c r="T1575" s="6">
        <f>1</f>
        <v>1</v>
      </c>
      <c r="U1575" s="5" t="s">
        <v>245</v>
      </c>
      <c r="V1575" s="4" t="s">
        <v>270</v>
      </c>
      <c r="W1575" s="4" t="s">
        <v>271</v>
      </c>
      <c r="X1575" s="4" t="s">
        <v>273</v>
      </c>
      <c r="Y1575" s="4" t="s">
        <v>241</v>
      </c>
      <c r="AB1575" s="4" t="s">
        <v>241</v>
      </c>
      <c r="AD1575" s="5" t="s">
        <v>241</v>
      </c>
      <c r="AG1575" s="5" t="s">
        <v>246</v>
      </c>
      <c r="AH1575" s="4" t="s">
        <v>241</v>
      </c>
      <c r="AI1575" s="4" t="s">
        <v>247</v>
      </c>
      <c r="AJ1575" s="4" t="s">
        <v>248</v>
      </c>
      <c r="AZ1575" s="4" t="s">
        <v>249</v>
      </c>
      <c r="BA1575" s="4" t="s">
        <v>241</v>
      </c>
      <c r="BB1575" s="4" t="s">
        <v>250</v>
      </c>
      <c r="BC1575" s="4" t="s">
        <v>241</v>
      </c>
      <c r="BD1575" s="4" t="s">
        <v>252</v>
      </c>
      <c r="BE1575" s="4" t="s">
        <v>241</v>
      </c>
      <c r="BI1575" s="4" t="s">
        <v>253</v>
      </c>
      <c r="BJ1575" s="5" t="s">
        <v>246</v>
      </c>
      <c r="BK1575" s="4" t="s">
        <v>254</v>
      </c>
      <c r="BL1575" s="4" t="s">
        <v>255</v>
      </c>
      <c r="BM1575" s="4" t="s">
        <v>241</v>
      </c>
      <c r="BN1575" s="6">
        <f>0</f>
        <v>0</v>
      </c>
      <c r="BO1575" s="6">
        <f>0</f>
        <v>0</v>
      </c>
      <c r="BP1575" s="4" t="s">
        <v>256</v>
      </c>
      <c r="BQ1575" s="4" t="s">
        <v>257</v>
      </c>
      <c r="CE1575" s="4" t="s">
        <v>241</v>
      </c>
      <c r="CF1575" s="4" t="s">
        <v>241</v>
      </c>
      <c r="CJ1575" s="4" t="s">
        <v>276</v>
      </c>
      <c r="CK1575" s="4" t="s">
        <v>259</v>
      </c>
      <c r="CL1575" s="4" t="s">
        <v>241</v>
      </c>
      <c r="CO1575" s="5" t="s">
        <v>260</v>
      </c>
      <c r="CP1575" s="4" t="s">
        <v>241</v>
      </c>
      <c r="CQ1575" s="4" t="s">
        <v>261</v>
      </c>
      <c r="CR1575" s="4" t="s">
        <v>241</v>
      </c>
      <c r="CS1575" s="4" t="s">
        <v>241</v>
      </c>
      <c r="CT1575" s="4">
        <v>0</v>
      </c>
      <c r="CU1575" s="4" t="s">
        <v>262</v>
      </c>
      <c r="CV1575" s="4" t="s">
        <v>263</v>
      </c>
      <c r="CW1575" s="4" t="s">
        <v>263</v>
      </c>
      <c r="CX1575" s="4" t="s">
        <v>264</v>
      </c>
      <c r="DA1575" s="6">
        <f>1</f>
        <v>1</v>
      </c>
      <c r="DC1575" s="4" t="s">
        <v>277</v>
      </c>
      <c r="DD1575" s="4" t="s">
        <v>241</v>
      </c>
      <c r="DF1575" s="4" t="s">
        <v>277</v>
      </c>
      <c r="DG1575" s="6">
        <f>1180</f>
        <v>1180</v>
      </c>
      <c r="DI1575" s="4" t="s">
        <v>241</v>
      </c>
      <c r="DJ1575" s="4" t="s">
        <v>241</v>
      </c>
      <c r="DK1575" s="4" t="s">
        <v>241</v>
      </c>
      <c r="DL1575" s="4" t="s">
        <v>241</v>
      </c>
      <c r="DP1575" s="4" t="s">
        <v>241</v>
      </c>
      <c r="DQ1575" s="4" t="s">
        <v>241</v>
      </c>
      <c r="DR1575" s="4" t="s">
        <v>241</v>
      </c>
      <c r="DS1575" s="4" t="s">
        <v>241</v>
      </c>
      <c r="DV1575" s="4" t="s">
        <v>278</v>
      </c>
      <c r="DW1575" s="4" t="s">
        <v>2387</v>
      </c>
      <c r="HO1575" s="4" t="s">
        <v>267</v>
      </c>
    </row>
    <row r="1576" spans="1:223" ht="19.5" customHeight="1" x14ac:dyDescent="0.4">
      <c r="A1576" s="4">
        <v>1</v>
      </c>
      <c r="B1576" s="4" t="s">
        <v>239</v>
      </c>
      <c r="C1576" s="4">
        <v>3250</v>
      </c>
      <c r="D1576" s="4">
        <v>1</v>
      </c>
      <c r="E1576" s="4">
        <v>1</v>
      </c>
      <c r="F1576" s="4" t="s">
        <v>268</v>
      </c>
      <c r="G1576" s="4" t="s">
        <v>241</v>
      </c>
      <c r="H1576" s="4" t="s">
        <v>241</v>
      </c>
      <c r="I1576" s="4" t="s">
        <v>272</v>
      </c>
      <c r="J1576" s="4" t="s">
        <v>274</v>
      </c>
      <c r="K1576" s="4" t="s">
        <v>251</v>
      </c>
      <c r="L1576" s="4" t="s">
        <v>269</v>
      </c>
      <c r="M1576" s="5" t="s">
        <v>2384</v>
      </c>
      <c r="N1576" s="6">
        <f>138</f>
        <v>138</v>
      </c>
      <c r="O1576" s="4" t="s">
        <v>265</v>
      </c>
      <c r="P1576" s="6">
        <f>1</f>
        <v>1</v>
      </c>
      <c r="Q1576" s="6">
        <f>0</f>
        <v>0</v>
      </c>
      <c r="S1576" s="6">
        <f>0</f>
        <v>0</v>
      </c>
      <c r="T1576" s="6">
        <f>1</f>
        <v>1</v>
      </c>
      <c r="U1576" s="5" t="s">
        <v>245</v>
      </c>
      <c r="V1576" s="4" t="s">
        <v>270</v>
      </c>
      <c r="W1576" s="4" t="s">
        <v>271</v>
      </c>
      <c r="X1576" s="4" t="s">
        <v>273</v>
      </c>
      <c r="Y1576" s="4" t="s">
        <v>241</v>
      </c>
      <c r="AB1576" s="4" t="s">
        <v>241</v>
      </c>
      <c r="AD1576" s="5" t="s">
        <v>241</v>
      </c>
      <c r="AG1576" s="5" t="s">
        <v>246</v>
      </c>
      <c r="AH1576" s="4" t="s">
        <v>241</v>
      </c>
      <c r="AI1576" s="4" t="s">
        <v>247</v>
      </c>
      <c r="AJ1576" s="4" t="s">
        <v>248</v>
      </c>
      <c r="AZ1576" s="4" t="s">
        <v>249</v>
      </c>
      <c r="BA1576" s="4" t="s">
        <v>241</v>
      </c>
      <c r="BB1576" s="4" t="s">
        <v>250</v>
      </c>
      <c r="BC1576" s="4" t="s">
        <v>241</v>
      </c>
      <c r="BD1576" s="4" t="s">
        <v>252</v>
      </c>
      <c r="BE1576" s="4" t="s">
        <v>241</v>
      </c>
      <c r="BI1576" s="4" t="s">
        <v>253</v>
      </c>
      <c r="BJ1576" s="5" t="s">
        <v>246</v>
      </c>
      <c r="BK1576" s="4" t="s">
        <v>254</v>
      </c>
      <c r="BL1576" s="4" t="s">
        <v>255</v>
      </c>
      <c r="BM1576" s="4" t="s">
        <v>241</v>
      </c>
      <c r="BN1576" s="6">
        <f>0</f>
        <v>0</v>
      </c>
      <c r="BO1576" s="6">
        <f>0</f>
        <v>0</v>
      </c>
      <c r="BP1576" s="4" t="s">
        <v>256</v>
      </c>
      <c r="BQ1576" s="4" t="s">
        <v>257</v>
      </c>
      <c r="CE1576" s="4" t="s">
        <v>241</v>
      </c>
      <c r="CF1576" s="4" t="s">
        <v>241</v>
      </c>
      <c r="CJ1576" s="4" t="s">
        <v>276</v>
      </c>
      <c r="CK1576" s="4" t="s">
        <v>259</v>
      </c>
      <c r="CL1576" s="4" t="s">
        <v>241</v>
      </c>
      <c r="CO1576" s="5" t="s">
        <v>260</v>
      </c>
      <c r="CP1576" s="4" t="s">
        <v>241</v>
      </c>
      <c r="CQ1576" s="4" t="s">
        <v>261</v>
      </c>
      <c r="CR1576" s="4" t="s">
        <v>241</v>
      </c>
      <c r="CS1576" s="4" t="s">
        <v>241</v>
      </c>
      <c r="CT1576" s="4">
        <v>0</v>
      </c>
      <c r="CU1576" s="4" t="s">
        <v>262</v>
      </c>
      <c r="CV1576" s="4" t="s">
        <v>263</v>
      </c>
      <c r="CW1576" s="4" t="s">
        <v>263</v>
      </c>
      <c r="CX1576" s="4" t="s">
        <v>264</v>
      </c>
      <c r="DA1576" s="6">
        <f>1</f>
        <v>1</v>
      </c>
      <c r="DC1576" s="4" t="s">
        <v>277</v>
      </c>
      <c r="DD1576" s="4" t="s">
        <v>241</v>
      </c>
      <c r="DF1576" s="4" t="s">
        <v>277</v>
      </c>
      <c r="DG1576" s="6">
        <f>138</f>
        <v>138</v>
      </c>
      <c r="DI1576" s="4" t="s">
        <v>241</v>
      </c>
      <c r="DJ1576" s="4" t="s">
        <v>241</v>
      </c>
      <c r="DK1576" s="4" t="s">
        <v>241</v>
      </c>
      <c r="DL1576" s="4" t="s">
        <v>241</v>
      </c>
      <c r="DP1576" s="4" t="s">
        <v>241</v>
      </c>
      <c r="DQ1576" s="4" t="s">
        <v>241</v>
      </c>
      <c r="DR1576" s="4" t="s">
        <v>241</v>
      </c>
      <c r="DS1576" s="4" t="s">
        <v>241</v>
      </c>
      <c r="DV1576" s="4" t="s">
        <v>278</v>
      </c>
      <c r="DW1576" s="4" t="s">
        <v>2385</v>
      </c>
      <c r="HO1576" s="4" t="s">
        <v>267</v>
      </c>
    </row>
    <row r="1577" spans="1:223" ht="19.5" customHeight="1" x14ac:dyDescent="0.4">
      <c r="A1577" s="4">
        <v>1</v>
      </c>
      <c r="B1577" s="4" t="s">
        <v>239</v>
      </c>
      <c r="C1577" s="4">
        <v>3251</v>
      </c>
      <c r="D1577" s="4">
        <v>1</v>
      </c>
      <c r="E1577" s="4">
        <v>1</v>
      </c>
      <c r="F1577" s="4" t="s">
        <v>268</v>
      </c>
      <c r="G1577" s="4" t="s">
        <v>241</v>
      </c>
      <c r="H1577" s="4" t="s">
        <v>241</v>
      </c>
      <c r="I1577" s="4" t="s">
        <v>272</v>
      </c>
      <c r="J1577" s="4" t="s">
        <v>274</v>
      </c>
      <c r="K1577" s="4" t="s">
        <v>251</v>
      </c>
      <c r="L1577" s="4" t="s">
        <v>269</v>
      </c>
      <c r="M1577" s="5" t="s">
        <v>2382</v>
      </c>
      <c r="N1577" s="6">
        <f>3217</f>
        <v>3217</v>
      </c>
      <c r="O1577" s="4" t="s">
        <v>265</v>
      </c>
      <c r="P1577" s="6">
        <f>1</f>
        <v>1</v>
      </c>
      <c r="Q1577" s="6">
        <f>0</f>
        <v>0</v>
      </c>
      <c r="S1577" s="6">
        <f>0</f>
        <v>0</v>
      </c>
      <c r="T1577" s="6">
        <f>1</f>
        <v>1</v>
      </c>
      <c r="U1577" s="5" t="s">
        <v>245</v>
      </c>
      <c r="V1577" s="4" t="s">
        <v>270</v>
      </c>
      <c r="W1577" s="4" t="s">
        <v>271</v>
      </c>
      <c r="X1577" s="4" t="s">
        <v>273</v>
      </c>
      <c r="Y1577" s="4" t="s">
        <v>241</v>
      </c>
      <c r="AB1577" s="4" t="s">
        <v>241</v>
      </c>
      <c r="AD1577" s="5" t="s">
        <v>241</v>
      </c>
      <c r="AG1577" s="5" t="s">
        <v>246</v>
      </c>
      <c r="AH1577" s="4" t="s">
        <v>241</v>
      </c>
      <c r="AI1577" s="4" t="s">
        <v>247</v>
      </c>
      <c r="AJ1577" s="4" t="s">
        <v>248</v>
      </c>
      <c r="AZ1577" s="4" t="s">
        <v>249</v>
      </c>
      <c r="BA1577" s="4" t="s">
        <v>241</v>
      </c>
      <c r="BB1577" s="4" t="s">
        <v>250</v>
      </c>
      <c r="BC1577" s="4" t="s">
        <v>241</v>
      </c>
      <c r="BD1577" s="4" t="s">
        <v>252</v>
      </c>
      <c r="BE1577" s="4" t="s">
        <v>241</v>
      </c>
      <c r="BI1577" s="4" t="s">
        <v>253</v>
      </c>
      <c r="BJ1577" s="5" t="s">
        <v>246</v>
      </c>
      <c r="BK1577" s="4" t="s">
        <v>254</v>
      </c>
      <c r="BL1577" s="4" t="s">
        <v>255</v>
      </c>
      <c r="BM1577" s="4" t="s">
        <v>241</v>
      </c>
      <c r="BN1577" s="6">
        <f>0</f>
        <v>0</v>
      </c>
      <c r="BO1577" s="6">
        <f>0</f>
        <v>0</v>
      </c>
      <c r="BP1577" s="4" t="s">
        <v>256</v>
      </c>
      <c r="BQ1577" s="4" t="s">
        <v>257</v>
      </c>
      <c r="CE1577" s="4" t="s">
        <v>241</v>
      </c>
      <c r="CF1577" s="4" t="s">
        <v>241</v>
      </c>
      <c r="CJ1577" s="4" t="s">
        <v>276</v>
      </c>
      <c r="CK1577" s="4" t="s">
        <v>259</v>
      </c>
      <c r="CL1577" s="4" t="s">
        <v>241</v>
      </c>
      <c r="CO1577" s="5" t="s">
        <v>260</v>
      </c>
      <c r="CP1577" s="4" t="s">
        <v>241</v>
      </c>
      <c r="CQ1577" s="4" t="s">
        <v>261</v>
      </c>
      <c r="CR1577" s="4" t="s">
        <v>241</v>
      </c>
      <c r="CS1577" s="4" t="s">
        <v>241</v>
      </c>
      <c r="CT1577" s="4">
        <v>0</v>
      </c>
      <c r="CU1577" s="4" t="s">
        <v>262</v>
      </c>
      <c r="CV1577" s="4" t="s">
        <v>263</v>
      </c>
      <c r="CW1577" s="4" t="s">
        <v>263</v>
      </c>
      <c r="CX1577" s="4" t="s">
        <v>264</v>
      </c>
      <c r="DA1577" s="6">
        <f>1</f>
        <v>1</v>
      </c>
      <c r="DC1577" s="4" t="s">
        <v>277</v>
      </c>
      <c r="DD1577" s="4" t="s">
        <v>241</v>
      </c>
      <c r="DF1577" s="4" t="s">
        <v>277</v>
      </c>
      <c r="DG1577" s="6">
        <f>3217</f>
        <v>3217</v>
      </c>
      <c r="DI1577" s="4" t="s">
        <v>241</v>
      </c>
      <c r="DJ1577" s="4" t="s">
        <v>241</v>
      </c>
      <c r="DK1577" s="4" t="s">
        <v>241</v>
      </c>
      <c r="DL1577" s="4" t="s">
        <v>241</v>
      </c>
      <c r="DP1577" s="4" t="s">
        <v>241</v>
      </c>
      <c r="DQ1577" s="4" t="s">
        <v>241</v>
      </c>
      <c r="DR1577" s="4" t="s">
        <v>241</v>
      </c>
      <c r="DS1577" s="4" t="s">
        <v>241</v>
      </c>
      <c r="DV1577" s="4" t="s">
        <v>278</v>
      </c>
      <c r="DW1577" s="4" t="s">
        <v>2383</v>
      </c>
      <c r="HO1577" s="4" t="s">
        <v>267</v>
      </c>
    </row>
    <row r="1578" spans="1:223" ht="19.5" customHeight="1" x14ac:dyDescent="0.4">
      <c r="A1578" s="4">
        <v>1</v>
      </c>
      <c r="B1578" s="4" t="s">
        <v>239</v>
      </c>
      <c r="C1578" s="4">
        <v>3252</v>
      </c>
      <c r="D1578" s="4">
        <v>1</v>
      </c>
      <c r="E1578" s="4">
        <v>1</v>
      </c>
      <c r="F1578" s="4" t="s">
        <v>268</v>
      </c>
      <c r="G1578" s="4" t="s">
        <v>241</v>
      </c>
      <c r="H1578" s="4" t="s">
        <v>241</v>
      </c>
      <c r="I1578" s="4" t="s">
        <v>272</v>
      </c>
      <c r="J1578" s="4" t="s">
        <v>274</v>
      </c>
      <c r="K1578" s="4" t="s">
        <v>251</v>
      </c>
      <c r="L1578" s="4" t="s">
        <v>269</v>
      </c>
      <c r="M1578" s="5" t="s">
        <v>2380</v>
      </c>
      <c r="N1578" s="6">
        <f>1785</f>
        <v>1785</v>
      </c>
      <c r="O1578" s="4" t="s">
        <v>265</v>
      </c>
      <c r="P1578" s="6">
        <f>1</f>
        <v>1</v>
      </c>
      <c r="Q1578" s="6">
        <f>0</f>
        <v>0</v>
      </c>
      <c r="S1578" s="6">
        <f>0</f>
        <v>0</v>
      </c>
      <c r="T1578" s="6">
        <f>1</f>
        <v>1</v>
      </c>
      <c r="U1578" s="5" t="s">
        <v>245</v>
      </c>
      <c r="V1578" s="4" t="s">
        <v>270</v>
      </c>
      <c r="W1578" s="4" t="s">
        <v>271</v>
      </c>
      <c r="X1578" s="4" t="s">
        <v>273</v>
      </c>
      <c r="Y1578" s="4" t="s">
        <v>241</v>
      </c>
      <c r="AB1578" s="4" t="s">
        <v>241</v>
      </c>
      <c r="AD1578" s="5" t="s">
        <v>241</v>
      </c>
      <c r="AG1578" s="5" t="s">
        <v>246</v>
      </c>
      <c r="AH1578" s="4" t="s">
        <v>241</v>
      </c>
      <c r="AI1578" s="4" t="s">
        <v>247</v>
      </c>
      <c r="AJ1578" s="4" t="s">
        <v>248</v>
      </c>
      <c r="AZ1578" s="4" t="s">
        <v>249</v>
      </c>
      <c r="BA1578" s="4" t="s">
        <v>241</v>
      </c>
      <c r="BB1578" s="4" t="s">
        <v>250</v>
      </c>
      <c r="BC1578" s="4" t="s">
        <v>241</v>
      </c>
      <c r="BD1578" s="4" t="s">
        <v>252</v>
      </c>
      <c r="BE1578" s="4" t="s">
        <v>241</v>
      </c>
      <c r="BI1578" s="4" t="s">
        <v>253</v>
      </c>
      <c r="BJ1578" s="5" t="s">
        <v>246</v>
      </c>
      <c r="BK1578" s="4" t="s">
        <v>254</v>
      </c>
      <c r="BL1578" s="4" t="s">
        <v>255</v>
      </c>
      <c r="BM1578" s="4" t="s">
        <v>241</v>
      </c>
      <c r="BN1578" s="6">
        <f>0</f>
        <v>0</v>
      </c>
      <c r="BO1578" s="6">
        <f>0</f>
        <v>0</v>
      </c>
      <c r="BP1578" s="4" t="s">
        <v>256</v>
      </c>
      <c r="BQ1578" s="4" t="s">
        <v>257</v>
      </c>
      <c r="CE1578" s="4" t="s">
        <v>241</v>
      </c>
      <c r="CF1578" s="4" t="s">
        <v>241</v>
      </c>
      <c r="CJ1578" s="4" t="s">
        <v>276</v>
      </c>
      <c r="CK1578" s="4" t="s">
        <v>259</v>
      </c>
      <c r="CL1578" s="4" t="s">
        <v>241</v>
      </c>
      <c r="CO1578" s="5" t="s">
        <v>260</v>
      </c>
      <c r="CP1578" s="4" t="s">
        <v>241</v>
      </c>
      <c r="CQ1578" s="4" t="s">
        <v>261</v>
      </c>
      <c r="CR1578" s="4" t="s">
        <v>241</v>
      </c>
      <c r="CS1578" s="4" t="s">
        <v>241</v>
      </c>
      <c r="CT1578" s="4">
        <v>0</v>
      </c>
      <c r="CU1578" s="4" t="s">
        <v>262</v>
      </c>
      <c r="CV1578" s="4" t="s">
        <v>263</v>
      </c>
      <c r="CW1578" s="4" t="s">
        <v>263</v>
      </c>
      <c r="CX1578" s="4" t="s">
        <v>264</v>
      </c>
      <c r="DA1578" s="6">
        <f>1</f>
        <v>1</v>
      </c>
      <c r="DC1578" s="4" t="s">
        <v>277</v>
      </c>
      <c r="DD1578" s="4" t="s">
        <v>241</v>
      </c>
      <c r="DF1578" s="4" t="s">
        <v>277</v>
      </c>
      <c r="DG1578" s="6">
        <f>1785</f>
        <v>1785</v>
      </c>
      <c r="DI1578" s="4" t="s">
        <v>241</v>
      </c>
      <c r="DJ1578" s="4" t="s">
        <v>241</v>
      </c>
      <c r="DK1578" s="4" t="s">
        <v>241</v>
      </c>
      <c r="DL1578" s="4" t="s">
        <v>241</v>
      </c>
      <c r="DP1578" s="4" t="s">
        <v>241</v>
      </c>
      <c r="DQ1578" s="4" t="s">
        <v>241</v>
      </c>
      <c r="DR1578" s="4" t="s">
        <v>241</v>
      </c>
      <c r="DS1578" s="4" t="s">
        <v>241</v>
      </c>
      <c r="DV1578" s="4" t="s">
        <v>278</v>
      </c>
      <c r="DW1578" s="4" t="s">
        <v>2381</v>
      </c>
      <c r="HO1578" s="4" t="s">
        <v>267</v>
      </c>
    </row>
    <row r="1579" spans="1:223" ht="19.5" customHeight="1" x14ac:dyDescent="0.4">
      <c r="A1579" s="4">
        <v>1</v>
      </c>
      <c r="B1579" s="4" t="s">
        <v>239</v>
      </c>
      <c r="C1579" s="4">
        <v>3253</v>
      </c>
      <c r="D1579" s="4">
        <v>1</v>
      </c>
      <c r="E1579" s="4">
        <v>1</v>
      </c>
      <c r="F1579" s="4" t="s">
        <v>268</v>
      </c>
      <c r="G1579" s="4" t="s">
        <v>241</v>
      </c>
      <c r="H1579" s="4" t="s">
        <v>241</v>
      </c>
      <c r="I1579" s="4" t="s">
        <v>272</v>
      </c>
      <c r="J1579" s="4" t="s">
        <v>274</v>
      </c>
      <c r="K1579" s="4" t="s">
        <v>251</v>
      </c>
      <c r="L1579" s="4" t="s">
        <v>269</v>
      </c>
      <c r="M1579" s="5" t="s">
        <v>2378</v>
      </c>
      <c r="N1579" s="6">
        <f>2303</f>
        <v>2303</v>
      </c>
      <c r="O1579" s="4" t="s">
        <v>265</v>
      </c>
      <c r="P1579" s="6">
        <f>1</f>
        <v>1</v>
      </c>
      <c r="Q1579" s="6">
        <f>0</f>
        <v>0</v>
      </c>
      <c r="S1579" s="6">
        <f>0</f>
        <v>0</v>
      </c>
      <c r="T1579" s="6">
        <f>1</f>
        <v>1</v>
      </c>
      <c r="U1579" s="5" t="s">
        <v>245</v>
      </c>
      <c r="V1579" s="4" t="s">
        <v>270</v>
      </c>
      <c r="W1579" s="4" t="s">
        <v>271</v>
      </c>
      <c r="X1579" s="4" t="s">
        <v>273</v>
      </c>
      <c r="Y1579" s="4" t="s">
        <v>241</v>
      </c>
      <c r="AB1579" s="4" t="s">
        <v>241</v>
      </c>
      <c r="AD1579" s="5" t="s">
        <v>241</v>
      </c>
      <c r="AG1579" s="5" t="s">
        <v>246</v>
      </c>
      <c r="AH1579" s="4" t="s">
        <v>241</v>
      </c>
      <c r="AI1579" s="4" t="s">
        <v>247</v>
      </c>
      <c r="AJ1579" s="4" t="s">
        <v>248</v>
      </c>
      <c r="AZ1579" s="4" t="s">
        <v>249</v>
      </c>
      <c r="BA1579" s="4" t="s">
        <v>241</v>
      </c>
      <c r="BB1579" s="4" t="s">
        <v>250</v>
      </c>
      <c r="BC1579" s="4" t="s">
        <v>241</v>
      </c>
      <c r="BD1579" s="4" t="s">
        <v>252</v>
      </c>
      <c r="BE1579" s="4" t="s">
        <v>241</v>
      </c>
      <c r="BI1579" s="4" t="s">
        <v>253</v>
      </c>
      <c r="BJ1579" s="5" t="s">
        <v>246</v>
      </c>
      <c r="BK1579" s="4" t="s">
        <v>254</v>
      </c>
      <c r="BL1579" s="4" t="s">
        <v>255</v>
      </c>
      <c r="BM1579" s="4" t="s">
        <v>241</v>
      </c>
      <c r="BN1579" s="6">
        <f>0</f>
        <v>0</v>
      </c>
      <c r="BO1579" s="6">
        <f>0</f>
        <v>0</v>
      </c>
      <c r="BP1579" s="4" t="s">
        <v>256</v>
      </c>
      <c r="BQ1579" s="4" t="s">
        <v>257</v>
      </c>
      <c r="CE1579" s="4" t="s">
        <v>241</v>
      </c>
      <c r="CF1579" s="4" t="s">
        <v>241</v>
      </c>
      <c r="CJ1579" s="4" t="s">
        <v>276</v>
      </c>
      <c r="CK1579" s="4" t="s">
        <v>259</v>
      </c>
      <c r="CL1579" s="4" t="s">
        <v>241</v>
      </c>
      <c r="CO1579" s="5" t="s">
        <v>260</v>
      </c>
      <c r="CP1579" s="4" t="s">
        <v>241</v>
      </c>
      <c r="CQ1579" s="4" t="s">
        <v>261</v>
      </c>
      <c r="CR1579" s="4" t="s">
        <v>241</v>
      </c>
      <c r="CS1579" s="4" t="s">
        <v>241</v>
      </c>
      <c r="CT1579" s="4">
        <v>0</v>
      </c>
      <c r="CU1579" s="4" t="s">
        <v>262</v>
      </c>
      <c r="CV1579" s="4" t="s">
        <v>263</v>
      </c>
      <c r="CW1579" s="4" t="s">
        <v>263</v>
      </c>
      <c r="CX1579" s="4" t="s">
        <v>264</v>
      </c>
      <c r="DA1579" s="6">
        <f>1</f>
        <v>1</v>
      </c>
      <c r="DC1579" s="4" t="s">
        <v>277</v>
      </c>
      <c r="DD1579" s="4" t="s">
        <v>241</v>
      </c>
      <c r="DF1579" s="4" t="s">
        <v>277</v>
      </c>
      <c r="DG1579" s="6">
        <f>2303</f>
        <v>2303</v>
      </c>
      <c r="DI1579" s="4" t="s">
        <v>241</v>
      </c>
      <c r="DJ1579" s="4" t="s">
        <v>241</v>
      </c>
      <c r="DK1579" s="4" t="s">
        <v>241</v>
      </c>
      <c r="DL1579" s="4" t="s">
        <v>241</v>
      </c>
      <c r="DP1579" s="4" t="s">
        <v>241</v>
      </c>
      <c r="DQ1579" s="4" t="s">
        <v>241</v>
      </c>
      <c r="DR1579" s="4" t="s">
        <v>241</v>
      </c>
      <c r="DS1579" s="4" t="s">
        <v>241</v>
      </c>
      <c r="DV1579" s="4" t="s">
        <v>278</v>
      </c>
      <c r="DW1579" s="4" t="s">
        <v>2379</v>
      </c>
      <c r="HO1579" s="4" t="s">
        <v>267</v>
      </c>
    </row>
    <row r="1580" spans="1:223" ht="19.5" customHeight="1" x14ac:dyDescent="0.4">
      <c r="A1580" s="4">
        <v>1</v>
      </c>
      <c r="B1580" s="4" t="s">
        <v>239</v>
      </c>
      <c r="C1580" s="4">
        <v>3254</v>
      </c>
      <c r="D1580" s="4">
        <v>1</v>
      </c>
      <c r="E1580" s="4">
        <v>1</v>
      </c>
      <c r="F1580" s="4" t="s">
        <v>268</v>
      </c>
      <c r="G1580" s="4" t="s">
        <v>241</v>
      </c>
      <c r="H1580" s="4" t="s">
        <v>241</v>
      </c>
      <c r="I1580" s="4" t="s">
        <v>272</v>
      </c>
      <c r="J1580" s="4" t="s">
        <v>274</v>
      </c>
      <c r="K1580" s="4" t="s">
        <v>251</v>
      </c>
      <c r="L1580" s="4" t="s">
        <v>269</v>
      </c>
      <c r="M1580" s="5" t="s">
        <v>2376</v>
      </c>
      <c r="N1580" s="6">
        <f>2725</f>
        <v>2725</v>
      </c>
      <c r="O1580" s="4" t="s">
        <v>265</v>
      </c>
      <c r="P1580" s="6">
        <f>1</f>
        <v>1</v>
      </c>
      <c r="Q1580" s="6">
        <f>0</f>
        <v>0</v>
      </c>
      <c r="S1580" s="6">
        <f>0</f>
        <v>0</v>
      </c>
      <c r="T1580" s="6">
        <f>1</f>
        <v>1</v>
      </c>
      <c r="U1580" s="5" t="s">
        <v>245</v>
      </c>
      <c r="V1580" s="4" t="s">
        <v>270</v>
      </c>
      <c r="W1580" s="4" t="s">
        <v>271</v>
      </c>
      <c r="X1580" s="4" t="s">
        <v>273</v>
      </c>
      <c r="Y1580" s="4" t="s">
        <v>241</v>
      </c>
      <c r="AB1580" s="4" t="s">
        <v>241</v>
      </c>
      <c r="AD1580" s="5" t="s">
        <v>241</v>
      </c>
      <c r="AG1580" s="5" t="s">
        <v>246</v>
      </c>
      <c r="AH1580" s="4" t="s">
        <v>241</v>
      </c>
      <c r="AI1580" s="4" t="s">
        <v>247</v>
      </c>
      <c r="AJ1580" s="4" t="s">
        <v>248</v>
      </c>
      <c r="AZ1580" s="4" t="s">
        <v>249</v>
      </c>
      <c r="BA1580" s="4" t="s">
        <v>241</v>
      </c>
      <c r="BB1580" s="4" t="s">
        <v>250</v>
      </c>
      <c r="BC1580" s="4" t="s">
        <v>241</v>
      </c>
      <c r="BD1580" s="4" t="s">
        <v>252</v>
      </c>
      <c r="BE1580" s="4" t="s">
        <v>241</v>
      </c>
      <c r="BI1580" s="4" t="s">
        <v>253</v>
      </c>
      <c r="BJ1580" s="5" t="s">
        <v>246</v>
      </c>
      <c r="BK1580" s="4" t="s">
        <v>254</v>
      </c>
      <c r="BL1580" s="4" t="s">
        <v>255</v>
      </c>
      <c r="BM1580" s="4" t="s">
        <v>241</v>
      </c>
      <c r="BN1580" s="6">
        <f>0</f>
        <v>0</v>
      </c>
      <c r="BO1580" s="6">
        <f>0</f>
        <v>0</v>
      </c>
      <c r="BP1580" s="4" t="s">
        <v>256</v>
      </c>
      <c r="BQ1580" s="4" t="s">
        <v>257</v>
      </c>
      <c r="CE1580" s="4" t="s">
        <v>241</v>
      </c>
      <c r="CF1580" s="4" t="s">
        <v>241</v>
      </c>
      <c r="CJ1580" s="4" t="s">
        <v>276</v>
      </c>
      <c r="CK1580" s="4" t="s">
        <v>259</v>
      </c>
      <c r="CL1580" s="4" t="s">
        <v>241</v>
      </c>
      <c r="CO1580" s="5" t="s">
        <v>260</v>
      </c>
      <c r="CP1580" s="4" t="s">
        <v>241</v>
      </c>
      <c r="CQ1580" s="4" t="s">
        <v>261</v>
      </c>
      <c r="CR1580" s="4" t="s">
        <v>241</v>
      </c>
      <c r="CS1580" s="4" t="s">
        <v>241</v>
      </c>
      <c r="CT1580" s="4">
        <v>0</v>
      </c>
      <c r="CU1580" s="4" t="s">
        <v>262</v>
      </c>
      <c r="CV1580" s="4" t="s">
        <v>263</v>
      </c>
      <c r="CW1580" s="4" t="s">
        <v>263</v>
      </c>
      <c r="CX1580" s="4" t="s">
        <v>264</v>
      </c>
      <c r="DA1580" s="6">
        <f>1</f>
        <v>1</v>
      </c>
      <c r="DC1580" s="4" t="s">
        <v>277</v>
      </c>
      <c r="DD1580" s="4" t="s">
        <v>241</v>
      </c>
      <c r="DF1580" s="4" t="s">
        <v>277</v>
      </c>
      <c r="DG1580" s="6">
        <f>2725</f>
        <v>2725</v>
      </c>
      <c r="DI1580" s="4" t="s">
        <v>241</v>
      </c>
      <c r="DJ1580" s="4" t="s">
        <v>241</v>
      </c>
      <c r="DK1580" s="4" t="s">
        <v>241</v>
      </c>
      <c r="DL1580" s="4" t="s">
        <v>241</v>
      </c>
      <c r="DP1580" s="4" t="s">
        <v>241</v>
      </c>
      <c r="DQ1580" s="4" t="s">
        <v>241</v>
      </c>
      <c r="DR1580" s="4" t="s">
        <v>241</v>
      </c>
      <c r="DS1580" s="4" t="s">
        <v>241</v>
      </c>
      <c r="DV1580" s="4" t="s">
        <v>278</v>
      </c>
      <c r="DW1580" s="4" t="s">
        <v>2377</v>
      </c>
      <c r="HO1580" s="4" t="s">
        <v>267</v>
      </c>
    </row>
    <row r="1581" spans="1:223" ht="19.5" customHeight="1" x14ac:dyDescent="0.4">
      <c r="A1581" s="4">
        <v>1</v>
      </c>
      <c r="B1581" s="4" t="s">
        <v>239</v>
      </c>
      <c r="C1581" s="4">
        <v>3255</v>
      </c>
      <c r="D1581" s="4">
        <v>1</v>
      </c>
      <c r="E1581" s="4">
        <v>1</v>
      </c>
      <c r="F1581" s="4" t="s">
        <v>268</v>
      </c>
      <c r="G1581" s="4" t="s">
        <v>241</v>
      </c>
      <c r="H1581" s="4" t="s">
        <v>241</v>
      </c>
      <c r="I1581" s="4" t="s">
        <v>272</v>
      </c>
      <c r="J1581" s="4" t="s">
        <v>274</v>
      </c>
      <c r="K1581" s="4" t="s">
        <v>251</v>
      </c>
      <c r="L1581" s="4" t="s">
        <v>269</v>
      </c>
      <c r="M1581" s="5" t="s">
        <v>2374</v>
      </c>
      <c r="N1581" s="6">
        <f>2673</f>
        <v>2673</v>
      </c>
      <c r="O1581" s="4" t="s">
        <v>265</v>
      </c>
      <c r="P1581" s="6">
        <f>1</f>
        <v>1</v>
      </c>
      <c r="Q1581" s="6">
        <f>0</f>
        <v>0</v>
      </c>
      <c r="S1581" s="6">
        <f>0</f>
        <v>0</v>
      </c>
      <c r="T1581" s="6">
        <f>1</f>
        <v>1</v>
      </c>
      <c r="U1581" s="5" t="s">
        <v>245</v>
      </c>
      <c r="V1581" s="4" t="s">
        <v>270</v>
      </c>
      <c r="W1581" s="4" t="s">
        <v>271</v>
      </c>
      <c r="X1581" s="4" t="s">
        <v>273</v>
      </c>
      <c r="Y1581" s="4" t="s">
        <v>241</v>
      </c>
      <c r="AB1581" s="4" t="s">
        <v>241</v>
      </c>
      <c r="AD1581" s="5" t="s">
        <v>241</v>
      </c>
      <c r="AG1581" s="5" t="s">
        <v>246</v>
      </c>
      <c r="AH1581" s="4" t="s">
        <v>241</v>
      </c>
      <c r="AI1581" s="4" t="s">
        <v>247</v>
      </c>
      <c r="AJ1581" s="4" t="s">
        <v>248</v>
      </c>
      <c r="AZ1581" s="4" t="s">
        <v>249</v>
      </c>
      <c r="BA1581" s="4" t="s">
        <v>241</v>
      </c>
      <c r="BB1581" s="4" t="s">
        <v>250</v>
      </c>
      <c r="BC1581" s="4" t="s">
        <v>241</v>
      </c>
      <c r="BD1581" s="4" t="s">
        <v>252</v>
      </c>
      <c r="BE1581" s="4" t="s">
        <v>241</v>
      </c>
      <c r="BI1581" s="4" t="s">
        <v>253</v>
      </c>
      <c r="BJ1581" s="5" t="s">
        <v>246</v>
      </c>
      <c r="BK1581" s="4" t="s">
        <v>254</v>
      </c>
      <c r="BL1581" s="4" t="s">
        <v>255</v>
      </c>
      <c r="BM1581" s="4" t="s">
        <v>241</v>
      </c>
      <c r="BN1581" s="6">
        <f>0</f>
        <v>0</v>
      </c>
      <c r="BO1581" s="6">
        <f>0</f>
        <v>0</v>
      </c>
      <c r="BP1581" s="4" t="s">
        <v>256</v>
      </c>
      <c r="BQ1581" s="4" t="s">
        <v>257</v>
      </c>
      <c r="CE1581" s="4" t="s">
        <v>241</v>
      </c>
      <c r="CF1581" s="4" t="s">
        <v>241</v>
      </c>
      <c r="CJ1581" s="4" t="s">
        <v>276</v>
      </c>
      <c r="CK1581" s="4" t="s">
        <v>259</v>
      </c>
      <c r="CL1581" s="4" t="s">
        <v>241</v>
      </c>
      <c r="CO1581" s="5" t="s">
        <v>260</v>
      </c>
      <c r="CP1581" s="4" t="s">
        <v>241</v>
      </c>
      <c r="CQ1581" s="4" t="s">
        <v>261</v>
      </c>
      <c r="CR1581" s="4" t="s">
        <v>241</v>
      </c>
      <c r="CS1581" s="4" t="s">
        <v>241</v>
      </c>
      <c r="CT1581" s="4">
        <v>0</v>
      </c>
      <c r="CU1581" s="4" t="s">
        <v>262</v>
      </c>
      <c r="CV1581" s="4" t="s">
        <v>263</v>
      </c>
      <c r="CW1581" s="4" t="s">
        <v>263</v>
      </c>
      <c r="CX1581" s="4" t="s">
        <v>264</v>
      </c>
      <c r="DA1581" s="6">
        <f>1</f>
        <v>1</v>
      </c>
      <c r="DC1581" s="4" t="s">
        <v>277</v>
      </c>
      <c r="DD1581" s="4" t="s">
        <v>241</v>
      </c>
      <c r="DF1581" s="4" t="s">
        <v>277</v>
      </c>
      <c r="DG1581" s="6">
        <f>2673</f>
        <v>2673</v>
      </c>
      <c r="DI1581" s="4" t="s">
        <v>241</v>
      </c>
      <c r="DJ1581" s="4" t="s">
        <v>241</v>
      </c>
      <c r="DK1581" s="4" t="s">
        <v>241</v>
      </c>
      <c r="DL1581" s="4" t="s">
        <v>241</v>
      </c>
      <c r="DP1581" s="4" t="s">
        <v>241</v>
      </c>
      <c r="DQ1581" s="4" t="s">
        <v>241</v>
      </c>
      <c r="DR1581" s="4" t="s">
        <v>241</v>
      </c>
      <c r="DS1581" s="4" t="s">
        <v>241</v>
      </c>
      <c r="DV1581" s="4" t="s">
        <v>278</v>
      </c>
      <c r="DW1581" s="4" t="s">
        <v>2375</v>
      </c>
      <c r="HO1581" s="4" t="s">
        <v>267</v>
      </c>
    </row>
    <row r="1582" spans="1:223" ht="19.5" customHeight="1" x14ac:dyDescent="0.4">
      <c r="A1582" s="4">
        <v>1</v>
      </c>
      <c r="B1582" s="4" t="s">
        <v>239</v>
      </c>
      <c r="C1582" s="4">
        <v>3256</v>
      </c>
      <c r="D1582" s="4">
        <v>1</v>
      </c>
      <c r="E1582" s="4">
        <v>1</v>
      </c>
      <c r="F1582" s="4" t="s">
        <v>268</v>
      </c>
      <c r="G1582" s="4" t="s">
        <v>241</v>
      </c>
      <c r="H1582" s="4" t="s">
        <v>241</v>
      </c>
      <c r="I1582" s="4" t="s">
        <v>272</v>
      </c>
      <c r="J1582" s="4" t="s">
        <v>274</v>
      </c>
      <c r="K1582" s="4" t="s">
        <v>251</v>
      </c>
      <c r="L1582" s="4" t="s">
        <v>269</v>
      </c>
      <c r="M1582" s="5" t="s">
        <v>2372</v>
      </c>
      <c r="N1582" s="6">
        <f>505</f>
        <v>505</v>
      </c>
      <c r="O1582" s="4" t="s">
        <v>265</v>
      </c>
      <c r="P1582" s="6">
        <f>1</f>
        <v>1</v>
      </c>
      <c r="Q1582" s="6">
        <f>0</f>
        <v>0</v>
      </c>
      <c r="S1582" s="6">
        <f>0</f>
        <v>0</v>
      </c>
      <c r="T1582" s="6">
        <f>1</f>
        <v>1</v>
      </c>
      <c r="U1582" s="5" t="s">
        <v>245</v>
      </c>
      <c r="V1582" s="4" t="s">
        <v>270</v>
      </c>
      <c r="W1582" s="4" t="s">
        <v>271</v>
      </c>
      <c r="X1582" s="4" t="s">
        <v>273</v>
      </c>
      <c r="Y1582" s="4" t="s">
        <v>241</v>
      </c>
      <c r="AB1582" s="4" t="s">
        <v>241</v>
      </c>
      <c r="AD1582" s="5" t="s">
        <v>241</v>
      </c>
      <c r="AG1582" s="5" t="s">
        <v>246</v>
      </c>
      <c r="AH1582" s="4" t="s">
        <v>241</v>
      </c>
      <c r="AI1582" s="4" t="s">
        <v>247</v>
      </c>
      <c r="AJ1582" s="4" t="s">
        <v>248</v>
      </c>
      <c r="AZ1582" s="4" t="s">
        <v>249</v>
      </c>
      <c r="BA1582" s="4" t="s">
        <v>241</v>
      </c>
      <c r="BB1582" s="4" t="s">
        <v>250</v>
      </c>
      <c r="BC1582" s="4" t="s">
        <v>241</v>
      </c>
      <c r="BD1582" s="4" t="s">
        <v>252</v>
      </c>
      <c r="BE1582" s="4" t="s">
        <v>241</v>
      </c>
      <c r="BI1582" s="4" t="s">
        <v>253</v>
      </c>
      <c r="BJ1582" s="5" t="s">
        <v>246</v>
      </c>
      <c r="BK1582" s="4" t="s">
        <v>254</v>
      </c>
      <c r="BL1582" s="4" t="s">
        <v>255</v>
      </c>
      <c r="BM1582" s="4" t="s">
        <v>241</v>
      </c>
      <c r="BN1582" s="6">
        <f>0</f>
        <v>0</v>
      </c>
      <c r="BO1582" s="6">
        <f>0</f>
        <v>0</v>
      </c>
      <c r="BP1582" s="4" t="s">
        <v>256</v>
      </c>
      <c r="BQ1582" s="4" t="s">
        <v>257</v>
      </c>
      <c r="CE1582" s="4" t="s">
        <v>241</v>
      </c>
      <c r="CF1582" s="4" t="s">
        <v>241</v>
      </c>
      <c r="CJ1582" s="4" t="s">
        <v>276</v>
      </c>
      <c r="CK1582" s="4" t="s">
        <v>259</v>
      </c>
      <c r="CL1582" s="4" t="s">
        <v>241</v>
      </c>
      <c r="CO1582" s="5" t="s">
        <v>260</v>
      </c>
      <c r="CP1582" s="4" t="s">
        <v>241</v>
      </c>
      <c r="CQ1582" s="4" t="s">
        <v>261</v>
      </c>
      <c r="CR1582" s="4" t="s">
        <v>241</v>
      </c>
      <c r="CS1582" s="4" t="s">
        <v>241</v>
      </c>
      <c r="CT1582" s="4">
        <v>0</v>
      </c>
      <c r="CU1582" s="4" t="s">
        <v>262</v>
      </c>
      <c r="CV1582" s="4" t="s">
        <v>263</v>
      </c>
      <c r="CW1582" s="4" t="s">
        <v>263</v>
      </c>
      <c r="CX1582" s="4" t="s">
        <v>264</v>
      </c>
      <c r="DA1582" s="6">
        <f>1</f>
        <v>1</v>
      </c>
      <c r="DC1582" s="4" t="s">
        <v>277</v>
      </c>
      <c r="DD1582" s="4" t="s">
        <v>241</v>
      </c>
      <c r="DF1582" s="4" t="s">
        <v>277</v>
      </c>
      <c r="DG1582" s="6">
        <f>505</f>
        <v>505</v>
      </c>
      <c r="DI1582" s="4" t="s">
        <v>241</v>
      </c>
      <c r="DJ1582" s="4" t="s">
        <v>241</v>
      </c>
      <c r="DK1582" s="4" t="s">
        <v>241</v>
      </c>
      <c r="DL1582" s="4" t="s">
        <v>241</v>
      </c>
      <c r="DP1582" s="4" t="s">
        <v>241</v>
      </c>
      <c r="DQ1582" s="4" t="s">
        <v>241</v>
      </c>
      <c r="DR1582" s="4" t="s">
        <v>241</v>
      </c>
      <c r="DS1582" s="4" t="s">
        <v>241</v>
      </c>
      <c r="DV1582" s="4" t="s">
        <v>278</v>
      </c>
      <c r="DW1582" s="4" t="s">
        <v>2373</v>
      </c>
      <c r="HO1582" s="4" t="s">
        <v>267</v>
      </c>
    </row>
    <row r="1583" spans="1:223" ht="19.5" customHeight="1" x14ac:dyDescent="0.4">
      <c r="A1583" s="4">
        <v>1</v>
      </c>
      <c r="B1583" s="4" t="s">
        <v>239</v>
      </c>
      <c r="C1583" s="4">
        <v>3257</v>
      </c>
      <c r="D1583" s="4">
        <v>1</v>
      </c>
      <c r="E1583" s="4">
        <v>1</v>
      </c>
      <c r="F1583" s="4" t="s">
        <v>268</v>
      </c>
      <c r="G1583" s="4" t="s">
        <v>241</v>
      </c>
      <c r="H1583" s="4" t="s">
        <v>241</v>
      </c>
      <c r="I1583" s="4" t="s">
        <v>272</v>
      </c>
      <c r="J1583" s="4" t="s">
        <v>274</v>
      </c>
      <c r="K1583" s="4" t="s">
        <v>251</v>
      </c>
      <c r="L1583" s="4" t="s">
        <v>269</v>
      </c>
      <c r="M1583" s="5" t="s">
        <v>2370</v>
      </c>
      <c r="N1583" s="6">
        <f>1519</f>
        <v>1519</v>
      </c>
      <c r="O1583" s="4" t="s">
        <v>265</v>
      </c>
      <c r="P1583" s="6">
        <f>1</f>
        <v>1</v>
      </c>
      <c r="Q1583" s="6">
        <f>0</f>
        <v>0</v>
      </c>
      <c r="S1583" s="6">
        <f>0</f>
        <v>0</v>
      </c>
      <c r="T1583" s="6">
        <f>1</f>
        <v>1</v>
      </c>
      <c r="U1583" s="5" t="s">
        <v>245</v>
      </c>
      <c r="V1583" s="4" t="s">
        <v>270</v>
      </c>
      <c r="W1583" s="4" t="s">
        <v>271</v>
      </c>
      <c r="X1583" s="4" t="s">
        <v>273</v>
      </c>
      <c r="Y1583" s="4" t="s">
        <v>241</v>
      </c>
      <c r="AB1583" s="4" t="s">
        <v>241</v>
      </c>
      <c r="AD1583" s="5" t="s">
        <v>241</v>
      </c>
      <c r="AG1583" s="5" t="s">
        <v>246</v>
      </c>
      <c r="AH1583" s="4" t="s">
        <v>241</v>
      </c>
      <c r="AI1583" s="4" t="s">
        <v>247</v>
      </c>
      <c r="AJ1583" s="4" t="s">
        <v>248</v>
      </c>
      <c r="AZ1583" s="4" t="s">
        <v>249</v>
      </c>
      <c r="BA1583" s="4" t="s">
        <v>241</v>
      </c>
      <c r="BB1583" s="4" t="s">
        <v>250</v>
      </c>
      <c r="BC1583" s="4" t="s">
        <v>241</v>
      </c>
      <c r="BD1583" s="4" t="s">
        <v>252</v>
      </c>
      <c r="BE1583" s="4" t="s">
        <v>241</v>
      </c>
      <c r="BI1583" s="4" t="s">
        <v>253</v>
      </c>
      <c r="BJ1583" s="5" t="s">
        <v>246</v>
      </c>
      <c r="BK1583" s="4" t="s">
        <v>254</v>
      </c>
      <c r="BL1583" s="4" t="s">
        <v>255</v>
      </c>
      <c r="BM1583" s="4" t="s">
        <v>241</v>
      </c>
      <c r="BN1583" s="6">
        <f>0</f>
        <v>0</v>
      </c>
      <c r="BO1583" s="6">
        <f>0</f>
        <v>0</v>
      </c>
      <c r="BP1583" s="4" t="s">
        <v>256</v>
      </c>
      <c r="BQ1583" s="4" t="s">
        <v>257</v>
      </c>
      <c r="CE1583" s="4" t="s">
        <v>241</v>
      </c>
      <c r="CF1583" s="4" t="s">
        <v>241</v>
      </c>
      <c r="CJ1583" s="4" t="s">
        <v>276</v>
      </c>
      <c r="CK1583" s="4" t="s">
        <v>259</v>
      </c>
      <c r="CL1583" s="4" t="s">
        <v>241</v>
      </c>
      <c r="CO1583" s="5" t="s">
        <v>260</v>
      </c>
      <c r="CP1583" s="4" t="s">
        <v>241</v>
      </c>
      <c r="CQ1583" s="4" t="s">
        <v>261</v>
      </c>
      <c r="CR1583" s="4" t="s">
        <v>241</v>
      </c>
      <c r="CS1583" s="4" t="s">
        <v>241</v>
      </c>
      <c r="CT1583" s="4">
        <v>0</v>
      </c>
      <c r="CU1583" s="4" t="s">
        <v>262</v>
      </c>
      <c r="CV1583" s="4" t="s">
        <v>263</v>
      </c>
      <c r="CW1583" s="4" t="s">
        <v>263</v>
      </c>
      <c r="CX1583" s="4" t="s">
        <v>264</v>
      </c>
      <c r="DA1583" s="6">
        <f>1</f>
        <v>1</v>
      </c>
      <c r="DC1583" s="4" t="s">
        <v>277</v>
      </c>
      <c r="DD1583" s="4" t="s">
        <v>241</v>
      </c>
      <c r="DF1583" s="4" t="s">
        <v>277</v>
      </c>
      <c r="DG1583" s="6">
        <f>1519</f>
        <v>1519</v>
      </c>
      <c r="DI1583" s="4" t="s">
        <v>241</v>
      </c>
      <c r="DJ1583" s="4" t="s">
        <v>241</v>
      </c>
      <c r="DK1583" s="4" t="s">
        <v>241</v>
      </c>
      <c r="DL1583" s="4" t="s">
        <v>241</v>
      </c>
      <c r="DP1583" s="4" t="s">
        <v>241</v>
      </c>
      <c r="DQ1583" s="4" t="s">
        <v>241</v>
      </c>
      <c r="DR1583" s="4" t="s">
        <v>241</v>
      </c>
      <c r="DS1583" s="4" t="s">
        <v>241</v>
      </c>
      <c r="DV1583" s="4" t="s">
        <v>278</v>
      </c>
      <c r="DW1583" s="4" t="s">
        <v>2371</v>
      </c>
      <c r="HO1583" s="4" t="s">
        <v>267</v>
      </c>
    </row>
    <row r="1584" spans="1:223" ht="19.5" customHeight="1" x14ac:dyDescent="0.4">
      <c r="A1584" s="4">
        <v>1</v>
      </c>
      <c r="B1584" s="4" t="s">
        <v>239</v>
      </c>
      <c r="C1584" s="4">
        <v>3258</v>
      </c>
      <c r="D1584" s="4">
        <v>1</v>
      </c>
      <c r="E1584" s="4">
        <v>1</v>
      </c>
      <c r="F1584" s="4" t="s">
        <v>268</v>
      </c>
      <c r="G1584" s="4" t="s">
        <v>241</v>
      </c>
      <c r="H1584" s="4" t="s">
        <v>241</v>
      </c>
      <c r="I1584" s="4" t="s">
        <v>272</v>
      </c>
      <c r="J1584" s="4" t="s">
        <v>274</v>
      </c>
      <c r="K1584" s="4" t="s">
        <v>251</v>
      </c>
      <c r="L1584" s="4" t="s">
        <v>269</v>
      </c>
      <c r="M1584" s="5" t="s">
        <v>2368</v>
      </c>
      <c r="N1584" s="6">
        <f>6345</f>
        <v>6345</v>
      </c>
      <c r="O1584" s="4" t="s">
        <v>265</v>
      </c>
      <c r="P1584" s="6">
        <f>1</f>
        <v>1</v>
      </c>
      <c r="Q1584" s="6">
        <f>0</f>
        <v>0</v>
      </c>
      <c r="S1584" s="6">
        <f>0</f>
        <v>0</v>
      </c>
      <c r="T1584" s="6">
        <f>1</f>
        <v>1</v>
      </c>
      <c r="U1584" s="5" t="s">
        <v>245</v>
      </c>
      <c r="V1584" s="4" t="s">
        <v>270</v>
      </c>
      <c r="W1584" s="4" t="s">
        <v>271</v>
      </c>
      <c r="X1584" s="4" t="s">
        <v>273</v>
      </c>
      <c r="Y1584" s="4" t="s">
        <v>241</v>
      </c>
      <c r="AB1584" s="4" t="s">
        <v>241</v>
      </c>
      <c r="AD1584" s="5" t="s">
        <v>241</v>
      </c>
      <c r="AG1584" s="5" t="s">
        <v>246</v>
      </c>
      <c r="AH1584" s="4" t="s">
        <v>241</v>
      </c>
      <c r="AI1584" s="4" t="s">
        <v>247</v>
      </c>
      <c r="AJ1584" s="4" t="s">
        <v>248</v>
      </c>
      <c r="AZ1584" s="4" t="s">
        <v>249</v>
      </c>
      <c r="BA1584" s="4" t="s">
        <v>241</v>
      </c>
      <c r="BB1584" s="4" t="s">
        <v>250</v>
      </c>
      <c r="BC1584" s="4" t="s">
        <v>241</v>
      </c>
      <c r="BD1584" s="4" t="s">
        <v>252</v>
      </c>
      <c r="BE1584" s="4" t="s">
        <v>241</v>
      </c>
      <c r="BI1584" s="4" t="s">
        <v>253</v>
      </c>
      <c r="BJ1584" s="5" t="s">
        <v>246</v>
      </c>
      <c r="BK1584" s="4" t="s">
        <v>254</v>
      </c>
      <c r="BL1584" s="4" t="s">
        <v>255</v>
      </c>
      <c r="BM1584" s="4" t="s">
        <v>241</v>
      </c>
      <c r="BN1584" s="6">
        <f>0</f>
        <v>0</v>
      </c>
      <c r="BO1584" s="6">
        <f>0</f>
        <v>0</v>
      </c>
      <c r="BP1584" s="4" t="s">
        <v>256</v>
      </c>
      <c r="BQ1584" s="4" t="s">
        <v>257</v>
      </c>
      <c r="CE1584" s="4" t="s">
        <v>241</v>
      </c>
      <c r="CF1584" s="4" t="s">
        <v>241</v>
      </c>
      <c r="CJ1584" s="4" t="s">
        <v>276</v>
      </c>
      <c r="CK1584" s="4" t="s">
        <v>259</v>
      </c>
      <c r="CL1584" s="4" t="s">
        <v>241</v>
      </c>
      <c r="CO1584" s="5" t="s">
        <v>260</v>
      </c>
      <c r="CP1584" s="4" t="s">
        <v>241</v>
      </c>
      <c r="CQ1584" s="4" t="s">
        <v>261</v>
      </c>
      <c r="CR1584" s="4" t="s">
        <v>241</v>
      </c>
      <c r="CS1584" s="4" t="s">
        <v>241</v>
      </c>
      <c r="CT1584" s="4">
        <v>0</v>
      </c>
      <c r="CU1584" s="4" t="s">
        <v>262</v>
      </c>
      <c r="CV1584" s="4" t="s">
        <v>263</v>
      </c>
      <c r="CW1584" s="4" t="s">
        <v>263</v>
      </c>
      <c r="CX1584" s="4" t="s">
        <v>264</v>
      </c>
      <c r="DA1584" s="6">
        <f>1</f>
        <v>1</v>
      </c>
      <c r="DC1584" s="4" t="s">
        <v>277</v>
      </c>
      <c r="DD1584" s="4" t="s">
        <v>241</v>
      </c>
      <c r="DF1584" s="4" t="s">
        <v>277</v>
      </c>
      <c r="DG1584" s="6">
        <f>6345</f>
        <v>6345</v>
      </c>
      <c r="DI1584" s="4" t="s">
        <v>241</v>
      </c>
      <c r="DJ1584" s="4" t="s">
        <v>241</v>
      </c>
      <c r="DK1584" s="4" t="s">
        <v>241</v>
      </c>
      <c r="DL1584" s="4" t="s">
        <v>241</v>
      </c>
      <c r="DP1584" s="4" t="s">
        <v>241</v>
      </c>
      <c r="DQ1584" s="4" t="s">
        <v>241</v>
      </c>
      <c r="DR1584" s="4" t="s">
        <v>241</v>
      </c>
      <c r="DS1584" s="4" t="s">
        <v>241</v>
      </c>
      <c r="DV1584" s="4" t="s">
        <v>278</v>
      </c>
      <c r="DW1584" s="4" t="s">
        <v>2369</v>
      </c>
      <c r="HO1584" s="4" t="s">
        <v>267</v>
      </c>
    </row>
    <row r="1585" spans="1:223" ht="19.5" customHeight="1" x14ac:dyDescent="0.4">
      <c r="A1585" s="4">
        <v>1</v>
      </c>
      <c r="B1585" s="4" t="s">
        <v>239</v>
      </c>
      <c r="C1585" s="4">
        <v>3259</v>
      </c>
      <c r="D1585" s="4">
        <v>1</v>
      </c>
      <c r="E1585" s="4">
        <v>1</v>
      </c>
      <c r="F1585" s="4" t="s">
        <v>268</v>
      </c>
      <c r="G1585" s="4" t="s">
        <v>241</v>
      </c>
      <c r="H1585" s="4" t="s">
        <v>241</v>
      </c>
      <c r="I1585" s="4" t="s">
        <v>272</v>
      </c>
      <c r="J1585" s="4" t="s">
        <v>274</v>
      </c>
      <c r="K1585" s="4" t="s">
        <v>251</v>
      </c>
      <c r="L1585" s="4" t="s">
        <v>269</v>
      </c>
      <c r="M1585" s="5" t="s">
        <v>2366</v>
      </c>
      <c r="N1585" s="6">
        <f>331</f>
        <v>331</v>
      </c>
      <c r="O1585" s="4" t="s">
        <v>265</v>
      </c>
      <c r="P1585" s="6">
        <f>1</f>
        <v>1</v>
      </c>
      <c r="Q1585" s="6">
        <f>0</f>
        <v>0</v>
      </c>
      <c r="S1585" s="6">
        <f>0</f>
        <v>0</v>
      </c>
      <c r="T1585" s="6">
        <f>1</f>
        <v>1</v>
      </c>
      <c r="U1585" s="5" t="s">
        <v>245</v>
      </c>
      <c r="V1585" s="4" t="s">
        <v>270</v>
      </c>
      <c r="W1585" s="4" t="s">
        <v>271</v>
      </c>
      <c r="X1585" s="4" t="s">
        <v>273</v>
      </c>
      <c r="Y1585" s="4" t="s">
        <v>241</v>
      </c>
      <c r="AB1585" s="4" t="s">
        <v>241</v>
      </c>
      <c r="AD1585" s="5" t="s">
        <v>241</v>
      </c>
      <c r="AG1585" s="5" t="s">
        <v>246</v>
      </c>
      <c r="AH1585" s="4" t="s">
        <v>241</v>
      </c>
      <c r="AI1585" s="4" t="s">
        <v>247</v>
      </c>
      <c r="AJ1585" s="4" t="s">
        <v>248</v>
      </c>
      <c r="AZ1585" s="4" t="s">
        <v>249</v>
      </c>
      <c r="BA1585" s="4" t="s">
        <v>241</v>
      </c>
      <c r="BB1585" s="4" t="s">
        <v>250</v>
      </c>
      <c r="BC1585" s="4" t="s">
        <v>241</v>
      </c>
      <c r="BD1585" s="4" t="s">
        <v>252</v>
      </c>
      <c r="BE1585" s="4" t="s">
        <v>241</v>
      </c>
      <c r="BI1585" s="4" t="s">
        <v>253</v>
      </c>
      <c r="BJ1585" s="5" t="s">
        <v>246</v>
      </c>
      <c r="BK1585" s="4" t="s">
        <v>254</v>
      </c>
      <c r="BL1585" s="4" t="s">
        <v>255</v>
      </c>
      <c r="BM1585" s="4" t="s">
        <v>241</v>
      </c>
      <c r="BN1585" s="6">
        <f>0</f>
        <v>0</v>
      </c>
      <c r="BO1585" s="6">
        <f>0</f>
        <v>0</v>
      </c>
      <c r="BP1585" s="4" t="s">
        <v>256</v>
      </c>
      <c r="BQ1585" s="4" t="s">
        <v>257</v>
      </c>
      <c r="CE1585" s="4" t="s">
        <v>241</v>
      </c>
      <c r="CF1585" s="4" t="s">
        <v>241</v>
      </c>
      <c r="CJ1585" s="4" t="s">
        <v>276</v>
      </c>
      <c r="CK1585" s="4" t="s">
        <v>259</v>
      </c>
      <c r="CL1585" s="4" t="s">
        <v>241</v>
      </c>
      <c r="CO1585" s="5" t="s">
        <v>260</v>
      </c>
      <c r="CP1585" s="4" t="s">
        <v>241</v>
      </c>
      <c r="CQ1585" s="4" t="s">
        <v>261</v>
      </c>
      <c r="CR1585" s="4" t="s">
        <v>241</v>
      </c>
      <c r="CS1585" s="4" t="s">
        <v>241</v>
      </c>
      <c r="CT1585" s="4">
        <v>0</v>
      </c>
      <c r="CU1585" s="4" t="s">
        <v>262</v>
      </c>
      <c r="CV1585" s="4" t="s">
        <v>263</v>
      </c>
      <c r="CW1585" s="4" t="s">
        <v>263</v>
      </c>
      <c r="CX1585" s="4" t="s">
        <v>264</v>
      </c>
      <c r="DA1585" s="6">
        <f>1</f>
        <v>1</v>
      </c>
      <c r="DC1585" s="4" t="s">
        <v>277</v>
      </c>
      <c r="DD1585" s="4" t="s">
        <v>241</v>
      </c>
      <c r="DF1585" s="4" t="s">
        <v>277</v>
      </c>
      <c r="DG1585" s="6">
        <f>331</f>
        <v>331</v>
      </c>
      <c r="DI1585" s="4" t="s">
        <v>241</v>
      </c>
      <c r="DJ1585" s="4" t="s">
        <v>241</v>
      </c>
      <c r="DK1585" s="4" t="s">
        <v>241</v>
      </c>
      <c r="DL1585" s="4" t="s">
        <v>241</v>
      </c>
      <c r="DP1585" s="4" t="s">
        <v>241</v>
      </c>
      <c r="DQ1585" s="4" t="s">
        <v>241</v>
      </c>
      <c r="DR1585" s="4" t="s">
        <v>241</v>
      </c>
      <c r="DS1585" s="4" t="s">
        <v>241</v>
      </c>
      <c r="DV1585" s="4" t="s">
        <v>278</v>
      </c>
      <c r="DW1585" s="4" t="s">
        <v>2367</v>
      </c>
      <c r="HO1585" s="4" t="s">
        <v>267</v>
      </c>
    </row>
    <row r="1586" spans="1:223" ht="19.5" customHeight="1" x14ac:dyDescent="0.4">
      <c r="A1586" s="4">
        <v>1</v>
      </c>
      <c r="B1586" s="4" t="s">
        <v>239</v>
      </c>
      <c r="C1586" s="4">
        <v>3260</v>
      </c>
      <c r="D1586" s="4">
        <v>1</v>
      </c>
      <c r="E1586" s="4">
        <v>1</v>
      </c>
      <c r="F1586" s="4" t="s">
        <v>268</v>
      </c>
      <c r="G1586" s="4" t="s">
        <v>241</v>
      </c>
      <c r="H1586" s="4" t="s">
        <v>241</v>
      </c>
      <c r="I1586" s="4" t="s">
        <v>272</v>
      </c>
      <c r="J1586" s="4" t="s">
        <v>274</v>
      </c>
      <c r="K1586" s="4" t="s">
        <v>251</v>
      </c>
      <c r="L1586" s="4" t="s">
        <v>269</v>
      </c>
      <c r="M1586" s="5" t="s">
        <v>2364</v>
      </c>
      <c r="N1586" s="6">
        <f>1512</f>
        <v>1512</v>
      </c>
      <c r="O1586" s="4" t="s">
        <v>265</v>
      </c>
      <c r="P1586" s="6">
        <f>1</f>
        <v>1</v>
      </c>
      <c r="Q1586" s="6">
        <f>0</f>
        <v>0</v>
      </c>
      <c r="S1586" s="6">
        <f>0</f>
        <v>0</v>
      </c>
      <c r="T1586" s="6">
        <f>1</f>
        <v>1</v>
      </c>
      <c r="U1586" s="5" t="s">
        <v>245</v>
      </c>
      <c r="V1586" s="4" t="s">
        <v>270</v>
      </c>
      <c r="W1586" s="4" t="s">
        <v>271</v>
      </c>
      <c r="X1586" s="4" t="s">
        <v>273</v>
      </c>
      <c r="Y1586" s="4" t="s">
        <v>241</v>
      </c>
      <c r="AB1586" s="4" t="s">
        <v>241</v>
      </c>
      <c r="AD1586" s="5" t="s">
        <v>241</v>
      </c>
      <c r="AG1586" s="5" t="s">
        <v>246</v>
      </c>
      <c r="AH1586" s="4" t="s">
        <v>241</v>
      </c>
      <c r="AI1586" s="4" t="s">
        <v>247</v>
      </c>
      <c r="AJ1586" s="4" t="s">
        <v>248</v>
      </c>
      <c r="AZ1586" s="4" t="s">
        <v>249</v>
      </c>
      <c r="BA1586" s="4" t="s">
        <v>241</v>
      </c>
      <c r="BB1586" s="4" t="s">
        <v>250</v>
      </c>
      <c r="BC1586" s="4" t="s">
        <v>241</v>
      </c>
      <c r="BD1586" s="4" t="s">
        <v>252</v>
      </c>
      <c r="BE1586" s="4" t="s">
        <v>241</v>
      </c>
      <c r="BI1586" s="4" t="s">
        <v>253</v>
      </c>
      <c r="BJ1586" s="5" t="s">
        <v>246</v>
      </c>
      <c r="BK1586" s="4" t="s">
        <v>254</v>
      </c>
      <c r="BL1586" s="4" t="s">
        <v>255</v>
      </c>
      <c r="BM1586" s="4" t="s">
        <v>241</v>
      </c>
      <c r="BN1586" s="6">
        <f>0</f>
        <v>0</v>
      </c>
      <c r="BO1586" s="6">
        <f>0</f>
        <v>0</v>
      </c>
      <c r="BP1586" s="4" t="s">
        <v>256</v>
      </c>
      <c r="BQ1586" s="4" t="s">
        <v>257</v>
      </c>
      <c r="CE1586" s="4" t="s">
        <v>241</v>
      </c>
      <c r="CF1586" s="4" t="s">
        <v>241</v>
      </c>
      <c r="CJ1586" s="4" t="s">
        <v>276</v>
      </c>
      <c r="CK1586" s="4" t="s">
        <v>259</v>
      </c>
      <c r="CL1586" s="4" t="s">
        <v>241</v>
      </c>
      <c r="CO1586" s="5" t="s">
        <v>260</v>
      </c>
      <c r="CP1586" s="4" t="s">
        <v>241</v>
      </c>
      <c r="CQ1586" s="4" t="s">
        <v>261</v>
      </c>
      <c r="CR1586" s="4" t="s">
        <v>241</v>
      </c>
      <c r="CS1586" s="4" t="s">
        <v>241</v>
      </c>
      <c r="CT1586" s="4">
        <v>0</v>
      </c>
      <c r="CU1586" s="4" t="s">
        <v>262</v>
      </c>
      <c r="CV1586" s="4" t="s">
        <v>263</v>
      </c>
      <c r="CW1586" s="4" t="s">
        <v>263</v>
      </c>
      <c r="CX1586" s="4" t="s">
        <v>264</v>
      </c>
      <c r="DA1586" s="6">
        <f>1</f>
        <v>1</v>
      </c>
      <c r="DC1586" s="4" t="s">
        <v>277</v>
      </c>
      <c r="DD1586" s="4" t="s">
        <v>241</v>
      </c>
      <c r="DF1586" s="4" t="s">
        <v>277</v>
      </c>
      <c r="DG1586" s="6">
        <f>1512</f>
        <v>1512</v>
      </c>
      <c r="DI1586" s="4" t="s">
        <v>241</v>
      </c>
      <c r="DJ1586" s="4" t="s">
        <v>241</v>
      </c>
      <c r="DK1586" s="4" t="s">
        <v>241</v>
      </c>
      <c r="DL1586" s="4" t="s">
        <v>241</v>
      </c>
      <c r="DP1586" s="4" t="s">
        <v>241</v>
      </c>
      <c r="DQ1586" s="4" t="s">
        <v>241</v>
      </c>
      <c r="DR1586" s="4" t="s">
        <v>241</v>
      </c>
      <c r="DS1586" s="4" t="s">
        <v>241</v>
      </c>
      <c r="DV1586" s="4" t="s">
        <v>278</v>
      </c>
      <c r="DW1586" s="4" t="s">
        <v>2365</v>
      </c>
      <c r="HO1586" s="4" t="s">
        <v>267</v>
      </c>
    </row>
    <row r="1587" spans="1:223" ht="19.5" customHeight="1" x14ac:dyDescent="0.4">
      <c r="A1587" s="4">
        <v>1</v>
      </c>
      <c r="B1587" s="4" t="s">
        <v>239</v>
      </c>
      <c r="C1587" s="4">
        <v>3261</v>
      </c>
      <c r="D1587" s="4">
        <v>1</v>
      </c>
      <c r="E1587" s="4">
        <v>1</v>
      </c>
      <c r="F1587" s="4" t="s">
        <v>268</v>
      </c>
      <c r="G1587" s="4" t="s">
        <v>241</v>
      </c>
      <c r="H1587" s="4" t="s">
        <v>241</v>
      </c>
      <c r="I1587" s="4" t="s">
        <v>272</v>
      </c>
      <c r="J1587" s="4" t="s">
        <v>274</v>
      </c>
      <c r="K1587" s="4" t="s">
        <v>251</v>
      </c>
      <c r="L1587" s="4" t="s">
        <v>269</v>
      </c>
      <c r="M1587" s="5" t="s">
        <v>2362</v>
      </c>
      <c r="N1587" s="6">
        <f>1730</f>
        <v>1730</v>
      </c>
      <c r="O1587" s="4" t="s">
        <v>265</v>
      </c>
      <c r="P1587" s="6">
        <f>1</f>
        <v>1</v>
      </c>
      <c r="Q1587" s="6">
        <f>0</f>
        <v>0</v>
      </c>
      <c r="S1587" s="6">
        <f>0</f>
        <v>0</v>
      </c>
      <c r="T1587" s="6">
        <f>1</f>
        <v>1</v>
      </c>
      <c r="U1587" s="5" t="s">
        <v>245</v>
      </c>
      <c r="V1587" s="4" t="s">
        <v>270</v>
      </c>
      <c r="W1587" s="4" t="s">
        <v>271</v>
      </c>
      <c r="X1587" s="4" t="s">
        <v>273</v>
      </c>
      <c r="Y1587" s="4" t="s">
        <v>241</v>
      </c>
      <c r="AB1587" s="4" t="s">
        <v>241</v>
      </c>
      <c r="AD1587" s="5" t="s">
        <v>241</v>
      </c>
      <c r="AG1587" s="5" t="s">
        <v>246</v>
      </c>
      <c r="AH1587" s="4" t="s">
        <v>241</v>
      </c>
      <c r="AI1587" s="4" t="s">
        <v>247</v>
      </c>
      <c r="AJ1587" s="4" t="s">
        <v>248</v>
      </c>
      <c r="AZ1587" s="4" t="s">
        <v>249</v>
      </c>
      <c r="BA1587" s="4" t="s">
        <v>241</v>
      </c>
      <c r="BB1587" s="4" t="s">
        <v>250</v>
      </c>
      <c r="BC1587" s="4" t="s">
        <v>241</v>
      </c>
      <c r="BD1587" s="4" t="s">
        <v>252</v>
      </c>
      <c r="BE1587" s="4" t="s">
        <v>241</v>
      </c>
      <c r="BI1587" s="4" t="s">
        <v>253</v>
      </c>
      <c r="BJ1587" s="5" t="s">
        <v>246</v>
      </c>
      <c r="BK1587" s="4" t="s">
        <v>254</v>
      </c>
      <c r="BL1587" s="4" t="s">
        <v>255</v>
      </c>
      <c r="BM1587" s="4" t="s">
        <v>241</v>
      </c>
      <c r="BN1587" s="6">
        <f>0</f>
        <v>0</v>
      </c>
      <c r="BO1587" s="6">
        <f>0</f>
        <v>0</v>
      </c>
      <c r="BP1587" s="4" t="s">
        <v>256</v>
      </c>
      <c r="BQ1587" s="4" t="s">
        <v>257</v>
      </c>
      <c r="CE1587" s="4" t="s">
        <v>241</v>
      </c>
      <c r="CF1587" s="4" t="s">
        <v>241</v>
      </c>
      <c r="CJ1587" s="4" t="s">
        <v>276</v>
      </c>
      <c r="CK1587" s="4" t="s">
        <v>259</v>
      </c>
      <c r="CL1587" s="4" t="s">
        <v>241</v>
      </c>
      <c r="CO1587" s="5" t="s">
        <v>260</v>
      </c>
      <c r="CP1587" s="4" t="s">
        <v>241</v>
      </c>
      <c r="CQ1587" s="4" t="s">
        <v>261</v>
      </c>
      <c r="CR1587" s="4" t="s">
        <v>241</v>
      </c>
      <c r="CS1587" s="4" t="s">
        <v>241</v>
      </c>
      <c r="CT1587" s="4">
        <v>0</v>
      </c>
      <c r="CU1587" s="4" t="s">
        <v>262</v>
      </c>
      <c r="CV1587" s="4" t="s">
        <v>263</v>
      </c>
      <c r="CW1587" s="4" t="s">
        <v>263</v>
      </c>
      <c r="CX1587" s="4" t="s">
        <v>264</v>
      </c>
      <c r="DA1587" s="6">
        <f>1</f>
        <v>1</v>
      </c>
      <c r="DC1587" s="4" t="s">
        <v>277</v>
      </c>
      <c r="DD1587" s="4" t="s">
        <v>241</v>
      </c>
      <c r="DF1587" s="4" t="s">
        <v>277</v>
      </c>
      <c r="DG1587" s="6">
        <f>1730</f>
        <v>1730</v>
      </c>
      <c r="DI1587" s="4" t="s">
        <v>241</v>
      </c>
      <c r="DJ1587" s="4" t="s">
        <v>241</v>
      </c>
      <c r="DK1587" s="4" t="s">
        <v>241</v>
      </c>
      <c r="DL1587" s="4" t="s">
        <v>241</v>
      </c>
      <c r="DP1587" s="4" t="s">
        <v>241</v>
      </c>
      <c r="DQ1587" s="4" t="s">
        <v>241</v>
      </c>
      <c r="DR1587" s="4" t="s">
        <v>241</v>
      </c>
      <c r="DS1587" s="4" t="s">
        <v>241</v>
      </c>
      <c r="DV1587" s="4" t="s">
        <v>278</v>
      </c>
      <c r="DW1587" s="4" t="s">
        <v>2363</v>
      </c>
      <c r="HO1587" s="4" t="s">
        <v>267</v>
      </c>
    </row>
    <row r="1588" spans="1:223" ht="19.5" customHeight="1" x14ac:dyDescent="0.4">
      <c r="A1588" s="4">
        <v>1</v>
      </c>
      <c r="B1588" s="4" t="s">
        <v>239</v>
      </c>
      <c r="C1588" s="4">
        <v>3262</v>
      </c>
      <c r="D1588" s="4">
        <v>1</v>
      </c>
      <c r="E1588" s="4">
        <v>1</v>
      </c>
      <c r="F1588" s="4" t="s">
        <v>268</v>
      </c>
      <c r="G1588" s="4" t="s">
        <v>241</v>
      </c>
      <c r="H1588" s="4" t="s">
        <v>241</v>
      </c>
      <c r="I1588" s="4" t="s">
        <v>272</v>
      </c>
      <c r="J1588" s="4" t="s">
        <v>274</v>
      </c>
      <c r="K1588" s="4" t="s">
        <v>251</v>
      </c>
      <c r="L1588" s="4" t="s">
        <v>269</v>
      </c>
      <c r="M1588" s="5" t="s">
        <v>2358</v>
      </c>
      <c r="N1588" s="6">
        <f>1694</f>
        <v>1694</v>
      </c>
      <c r="O1588" s="4" t="s">
        <v>265</v>
      </c>
      <c r="P1588" s="6">
        <f>1</f>
        <v>1</v>
      </c>
      <c r="Q1588" s="6">
        <f>0</f>
        <v>0</v>
      </c>
      <c r="S1588" s="6">
        <f>0</f>
        <v>0</v>
      </c>
      <c r="T1588" s="6">
        <f>1</f>
        <v>1</v>
      </c>
      <c r="U1588" s="5" t="s">
        <v>245</v>
      </c>
      <c r="V1588" s="4" t="s">
        <v>270</v>
      </c>
      <c r="W1588" s="4" t="s">
        <v>271</v>
      </c>
      <c r="X1588" s="4" t="s">
        <v>273</v>
      </c>
      <c r="Y1588" s="4" t="s">
        <v>241</v>
      </c>
      <c r="AB1588" s="4" t="s">
        <v>241</v>
      </c>
      <c r="AD1588" s="5" t="s">
        <v>241</v>
      </c>
      <c r="AG1588" s="5" t="s">
        <v>246</v>
      </c>
      <c r="AH1588" s="4" t="s">
        <v>241</v>
      </c>
      <c r="AI1588" s="4" t="s">
        <v>247</v>
      </c>
      <c r="AJ1588" s="4" t="s">
        <v>248</v>
      </c>
      <c r="AZ1588" s="4" t="s">
        <v>249</v>
      </c>
      <c r="BA1588" s="4" t="s">
        <v>241</v>
      </c>
      <c r="BB1588" s="4" t="s">
        <v>250</v>
      </c>
      <c r="BC1588" s="4" t="s">
        <v>241</v>
      </c>
      <c r="BD1588" s="4" t="s">
        <v>252</v>
      </c>
      <c r="BE1588" s="4" t="s">
        <v>241</v>
      </c>
      <c r="BI1588" s="4" t="s">
        <v>253</v>
      </c>
      <c r="BJ1588" s="5" t="s">
        <v>246</v>
      </c>
      <c r="BK1588" s="4" t="s">
        <v>254</v>
      </c>
      <c r="BL1588" s="4" t="s">
        <v>255</v>
      </c>
      <c r="BM1588" s="4" t="s">
        <v>241</v>
      </c>
      <c r="BN1588" s="6">
        <f>0</f>
        <v>0</v>
      </c>
      <c r="BO1588" s="6">
        <f>0</f>
        <v>0</v>
      </c>
      <c r="BP1588" s="4" t="s">
        <v>256</v>
      </c>
      <c r="BQ1588" s="4" t="s">
        <v>257</v>
      </c>
      <c r="CE1588" s="4" t="s">
        <v>241</v>
      </c>
      <c r="CF1588" s="4" t="s">
        <v>241</v>
      </c>
      <c r="CJ1588" s="4" t="s">
        <v>276</v>
      </c>
      <c r="CK1588" s="4" t="s">
        <v>259</v>
      </c>
      <c r="CL1588" s="4" t="s">
        <v>241</v>
      </c>
      <c r="CO1588" s="5" t="s">
        <v>260</v>
      </c>
      <c r="CP1588" s="4" t="s">
        <v>241</v>
      </c>
      <c r="CQ1588" s="4" t="s">
        <v>261</v>
      </c>
      <c r="CR1588" s="4" t="s">
        <v>241</v>
      </c>
      <c r="CS1588" s="4" t="s">
        <v>241</v>
      </c>
      <c r="CT1588" s="4">
        <v>0</v>
      </c>
      <c r="CU1588" s="4" t="s">
        <v>262</v>
      </c>
      <c r="CV1588" s="4" t="s">
        <v>263</v>
      </c>
      <c r="CW1588" s="4" t="s">
        <v>263</v>
      </c>
      <c r="CX1588" s="4" t="s">
        <v>264</v>
      </c>
      <c r="DA1588" s="6">
        <f>1</f>
        <v>1</v>
      </c>
      <c r="DC1588" s="4" t="s">
        <v>277</v>
      </c>
      <c r="DD1588" s="4" t="s">
        <v>241</v>
      </c>
      <c r="DF1588" s="4" t="s">
        <v>277</v>
      </c>
      <c r="DG1588" s="6">
        <f>1694</f>
        <v>1694</v>
      </c>
      <c r="DI1588" s="4" t="s">
        <v>241</v>
      </c>
      <c r="DJ1588" s="4" t="s">
        <v>241</v>
      </c>
      <c r="DK1588" s="4" t="s">
        <v>241</v>
      </c>
      <c r="DL1588" s="4" t="s">
        <v>241</v>
      </c>
      <c r="DP1588" s="4" t="s">
        <v>241</v>
      </c>
      <c r="DQ1588" s="4" t="s">
        <v>241</v>
      </c>
      <c r="DR1588" s="4" t="s">
        <v>241</v>
      </c>
      <c r="DS1588" s="4" t="s">
        <v>241</v>
      </c>
      <c r="DV1588" s="4" t="s">
        <v>278</v>
      </c>
      <c r="DW1588" s="4" t="s">
        <v>2359</v>
      </c>
      <c r="HO1588" s="4" t="s">
        <v>267</v>
      </c>
    </row>
    <row r="1589" spans="1:223" ht="19.5" customHeight="1" x14ac:dyDescent="0.4">
      <c r="A1589" s="4">
        <v>1</v>
      </c>
      <c r="B1589" s="4" t="s">
        <v>239</v>
      </c>
      <c r="C1589" s="4">
        <v>3263</v>
      </c>
      <c r="D1589" s="4">
        <v>1</v>
      </c>
      <c r="E1589" s="4">
        <v>1</v>
      </c>
      <c r="F1589" s="4" t="s">
        <v>268</v>
      </c>
      <c r="G1589" s="4" t="s">
        <v>241</v>
      </c>
      <c r="H1589" s="4" t="s">
        <v>241</v>
      </c>
      <c r="I1589" s="4" t="s">
        <v>272</v>
      </c>
      <c r="J1589" s="4" t="s">
        <v>274</v>
      </c>
      <c r="K1589" s="4" t="s">
        <v>251</v>
      </c>
      <c r="L1589" s="4" t="s">
        <v>269</v>
      </c>
      <c r="M1589" s="5" t="s">
        <v>2356</v>
      </c>
      <c r="N1589" s="6">
        <f>1296</f>
        <v>1296</v>
      </c>
      <c r="O1589" s="4" t="s">
        <v>265</v>
      </c>
      <c r="P1589" s="6">
        <f>1</f>
        <v>1</v>
      </c>
      <c r="Q1589" s="6">
        <f>0</f>
        <v>0</v>
      </c>
      <c r="S1589" s="6">
        <f>0</f>
        <v>0</v>
      </c>
      <c r="T1589" s="6">
        <f>1</f>
        <v>1</v>
      </c>
      <c r="U1589" s="5" t="s">
        <v>245</v>
      </c>
      <c r="V1589" s="4" t="s">
        <v>270</v>
      </c>
      <c r="W1589" s="4" t="s">
        <v>271</v>
      </c>
      <c r="X1589" s="4" t="s">
        <v>273</v>
      </c>
      <c r="Y1589" s="4" t="s">
        <v>241</v>
      </c>
      <c r="AB1589" s="4" t="s">
        <v>241</v>
      </c>
      <c r="AD1589" s="5" t="s">
        <v>241</v>
      </c>
      <c r="AG1589" s="5" t="s">
        <v>246</v>
      </c>
      <c r="AH1589" s="4" t="s">
        <v>241</v>
      </c>
      <c r="AI1589" s="4" t="s">
        <v>247</v>
      </c>
      <c r="AJ1589" s="4" t="s">
        <v>248</v>
      </c>
      <c r="AZ1589" s="4" t="s">
        <v>249</v>
      </c>
      <c r="BA1589" s="4" t="s">
        <v>241</v>
      </c>
      <c r="BB1589" s="4" t="s">
        <v>250</v>
      </c>
      <c r="BC1589" s="4" t="s">
        <v>241</v>
      </c>
      <c r="BD1589" s="4" t="s">
        <v>252</v>
      </c>
      <c r="BE1589" s="4" t="s">
        <v>241</v>
      </c>
      <c r="BI1589" s="4" t="s">
        <v>253</v>
      </c>
      <c r="BJ1589" s="5" t="s">
        <v>246</v>
      </c>
      <c r="BK1589" s="4" t="s">
        <v>254</v>
      </c>
      <c r="BL1589" s="4" t="s">
        <v>255</v>
      </c>
      <c r="BM1589" s="4" t="s">
        <v>241</v>
      </c>
      <c r="BN1589" s="6">
        <f>0</f>
        <v>0</v>
      </c>
      <c r="BO1589" s="6">
        <f>0</f>
        <v>0</v>
      </c>
      <c r="BP1589" s="4" t="s">
        <v>256</v>
      </c>
      <c r="BQ1589" s="4" t="s">
        <v>257</v>
      </c>
      <c r="CE1589" s="4" t="s">
        <v>241</v>
      </c>
      <c r="CF1589" s="4" t="s">
        <v>241</v>
      </c>
      <c r="CJ1589" s="4" t="s">
        <v>276</v>
      </c>
      <c r="CK1589" s="4" t="s">
        <v>259</v>
      </c>
      <c r="CL1589" s="4" t="s">
        <v>241</v>
      </c>
      <c r="CO1589" s="5" t="s">
        <v>260</v>
      </c>
      <c r="CP1589" s="4" t="s">
        <v>241</v>
      </c>
      <c r="CQ1589" s="4" t="s">
        <v>261</v>
      </c>
      <c r="CR1589" s="4" t="s">
        <v>241</v>
      </c>
      <c r="CS1589" s="4" t="s">
        <v>241</v>
      </c>
      <c r="CT1589" s="4">
        <v>0</v>
      </c>
      <c r="CU1589" s="4" t="s">
        <v>262</v>
      </c>
      <c r="CV1589" s="4" t="s">
        <v>263</v>
      </c>
      <c r="CW1589" s="4" t="s">
        <v>263</v>
      </c>
      <c r="CX1589" s="4" t="s">
        <v>264</v>
      </c>
      <c r="DA1589" s="6">
        <f>1</f>
        <v>1</v>
      </c>
      <c r="DC1589" s="4" t="s">
        <v>277</v>
      </c>
      <c r="DD1589" s="4" t="s">
        <v>241</v>
      </c>
      <c r="DF1589" s="4" t="s">
        <v>277</v>
      </c>
      <c r="DG1589" s="6">
        <f>1296</f>
        <v>1296</v>
      </c>
      <c r="DI1589" s="4" t="s">
        <v>241</v>
      </c>
      <c r="DJ1589" s="4" t="s">
        <v>241</v>
      </c>
      <c r="DK1589" s="4" t="s">
        <v>241</v>
      </c>
      <c r="DL1589" s="4" t="s">
        <v>241</v>
      </c>
      <c r="DP1589" s="4" t="s">
        <v>241</v>
      </c>
      <c r="DQ1589" s="4" t="s">
        <v>241</v>
      </c>
      <c r="DR1589" s="4" t="s">
        <v>241</v>
      </c>
      <c r="DS1589" s="4" t="s">
        <v>241</v>
      </c>
      <c r="DV1589" s="4" t="s">
        <v>278</v>
      </c>
      <c r="DW1589" s="4" t="s">
        <v>2357</v>
      </c>
      <c r="HO1589" s="4" t="s">
        <v>267</v>
      </c>
    </row>
    <row r="1590" spans="1:223" ht="19.5" customHeight="1" x14ac:dyDescent="0.4">
      <c r="A1590" s="4">
        <v>1</v>
      </c>
      <c r="B1590" s="4" t="s">
        <v>239</v>
      </c>
      <c r="C1590" s="4">
        <v>3264</v>
      </c>
      <c r="D1590" s="4">
        <v>1</v>
      </c>
      <c r="E1590" s="4">
        <v>1</v>
      </c>
      <c r="F1590" s="4" t="s">
        <v>268</v>
      </c>
      <c r="G1590" s="4" t="s">
        <v>241</v>
      </c>
      <c r="H1590" s="4" t="s">
        <v>241</v>
      </c>
      <c r="I1590" s="4" t="s">
        <v>272</v>
      </c>
      <c r="J1590" s="4" t="s">
        <v>274</v>
      </c>
      <c r="K1590" s="4" t="s">
        <v>251</v>
      </c>
      <c r="L1590" s="4" t="s">
        <v>269</v>
      </c>
      <c r="M1590" s="5" t="s">
        <v>2354</v>
      </c>
      <c r="N1590" s="6">
        <f>816</f>
        <v>816</v>
      </c>
      <c r="O1590" s="4" t="s">
        <v>265</v>
      </c>
      <c r="P1590" s="6">
        <f>1</f>
        <v>1</v>
      </c>
      <c r="Q1590" s="6">
        <f>0</f>
        <v>0</v>
      </c>
      <c r="S1590" s="6">
        <f>0</f>
        <v>0</v>
      </c>
      <c r="T1590" s="6">
        <f>1</f>
        <v>1</v>
      </c>
      <c r="U1590" s="5" t="s">
        <v>245</v>
      </c>
      <c r="V1590" s="4" t="s">
        <v>270</v>
      </c>
      <c r="W1590" s="4" t="s">
        <v>271</v>
      </c>
      <c r="X1590" s="4" t="s">
        <v>273</v>
      </c>
      <c r="Y1590" s="4" t="s">
        <v>241</v>
      </c>
      <c r="AB1590" s="4" t="s">
        <v>241</v>
      </c>
      <c r="AD1590" s="5" t="s">
        <v>241</v>
      </c>
      <c r="AG1590" s="5" t="s">
        <v>246</v>
      </c>
      <c r="AH1590" s="4" t="s">
        <v>241</v>
      </c>
      <c r="AI1590" s="4" t="s">
        <v>247</v>
      </c>
      <c r="AJ1590" s="4" t="s">
        <v>248</v>
      </c>
      <c r="AZ1590" s="4" t="s">
        <v>249</v>
      </c>
      <c r="BA1590" s="4" t="s">
        <v>241</v>
      </c>
      <c r="BB1590" s="4" t="s">
        <v>250</v>
      </c>
      <c r="BC1590" s="4" t="s">
        <v>241</v>
      </c>
      <c r="BD1590" s="4" t="s">
        <v>252</v>
      </c>
      <c r="BE1590" s="4" t="s">
        <v>241</v>
      </c>
      <c r="BI1590" s="4" t="s">
        <v>253</v>
      </c>
      <c r="BJ1590" s="5" t="s">
        <v>246</v>
      </c>
      <c r="BK1590" s="4" t="s">
        <v>254</v>
      </c>
      <c r="BL1590" s="4" t="s">
        <v>255</v>
      </c>
      <c r="BM1590" s="4" t="s">
        <v>241</v>
      </c>
      <c r="BN1590" s="6">
        <f>0</f>
        <v>0</v>
      </c>
      <c r="BO1590" s="6">
        <f>0</f>
        <v>0</v>
      </c>
      <c r="BP1590" s="4" t="s">
        <v>256</v>
      </c>
      <c r="BQ1590" s="4" t="s">
        <v>257</v>
      </c>
      <c r="CE1590" s="4" t="s">
        <v>241</v>
      </c>
      <c r="CF1590" s="4" t="s">
        <v>241</v>
      </c>
      <c r="CJ1590" s="4" t="s">
        <v>276</v>
      </c>
      <c r="CK1590" s="4" t="s">
        <v>259</v>
      </c>
      <c r="CL1590" s="4" t="s">
        <v>241</v>
      </c>
      <c r="CO1590" s="5" t="s">
        <v>260</v>
      </c>
      <c r="CP1590" s="4" t="s">
        <v>241</v>
      </c>
      <c r="CQ1590" s="4" t="s">
        <v>261</v>
      </c>
      <c r="CR1590" s="4" t="s">
        <v>241</v>
      </c>
      <c r="CS1590" s="4" t="s">
        <v>241</v>
      </c>
      <c r="CT1590" s="4">
        <v>0</v>
      </c>
      <c r="CU1590" s="4" t="s">
        <v>262</v>
      </c>
      <c r="CV1590" s="4" t="s">
        <v>263</v>
      </c>
      <c r="CW1590" s="4" t="s">
        <v>263</v>
      </c>
      <c r="CX1590" s="4" t="s">
        <v>264</v>
      </c>
      <c r="DA1590" s="6">
        <f>1</f>
        <v>1</v>
      </c>
      <c r="DC1590" s="4" t="s">
        <v>277</v>
      </c>
      <c r="DD1590" s="4" t="s">
        <v>241</v>
      </c>
      <c r="DF1590" s="4" t="s">
        <v>277</v>
      </c>
      <c r="DG1590" s="6">
        <f>816</f>
        <v>816</v>
      </c>
      <c r="DI1590" s="4" t="s">
        <v>241</v>
      </c>
      <c r="DJ1590" s="4" t="s">
        <v>241</v>
      </c>
      <c r="DK1590" s="4" t="s">
        <v>241</v>
      </c>
      <c r="DL1590" s="4" t="s">
        <v>241</v>
      </c>
      <c r="DP1590" s="4" t="s">
        <v>241</v>
      </c>
      <c r="DQ1590" s="4" t="s">
        <v>241</v>
      </c>
      <c r="DR1590" s="4" t="s">
        <v>241</v>
      </c>
      <c r="DS1590" s="4" t="s">
        <v>241</v>
      </c>
      <c r="DV1590" s="4" t="s">
        <v>278</v>
      </c>
      <c r="DW1590" s="4" t="s">
        <v>2355</v>
      </c>
      <c r="HO1590" s="4" t="s">
        <v>267</v>
      </c>
    </row>
    <row r="1591" spans="1:223" ht="19.5" customHeight="1" x14ac:dyDescent="0.4">
      <c r="A1591" s="4">
        <v>1</v>
      </c>
      <c r="B1591" s="4" t="s">
        <v>239</v>
      </c>
      <c r="C1591" s="4">
        <v>3265</v>
      </c>
      <c r="D1591" s="4">
        <v>1</v>
      </c>
      <c r="E1591" s="4">
        <v>1</v>
      </c>
      <c r="F1591" s="4" t="s">
        <v>268</v>
      </c>
      <c r="G1591" s="4" t="s">
        <v>241</v>
      </c>
      <c r="H1591" s="4" t="s">
        <v>241</v>
      </c>
      <c r="I1591" s="4" t="s">
        <v>272</v>
      </c>
      <c r="J1591" s="4" t="s">
        <v>274</v>
      </c>
      <c r="K1591" s="4" t="s">
        <v>251</v>
      </c>
      <c r="L1591" s="4" t="s">
        <v>269</v>
      </c>
      <c r="M1591" s="5" t="s">
        <v>2352</v>
      </c>
      <c r="N1591" s="6">
        <f>4603</f>
        <v>4603</v>
      </c>
      <c r="O1591" s="4" t="s">
        <v>265</v>
      </c>
      <c r="P1591" s="6">
        <f>1</f>
        <v>1</v>
      </c>
      <c r="Q1591" s="6">
        <f>0</f>
        <v>0</v>
      </c>
      <c r="S1591" s="6">
        <f>0</f>
        <v>0</v>
      </c>
      <c r="T1591" s="6">
        <f>1</f>
        <v>1</v>
      </c>
      <c r="U1591" s="5" t="s">
        <v>245</v>
      </c>
      <c r="V1591" s="4" t="s">
        <v>270</v>
      </c>
      <c r="W1591" s="4" t="s">
        <v>271</v>
      </c>
      <c r="X1591" s="4" t="s">
        <v>273</v>
      </c>
      <c r="Y1591" s="4" t="s">
        <v>241</v>
      </c>
      <c r="AB1591" s="4" t="s">
        <v>241</v>
      </c>
      <c r="AD1591" s="5" t="s">
        <v>241</v>
      </c>
      <c r="AG1591" s="5" t="s">
        <v>246</v>
      </c>
      <c r="AH1591" s="4" t="s">
        <v>241</v>
      </c>
      <c r="AI1591" s="4" t="s">
        <v>247</v>
      </c>
      <c r="AJ1591" s="4" t="s">
        <v>248</v>
      </c>
      <c r="AZ1591" s="4" t="s">
        <v>249</v>
      </c>
      <c r="BA1591" s="4" t="s">
        <v>241</v>
      </c>
      <c r="BB1591" s="4" t="s">
        <v>250</v>
      </c>
      <c r="BC1591" s="4" t="s">
        <v>241</v>
      </c>
      <c r="BD1591" s="4" t="s">
        <v>252</v>
      </c>
      <c r="BE1591" s="4" t="s">
        <v>241</v>
      </c>
      <c r="BI1591" s="4" t="s">
        <v>253</v>
      </c>
      <c r="BJ1591" s="5" t="s">
        <v>246</v>
      </c>
      <c r="BK1591" s="4" t="s">
        <v>254</v>
      </c>
      <c r="BL1591" s="4" t="s">
        <v>255</v>
      </c>
      <c r="BM1591" s="4" t="s">
        <v>241</v>
      </c>
      <c r="BN1591" s="6">
        <f>0</f>
        <v>0</v>
      </c>
      <c r="BO1591" s="6">
        <f>0</f>
        <v>0</v>
      </c>
      <c r="BP1591" s="4" t="s">
        <v>256</v>
      </c>
      <c r="BQ1591" s="4" t="s">
        <v>257</v>
      </c>
      <c r="CE1591" s="4" t="s">
        <v>241</v>
      </c>
      <c r="CF1591" s="4" t="s">
        <v>241</v>
      </c>
      <c r="CJ1591" s="4" t="s">
        <v>276</v>
      </c>
      <c r="CK1591" s="4" t="s">
        <v>259</v>
      </c>
      <c r="CL1591" s="4" t="s">
        <v>241</v>
      </c>
      <c r="CO1591" s="5" t="s">
        <v>260</v>
      </c>
      <c r="CP1591" s="4" t="s">
        <v>241</v>
      </c>
      <c r="CQ1591" s="4" t="s">
        <v>261</v>
      </c>
      <c r="CR1591" s="4" t="s">
        <v>241</v>
      </c>
      <c r="CS1591" s="4" t="s">
        <v>241</v>
      </c>
      <c r="CT1591" s="4">
        <v>0</v>
      </c>
      <c r="CU1591" s="4" t="s">
        <v>262</v>
      </c>
      <c r="CV1591" s="4" t="s">
        <v>263</v>
      </c>
      <c r="CW1591" s="4" t="s">
        <v>263</v>
      </c>
      <c r="CX1591" s="4" t="s">
        <v>264</v>
      </c>
      <c r="DA1591" s="6">
        <f>1</f>
        <v>1</v>
      </c>
      <c r="DC1591" s="4" t="s">
        <v>277</v>
      </c>
      <c r="DD1591" s="4" t="s">
        <v>241</v>
      </c>
      <c r="DF1591" s="4" t="s">
        <v>277</v>
      </c>
      <c r="DG1591" s="6">
        <f>4603</f>
        <v>4603</v>
      </c>
      <c r="DI1591" s="4" t="s">
        <v>241</v>
      </c>
      <c r="DJ1591" s="4" t="s">
        <v>241</v>
      </c>
      <c r="DK1591" s="4" t="s">
        <v>241</v>
      </c>
      <c r="DL1591" s="4" t="s">
        <v>241</v>
      </c>
      <c r="DP1591" s="4" t="s">
        <v>241</v>
      </c>
      <c r="DQ1591" s="4" t="s">
        <v>241</v>
      </c>
      <c r="DR1591" s="4" t="s">
        <v>241</v>
      </c>
      <c r="DS1591" s="4" t="s">
        <v>241</v>
      </c>
      <c r="DV1591" s="4" t="s">
        <v>278</v>
      </c>
      <c r="DW1591" s="4" t="s">
        <v>2353</v>
      </c>
      <c r="HO1591" s="4" t="s">
        <v>267</v>
      </c>
    </row>
    <row r="1592" spans="1:223" ht="19.5" customHeight="1" x14ac:dyDescent="0.4">
      <c r="A1592" s="4">
        <v>1</v>
      </c>
      <c r="B1592" s="4" t="s">
        <v>239</v>
      </c>
      <c r="C1592" s="4">
        <v>3266</v>
      </c>
      <c r="D1592" s="4">
        <v>1</v>
      </c>
      <c r="E1592" s="4">
        <v>1</v>
      </c>
      <c r="F1592" s="4" t="s">
        <v>268</v>
      </c>
      <c r="G1592" s="4" t="s">
        <v>241</v>
      </c>
      <c r="H1592" s="4" t="s">
        <v>241</v>
      </c>
      <c r="I1592" s="4" t="s">
        <v>272</v>
      </c>
      <c r="J1592" s="4" t="s">
        <v>274</v>
      </c>
      <c r="K1592" s="4" t="s">
        <v>251</v>
      </c>
      <c r="L1592" s="4" t="s">
        <v>269</v>
      </c>
      <c r="M1592" s="5" t="s">
        <v>2350</v>
      </c>
      <c r="N1592" s="6">
        <f>378</f>
        <v>378</v>
      </c>
      <c r="O1592" s="4" t="s">
        <v>265</v>
      </c>
      <c r="P1592" s="6">
        <f>1</f>
        <v>1</v>
      </c>
      <c r="Q1592" s="6">
        <f>0</f>
        <v>0</v>
      </c>
      <c r="S1592" s="6">
        <f>0</f>
        <v>0</v>
      </c>
      <c r="T1592" s="6">
        <f>1</f>
        <v>1</v>
      </c>
      <c r="U1592" s="5" t="s">
        <v>245</v>
      </c>
      <c r="V1592" s="4" t="s">
        <v>270</v>
      </c>
      <c r="W1592" s="4" t="s">
        <v>271</v>
      </c>
      <c r="X1592" s="4" t="s">
        <v>273</v>
      </c>
      <c r="Y1592" s="4" t="s">
        <v>241</v>
      </c>
      <c r="AB1592" s="4" t="s">
        <v>241</v>
      </c>
      <c r="AD1592" s="5" t="s">
        <v>241</v>
      </c>
      <c r="AG1592" s="5" t="s">
        <v>246</v>
      </c>
      <c r="AH1592" s="4" t="s">
        <v>241</v>
      </c>
      <c r="AI1592" s="4" t="s">
        <v>247</v>
      </c>
      <c r="AJ1592" s="4" t="s">
        <v>248</v>
      </c>
      <c r="AZ1592" s="4" t="s">
        <v>249</v>
      </c>
      <c r="BA1592" s="4" t="s">
        <v>241</v>
      </c>
      <c r="BB1592" s="4" t="s">
        <v>250</v>
      </c>
      <c r="BC1592" s="4" t="s">
        <v>241</v>
      </c>
      <c r="BD1592" s="4" t="s">
        <v>252</v>
      </c>
      <c r="BE1592" s="4" t="s">
        <v>241</v>
      </c>
      <c r="BI1592" s="4" t="s">
        <v>253</v>
      </c>
      <c r="BJ1592" s="5" t="s">
        <v>246</v>
      </c>
      <c r="BK1592" s="4" t="s">
        <v>254</v>
      </c>
      <c r="BL1592" s="4" t="s">
        <v>255</v>
      </c>
      <c r="BM1592" s="4" t="s">
        <v>241</v>
      </c>
      <c r="BN1592" s="6">
        <f>0</f>
        <v>0</v>
      </c>
      <c r="BO1592" s="6">
        <f>0</f>
        <v>0</v>
      </c>
      <c r="BP1592" s="4" t="s">
        <v>256</v>
      </c>
      <c r="BQ1592" s="4" t="s">
        <v>257</v>
      </c>
      <c r="CE1592" s="4" t="s">
        <v>241</v>
      </c>
      <c r="CF1592" s="4" t="s">
        <v>241</v>
      </c>
      <c r="CJ1592" s="4" t="s">
        <v>276</v>
      </c>
      <c r="CK1592" s="4" t="s">
        <v>259</v>
      </c>
      <c r="CL1592" s="4" t="s">
        <v>241</v>
      </c>
      <c r="CO1592" s="5" t="s">
        <v>260</v>
      </c>
      <c r="CP1592" s="4" t="s">
        <v>241</v>
      </c>
      <c r="CQ1592" s="4" t="s">
        <v>261</v>
      </c>
      <c r="CR1592" s="4" t="s">
        <v>241</v>
      </c>
      <c r="CS1592" s="4" t="s">
        <v>241</v>
      </c>
      <c r="CT1592" s="4">
        <v>0</v>
      </c>
      <c r="CU1592" s="4" t="s">
        <v>262</v>
      </c>
      <c r="CV1592" s="4" t="s">
        <v>263</v>
      </c>
      <c r="CW1592" s="4" t="s">
        <v>263</v>
      </c>
      <c r="CX1592" s="4" t="s">
        <v>264</v>
      </c>
      <c r="DA1592" s="6">
        <f>1</f>
        <v>1</v>
      </c>
      <c r="DC1592" s="4" t="s">
        <v>277</v>
      </c>
      <c r="DD1592" s="4" t="s">
        <v>241</v>
      </c>
      <c r="DF1592" s="4" t="s">
        <v>277</v>
      </c>
      <c r="DG1592" s="6">
        <f>378</f>
        <v>378</v>
      </c>
      <c r="DI1592" s="4" t="s">
        <v>241</v>
      </c>
      <c r="DJ1592" s="4" t="s">
        <v>241</v>
      </c>
      <c r="DK1592" s="4" t="s">
        <v>241</v>
      </c>
      <c r="DL1592" s="4" t="s">
        <v>241</v>
      </c>
      <c r="DP1592" s="4" t="s">
        <v>241</v>
      </c>
      <c r="DQ1592" s="4" t="s">
        <v>241</v>
      </c>
      <c r="DR1592" s="4" t="s">
        <v>241</v>
      </c>
      <c r="DS1592" s="4" t="s">
        <v>241</v>
      </c>
      <c r="DV1592" s="4" t="s">
        <v>278</v>
      </c>
      <c r="DW1592" s="4" t="s">
        <v>2351</v>
      </c>
      <c r="HO1592" s="4" t="s">
        <v>267</v>
      </c>
    </row>
    <row r="1593" spans="1:223" ht="19.5" customHeight="1" x14ac:dyDescent="0.4">
      <c r="A1593" s="4">
        <v>1</v>
      </c>
      <c r="B1593" s="4" t="s">
        <v>239</v>
      </c>
      <c r="C1593" s="4">
        <v>3267</v>
      </c>
      <c r="D1593" s="4">
        <v>1</v>
      </c>
      <c r="E1593" s="4">
        <v>1</v>
      </c>
      <c r="F1593" s="4" t="s">
        <v>268</v>
      </c>
      <c r="G1593" s="4" t="s">
        <v>241</v>
      </c>
      <c r="H1593" s="4" t="s">
        <v>241</v>
      </c>
      <c r="I1593" s="4" t="s">
        <v>272</v>
      </c>
      <c r="J1593" s="4" t="s">
        <v>274</v>
      </c>
      <c r="K1593" s="4" t="s">
        <v>251</v>
      </c>
      <c r="L1593" s="4" t="s">
        <v>269</v>
      </c>
      <c r="M1593" s="5" t="s">
        <v>2348</v>
      </c>
      <c r="N1593" s="6">
        <f>1586</f>
        <v>1586</v>
      </c>
      <c r="O1593" s="4" t="s">
        <v>265</v>
      </c>
      <c r="P1593" s="6">
        <f>1</f>
        <v>1</v>
      </c>
      <c r="Q1593" s="6">
        <f>0</f>
        <v>0</v>
      </c>
      <c r="S1593" s="6">
        <f>0</f>
        <v>0</v>
      </c>
      <c r="T1593" s="6">
        <f>1</f>
        <v>1</v>
      </c>
      <c r="U1593" s="5" t="s">
        <v>245</v>
      </c>
      <c r="V1593" s="4" t="s">
        <v>270</v>
      </c>
      <c r="W1593" s="4" t="s">
        <v>271</v>
      </c>
      <c r="X1593" s="4" t="s">
        <v>273</v>
      </c>
      <c r="Y1593" s="4" t="s">
        <v>241</v>
      </c>
      <c r="AB1593" s="4" t="s">
        <v>241</v>
      </c>
      <c r="AD1593" s="5" t="s">
        <v>241</v>
      </c>
      <c r="AG1593" s="5" t="s">
        <v>246</v>
      </c>
      <c r="AH1593" s="4" t="s">
        <v>241</v>
      </c>
      <c r="AI1593" s="4" t="s">
        <v>247</v>
      </c>
      <c r="AJ1593" s="4" t="s">
        <v>248</v>
      </c>
      <c r="AZ1593" s="4" t="s">
        <v>249</v>
      </c>
      <c r="BA1593" s="4" t="s">
        <v>241</v>
      </c>
      <c r="BB1593" s="4" t="s">
        <v>250</v>
      </c>
      <c r="BC1593" s="4" t="s">
        <v>241</v>
      </c>
      <c r="BD1593" s="4" t="s">
        <v>252</v>
      </c>
      <c r="BE1593" s="4" t="s">
        <v>241</v>
      </c>
      <c r="BI1593" s="4" t="s">
        <v>253</v>
      </c>
      <c r="BJ1593" s="5" t="s">
        <v>246</v>
      </c>
      <c r="BK1593" s="4" t="s">
        <v>254</v>
      </c>
      <c r="BL1593" s="4" t="s">
        <v>255</v>
      </c>
      <c r="BM1593" s="4" t="s">
        <v>241</v>
      </c>
      <c r="BN1593" s="6">
        <f>0</f>
        <v>0</v>
      </c>
      <c r="BO1593" s="6">
        <f>0</f>
        <v>0</v>
      </c>
      <c r="BP1593" s="4" t="s">
        <v>256</v>
      </c>
      <c r="BQ1593" s="4" t="s">
        <v>257</v>
      </c>
      <c r="CE1593" s="4" t="s">
        <v>241</v>
      </c>
      <c r="CF1593" s="4" t="s">
        <v>241</v>
      </c>
      <c r="CJ1593" s="4" t="s">
        <v>276</v>
      </c>
      <c r="CK1593" s="4" t="s">
        <v>259</v>
      </c>
      <c r="CL1593" s="4" t="s">
        <v>241</v>
      </c>
      <c r="CO1593" s="5" t="s">
        <v>260</v>
      </c>
      <c r="CP1593" s="4" t="s">
        <v>241</v>
      </c>
      <c r="CQ1593" s="4" t="s">
        <v>261</v>
      </c>
      <c r="CR1593" s="4" t="s">
        <v>241</v>
      </c>
      <c r="CS1593" s="4" t="s">
        <v>241</v>
      </c>
      <c r="CT1593" s="4">
        <v>0</v>
      </c>
      <c r="CU1593" s="4" t="s">
        <v>262</v>
      </c>
      <c r="CV1593" s="4" t="s">
        <v>263</v>
      </c>
      <c r="CW1593" s="4" t="s">
        <v>263</v>
      </c>
      <c r="CX1593" s="4" t="s">
        <v>264</v>
      </c>
      <c r="DA1593" s="6">
        <f>1</f>
        <v>1</v>
      </c>
      <c r="DC1593" s="4" t="s">
        <v>277</v>
      </c>
      <c r="DD1593" s="4" t="s">
        <v>241</v>
      </c>
      <c r="DF1593" s="4" t="s">
        <v>277</v>
      </c>
      <c r="DG1593" s="6">
        <f>1586</f>
        <v>1586</v>
      </c>
      <c r="DI1593" s="4" t="s">
        <v>241</v>
      </c>
      <c r="DJ1593" s="4" t="s">
        <v>241</v>
      </c>
      <c r="DK1593" s="4" t="s">
        <v>241</v>
      </c>
      <c r="DL1593" s="4" t="s">
        <v>241</v>
      </c>
      <c r="DP1593" s="4" t="s">
        <v>241</v>
      </c>
      <c r="DQ1593" s="4" t="s">
        <v>241</v>
      </c>
      <c r="DR1593" s="4" t="s">
        <v>241</v>
      </c>
      <c r="DS1593" s="4" t="s">
        <v>241</v>
      </c>
      <c r="DV1593" s="4" t="s">
        <v>278</v>
      </c>
      <c r="DW1593" s="4" t="s">
        <v>2349</v>
      </c>
      <c r="HO1593" s="4" t="s">
        <v>267</v>
      </c>
    </row>
    <row r="1594" spans="1:223" ht="19.5" customHeight="1" x14ac:dyDescent="0.4">
      <c r="A1594" s="4">
        <v>1</v>
      </c>
      <c r="B1594" s="4" t="s">
        <v>239</v>
      </c>
      <c r="C1594" s="4">
        <v>3268</v>
      </c>
      <c r="D1594" s="4">
        <v>1</v>
      </c>
      <c r="E1594" s="4">
        <v>1</v>
      </c>
      <c r="F1594" s="4" t="s">
        <v>268</v>
      </c>
      <c r="G1594" s="4" t="s">
        <v>241</v>
      </c>
      <c r="H1594" s="4" t="s">
        <v>241</v>
      </c>
      <c r="I1594" s="4" t="s">
        <v>272</v>
      </c>
      <c r="J1594" s="4" t="s">
        <v>274</v>
      </c>
      <c r="K1594" s="4" t="s">
        <v>251</v>
      </c>
      <c r="L1594" s="4" t="s">
        <v>269</v>
      </c>
      <c r="M1594" s="5" t="s">
        <v>2346</v>
      </c>
      <c r="N1594" s="6">
        <f>40</f>
        <v>40</v>
      </c>
      <c r="O1594" s="4" t="s">
        <v>265</v>
      </c>
      <c r="P1594" s="6">
        <f>1</f>
        <v>1</v>
      </c>
      <c r="Q1594" s="6">
        <f>0</f>
        <v>0</v>
      </c>
      <c r="S1594" s="6">
        <f>0</f>
        <v>0</v>
      </c>
      <c r="T1594" s="6">
        <f>1</f>
        <v>1</v>
      </c>
      <c r="U1594" s="5" t="s">
        <v>245</v>
      </c>
      <c r="V1594" s="4" t="s">
        <v>270</v>
      </c>
      <c r="W1594" s="4" t="s">
        <v>271</v>
      </c>
      <c r="X1594" s="4" t="s">
        <v>273</v>
      </c>
      <c r="Y1594" s="4" t="s">
        <v>241</v>
      </c>
      <c r="AB1594" s="4" t="s">
        <v>241</v>
      </c>
      <c r="AD1594" s="5" t="s">
        <v>241</v>
      </c>
      <c r="AG1594" s="5" t="s">
        <v>246</v>
      </c>
      <c r="AH1594" s="4" t="s">
        <v>241</v>
      </c>
      <c r="AI1594" s="4" t="s">
        <v>247</v>
      </c>
      <c r="AJ1594" s="4" t="s">
        <v>248</v>
      </c>
      <c r="AZ1594" s="4" t="s">
        <v>249</v>
      </c>
      <c r="BA1594" s="4" t="s">
        <v>241</v>
      </c>
      <c r="BB1594" s="4" t="s">
        <v>250</v>
      </c>
      <c r="BC1594" s="4" t="s">
        <v>241</v>
      </c>
      <c r="BD1594" s="4" t="s">
        <v>252</v>
      </c>
      <c r="BE1594" s="4" t="s">
        <v>241</v>
      </c>
      <c r="BI1594" s="4" t="s">
        <v>253</v>
      </c>
      <c r="BJ1594" s="5" t="s">
        <v>246</v>
      </c>
      <c r="BK1594" s="4" t="s">
        <v>254</v>
      </c>
      <c r="BL1594" s="4" t="s">
        <v>255</v>
      </c>
      <c r="BM1594" s="4" t="s">
        <v>241</v>
      </c>
      <c r="BN1594" s="6">
        <f>0</f>
        <v>0</v>
      </c>
      <c r="BO1594" s="6">
        <f>0</f>
        <v>0</v>
      </c>
      <c r="BP1594" s="4" t="s">
        <v>256</v>
      </c>
      <c r="BQ1594" s="4" t="s">
        <v>257</v>
      </c>
      <c r="CE1594" s="4" t="s">
        <v>241</v>
      </c>
      <c r="CF1594" s="4" t="s">
        <v>241</v>
      </c>
      <c r="CJ1594" s="4" t="s">
        <v>276</v>
      </c>
      <c r="CK1594" s="4" t="s">
        <v>259</v>
      </c>
      <c r="CL1594" s="4" t="s">
        <v>241</v>
      </c>
      <c r="CO1594" s="5" t="s">
        <v>260</v>
      </c>
      <c r="CP1594" s="4" t="s">
        <v>241</v>
      </c>
      <c r="CQ1594" s="4" t="s">
        <v>261</v>
      </c>
      <c r="CR1594" s="4" t="s">
        <v>241</v>
      </c>
      <c r="CS1594" s="4" t="s">
        <v>241</v>
      </c>
      <c r="CT1594" s="4">
        <v>0</v>
      </c>
      <c r="CU1594" s="4" t="s">
        <v>262</v>
      </c>
      <c r="CV1594" s="4" t="s">
        <v>263</v>
      </c>
      <c r="CW1594" s="4" t="s">
        <v>263</v>
      </c>
      <c r="CX1594" s="4" t="s">
        <v>264</v>
      </c>
      <c r="DA1594" s="6">
        <f>1</f>
        <v>1</v>
      </c>
      <c r="DC1594" s="4" t="s">
        <v>277</v>
      </c>
      <c r="DD1594" s="4" t="s">
        <v>241</v>
      </c>
      <c r="DF1594" s="4" t="s">
        <v>277</v>
      </c>
      <c r="DG1594" s="6">
        <f>40</f>
        <v>40</v>
      </c>
      <c r="DI1594" s="4" t="s">
        <v>241</v>
      </c>
      <c r="DJ1594" s="4" t="s">
        <v>241</v>
      </c>
      <c r="DK1594" s="4" t="s">
        <v>241</v>
      </c>
      <c r="DL1594" s="4" t="s">
        <v>241</v>
      </c>
      <c r="DP1594" s="4" t="s">
        <v>241</v>
      </c>
      <c r="DQ1594" s="4" t="s">
        <v>241</v>
      </c>
      <c r="DR1594" s="4" t="s">
        <v>241</v>
      </c>
      <c r="DS1594" s="4" t="s">
        <v>241</v>
      </c>
      <c r="DV1594" s="4" t="s">
        <v>278</v>
      </c>
      <c r="DW1594" s="4" t="s">
        <v>2347</v>
      </c>
      <c r="HO1594" s="4" t="s">
        <v>267</v>
      </c>
    </row>
    <row r="1595" spans="1:223" ht="19.5" customHeight="1" x14ac:dyDescent="0.4">
      <c r="A1595" s="4">
        <v>1</v>
      </c>
      <c r="B1595" s="4" t="s">
        <v>239</v>
      </c>
      <c r="C1595" s="4">
        <v>3269</v>
      </c>
      <c r="D1595" s="4">
        <v>1</v>
      </c>
      <c r="E1595" s="4">
        <v>1</v>
      </c>
      <c r="F1595" s="4" t="s">
        <v>268</v>
      </c>
      <c r="G1595" s="4" t="s">
        <v>241</v>
      </c>
      <c r="H1595" s="4" t="s">
        <v>241</v>
      </c>
      <c r="I1595" s="4" t="s">
        <v>272</v>
      </c>
      <c r="J1595" s="4" t="s">
        <v>274</v>
      </c>
      <c r="K1595" s="4" t="s">
        <v>251</v>
      </c>
      <c r="L1595" s="4" t="s">
        <v>269</v>
      </c>
      <c r="M1595" s="5" t="s">
        <v>2344</v>
      </c>
      <c r="N1595" s="6">
        <f>685</f>
        <v>685</v>
      </c>
      <c r="O1595" s="4" t="s">
        <v>265</v>
      </c>
      <c r="P1595" s="6">
        <f>1</f>
        <v>1</v>
      </c>
      <c r="Q1595" s="6">
        <f>0</f>
        <v>0</v>
      </c>
      <c r="S1595" s="6">
        <f>0</f>
        <v>0</v>
      </c>
      <c r="T1595" s="6">
        <f>1</f>
        <v>1</v>
      </c>
      <c r="U1595" s="5" t="s">
        <v>245</v>
      </c>
      <c r="V1595" s="4" t="s">
        <v>270</v>
      </c>
      <c r="W1595" s="4" t="s">
        <v>271</v>
      </c>
      <c r="X1595" s="4" t="s">
        <v>273</v>
      </c>
      <c r="Y1595" s="4" t="s">
        <v>241</v>
      </c>
      <c r="AB1595" s="4" t="s">
        <v>241</v>
      </c>
      <c r="AD1595" s="5" t="s">
        <v>241</v>
      </c>
      <c r="AG1595" s="5" t="s">
        <v>246</v>
      </c>
      <c r="AH1595" s="4" t="s">
        <v>241</v>
      </c>
      <c r="AI1595" s="4" t="s">
        <v>247</v>
      </c>
      <c r="AJ1595" s="4" t="s">
        <v>248</v>
      </c>
      <c r="AZ1595" s="4" t="s">
        <v>249</v>
      </c>
      <c r="BA1595" s="4" t="s">
        <v>241</v>
      </c>
      <c r="BB1595" s="4" t="s">
        <v>250</v>
      </c>
      <c r="BC1595" s="4" t="s">
        <v>241</v>
      </c>
      <c r="BD1595" s="4" t="s">
        <v>252</v>
      </c>
      <c r="BE1595" s="4" t="s">
        <v>241</v>
      </c>
      <c r="BI1595" s="4" t="s">
        <v>253</v>
      </c>
      <c r="BJ1595" s="5" t="s">
        <v>246</v>
      </c>
      <c r="BK1595" s="4" t="s">
        <v>254</v>
      </c>
      <c r="BL1595" s="4" t="s">
        <v>255</v>
      </c>
      <c r="BM1595" s="4" t="s">
        <v>241</v>
      </c>
      <c r="BN1595" s="6">
        <f>0</f>
        <v>0</v>
      </c>
      <c r="BO1595" s="6">
        <f>0</f>
        <v>0</v>
      </c>
      <c r="BP1595" s="4" t="s">
        <v>256</v>
      </c>
      <c r="BQ1595" s="4" t="s">
        <v>257</v>
      </c>
      <c r="CE1595" s="4" t="s">
        <v>241</v>
      </c>
      <c r="CF1595" s="4" t="s">
        <v>241</v>
      </c>
      <c r="CJ1595" s="4" t="s">
        <v>276</v>
      </c>
      <c r="CK1595" s="4" t="s">
        <v>259</v>
      </c>
      <c r="CL1595" s="4" t="s">
        <v>241</v>
      </c>
      <c r="CO1595" s="5" t="s">
        <v>260</v>
      </c>
      <c r="CP1595" s="4" t="s">
        <v>241</v>
      </c>
      <c r="CQ1595" s="4" t="s">
        <v>261</v>
      </c>
      <c r="CR1595" s="4" t="s">
        <v>241</v>
      </c>
      <c r="CS1595" s="4" t="s">
        <v>241</v>
      </c>
      <c r="CT1595" s="4">
        <v>0</v>
      </c>
      <c r="CU1595" s="4" t="s">
        <v>262</v>
      </c>
      <c r="CV1595" s="4" t="s">
        <v>263</v>
      </c>
      <c r="CW1595" s="4" t="s">
        <v>263</v>
      </c>
      <c r="CX1595" s="4" t="s">
        <v>264</v>
      </c>
      <c r="DA1595" s="6">
        <f>1</f>
        <v>1</v>
      </c>
      <c r="DC1595" s="4" t="s">
        <v>277</v>
      </c>
      <c r="DD1595" s="4" t="s">
        <v>241</v>
      </c>
      <c r="DF1595" s="4" t="s">
        <v>277</v>
      </c>
      <c r="DG1595" s="6">
        <f>685</f>
        <v>685</v>
      </c>
      <c r="DI1595" s="4" t="s">
        <v>241</v>
      </c>
      <c r="DJ1595" s="4" t="s">
        <v>241</v>
      </c>
      <c r="DK1595" s="4" t="s">
        <v>241</v>
      </c>
      <c r="DL1595" s="4" t="s">
        <v>241</v>
      </c>
      <c r="DP1595" s="4" t="s">
        <v>241</v>
      </c>
      <c r="DQ1595" s="4" t="s">
        <v>241</v>
      </c>
      <c r="DR1595" s="4" t="s">
        <v>241</v>
      </c>
      <c r="DS1595" s="4" t="s">
        <v>241</v>
      </c>
      <c r="DV1595" s="4" t="s">
        <v>278</v>
      </c>
      <c r="DW1595" s="4" t="s">
        <v>2345</v>
      </c>
      <c r="HO1595" s="4" t="s">
        <v>267</v>
      </c>
    </row>
    <row r="1596" spans="1:223" ht="19.5" customHeight="1" x14ac:dyDescent="0.4">
      <c r="A1596" s="4">
        <v>1</v>
      </c>
      <c r="B1596" s="4" t="s">
        <v>239</v>
      </c>
      <c r="C1596" s="4">
        <v>3270</v>
      </c>
      <c r="D1596" s="4">
        <v>1</v>
      </c>
      <c r="E1596" s="4">
        <v>1</v>
      </c>
      <c r="F1596" s="4" t="s">
        <v>268</v>
      </c>
      <c r="G1596" s="4" t="s">
        <v>241</v>
      </c>
      <c r="H1596" s="4" t="s">
        <v>241</v>
      </c>
      <c r="I1596" s="4" t="s">
        <v>272</v>
      </c>
      <c r="J1596" s="4" t="s">
        <v>274</v>
      </c>
      <c r="K1596" s="4" t="s">
        <v>251</v>
      </c>
      <c r="L1596" s="4" t="s">
        <v>269</v>
      </c>
      <c r="M1596" s="5" t="s">
        <v>2342</v>
      </c>
      <c r="N1596" s="6">
        <f>271</f>
        <v>271</v>
      </c>
      <c r="O1596" s="4" t="s">
        <v>265</v>
      </c>
      <c r="P1596" s="6">
        <f>1</f>
        <v>1</v>
      </c>
      <c r="Q1596" s="6">
        <f>0</f>
        <v>0</v>
      </c>
      <c r="S1596" s="6">
        <f>0</f>
        <v>0</v>
      </c>
      <c r="T1596" s="6">
        <f>1</f>
        <v>1</v>
      </c>
      <c r="U1596" s="5" t="s">
        <v>245</v>
      </c>
      <c r="V1596" s="4" t="s">
        <v>270</v>
      </c>
      <c r="W1596" s="4" t="s">
        <v>271</v>
      </c>
      <c r="X1596" s="4" t="s">
        <v>273</v>
      </c>
      <c r="Y1596" s="4" t="s">
        <v>241</v>
      </c>
      <c r="AB1596" s="4" t="s">
        <v>241</v>
      </c>
      <c r="AD1596" s="5" t="s">
        <v>241</v>
      </c>
      <c r="AG1596" s="5" t="s">
        <v>246</v>
      </c>
      <c r="AH1596" s="4" t="s">
        <v>241</v>
      </c>
      <c r="AI1596" s="4" t="s">
        <v>247</v>
      </c>
      <c r="AJ1596" s="4" t="s">
        <v>248</v>
      </c>
      <c r="AZ1596" s="4" t="s">
        <v>249</v>
      </c>
      <c r="BA1596" s="4" t="s">
        <v>241</v>
      </c>
      <c r="BB1596" s="4" t="s">
        <v>250</v>
      </c>
      <c r="BC1596" s="4" t="s">
        <v>241</v>
      </c>
      <c r="BD1596" s="4" t="s">
        <v>252</v>
      </c>
      <c r="BE1596" s="4" t="s">
        <v>241</v>
      </c>
      <c r="BI1596" s="4" t="s">
        <v>253</v>
      </c>
      <c r="BJ1596" s="5" t="s">
        <v>246</v>
      </c>
      <c r="BK1596" s="4" t="s">
        <v>254</v>
      </c>
      <c r="BL1596" s="4" t="s">
        <v>255</v>
      </c>
      <c r="BM1596" s="4" t="s">
        <v>241</v>
      </c>
      <c r="BN1596" s="6">
        <f>0</f>
        <v>0</v>
      </c>
      <c r="BO1596" s="6">
        <f>0</f>
        <v>0</v>
      </c>
      <c r="BP1596" s="4" t="s">
        <v>256</v>
      </c>
      <c r="BQ1596" s="4" t="s">
        <v>257</v>
      </c>
      <c r="CE1596" s="4" t="s">
        <v>241</v>
      </c>
      <c r="CF1596" s="4" t="s">
        <v>241</v>
      </c>
      <c r="CJ1596" s="4" t="s">
        <v>276</v>
      </c>
      <c r="CK1596" s="4" t="s">
        <v>259</v>
      </c>
      <c r="CL1596" s="4" t="s">
        <v>241</v>
      </c>
      <c r="CO1596" s="5" t="s">
        <v>260</v>
      </c>
      <c r="CP1596" s="4" t="s">
        <v>241</v>
      </c>
      <c r="CQ1596" s="4" t="s">
        <v>261</v>
      </c>
      <c r="CR1596" s="4" t="s">
        <v>241</v>
      </c>
      <c r="CS1596" s="4" t="s">
        <v>241</v>
      </c>
      <c r="CT1596" s="4">
        <v>0</v>
      </c>
      <c r="CU1596" s="4" t="s">
        <v>262</v>
      </c>
      <c r="CV1596" s="4" t="s">
        <v>263</v>
      </c>
      <c r="CW1596" s="4" t="s">
        <v>263</v>
      </c>
      <c r="CX1596" s="4" t="s">
        <v>264</v>
      </c>
      <c r="DA1596" s="6">
        <f>1</f>
        <v>1</v>
      </c>
      <c r="DC1596" s="4" t="s">
        <v>277</v>
      </c>
      <c r="DD1596" s="4" t="s">
        <v>241</v>
      </c>
      <c r="DF1596" s="4" t="s">
        <v>277</v>
      </c>
      <c r="DG1596" s="6">
        <f>271</f>
        <v>271</v>
      </c>
      <c r="DI1596" s="4" t="s">
        <v>241</v>
      </c>
      <c r="DJ1596" s="4" t="s">
        <v>241</v>
      </c>
      <c r="DK1596" s="4" t="s">
        <v>241</v>
      </c>
      <c r="DL1596" s="4" t="s">
        <v>241</v>
      </c>
      <c r="DP1596" s="4" t="s">
        <v>241</v>
      </c>
      <c r="DQ1596" s="4" t="s">
        <v>241</v>
      </c>
      <c r="DR1596" s="4" t="s">
        <v>241</v>
      </c>
      <c r="DS1596" s="4" t="s">
        <v>241</v>
      </c>
      <c r="DV1596" s="4" t="s">
        <v>278</v>
      </c>
      <c r="DW1596" s="4" t="s">
        <v>2343</v>
      </c>
      <c r="HO1596" s="4" t="s">
        <v>267</v>
      </c>
    </row>
    <row r="1597" spans="1:223" ht="19.5" customHeight="1" x14ac:dyDescent="0.4">
      <c r="A1597" s="4">
        <v>1</v>
      </c>
      <c r="B1597" s="4" t="s">
        <v>239</v>
      </c>
      <c r="C1597" s="4">
        <v>3271</v>
      </c>
      <c r="D1597" s="4">
        <v>1</v>
      </c>
      <c r="E1597" s="4">
        <v>1</v>
      </c>
      <c r="F1597" s="4" t="s">
        <v>268</v>
      </c>
      <c r="G1597" s="4" t="s">
        <v>241</v>
      </c>
      <c r="H1597" s="4" t="s">
        <v>241</v>
      </c>
      <c r="I1597" s="4" t="s">
        <v>272</v>
      </c>
      <c r="J1597" s="4" t="s">
        <v>274</v>
      </c>
      <c r="K1597" s="4" t="s">
        <v>251</v>
      </c>
      <c r="L1597" s="4" t="s">
        <v>269</v>
      </c>
      <c r="M1597" s="5" t="s">
        <v>2340</v>
      </c>
      <c r="N1597" s="6">
        <f>100</f>
        <v>100</v>
      </c>
      <c r="O1597" s="4" t="s">
        <v>265</v>
      </c>
      <c r="P1597" s="6">
        <f>1</f>
        <v>1</v>
      </c>
      <c r="Q1597" s="6">
        <f>0</f>
        <v>0</v>
      </c>
      <c r="S1597" s="6">
        <f>0</f>
        <v>0</v>
      </c>
      <c r="T1597" s="6">
        <f>1</f>
        <v>1</v>
      </c>
      <c r="U1597" s="5" t="s">
        <v>245</v>
      </c>
      <c r="V1597" s="4" t="s">
        <v>270</v>
      </c>
      <c r="W1597" s="4" t="s">
        <v>271</v>
      </c>
      <c r="X1597" s="4" t="s">
        <v>273</v>
      </c>
      <c r="Y1597" s="4" t="s">
        <v>241</v>
      </c>
      <c r="AB1597" s="4" t="s">
        <v>241</v>
      </c>
      <c r="AD1597" s="5" t="s">
        <v>241</v>
      </c>
      <c r="AG1597" s="5" t="s">
        <v>246</v>
      </c>
      <c r="AH1597" s="4" t="s">
        <v>241</v>
      </c>
      <c r="AI1597" s="4" t="s">
        <v>247</v>
      </c>
      <c r="AJ1597" s="4" t="s">
        <v>248</v>
      </c>
      <c r="AZ1597" s="4" t="s">
        <v>249</v>
      </c>
      <c r="BA1597" s="4" t="s">
        <v>241</v>
      </c>
      <c r="BB1597" s="4" t="s">
        <v>250</v>
      </c>
      <c r="BC1597" s="4" t="s">
        <v>241</v>
      </c>
      <c r="BD1597" s="4" t="s">
        <v>252</v>
      </c>
      <c r="BE1597" s="4" t="s">
        <v>241</v>
      </c>
      <c r="BI1597" s="4" t="s">
        <v>253</v>
      </c>
      <c r="BJ1597" s="5" t="s">
        <v>246</v>
      </c>
      <c r="BK1597" s="4" t="s">
        <v>254</v>
      </c>
      <c r="BL1597" s="4" t="s">
        <v>255</v>
      </c>
      <c r="BM1597" s="4" t="s">
        <v>241</v>
      </c>
      <c r="BN1597" s="6">
        <f>0</f>
        <v>0</v>
      </c>
      <c r="BO1597" s="6">
        <f>0</f>
        <v>0</v>
      </c>
      <c r="BP1597" s="4" t="s">
        <v>256</v>
      </c>
      <c r="BQ1597" s="4" t="s">
        <v>257</v>
      </c>
      <c r="CE1597" s="4" t="s">
        <v>241</v>
      </c>
      <c r="CF1597" s="4" t="s">
        <v>241</v>
      </c>
      <c r="CJ1597" s="4" t="s">
        <v>276</v>
      </c>
      <c r="CK1597" s="4" t="s">
        <v>259</v>
      </c>
      <c r="CL1597" s="4" t="s">
        <v>241</v>
      </c>
      <c r="CO1597" s="5" t="s">
        <v>260</v>
      </c>
      <c r="CP1597" s="4" t="s">
        <v>241</v>
      </c>
      <c r="CQ1597" s="4" t="s">
        <v>261</v>
      </c>
      <c r="CR1597" s="4" t="s">
        <v>241</v>
      </c>
      <c r="CS1597" s="4" t="s">
        <v>241</v>
      </c>
      <c r="CT1597" s="4">
        <v>0</v>
      </c>
      <c r="CU1597" s="4" t="s">
        <v>262</v>
      </c>
      <c r="CV1597" s="4" t="s">
        <v>263</v>
      </c>
      <c r="CW1597" s="4" t="s">
        <v>263</v>
      </c>
      <c r="CX1597" s="4" t="s">
        <v>264</v>
      </c>
      <c r="DA1597" s="6">
        <f>1</f>
        <v>1</v>
      </c>
      <c r="DC1597" s="4" t="s">
        <v>277</v>
      </c>
      <c r="DD1597" s="4" t="s">
        <v>241</v>
      </c>
      <c r="DF1597" s="4" t="s">
        <v>277</v>
      </c>
      <c r="DG1597" s="6">
        <f>100</f>
        <v>100</v>
      </c>
      <c r="DI1597" s="4" t="s">
        <v>241</v>
      </c>
      <c r="DJ1597" s="4" t="s">
        <v>241</v>
      </c>
      <c r="DK1597" s="4" t="s">
        <v>241</v>
      </c>
      <c r="DL1597" s="4" t="s">
        <v>241</v>
      </c>
      <c r="DP1597" s="4" t="s">
        <v>241</v>
      </c>
      <c r="DQ1597" s="4" t="s">
        <v>241</v>
      </c>
      <c r="DR1597" s="4" t="s">
        <v>241</v>
      </c>
      <c r="DS1597" s="4" t="s">
        <v>241</v>
      </c>
      <c r="DV1597" s="4" t="s">
        <v>278</v>
      </c>
      <c r="DW1597" s="4" t="s">
        <v>2341</v>
      </c>
      <c r="HO1597" s="4" t="s">
        <v>267</v>
      </c>
    </row>
    <row r="1598" spans="1:223" ht="19.5" customHeight="1" x14ac:dyDescent="0.4">
      <c r="A1598" s="4">
        <v>1</v>
      </c>
      <c r="B1598" s="4" t="s">
        <v>239</v>
      </c>
      <c r="C1598" s="4">
        <v>3272</v>
      </c>
      <c r="D1598" s="4">
        <v>1</v>
      </c>
      <c r="E1598" s="4">
        <v>1</v>
      </c>
      <c r="F1598" s="4" t="s">
        <v>268</v>
      </c>
      <c r="G1598" s="4" t="s">
        <v>241</v>
      </c>
      <c r="H1598" s="4" t="s">
        <v>241</v>
      </c>
      <c r="I1598" s="4" t="s">
        <v>272</v>
      </c>
      <c r="J1598" s="4" t="s">
        <v>274</v>
      </c>
      <c r="K1598" s="4" t="s">
        <v>251</v>
      </c>
      <c r="L1598" s="4" t="s">
        <v>269</v>
      </c>
      <c r="M1598" s="5" t="s">
        <v>2338</v>
      </c>
      <c r="N1598" s="6">
        <f>110</f>
        <v>110</v>
      </c>
      <c r="O1598" s="4" t="s">
        <v>265</v>
      </c>
      <c r="P1598" s="6">
        <f>1</f>
        <v>1</v>
      </c>
      <c r="Q1598" s="6">
        <f>0</f>
        <v>0</v>
      </c>
      <c r="S1598" s="6">
        <f>0</f>
        <v>0</v>
      </c>
      <c r="T1598" s="6">
        <f>1</f>
        <v>1</v>
      </c>
      <c r="U1598" s="5" t="s">
        <v>245</v>
      </c>
      <c r="V1598" s="4" t="s">
        <v>270</v>
      </c>
      <c r="W1598" s="4" t="s">
        <v>271</v>
      </c>
      <c r="X1598" s="4" t="s">
        <v>273</v>
      </c>
      <c r="Y1598" s="4" t="s">
        <v>241</v>
      </c>
      <c r="AB1598" s="4" t="s">
        <v>241</v>
      </c>
      <c r="AD1598" s="5" t="s">
        <v>241</v>
      </c>
      <c r="AG1598" s="5" t="s">
        <v>246</v>
      </c>
      <c r="AH1598" s="4" t="s">
        <v>241</v>
      </c>
      <c r="AI1598" s="4" t="s">
        <v>247</v>
      </c>
      <c r="AJ1598" s="4" t="s">
        <v>248</v>
      </c>
      <c r="AZ1598" s="4" t="s">
        <v>249</v>
      </c>
      <c r="BA1598" s="4" t="s">
        <v>241</v>
      </c>
      <c r="BB1598" s="4" t="s">
        <v>250</v>
      </c>
      <c r="BC1598" s="4" t="s">
        <v>241</v>
      </c>
      <c r="BD1598" s="4" t="s">
        <v>252</v>
      </c>
      <c r="BE1598" s="4" t="s">
        <v>241</v>
      </c>
      <c r="BI1598" s="4" t="s">
        <v>253</v>
      </c>
      <c r="BJ1598" s="5" t="s">
        <v>246</v>
      </c>
      <c r="BK1598" s="4" t="s">
        <v>254</v>
      </c>
      <c r="BL1598" s="4" t="s">
        <v>255</v>
      </c>
      <c r="BM1598" s="4" t="s">
        <v>241</v>
      </c>
      <c r="BN1598" s="6">
        <f>0</f>
        <v>0</v>
      </c>
      <c r="BO1598" s="6">
        <f>0</f>
        <v>0</v>
      </c>
      <c r="BP1598" s="4" t="s">
        <v>256</v>
      </c>
      <c r="BQ1598" s="4" t="s">
        <v>257</v>
      </c>
      <c r="CE1598" s="4" t="s">
        <v>241</v>
      </c>
      <c r="CF1598" s="4" t="s">
        <v>241</v>
      </c>
      <c r="CJ1598" s="4" t="s">
        <v>276</v>
      </c>
      <c r="CK1598" s="4" t="s">
        <v>259</v>
      </c>
      <c r="CL1598" s="4" t="s">
        <v>241</v>
      </c>
      <c r="CO1598" s="5" t="s">
        <v>260</v>
      </c>
      <c r="CP1598" s="4" t="s">
        <v>241</v>
      </c>
      <c r="CQ1598" s="4" t="s">
        <v>261</v>
      </c>
      <c r="CR1598" s="4" t="s">
        <v>241</v>
      </c>
      <c r="CS1598" s="4" t="s">
        <v>241</v>
      </c>
      <c r="CT1598" s="4">
        <v>0</v>
      </c>
      <c r="CU1598" s="4" t="s">
        <v>262</v>
      </c>
      <c r="CV1598" s="4" t="s">
        <v>263</v>
      </c>
      <c r="CW1598" s="4" t="s">
        <v>263</v>
      </c>
      <c r="CX1598" s="4" t="s">
        <v>264</v>
      </c>
      <c r="DA1598" s="6">
        <f>1</f>
        <v>1</v>
      </c>
      <c r="DC1598" s="4" t="s">
        <v>277</v>
      </c>
      <c r="DD1598" s="4" t="s">
        <v>241</v>
      </c>
      <c r="DF1598" s="4" t="s">
        <v>277</v>
      </c>
      <c r="DG1598" s="6">
        <f>110</f>
        <v>110</v>
      </c>
      <c r="DI1598" s="4" t="s">
        <v>241</v>
      </c>
      <c r="DJ1598" s="4" t="s">
        <v>241</v>
      </c>
      <c r="DK1598" s="4" t="s">
        <v>241</v>
      </c>
      <c r="DL1598" s="4" t="s">
        <v>241</v>
      </c>
      <c r="DP1598" s="4" t="s">
        <v>241</v>
      </c>
      <c r="DQ1598" s="4" t="s">
        <v>241</v>
      </c>
      <c r="DR1598" s="4" t="s">
        <v>241</v>
      </c>
      <c r="DS1598" s="4" t="s">
        <v>241</v>
      </c>
      <c r="DV1598" s="4" t="s">
        <v>278</v>
      </c>
      <c r="DW1598" s="4" t="s">
        <v>2339</v>
      </c>
      <c r="HO1598" s="4" t="s">
        <v>267</v>
      </c>
    </row>
    <row r="1599" spans="1:223" ht="19.5" customHeight="1" x14ac:dyDescent="0.4">
      <c r="A1599" s="4">
        <v>1</v>
      </c>
      <c r="B1599" s="4" t="s">
        <v>239</v>
      </c>
      <c r="C1599" s="4">
        <v>3273</v>
      </c>
      <c r="D1599" s="4">
        <v>1</v>
      </c>
      <c r="E1599" s="4">
        <v>1</v>
      </c>
      <c r="F1599" s="4" t="s">
        <v>268</v>
      </c>
      <c r="G1599" s="4" t="s">
        <v>241</v>
      </c>
      <c r="H1599" s="4" t="s">
        <v>241</v>
      </c>
      <c r="I1599" s="4" t="s">
        <v>272</v>
      </c>
      <c r="J1599" s="4" t="s">
        <v>274</v>
      </c>
      <c r="K1599" s="4" t="s">
        <v>251</v>
      </c>
      <c r="L1599" s="4" t="s">
        <v>269</v>
      </c>
      <c r="M1599" s="5" t="s">
        <v>2336</v>
      </c>
      <c r="N1599" s="6">
        <f>1730</f>
        <v>1730</v>
      </c>
      <c r="O1599" s="4" t="s">
        <v>265</v>
      </c>
      <c r="P1599" s="6">
        <f>1</f>
        <v>1</v>
      </c>
      <c r="Q1599" s="6">
        <f>0</f>
        <v>0</v>
      </c>
      <c r="S1599" s="6">
        <f>0</f>
        <v>0</v>
      </c>
      <c r="T1599" s="6">
        <f>1</f>
        <v>1</v>
      </c>
      <c r="U1599" s="5" t="s">
        <v>245</v>
      </c>
      <c r="V1599" s="4" t="s">
        <v>270</v>
      </c>
      <c r="W1599" s="4" t="s">
        <v>271</v>
      </c>
      <c r="X1599" s="4" t="s">
        <v>273</v>
      </c>
      <c r="Y1599" s="4" t="s">
        <v>241</v>
      </c>
      <c r="AB1599" s="4" t="s">
        <v>241</v>
      </c>
      <c r="AD1599" s="5" t="s">
        <v>241</v>
      </c>
      <c r="AG1599" s="5" t="s">
        <v>246</v>
      </c>
      <c r="AH1599" s="4" t="s">
        <v>241</v>
      </c>
      <c r="AI1599" s="4" t="s">
        <v>247</v>
      </c>
      <c r="AJ1599" s="4" t="s">
        <v>248</v>
      </c>
      <c r="AZ1599" s="4" t="s">
        <v>249</v>
      </c>
      <c r="BA1599" s="4" t="s">
        <v>241</v>
      </c>
      <c r="BB1599" s="4" t="s">
        <v>250</v>
      </c>
      <c r="BC1599" s="4" t="s">
        <v>241</v>
      </c>
      <c r="BD1599" s="4" t="s">
        <v>252</v>
      </c>
      <c r="BE1599" s="4" t="s">
        <v>241</v>
      </c>
      <c r="BI1599" s="4" t="s">
        <v>253</v>
      </c>
      <c r="BJ1599" s="5" t="s">
        <v>246</v>
      </c>
      <c r="BK1599" s="4" t="s">
        <v>254</v>
      </c>
      <c r="BL1599" s="4" t="s">
        <v>255</v>
      </c>
      <c r="BM1599" s="4" t="s">
        <v>241</v>
      </c>
      <c r="BN1599" s="6">
        <f>0</f>
        <v>0</v>
      </c>
      <c r="BO1599" s="6">
        <f>0</f>
        <v>0</v>
      </c>
      <c r="BP1599" s="4" t="s">
        <v>256</v>
      </c>
      <c r="BQ1599" s="4" t="s">
        <v>257</v>
      </c>
      <c r="CE1599" s="4" t="s">
        <v>241</v>
      </c>
      <c r="CF1599" s="4" t="s">
        <v>241</v>
      </c>
      <c r="CJ1599" s="4" t="s">
        <v>276</v>
      </c>
      <c r="CK1599" s="4" t="s">
        <v>259</v>
      </c>
      <c r="CL1599" s="4" t="s">
        <v>241</v>
      </c>
      <c r="CO1599" s="5" t="s">
        <v>260</v>
      </c>
      <c r="CP1599" s="4" t="s">
        <v>241</v>
      </c>
      <c r="CQ1599" s="4" t="s">
        <v>261</v>
      </c>
      <c r="CR1599" s="4" t="s">
        <v>241</v>
      </c>
      <c r="CS1599" s="4" t="s">
        <v>241</v>
      </c>
      <c r="CT1599" s="4">
        <v>0</v>
      </c>
      <c r="CU1599" s="4" t="s">
        <v>262</v>
      </c>
      <c r="CV1599" s="4" t="s">
        <v>263</v>
      </c>
      <c r="CW1599" s="4" t="s">
        <v>263</v>
      </c>
      <c r="CX1599" s="4" t="s">
        <v>264</v>
      </c>
      <c r="DA1599" s="6">
        <f>1</f>
        <v>1</v>
      </c>
      <c r="DC1599" s="4" t="s">
        <v>277</v>
      </c>
      <c r="DD1599" s="4" t="s">
        <v>241</v>
      </c>
      <c r="DF1599" s="4" t="s">
        <v>277</v>
      </c>
      <c r="DG1599" s="6">
        <f>1730</f>
        <v>1730</v>
      </c>
      <c r="DI1599" s="4" t="s">
        <v>241</v>
      </c>
      <c r="DJ1599" s="4" t="s">
        <v>241</v>
      </c>
      <c r="DK1599" s="4" t="s">
        <v>241</v>
      </c>
      <c r="DL1599" s="4" t="s">
        <v>241</v>
      </c>
      <c r="DP1599" s="4" t="s">
        <v>241</v>
      </c>
      <c r="DQ1599" s="4" t="s">
        <v>241</v>
      </c>
      <c r="DR1599" s="4" t="s">
        <v>241</v>
      </c>
      <c r="DS1599" s="4" t="s">
        <v>241</v>
      </c>
      <c r="DV1599" s="4" t="s">
        <v>278</v>
      </c>
      <c r="DW1599" s="4" t="s">
        <v>2337</v>
      </c>
      <c r="HO1599" s="4" t="s">
        <v>267</v>
      </c>
    </row>
    <row r="1600" spans="1:223" ht="19.5" customHeight="1" x14ac:dyDescent="0.4">
      <c r="A1600" s="4">
        <v>1</v>
      </c>
      <c r="B1600" s="4" t="s">
        <v>239</v>
      </c>
      <c r="C1600" s="4">
        <v>3274</v>
      </c>
      <c r="D1600" s="4">
        <v>1</v>
      </c>
      <c r="E1600" s="4">
        <v>1</v>
      </c>
      <c r="F1600" s="4" t="s">
        <v>268</v>
      </c>
      <c r="G1600" s="4" t="s">
        <v>241</v>
      </c>
      <c r="H1600" s="4" t="s">
        <v>241</v>
      </c>
      <c r="I1600" s="4" t="s">
        <v>272</v>
      </c>
      <c r="J1600" s="4" t="s">
        <v>274</v>
      </c>
      <c r="K1600" s="4" t="s">
        <v>251</v>
      </c>
      <c r="L1600" s="4" t="s">
        <v>269</v>
      </c>
      <c r="M1600" s="5" t="s">
        <v>2332</v>
      </c>
      <c r="N1600" s="6">
        <f>222</f>
        <v>222</v>
      </c>
      <c r="O1600" s="4" t="s">
        <v>265</v>
      </c>
      <c r="P1600" s="6">
        <f>1</f>
        <v>1</v>
      </c>
      <c r="Q1600" s="6">
        <f>0</f>
        <v>0</v>
      </c>
      <c r="S1600" s="6">
        <f>0</f>
        <v>0</v>
      </c>
      <c r="T1600" s="6">
        <f>1</f>
        <v>1</v>
      </c>
      <c r="U1600" s="5" t="s">
        <v>245</v>
      </c>
      <c r="V1600" s="4" t="s">
        <v>270</v>
      </c>
      <c r="W1600" s="4" t="s">
        <v>271</v>
      </c>
      <c r="X1600" s="4" t="s">
        <v>273</v>
      </c>
      <c r="Y1600" s="4" t="s">
        <v>241</v>
      </c>
      <c r="AB1600" s="4" t="s">
        <v>241</v>
      </c>
      <c r="AD1600" s="5" t="s">
        <v>241</v>
      </c>
      <c r="AG1600" s="5" t="s">
        <v>246</v>
      </c>
      <c r="AH1600" s="4" t="s">
        <v>241</v>
      </c>
      <c r="AI1600" s="4" t="s">
        <v>247</v>
      </c>
      <c r="AJ1600" s="4" t="s">
        <v>248</v>
      </c>
      <c r="AZ1600" s="4" t="s">
        <v>249</v>
      </c>
      <c r="BA1600" s="4" t="s">
        <v>241</v>
      </c>
      <c r="BB1600" s="4" t="s">
        <v>250</v>
      </c>
      <c r="BC1600" s="4" t="s">
        <v>241</v>
      </c>
      <c r="BD1600" s="4" t="s">
        <v>252</v>
      </c>
      <c r="BE1600" s="4" t="s">
        <v>241</v>
      </c>
      <c r="BI1600" s="4" t="s">
        <v>253</v>
      </c>
      <c r="BJ1600" s="5" t="s">
        <v>246</v>
      </c>
      <c r="BK1600" s="4" t="s">
        <v>254</v>
      </c>
      <c r="BL1600" s="4" t="s">
        <v>255</v>
      </c>
      <c r="BM1600" s="4" t="s">
        <v>241</v>
      </c>
      <c r="BN1600" s="6">
        <f>0</f>
        <v>0</v>
      </c>
      <c r="BO1600" s="6">
        <f>0</f>
        <v>0</v>
      </c>
      <c r="BP1600" s="4" t="s">
        <v>256</v>
      </c>
      <c r="BQ1600" s="4" t="s">
        <v>257</v>
      </c>
      <c r="CE1600" s="4" t="s">
        <v>241</v>
      </c>
      <c r="CF1600" s="4" t="s">
        <v>241</v>
      </c>
      <c r="CJ1600" s="4" t="s">
        <v>276</v>
      </c>
      <c r="CK1600" s="4" t="s">
        <v>259</v>
      </c>
      <c r="CL1600" s="4" t="s">
        <v>241</v>
      </c>
      <c r="CO1600" s="5" t="s">
        <v>260</v>
      </c>
      <c r="CP1600" s="4" t="s">
        <v>241</v>
      </c>
      <c r="CQ1600" s="4" t="s">
        <v>261</v>
      </c>
      <c r="CR1600" s="4" t="s">
        <v>241</v>
      </c>
      <c r="CS1600" s="4" t="s">
        <v>241</v>
      </c>
      <c r="CT1600" s="4">
        <v>0</v>
      </c>
      <c r="CU1600" s="4" t="s">
        <v>262</v>
      </c>
      <c r="CV1600" s="4" t="s">
        <v>263</v>
      </c>
      <c r="CW1600" s="4" t="s">
        <v>263</v>
      </c>
      <c r="CX1600" s="4" t="s">
        <v>264</v>
      </c>
      <c r="DA1600" s="6">
        <f>1</f>
        <v>1</v>
      </c>
      <c r="DC1600" s="4" t="s">
        <v>277</v>
      </c>
      <c r="DD1600" s="4" t="s">
        <v>241</v>
      </c>
      <c r="DF1600" s="4" t="s">
        <v>277</v>
      </c>
      <c r="DG1600" s="6">
        <f>222</f>
        <v>222</v>
      </c>
      <c r="DI1600" s="4" t="s">
        <v>241</v>
      </c>
      <c r="DJ1600" s="4" t="s">
        <v>241</v>
      </c>
      <c r="DK1600" s="4" t="s">
        <v>241</v>
      </c>
      <c r="DL1600" s="4" t="s">
        <v>241</v>
      </c>
      <c r="DP1600" s="4" t="s">
        <v>241</v>
      </c>
      <c r="DQ1600" s="4" t="s">
        <v>241</v>
      </c>
      <c r="DR1600" s="4" t="s">
        <v>241</v>
      </c>
      <c r="DS1600" s="4" t="s">
        <v>241</v>
      </c>
      <c r="DV1600" s="4" t="s">
        <v>278</v>
      </c>
      <c r="DW1600" s="4" t="s">
        <v>2333</v>
      </c>
      <c r="HO1600" s="4" t="s">
        <v>267</v>
      </c>
    </row>
    <row r="1601" spans="1:223" ht="19.5" customHeight="1" x14ac:dyDescent="0.4">
      <c r="A1601" s="4">
        <v>1</v>
      </c>
      <c r="B1601" s="4" t="s">
        <v>239</v>
      </c>
      <c r="C1601" s="4">
        <v>3275</v>
      </c>
      <c r="D1601" s="4">
        <v>1</v>
      </c>
      <c r="E1601" s="4">
        <v>1</v>
      </c>
      <c r="F1601" s="4" t="s">
        <v>268</v>
      </c>
      <c r="G1601" s="4" t="s">
        <v>241</v>
      </c>
      <c r="H1601" s="4" t="s">
        <v>241</v>
      </c>
      <c r="I1601" s="4" t="s">
        <v>272</v>
      </c>
      <c r="J1601" s="4" t="s">
        <v>274</v>
      </c>
      <c r="K1601" s="4" t="s">
        <v>251</v>
      </c>
      <c r="L1601" s="4" t="s">
        <v>269</v>
      </c>
      <c r="M1601" s="5" t="s">
        <v>2330</v>
      </c>
      <c r="N1601" s="6">
        <f>2015</f>
        <v>2015</v>
      </c>
      <c r="O1601" s="4" t="s">
        <v>265</v>
      </c>
      <c r="P1601" s="6">
        <f>1</f>
        <v>1</v>
      </c>
      <c r="Q1601" s="6">
        <f>0</f>
        <v>0</v>
      </c>
      <c r="S1601" s="6">
        <f>0</f>
        <v>0</v>
      </c>
      <c r="T1601" s="6">
        <f>1</f>
        <v>1</v>
      </c>
      <c r="U1601" s="5" t="s">
        <v>245</v>
      </c>
      <c r="V1601" s="4" t="s">
        <v>270</v>
      </c>
      <c r="W1601" s="4" t="s">
        <v>271</v>
      </c>
      <c r="X1601" s="4" t="s">
        <v>273</v>
      </c>
      <c r="Y1601" s="4" t="s">
        <v>241</v>
      </c>
      <c r="AB1601" s="4" t="s">
        <v>241</v>
      </c>
      <c r="AD1601" s="5" t="s">
        <v>241</v>
      </c>
      <c r="AG1601" s="5" t="s">
        <v>246</v>
      </c>
      <c r="AH1601" s="4" t="s">
        <v>241</v>
      </c>
      <c r="AI1601" s="4" t="s">
        <v>247</v>
      </c>
      <c r="AJ1601" s="4" t="s">
        <v>248</v>
      </c>
      <c r="AZ1601" s="4" t="s">
        <v>249</v>
      </c>
      <c r="BA1601" s="4" t="s">
        <v>241</v>
      </c>
      <c r="BB1601" s="4" t="s">
        <v>250</v>
      </c>
      <c r="BC1601" s="4" t="s">
        <v>241</v>
      </c>
      <c r="BD1601" s="4" t="s">
        <v>252</v>
      </c>
      <c r="BE1601" s="4" t="s">
        <v>241</v>
      </c>
      <c r="BI1601" s="4" t="s">
        <v>253</v>
      </c>
      <c r="BJ1601" s="5" t="s">
        <v>246</v>
      </c>
      <c r="BK1601" s="4" t="s">
        <v>254</v>
      </c>
      <c r="BL1601" s="4" t="s">
        <v>255</v>
      </c>
      <c r="BM1601" s="4" t="s">
        <v>241</v>
      </c>
      <c r="BN1601" s="6">
        <f>0</f>
        <v>0</v>
      </c>
      <c r="BO1601" s="6">
        <f>0</f>
        <v>0</v>
      </c>
      <c r="BP1601" s="4" t="s">
        <v>256</v>
      </c>
      <c r="BQ1601" s="4" t="s">
        <v>257</v>
      </c>
      <c r="CE1601" s="4" t="s">
        <v>241</v>
      </c>
      <c r="CF1601" s="4" t="s">
        <v>241</v>
      </c>
      <c r="CJ1601" s="4" t="s">
        <v>276</v>
      </c>
      <c r="CK1601" s="4" t="s">
        <v>259</v>
      </c>
      <c r="CL1601" s="4" t="s">
        <v>241</v>
      </c>
      <c r="CO1601" s="5" t="s">
        <v>260</v>
      </c>
      <c r="CP1601" s="4" t="s">
        <v>241</v>
      </c>
      <c r="CQ1601" s="4" t="s">
        <v>261</v>
      </c>
      <c r="CR1601" s="4" t="s">
        <v>241</v>
      </c>
      <c r="CS1601" s="4" t="s">
        <v>241</v>
      </c>
      <c r="CT1601" s="4">
        <v>0</v>
      </c>
      <c r="CU1601" s="4" t="s">
        <v>262</v>
      </c>
      <c r="CV1601" s="4" t="s">
        <v>263</v>
      </c>
      <c r="CW1601" s="4" t="s">
        <v>263</v>
      </c>
      <c r="CX1601" s="4" t="s">
        <v>264</v>
      </c>
      <c r="DA1601" s="6">
        <f>1</f>
        <v>1</v>
      </c>
      <c r="DC1601" s="4" t="s">
        <v>277</v>
      </c>
      <c r="DD1601" s="4" t="s">
        <v>241</v>
      </c>
      <c r="DF1601" s="4" t="s">
        <v>277</v>
      </c>
      <c r="DG1601" s="6">
        <f>2015</f>
        <v>2015</v>
      </c>
      <c r="DI1601" s="4" t="s">
        <v>241</v>
      </c>
      <c r="DJ1601" s="4" t="s">
        <v>241</v>
      </c>
      <c r="DK1601" s="4" t="s">
        <v>241</v>
      </c>
      <c r="DL1601" s="4" t="s">
        <v>241</v>
      </c>
      <c r="DP1601" s="4" t="s">
        <v>241</v>
      </c>
      <c r="DQ1601" s="4" t="s">
        <v>241</v>
      </c>
      <c r="DR1601" s="4" t="s">
        <v>241</v>
      </c>
      <c r="DS1601" s="4" t="s">
        <v>241</v>
      </c>
      <c r="DV1601" s="4" t="s">
        <v>278</v>
      </c>
      <c r="DW1601" s="4" t="s">
        <v>2331</v>
      </c>
      <c r="HO1601" s="4" t="s">
        <v>267</v>
      </c>
    </row>
    <row r="1602" spans="1:223" ht="19.5" customHeight="1" x14ac:dyDescent="0.4">
      <c r="A1602" s="4">
        <v>1</v>
      </c>
      <c r="B1602" s="4" t="s">
        <v>239</v>
      </c>
      <c r="C1602" s="4">
        <v>3276</v>
      </c>
      <c r="D1602" s="4">
        <v>1</v>
      </c>
      <c r="E1602" s="4">
        <v>1</v>
      </c>
      <c r="F1602" s="4" t="s">
        <v>268</v>
      </c>
      <c r="G1602" s="4" t="s">
        <v>241</v>
      </c>
      <c r="H1602" s="4" t="s">
        <v>241</v>
      </c>
      <c r="I1602" s="4" t="s">
        <v>272</v>
      </c>
      <c r="J1602" s="4" t="s">
        <v>274</v>
      </c>
      <c r="K1602" s="4" t="s">
        <v>251</v>
      </c>
      <c r="L1602" s="4" t="s">
        <v>269</v>
      </c>
      <c r="M1602" s="5" t="s">
        <v>2328</v>
      </c>
      <c r="N1602" s="6">
        <f>1768</f>
        <v>1768</v>
      </c>
      <c r="O1602" s="4" t="s">
        <v>265</v>
      </c>
      <c r="P1602" s="6">
        <f>1</f>
        <v>1</v>
      </c>
      <c r="Q1602" s="6">
        <f>0</f>
        <v>0</v>
      </c>
      <c r="S1602" s="6">
        <f>0</f>
        <v>0</v>
      </c>
      <c r="T1602" s="6">
        <f>1</f>
        <v>1</v>
      </c>
      <c r="U1602" s="5" t="s">
        <v>245</v>
      </c>
      <c r="V1602" s="4" t="s">
        <v>270</v>
      </c>
      <c r="W1602" s="4" t="s">
        <v>271</v>
      </c>
      <c r="X1602" s="4" t="s">
        <v>273</v>
      </c>
      <c r="Y1602" s="4" t="s">
        <v>241</v>
      </c>
      <c r="AB1602" s="4" t="s">
        <v>241</v>
      </c>
      <c r="AD1602" s="5" t="s">
        <v>241</v>
      </c>
      <c r="AG1602" s="5" t="s">
        <v>246</v>
      </c>
      <c r="AH1602" s="4" t="s">
        <v>241</v>
      </c>
      <c r="AI1602" s="4" t="s">
        <v>247</v>
      </c>
      <c r="AJ1602" s="4" t="s">
        <v>248</v>
      </c>
      <c r="AZ1602" s="4" t="s">
        <v>249</v>
      </c>
      <c r="BA1602" s="4" t="s">
        <v>241</v>
      </c>
      <c r="BB1602" s="4" t="s">
        <v>250</v>
      </c>
      <c r="BC1602" s="4" t="s">
        <v>241</v>
      </c>
      <c r="BD1602" s="4" t="s">
        <v>252</v>
      </c>
      <c r="BE1602" s="4" t="s">
        <v>241</v>
      </c>
      <c r="BI1602" s="4" t="s">
        <v>253</v>
      </c>
      <c r="BJ1602" s="5" t="s">
        <v>246</v>
      </c>
      <c r="BK1602" s="4" t="s">
        <v>254</v>
      </c>
      <c r="BL1602" s="4" t="s">
        <v>255</v>
      </c>
      <c r="BM1602" s="4" t="s">
        <v>241</v>
      </c>
      <c r="BN1602" s="6">
        <f>0</f>
        <v>0</v>
      </c>
      <c r="BO1602" s="6">
        <f>0</f>
        <v>0</v>
      </c>
      <c r="BP1602" s="4" t="s">
        <v>256</v>
      </c>
      <c r="BQ1602" s="4" t="s">
        <v>257</v>
      </c>
      <c r="CE1602" s="4" t="s">
        <v>241</v>
      </c>
      <c r="CF1602" s="4" t="s">
        <v>241</v>
      </c>
      <c r="CJ1602" s="4" t="s">
        <v>276</v>
      </c>
      <c r="CK1602" s="4" t="s">
        <v>259</v>
      </c>
      <c r="CL1602" s="4" t="s">
        <v>241</v>
      </c>
      <c r="CO1602" s="5" t="s">
        <v>260</v>
      </c>
      <c r="CP1602" s="4" t="s">
        <v>241</v>
      </c>
      <c r="CQ1602" s="4" t="s">
        <v>261</v>
      </c>
      <c r="CR1602" s="4" t="s">
        <v>241</v>
      </c>
      <c r="CS1602" s="4" t="s">
        <v>241</v>
      </c>
      <c r="CT1602" s="4">
        <v>0</v>
      </c>
      <c r="CU1602" s="4" t="s">
        <v>262</v>
      </c>
      <c r="CV1602" s="4" t="s">
        <v>263</v>
      </c>
      <c r="CW1602" s="4" t="s">
        <v>263</v>
      </c>
      <c r="CX1602" s="4" t="s">
        <v>264</v>
      </c>
      <c r="DA1602" s="6">
        <f>1</f>
        <v>1</v>
      </c>
      <c r="DC1602" s="4" t="s">
        <v>277</v>
      </c>
      <c r="DD1602" s="4" t="s">
        <v>241</v>
      </c>
      <c r="DF1602" s="4" t="s">
        <v>277</v>
      </c>
      <c r="DG1602" s="6">
        <f>1768</f>
        <v>1768</v>
      </c>
      <c r="DI1602" s="4" t="s">
        <v>241</v>
      </c>
      <c r="DJ1602" s="4" t="s">
        <v>241</v>
      </c>
      <c r="DK1602" s="4" t="s">
        <v>241</v>
      </c>
      <c r="DL1602" s="4" t="s">
        <v>241</v>
      </c>
      <c r="DP1602" s="4" t="s">
        <v>241</v>
      </c>
      <c r="DQ1602" s="4" t="s">
        <v>241</v>
      </c>
      <c r="DR1602" s="4" t="s">
        <v>241</v>
      </c>
      <c r="DS1602" s="4" t="s">
        <v>241</v>
      </c>
      <c r="DV1602" s="4" t="s">
        <v>278</v>
      </c>
      <c r="DW1602" s="4" t="s">
        <v>2329</v>
      </c>
      <c r="HO1602" s="4" t="s">
        <v>267</v>
      </c>
    </row>
    <row r="1603" spans="1:223" ht="19.5" customHeight="1" x14ac:dyDescent="0.4">
      <c r="A1603" s="4">
        <v>1</v>
      </c>
      <c r="B1603" s="4" t="s">
        <v>239</v>
      </c>
      <c r="C1603" s="4">
        <v>3277</v>
      </c>
      <c r="D1603" s="4">
        <v>1</v>
      </c>
      <c r="E1603" s="4">
        <v>1</v>
      </c>
      <c r="F1603" s="4" t="s">
        <v>268</v>
      </c>
      <c r="G1603" s="4" t="s">
        <v>241</v>
      </c>
      <c r="H1603" s="4" t="s">
        <v>241</v>
      </c>
      <c r="I1603" s="4" t="s">
        <v>272</v>
      </c>
      <c r="J1603" s="4" t="s">
        <v>274</v>
      </c>
      <c r="K1603" s="4" t="s">
        <v>251</v>
      </c>
      <c r="L1603" s="4" t="s">
        <v>269</v>
      </c>
      <c r="M1603" s="5" t="s">
        <v>2326</v>
      </c>
      <c r="N1603" s="6">
        <f>121</f>
        <v>121</v>
      </c>
      <c r="O1603" s="4" t="s">
        <v>265</v>
      </c>
      <c r="P1603" s="6">
        <f>1</f>
        <v>1</v>
      </c>
      <c r="Q1603" s="6">
        <f>0</f>
        <v>0</v>
      </c>
      <c r="S1603" s="6">
        <f>0</f>
        <v>0</v>
      </c>
      <c r="T1603" s="6">
        <f>1</f>
        <v>1</v>
      </c>
      <c r="U1603" s="5" t="s">
        <v>245</v>
      </c>
      <c r="V1603" s="4" t="s">
        <v>270</v>
      </c>
      <c r="W1603" s="4" t="s">
        <v>271</v>
      </c>
      <c r="X1603" s="4" t="s">
        <v>273</v>
      </c>
      <c r="Y1603" s="4" t="s">
        <v>241</v>
      </c>
      <c r="AB1603" s="4" t="s">
        <v>241</v>
      </c>
      <c r="AD1603" s="5" t="s">
        <v>241</v>
      </c>
      <c r="AG1603" s="5" t="s">
        <v>246</v>
      </c>
      <c r="AH1603" s="4" t="s">
        <v>241</v>
      </c>
      <c r="AI1603" s="4" t="s">
        <v>247</v>
      </c>
      <c r="AJ1603" s="4" t="s">
        <v>248</v>
      </c>
      <c r="AZ1603" s="4" t="s">
        <v>249</v>
      </c>
      <c r="BA1603" s="4" t="s">
        <v>241</v>
      </c>
      <c r="BB1603" s="4" t="s">
        <v>250</v>
      </c>
      <c r="BC1603" s="4" t="s">
        <v>241</v>
      </c>
      <c r="BD1603" s="4" t="s">
        <v>252</v>
      </c>
      <c r="BE1603" s="4" t="s">
        <v>241</v>
      </c>
      <c r="BI1603" s="4" t="s">
        <v>253</v>
      </c>
      <c r="BJ1603" s="5" t="s">
        <v>246</v>
      </c>
      <c r="BK1603" s="4" t="s">
        <v>254</v>
      </c>
      <c r="BL1603" s="4" t="s">
        <v>255</v>
      </c>
      <c r="BM1603" s="4" t="s">
        <v>241</v>
      </c>
      <c r="BN1603" s="6">
        <f>0</f>
        <v>0</v>
      </c>
      <c r="BO1603" s="6">
        <f>0</f>
        <v>0</v>
      </c>
      <c r="BP1603" s="4" t="s">
        <v>256</v>
      </c>
      <c r="BQ1603" s="4" t="s">
        <v>257</v>
      </c>
      <c r="CE1603" s="4" t="s">
        <v>241</v>
      </c>
      <c r="CF1603" s="4" t="s">
        <v>241</v>
      </c>
      <c r="CJ1603" s="4" t="s">
        <v>276</v>
      </c>
      <c r="CK1603" s="4" t="s">
        <v>259</v>
      </c>
      <c r="CL1603" s="4" t="s">
        <v>241</v>
      </c>
      <c r="CO1603" s="5" t="s">
        <v>260</v>
      </c>
      <c r="CP1603" s="4" t="s">
        <v>241</v>
      </c>
      <c r="CQ1603" s="4" t="s">
        <v>261</v>
      </c>
      <c r="CR1603" s="4" t="s">
        <v>241</v>
      </c>
      <c r="CS1603" s="4" t="s">
        <v>241</v>
      </c>
      <c r="CT1603" s="4">
        <v>0</v>
      </c>
      <c r="CU1603" s="4" t="s">
        <v>262</v>
      </c>
      <c r="CV1603" s="4" t="s">
        <v>263</v>
      </c>
      <c r="CW1603" s="4" t="s">
        <v>263</v>
      </c>
      <c r="CX1603" s="4" t="s">
        <v>264</v>
      </c>
      <c r="DA1603" s="6">
        <f>1</f>
        <v>1</v>
      </c>
      <c r="DC1603" s="4" t="s">
        <v>277</v>
      </c>
      <c r="DD1603" s="4" t="s">
        <v>241</v>
      </c>
      <c r="DF1603" s="4" t="s">
        <v>277</v>
      </c>
      <c r="DG1603" s="6">
        <f>121</f>
        <v>121</v>
      </c>
      <c r="DI1603" s="4" t="s">
        <v>241</v>
      </c>
      <c r="DJ1603" s="4" t="s">
        <v>241</v>
      </c>
      <c r="DK1603" s="4" t="s">
        <v>241</v>
      </c>
      <c r="DL1603" s="4" t="s">
        <v>241</v>
      </c>
      <c r="DP1603" s="4" t="s">
        <v>241</v>
      </c>
      <c r="DQ1603" s="4" t="s">
        <v>241</v>
      </c>
      <c r="DR1603" s="4" t="s">
        <v>241</v>
      </c>
      <c r="DS1603" s="4" t="s">
        <v>241</v>
      </c>
      <c r="DV1603" s="4" t="s">
        <v>278</v>
      </c>
      <c r="DW1603" s="4" t="s">
        <v>2327</v>
      </c>
      <c r="HO1603" s="4" t="s">
        <v>267</v>
      </c>
    </row>
    <row r="1604" spans="1:223" ht="19.5" customHeight="1" x14ac:dyDescent="0.4">
      <c r="A1604" s="4">
        <v>1</v>
      </c>
      <c r="B1604" s="4" t="s">
        <v>239</v>
      </c>
      <c r="C1604" s="4">
        <v>3278</v>
      </c>
      <c r="D1604" s="4">
        <v>1</v>
      </c>
      <c r="E1604" s="4">
        <v>1</v>
      </c>
      <c r="F1604" s="4" t="s">
        <v>268</v>
      </c>
      <c r="G1604" s="4" t="s">
        <v>241</v>
      </c>
      <c r="H1604" s="4" t="s">
        <v>241</v>
      </c>
      <c r="I1604" s="4" t="s">
        <v>272</v>
      </c>
      <c r="J1604" s="4" t="s">
        <v>274</v>
      </c>
      <c r="K1604" s="4" t="s">
        <v>251</v>
      </c>
      <c r="L1604" s="4" t="s">
        <v>269</v>
      </c>
      <c r="M1604" s="5" t="s">
        <v>2324</v>
      </c>
      <c r="N1604" s="6">
        <f>1924</f>
        <v>1924</v>
      </c>
      <c r="O1604" s="4" t="s">
        <v>265</v>
      </c>
      <c r="P1604" s="6">
        <f>1</f>
        <v>1</v>
      </c>
      <c r="Q1604" s="6">
        <f>0</f>
        <v>0</v>
      </c>
      <c r="S1604" s="6">
        <f>0</f>
        <v>0</v>
      </c>
      <c r="T1604" s="6">
        <f>1</f>
        <v>1</v>
      </c>
      <c r="U1604" s="5" t="s">
        <v>245</v>
      </c>
      <c r="V1604" s="4" t="s">
        <v>270</v>
      </c>
      <c r="W1604" s="4" t="s">
        <v>271</v>
      </c>
      <c r="X1604" s="4" t="s">
        <v>273</v>
      </c>
      <c r="Y1604" s="4" t="s">
        <v>241</v>
      </c>
      <c r="AB1604" s="4" t="s">
        <v>241</v>
      </c>
      <c r="AD1604" s="5" t="s">
        <v>241</v>
      </c>
      <c r="AG1604" s="5" t="s">
        <v>246</v>
      </c>
      <c r="AH1604" s="4" t="s">
        <v>241</v>
      </c>
      <c r="AI1604" s="4" t="s">
        <v>247</v>
      </c>
      <c r="AJ1604" s="4" t="s">
        <v>248</v>
      </c>
      <c r="AZ1604" s="4" t="s">
        <v>249</v>
      </c>
      <c r="BA1604" s="4" t="s">
        <v>241</v>
      </c>
      <c r="BB1604" s="4" t="s">
        <v>250</v>
      </c>
      <c r="BC1604" s="4" t="s">
        <v>241</v>
      </c>
      <c r="BD1604" s="4" t="s">
        <v>252</v>
      </c>
      <c r="BE1604" s="4" t="s">
        <v>241</v>
      </c>
      <c r="BI1604" s="4" t="s">
        <v>253</v>
      </c>
      <c r="BJ1604" s="5" t="s">
        <v>246</v>
      </c>
      <c r="BK1604" s="4" t="s">
        <v>254</v>
      </c>
      <c r="BL1604" s="4" t="s">
        <v>255</v>
      </c>
      <c r="BM1604" s="4" t="s">
        <v>241</v>
      </c>
      <c r="BN1604" s="6">
        <f>0</f>
        <v>0</v>
      </c>
      <c r="BO1604" s="6">
        <f>0</f>
        <v>0</v>
      </c>
      <c r="BP1604" s="4" t="s">
        <v>256</v>
      </c>
      <c r="BQ1604" s="4" t="s">
        <v>257</v>
      </c>
      <c r="CE1604" s="4" t="s">
        <v>241</v>
      </c>
      <c r="CF1604" s="4" t="s">
        <v>241</v>
      </c>
      <c r="CJ1604" s="4" t="s">
        <v>276</v>
      </c>
      <c r="CK1604" s="4" t="s">
        <v>259</v>
      </c>
      <c r="CL1604" s="4" t="s">
        <v>241</v>
      </c>
      <c r="CO1604" s="5" t="s">
        <v>260</v>
      </c>
      <c r="CP1604" s="4" t="s">
        <v>241</v>
      </c>
      <c r="CQ1604" s="4" t="s">
        <v>261</v>
      </c>
      <c r="CR1604" s="4" t="s">
        <v>241</v>
      </c>
      <c r="CS1604" s="4" t="s">
        <v>241</v>
      </c>
      <c r="CT1604" s="4">
        <v>0</v>
      </c>
      <c r="CU1604" s="4" t="s">
        <v>262</v>
      </c>
      <c r="CV1604" s="4" t="s">
        <v>263</v>
      </c>
      <c r="CW1604" s="4" t="s">
        <v>263</v>
      </c>
      <c r="CX1604" s="4" t="s">
        <v>264</v>
      </c>
      <c r="DA1604" s="6">
        <f>1</f>
        <v>1</v>
      </c>
      <c r="DC1604" s="4" t="s">
        <v>277</v>
      </c>
      <c r="DD1604" s="4" t="s">
        <v>241</v>
      </c>
      <c r="DF1604" s="4" t="s">
        <v>277</v>
      </c>
      <c r="DG1604" s="6">
        <f>1924</f>
        <v>1924</v>
      </c>
      <c r="DI1604" s="4" t="s">
        <v>241</v>
      </c>
      <c r="DJ1604" s="4" t="s">
        <v>241</v>
      </c>
      <c r="DK1604" s="4" t="s">
        <v>241</v>
      </c>
      <c r="DL1604" s="4" t="s">
        <v>241</v>
      </c>
      <c r="DP1604" s="4" t="s">
        <v>241</v>
      </c>
      <c r="DQ1604" s="4" t="s">
        <v>241</v>
      </c>
      <c r="DR1604" s="4" t="s">
        <v>241</v>
      </c>
      <c r="DS1604" s="4" t="s">
        <v>241</v>
      </c>
      <c r="DV1604" s="4" t="s">
        <v>278</v>
      </c>
      <c r="DW1604" s="4" t="s">
        <v>2325</v>
      </c>
      <c r="HO1604" s="4" t="s">
        <v>267</v>
      </c>
    </row>
    <row r="1605" spans="1:223" ht="19.5" customHeight="1" x14ac:dyDescent="0.4">
      <c r="A1605" s="4">
        <v>1</v>
      </c>
      <c r="B1605" s="4" t="s">
        <v>239</v>
      </c>
      <c r="C1605" s="4">
        <v>3279</v>
      </c>
      <c r="D1605" s="4">
        <v>1</v>
      </c>
      <c r="E1605" s="4">
        <v>1</v>
      </c>
      <c r="F1605" s="4" t="s">
        <v>268</v>
      </c>
      <c r="G1605" s="4" t="s">
        <v>241</v>
      </c>
      <c r="H1605" s="4" t="s">
        <v>241</v>
      </c>
      <c r="I1605" s="4" t="s">
        <v>272</v>
      </c>
      <c r="J1605" s="4" t="s">
        <v>274</v>
      </c>
      <c r="K1605" s="4" t="s">
        <v>251</v>
      </c>
      <c r="L1605" s="4" t="s">
        <v>269</v>
      </c>
      <c r="M1605" s="5" t="s">
        <v>2322</v>
      </c>
      <c r="N1605" s="6">
        <f>2898</f>
        <v>2898</v>
      </c>
      <c r="O1605" s="4" t="s">
        <v>265</v>
      </c>
      <c r="P1605" s="6">
        <f>1</f>
        <v>1</v>
      </c>
      <c r="Q1605" s="6">
        <f>0</f>
        <v>0</v>
      </c>
      <c r="S1605" s="6">
        <f>0</f>
        <v>0</v>
      </c>
      <c r="T1605" s="6">
        <f>1</f>
        <v>1</v>
      </c>
      <c r="U1605" s="5" t="s">
        <v>245</v>
      </c>
      <c r="V1605" s="4" t="s">
        <v>270</v>
      </c>
      <c r="W1605" s="4" t="s">
        <v>271</v>
      </c>
      <c r="X1605" s="4" t="s">
        <v>273</v>
      </c>
      <c r="Y1605" s="4" t="s">
        <v>241</v>
      </c>
      <c r="AB1605" s="4" t="s">
        <v>241</v>
      </c>
      <c r="AD1605" s="5" t="s">
        <v>241</v>
      </c>
      <c r="AG1605" s="5" t="s">
        <v>246</v>
      </c>
      <c r="AH1605" s="4" t="s">
        <v>241</v>
      </c>
      <c r="AI1605" s="4" t="s">
        <v>247</v>
      </c>
      <c r="AJ1605" s="4" t="s">
        <v>248</v>
      </c>
      <c r="AZ1605" s="4" t="s">
        <v>249</v>
      </c>
      <c r="BA1605" s="4" t="s">
        <v>241</v>
      </c>
      <c r="BB1605" s="4" t="s">
        <v>250</v>
      </c>
      <c r="BC1605" s="4" t="s">
        <v>241</v>
      </c>
      <c r="BD1605" s="4" t="s">
        <v>252</v>
      </c>
      <c r="BE1605" s="4" t="s">
        <v>241</v>
      </c>
      <c r="BI1605" s="4" t="s">
        <v>253</v>
      </c>
      <c r="BJ1605" s="5" t="s">
        <v>246</v>
      </c>
      <c r="BK1605" s="4" t="s">
        <v>254</v>
      </c>
      <c r="BL1605" s="4" t="s">
        <v>255</v>
      </c>
      <c r="BM1605" s="4" t="s">
        <v>241</v>
      </c>
      <c r="BN1605" s="6">
        <f>0</f>
        <v>0</v>
      </c>
      <c r="BO1605" s="6">
        <f>0</f>
        <v>0</v>
      </c>
      <c r="BP1605" s="4" t="s">
        <v>256</v>
      </c>
      <c r="BQ1605" s="4" t="s">
        <v>257</v>
      </c>
      <c r="CE1605" s="4" t="s">
        <v>241</v>
      </c>
      <c r="CF1605" s="4" t="s">
        <v>241</v>
      </c>
      <c r="CJ1605" s="4" t="s">
        <v>276</v>
      </c>
      <c r="CK1605" s="4" t="s">
        <v>259</v>
      </c>
      <c r="CL1605" s="4" t="s">
        <v>241</v>
      </c>
      <c r="CO1605" s="5" t="s">
        <v>260</v>
      </c>
      <c r="CP1605" s="4" t="s">
        <v>241</v>
      </c>
      <c r="CQ1605" s="4" t="s">
        <v>261</v>
      </c>
      <c r="CR1605" s="4" t="s">
        <v>241</v>
      </c>
      <c r="CS1605" s="4" t="s">
        <v>241</v>
      </c>
      <c r="CT1605" s="4">
        <v>0</v>
      </c>
      <c r="CU1605" s="4" t="s">
        <v>262</v>
      </c>
      <c r="CV1605" s="4" t="s">
        <v>263</v>
      </c>
      <c r="CW1605" s="4" t="s">
        <v>263</v>
      </c>
      <c r="CX1605" s="4" t="s">
        <v>264</v>
      </c>
      <c r="DA1605" s="6">
        <f>1</f>
        <v>1</v>
      </c>
      <c r="DC1605" s="4" t="s">
        <v>277</v>
      </c>
      <c r="DD1605" s="4" t="s">
        <v>241</v>
      </c>
      <c r="DF1605" s="4" t="s">
        <v>277</v>
      </c>
      <c r="DG1605" s="6">
        <f>2898</f>
        <v>2898</v>
      </c>
      <c r="DI1605" s="4" t="s">
        <v>241</v>
      </c>
      <c r="DJ1605" s="4" t="s">
        <v>241</v>
      </c>
      <c r="DK1605" s="4" t="s">
        <v>241</v>
      </c>
      <c r="DL1605" s="4" t="s">
        <v>241</v>
      </c>
      <c r="DP1605" s="4" t="s">
        <v>241</v>
      </c>
      <c r="DQ1605" s="4" t="s">
        <v>241</v>
      </c>
      <c r="DR1605" s="4" t="s">
        <v>241</v>
      </c>
      <c r="DS1605" s="4" t="s">
        <v>241</v>
      </c>
      <c r="DV1605" s="4" t="s">
        <v>278</v>
      </c>
      <c r="DW1605" s="4" t="s">
        <v>2323</v>
      </c>
      <c r="HO1605" s="4" t="s">
        <v>267</v>
      </c>
    </row>
    <row r="1606" spans="1:223" ht="19.5" customHeight="1" x14ac:dyDescent="0.4">
      <c r="A1606" s="4">
        <v>1</v>
      </c>
      <c r="B1606" s="4" t="s">
        <v>239</v>
      </c>
      <c r="C1606" s="4">
        <v>3280</v>
      </c>
      <c r="D1606" s="4">
        <v>1</v>
      </c>
      <c r="E1606" s="4">
        <v>1</v>
      </c>
      <c r="F1606" s="4" t="s">
        <v>268</v>
      </c>
      <c r="G1606" s="4" t="s">
        <v>241</v>
      </c>
      <c r="H1606" s="4" t="s">
        <v>241</v>
      </c>
      <c r="I1606" s="4" t="s">
        <v>272</v>
      </c>
      <c r="J1606" s="4" t="s">
        <v>274</v>
      </c>
      <c r="K1606" s="4" t="s">
        <v>251</v>
      </c>
      <c r="L1606" s="4" t="s">
        <v>269</v>
      </c>
      <c r="M1606" s="5" t="s">
        <v>2320</v>
      </c>
      <c r="N1606" s="6">
        <f>206</f>
        <v>206</v>
      </c>
      <c r="O1606" s="4" t="s">
        <v>265</v>
      </c>
      <c r="P1606" s="6">
        <f>1</f>
        <v>1</v>
      </c>
      <c r="Q1606" s="6">
        <f>0</f>
        <v>0</v>
      </c>
      <c r="S1606" s="6">
        <f>0</f>
        <v>0</v>
      </c>
      <c r="T1606" s="6">
        <f>1</f>
        <v>1</v>
      </c>
      <c r="U1606" s="5" t="s">
        <v>245</v>
      </c>
      <c r="V1606" s="4" t="s">
        <v>270</v>
      </c>
      <c r="W1606" s="4" t="s">
        <v>271</v>
      </c>
      <c r="X1606" s="4" t="s">
        <v>273</v>
      </c>
      <c r="Y1606" s="4" t="s">
        <v>241</v>
      </c>
      <c r="AB1606" s="4" t="s">
        <v>241</v>
      </c>
      <c r="AD1606" s="5" t="s">
        <v>241</v>
      </c>
      <c r="AG1606" s="5" t="s">
        <v>246</v>
      </c>
      <c r="AH1606" s="4" t="s">
        <v>241</v>
      </c>
      <c r="AI1606" s="4" t="s">
        <v>247</v>
      </c>
      <c r="AJ1606" s="4" t="s">
        <v>248</v>
      </c>
      <c r="AZ1606" s="4" t="s">
        <v>249</v>
      </c>
      <c r="BA1606" s="4" t="s">
        <v>241</v>
      </c>
      <c r="BB1606" s="4" t="s">
        <v>250</v>
      </c>
      <c r="BC1606" s="4" t="s">
        <v>241</v>
      </c>
      <c r="BD1606" s="4" t="s">
        <v>252</v>
      </c>
      <c r="BE1606" s="4" t="s">
        <v>241</v>
      </c>
      <c r="BI1606" s="4" t="s">
        <v>253</v>
      </c>
      <c r="BJ1606" s="5" t="s">
        <v>246</v>
      </c>
      <c r="BK1606" s="4" t="s">
        <v>254</v>
      </c>
      <c r="BL1606" s="4" t="s">
        <v>255</v>
      </c>
      <c r="BM1606" s="4" t="s">
        <v>241</v>
      </c>
      <c r="BN1606" s="6">
        <f>0</f>
        <v>0</v>
      </c>
      <c r="BO1606" s="6">
        <f>0</f>
        <v>0</v>
      </c>
      <c r="BP1606" s="4" t="s">
        <v>256</v>
      </c>
      <c r="BQ1606" s="4" t="s">
        <v>257</v>
      </c>
      <c r="CE1606" s="4" t="s">
        <v>241</v>
      </c>
      <c r="CF1606" s="4" t="s">
        <v>241</v>
      </c>
      <c r="CJ1606" s="4" t="s">
        <v>276</v>
      </c>
      <c r="CK1606" s="4" t="s">
        <v>259</v>
      </c>
      <c r="CL1606" s="4" t="s">
        <v>241</v>
      </c>
      <c r="CO1606" s="5" t="s">
        <v>260</v>
      </c>
      <c r="CP1606" s="4" t="s">
        <v>241</v>
      </c>
      <c r="CQ1606" s="4" t="s">
        <v>261</v>
      </c>
      <c r="CR1606" s="4" t="s">
        <v>241</v>
      </c>
      <c r="CS1606" s="4" t="s">
        <v>241</v>
      </c>
      <c r="CT1606" s="4">
        <v>0</v>
      </c>
      <c r="CU1606" s="4" t="s">
        <v>262</v>
      </c>
      <c r="CV1606" s="4" t="s">
        <v>263</v>
      </c>
      <c r="CW1606" s="4" t="s">
        <v>263</v>
      </c>
      <c r="CX1606" s="4" t="s">
        <v>264</v>
      </c>
      <c r="DA1606" s="6">
        <f>1</f>
        <v>1</v>
      </c>
      <c r="DC1606" s="4" t="s">
        <v>277</v>
      </c>
      <c r="DD1606" s="4" t="s">
        <v>241</v>
      </c>
      <c r="DF1606" s="4" t="s">
        <v>277</v>
      </c>
      <c r="DG1606" s="6">
        <f>206</f>
        <v>206</v>
      </c>
      <c r="DI1606" s="4" t="s">
        <v>241</v>
      </c>
      <c r="DJ1606" s="4" t="s">
        <v>241</v>
      </c>
      <c r="DK1606" s="4" t="s">
        <v>241</v>
      </c>
      <c r="DL1606" s="4" t="s">
        <v>241</v>
      </c>
      <c r="DP1606" s="4" t="s">
        <v>241</v>
      </c>
      <c r="DQ1606" s="4" t="s">
        <v>241</v>
      </c>
      <c r="DR1606" s="4" t="s">
        <v>241</v>
      </c>
      <c r="DS1606" s="4" t="s">
        <v>241</v>
      </c>
      <c r="DV1606" s="4" t="s">
        <v>278</v>
      </c>
      <c r="DW1606" s="4" t="s">
        <v>2321</v>
      </c>
      <c r="HO1606" s="4" t="s">
        <v>267</v>
      </c>
    </row>
    <row r="1607" spans="1:223" ht="19.5" customHeight="1" x14ac:dyDescent="0.4">
      <c r="A1607" s="4">
        <v>1</v>
      </c>
      <c r="B1607" s="4" t="s">
        <v>239</v>
      </c>
      <c r="C1607" s="4">
        <v>3281</v>
      </c>
      <c r="D1607" s="4">
        <v>1</v>
      </c>
      <c r="E1607" s="4">
        <v>1</v>
      </c>
      <c r="F1607" s="4" t="s">
        <v>268</v>
      </c>
      <c r="G1607" s="4" t="s">
        <v>241</v>
      </c>
      <c r="H1607" s="4" t="s">
        <v>241</v>
      </c>
      <c r="I1607" s="4" t="s">
        <v>272</v>
      </c>
      <c r="J1607" s="4" t="s">
        <v>274</v>
      </c>
      <c r="K1607" s="4" t="s">
        <v>251</v>
      </c>
      <c r="L1607" s="4" t="s">
        <v>269</v>
      </c>
      <c r="M1607" s="5" t="s">
        <v>2318</v>
      </c>
      <c r="N1607" s="6">
        <f>1066</f>
        <v>1066</v>
      </c>
      <c r="O1607" s="4" t="s">
        <v>265</v>
      </c>
      <c r="P1607" s="6">
        <f>1</f>
        <v>1</v>
      </c>
      <c r="Q1607" s="6">
        <f>0</f>
        <v>0</v>
      </c>
      <c r="S1607" s="6">
        <f>0</f>
        <v>0</v>
      </c>
      <c r="T1607" s="6">
        <f>1</f>
        <v>1</v>
      </c>
      <c r="U1607" s="5" t="s">
        <v>245</v>
      </c>
      <c r="V1607" s="4" t="s">
        <v>270</v>
      </c>
      <c r="W1607" s="4" t="s">
        <v>271</v>
      </c>
      <c r="X1607" s="4" t="s">
        <v>273</v>
      </c>
      <c r="Y1607" s="4" t="s">
        <v>241</v>
      </c>
      <c r="AB1607" s="4" t="s">
        <v>241</v>
      </c>
      <c r="AD1607" s="5" t="s">
        <v>241</v>
      </c>
      <c r="AG1607" s="5" t="s">
        <v>246</v>
      </c>
      <c r="AH1607" s="4" t="s">
        <v>241</v>
      </c>
      <c r="AI1607" s="4" t="s">
        <v>247</v>
      </c>
      <c r="AJ1607" s="4" t="s">
        <v>248</v>
      </c>
      <c r="AZ1607" s="4" t="s">
        <v>249</v>
      </c>
      <c r="BA1607" s="4" t="s">
        <v>241</v>
      </c>
      <c r="BB1607" s="4" t="s">
        <v>250</v>
      </c>
      <c r="BC1607" s="4" t="s">
        <v>241</v>
      </c>
      <c r="BD1607" s="4" t="s">
        <v>252</v>
      </c>
      <c r="BE1607" s="4" t="s">
        <v>241</v>
      </c>
      <c r="BI1607" s="4" t="s">
        <v>253</v>
      </c>
      <c r="BJ1607" s="5" t="s">
        <v>246</v>
      </c>
      <c r="BK1607" s="4" t="s">
        <v>254</v>
      </c>
      <c r="BL1607" s="4" t="s">
        <v>255</v>
      </c>
      <c r="BM1607" s="4" t="s">
        <v>241</v>
      </c>
      <c r="BN1607" s="6">
        <f>0</f>
        <v>0</v>
      </c>
      <c r="BO1607" s="6">
        <f>0</f>
        <v>0</v>
      </c>
      <c r="BP1607" s="4" t="s">
        <v>256</v>
      </c>
      <c r="BQ1607" s="4" t="s">
        <v>257</v>
      </c>
      <c r="CE1607" s="4" t="s">
        <v>241</v>
      </c>
      <c r="CF1607" s="4" t="s">
        <v>241</v>
      </c>
      <c r="CJ1607" s="4" t="s">
        <v>276</v>
      </c>
      <c r="CK1607" s="4" t="s">
        <v>259</v>
      </c>
      <c r="CL1607" s="4" t="s">
        <v>241</v>
      </c>
      <c r="CO1607" s="5" t="s">
        <v>260</v>
      </c>
      <c r="CP1607" s="4" t="s">
        <v>241</v>
      </c>
      <c r="CQ1607" s="4" t="s">
        <v>261</v>
      </c>
      <c r="CR1607" s="4" t="s">
        <v>241</v>
      </c>
      <c r="CS1607" s="4" t="s">
        <v>241</v>
      </c>
      <c r="CT1607" s="4">
        <v>0</v>
      </c>
      <c r="CU1607" s="4" t="s">
        <v>262</v>
      </c>
      <c r="CV1607" s="4" t="s">
        <v>263</v>
      </c>
      <c r="CW1607" s="4" t="s">
        <v>263</v>
      </c>
      <c r="CX1607" s="4" t="s">
        <v>264</v>
      </c>
      <c r="DA1607" s="6">
        <f>1</f>
        <v>1</v>
      </c>
      <c r="DC1607" s="4" t="s">
        <v>277</v>
      </c>
      <c r="DD1607" s="4" t="s">
        <v>241</v>
      </c>
      <c r="DF1607" s="4" t="s">
        <v>277</v>
      </c>
      <c r="DG1607" s="6">
        <f>1066</f>
        <v>1066</v>
      </c>
      <c r="DI1607" s="4" t="s">
        <v>241</v>
      </c>
      <c r="DJ1607" s="4" t="s">
        <v>241</v>
      </c>
      <c r="DK1607" s="4" t="s">
        <v>241</v>
      </c>
      <c r="DL1607" s="4" t="s">
        <v>241</v>
      </c>
      <c r="DP1607" s="4" t="s">
        <v>241</v>
      </c>
      <c r="DQ1607" s="4" t="s">
        <v>241</v>
      </c>
      <c r="DR1607" s="4" t="s">
        <v>241</v>
      </c>
      <c r="DS1607" s="4" t="s">
        <v>241</v>
      </c>
      <c r="DV1607" s="4" t="s">
        <v>278</v>
      </c>
      <c r="DW1607" s="4" t="s">
        <v>2319</v>
      </c>
      <c r="HO1607" s="4" t="s">
        <v>267</v>
      </c>
    </row>
    <row r="1608" spans="1:223" ht="19.5" customHeight="1" x14ac:dyDescent="0.4">
      <c r="A1608" s="4">
        <v>1</v>
      </c>
      <c r="B1608" s="4" t="s">
        <v>239</v>
      </c>
      <c r="C1608" s="4">
        <v>3282</v>
      </c>
      <c r="D1608" s="4">
        <v>1</v>
      </c>
      <c r="E1608" s="4">
        <v>1</v>
      </c>
      <c r="F1608" s="4" t="s">
        <v>268</v>
      </c>
      <c r="G1608" s="4" t="s">
        <v>241</v>
      </c>
      <c r="H1608" s="4" t="s">
        <v>241</v>
      </c>
      <c r="I1608" s="4" t="s">
        <v>272</v>
      </c>
      <c r="J1608" s="4" t="s">
        <v>274</v>
      </c>
      <c r="K1608" s="4" t="s">
        <v>251</v>
      </c>
      <c r="L1608" s="4" t="s">
        <v>269</v>
      </c>
      <c r="M1608" s="5" t="s">
        <v>2316</v>
      </c>
      <c r="N1608" s="6">
        <f>5431</f>
        <v>5431</v>
      </c>
      <c r="O1608" s="4" t="s">
        <v>265</v>
      </c>
      <c r="P1608" s="6">
        <f>1</f>
        <v>1</v>
      </c>
      <c r="Q1608" s="6">
        <f>0</f>
        <v>0</v>
      </c>
      <c r="S1608" s="6">
        <f>0</f>
        <v>0</v>
      </c>
      <c r="T1608" s="6">
        <f>1</f>
        <v>1</v>
      </c>
      <c r="U1608" s="5" t="s">
        <v>245</v>
      </c>
      <c r="V1608" s="4" t="s">
        <v>270</v>
      </c>
      <c r="W1608" s="4" t="s">
        <v>271</v>
      </c>
      <c r="X1608" s="4" t="s">
        <v>273</v>
      </c>
      <c r="Y1608" s="4" t="s">
        <v>241</v>
      </c>
      <c r="AB1608" s="4" t="s">
        <v>241</v>
      </c>
      <c r="AD1608" s="5" t="s">
        <v>241</v>
      </c>
      <c r="AG1608" s="5" t="s">
        <v>246</v>
      </c>
      <c r="AH1608" s="4" t="s">
        <v>241</v>
      </c>
      <c r="AI1608" s="4" t="s">
        <v>247</v>
      </c>
      <c r="AJ1608" s="4" t="s">
        <v>248</v>
      </c>
      <c r="AZ1608" s="4" t="s">
        <v>249</v>
      </c>
      <c r="BA1608" s="4" t="s">
        <v>241</v>
      </c>
      <c r="BB1608" s="4" t="s">
        <v>250</v>
      </c>
      <c r="BC1608" s="4" t="s">
        <v>241</v>
      </c>
      <c r="BD1608" s="4" t="s">
        <v>252</v>
      </c>
      <c r="BE1608" s="4" t="s">
        <v>241</v>
      </c>
      <c r="BI1608" s="4" t="s">
        <v>253</v>
      </c>
      <c r="BJ1608" s="5" t="s">
        <v>246</v>
      </c>
      <c r="BK1608" s="4" t="s">
        <v>254</v>
      </c>
      <c r="BL1608" s="4" t="s">
        <v>255</v>
      </c>
      <c r="BM1608" s="4" t="s">
        <v>241</v>
      </c>
      <c r="BN1608" s="6">
        <f>0</f>
        <v>0</v>
      </c>
      <c r="BO1608" s="6">
        <f>0</f>
        <v>0</v>
      </c>
      <c r="BP1608" s="4" t="s">
        <v>256</v>
      </c>
      <c r="BQ1608" s="4" t="s">
        <v>257</v>
      </c>
      <c r="CE1608" s="4" t="s">
        <v>241</v>
      </c>
      <c r="CF1608" s="4" t="s">
        <v>241</v>
      </c>
      <c r="CJ1608" s="4" t="s">
        <v>276</v>
      </c>
      <c r="CK1608" s="4" t="s">
        <v>259</v>
      </c>
      <c r="CL1608" s="4" t="s">
        <v>241</v>
      </c>
      <c r="CO1608" s="5" t="s">
        <v>260</v>
      </c>
      <c r="CP1608" s="4" t="s">
        <v>241</v>
      </c>
      <c r="CQ1608" s="4" t="s">
        <v>261</v>
      </c>
      <c r="CR1608" s="4" t="s">
        <v>241</v>
      </c>
      <c r="CS1608" s="4" t="s">
        <v>241</v>
      </c>
      <c r="CT1608" s="4">
        <v>0</v>
      </c>
      <c r="CU1608" s="4" t="s">
        <v>262</v>
      </c>
      <c r="CV1608" s="4" t="s">
        <v>263</v>
      </c>
      <c r="CW1608" s="4" t="s">
        <v>263</v>
      </c>
      <c r="CX1608" s="4" t="s">
        <v>264</v>
      </c>
      <c r="DA1608" s="6">
        <f>1</f>
        <v>1</v>
      </c>
      <c r="DC1608" s="4" t="s">
        <v>277</v>
      </c>
      <c r="DD1608" s="4" t="s">
        <v>241</v>
      </c>
      <c r="DF1608" s="4" t="s">
        <v>277</v>
      </c>
      <c r="DG1608" s="6">
        <f>5431</f>
        <v>5431</v>
      </c>
      <c r="DI1608" s="4" t="s">
        <v>241</v>
      </c>
      <c r="DJ1608" s="4" t="s">
        <v>241</v>
      </c>
      <c r="DK1608" s="4" t="s">
        <v>241</v>
      </c>
      <c r="DL1608" s="4" t="s">
        <v>241</v>
      </c>
      <c r="DP1608" s="4" t="s">
        <v>241</v>
      </c>
      <c r="DQ1608" s="4" t="s">
        <v>241</v>
      </c>
      <c r="DR1608" s="4" t="s">
        <v>241</v>
      </c>
      <c r="DS1608" s="4" t="s">
        <v>241</v>
      </c>
      <c r="DV1608" s="4" t="s">
        <v>278</v>
      </c>
      <c r="DW1608" s="4" t="s">
        <v>2317</v>
      </c>
      <c r="HO1608" s="4" t="s">
        <v>267</v>
      </c>
    </row>
    <row r="1609" spans="1:223" ht="19.5" customHeight="1" x14ac:dyDescent="0.4">
      <c r="A1609" s="4">
        <v>1</v>
      </c>
      <c r="B1609" s="4" t="s">
        <v>239</v>
      </c>
      <c r="C1609" s="4">
        <v>3283</v>
      </c>
      <c r="D1609" s="4">
        <v>1</v>
      </c>
      <c r="E1609" s="4">
        <v>1</v>
      </c>
      <c r="F1609" s="4" t="s">
        <v>268</v>
      </c>
      <c r="G1609" s="4" t="s">
        <v>241</v>
      </c>
      <c r="H1609" s="4" t="s">
        <v>241</v>
      </c>
      <c r="I1609" s="4" t="s">
        <v>272</v>
      </c>
      <c r="J1609" s="4" t="s">
        <v>274</v>
      </c>
      <c r="K1609" s="4" t="s">
        <v>251</v>
      </c>
      <c r="L1609" s="4" t="s">
        <v>269</v>
      </c>
      <c r="M1609" s="5" t="s">
        <v>2314</v>
      </c>
      <c r="N1609" s="6">
        <f>1389</f>
        <v>1389</v>
      </c>
      <c r="O1609" s="4" t="s">
        <v>265</v>
      </c>
      <c r="P1609" s="6">
        <f>1</f>
        <v>1</v>
      </c>
      <c r="Q1609" s="6">
        <f>0</f>
        <v>0</v>
      </c>
      <c r="S1609" s="6">
        <f>0</f>
        <v>0</v>
      </c>
      <c r="T1609" s="6">
        <f>1</f>
        <v>1</v>
      </c>
      <c r="U1609" s="5" t="s">
        <v>245</v>
      </c>
      <c r="V1609" s="4" t="s">
        <v>270</v>
      </c>
      <c r="W1609" s="4" t="s">
        <v>271</v>
      </c>
      <c r="X1609" s="4" t="s">
        <v>273</v>
      </c>
      <c r="Y1609" s="4" t="s">
        <v>241</v>
      </c>
      <c r="AB1609" s="4" t="s">
        <v>241</v>
      </c>
      <c r="AD1609" s="5" t="s">
        <v>241</v>
      </c>
      <c r="AG1609" s="5" t="s">
        <v>246</v>
      </c>
      <c r="AH1609" s="4" t="s">
        <v>241</v>
      </c>
      <c r="AI1609" s="4" t="s">
        <v>247</v>
      </c>
      <c r="AJ1609" s="4" t="s">
        <v>248</v>
      </c>
      <c r="AZ1609" s="4" t="s">
        <v>249</v>
      </c>
      <c r="BA1609" s="4" t="s">
        <v>241</v>
      </c>
      <c r="BB1609" s="4" t="s">
        <v>250</v>
      </c>
      <c r="BC1609" s="4" t="s">
        <v>241</v>
      </c>
      <c r="BD1609" s="4" t="s">
        <v>252</v>
      </c>
      <c r="BE1609" s="4" t="s">
        <v>241</v>
      </c>
      <c r="BI1609" s="4" t="s">
        <v>253</v>
      </c>
      <c r="BJ1609" s="5" t="s">
        <v>246</v>
      </c>
      <c r="BK1609" s="4" t="s">
        <v>254</v>
      </c>
      <c r="BL1609" s="4" t="s">
        <v>255</v>
      </c>
      <c r="BM1609" s="4" t="s">
        <v>241</v>
      </c>
      <c r="BN1609" s="6">
        <f>0</f>
        <v>0</v>
      </c>
      <c r="BO1609" s="6">
        <f>0</f>
        <v>0</v>
      </c>
      <c r="BP1609" s="4" t="s">
        <v>256</v>
      </c>
      <c r="BQ1609" s="4" t="s">
        <v>257</v>
      </c>
      <c r="CE1609" s="4" t="s">
        <v>241</v>
      </c>
      <c r="CF1609" s="4" t="s">
        <v>241</v>
      </c>
      <c r="CJ1609" s="4" t="s">
        <v>276</v>
      </c>
      <c r="CK1609" s="4" t="s">
        <v>259</v>
      </c>
      <c r="CL1609" s="4" t="s">
        <v>241</v>
      </c>
      <c r="CO1609" s="5" t="s">
        <v>260</v>
      </c>
      <c r="CP1609" s="4" t="s">
        <v>241</v>
      </c>
      <c r="CQ1609" s="4" t="s">
        <v>261</v>
      </c>
      <c r="CR1609" s="4" t="s">
        <v>241</v>
      </c>
      <c r="CS1609" s="4" t="s">
        <v>241</v>
      </c>
      <c r="CT1609" s="4">
        <v>0</v>
      </c>
      <c r="CU1609" s="4" t="s">
        <v>262</v>
      </c>
      <c r="CV1609" s="4" t="s">
        <v>263</v>
      </c>
      <c r="CW1609" s="4" t="s">
        <v>263</v>
      </c>
      <c r="CX1609" s="4" t="s">
        <v>264</v>
      </c>
      <c r="DA1609" s="6">
        <f>1</f>
        <v>1</v>
      </c>
      <c r="DC1609" s="4" t="s">
        <v>277</v>
      </c>
      <c r="DD1609" s="4" t="s">
        <v>241</v>
      </c>
      <c r="DF1609" s="4" t="s">
        <v>277</v>
      </c>
      <c r="DG1609" s="6">
        <f>1389</f>
        <v>1389</v>
      </c>
      <c r="DI1609" s="4" t="s">
        <v>241</v>
      </c>
      <c r="DJ1609" s="4" t="s">
        <v>241</v>
      </c>
      <c r="DK1609" s="4" t="s">
        <v>241</v>
      </c>
      <c r="DL1609" s="4" t="s">
        <v>241</v>
      </c>
      <c r="DP1609" s="4" t="s">
        <v>241</v>
      </c>
      <c r="DQ1609" s="4" t="s">
        <v>241</v>
      </c>
      <c r="DR1609" s="4" t="s">
        <v>241</v>
      </c>
      <c r="DS1609" s="4" t="s">
        <v>241</v>
      </c>
      <c r="DV1609" s="4" t="s">
        <v>278</v>
      </c>
      <c r="DW1609" s="4" t="s">
        <v>2315</v>
      </c>
      <c r="HO1609" s="4" t="s">
        <v>267</v>
      </c>
    </row>
    <row r="1610" spans="1:223" ht="19.5" customHeight="1" x14ac:dyDescent="0.4">
      <c r="A1610" s="4">
        <v>1</v>
      </c>
      <c r="B1610" s="4" t="s">
        <v>239</v>
      </c>
      <c r="C1610" s="4">
        <v>3284</v>
      </c>
      <c r="D1610" s="4">
        <v>1</v>
      </c>
      <c r="E1610" s="4">
        <v>1</v>
      </c>
      <c r="F1610" s="4" t="s">
        <v>268</v>
      </c>
      <c r="G1610" s="4" t="s">
        <v>241</v>
      </c>
      <c r="H1610" s="4" t="s">
        <v>241</v>
      </c>
      <c r="I1610" s="4" t="s">
        <v>272</v>
      </c>
      <c r="J1610" s="4" t="s">
        <v>274</v>
      </c>
      <c r="K1610" s="4" t="s">
        <v>251</v>
      </c>
      <c r="L1610" s="4" t="s">
        <v>269</v>
      </c>
      <c r="M1610" s="5" t="s">
        <v>2312</v>
      </c>
      <c r="N1610" s="6">
        <f>1194</f>
        <v>1194</v>
      </c>
      <c r="O1610" s="4" t="s">
        <v>265</v>
      </c>
      <c r="P1610" s="6">
        <f>1</f>
        <v>1</v>
      </c>
      <c r="Q1610" s="6">
        <f>0</f>
        <v>0</v>
      </c>
      <c r="S1610" s="6">
        <f>0</f>
        <v>0</v>
      </c>
      <c r="T1610" s="6">
        <f>1</f>
        <v>1</v>
      </c>
      <c r="U1610" s="5" t="s">
        <v>245</v>
      </c>
      <c r="V1610" s="4" t="s">
        <v>270</v>
      </c>
      <c r="W1610" s="4" t="s">
        <v>271</v>
      </c>
      <c r="X1610" s="4" t="s">
        <v>273</v>
      </c>
      <c r="Y1610" s="4" t="s">
        <v>241</v>
      </c>
      <c r="AB1610" s="4" t="s">
        <v>241</v>
      </c>
      <c r="AD1610" s="5" t="s">
        <v>241</v>
      </c>
      <c r="AG1610" s="5" t="s">
        <v>246</v>
      </c>
      <c r="AH1610" s="4" t="s">
        <v>241</v>
      </c>
      <c r="AI1610" s="4" t="s">
        <v>247</v>
      </c>
      <c r="AJ1610" s="4" t="s">
        <v>248</v>
      </c>
      <c r="AZ1610" s="4" t="s">
        <v>249</v>
      </c>
      <c r="BA1610" s="4" t="s">
        <v>241</v>
      </c>
      <c r="BB1610" s="4" t="s">
        <v>250</v>
      </c>
      <c r="BC1610" s="4" t="s">
        <v>241</v>
      </c>
      <c r="BD1610" s="4" t="s">
        <v>252</v>
      </c>
      <c r="BE1610" s="4" t="s">
        <v>241</v>
      </c>
      <c r="BI1610" s="4" t="s">
        <v>253</v>
      </c>
      <c r="BJ1610" s="5" t="s">
        <v>246</v>
      </c>
      <c r="BK1610" s="4" t="s">
        <v>254</v>
      </c>
      <c r="BL1610" s="4" t="s">
        <v>255</v>
      </c>
      <c r="BM1610" s="4" t="s">
        <v>241</v>
      </c>
      <c r="BN1610" s="6">
        <f>0</f>
        <v>0</v>
      </c>
      <c r="BO1610" s="6">
        <f>0</f>
        <v>0</v>
      </c>
      <c r="BP1610" s="4" t="s">
        <v>256</v>
      </c>
      <c r="BQ1610" s="4" t="s">
        <v>257</v>
      </c>
      <c r="CE1610" s="4" t="s">
        <v>241</v>
      </c>
      <c r="CF1610" s="4" t="s">
        <v>241</v>
      </c>
      <c r="CJ1610" s="4" t="s">
        <v>276</v>
      </c>
      <c r="CK1610" s="4" t="s">
        <v>259</v>
      </c>
      <c r="CL1610" s="4" t="s">
        <v>241</v>
      </c>
      <c r="CO1610" s="5" t="s">
        <v>260</v>
      </c>
      <c r="CP1610" s="4" t="s">
        <v>241</v>
      </c>
      <c r="CQ1610" s="4" t="s">
        <v>261</v>
      </c>
      <c r="CR1610" s="4" t="s">
        <v>241</v>
      </c>
      <c r="CS1610" s="4" t="s">
        <v>241</v>
      </c>
      <c r="CT1610" s="4">
        <v>0</v>
      </c>
      <c r="CU1610" s="4" t="s">
        <v>262</v>
      </c>
      <c r="CV1610" s="4" t="s">
        <v>263</v>
      </c>
      <c r="CW1610" s="4" t="s">
        <v>263</v>
      </c>
      <c r="CX1610" s="4" t="s">
        <v>264</v>
      </c>
      <c r="DA1610" s="6">
        <f>1</f>
        <v>1</v>
      </c>
      <c r="DC1610" s="4" t="s">
        <v>277</v>
      </c>
      <c r="DD1610" s="4" t="s">
        <v>241</v>
      </c>
      <c r="DF1610" s="4" t="s">
        <v>277</v>
      </c>
      <c r="DG1610" s="6">
        <f>1194</f>
        <v>1194</v>
      </c>
      <c r="DI1610" s="4" t="s">
        <v>241</v>
      </c>
      <c r="DJ1610" s="4" t="s">
        <v>241</v>
      </c>
      <c r="DK1610" s="4" t="s">
        <v>241</v>
      </c>
      <c r="DL1610" s="4" t="s">
        <v>241</v>
      </c>
      <c r="DP1610" s="4" t="s">
        <v>241</v>
      </c>
      <c r="DQ1610" s="4" t="s">
        <v>241</v>
      </c>
      <c r="DR1610" s="4" t="s">
        <v>241</v>
      </c>
      <c r="DS1610" s="4" t="s">
        <v>241</v>
      </c>
      <c r="DV1610" s="4" t="s">
        <v>278</v>
      </c>
      <c r="DW1610" s="4" t="s">
        <v>2313</v>
      </c>
      <c r="HO1610" s="4" t="s">
        <v>267</v>
      </c>
    </row>
    <row r="1611" spans="1:223" ht="19.5" customHeight="1" x14ac:dyDescent="0.4">
      <c r="A1611" s="4">
        <v>1</v>
      </c>
      <c r="B1611" s="4" t="s">
        <v>239</v>
      </c>
      <c r="C1611" s="4">
        <v>3285</v>
      </c>
      <c r="D1611" s="4">
        <v>1</v>
      </c>
      <c r="E1611" s="4">
        <v>1</v>
      </c>
      <c r="F1611" s="4" t="s">
        <v>268</v>
      </c>
      <c r="G1611" s="4" t="s">
        <v>241</v>
      </c>
      <c r="H1611" s="4" t="s">
        <v>241</v>
      </c>
      <c r="I1611" s="4" t="s">
        <v>272</v>
      </c>
      <c r="J1611" s="4" t="s">
        <v>274</v>
      </c>
      <c r="K1611" s="4" t="s">
        <v>251</v>
      </c>
      <c r="L1611" s="4" t="s">
        <v>269</v>
      </c>
      <c r="M1611" s="5" t="s">
        <v>2310</v>
      </c>
      <c r="N1611" s="6">
        <f>346</f>
        <v>346</v>
      </c>
      <c r="O1611" s="4" t="s">
        <v>265</v>
      </c>
      <c r="P1611" s="6">
        <f>1</f>
        <v>1</v>
      </c>
      <c r="Q1611" s="6">
        <f>0</f>
        <v>0</v>
      </c>
      <c r="S1611" s="6">
        <f>0</f>
        <v>0</v>
      </c>
      <c r="T1611" s="6">
        <f>1</f>
        <v>1</v>
      </c>
      <c r="U1611" s="5" t="s">
        <v>245</v>
      </c>
      <c r="V1611" s="4" t="s">
        <v>270</v>
      </c>
      <c r="W1611" s="4" t="s">
        <v>271</v>
      </c>
      <c r="X1611" s="4" t="s">
        <v>273</v>
      </c>
      <c r="Y1611" s="4" t="s">
        <v>241</v>
      </c>
      <c r="AB1611" s="4" t="s">
        <v>241</v>
      </c>
      <c r="AD1611" s="5" t="s">
        <v>241</v>
      </c>
      <c r="AG1611" s="5" t="s">
        <v>246</v>
      </c>
      <c r="AH1611" s="4" t="s">
        <v>241</v>
      </c>
      <c r="AI1611" s="4" t="s">
        <v>247</v>
      </c>
      <c r="AJ1611" s="4" t="s">
        <v>248</v>
      </c>
      <c r="AZ1611" s="4" t="s">
        <v>249</v>
      </c>
      <c r="BA1611" s="4" t="s">
        <v>241</v>
      </c>
      <c r="BB1611" s="4" t="s">
        <v>250</v>
      </c>
      <c r="BC1611" s="4" t="s">
        <v>241</v>
      </c>
      <c r="BD1611" s="4" t="s">
        <v>252</v>
      </c>
      <c r="BE1611" s="4" t="s">
        <v>241</v>
      </c>
      <c r="BI1611" s="4" t="s">
        <v>253</v>
      </c>
      <c r="BJ1611" s="5" t="s">
        <v>246</v>
      </c>
      <c r="BK1611" s="4" t="s">
        <v>254</v>
      </c>
      <c r="BL1611" s="4" t="s">
        <v>255</v>
      </c>
      <c r="BM1611" s="4" t="s">
        <v>241</v>
      </c>
      <c r="BN1611" s="6">
        <f>0</f>
        <v>0</v>
      </c>
      <c r="BO1611" s="6">
        <f>0</f>
        <v>0</v>
      </c>
      <c r="BP1611" s="4" t="s">
        <v>256</v>
      </c>
      <c r="BQ1611" s="4" t="s">
        <v>257</v>
      </c>
      <c r="CE1611" s="4" t="s">
        <v>241</v>
      </c>
      <c r="CF1611" s="4" t="s">
        <v>241</v>
      </c>
      <c r="CJ1611" s="4" t="s">
        <v>276</v>
      </c>
      <c r="CK1611" s="4" t="s">
        <v>259</v>
      </c>
      <c r="CL1611" s="4" t="s">
        <v>241</v>
      </c>
      <c r="CO1611" s="5" t="s">
        <v>260</v>
      </c>
      <c r="CP1611" s="4" t="s">
        <v>241</v>
      </c>
      <c r="CQ1611" s="4" t="s">
        <v>261</v>
      </c>
      <c r="CR1611" s="4" t="s">
        <v>241</v>
      </c>
      <c r="CS1611" s="4" t="s">
        <v>241</v>
      </c>
      <c r="CT1611" s="4">
        <v>0</v>
      </c>
      <c r="CU1611" s="4" t="s">
        <v>262</v>
      </c>
      <c r="CV1611" s="4" t="s">
        <v>263</v>
      </c>
      <c r="CW1611" s="4" t="s">
        <v>263</v>
      </c>
      <c r="CX1611" s="4" t="s">
        <v>264</v>
      </c>
      <c r="DA1611" s="6">
        <f>1</f>
        <v>1</v>
      </c>
      <c r="DC1611" s="4" t="s">
        <v>277</v>
      </c>
      <c r="DD1611" s="4" t="s">
        <v>241</v>
      </c>
      <c r="DF1611" s="4" t="s">
        <v>277</v>
      </c>
      <c r="DG1611" s="6">
        <f>346</f>
        <v>346</v>
      </c>
      <c r="DI1611" s="4" t="s">
        <v>241</v>
      </c>
      <c r="DJ1611" s="4" t="s">
        <v>241</v>
      </c>
      <c r="DK1611" s="4" t="s">
        <v>241</v>
      </c>
      <c r="DL1611" s="4" t="s">
        <v>241</v>
      </c>
      <c r="DP1611" s="4" t="s">
        <v>241</v>
      </c>
      <c r="DQ1611" s="4" t="s">
        <v>241</v>
      </c>
      <c r="DR1611" s="4" t="s">
        <v>241</v>
      </c>
      <c r="DS1611" s="4" t="s">
        <v>241</v>
      </c>
      <c r="DV1611" s="4" t="s">
        <v>278</v>
      </c>
      <c r="DW1611" s="4" t="s">
        <v>2311</v>
      </c>
      <c r="HO1611" s="4" t="s">
        <v>267</v>
      </c>
    </row>
    <row r="1612" spans="1:223" ht="19.5" customHeight="1" x14ac:dyDescent="0.4">
      <c r="A1612" s="4">
        <v>1</v>
      </c>
      <c r="B1612" s="4" t="s">
        <v>239</v>
      </c>
      <c r="C1612" s="4">
        <v>3286</v>
      </c>
      <c r="D1612" s="4">
        <v>1</v>
      </c>
      <c r="E1612" s="4">
        <v>1</v>
      </c>
      <c r="F1612" s="4" t="s">
        <v>268</v>
      </c>
      <c r="G1612" s="4" t="s">
        <v>241</v>
      </c>
      <c r="H1612" s="4" t="s">
        <v>241</v>
      </c>
      <c r="I1612" s="4" t="s">
        <v>272</v>
      </c>
      <c r="J1612" s="4" t="s">
        <v>274</v>
      </c>
      <c r="K1612" s="4" t="s">
        <v>251</v>
      </c>
      <c r="L1612" s="4" t="s">
        <v>269</v>
      </c>
      <c r="M1612" s="5" t="s">
        <v>2308</v>
      </c>
      <c r="N1612" s="6">
        <f>854</f>
        <v>854</v>
      </c>
      <c r="O1612" s="4" t="s">
        <v>265</v>
      </c>
      <c r="P1612" s="6">
        <f>1</f>
        <v>1</v>
      </c>
      <c r="Q1612" s="6">
        <f>0</f>
        <v>0</v>
      </c>
      <c r="S1612" s="6">
        <f>0</f>
        <v>0</v>
      </c>
      <c r="T1612" s="6">
        <f>1</f>
        <v>1</v>
      </c>
      <c r="U1612" s="5" t="s">
        <v>245</v>
      </c>
      <c r="V1612" s="4" t="s">
        <v>270</v>
      </c>
      <c r="W1612" s="4" t="s">
        <v>271</v>
      </c>
      <c r="X1612" s="4" t="s">
        <v>273</v>
      </c>
      <c r="Y1612" s="4" t="s">
        <v>241</v>
      </c>
      <c r="AB1612" s="4" t="s">
        <v>241</v>
      </c>
      <c r="AD1612" s="5" t="s">
        <v>241</v>
      </c>
      <c r="AG1612" s="5" t="s">
        <v>246</v>
      </c>
      <c r="AH1612" s="4" t="s">
        <v>241</v>
      </c>
      <c r="AI1612" s="4" t="s">
        <v>247</v>
      </c>
      <c r="AJ1612" s="4" t="s">
        <v>248</v>
      </c>
      <c r="AZ1612" s="4" t="s">
        <v>249</v>
      </c>
      <c r="BA1612" s="4" t="s">
        <v>241</v>
      </c>
      <c r="BB1612" s="4" t="s">
        <v>250</v>
      </c>
      <c r="BC1612" s="4" t="s">
        <v>241</v>
      </c>
      <c r="BD1612" s="4" t="s">
        <v>252</v>
      </c>
      <c r="BE1612" s="4" t="s">
        <v>241</v>
      </c>
      <c r="BI1612" s="4" t="s">
        <v>253</v>
      </c>
      <c r="BJ1612" s="5" t="s">
        <v>246</v>
      </c>
      <c r="BK1612" s="4" t="s">
        <v>254</v>
      </c>
      <c r="BL1612" s="4" t="s">
        <v>255</v>
      </c>
      <c r="BM1612" s="4" t="s">
        <v>241</v>
      </c>
      <c r="BN1612" s="6">
        <f>0</f>
        <v>0</v>
      </c>
      <c r="BO1612" s="6">
        <f>0</f>
        <v>0</v>
      </c>
      <c r="BP1612" s="4" t="s">
        <v>256</v>
      </c>
      <c r="BQ1612" s="4" t="s">
        <v>257</v>
      </c>
      <c r="CE1612" s="4" t="s">
        <v>241</v>
      </c>
      <c r="CF1612" s="4" t="s">
        <v>241</v>
      </c>
      <c r="CJ1612" s="4" t="s">
        <v>276</v>
      </c>
      <c r="CK1612" s="4" t="s">
        <v>259</v>
      </c>
      <c r="CL1612" s="4" t="s">
        <v>241</v>
      </c>
      <c r="CO1612" s="5" t="s">
        <v>260</v>
      </c>
      <c r="CP1612" s="4" t="s">
        <v>241</v>
      </c>
      <c r="CQ1612" s="4" t="s">
        <v>261</v>
      </c>
      <c r="CR1612" s="4" t="s">
        <v>241</v>
      </c>
      <c r="CS1612" s="4" t="s">
        <v>241</v>
      </c>
      <c r="CT1612" s="4">
        <v>0</v>
      </c>
      <c r="CU1612" s="4" t="s">
        <v>262</v>
      </c>
      <c r="CV1612" s="4" t="s">
        <v>263</v>
      </c>
      <c r="CW1612" s="4" t="s">
        <v>263</v>
      </c>
      <c r="CX1612" s="4" t="s">
        <v>264</v>
      </c>
      <c r="DA1612" s="6">
        <f>1</f>
        <v>1</v>
      </c>
      <c r="DC1612" s="4" t="s">
        <v>277</v>
      </c>
      <c r="DD1612" s="4" t="s">
        <v>241</v>
      </c>
      <c r="DF1612" s="4" t="s">
        <v>277</v>
      </c>
      <c r="DG1612" s="6">
        <f>854</f>
        <v>854</v>
      </c>
      <c r="DI1612" s="4" t="s">
        <v>241</v>
      </c>
      <c r="DJ1612" s="4" t="s">
        <v>241</v>
      </c>
      <c r="DK1612" s="4" t="s">
        <v>241</v>
      </c>
      <c r="DL1612" s="4" t="s">
        <v>241</v>
      </c>
      <c r="DP1612" s="4" t="s">
        <v>241</v>
      </c>
      <c r="DQ1612" s="4" t="s">
        <v>241</v>
      </c>
      <c r="DR1612" s="4" t="s">
        <v>241</v>
      </c>
      <c r="DS1612" s="4" t="s">
        <v>241</v>
      </c>
      <c r="DV1612" s="4" t="s">
        <v>278</v>
      </c>
      <c r="DW1612" s="4" t="s">
        <v>2309</v>
      </c>
      <c r="HO1612" s="4" t="s">
        <v>267</v>
      </c>
    </row>
    <row r="1613" spans="1:223" ht="19.5" customHeight="1" x14ac:dyDescent="0.4">
      <c r="A1613" s="4">
        <v>1</v>
      </c>
      <c r="B1613" s="4" t="s">
        <v>239</v>
      </c>
      <c r="C1613" s="4">
        <v>3287</v>
      </c>
      <c r="D1613" s="4">
        <v>1</v>
      </c>
      <c r="E1613" s="4">
        <v>1</v>
      </c>
      <c r="F1613" s="4" t="s">
        <v>268</v>
      </c>
      <c r="G1613" s="4" t="s">
        <v>241</v>
      </c>
      <c r="H1613" s="4" t="s">
        <v>241</v>
      </c>
      <c r="I1613" s="4" t="s">
        <v>272</v>
      </c>
      <c r="J1613" s="4" t="s">
        <v>274</v>
      </c>
      <c r="K1613" s="4" t="s">
        <v>251</v>
      </c>
      <c r="L1613" s="4" t="s">
        <v>269</v>
      </c>
      <c r="M1613" s="5" t="s">
        <v>2306</v>
      </c>
      <c r="N1613" s="6">
        <f>2141</f>
        <v>2141</v>
      </c>
      <c r="O1613" s="4" t="s">
        <v>265</v>
      </c>
      <c r="P1613" s="6">
        <f>1</f>
        <v>1</v>
      </c>
      <c r="Q1613" s="6">
        <f>0</f>
        <v>0</v>
      </c>
      <c r="S1613" s="6">
        <f>0</f>
        <v>0</v>
      </c>
      <c r="T1613" s="6">
        <f>1</f>
        <v>1</v>
      </c>
      <c r="U1613" s="5" t="s">
        <v>245</v>
      </c>
      <c r="V1613" s="4" t="s">
        <v>270</v>
      </c>
      <c r="W1613" s="4" t="s">
        <v>271</v>
      </c>
      <c r="X1613" s="4" t="s">
        <v>273</v>
      </c>
      <c r="Y1613" s="4" t="s">
        <v>241</v>
      </c>
      <c r="AB1613" s="4" t="s">
        <v>241</v>
      </c>
      <c r="AD1613" s="5" t="s">
        <v>241</v>
      </c>
      <c r="AG1613" s="5" t="s">
        <v>246</v>
      </c>
      <c r="AH1613" s="4" t="s">
        <v>241</v>
      </c>
      <c r="AI1613" s="4" t="s">
        <v>247</v>
      </c>
      <c r="AJ1613" s="4" t="s">
        <v>248</v>
      </c>
      <c r="AZ1613" s="4" t="s">
        <v>249</v>
      </c>
      <c r="BA1613" s="4" t="s">
        <v>241</v>
      </c>
      <c r="BB1613" s="4" t="s">
        <v>250</v>
      </c>
      <c r="BC1613" s="4" t="s">
        <v>241</v>
      </c>
      <c r="BD1613" s="4" t="s">
        <v>252</v>
      </c>
      <c r="BE1613" s="4" t="s">
        <v>241</v>
      </c>
      <c r="BI1613" s="4" t="s">
        <v>253</v>
      </c>
      <c r="BJ1613" s="5" t="s">
        <v>246</v>
      </c>
      <c r="BK1613" s="4" t="s">
        <v>254</v>
      </c>
      <c r="BL1613" s="4" t="s">
        <v>255</v>
      </c>
      <c r="BM1613" s="4" t="s">
        <v>241</v>
      </c>
      <c r="BN1613" s="6">
        <f>0</f>
        <v>0</v>
      </c>
      <c r="BO1613" s="6">
        <f>0</f>
        <v>0</v>
      </c>
      <c r="BP1613" s="4" t="s">
        <v>256</v>
      </c>
      <c r="BQ1613" s="4" t="s">
        <v>257</v>
      </c>
      <c r="CE1613" s="4" t="s">
        <v>241</v>
      </c>
      <c r="CF1613" s="4" t="s">
        <v>241</v>
      </c>
      <c r="CJ1613" s="4" t="s">
        <v>276</v>
      </c>
      <c r="CK1613" s="4" t="s">
        <v>259</v>
      </c>
      <c r="CL1613" s="4" t="s">
        <v>241</v>
      </c>
      <c r="CO1613" s="5" t="s">
        <v>260</v>
      </c>
      <c r="CP1613" s="4" t="s">
        <v>241</v>
      </c>
      <c r="CQ1613" s="4" t="s">
        <v>261</v>
      </c>
      <c r="CR1613" s="4" t="s">
        <v>241</v>
      </c>
      <c r="CS1613" s="4" t="s">
        <v>241</v>
      </c>
      <c r="CT1613" s="4">
        <v>0</v>
      </c>
      <c r="CU1613" s="4" t="s">
        <v>262</v>
      </c>
      <c r="CV1613" s="4" t="s">
        <v>263</v>
      </c>
      <c r="CW1613" s="4" t="s">
        <v>263</v>
      </c>
      <c r="CX1613" s="4" t="s">
        <v>264</v>
      </c>
      <c r="DA1613" s="6">
        <f>1</f>
        <v>1</v>
      </c>
      <c r="DC1613" s="4" t="s">
        <v>277</v>
      </c>
      <c r="DD1613" s="4" t="s">
        <v>241</v>
      </c>
      <c r="DF1613" s="4" t="s">
        <v>277</v>
      </c>
      <c r="DG1613" s="6">
        <f>2141</f>
        <v>2141</v>
      </c>
      <c r="DI1613" s="4" t="s">
        <v>241</v>
      </c>
      <c r="DJ1613" s="4" t="s">
        <v>241</v>
      </c>
      <c r="DK1613" s="4" t="s">
        <v>241</v>
      </c>
      <c r="DL1613" s="4" t="s">
        <v>241</v>
      </c>
      <c r="DP1613" s="4" t="s">
        <v>241</v>
      </c>
      <c r="DQ1613" s="4" t="s">
        <v>241</v>
      </c>
      <c r="DR1613" s="4" t="s">
        <v>241</v>
      </c>
      <c r="DS1613" s="4" t="s">
        <v>241</v>
      </c>
      <c r="DV1613" s="4" t="s">
        <v>278</v>
      </c>
      <c r="DW1613" s="4" t="s">
        <v>2307</v>
      </c>
      <c r="HO1613" s="4" t="s">
        <v>267</v>
      </c>
    </row>
    <row r="1614" spans="1:223" ht="19.5" customHeight="1" x14ac:dyDescent="0.4">
      <c r="A1614" s="4">
        <v>1</v>
      </c>
      <c r="B1614" s="4" t="s">
        <v>239</v>
      </c>
      <c r="C1614" s="4">
        <v>3288</v>
      </c>
      <c r="D1614" s="4">
        <v>1</v>
      </c>
      <c r="E1614" s="4">
        <v>1</v>
      </c>
      <c r="F1614" s="4" t="s">
        <v>268</v>
      </c>
      <c r="G1614" s="4" t="s">
        <v>241</v>
      </c>
      <c r="H1614" s="4" t="s">
        <v>241</v>
      </c>
      <c r="I1614" s="4" t="s">
        <v>272</v>
      </c>
      <c r="J1614" s="4" t="s">
        <v>274</v>
      </c>
      <c r="K1614" s="4" t="s">
        <v>251</v>
      </c>
      <c r="L1614" s="4" t="s">
        <v>269</v>
      </c>
      <c r="M1614" s="5" t="s">
        <v>2305</v>
      </c>
      <c r="N1614" s="6">
        <f>172</f>
        <v>172</v>
      </c>
      <c r="O1614" s="4" t="s">
        <v>265</v>
      </c>
      <c r="P1614" s="6">
        <f>1</f>
        <v>1</v>
      </c>
      <c r="Q1614" s="6">
        <f>0</f>
        <v>0</v>
      </c>
      <c r="S1614" s="6">
        <f>0</f>
        <v>0</v>
      </c>
      <c r="T1614" s="6">
        <f>1</f>
        <v>1</v>
      </c>
      <c r="U1614" s="5" t="s">
        <v>245</v>
      </c>
      <c r="V1614" s="4" t="s">
        <v>270</v>
      </c>
      <c r="W1614" s="4" t="s">
        <v>271</v>
      </c>
      <c r="X1614" s="4" t="s">
        <v>273</v>
      </c>
      <c r="Y1614" s="4" t="s">
        <v>241</v>
      </c>
      <c r="AB1614" s="4" t="s">
        <v>241</v>
      </c>
      <c r="AD1614" s="5" t="s">
        <v>241</v>
      </c>
      <c r="AG1614" s="5" t="s">
        <v>246</v>
      </c>
      <c r="AH1614" s="4" t="s">
        <v>241</v>
      </c>
      <c r="AI1614" s="4" t="s">
        <v>247</v>
      </c>
      <c r="AJ1614" s="4" t="s">
        <v>248</v>
      </c>
      <c r="AZ1614" s="4" t="s">
        <v>249</v>
      </c>
      <c r="BA1614" s="4" t="s">
        <v>241</v>
      </c>
      <c r="BB1614" s="4" t="s">
        <v>250</v>
      </c>
      <c r="BC1614" s="4" t="s">
        <v>241</v>
      </c>
      <c r="BD1614" s="4" t="s">
        <v>252</v>
      </c>
      <c r="BE1614" s="4" t="s">
        <v>241</v>
      </c>
      <c r="BI1614" s="4" t="s">
        <v>253</v>
      </c>
      <c r="BJ1614" s="5" t="s">
        <v>246</v>
      </c>
      <c r="BK1614" s="4" t="s">
        <v>254</v>
      </c>
      <c r="BL1614" s="4" t="s">
        <v>255</v>
      </c>
      <c r="BM1614" s="4" t="s">
        <v>241</v>
      </c>
      <c r="BN1614" s="6">
        <f>0</f>
        <v>0</v>
      </c>
      <c r="BO1614" s="6">
        <f>0</f>
        <v>0</v>
      </c>
      <c r="BP1614" s="4" t="s">
        <v>256</v>
      </c>
      <c r="BQ1614" s="4" t="s">
        <v>257</v>
      </c>
      <c r="CE1614" s="4" t="s">
        <v>241</v>
      </c>
      <c r="CF1614" s="4" t="s">
        <v>241</v>
      </c>
      <c r="CJ1614" s="4" t="s">
        <v>276</v>
      </c>
      <c r="CK1614" s="4" t="s">
        <v>259</v>
      </c>
      <c r="CL1614" s="4" t="s">
        <v>241</v>
      </c>
      <c r="CO1614" s="5" t="s">
        <v>260</v>
      </c>
      <c r="CP1614" s="4" t="s">
        <v>241</v>
      </c>
      <c r="CQ1614" s="4" t="s">
        <v>261</v>
      </c>
      <c r="CR1614" s="4" t="s">
        <v>241</v>
      </c>
      <c r="CS1614" s="4" t="s">
        <v>241</v>
      </c>
      <c r="CT1614" s="4">
        <v>0</v>
      </c>
      <c r="CU1614" s="4" t="s">
        <v>262</v>
      </c>
      <c r="CV1614" s="4" t="s">
        <v>263</v>
      </c>
      <c r="CW1614" s="4" t="s">
        <v>263</v>
      </c>
      <c r="CX1614" s="4" t="s">
        <v>264</v>
      </c>
      <c r="DA1614" s="6">
        <f>1</f>
        <v>1</v>
      </c>
      <c r="DC1614" s="4" t="s">
        <v>277</v>
      </c>
      <c r="DD1614" s="4" t="s">
        <v>241</v>
      </c>
      <c r="DF1614" s="4" t="s">
        <v>277</v>
      </c>
      <c r="DG1614" s="6">
        <f>172</f>
        <v>172</v>
      </c>
      <c r="DI1614" s="4" t="s">
        <v>241</v>
      </c>
      <c r="DJ1614" s="4" t="s">
        <v>241</v>
      </c>
      <c r="DK1614" s="4" t="s">
        <v>241</v>
      </c>
      <c r="DL1614" s="4" t="s">
        <v>241</v>
      </c>
      <c r="DP1614" s="4" t="s">
        <v>241</v>
      </c>
      <c r="DQ1614" s="4" t="s">
        <v>241</v>
      </c>
      <c r="DR1614" s="4" t="s">
        <v>241</v>
      </c>
      <c r="DS1614" s="4" t="s">
        <v>241</v>
      </c>
      <c r="DV1614" s="4" t="s">
        <v>278</v>
      </c>
      <c r="DW1614" s="4" t="s">
        <v>656</v>
      </c>
      <c r="HO1614" s="4" t="s">
        <v>267</v>
      </c>
    </row>
    <row r="1615" spans="1:223" ht="19.5" customHeight="1" x14ac:dyDescent="0.4">
      <c r="A1615" s="4">
        <v>1</v>
      </c>
      <c r="B1615" s="4" t="s">
        <v>239</v>
      </c>
      <c r="C1615" s="4">
        <v>3289</v>
      </c>
      <c r="D1615" s="4">
        <v>1</v>
      </c>
      <c r="E1615" s="4">
        <v>1</v>
      </c>
      <c r="F1615" s="4" t="s">
        <v>268</v>
      </c>
      <c r="G1615" s="4" t="s">
        <v>241</v>
      </c>
      <c r="H1615" s="4" t="s">
        <v>241</v>
      </c>
      <c r="I1615" s="4" t="s">
        <v>272</v>
      </c>
      <c r="J1615" s="4" t="s">
        <v>274</v>
      </c>
      <c r="K1615" s="4" t="s">
        <v>251</v>
      </c>
      <c r="L1615" s="4" t="s">
        <v>269</v>
      </c>
      <c r="M1615" s="5" t="s">
        <v>2303</v>
      </c>
      <c r="N1615" s="6">
        <f>134</f>
        <v>134</v>
      </c>
      <c r="O1615" s="4" t="s">
        <v>265</v>
      </c>
      <c r="P1615" s="6">
        <f>1</f>
        <v>1</v>
      </c>
      <c r="Q1615" s="6">
        <f>0</f>
        <v>0</v>
      </c>
      <c r="S1615" s="6">
        <f>0</f>
        <v>0</v>
      </c>
      <c r="T1615" s="6">
        <f>1</f>
        <v>1</v>
      </c>
      <c r="U1615" s="5" t="s">
        <v>245</v>
      </c>
      <c r="V1615" s="4" t="s">
        <v>270</v>
      </c>
      <c r="W1615" s="4" t="s">
        <v>271</v>
      </c>
      <c r="X1615" s="4" t="s">
        <v>273</v>
      </c>
      <c r="Y1615" s="4" t="s">
        <v>241</v>
      </c>
      <c r="AB1615" s="4" t="s">
        <v>241</v>
      </c>
      <c r="AD1615" s="5" t="s">
        <v>241</v>
      </c>
      <c r="AG1615" s="5" t="s">
        <v>246</v>
      </c>
      <c r="AH1615" s="4" t="s">
        <v>241</v>
      </c>
      <c r="AI1615" s="4" t="s">
        <v>247</v>
      </c>
      <c r="AJ1615" s="4" t="s">
        <v>248</v>
      </c>
      <c r="AZ1615" s="4" t="s">
        <v>249</v>
      </c>
      <c r="BA1615" s="4" t="s">
        <v>241</v>
      </c>
      <c r="BB1615" s="4" t="s">
        <v>250</v>
      </c>
      <c r="BC1615" s="4" t="s">
        <v>241</v>
      </c>
      <c r="BD1615" s="4" t="s">
        <v>252</v>
      </c>
      <c r="BE1615" s="4" t="s">
        <v>241</v>
      </c>
      <c r="BI1615" s="4" t="s">
        <v>253</v>
      </c>
      <c r="BJ1615" s="5" t="s">
        <v>246</v>
      </c>
      <c r="BK1615" s="4" t="s">
        <v>254</v>
      </c>
      <c r="BL1615" s="4" t="s">
        <v>255</v>
      </c>
      <c r="BM1615" s="4" t="s">
        <v>241</v>
      </c>
      <c r="BN1615" s="6">
        <f>0</f>
        <v>0</v>
      </c>
      <c r="BO1615" s="6">
        <f>0</f>
        <v>0</v>
      </c>
      <c r="BP1615" s="4" t="s">
        <v>256</v>
      </c>
      <c r="BQ1615" s="4" t="s">
        <v>257</v>
      </c>
      <c r="CE1615" s="4" t="s">
        <v>241</v>
      </c>
      <c r="CF1615" s="4" t="s">
        <v>241</v>
      </c>
      <c r="CJ1615" s="4" t="s">
        <v>276</v>
      </c>
      <c r="CK1615" s="4" t="s">
        <v>259</v>
      </c>
      <c r="CL1615" s="4" t="s">
        <v>241</v>
      </c>
      <c r="CO1615" s="5" t="s">
        <v>260</v>
      </c>
      <c r="CP1615" s="4" t="s">
        <v>241</v>
      </c>
      <c r="CQ1615" s="4" t="s">
        <v>261</v>
      </c>
      <c r="CR1615" s="4" t="s">
        <v>241</v>
      </c>
      <c r="CS1615" s="4" t="s">
        <v>241</v>
      </c>
      <c r="CT1615" s="4">
        <v>0</v>
      </c>
      <c r="CU1615" s="4" t="s">
        <v>262</v>
      </c>
      <c r="CV1615" s="4" t="s">
        <v>263</v>
      </c>
      <c r="CW1615" s="4" t="s">
        <v>263</v>
      </c>
      <c r="CX1615" s="4" t="s">
        <v>264</v>
      </c>
      <c r="DA1615" s="6">
        <f>1</f>
        <v>1</v>
      </c>
      <c r="DC1615" s="4" t="s">
        <v>277</v>
      </c>
      <c r="DD1615" s="4" t="s">
        <v>241</v>
      </c>
      <c r="DF1615" s="4" t="s">
        <v>277</v>
      </c>
      <c r="DG1615" s="6">
        <f>134</f>
        <v>134</v>
      </c>
      <c r="DI1615" s="4" t="s">
        <v>241</v>
      </c>
      <c r="DJ1615" s="4" t="s">
        <v>241</v>
      </c>
      <c r="DK1615" s="4" t="s">
        <v>241</v>
      </c>
      <c r="DL1615" s="4" t="s">
        <v>241</v>
      </c>
      <c r="DP1615" s="4" t="s">
        <v>241</v>
      </c>
      <c r="DQ1615" s="4" t="s">
        <v>241</v>
      </c>
      <c r="DR1615" s="4" t="s">
        <v>241</v>
      </c>
      <c r="DS1615" s="4" t="s">
        <v>241</v>
      </c>
      <c r="DV1615" s="4" t="s">
        <v>278</v>
      </c>
      <c r="DW1615" s="4" t="s">
        <v>2304</v>
      </c>
      <c r="HO1615" s="4" t="s">
        <v>267</v>
      </c>
    </row>
    <row r="1616" spans="1:223" ht="19.5" customHeight="1" x14ac:dyDescent="0.4">
      <c r="A1616" s="4">
        <v>1</v>
      </c>
      <c r="B1616" s="4" t="s">
        <v>239</v>
      </c>
      <c r="C1616" s="4">
        <v>3290</v>
      </c>
      <c r="D1616" s="4">
        <v>1</v>
      </c>
      <c r="E1616" s="4">
        <v>1</v>
      </c>
      <c r="F1616" s="4" t="s">
        <v>268</v>
      </c>
      <c r="G1616" s="4" t="s">
        <v>241</v>
      </c>
      <c r="H1616" s="4" t="s">
        <v>241</v>
      </c>
      <c r="I1616" s="4" t="s">
        <v>272</v>
      </c>
      <c r="J1616" s="4" t="s">
        <v>274</v>
      </c>
      <c r="K1616" s="4" t="s">
        <v>251</v>
      </c>
      <c r="L1616" s="4" t="s">
        <v>269</v>
      </c>
      <c r="M1616" s="5" t="s">
        <v>2301</v>
      </c>
      <c r="N1616" s="6">
        <f>367</f>
        <v>367</v>
      </c>
      <c r="O1616" s="4" t="s">
        <v>265</v>
      </c>
      <c r="P1616" s="6">
        <f>1</f>
        <v>1</v>
      </c>
      <c r="Q1616" s="6">
        <f>0</f>
        <v>0</v>
      </c>
      <c r="S1616" s="6">
        <f>0</f>
        <v>0</v>
      </c>
      <c r="T1616" s="6">
        <f>1</f>
        <v>1</v>
      </c>
      <c r="U1616" s="5" t="s">
        <v>245</v>
      </c>
      <c r="V1616" s="4" t="s">
        <v>270</v>
      </c>
      <c r="W1616" s="4" t="s">
        <v>271</v>
      </c>
      <c r="X1616" s="4" t="s">
        <v>273</v>
      </c>
      <c r="Y1616" s="4" t="s">
        <v>241</v>
      </c>
      <c r="AB1616" s="4" t="s">
        <v>241</v>
      </c>
      <c r="AD1616" s="5" t="s">
        <v>241</v>
      </c>
      <c r="AG1616" s="5" t="s">
        <v>246</v>
      </c>
      <c r="AH1616" s="4" t="s">
        <v>241</v>
      </c>
      <c r="AI1616" s="4" t="s">
        <v>247</v>
      </c>
      <c r="AJ1616" s="4" t="s">
        <v>248</v>
      </c>
      <c r="AZ1616" s="4" t="s">
        <v>249</v>
      </c>
      <c r="BA1616" s="4" t="s">
        <v>241</v>
      </c>
      <c r="BB1616" s="4" t="s">
        <v>250</v>
      </c>
      <c r="BC1616" s="4" t="s">
        <v>241</v>
      </c>
      <c r="BD1616" s="4" t="s">
        <v>252</v>
      </c>
      <c r="BE1616" s="4" t="s">
        <v>241</v>
      </c>
      <c r="BI1616" s="4" t="s">
        <v>253</v>
      </c>
      <c r="BJ1616" s="5" t="s">
        <v>246</v>
      </c>
      <c r="BK1616" s="4" t="s">
        <v>254</v>
      </c>
      <c r="BL1616" s="4" t="s">
        <v>255</v>
      </c>
      <c r="BM1616" s="4" t="s">
        <v>241</v>
      </c>
      <c r="BN1616" s="6">
        <f>0</f>
        <v>0</v>
      </c>
      <c r="BO1616" s="6">
        <f>0</f>
        <v>0</v>
      </c>
      <c r="BP1616" s="4" t="s">
        <v>256</v>
      </c>
      <c r="BQ1616" s="4" t="s">
        <v>257</v>
      </c>
      <c r="CE1616" s="4" t="s">
        <v>241</v>
      </c>
      <c r="CF1616" s="4" t="s">
        <v>241</v>
      </c>
      <c r="CJ1616" s="4" t="s">
        <v>276</v>
      </c>
      <c r="CK1616" s="4" t="s">
        <v>259</v>
      </c>
      <c r="CL1616" s="4" t="s">
        <v>241</v>
      </c>
      <c r="CO1616" s="5" t="s">
        <v>260</v>
      </c>
      <c r="CP1616" s="4" t="s">
        <v>241</v>
      </c>
      <c r="CQ1616" s="4" t="s">
        <v>261</v>
      </c>
      <c r="CR1616" s="4" t="s">
        <v>241</v>
      </c>
      <c r="CS1616" s="4" t="s">
        <v>241</v>
      </c>
      <c r="CT1616" s="4">
        <v>0</v>
      </c>
      <c r="CU1616" s="4" t="s">
        <v>262</v>
      </c>
      <c r="CV1616" s="4" t="s">
        <v>263</v>
      </c>
      <c r="CW1616" s="4" t="s">
        <v>263</v>
      </c>
      <c r="CX1616" s="4" t="s">
        <v>264</v>
      </c>
      <c r="DA1616" s="6">
        <f>1</f>
        <v>1</v>
      </c>
      <c r="DC1616" s="4" t="s">
        <v>277</v>
      </c>
      <c r="DD1616" s="4" t="s">
        <v>241</v>
      </c>
      <c r="DF1616" s="4" t="s">
        <v>277</v>
      </c>
      <c r="DG1616" s="6">
        <f>367</f>
        <v>367</v>
      </c>
      <c r="DI1616" s="4" t="s">
        <v>241</v>
      </c>
      <c r="DJ1616" s="4" t="s">
        <v>241</v>
      </c>
      <c r="DK1616" s="4" t="s">
        <v>241</v>
      </c>
      <c r="DL1616" s="4" t="s">
        <v>241</v>
      </c>
      <c r="DP1616" s="4" t="s">
        <v>241</v>
      </c>
      <c r="DQ1616" s="4" t="s">
        <v>241</v>
      </c>
      <c r="DR1616" s="4" t="s">
        <v>241</v>
      </c>
      <c r="DS1616" s="4" t="s">
        <v>241</v>
      </c>
      <c r="DV1616" s="4" t="s">
        <v>278</v>
      </c>
      <c r="DW1616" s="4" t="s">
        <v>2302</v>
      </c>
      <c r="HO1616" s="4" t="s">
        <v>267</v>
      </c>
    </row>
    <row r="1617" spans="1:223" ht="19.5" customHeight="1" x14ac:dyDescent="0.4">
      <c r="A1617" s="4">
        <v>1</v>
      </c>
      <c r="B1617" s="4" t="s">
        <v>239</v>
      </c>
      <c r="C1617" s="4">
        <v>3291</v>
      </c>
      <c r="D1617" s="4">
        <v>1</v>
      </c>
      <c r="E1617" s="4">
        <v>1</v>
      </c>
      <c r="F1617" s="4" t="s">
        <v>268</v>
      </c>
      <c r="G1617" s="4" t="s">
        <v>241</v>
      </c>
      <c r="H1617" s="4" t="s">
        <v>241</v>
      </c>
      <c r="I1617" s="4" t="s">
        <v>272</v>
      </c>
      <c r="J1617" s="4" t="s">
        <v>274</v>
      </c>
      <c r="K1617" s="4" t="s">
        <v>251</v>
      </c>
      <c r="L1617" s="4" t="s">
        <v>269</v>
      </c>
      <c r="M1617" s="5" t="s">
        <v>2297</v>
      </c>
      <c r="N1617" s="6">
        <f>2369</f>
        <v>2369</v>
      </c>
      <c r="O1617" s="4" t="s">
        <v>265</v>
      </c>
      <c r="P1617" s="6">
        <f>1</f>
        <v>1</v>
      </c>
      <c r="Q1617" s="6">
        <f>0</f>
        <v>0</v>
      </c>
      <c r="S1617" s="6">
        <f>0</f>
        <v>0</v>
      </c>
      <c r="T1617" s="6">
        <f>1</f>
        <v>1</v>
      </c>
      <c r="U1617" s="5" t="s">
        <v>245</v>
      </c>
      <c r="V1617" s="4" t="s">
        <v>270</v>
      </c>
      <c r="W1617" s="4" t="s">
        <v>271</v>
      </c>
      <c r="X1617" s="4" t="s">
        <v>273</v>
      </c>
      <c r="Y1617" s="4" t="s">
        <v>241</v>
      </c>
      <c r="AB1617" s="4" t="s">
        <v>241</v>
      </c>
      <c r="AD1617" s="5" t="s">
        <v>241</v>
      </c>
      <c r="AG1617" s="5" t="s">
        <v>246</v>
      </c>
      <c r="AH1617" s="4" t="s">
        <v>241</v>
      </c>
      <c r="AI1617" s="4" t="s">
        <v>247</v>
      </c>
      <c r="AJ1617" s="4" t="s">
        <v>248</v>
      </c>
      <c r="AZ1617" s="4" t="s">
        <v>249</v>
      </c>
      <c r="BA1617" s="4" t="s">
        <v>241</v>
      </c>
      <c r="BB1617" s="4" t="s">
        <v>250</v>
      </c>
      <c r="BC1617" s="4" t="s">
        <v>241</v>
      </c>
      <c r="BD1617" s="4" t="s">
        <v>252</v>
      </c>
      <c r="BE1617" s="4" t="s">
        <v>241</v>
      </c>
      <c r="BI1617" s="4" t="s">
        <v>253</v>
      </c>
      <c r="BJ1617" s="5" t="s">
        <v>246</v>
      </c>
      <c r="BK1617" s="4" t="s">
        <v>254</v>
      </c>
      <c r="BL1617" s="4" t="s">
        <v>255</v>
      </c>
      <c r="BM1617" s="4" t="s">
        <v>241</v>
      </c>
      <c r="BN1617" s="6">
        <f>0</f>
        <v>0</v>
      </c>
      <c r="BO1617" s="6">
        <f>0</f>
        <v>0</v>
      </c>
      <c r="BP1617" s="4" t="s">
        <v>256</v>
      </c>
      <c r="BQ1617" s="4" t="s">
        <v>257</v>
      </c>
      <c r="CE1617" s="4" t="s">
        <v>241</v>
      </c>
      <c r="CF1617" s="4" t="s">
        <v>241</v>
      </c>
      <c r="CJ1617" s="4" t="s">
        <v>276</v>
      </c>
      <c r="CK1617" s="4" t="s">
        <v>259</v>
      </c>
      <c r="CL1617" s="4" t="s">
        <v>241</v>
      </c>
      <c r="CO1617" s="5" t="s">
        <v>260</v>
      </c>
      <c r="CP1617" s="4" t="s">
        <v>241</v>
      </c>
      <c r="CQ1617" s="4" t="s">
        <v>261</v>
      </c>
      <c r="CR1617" s="4" t="s">
        <v>241</v>
      </c>
      <c r="CS1617" s="4" t="s">
        <v>241</v>
      </c>
      <c r="CT1617" s="4">
        <v>0</v>
      </c>
      <c r="CU1617" s="4" t="s">
        <v>262</v>
      </c>
      <c r="CV1617" s="4" t="s">
        <v>263</v>
      </c>
      <c r="CW1617" s="4" t="s">
        <v>263</v>
      </c>
      <c r="CX1617" s="4" t="s">
        <v>264</v>
      </c>
      <c r="DA1617" s="6">
        <f>1</f>
        <v>1</v>
      </c>
      <c r="DC1617" s="4" t="s">
        <v>277</v>
      </c>
      <c r="DD1617" s="4" t="s">
        <v>241</v>
      </c>
      <c r="DF1617" s="4" t="s">
        <v>277</v>
      </c>
      <c r="DG1617" s="6">
        <f>2369</f>
        <v>2369</v>
      </c>
      <c r="DI1617" s="4" t="s">
        <v>241</v>
      </c>
      <c r="DJ1617" s="4" t="s">
        <v>241</v>
      </c>
      <c r="DK1617" s="4" t="s">
        <v>241</v>
      </c>
      <c r="DL1617" s="4" t="s">
        <v>241</v>
      </c>
      <c r="DP1617" s="4" t="s">
        <v>241</v>
      </c>
      <c r="DQ1617" s="4" t="s">
        <v>241</v>
      </c>
      <c r="DR1617" s="4" t="s">
        <v>241</v>
      </c>
      <c r="DS1617" s="4" t="s">
        <v>241</v>
      </c>
      <c r="DV1617" s="4" t="s">
        <v>278</v>
      </c>
      <c r="DW1617" s="4" t="s">
        <v>2298</v>
      </c>
      <c r="HO1617" s="4" t="s">
        <v>267</v>
      </c>
    </row>
    <row r="1618" spans="1:223" ht="19.5" customHeight="1" x14ac:dyDescent="0.4">
      <c r="A1618" s="4">
        <v>1</v>
      </c>
      <c r="B1618" s="4" t="s">
        <v>239</v>
      </c>
      <c r="C1618" s="4">
        <v>3292</v>
      </c>
      <c r="D1618" s="4">
        <v>1</v>
      </c>
      <c r="E1618" s="4">
        <v>1</v>
      </c>
      <c r="F1618" s="4" t="s">
        <v>268</v>
      </c>
      <c r="G1618" s="4" t="s">
        <v>241</v>
      </c>
      <c r="H1618" s="4" t="s">
        <v>241</v>
      </c>
      <c r="I1618" s="4" t="s">
        <v>272</v>
      </c>
      <c r="J1618" s="4" t="s">
        <v>274</v>
      </c>
      <c r="K1618" s="4" t="s">
        <v>251</v>
      </c>
      <c r="L1618" s="4" t="s">
        <v>269</v>
      </c>
      <c r="M1618" s="5" t="s">
        <v>2296</v>
      </c>
      <c r="N1618" s="6">
        <f>1730</f>
        <v>1730</v>
      </c>
      <c r="O1618" s="4" t="s">
        <v>265</v>
      </c>
      <c r="P1618" s="6">
        <f>1</f>
        <v>1</v>
      </c>
      <c r="Q1618" s="6">
        <f>0</f>
        <v>0</v>
      </c>
      <c r="S1618" s="6">
        <f>0</f>
        <v>0</v>
      </c>
      <c r="T1618" s="6">
        <f>1</f>
        <v>1</v>
      </c>
      <c r="U1618" s="5" t="s">
        <v>245</v>
      </c>
      <c r="V1618" s="4" t="s">
        <v>270</v>
      </c>
      <c r="W1618" s="4" t="s">
        <v>271</v>
      </c>
      <c r="X1618" s="4" t="s">
        <v>273</v>
      </c>
      <c r="Y1618" s="4" t="s">
        <v>241</v>
      </c>
      <c r="AB1618" s="4" t="s">
        <v>241</v>
      </c>
      <c r="AD1618" s="5" t="s">
        <v>241</v>
      </c>
      <c r="AG1618" s="5" t="s">
        <v>246</v>
      </c>
      <c r="AH1618" s="4" t="s">
        <v>241</v>
      </c>
      <c r="AI1618" s="4" t="s">
        <v>247</v>
      </c>
      <c r="AJ1618" s="4" t="s">
        <v>248</v>
      </c>
      <c r="AZ1618" s="4" t="s">
        <v>249</v>
      </c>
      <c r="BA1618" s="4" t="s">
        <v>241</v>
      </c>
      <c r="BB1618" s="4" t="s">
        <v>250</v>
      </c>
      <c r="BC1618" s="4" t="s">
        <v>241</v>
      </c>
      <c r="BD1618" s="4" t="s">
        <v>252</v>
      </c>
      <c r="BE1618" s="4" t="s">
        <v>241</v>
      </c>
      <c r="BI1618" s="4" t="s">
        <v>253</v>
      </c>
      <c r="BJ1618" s="5" t="s">
        <v>246</v>
      </c>
      <c r="BK1618" s="4" t="s">
        <v>254</v>
      </c>
      <c r="BL1618" s="4" t="s">
        <v>255</v>
      </c>
      <c r="BM1618" s="4" t="s">
        <v>241</v>
      </c>
      <c r="BN1618" s="6">
        <f>0</f>
        <v>0</v>
      </c>
      <c r="BO1618" s="6">
        <f>0</f>
        <v>0</v>
      </c>
      <c r="BP1618" s="4" t="s">
        <v>256</v>
      </c>
      <c r="BQ1618" s="4" t="s">
        <v>257</v>
      </c>
      <c r="CE1618" s="4" t="s">
        <v>241</v>
      </c>
      <c r="CF1618" s="4" t="s">
        <v>241</v>
      </c>
      <c r="CJ1618" s="4" t="s">
        <v>276</v>
      </c>
      <c r="CK1618" s="4" t="s">
        <v>259</v>
      </c>
      <c r="CL1618" s="4" t="s">
        <v>241</v>
      </c>
      <c r="CO1618" s="5" t="s">
        <v>260</v>
      </c>
      <c r="CP1618" s="4" t="s">
        <v>241</v>
      </c>
      <c r="CQ1618" s="4" t="s">
        <v>261</v>
      </c>
      <c r="CR1618" s="4" t="s">
        <v>241</v>
      </c>
      <c r="CS1618" s="4" t="s">
        <v>241</v>
      </c>
      <c r="CT1618" s="4">
        <v>0</v>
      </c>
      <c r="CU1618" s="4" t="s">
        <v>262</v>
      </c>
      <c r="CV1618" s="4" t="s">
        <v>263</v>
      </c>
      <c r="CW1618" s="4" t="s">
        <v>263</v>
      </c>
      <c r="CX1618" s="4" t="s">
        <v>264</v>
      </c>
      <c r="DA1618" s="6">
        <f>1</f>
        <v>1</v>
      </c>
      <c r="DC1618" s="4" t="s">
        <v>277</v>
      </c>
      <c r="DD1618" s="4" t="s">
        <v>241</v>
      </c>
      <c r="DF1618" s="4" t="s">
        <v>277</v>
      </c>
      <c r="DG1618" s="6">
        <f>1730</f>
        <v>1730</v>
      </c>
      <c r="DI1618" s="4" t="s">
        <v>241</v>
      </c>
      <c r="DJ1618" s="4" t="s">
        <v>241</v>
      </c>
      <c r="DK1618" s="4" t="s">
        <v>241</v>
      </c>
      <c r="DL1618" s="4" t="s">
        <v>241</v>
      </c>
      <c r="DP1618" s="4" t="s">
        <v>241</v>
      </c>
      <c r="DQ1618" s="4" t="s">
        <v>241</v>
      </c>
      <c r="DR1618" s="4" t="s">
        <v>241</v>
      </c>
      <c r="DS1618" s="4" t="s">
        <v>241</v>
      </c>
      <c r="DV1618" s="4" t="s">
        <v>278</v>
      </c>
      <c r="DW1618" s="4" t="s">
        <v>547</v>
      </c>
      <c r="HO1618" s="4" t="s">
        <v>267</v>
      </c>
    </row>
    <row r="1619" spans="1:223" ht="19.5" customHeight="1" x14ac:dyDescent="0.4">
      <c r="A1619" s="4">
        <v>1</v>
      </c>
      <c r="B1619" s="4" t="s">
        <v>239</v>
      </c>
      <c r="C1619" s="4">
        <v>3293</v>
      </c>
      <c r="D1619" s="4">
        <v>1</v>
      </c>
      <c r="E1619" s="4">
        <v>1</v>
      </c>
      <c r="F1619" s="4" t="s">
        <v>268</v>
      </c>
      <c r="G1619" s="4" t="s">
        <v>241</v>
      </c>
      <c r="H1619" s="4" t="s">
        <v>241</v>
      </c>
      <c r="I1619" s="4" t="s">
        <v>272</v>
      </c>
      <c r="J1619" s="4" t="s">
        <v>274</v>
      </c>
      <c r="K1619" s="4" t="s">
        <v>251</v>
      </c>
      <c r="L1619" s="4" t="s">
        <v>269</v>
      </c>
      <c r="M1619" s="5" t="s">
        <v>2294</v>
      </c>
      <c r="N1619" s="6">
        <f>747</f>
        <v>747</v>
      </c>
      <c r="O1619" s="4" t="s">
        <v>265</v>
      </c>
      <c r="P1619" s="6">
        <f>1</f>
        <v>1</v>
      </c>
      <c r="Q1619" s="6">
        <f>0</f>
        <v>0</v>
      </c>
      <c r="S1619" s="6">
        <f>0</f>
        <v>0</v>
      </c>
      <c r="T1619" s="6">
        <f>1</f>
        <v>1</v>
      </c>
      <c r="U1619" s="5" t="s">
        <v>245</v>
      </c>
      <c r="V1619" s="4" t="s">
        <v>270</v>
      </c>
      <c r="W1619" s="4" t="s">
        <v>271</v>
      </c>
      <c r="X1619" s="4" t="s">
        <v>273</v>
      </c>
      <c r="Y1619" s="4" t="s">
        <v>241</v>
      </c>
      <c r="AB1619" s="4" t="s">
        <v>241</v>
      </c>
      <c r="AD1619" s="5" t="s">
        <v>241</v>
      </c>
      <c r="AG1619" s="5" t="s">
        <v>246</v>
      </c>
      <c r="AH1619" s="4" t="s">
        <v>241</v>
      </c>
      <c r="AI1619" s="4" t="s">
        <v>247</v>
      </c>
      <c r="AJ1619" s="4" t="s">
        <v>248</v>
      </c>
      <c r="AZ1619" s="4" t="s">
        <v>249</v>
      </c>
      <c r="BA1619" s="4" t="s">
        <v>241</v>
      </c>
      <c r="BB1619" s="4" t="s">
        <v>250</v>
      </c>
      <c r="BC1619" s="4" t="s">
        <v>241</v>
      </c>
      <c r="BD1619" s="4" t="s">
        <v>252</v>
      </c>
      <c r="BE1619" s="4" t="s">
        <v>241</v>
      </c>
      <c r="BI1619" s="4" t="s">
        <v>253</v>
      </c>
      <c r="BJ1619" s="5" t="s">
        <v>246</v>
      </c>
      <c r="BK1619" s="4" t="s">
        <v>254</v>
      </c>
      <c r="BL1619" s="4" t="s">
        <v>255</v>
      </c>
      <c r="BM1619" s="4" t="s">
        <v>241</v>
      </c>
      <c r="BN1619" s="6">
        <f>0</f>
        <v>0</v>
      </c>
      <c r="BO1619" s="6">
        <f>0</f>
        <v>0</v>
      </c>
      <c r="BP1619" s="4" t="s">
        <v>256</v>
      </c>
      <c r="BQ1619" s="4" t="s">
        <v>257</v>
      </c>
      <c r="CE1619" s="4" t="s">
        <v>241</v>
      </c>
      <c r="CF1619" s="4" t="s">
        <v>241</v>
      </c>
      <c r="CJ1619" s="4" t="s">
        <v>276</v>
      </c>
      <c r="CK1619" s="4" t="s">
        <v>259</v>
      </c>
      <c r="CL1619" s="4" t="s">
        <v>241</v>
      </c>
      <c r="CO1619" s="5" t="s">
        <v>260</v>
      </c>
      <c r="CP1619" s="4" t="s">
        <v>241</v>
      </c>
      <c r="CQ1619" s="4" t="s">
        <v>261</v>
      </c>
      <c r="CR1619" s="4" t="s">
        <v>241</v>
      </c>
      <c r="CS1619" s="4" t="s">
        <v>241</v>
      </c>
      <c r="CT1619" s="4">
        <v>0</v>
      </c>
      <c r="CU1619" s="4" t="s">
        <v>262</v>
      </c>
      <c r="CV1619" s="4" t="s">
        <v>263</v>
      </c>
      <c r="CW1619" s="4" t="s">
        <v>263</v>
      </c>
      <c r="CX1619" s="4" t="s">
        <v>264</v>
      </c>
      <c r="DA1619" s="6">
        <f>1</f>
        <v>1</v>
      </c>
      <c r="DC1619" s="4" t="s">
        <v>277</v>
      </c>
      <c r="DD1619" s="4" t="s">
        <v>241</v>
      </c>
      <c r="DF1619" s="4" t="s">
        <v>277</v>
      </c>
      <c r="DG1619" s="6">
        <f>747</f>
        <v>747</v>
      </c>
      <c r="DI1619" s="4" t="s">
        <v>241</v>
      </c>
      <c r="DJ1619" s="4" t="s">
        <v>241</v>
      </c>
      <c r="DK1619" s="4" t="s">
        <v>241</v>
      </c>
      <c r="DL1619" s="4" t="s">
        <v>241</v>
      </c>
      <c r="DP1619" s="4" t="s">
        <v>241</v>
      </c>
      <c r="DQ1619" s="4" t="s">
        <v>241</v>
      </c>
      <c r="DR1619" s="4" t="s">
        <v>241</v>
      </c>
      <c r="DS1619" s="4" t="s">
        <v>241</v>
      </c>
      <c r="DV1619" s="4" t="s">
        <v>278</v>
      </c>
      <c r="DW1619" s="4" t="s">
        <v>2295</v>
      </c>
      <c r="HO1619" s="4" t="s">
        <v>267</v>
      </c>
    </row>
    <row r="1620" spans="1:223" ht="19.5" customHeight="1" x14ac:dyDescent="0.4">
      <c r="A1620" s="4">
        <v>1</v>
      </c>
      <c r="B1620" s="4" t="s">
        <v>239</v>
      </c>
      <c r="C1620" s="4">
        <v>3294</v>
      </c>
      <c r="D1620" s="4">
        <v>1</v>
      </c>
      <c r="E1620" s="4">
        <v>1</v>
      </c>
      <c r="F1620" s="4" t="s">
        <v>268</v>
      </c>
      <c r="G1620" s="4" t="s">
        <v>241</v>
      </c>
      <c r="H1620" s="4" t="s">
        <v>241</v>
      </c>
      <c r="I1620" s="4" t="s">
        <v>272</v>
      </c>
      <c r="J1620" s="4" t="s">
        <v>274</v>
      </c>
      <c r="K1620" s="4" t="s">
        <v>251</v>
      </c>
      <c r="L1620" s="4" t="s">
        <v>269</v>
      </c>
      <c r="M1620" s="5" t="s">
        <v>2292</v>
      </c>
      <c r="N1620" s="6">
        <f>2983</f>
        <v>2983</v>
      </c>
      <c r="O1620" s="4" t="s">
        <v>265</v>
      </c>
      <c r="P1620" s="6">
        <f>1</f>
        <v>1</v>
      </c>
      <c r="Q1620" s="6">
        <f>0</f>
        <v>0</v>
      </c>
      <c r="S1620" s="6">
        <f>0</f>
        <v>0</v>
      </c>
      <c r="T1620" s="6">
        <f>1</f>
        <v>1</v>
      </c>
      <c r="U1620" s="5" t="s">
        <v>245</v>
      </c>
      <c r="V1620" s="4" t="s">
        <v>270</v>
      </c>
      <c r="W1620" s="4" t="s">
        <v>271</v>
      </c>
      <c r="X1620" s="4" t="s">
        <v>273</v>
      </c>
      <c r="Y1620" s="4" t="s">
        <v>241</v>
      </c>
      <c r="AB1620" s="4" t="s">
        <v>241</v>
      </c>
      <c r="AD1620" s="5" t="s">
        <v>241</v>
      </c>
      <c r="AG1620" s="5" t="s">
        <v>246</v>
      </c>
      <c r="AH1620" s="4" t="s">
        <v>241</v>
      </c>
      <c r="AI1620" s="4" t="s">
        <v>247</v>
      </c>
      <c r="AJ1620" s="4" t="s">
        <v>248</v>
      </c>
      <c r="AZ1620" s="4" t="s">
        <v>249</v>
      </c>
      <c r="BA1620" s="4" t="s">
        <v>241</v>
      </c>
      <c r="BB1620" s="4" t="s">
        <v>250</v>
      </c>
      <c r="BC1620" s="4" t="s">
        <v>241</v>
      </c>
      <c r="BD1620" s="4" t="s">
        <v>252</v>
      </c>
      <c r="BE1620" s="4" t="s">
        <v>241</v>
      </c>
      <c r="BI1620" s="4" t="s">
        <v>253</v>
      </c>
      <c r="BJ1620" s="5" t="s">
        <v>246</v>
      </c>
      <c r="BK1620" s="4" t="s">
        <v>254</v>
      </c>
      <c r="BL1620" s="4" t="s">
        <v>255</v>
      </c>
      <c r="BM1620" s="4" t="s">
        <v>241</v>
      </c>
      <c r="BN1620" s="6">
        <f>0</f>
        <v>0</v>
      </c>
      <c r="BO1620" s="6">
        <f>0</f>
        <v>0</v>
      </c>
      <c r="BP1620" s="4" t="s">
        <v>256</v>
      </c>
      <c r="BQ1620" s="4" t="s">
        <v>257</v>
      </c>
      <c r="CE1620" s="4" t="s">
        <v>241</v>
      </c>
      <c r="CF1620" s="4" t="s">
        <v>241</v>
      </c>
      <c r="CJ1620" s="4" t="s">
        <v>276</v>
      </c>
      <c r="CK1620" s="4" t="s">
        <v>259</v>
      </c>
      <c r="CL1620" s="4" t="s">
        <v>241</v>
      </c>
      <c r="CO1620" s="5" t="s">
        <v>260</v>
      </c>
      <c r="CP1620" s="4" t="s">
        <v>241</v>
      </c>
      <c r="CQ1620" s="4" t="s">
        <v>261</v>
      </c>
      <c r="CR1620" s="4" t="s">
        <v>241</v>
      </c>
      <c r="CS1620" s="4" t="s">
        <v>241</v>
      </c>
      <c r="CT1620" s="4">
        <v>0</v>
      </c>
      <c r="CU1620" s="4" t="s">
        <v>262</v>
      </c>
      <c r="CV1620" s="4" t="s">
        <v>263</v>
      </c>
      <c r="CW1620" s="4" t="s">
        <v>263</v>
      </c>
      <c r="CX1620" s="4" t="s">
        <v>264</v>
      </c>
      <c r="DA1620" s="6">
        <f>1</f>
        <v>1</v>
      </c>
      <c r="DC1620" s="4" t="s">
        <v>277</v>
      </c>
      <c r="DD1620" s="4" t="s">
        <v>241</v>
      </c>
      <c r="DF1620" s="4" t="s">
        <v>277</v>
      </c>
      <c r="DG1620" s="6">
        <f>2983</f>
        <v>2983</v>
      </c>
      <c r="DI1620" s="4" t="s">
        <v>241</v>
      </c>
      <c r="DJ1620" s="4" t="s">
        <v>241</v>
      </c>
      <c r="DK1620" s="4" t="s">
        <v>241</v>
      </c>
      <c r="DL1620" s="4" t="s">
        <v>241</v>
      </c>
      <c r="DP1620" s="4" t="s">
        <v>241</v>
      </c>
      <c r="DQ1620" s="4" t="s">
        <v>241</v>
      </c>
      <c r="DR1620" s="4" t="s">
        <v>241</v>
      </c>
      <c r="DS1620" s="4" t="s">
        <v>241</v>
      </c>
      <c r="DV1620" s="4" t="s">
        <v>278</v>
      </c>
      <c r="DW1620" s="4" t="s">
        <v>2293</v>
      </c>
      <c r="HO1620" s="4" t="s">
        <v>267</v>
      </c>
    </row>
    <row r="1621" spans="1:223" ht="19.5" customHeight="1" x14ac:dyDescent="0.4">
      <c r="A1621" s="4">
        <v>1</v>
      </c>
      <c r="B1621" s="4" t="s">
        <v>239</v>
      </c>
      <c r="C1621" s="4">
        <v>3295</v>
      </c>
      <c r="D1621" s="4">
        <v>1</v>
      </c>
      <c r="E1621" s="4">
        <v>1</v>
      </c>
      <c r="F1621" s="4" t="s">
        <v>268</v>
      </c>
      <c r="G1621" s="4" t="s">
        <v>241</v>
      </c>
      <c r="H1621" s="4" t="s">
        <v>241</v>
      </c>
      <c r="I1621" s="4" t="s">
        <v>272</v>
      </c>
      <c r="J1621" s="4" t="s">
        <v>274</v>
      </c>
      <c r="K1621" s="4" t="s">
        <v>251</v>
      </c>
      <c r="L1621" s="4" t="s">
        <v>269</v>
      </c>
      <c r="M1621" s="5" t="s">
        <v>2290</v>
      </c>
      <c r="N1621" s="6">
        <f>1661</f>
        <v>1661</v>
      </c>
      <c r="O1621" s="4" t="s">
        <v>265</v>
      </c>
      <c r="P1621" s="6">
        <f>1</f>
        <v>1</v>
      </c>
      <c r="Q1621" s="6">
        <f>0</f>
        <v>0</v>
      </c>
      <c r="S1621" s="6">
        <f>0</f>
        <v>0</v>
      </c>
      <c r="T1621" s="6">
        <f>1</f>
        <v>1</v>
      </c>
      <c r="U1621" s="5" t="s">
        <v>245</v>
      </c>
      <c r="V1621" s="4" t="s">
        <v>270</v>
      </c>
      <c r="W1621" s="4" t="s">
        <v>271</v>
      </c>
      <c r="X1621" s="4" t="s">
        <v>273</v>
      </c>
      <c r="Y1621" s="4" t="s">
        <v>241</v>
      </c>
      <c r="AB1621" s="4" t="s">
        <v>241</v>
      </c>
      <c r="AD1621" s="5" t="s">
        <v>241</v>
      </c>
      <c r="AG1621" s="5" t="s">
        <v>246</v>
      </c>
      <c r="AH1621" s="4" t="s">
        <v>241</v>
      </c>
      <c r="AI1621" s="4" t="s">
        <v>247</v>
      </c>
      <c r="AJ1621" s="4" t="s">
        <v>248</v>
      </c>
      <c r="AZ1621" s="4" t="s">
        <v>249</v>
      </c>
      <c r="BA1621" s="4" t="s">
        <v>241</v>
      </c>
      <c r="BB1621" s="4" t="s">
        <v>250</v>
      </c>
      <c r="BC1621" s="4" t="s">
        <v>241</v>
      </c>
      <c r="BD1621" s="4" t="s">
        <v>252</v>
      </c>
      <c r="BE1621" s="4" t="s">
        <v>241</v>
      </c>
      <c r="BI1621" s="4" t="s">
        <v>253</v>
      </c>
      <c r="BJ1621" s="5" t="s">
        <v>246</v>
      </c>
      <c r="BK1621" s="4" t="s">
        <v>254</v>
      </c>
      <c r="BL1621" s="4" t="s">
        <v>255</v>
      </c>
      <c r="BM1621" s="4" t="s">
        <v>241</v>
      </c>
      <c r="BN1621" s="6">
        <f>0</f>
        <v>0</v>
      </c>
      <c r="BO1621" s="6">
        <f>0</f>
        <v>0</v>
      </c>
      <c r="BP1621" s="4" t="s">
        <v>256</v>
      </c>
      <c r="BQ1621" s="4" t="s">
        <v>257</v>
      </c>
      <c r="CE1621" s="4" t="s">
        <v>241</v>
      </c>
      <c r="CF1621" s="4" t="s">
        <v>241</v>
      </c>
      <c r="CJ1621" s="4" t="s">
        <v>276</v>
      </c>
      <c r="CK1621" s="4" t="s">
        <v>259</v>
      </c>
      <c r="CL1621" s="4" t="s">
        <v>241</v>
      </c>
      <c r="CO1621" s="5" t="s">
        <v>260</v>
      </c>
      <c r="CP1621" s="4" t="s">
        <v>241</v>
      </c>
      <c r="CQ1621" s="4" t="s">
        <v>261</v>
      </c>
      <c r="CR1621" s="4" t="s">
        <v>241</v>
      </c>
      <c r="CS1621" s="4" t="s">
        <v>241</v>
      </c>
      <c r="CT1621" s="4">
        <v>0</v>
      </c>
      <c r="CU1621" s="4" t="s">
        <v>262</v>
      </c>
      <c r="CV1621" s="4" t="s">
        <v>263</v>
      </c>
      <c r="CW1621" s="4" t="s">
        <v>263</v>
      </c>
      <c r="CX1621" s="4" t="s">
        <v>264</v>
      </c>
      <c r="DA1621" s="6">
        <f>1</f>
        <v>1</v>
      </c>
      <c r="DC1621" s="4" t="s">
        <v>277</v>
      </c>
      <c r="DD1621" s="4" t="s">
        <v>241</v>
      </c>
      <c r="DF1621" s="4" t="s">
        <v>277</v>
      </c>
      <c r="DG1621" s="6">
        <f>1661</f>
        <v>1661</v>
      </c>
      <c r="DI1621" s="4" t="s">
        <v>241</v>
      </c>
      <c r="DJ1621" s="4" t="s">
        <v>241</v>
      </c>
      <c r="DK1621" s="4" t="s">
        <v>241</v>
      </c>
      <c r="DL1621" s="4" t="s">
        <v>241</v>
      </c>
      <c r="DP1621" s="4" t="s">
        <v>241</v>
      </c>
      <c r="DQ1621" s="4" t="s">
        <v>241</v>
      </c>
      <c r="DR1621" s="4" t="s">
        <v>241</v>
      </c>
      <c r="DS1621" s="4" t="s">
        <v>241</v>
      </c>
      <c r="DV1621" s="4" t="s">
        <v>278</v>
      </c>
      <c r="DW1621" s="4" t="s">
        <v>2291</v>
      </c>
      <c r="HO1621" s="4" t="s">
        <v>267</v>
      </c>
    </row>
    <row r="1622" spans="1:223" ht="19.5" customHeight="1" x14ac:dyDescent="0.4">
      <c r="A1622" s="4">
        <v>1</v>
      </c>
      <c r="B1622" s="4" t="s">
        <v>239</v>
      </c>
      <c r="C1622" s="4">
        <v>3296</v>
      </c>
      <c r="D1622" s="4">
        <v>1</v>
      </c>
      <c r="E1622" s="4">
        <v>1</v>
      </c>
      <c r="F1622" s="4" t="s">
        <v>268</v>
      </c>
      <c r="G1622" s="4" t="s">
        <v>241</v>
      </c>
      <c r="H1622" s="4" t="s">
        <v>241</v>
      </c>
      <c r="I1622" s="4" t="s">
        <v>272</v>
      </c>
      <c r="J1622" s="4" t="s">
        <v>274</v>
      </c>
      <c r="K1622" s="4" t="s">
        <v>251</v>
      </c>
      <c r="L1622" s="4" t="s">
        <v>269</v>
      </c>
      <c r="M1622" s="5" t="s">
        <v>2288</v>
      </c>
      <c r="N1622" s="6">
        <f>1109</f>
        <v>1109</v>
      </c>
      <c r="O1622" s="4" t="s">
        <v>265</v>
      </c>
      <c r="P1622" s="6">
        <f>1</f>
        <v>1</v>
      </c>
      <c r="Q1622" s="6">
        <f>0</f>
        <v>0</v>
      </c>
      <c r="S1622" s="6">
        <f>0</f>
        <v>0</v>
      </c>
      <c r="T1622" s="6">
        <f>1</f>
        <v>1</v>
      </c>
      <c r="U1622" s="5" t="s">
        <v>245</v>
      </c>
      <c r="V1622" s="4" t="s">
        <v>270</v>
      </c>
      <c r="W1622" s="4" t="s">
        <v>271</v>
      </c>
      <c r="X1622" s="4" t="s">
        <v>273</v>
      </c>
      <c r="Y1622" s="4" t="s">
        <v>241</v>
      </c>
      <c r="AB1622" s="4" t="s">
        <v>241</v>
      </c>
      <c r="AD1622" s="5" t="s">
        <v>241</v>
      </c>
      <c r="AG1622" s="5" t="s">
        <v>246</v>
      </c>
      <c r="AH1622" s="4" t="s">
        <v>241</v>
      </c>
      <c r="AI1622" s="4" t="s">
        <v>247</v>
      </c>
      <c r="AJ1622" s="4" t="s">
        <v>248</v>
      </c>
      <c r="AZ1622" s="4" t="s">
        <v>249</v>
      </c>
      <c r="BA1622" s="4" t="s">
        <v>241</v>
      </c>
      <c r="BB1622" s="4" t="s">
        <v>250</v>
      </c>
      <c r="BC1622" s="4" t="s">
        <v>241</v>
      </c>
      <c r="BD1622" s="4" t="s">
        <v>252</v>
      </c>
      <c r="BE1622" s="4" t="s">
        <v>241</v>
      </c>
      <c r="BI1622" s="4" t="s">
        <v>253</v>
      </c>
      <c r="BJ1622" s="5" t="s">
        <v>246</v>
      </c>
      <c r="BK1622" s="4" t="s">
        <v>254</v>
      </c>
      <c r="BL1622" s="4" t="s">
        <v>255</v>
      </c>
      <c r="BM1622" s="4" t="s">
        <v>241</v>
      </c>
      <c r="BN1622" s="6">
        <f>0</f>
        <v>0</v>
      </c>
      <c r="BO1622" s="6">
        <f>0</f>
        <v>0</v>
      </c>
      <c r="BP1622" s="4" t="s">
        <v>256</v>
      </c>
      <c r="BQ1622" s="4" t="s">
        <v>257</v>
      </c>
      <c r="CE1622" s="4" t="s">
        <v>241</v>
      </c>
      <c r="CF1622" s="4" t="s">
        <v>241</v>
      </c>
      <c r="CJ1622" s="4" t="s">
        <v>276</v>
      </c>
      <c r="CK1622" s="4" t="s">
        <v>259</v>
      </c>
      <c r="CL1622" s="4" t="s">
        <v>241</v>
      </c>
      <c r="CO1622" s="5" t="s">
        <v>260</v>
      </c>
      <c r="CP1622" s="4" t="s">
        <v>241</v>
      </c>
      <c r="CQ1622" s="4" t="s">
        <v>261</v>
      </c>
      <c r="CR1622" s="4" t="s">
        <v>241</v>
      </c>
      <c r="CS1622" s="4" t="s">
        <v>241</v>
      </c>
      <c r="CT1622" s="4">
        <v>0</v>
      </c>
      <c r="CU1622" s="4" t="s">
        <v>262</v>
      </c>
      <c r="CV1622" s="4" t="s">
        <v>263</v>
      </c>
      <c r="CW1622" s="4" t="s">
        <v>263</v>
      </c>
      <c r="CX1622" s="4" t="s">
        <v>264</v>
      </c>
      <c r="DA1622" s="6">
        <f>1</f>
        <v>1</v>
      </c>
      <c r="DC1622" s="4" t="s">
        <v>277</v>
      </c>
      <c r="DD1622" s="4" t="s">
        <v>241</v>
      </c>
      <c r="DF1622" s="4" t="s">
        <v>277</v>
      </c>
      <c r="DG1622" s="6">
        <f>1109</f>
        <v>1109</v>
      </c>
      <c r="DI1622" s="4" t="s">
        <v>241</v>
      </c>
      <c r="DJ1622" s="4" t="s">
        <v>241</v>
      </c>
      <c r="DK1622" s="4" t="s">
        <v>241</v>
      </c>
      <c r="DL1622" s="4" t="s">
        <v>241</v>
      </c>
      <c r="DP1622" s="4" t="s">
        <v>241</v>
      </c>
      <c r="DQ1622" s="4" t="s">
        <v>241</v>
      </c>
      <c r="DR1622" s="4" t="s">
        <v>241</v>
      </c>
      <c r="DS1622" s="4" t="s">
        <v>241</v>
      </c>
      <c r="DV1622" s="4" t="s">
        <v>278</v>
      </c>
      <c r="DW1622" s="4" t="s">
        <v>2289</v>
      </c>
      <c r="HO1622" s="4" t="s">
        <v>267</v>
      </c>
    </row>
    <row r="1623" spans="1:223" ht="19.5" customHeight="1" x14ac:dyDescent="0.4">
      <c r="A1623" s="4">
        <v>1</v>
      </c>
      <c r="B1623" s="4" t="s">
        <v>239</v>
      </c>
      <c r="C1623" s="4">
        <v>3297</v>
      </c>
      <c r="D1623" s="4">
        <v>1</v>
      </c>
      <c r="E1623" s="4">
        <v>1</v>
      </c>
      <c r="F1623" s="4" t="s">
        <v>268</v>
      </c>
      <c r="G1623" s="4" t="s">
        <v>241</v>
      </c>
      <c r="H1623" s="4" t="s">
        <v>241</v>
      </c>
      <c r="I1623" s="4" t="s">
        <v>272</v>
      </c>
      <c r="J1623" s="4" t="s">
        <v>274</v>
      </c>
      <c r="K1623" s="4" t="s">
        <v>251</v>
      </c>
      <c r="L1623" s="4" t="s">
        <v>269</v>
      </c>
      <c r="M1623" s="5" t="s">
        <v>2286</v>
      </c>
      <c r="N1623" s="6">
        <f>416</f>
        <v>416</v>
      </c>
      <c r="O1623" s="4" t="s">
        <v>265</v>
      </c>
      <c r="P1623" s="6">
        <f>1</f>
        <v>1</v>
      </c>
      <c r="Q1623" s="6">
        <f>0</f>
        <v>0</v>
      </c>
      <c r="S1623" s="6">
        <f>0</f>
        <v>0</v>
      </c>
      <c r="T1623" s="6">
        <f>1</f>
        <v>1</v>
      </c>
      <c r="U1623" s="5" t="s">
        <v>245</v>
      </c>
      <c r="V1623" s="4" t="s">
        <v>270</v>
      </c>
      <c r="W1623" s="4" t="s">
        <v>271</v>
      </c>
      <c r="X1623" s="4" t="s">
        <v>273</v>
      </c>
      <c r="Y1623" s="4" t="s">
        <v>241</v>
      </c>
      <c r="AB1623" s="4" t="s">
        <v>241</v>
      </c>
      <c r="AD1623" s="5" t="s">
        <v>241</v>
      </c>
      <c r="AG1623" s="5" t="s">
        <v>246</v>
      </c>
      <c r="AH1623" s="4" t="s">
        <v>241</v>
      </c>
      <c r="AI1623" s="4" t="s">
        <v>247</v>
      </c>
      <c r="AJ1623" s="4" t="s">
        <v>248</v>
      </c>
      <c r="AZ1623" s="4" t="s">
        <v>249</v>
      </c>
      <c r="BA1623" s="4" t="s">
        <v>241</v>
      </c>
      <c r="BB1623" s="4" t="s">
        <v>250</v>
      </c>
      <c r="BC1623" s="4" t="s">
        <v>241</v>
      </c>
      <c r="BD1623" s="4" t="s">
        <v>252</v>
      </c>
      <c r="BE1623" s="4" t="s">
        <v>241</v>
      </c>
      <c r="BI1623" s="4" t="s">
        <v>253</v>
      </c>
      <c r="BJ1623" s="5" t="s">
        <v>246</v>
      </c>
      <c r="BK1623" s="4" t="s">
        <v>254</v>
      </c>
      <c r="BL1623" s="4" t="s">
        <v>255</v>
      </c>
      <c r="BM1623" s="4" t="s">
        <v>241</v>
      </c>
      <c r="BN1623" s="6">
        <f>0</f>
        <v>0</v>
      </c>
      <c r="BO1623" s="6">
        <f>0</f>
        <v>0</v>
      </c>
      <c r="BP1623" s="4" t="s">
        <v>256</v>
      </c>
      <c r="BQ1623" s="4" t="s">
        <v>257</v>
      </c>
      <c r="CE1623" s="4" t="s">
        <v>241</v>
      </c>
      <c r="CF1623" s="4" t="s">
        <v>241</v>
      </c>
      <c r="CJ1623" s="4" t="s">
        <v>276</v>
      </c>
      <c r="CK1623" s="4" t="s">
        <v>259</v>
      </c>
      <c r="CL1623" s="4" t="s">
        <v>241</v>
      </c>
      <c r="CO1623" s="5" t="s">
        <v>260</v>
      </c>
      <c r="CP1623" s="4" t="s">
        <v>241</v>
      </c>
      <c r="CQ1623" s="4" t="s">
        <v>261</v>
      </c>
      <c r="CR1623" s="4" t="s">
        <v>241</v>
      </c>
      <c r="CS1623" s="4" t="s">
        <v>241</v>
      </c>
      <c r="CT1623" s="4">
        <v>0</v>
      </c>
      <c r="CU1623" s="4" t="s">
        <v>262</v>
      </c>
      <c r="CV1623" s="4" t="s">
        <v>263</v>
      </c>
      <c r="CW1623" s="4" t="s">
        <v>263</v>
      </c>
      <c r="CX1623" s="4" t="s">
        <v>264</v>
      </c>
      <c r="DA1623" s="6">
        <f>1</f>
        <v>1</v>
      </c>
      <c r="DC1623" s="4" t="s">
        <v>277</v>
      </c>
      <c r="DD1623" s="4" t="s">
        <v>241</v>
      </c>
      <c r="DF1623" s="4" t="s">
        <v>277</v>
      </c>
      <c r="DG1623" s="6">
        <f>416</f>
        <v>416</v>
      </c>
      <c r="DI1623" s="4" t="s">
        <v>241</v>
      </c>
      <c r="DJ1623" s="4" t="s">
        <v>241</v>
      </c>
      <c r="DK1623" s="4" t="s">
        <v>241</v>
      </c>
      <c r="DL1623" s="4" t="s">
        <v>241</v>
      </c>
      <c r="DP1623" s="4" t="s">
        <v>241</v>
      </c>
      <c r="DQ1623" s="4" t="s">
        <v>241</v>
      </c>
      <c r="DR1623" s="4" t="s">
        <v>241</v>
      </c>
      <c r="DS1623" s="4" t="s">
        <v>241</v>
      </c>
      <c r="DV1623" s="4" t="s">
        <v>278</v>
      </c>
      <c r="DW1623" s="4" t="s">
        <v>2287</v>
      </c>
      <c r="HO1623" s="4" t="s">
        <v>267</v>
      </c>
    </row>
    <row r="1624" spans="1:223" ht="19.5" customHeight="1" x14ac:dyDescent="0.4">
      <c r="A1624" s="4">
        <v>1</v>
      </c>
      <c r="B1624" s="4" t="s">
        <v>239</v>
      </c>
      <c r="C1624" s="4">
        <v>3298</v>
      </c>
      <c r="D1624" s="4">
        <v>1</v>
      </c>
      <c r="E1624" s="4">
        <v>1</v>
      </c>
      <c r="F1624" s="4" t="s">
        <v>268</v>
      </c>
      <c r="G1624" s="4" t="s">
        <v>241</v>
      </c>
      <c r="H1624" s="4" t="s">
        <v>241</v>
      </c>
      <c r="I1624" s="4" t="s">
        <v>272</v>
      </c>
      <c r="J1624" s="4" t="s">
        <v>274</v>
      </c>
      <c r="K1624" s="4" t="s">
        <v>251</v>
      </c>
      <c r="L1624" s="4" t="s">
        <v>269</v>
      </c>
      <c r="M1624" s="5" t="s">
        <v>2284</v>
      </c>
      <c r="N1624" s="6">
        <f>2567</f>
        <v>2567</v>
      </c>
      <c r="O1624" s="4" t="s">
        <v>265</v>
      </c>
      <c r="P1624" s="6">
        <f>1</f>
        <v>1</v>
      </c>
      <c r="Q1624" s="6">
        <f>0</f>
        <v>0</v>
      </c>
      <c r="S1624" s="6">
        <f>0</f>
        <v>0</v>
      </c>
      <c r="T1624" s="6">
        <f>1</f>
        <v>1</v>
      </c>
      <c r="U1624" s="5" t="s">
        <v>245</v>
      </c>
      <c r="V1624" s="4" t="s">
        <v>270</v>
      </c>
      <c r="W1624" s="4" t="s">
        <v>271</v>
      </c>
      <c r="X1624" s="4" t="s">
        <v>273</v>
      </c>
      <c r="Y1624" s="4" t="s">
        <v>241</v>
      </c>
      <c r="AB1624" s="4" t="s">
        <v>241</v>
      </c>
      <c r="AD1624" s="5" t="s">
        <v>241</v>
      </c>
      <c r="AG1624" s="5" t="s">
        <v>246</v>
      </c>
      <c r="AH1624" s="4" t="s">
        <v>241</v>
      </c>
      <c r="AI1624" s="4" t="s">
        <v>247</v>
      </c>
      <c r="AJ1624" s="4" t="s">
        <v>248</v>
      </c>
      <c r="AZ1624" s="4" t="s">
        <v>249</v>
      </c>
      <c r="BA1624" s="4" t="s">
        <v>241</v>
      </c>
      <c r="BB1624" s="4" t="s">
        <v>250</v>
      </c>
      <c r="BC1624" s="4" t="s">
        <v>241</v>
      </c>
      <c r="BD1624" s="4" t="s">
        <v>252</v>
      </c>
      <c r="BE1624" s="4" t="s">
        <v>241</v>
      </c>
      <c r="BI1624" s="4" t="s">
        <v>253</v>
      </c>
      <c r="BJ1624" s="5" t="s">
        <v>246</v>
      </c>
      <c r="BK1624" s="4" t="s">
        <v>254</v>
      </c>
      <c r="BL1624" s="4" t="s">
        <v>255</v>
      </c>
      <c r="BM1624" s="4" t="s">
        <v>241</v>
      </c>
      <c r="BN1624" s="6">
        <f>0</f>
        <v>0</v>
      </c>
      <c r="BO1624" s="6">
        <f>0</f>
        <v>0</v>
      </c>
      <c r="BP1624" s="4" t="s">
        <v>256</v>
      </c>
      <c r="BQ1624" s="4" t="s">
        <v>257</v>
      </c>
      <c r="CE1624" s="4" t="s">
        <v>241</v>
      </c>
      <c r="CF1624" s="4" t="s">
        <v>241</v>
      </c>
      <c r="CJ1624" s="4" t="s">
        <v>276</v>
      </c>
      <c r="CK1624" s="4" t="s">
        <v>259</v>
      </c>
      <c r="CL1624" s="4" t="s">
        <v>241</v>
      </c>
      <c r="CO1624" s="5" t="s">
        <v>260</v>
      </c>
      <c r="CP1624" s="4" t="s">
        <v>241</v>
      </c>
      <c r="CQ1624" s="4" t="s">
        <v>261</v>
      </c>
      <c r="CR1624" s="4" t="s">
        <v>241</v>
      </c>
      <c r="CS1624" s="4" t="s">
        <v>241</v>
      </c>
      <c r="CT1624" s="4">
        <v>0</v>
      </c>
      <c r="CU1624" s="4" t="s">
        <v>262</v>
      </c>
      <c r="CV1624" s="4" t="s">
        <v>263</v>
      </c>
      <c r="CW1624" s="4" t="s">
        <v>263</v>
      </c>
      <c r="CX1624" s="4" t="s">
        <v>264</v>
      </c>
      <c r="DA1624" s="6">
        <f>1</f>
        <v>1</v>
      </c>
      <c r="DC1624" s="4" t="s">
        <v>277</v>
      </c>
      <c r="DD1624" s="4" t="s">
        <v>241</v>
      </c>
      <c r="DF1624" s="4" t="s">
        <v>277</v>
      </c>
      <c r="DG1624" s="6">
        <f>2567</f>
        <v>2567</v>
      </c>
      <c r="DI1624" s="4" t="s">
        <v>241</v>
      </c>
      <c r="DJ1624" s="4" t="s">
        <v>241</v>
      </c>
      <c r="DK1624" s="4" t="s">
        <v>241</v>
      </c>
      <c r="DL1624" s="4" t="s">
        <v>241</v>
      </c>
      <c r="DP1624" s="4" t="s">
        <v>241</v>
      </c>
      <c r="DQ1624" s="4" t="s">
        <v>241</v>
      </c>
      <c r="DR1624" s="4" t="s">
        <v>241</v>
      </c>
      <c r="DS1624" s="4" t="s">
        <v>241</v>
      </c>
      <c r="DV1624" s="4" t="s">
        <v>278</v>
      </c>
      <c r="DW1624" s="4" t="s">
        <v>2285</v>
      </c>
      <c r="HO1624" s="4" t="s">
        <v>267</v>
      </c>
    </row>
    <row r="1625" spans="1:223" ht="19.5" customHeight="1" x14ac:dyDescent="0.4">
      <c r="A1625" s="4">
        <v>1</v>
      </c>
      <c r="B1625" s="4" t="s">
        <v>239</v>
      </c>
      <c r="C1625" s="4">
        <v>3299</v>
      </c>
      <c r="D1625" s="4">
        <v>1</v>
      </c>
      <c r="E1625" s="4">
        <v>1</v>
      </c>
      <c r="F1625" s="4" t="s">
        <v>268</v>
      </c>
      <c r="G1625" s="4" t="s">
        <v>241</v>
      </c>
      <c r="H1625" s="4" t="s">
        <v>241</v>
      </c>
      <c r="I1625" s="4" t="s">
        <v>272</v>
      </c>
      <c r="J1625" s="4" t="s">
        <v>274</v>
      </c>
      <c r="K1625" s="4" t="s">
        <v>251</v>
      </c>
      <c r="L1625" s="4" t="s">
        <v>269</v>
      </c>
      <c r="M1625" s="5" t="s">
        <v>2283</v>
      </c>
      <c r="N1625" s="6">
        <f>789</f>
        <v>789</v>
      </c>
      <c r="O1625" s="4" t="s">
        <v>265</v>
      </c>
      <c r="P1625" s="6">
        <f>1</f>
        <v>1</v>
      </c>
      <c r="Q1625" s="6">
        <f>0</f>
        <v>0</v>
      </c>
      <c r="S1625" s="6">
        <f>0</f>
        <v>0</v>
      </c>
      <c r="T1625" s="6">
        <f>1</f>
        <v>1</v>
      </c>
      <c r="U1625" s="5" t="s">
        <v>245</v>
      </c>
      <c r="V1625" s="4" t="s">
        <v>270</v>
      </c>
      <c r="W1625" s="4" t="s">
        <v>271</v>
      </c>
      <c r="X1625" s="4" t="s">
        <v>273</v>
      </c>
      <c r="Y1625" s="4" t="s">
        <v>241</v>
      </c>
      <c r="AB1625" s="4" t="s">
        <v>241</v>
      </c>
      <c r="AD1625" s="5" t="s">
        <v>241</v>
      </c>
      <c r="AG1625" s="5" t="s">
        <v>246</v>
      </c>
      <c r="AH1625" s="4" t="s">
        <v>241</v>
      </c>
      <c r="AI1625" s="4" t="s">
        <v>247</v>
      </c>
      <c r="AJ1625" s="4" t="s">
        <v>248</v>
      </c>
      <c r="AZ1625" s="4" t="s">
        <v>249</v>
      </c>
      <c r="BA1625" s="4" t="s">
        <v>241</v>
      </c>
      <c r="BB1625" s="4" t="s">
        <v>250</v>
      </c>
      <c r="BC1625" s="4" t="s">
        <v>241</v>
      </c>
      <c r="BD1625" s="4" t="s">
        <v>252</v>
      </c>
      <c r="BE1625" s="4" t="s">
        <v>241</v>
      </c>
      <c r="BI1625" s="4" t="s">
        <v>253</v>
      </c>
      <c r="BJ1625" s="5" t="s">
        <v>246</v>
      </c>
      <c r="BK1625" s="4" t="s">
        <v>254</v>
      </c>
      <c r="BL1625" s="4" t="s">
        <v>255</v>
      </c>
      <c r="BM1625" s="4" t="s">
        <v>241</v>
      </c>
      <c r="BN1625" s="6">
        <f>0</f>
        <v>0</v>
      </c>
      <c r="BO1625" s="6">
        <f>0</f>
        <v>0</v>
      </c>
      <c r="BP1625" s="4" t="s">
        <v>256</v>
      </c>
      <c r="BQ1625" s="4" t="s">
        <v>257</v>
      </c>
      <c r="CE1625" s="4" t="s">
        <v>241</v>
      </c>
      <c r="CF1625" s="4" t="s">
        <v>241</v>
      </c>
      <c r="CJ1625" s="4" t="s">
        <v>276</v>
      </c>
      <c r="CK1625" s="4" t="s">
        <v>259</v>
      </c>
      <c r="CL1625" s="4" t="s">
        <v>241</v>
      </c>
      <c r="CO1625" s="5" t="s">
        <v>260</v>
      </c>
      <c r="CP1625" s="4" t="s">
        <v>241</v>
      </c>
      <c r="CQ1625" s="4" t="s">
        <v>261</v>
      </c>
      <c r="CR1625" s="4" t="s">
        <v>241</v>
      </c>
      <c r="CS1625" s="4" t="s">
        <v>241</v>
      </c>
      <c r="CT1625" s="4">
        <v>0</v>
      </c>
      <c r="CU1625" s="4" t="s">
        <v>262</v>
      </c>
      <c r="CV1625" s="4" t="s">
        <v>263</v>
      </c>
      <c r="CW1625" s="4" t="s">
        <v>263</v>
      </c>
      <c r="CX1625" s="4" t="s">
        <v>264</v>
      </c>
      <c r="DA1625" s="6">
        <f>1</f>
        <v>1</v>
      </c>
      <c r="DC1625" s="4" t="s">
        <v>277</v>
      </c>
      <c r="DD1625" s="4" t="s">
        <v>241</v>
      </c>
      <c r="DF1625" s="4" t="s">
        <v>277</v>
      </c>
      <c r="DG1625" s="6">
        <f>789</f>
        <v>789</v>
      </c>
      <c r="DI1625" s="4" t="s">
        <v>241</v>
      </c>
      <c r="DJ1625" s="4" t="s">
        <v>241</v>
      </c>
      <c r="DK1625" s="4" t="s">
        <v>241</v>
      </c>
      <c r="DL1625" s="4" t="s">
        <v>241</v>
      </c>
      <c r="DP1625" s="4" t="s">
        <v>241</v>
      </c>
      <c r="DQ1625" s="4" t="s">
        <v>241</v>
      </c>
      <c r="DR1625" s="4" t="s">
        <v>241</v>
      </c>
      <c r="DS1625" s="4" t="s">
        <v>241</v>
      </c>
      <c r="DV1625" s="4" t="s">
        <v>278</v>
      </c>
      <c r="DW1625" s="4" t="s">
        <v>762</v>
      </c>
      <c r="HO1625" s="4" t="s">
        <v>267</v>
      </c>
    </row>
    <row r="1626" spans="1:223" ht="19.5" customHeight="1" x14ac:dyDescent="0.4">
      <c r="A1626" s="4">
        <v>1</v>
      </c>
      <c r="B1626" s="4" t="s">
        <v>239</v>
      </c>
      <c r="C1626" s="4">
        <v>3300</v>
      </c>
      <c r="D1626" s="4">
        <v>1</v>
      </c>
      <c r="E1626" s="4">
        <v>1</v>
      </c>
      <c r="F1626" s="4" t="s">
        <v>268</v>
      </c>
      <c r="G1626" s="4" t="s">
        <v>241</v>
      </c>
      <c r="H1626" s="4" t="s">
        <v>241</v>
      </c>
      <c r="I1626" s="4" t="s">
        <v>272</v>
      </c>
      <c r="J1626" s="4" t="s">
        <v>274</v>
      </c>
      <c r="K1626" s="4" t="s">
        <v>251</v>
      </c>
      <c r="L1626" s="4" t="s">
        <v>269</v>
      </c>
      <c r="M1626" s="5" t="s">
        <v>2282</v>
      </c>
      <c r="N1626" s="6">
        <f>948</f>
        <v>948</v>
      </c>
      <c r="O1626" s="4" t="s">
        <v>265</v>
      </c>
      <c r="P1626" s="6">
        <f>1</f>
        <v>1</v>
      </c>
      <c r="Q1626" s="6">
        <f>0</f>
        <v>0</v>
      </c>
      <c r="S1626" s="6">
        <f>0</f>
        <v>0</v>
      </c>
      <c r="T1626" s="6">
        <f>1</f>
        <v>1</v>
      </c>
      <c r="U1626" s="5" t="s">
        <v>245</v>
      </c>
      <c r="V1626" s="4" t="s">
        <v>270</v>
      </c>
      <c r="W1626" s="4" t="s">
        <v>271</v>
      </c>
      <c r="X1626" s="4" t="s">
        <v>273</v>
      </c>
      <c r="Y1626" s="4" t="s">
        <v>241</v>
      </c>
      <c r="AB1626" s="4" t="s">
        <v>241</v>
      </c>
      <c r="AD1626" s="5" t="s">
        <v>241</v>
      </c>
      <c r="AG1626" s="5" t="s">
        <v>246</v>
      </c>
      <c r="AH1626" s="4" t="s">
        <v>241</v>
      </c>
      <c r="AI1626" s="4" t="s">
        <v>247</v>
      </c>
      <c r="AJ1626" s="4" t="s">
        <v>248</v>
      </c>
      <c r="AZ1626" s="4" t="s">
        <v>249</v>
      </c>
      <c r="BA1626" s="4" t="s">
        <v>241</v>
      </c>
      <c r="BB1626" s="4" t="s">
        <v>250</v>
      </c>
      <c r="BC1626" s="4" t="s">
        <v>241</v>
      </c>
      <c r="BD1626" s="4" t="s">
        <v>252</v>
      </c>
      <c r="BE1626" s="4" t="s">
        <v>241</v>
      </c>
      <c r="BI1626" s="4" t="s">
        <v>253</v>
      </c>
      <c r="BJ1626" s="5" t="s">
        <v>246</v>
      </c>
      <c r="BK1626" s="4" t="s">
        <v>254</v>
      </c>
      <c r="BL1626" s="4" t="s">
        <v>255</v>
      </c>
      <c r="BM1626" s="4" t="s">
        <v>241</v>
      </c>
      <c r="BN1626" s="6">
        <f>0</f>
        <v>0</v>
      </c>
      <c r="BO1626" s="6">
        <f>0</f>
        <v>0</v>
      </c>
      <c r="BP1626" s="4" t="s">
        <v>256</v>
      </c>
      <c r="BQ1626" s="4" t="s">
        <v>257</v>
      </c>
      <c r="CE1626" s="4" t="s">
        <v>241</v>
      </c>
      <c r="CF1626" s="4" t="s">
        <v>241</v>
      </c>
      <c r="CJ1626" s="4" t="s">
        <v>276</v>
      </c>
      <c r="CK1626" s="4" t="s">
        <v>259</v>
      </c>
      <c r="CL1626" s="4" t="s">
        <v>241</v>
      </c>
      <c r="CO1626" s="5" t="s">
        <v>260</v>
      </c>
      <c r="CP1626" s="4" t="s">
        <v>241</v>
      </c>
      <c r="CQ1626" s="4" t="s">
        <v>261</v>
      </c>
      <c r="CR1626" s="4" t="s">
        <v>241</v>
      </c>
      <c r="CS1626" s="4" t="s">
        <v>241</v>
      </c>
      <c r="CT1626" s="4">
        <v>0</v>
      </c>
      <c r="CU1626" s="4" t="s">
        <v>262</v>
      </c>
      <c r="CV1626" s="4" t="s">
        <v>263</v>
      </c>
      <c r="CW1626" s="4" t="s">
        <v>263</v>
      </c>
      <c r="CX1626" s="4" t="s">
        <v>264</v>
      </c>
      <c r="DA1626" s="6">
        <f>1</f>
        <v>1</v>
      </c>
      <c r="DC1626" s="4" t="s">
        <v>277</v>
      </c>
      <c r="DD1626" s="4" t="s">
        <v>241</v>
      </c>
      <c r="DF1626" s="4" t="s">
        <v>277</v>
      </c>
      <c r="DG1626" s="6">
        <f>948</f>
        <v>948</v>
      </c>
      <c r="DI1626" s="4" t="s">
        <v>241</v>
      </c>
      <c r="DJ1626" s="4" t="s">
        <v>241</v>
      </c>
      <c r="DK1626" s="4" t="s">
        <v>241</v>
      </c>
      <c r="DL1626" s="4" t="s">
        <v>241</v>
      </c>
      <c r="DP1626" s="4" t="s">
        <v>241</v>
      </c>
      <c r="DQ1626" s="4" t="s">
        <v>241</v>
      </c>
      <c r="DR1626" s="4" t="s">
        <v>241</v>
      </c>
      <c r="DS1626" s="4" t="s">
        <v>241</v>
      </c>
      <c r="DV1626" s="4" t="s">
        <v>278</v>
      </c>
      <c r="DW1626" s="4" t="s">
        <v>650</v>
      </c>
      <c r="HO1626" s="4" t="s">
        <v>267</v>
      </c>
    </row>
    <row r="1627" spans="1:223" ht="19.5" customHeight="1" x14ac:dyDescent="0.4">
      <c r="A1627" s="4">
        <v>1</v>
      </c>
      <c r="B1627" s="4" t="s">
        <v>239</v>
      </c>
      <c r="C1627" s="4">
        <v>3301</v>
      </c>
      <c r="D1627" s="4">
        <v>1</v>
      </c>
      <c r="E1627" s="4">
        <v>1</v>
      </c>
      <c r="F1627" s="4" t="s">
        <v>268</v>
      </c>
      <c r="G1627" s="4" t="s">
        <v>241</v>
      </c>
      <c r="H1627" s="4" t="s">
        <v>241</v>
      </c>
      <c r="I1627" s="4" t="s">
        <v>272</v>
      </c>
      <c r="J1627" s="4" t="s">
        <v>274</v>
      </c>
      <c r="K1627" s="4" t="s">
        <v>251</v>
      </c>
      <c r="L1627" s="4" t="s">
        <v>269</v>
      </c>
      <c r="M1627" s="5" t="s">
        <v>2280</v>
      </c>
      <c r="N1627" s="6">
        <f>123</f>
        <v>123</v>
      </c>
      <c r="O1627" s="4" t="s">
        <v>265</v>
      </c>
      <c r="P1627" s="6">
        <f>1</f>
        <v>1</v>
      </c>
      <c r="Q1627" s="6">
        <f>0</f>
        <v>0</v>
      </c>
      <c r="S1627" s="6">
        <f>0</f>
        <v>0</v>
      </c>
      <c r="T1627" s="6">
        <f>1</f>
        <v>1</v>
      </c>
      <c r="U1627" s="5" t="s">
        <v>245</v>
      </c>
      <c r="V1627" s="4" t="s">
        <v>270</v>
      </c>
      <c r="W1627" s="4" t="s">
        <v>271</v>
      </c>
      <c r="X1627" s="4" t="s">
        <v>273</v>
      </c>
      <c r="Y1627" s="4" t="s">
        <v>241</v>
      </c>
      <c r="AB1627" s="4" t="s">
        <v>241</v>
      </c>
      <c r="AD1627" s="5" t="s">
        <v>241</v>
      </c>
      <c r="AG1627" s="5" t="s">
        <v>246</v>
      </c>
      <c r="AH1627" s="4" t="s">
        <v>241</v>
      </c>
      <c r="AI1627" s="4" t="s">
        <v>247</v>
      </c>
      <c r="AJ1627" s="4" t="s">
        <v>248</v>
      </c>
      <c r="AZ1627" s="4" t="s">
        <v>249</v>
      </c>
      <c r="BA1627" s="4" t="s">
        <v>241</v>
      </c>
      <c r="BB1627" s="4" t="s">
        <v>250</v>
      </c>
      <c r="BC1627" s="4" t="s">
        <v>241</v>
      </c>
      <c r="BD1627" s="4" t="s">
        <v>252</v>
      </c>
      <c r="BE1627" s="4" t="s">
        <v>241</v>
      </c>
      <c r="BI1627" s="4" t="s">
        <v>253</v>
      </c>
      <c r="BJ1627" s="5" t="s">
        <v>246</v>
      </c>
      <c r="BK1627" s="4" t="s">
        <v>254</v>
      </c>
      <c r="BL1627" s="4" t="s">
        <v>255</v>
      </c>
      <c r="BM1627" s="4" t="s">
        <v>241</v>
      </c>
      <c r="BN1627" s="6">
        <f>0</f>
        <v>0</v>
      </c>
      <c r="BO1627" s="6">
        <f>0</f>
        <v>0</v>
      </c>
      <c r="BP1627" s="4" t="s">
        <v>256</v>
      </c>
      <c r="BQ1627" s="4" t="s">
        <v>257</v>
      </c>
      <c r="CE1627" s="4" t="s">
        <v>241</v>
      </c>
      <c r="CF1627" s="4" t="s">
        <v>241</v>
      </c>
      <c r="CJ1627" s="4" t="s">
        <v>276</v>
      </c>
      <c r="CK1627" s="4" t="s">
        <v>259</v>
      </c>
      <c r="CL1627" s="4" t="s">
        <v>241</v>
      </c>
      <c r="CO1627" s="5" t="s">
        <v>260</v>
      </c>
      <c r="CP1627" s="4" t="s">
        <v>241</v>
      </c>
      <c r="CQ1627" s="4" t="s">
        <v>261</v>
      </c>
      <c r="CR1627" s="4" t="s">
        <v>241</v>
      </c>
      <c r="CS1627" s="4" t="s">
        <v>241</v>
      </c>
      <c r="CT1627" s="4">
        <v>0</v>
      </c>
      <c r="CU1627" s="4" t="s">
        <v>262</v>
      </c>
      <c r="CV1627" s="4" t="s">
        <v>263</v>
      </c>
      <c r="CW1627" s="4" t="s">
        <v>263</v>
      </c>
      <c r="CX1627" s="4" t="s">
        <v>264</v>
      </c>
      <c r="DA1627" s="6">
        <f>1</f>
        <v>1</v>
      </c>
      <c r="DC1627" s="4" t="s">
        <v>277</v>
      </c>
      <c r="DD1627" s="4" t="s">
        <v>241</v>
      </c>
      <c r="DF1627" s="4" t="s">
        <v>277</v>
      </c>
      <c r="DG1627" s="6">
        <f>123</f>
        <v>123</v>
      </c>
      <c r="DI1627" s="4" t="s">
        <v>241</v>
      </c>
      <c r="DJ1627" s="4" t="s">
        <v>241</v>
      </c>
      <c r="DK1627" s="4" t="s">
        <v>241</v>
      </c>
      <c r="DL1627" s="4" t="s">
        <v>241</v>
      </c>
      <c r="DP1627" s="4" t="s">
        <v>241</v>
      </c>
      <c r="DQ1627" s="4" t="s">
        <v>241</v>
      </c>
      <c r="DR1627" s="4" t="s">
        <v>241</v>
      </c>
      <c r="DS1627" s="4" t="s">
        <v>241</v>
      </c>
      <c r="DV1627" s="4" t="s">
        <v>278</v>
      </c>
      <c r="DW1627" s="4" t="s">
        <v>2281</v>
      </c>
      <c r="HO1627" s="4" t="s">
        <v>267</v>
      </c>
    </row>
    <row r="1628" spans="1:223" ht="19.5" customHeight="1" x14ac:dyDescent="0.4">
      <c r="A1628" s="4">
        <v>1</v>
      </c>
      <c r="B1628" s="4" t="s">
        <v>239</v>
      </c>
      <c r="C1628" s="4">
        <v>3302</v>
      </c>
      <c r="D1628" s="4">
        <v>1</v>
      </c>
      <c r="E1628" s="4">
        <v>1</v>
      </c>
      <c r="F1628" s="4" t="s">
        <v>268</v>
      </c>
      <c r="G1628" s="4" t="s">
        <v>241</v>
      </c>
      <c r="H1628" s="4" t="s">
        <v>241</v>
      </c>
      <c r="I1628" s="4" t="s">
        <v>272</v>
      </c>
      <c r="J1628" s="4" t="s">
        <v>274</v>
      </c>
      <c r="K1628" s="4" t="s">
        <v>251</v>
      </c>
      <c r="L1628" s="4" t="s">
        <v>269</v>
      </c>
      <c r="M1628" s="5" t="s">
        <v>2278</v>
      </c>
      <c r="N1628" s="6">
        <f>751</f>
        <v>751</v>
      </c>
      <c r="O1628" s="4" t="s">
        <v>265</v>
      </c>
      <c r="P1628" s="6">
        <f>1</f>
        <v>1</v>
      </c>
      <c r="Q1628" s="6">
        <f>0</f>
        <v>0</v>
      </c>
      <c r="S1628" s="6">
        <f>0</f>
        <v>0</v>
      </c>
      <c r="T1628" s="6">
        <f>1</f>
        <v>1</v>
      </c>
      <c r="U1628" s="5" t="s">
        <v>245</v>
      </c>
      <c r="V1628" s="4" t="s">
        <v>270</v>
      </c>
      <c r="W1628" s="4" t="s">
        <v>271</v>
      </c>
      <c r="X1628" s="4" t="s">
        <v>273</v>
      </c>
      <c r="Y1628" s="4" t="s">
        <v>241</v>
      </c>
      <c r="AB1628" s="4" t="s">
        <v>241</v>
      </c>
      <c r="AD1628" s="5" t="s">
        <v>241</v>
      </c>
      <c r="AG1628" s="5" t="s">
        <v>246</v>
      </c>
      <c r="AH1628" s="4" t="s">
        <v>241</v>
      </c>
      <c r="AI1628" s="4" t="s">
        <v>247</v>
      </c>
      <c r="AJ1628" s="4" t="s">
        <v>248</v>
      </c>
      <c r="AZ1628" s="4" t="s">
        <v>249</v>
      </c>
      <c r="BA1628" s="4" t="s">
        <v>241</v>
      </c>
      <c r="BB1628" s="4" t="s">
        <v>250</v>
      </c>
      <c r="BC1628" s="4" t="s">
        <v>241</v>
      </c>
      <c r="BD1628" s="4" t="s">
        <v>252</v>
      </c>
      <c r="BE1628" s="4" t="s">
        <v>241</v>
      </c>
      <c r="BI1628" s="4" t="s">
        <v>253</v>
      </c>
      <c r="BJ1628" s="5" t="s">
        <v>246</v>
      </c>
      <c r="BK1628" s="4" t="s">
        <v>254</v>
      </c>
      <c r="BL1628" s="4" t="s">
        <v>255</v>
      </c>
      <c r="BM1628" s="4" t="s">
        <v>241</v>
      </c>
      <c r="BN1628" s="6">
        <f>0</f>
        <v>0</v>
      </c>
      <c r="BO1628" s="6">
        <f>0</f>
        <v>0</v>
      </c>
      <c r="BP1628" s="4" t="s">
        <v>256</v>
      </c>
      <c r="BQ1628" s="4" t="s">
        <v>257</v>
      </c>
      <c r="CE1628" s="4" t="s">
        <v>241</v>
      </c>
      <c r="CF1628" s="4" t="s">
        <v>241</v>
      </c>
      <c r="CJ1628" s="4" t="s">
        <v>276</v>
      </c>
      <c r="CK1628" s="4" t="s">
        <v>259</v>
      </c>
      <c r="CL1628" s="4" t="s">
        <v>241</v>
      </c>
      <c r="CO1628" s="5" t="s">
        <v>260</v>
      </c>
      <c r="CP1628" s="4" t="s">
        <v>241</v>
      </c>
      <c r="CQ1628" s="4" t="s">
        <v>261</v>
      </c>
      <c r="CR1628" s="4" t="s">
        <v>241</v>
      </c>
      <c r="CS1628" s="4" t="s">
        <v>241</v>
      </c>
      <c r="CT1628" s="4">
        <v>0</v>
      </c>
      <c r="CU1628" s="4" t="s">
        <v>262</v>
      </c>
      <c r="CV1628" s="4" t="s">
        <v>263</v>
      </c>
      <c r="CW1628" s="4" t="s">
        <v>263</v>
      </c>
      <c r="CX1628" s="4" t="s">
        <v>264</v>
      </c>
      <c r="DA1628" s="6">
        <f>1</f>
        <v>1</v>
      </c>
      <c r="DC1628" s="4" t="s">
        <v>277</v>
      </c>
      <c r="DD1628" s="4" t="s">
        <v>241</v>
      </c>
      <c r="DF1628" s="4" t="s">
        <v>277</v>
      </c>
      <c r="DG1628" s="6">
        <f>751</f>
        <v>751</v>
      </c>
      <c r="DI1628" s="4" t="s">
        <v>241</v>
      </c>
      <c r="DJ1628" s="4" t="s">
        <v>241</v>
      </c>
      <c r="DK1628" s="4" t="s">
        <v>241</v>
      </c>
      <c r="DL1628" s="4" t="s">
        <v>241</v>
      </c>
      <c r="DP1628" s="4" t="s">
        <v>241</v>
      </c>
      <c r="DQ1628" s="4" t="s">
        <v>241</v>
      </c>
      <c r="DR1628" s="4" t="s">
        <v>241</v>
      </c>
      <c r="DS1628" s="4" t="s">
        <v>241</v>
      </c>
      <c r="DV1628" s="4" t="s">
        <v>278</v>
      </c>
      <c r="DW1628" s="4" t="s">
        <v>2279</v>
      </c>
      <c r="HO1628" s="4" t="s">
        <v>267</v>
      </c>
    </row>
    <row r="1629" spans="1:223" ht="19.5" customHeight="1" x14ac:dyDescent="0.4">
      <c r="A1629" s="4">
        <v>1</v>
      </c>
      <c r="B1629" s="4" t="s">
        <v>239</v>
      </c>
      <c r="C1629" s="4">
        <v>3303</v>
      </c>
      <c r="D1629" s="4">
        <v>1</v>
      </c>
      <c r="E1629" s="4">
        <v>1</v>
      </c>
      <c r="F1629" s="4" t="s">
        <v>268</v>
      </c>
      <c r="G1629" s="4" t="s">
        <v>241</v>
      </c>
      <c r="H1629" s="4" t="s">
        <v>241</v>
      </c>
      <c r="I1629" s="4" t="s">
        <v>272</v>
      </c>
      <c r="J1629" s="4" t="s">
        <v>274</v>
      </c>
      <c r="K1629" s="4" t="s">
        <v>251</v>
      </c>
      <c r="L1629" s="4" t="s">
        <v>269</v>
      </c>
      <c r="M1629" s="5" t="s">
        <v>2276</v>
      </c>
      <c r="N1629" s="6">
        <f>1341</f>
        <v>1341</v>
      </c>
      <c r="O1629" s="4" t="s">
        <v>265</v>
      </c>
      <c r="P1629" s="6">
        <f>1</f>
        <v>1</v>
      </c>
      <c r="Q1629" s="6">
        <f>0</f>
        <v>0</v>
      </c>
      <c r="S1629" s="6">
        <f>0</f>
        <v>0</v>
      </c>
      <c r="T1629" s="6">
        <f>1</f>
        <v>1</v>
      </c>
      <c r="U1629" s="5" t="s">
        <v>245</v>
      </c>
      <c r="V1629" s="4" t="s">
        <v>270</v>
      </c>
      <c r="W1629" s="4" t="s">
        <v>271</v>
      </c>
      <c r="X1629" s="4" t="s">
        <v>273</v>
      </c>
      <c r="Y1629" s="4" t="s">
        <v>241</v>
      </c>
      <c r="AB1629" s="4" t="s">
        <v>241</v>
      </c>
      <c r="AD1629" s="5" t="s">
        <v>241</v>
      </c>
      <c r="AG1629" s="5" t="s">
        <v>246</v>
      </c>
      <c r="AH1629" s="4" t="s">
        <v>241</v>
      </c>
      <c r="AI1629" s="4" t="s">
        <v>247</v>
      </c>
      <c r="AJ1629" s="4" t="s">
        <v>248</v>
      </c>
      <c r="AZ1629" s="4" t="s">
        <v>249</v>
      </c>
      <c r="BA1629" s="4" t="s">
        <v>241</v>
      </c>
      <c r="BB1629" s="4" t="s">
        <v>250</v>
      </c>
      <c r="BC1629" s="4" t="s">
        <v>241</v>
      </c>
      <c r="BD1629" s="4" t="s">
        <v>252</v>
      </c>
      <c r="BE1629" s="4" t="s">
        <v>241</v>
      </c>
      <c r="BI1629" s="4" t="s">
        <v>253</v>
      </c>
      <c r="BJ1629" s="5" t="s">
        <v>246</v>
      </c>
      <c r="BK1629" s="4" t="s">
        <v>254</v>
      </c>
      <c r="BL1629" s="4" t="s">
        <v>255</v>
      </c>
      <c r="BM1629" s="4" t="s">
        <v>241</v>
      </c>
      <c r="BN1629" s="6">
        <f>0</f>
        <v>0</v>
      </c>
      <c r="BO1629" s="6">
        <f>0</f>
        <v>0</v>
      </c>
      <c r="BP1629" s="4" t="s">
        <v>256</v>
      </c>
      <c r="BQ1629" s="4" t="s">
        <v>257</v>
      </c>
      <c r="CE1629" s="4" t="s">
        <v>241</v>
      </c>
      <c r="CF1629" s="4" t="s">
        <v>241</v>
      </c>
      <c r="CJ1629" s="4" t="s">
        <v>276</v>
      </c>
      <c r="CK1629" s="4" t="s">
        <v>259</v>
      </c>
      <c r="CL1629" s="4" t="s">
        <v>241</v>
      </c>
      <c r="CO1629" s="5" t="s">
        <v>260</v>
      </c>
      <c r="CP1629" s="4" t="s">
        <v>241</v>
      </c>
      <c r="CQ1629" s="4" t="s">
        <v>261</v>
      </c>
      <c r="CR1629" s="4" t="s">
        <v>241</v>
      </c>
      <c r="CS1629" s="4" t="s">
        <v>241</v>
      </c>
      <c r="CT1629" s="4">
        <v>0</v>
      </c>
      <c r="CU1629" s="4" t="s">
        <v>262</v>
      </c>
      <c r="CV1629" s="4" t="s">
        <v>263</v>
      </c>
      <c r="CW1629" s="4" t="s">
        <v>263</v>
      </c>
      <c r="CX1629" s="4" t="s">
        <v>264</v>
      </c>
      <c r="DA1629" s="6">
        <f>1</f>
        <v>1</v>
      </c>
      <c r="DC1629" s="4" t="s">
        <v>277</v>
      </c>
      <c r="DD1629" s="4" t="s">
        <v>241</v>
      </c>
      <c r="DF1629" s="4" t="s">
        <v>277</v>
      </c>
      <c r="DG1629" s="6">
        <f>1341</f>
        <v>1341</v>
      </c>
      <c r="DI1629" s="4" t="s">
        <v>241</v>
      </c>
      <c r="DJ1629" s="4" t="s">
        <v>241</v>
      </c>
      <c r="DK1629" s="4" t="s">
        <v>241</v>
      </c>
      <c r="DL1629" s="4" t="s">
        <v>241</v>
      </c>
      <c r="DP1629" s="4" t="s">
        <v>241</v>
      </c>
      <c r="DQ1629" s="4" t="s">
        <v>241</v>
      </c>
      <c r="DR1629" s="4" t="s">
        <v>241</v>
      </c>
      <c r="DS1629" s="4" t="s">
        <v>241</v>
      </c>
      <c r="DV1629" s="4" t="s">
        <v>278</v>
      </c>
      <c r="DW1629" s="4" t="s">
        <v>2277</v>
      </c>
      <c r="HO1629" s="4" t="s">
        <v>267</v>
      </c>
    </row>
    <row r="1630" spans="1:223" ht="19.5" customHeight="1" x14ac:dyDescent="0.4">
      <c r="A1630" s="4">
        <v>1</v>
      </c>
      <c r="B1630" s="4" t="s">
        <v>239</v>
      </c>
      <c r="C1630" s="4">
        <v>3304</v>
      </c>
      <c r="D1630" s="4">
        <v>1</v>
      </c>
      <c r="E1630" s="4">
        <v>1</v>
      </c>
      <c r="F1630" s="4" t="s">
        <v>268</v>
      </c>
      <c r="G1630" s="4" t="s">
        <v>241</v>
      </c>
      <c r="H1630" s="4" t="s">
        <v>241</v>
      </c>
      <c r="I1630" s="4" t="s">
        <v>272</v>
      </c>
      <c r="J1630" s="4" t="s">
        <v>274</v>
      </c>
      <c r="K1630" s="4" t="s">
        <v>251</v>
      </c>
      <c r="L1630" s="4" t="s">
        <v>269</v>
      </c>
      <c r="M1630" s="5" t="s">
        <v>2274</v>
      </c>
      <c r="N1630" s="6">
        <f>2008</f>
        <v>2008</v>
      </c>
      <c r="O1630" s="4" t="s">
        <v>265</v>
      </c>
      <c r="P1630" s="6">
        <f>1</f>
        <v>1</v>
      </c>
      <c r="Q1630" s="6">
        <f>0</f>
        <v>0</v>
      </c>
      <c r="S1630" s="6">
        <f>0</f>
        <v>0</v>
      </c>
      <c r="T1630" s="6">
        <f>1</f>
        <v>1</v>
      </c>
      <c r="U1630" s="5" t="s">
        <v>245</v>
      </c>
      <c r="V1630" s="4" t="s">
        <v>270</v>
      </c>
      <c r="W1630" s="4" t="s">
        <v>271</v>
      </c>
      <c r="X1630" s="4" t="s">
        <v>273</v>
      </c>
      <c r="Y1630" s="4" t="s">
        <v>241</v>
      </c>
      <c r="AB1630" s="4" t="s">
        <v>241</v>
      </c>
      <c r="AD1630" s="5" t="s">
        <v>241</v>
      </c>
      <c r="AG1630" s="5" t="s">
        <v>246</v>
      </c>
      <c r="AH1630" s="4" t="s">
        <v>241</v>
      </c>
      <c r="AI1630" s="4" t="s">
        <v>247</v>
      </c>
      <c r="AJ1630" s="4" t="s">
        <v>248</v>
      </c>
      <c r="AZ1630" s="4" t="s">
        <v>249</v>
      </c>
      <c r="BA1630" s="4" t="s">
        <v>241</v>
      </c>
      <c r="BB1630" s="4" t="s">
        <v>250</v>
      </c>
      <c r="BC1630" s="4" t="s">
        <v>241</v>
      </c>
      <c r="BD1630" s="4" t="s">
        <v>252</v>
      </c>
      <c r="BE1630" s="4" t="s">
        <v>241</v>
      </c>
      <c r="BI1630" s="4" t="s">
        <v>253</v>
      </c>
      <c r="BJ1630" s="5" t="s">
        <v>246</v>
      </c>
      <c r="BK1630" s="4" t="s">
        <v>254</v>
      </c>
      <c r="BL1630" s="4" t="s">
        <v>255</v>
      </c>
      <c r="BM1630" s="4" t="s">
        <v>241</v>
      </c>
      <c r="BN1630" s="6">
        <f>0</f>
        <v>0</v>
      </c>
      <c r="BO1630" s="6">
        <f>0</f>
        <v>0</v>
      </c>
      <c r="BP1630" s="4" t="s">
        <v>256</v>
      </c>
      <c r="BQ1630" s="4" t="s">
        <v>257</v>
      </c>
      <c r="CE1630" s="4" t="s">
        <v>241</v>
      </c>
      <c r="CF1630" s="4" t="s">
        <v>241</v>
      </c>
      <c r="CJ1630" s="4" t="s">
        <v>276</v>
      </c>
      <c r="CK1630" s="4" t="s">
        <v>259</v>
      </c>
      <c r="CL1630" s="4" t="s">
        <v>241</v>
      </c>
      <c r="CO1630" s="5" t="s">
        <v>260</v>
      </c>
      <c r="CP1630" s="4" t="s">
        <v>241</v>
      </c>
      <c r="CQ1630" s="4" t="s">
        <v>261</v>
      </c>
      <c r="CR1630" s="4" t="s">
        <v>241</v>
      </c>
      <c r="CS1630" s="4" t="s">
        <v>241</v>
      </c>
      <c r="CT1630" s="4">
        <v>0</v>
      </c>
      <c r="CU1630" s="4" t="s">
        <v>262</v>
      </c>
      <c r="CV1630" s="4" t="s">
        <v>263</v>
      </c>
      <c r="CW1630" s="4" t="s">
        <v>263</v>
      </c>
      <c r="CX1630" s="4" t="s">
        <v>264</v>
      </c>
      <c r="DA1630" s="6">
        <f>1</f>
        <v>1</v>
      </c>
      <c r="DC1630" s="4" t="s">
        <v>277</v>
      </c>
      <c r="DD1630" s="4" t="s">
        <v>241</v>
      </c>
      <c r="DF1630" s="4" t="s">
        <v>277</v>
      </c>
      <c r="DG1630" s="6">
        <f>2008</f>
        <v>2008</v>
      </c>
      <c r="DI1630" s="4" t="s">
        <v>241</v>
      </c>
      <c r="DJ1630" s="4" t="s">
        <v>241</v>
      </c>
      <c r="DK1630" s="4" t="s">
        <v>241</v>
      </c>
      <c r="DL1630" s="4" t="s">
        <v>241</v>
      </c>
      <c r="DP1630" s="4" t="s">
        <v>241</v>
      </c>
      <c r="DQ1630" s="4" t="s">
        <v>241</v>
      </c>
      <c r="DR1630" s="4" t="s">
        <v>241</v>
      </c>
      <c r="DS1630" s="4" t="s">
        <v>241</v>
      </c>
      <c r="DV1630" s="4" t="s">
        <v>278</v>
      </c>
      <c r="DW1630" s="4" t="s">
        <v>2275</v>
      </c>
      <c r="HO1630" s="4" t="s">
        <v>267</v>
      </c>
    </row>
    <row r="1631" spans="1:223" ht="19.5" customHeight="1" x14ac:dyDescent="0.4">
      <c r="A1631" s="4">
        <v>1</v>
      </c>
      <c r="B1631" s="4" t="s">
        <v>239</v>
      </c>
      <c r="C1631" s="4">
        <v>3305</v>
      </c>
      <c r="D1631" s="4">
        <v>1</v>
      </c>
      <c r="E1631" s="4">
        <v>1</v>
      </c>
      <c r="F1631" s="4" t="s">
        <v>268</v>
      </c>
      <c r="G1631" s="4" t="s">
        <v>241</v>
      </c>
      <c r="H1631" s="4" t="s">
        <v>241</v>
      </c>
      <c r="I1631" s="4" t="s">
        <v>272</v>
      </c>
      <c r="J1631" s="4" t="s">
        <v>274</v>
      </c>
      <c r="K1631" s="4" t="s">
        <v>251</v>
      </c>
      <c r="L1631" s="4" t="s">
        <v>269</v>
      </c>
      <c r="M1631" s="5" t="s">
        <v>2272</v>
      </c>
      <c r="N1631" s="6">
        <f>2049</f>
        <v>2049</v>
      </c>
      <c r="O1631" s="4" t="s">
        <v>265</v>
      </c>
      <c r="P1631" s="6">
        <f>1</f>
        <v>1</v>
      </c>
      <c r="Q1631" s="6">
        <f>0</f>
        <v>0</v>
      </c>
      <c r="S1631" s="6">
        <f>0</f>
        <v>0</v>
      </c>
      <c r="T1631" s="6">
        <f>1</f>
        <v>1</v>
      </c>
      <c r="U1631" s="5" t="s">
        <v>245</v>
      </c>
      <c r="V1631" s="4" t="s">
        <v>270</v>
      </c>
      <c r="W1631" s="4" t="s">
        <v>271</v>
      </c>
      <c r="X1631" s="4" t="s">
        <v>273</v>
      </c>
      <c r="Y1631" s="4" t="s">
        <v>241</v>
      </c>
      <c r="AB1631" s="4" t="s">
        <v>241</v>
      </c>
      <c r="AD1631" s="5" t="s">
        <v>241</v>
      </c>
      <c r="AG1631" s="5" t="s">
        <v>246</v>
      </c>
      <c r="AH1631" s="4" t="s">
        <v>241</v>
      </c>
      <c r="AI1631" s="4" t="s">
        <v>247</v>
      </c>
      <c r="AJ1631" s="4" t="s">
        <v>248</v>
      </c>
      <c r="AZ1631" s="4" t="s">
        <v>249</v>
      </c>
      <c r="BA1631" s="4" t="s">
        <v>241</v>
      </c>
      <c r="BB1631" s="4" t="s">
        <v>250</v>
      </c>
      <c r="BC1631" s="4" t="s">
        <v>241</v>
      </c>
      <c r="BD1631" s="4" t="s">
        <v>252</v>
      </c>
      <c r="BE1631" s="4" t="s">
        <v>241</v>
      </c>
      <c r="BI1631" s="4" t="s">
        <v>253</v>
      </c>
      <c r="BJ1631" s="5" t="s">
        <v>246</v>
      </c>
      <c r="BK1631" s="4" t="s">
        <v>254</v>
      </c>
      <c r="BL1631" s="4" t="s">
        <v>255</v>
      </c>
      <c r="BM1631" s="4" t="s">
        <v>241</v>
      </c>
      <c r="BN1631" s="6">
        <f>0</f>
        <v>0</v>
      </c>
      <c r="BO1631" s="6">
        <f>0</f>
        <v>0</v>
      </c>
      <c r="BP1631" s="4" t="s">
        <v>256</v>
      </c>
      <c r="BQ1631" s="4" t="s">
        <v>257</v>
      </c>
      <c r="CE1631" s="4" t="s">
        <v>241</v>
      </c>
      <c r="CF1631" s="4" t="s">
        <v>241</v>
      </c>
      <c r="CJ1631" s="4" t="s">
        <v>276</v>
      </c>
      <c r="CK1631" s="4" t="s">
        <v>259</v>
      </c>
      <c r="CL1631" s="4" t="s">
        <v>241</v>
      </c>
      <c r="CO1631" s="5" t="s">
        <v>260</v>
      </c>
      <c r="CP1631" s="4" t="s">
        <v>241</v>
      </c>
      <c r="CQ1631" s="4" t="s">
        <v>261</v>
      </c>
      <c r="CR1631" s="4" t="s">
        <v>241</v>
      </c>
      <c r="CS1631" s="4" t="s">
        <v>241</v>
      </c>
      <c r="CT1631" s="4">
        <v>0</v>
      </c>
      <c r="CU1631" s="4" t="s">
        <v>262</v>
      </c>
      <c r="CV1631" s="4" t="s">
        <v>263</v>
      </c>
      <c r="CW1631" s="4" t="s">
        <v>263</v>
      </c>
      <c r="CX1631" s="4" t="s">
        <v>264</v>
      </c>
      <c r="DA1631" s="6">
        <f>1</f>
        <v>1</v>
      </c>
      <c r="DC1631" s="4" t="s">
        <v>277</v>
      </c>
      <c r="DD1631" s="4" t="s">
        <v>241</v>
      </c>
      <c r="DF1631" s="4" t="s">
        <v>277</v>
      </c>
      <c r="DG1631" s="6">
        <f>2049</f>
        <v>2049</v>
      </c>
      <c r="DI1631" s="4" t="s">
        <v>241</v>
      </c>
      <c r="DJ1631" s="4" t="s">
        <v>241</v>
      </c>
      <c r="DK1631" s="4" t="s">
        <v>241</v>
      </c>
      <c r="DL1631" s="4" t="s">
        <v>241</v>
      </c>
      <c r="DP1631" s="4" t="s">
        <v>241</v>
      </c>
      <c r="DQ1631" s="4" t="s">
        <v>241</v>
      </c>
      <c r="DR1631" s="4" t="s">
        <v>241</v>
      </c>
      <c r="DS1631" s="4" t="s">
        <v>241</v>
      </c>
      <c r="DV1631" s="4" t="s">
        <v>278</v>
      </c>
      <c r="DW1631" s="4" t="s">
        <v>2273</v>
      </c>
      <c r="HO1631" s="4" t="s">
        <v>267</v>
      </c>
    </row>
    <row r="1632" spans="1:223" ht="19.5" customHeight="1" x14ac:dyDescent="0.4">
      <c r="A1632" s="4">
        <v>1</v>
      </c>
      <c r="B1632" s="4" t="s">
        <v>239</v>
      </c>
      <c r="C1632" s="4">
        <v>3306</v>
      </c>
      <c r="D1632" s="4">
        <v>1</v>
      </c>
      <c r="E1632" s="4">
        <v>1</v>
      </c>
      <c r="F1632" s="4" t="s">
        <v>268</v>
      </c>
      <c r="G1632" s="4" t="s">
        <v>241</v>
      </c>
      <c r="H1632" s="4" t="s">
        <v>241</v>
      </c>
      <c r="I1632" s="4" t="s">
        <v>272</v>
      </c>
      <c r="J1632" s="4" t="s">
        <v>274</v>
      </c>
      <c r="K1632" s="4" t="s">
        <v>251</v>
      </c>
      <c r="L1632" s="4" t="s">
        <v>269</v>
      </c>
      <c r="M1632" s="5" t="s">
        <v>2270</v>
      </c>
      <c r="N1632" s="6">
        <f>3490</f>
        <v>3490</v>
      </c>
      <c r="O1632" s="4" t="s">
        <v>265</v>
      </c>
      <c r="P1632" s="6">
        <f>1</f>
        <v>1</v>
      </c>
      <c r="Q1632" s="6">
        <f>0</f>
        <v>0</v>
      </c>
      <c r="S1632" s="6">
        <f>0</f>
        <v>0</v>
      </c>
      <c r="T1632" s="6">
        <f>1</f>
        <v>1</v>
      </c>
      <c r="U1632" s="5" t="s">
        <v>245</v>
      </c>
      <c r="V1632" s="4" t="s">
        <v>270</v>
      </c>
      <c r="W1632" s="4" t="s">
        <v>271</v>
      </c>
      <c r="X1632" s="4" t="s">
        <v>273</v>
      </c>
      <c r="Y1632" s="4" t="s">
        <v>241</v>
      </c>
      <c r="AB1632" s="4" t="s">
        <v>241</v>
      </c>
      <c r="AD1632" s="5" t="s">
        <v>241</v>
      </c>
      <c r="AG1632" s="5" t="s">
        <v>246</v>
      </c>
      <c r="AH1632" s="4" t="s">
        <v>241</v>
      </c>
      <c r="AI1632" s="4" t="s">
        <v>247</v>
      </c>
      <c r="AJ1632" s="4" t="s">
        <v>248</v>
      </c>
      <c r="AZ1632" s="4" t="s">
        <v>249</v>
      </c>
      <c r="BA1632" s="4" t="s">
        <v>241</v>
      </c>
      <c r="BB1632" s="4" t="s">
        <v>250</v>
      </c>
      <c r="BC1632" s="4" t="s">
        <v>241</v>
      </c>
      <c r="BD1632" s="4" t="s">
        <v>252</v>
      </c>
      <c r="BE1632" s="4" t="s">
        <v>241</v>
      </c>
      <c r="BI1632" s="4" t="s">
        <v>253</v>
      </c>
      <c r="BJ1632" s="5" t="s">
        <v>246</v>
      </c>
      <c r="BK1632" s="4" t="s">
        <v>254</v>
      </c>
      <c r="BL1632" s="4" t="s">
        <v>255</v>
      </c>
      <c r="BM1632" s="4" t="s">
        <v>241</v>
      </c>
      <c r="BN1632" s="6">
        <f>0</f>
        <v>0</v>
      </c>
      <c r="BO1632" s="6">
        <f>0</f>
        <v>0</v>
      </c>
      <c r="BP1632" s="4" t="s">
        <v>256</v>
      </c>
      <c r="BQ1632" s="4" t="s">
        <v>257</v>
      </c>
      <c r="CE1632" s="4" t="s">
        <v>241</v>
      </c>
      <c r="CF1632" s="4" t="s">
        <v>241</v>
      </c>
      <c r="CJ1632" s="4" t="s">
        <v>276</v>
      </c>
      <c r="CK1632" s="4" t="s">
        <v>259</v>
      </c>
      <c r="CL1632" s="4" t="s">
        <v>241</v>
      </c>
      <c r="CO1632" s="5" t="s">
        <v>260</v>
      </c>
      <c r="CP1632" s="4" t="s">
        <v>241</v>
      </c>
      <c r="CQ1632" s="4" t="s">
        <v>261</v>
      </c>
      <c r="CR1632" s="4" t="s">
        <v>241</v>
      </c>
      <c r="CS1632" s="4" t="s">
        <v>241</v>
      </c>
      <c r="CT1632" s="4">
        <v>0</v>
      </c>
      <c r="CU1632" s="4" t="s">
        <v>262</v>
      </c>
      <c r="CV1632" s="4" t="s">
        <v>263</v>
      </c>
      <c r="CW1632" s="4" t="s">
        <v>263</v>
      </c>
      <c r="CX1632" s="4" t="s">
        <v>264</v>
      </c>
      <c r="DA1632" s="6">
        <f>1</f>
        <v>1</v>
      </c>
      <c r="DC1632" s="4" t="s">
        <v>277</v>
      </c>
      <c r="DD1632" s="4" t="s">
        <v>241</v>
      </c>
      <c r="DF1632" s="4" t="s">
        <v>277</v>
      </c>
      <c r="DG1632" s="6">
        <f>3490</f>
        <v>3490</v>
      </c>
      <c r="DI1632" s="4" t="s">
        <v>241</v>
      </c>
      <c r="DJ1632" s="4" t="s">
        <v>241</v>
      </c>
      <c r="DK1632" s="4" t="s">
        <v>241</v>
      </c>
      <c r="DL1632" s="4" t="s">
        <v>241</v>
      </c>
      <c r="DP1632" s="4" t="s">
        <v>241</v>
      </c>
      <c r="DQ1632" s="4" t="s">
        <v>241</v>
      </c>
      <c r="DR1632" s="4" t="s">
        <v>241</v>
      </c>
      <c r="DS1632" s="4" t="s">
        <v>241</v>
      </c>
      <c r="DV1632" s="4" t="s">
        <v>278</v>
      </c>
      <c r="DW1632" s="4" t="s">
        <v>2271</v>
      </c>
      <c r="HO1632" s="4" t="s">
        <v>267</v>
      </c>
    </row>
    <row r="1633" spans="1:223" ht="19.5" customHeight="1" x14ac:dyDescent="0.4">
      <c r="A1633" s="4">
        <v>1</v>
      </c>
      <c r="B1633" s="4" t="s">
        <v>239</v>
      </c>
      <c r="C1633" s="4">
        <v>3307</v>
      </c>
      <c r="D1633" s="4">
        <v>1</v>
      </c>
      <c r="E1633" s="4">
        <v>1</v>
      </c>
      <c r="F1633" s="4" t="s">
        <v>268</v>
      </c>
      <c r="G1633" s="4" t="s">
        <v>241</v>
      </c>
      <c r="H1633" s="4" t="s">
        <v>241</v>
      </c>
      <c r="I1633" s="4" t="s">
        <v>272</v>
      </c>
      <c r="J1633" s="4" t="s">
        <v>274</v>
      </c>
      <c r="K1633" s="4" t="s">
        <v>251</v>
      </c>
      <c r="L1633" s="4" t="s">
        <v>269</v>
      </c>
      <c r="M1633" s="5" t="s">
        <v>2268</v>
      </c>
      <c r="N1633" s="6">
        <f>1740</f>
        <v>1740</v>
      </c>
      <c r="O1633" s="4" t="s">
        <v>265</v>
      </c>
      <c r="P1633" s="6">
        <f>1</f>
        <v>1</v>
      </c>
      <c r="Q1633" s="6">
        <f>0</f>
        <v>0</v>
      </c>
      <c r="S1633" s="6">
        <f>0</f>
        <v>0</v>
      </c>
      <c r="T1633" s="6">
        <f>1</f>
        <v>1</v>
      </c>
      <c r="U1633" s="5" t="s">
        <v>245</v>
      </c>
      <c r="V1633" s="4" t="s">
        <v>270</v>
      </c>
      <c r="W1633" s="4" t="s">
        <v>271</v>
      </c>
      <c r="X1633" s="4" t="s">
        <v>273</v>
      </c>
      <c r="Y1633" s="4" t="s">
        <v>241</v>
      </c>
      <c r="AB1633" s="4" t="s">
        <v>241</v>
      </c>
      <c r="AD1633" s="5" t="s">
        <v>241</v>
      </c>
      <c r="AG1633" s="5" t="s">
        <v>246</v>
      </c>
      <c r="AH1633" s="4" t="s">
        <v>241</v>
      </c>
      <c r="AI1633" s="4" t="s">
        <v>247</v>
      </c>
      <c r="AJ1633" s="4" t="s">
        <v>248</v>
      </c>
      <c r="AZ1633" s="4" t="s">
        <v>249</v>
      </c>
      <c r="BA1633" s="4" t="s">
        <v>241</v>
      </c>
      <c r="BB1633" s="4" t="s">
        <v>250</v>
      </c>
      <c r="BC1633" s="4" t="s">
        <v>241</v>
      </c>
      <c r="BD1633" s="4" t="s">
        <v>252</v>
      </c>
      <c r="BE1633" s="4" t="s">
        <v>241</v>
      </c>
      <c r="BI1633" s="4" t="s">
        <v>253</v>
      </c>
      <c r="BJ1633" s="5" t="s">
        <v>246</v>
      </c>
      <c r="BK1633" s="4" t="s">
        <v>254</v>
      </c>
      <c r="BL1633" s="4" t="s">
        <v>255</v>
      </c>
      <c r="BM1633" s="4" t="s">
        <v>241</v>
      </c>
      <c r="BN1633" s="6">
        <f>0</f>
        <v>0</v>
      </c>
      <c r="BO1633" s="6">
        <f>0</f>
        <v>0</v>
      </c>
      <c r="BP1633" s="4" t="s">
        <v>256</v>
      </c>
      <c r="BQ1633" s="4" t="s">
        <v>257</v>
      </c>
      <c r="CE1633" s="4" t="s">
        <v>241</v>
      </c>
      <c r="CF1633" s="4" t="s">
        <v>241</v>
      </c>
      <c r="CJ1633" s="4" t="s">
        <v>276</v>
      </c>
      <c r="CK1633" s="4" t="s">
        <v>259</v>
      </c>
      <c r="CL1633" s="4" t="s">
        <v>241</v>
      </c>
      <c r="CO1633" s="5" t="s">
        <v>260</v>
      </c>
      <c r="CP1633" s="4" t="s">
        <v>241</v>
      </c>
      <c r="CQ1633" s="4" t="s">
        <v>261</v>
      </c>
      <c r="CR1633" s="4" t="s">
        <v>241</v>
      </c>
      <c r="CS1633" s="4" t="s">
        <v>241</v>
      </c>
      <c r="CT1633" s="4">
        <v>0</v>
      </c>
      <c r="CU1633" s="4" t="s">
        <v>262</v>
      </c>
      <c r="CV1633" s="4" t="s">
        <v>263</v>
      </c>
      <c r="CW1633" s="4" t="s">
        <v>263</v>
      </c>
      <c r="CX1633" s="4" t="s">
        <v>264</v>
      </c>
      <c r="DA1633" s="6">
        <f>1</f>
        <v>1</v>
      </c>
      <c r="DC1633" s="4" t="s">
        <v>277</v>
      </c>
      <c r="DD1633" s="4" t="s">
        <v>241</v>
      </c>
      <c r="DF1633" s="4" t="s">
        <v>277</v>
      </c>
      <c r="DG1633" s="6">
        <f>1740</f>
        <v>1740</v>
      </c>
      <c r="DI1633" s="4" t="s">
        <v>241</v>
      </c>
      <c r="DJ1633" s="4" t="s">
        <v>241</v>
      </c>
      <c r="DK1633" s="4" t="s">
        <v>241</v>
      </c>
      <c r="DL1633" s="4" t="s">
        <v>241</v>
      </c>
      <c r="DP1633" s="4" t="s">
        <v>241</v>
      </c>
      <c r="DQ1633" s="4" t="s">
        <v>241</v>
      </c>
      <c r="DR1633" s="4" t="s">
        <v>241</v>
      </c>
      <c r="DS1633" s="4" t="s">
        <v>241</v>
      </c>
      <c r="DV1633" s="4" t="s">
        <v>278</v>
      </c>
      <c r="DW1633" s="4" t="s">
        <v>2269</v>
      </c>
      <c r="HO1633" s="4" t="s">
        <v>267</v>
      </c>
    </row>
    <row r="1634" spans="1:223" ht="19.5" customHeight="1" x14ac:dyDescent="0.4">
      <c r="A1634" s="4">
        <v>1</v>
      </c>
      <c r="B1634" s="4" t="s">
        <v>239</v>
      </c>
      <c r="C1634" s="4">
        <v>3308</v>
      </c>
      <c r="D1634" s="4">
        <v>1</v>
      </c>
      <c r="E1634" s="4">
        <v>1</v>
      </c>
      <c r="F1634" s="4" t="s">
        <v>268</v>
      </c>
      <c r="G1634" s="4" t="s">
        <v>241</v>
      </c>
      <c r="H1634" s="4" t="s">
        <v>241</v>
      </c>
      <c r="I1634" s="4" t="s">
        <v>272</v>
      </c>
      <c r="J1634" s="4" t="s">
        <v>274</v>
      </c>
      <c r="K1634" s="4" t="s">
        <v>251</v>
      </c>
      <c r="L1634" s="4" t="s">
        <v>269</v>
      </c>
      <c r="M1634" s="5" t="s">
        <v>2266</v>
      </c>
      <c r="N1634" s="6">
        <f>1208</f>
        <v>1208</v>
      </c>
      <c r="O1634" s="4" t="s">
        <v>265</v>
      </c>
      <c r="P1634" s="6">
        <f>1</f>
        <v>1</v>
      </c>
      <c r="Q1634" s="6">
        <f>0</f>
        <v>0</v>
      </c>
      <c r="S1634" s="6">
        <f>0</f>
        <v>0</v>
      </c>
      <c r="T1634" s="6">
        <f>1</f>
        <v>1</v>
      </c>
      <c r="U1634" s="5" t="s">
        <v>245</v>
      </c>
      <c r="V1634" s="4" t="s">
        <v>270</v>
      </c>
      <c r="W1634" s="4" t="s">
        <v>271</v>
      </c>
      <c r="X1634" s="4" t="s">
        <v>273</v>
      </c>
      <c r="Y1634" s="4" t="s">
        <v>241</v>
      </c>
      <c r="AB1634" s="4" t="s">
        <v>241</v>
      </c>
      <c r="AD1634" s="5" t="s">
        <v>241</v>
      </c>
      <c r="AG1634" s="5" t="s">
        <v>246</v>
      </c>
      <c r="AH1634" s="4" t="s">
        <v>241</v>
      </c>
      <c r="AI1634" s="4" t="s">
        <v>247</v>
      </c>
      <c r="AJ1634" s="4" t="s">
        <v>248</v>
      </c>
      <c r="AZ1634" s="4" t="s">
        <v>249</v>
      </c>
      <c r="BA1634" s="4" t="s">
        <v>241</v>
      </c>
      <c r="BB1634" s="4" t="s">
        <v>250</v>
      </c>
      <c r="BC1634" s="4" t="s">
        <v>241</v>
      </c>
      <c r="BD1634" s="4" t="s">
        <v>252</v>
      </c>
      <c r="BE1634" s="4" t="s">
        <v>241</v>
      </c>
      <c r="BI1634" s="4" t="s">
        <v>253</v>
      </c>
      <c r="BJ1634" s="5" t="s">
        <v>246</v>
      </c>
      <c r="BK1634" s="4" t="s">
        <v>254</v>
      </c>
      <c r="BL1634" s="4" t="s">
        <v>255</v>
      </c>
      <c r="BM1634" s="4" t="s">
        <v>241</v>
      </c>
      <c r="BN1634" s="6">
        <f>0</f>
        <v>0</v>
      </c>
      <c r="BO1634" s="6">
        <f>0</f>
        <v>0</v>
      </c>
      <c r="BP1634" s="4" t="s">
        <v>256</v>
      </c>
      <c r="BQ1634" s="4" t="s">
        <v>257</v>
      </c>
      <c r="CE1634" s="4" t="s">
        <v>241</v>
      </c>
      <c r="CF1634" s="4" t="s">
        <v>241</v>
      </c>
      <c r="CJ1634" s="4" t="s">
        <v>276</v>
      </c>
      <c r="CK1634" s="4" t="s">
        <v>259</v>
      </c>
      <c r="CL1634" s="4" t="s">
        <v>241</v>
      </c>
      <c r="CO1634" s="5" t="s">
        <v>260</v>
      </c>
      <c r="CP1634" s="4" t="s">
        <v>241</v>
      </c>
      <c r="CQ1634" s="4" t="s">
        <v>261</v>
      </c>
      <c r="CR1634" s="4" t="s">
        <v>241</v>
      </c>
      <c r="CS1634" s="4" t="s">
        <v>241</v>
      </c>
      <c r="CT1634" s="4">
        <v>0</v>
      </c>
      <c r="CU1634" s="4" t="s">
        <v>262</v>
      </c>
      <c r="CV1634" s="4" t="s">
        <v>263</v>
      </c>
      <c r="CW1634" s="4" t="s">
        <v>263</v>
      </c>
      <c r="CX1634" s="4" t="s">
        <v>264</v>
      </c>
      <c r="DA1634" s="6">
        <f>1</f>
        <v>1</v>
      </c>
      <c r="DC1634" s="4" t="s">
        <v>277</v>
      </c>
      <c r="DD1634" s="4" t="s">
        <v>241</v>
      </c>
      <c r="DF1634" s="4" t="s">
        <v>277</v>
      </c>
      <c r="DG1634" s="6">
        <f>1208</f>
        <v>1208</v>
      </c>
      <c r="DI1634" s="4" t="s">
        <v>241</v>
      </c>
      <c r="DJ1634" s="4" t="s">
        <v>241</v>
      </c>
      <c r="DK1634" s="4" t="s">
        <v>241</v>
      </c>
      <c r="DL1634" s="4" t="s">
        <v>241</v>
      </c>
      <c r="DP1634" s="4" t="s">
        <v>241</v>
      </c>
      <c r="DQ1634" s="4" t="s">
        <v>241</v>
      </c>
      <c r="DR1634" s="4" t="s">
        <v>241</v>
      </c>
      <c r="DS1634" s="4" t="s">
        <v>241</v>
      </c>
      <c r="DV1634" s="4" t="s">
        <v>278</v>
      </c>
      <c r="DW1634" s="4" t="s">
        <v>2267</v>
      </c>
      <c r="HO1634" s="4" t="s">
        <v>267</v>
      </c>
    </row>
    <row r="1635" spans="1:223" ht="19.5" customHeight="1" x14ac:dyDescent="0.4">
      <c r="A1635" s="4">
        <v>1</v>
      </c>
      <c r="B1635" s="4" t="s">
        <v>239</v>
      </c>
      <c r="C1635" s="4">
        <v>3309</v>
      </c>
      <c r="D1635" s="4">
        <v>1</v>
      </c>
      <c r="E1635" s="4">
        <v>1</v>
      </c>
      <c r="F1635" s="4" t="s">
        <v>268</v>
      </c>
      <c r="G1635" s="4" t="s">
        <v>241</v>
      </c>
      <c r="H1635" s="4" t="s">
        <v>241</v>
      </c>
      <c r="I1635" s="4" t="s">
        <v>272</v>
      </c>
      <c r="J1635" s="4" t="s">
        <v>274</v>
      </c>
      <c r="K1635" s="4" t="s">
        <v>251</v>
      </c>
      <c r="L1635" s="4" t="s">
        <v>269</v>
      </c>
      <c r="M1635" s="5" t="s">
        <v>2264</v>
      </c>
      <c r="N1635" s="6">
        <f>1760</f>
        <v>1760</v>
      </c>
      <c r="O1635" s="4" t="s">
        <v>265</v>
      </c>
      <c r="P1635" s="6">
        <f>1</f>
        <v>1</v>
      </c>
      <c r="Q1635" s="6">
        <f>0</f>
        <v>0</v>
      </c>
      <c r="S1635" s="6">
        <f>0</f>
        <v>0</v>
      </c>
      <c r="T1635" s="6">
        <f>1</f>
        <v>1</v>
      </c>
      <c r="U1635" s="5" t="s">
        <v>245</v>
      </c>
      <c r="V1635" s="4" t="s">
        <v>270</v>
      </c>
      <c r="W1635" s="4" t="s">
        <v>271</v>
      </c>
      <c r="X1635" s="4" t="s">
        <v>273</v>
      </c>
      <c r="Y1635" s="4" t="s">
        <v>241</v>
      </c>
      <c r="AB1635" s="4" t="s">
        <v>241</v>
      </c>
      <c r="AD1635" s="5" t="s">
        <v>241</v>
      </c>
      <c r="AG1635" s="5" t="s">
        <v>246</v>
      </c>
      <c r="AH1635" s="4" t="s">
        <v>241</v>
      </c>
      <c r="AI1635" s="4" t="s">
        <v>247</v>
      </c>
      <c r="AJ1635" s="4" t="s">
        <v>248</v>
      </c>
      <c r="AZ1635" s="4" t="s">
        <v>249</v>
      </c>
      <c r="BA1635" s="4" t="s">
        <v>241</v>
      </c>
      <c r="BB1635" s="4" t="s">
        <v>250</v>
      </c>
      <c r="BC1635" s="4" t="s">
        <v>241</v>
      </c>
      <c r="BD1635" s="4" t="s">
        <v>252</v>
      </c>
      <c r="BE1635" s="4" t="s">
        <v>241</v>
      </c>
      <c r="BI1635" s="4" t="s">
        <v>253</v>
      </c>
      <c r="BJ1635" s="5" t="s">
        <v>246</v>
      </c>
      <c r="BK1635" s="4" t="s">
        <v>254</v>
      </c>
      <c r="BL1635" s="4" t="s">
        <v>255</v>
      </c>
      <c r="BM1635" s="4" t="s">
        <v>241</v>
      </c>
      <c r="BN1635" s="6">
        <f>0</f>
        <v>0</v>
      </c>
      <c r="BO1635" s="6">
        <f>0</f>
        <v>0</v>
      </c>
      <c r="BP1635" s="4" t="s">
        <v>256</v>
      </c>
      <c r="BQ1635" s="4" t="s">
        <v>257</v>
      </c>
      <c r="CE1635" s="4" t="s">
        <v>241</v>
      </c>
      <c r="CF1635" s="4" t="s">
        <v>241</v>
      </c>
      <c r="CJ1635" s="4" t="s">
        <v>276</v>
      </c>
      <c r="CK1635" s="4" t="s">
        <v>259</v>
      </c>
      <c r="CL1635" s="4" t="s">
        <v>241</v>
      </c>
      <c r="CO1635" s="5" t="s">
        <v>260</v>
      </c>
      <c r="CP1635" s="4" t="s">
        <v>241</v>
      </c>
      <c r="CQ1635" s="4" t="s">
        <v>261</v>
      </c>
      <c r="CR1635" s="4" t="s">
        <v>241</v>
      </c>
      <c r="CS1635" s="4" t="s">
        <v>241</v>
      </c>
      <c r="CT1635" s="4">
        <v>0</v>
      </c>
      <c r="CU1635" s="4" t="s">
        <v>262</v>
      </c>
      <c r="CV1635" s="4" t="s">
        <v>263</v>
      </c>
      <c r="CW1635" s="4" t="s">
        <v>263</v>
      </c>
      <c r="CX1635" s="4" t="s">
        <v>264</v>
      </c>
      <c r="DA1635" s="6">
        <f>1</f>
        <v>1</v>
      </c>
      <c r="DC1635" s="4" t="s">
        <v>277</v>
      </c>
      <c r="DD1635" s="4" t="s">
        <v>241</v>
      </c>
      <c r="DF1635" s="4" t="s">
        <v>277</v>
      </c>
      <c r="DG1635" s="6">
        <f>1760</f>
        <v>1760</v>
      </c>
      <c r="DI1635" s="4" t="s">
        <v>241</v>
      </c>
      <c r="DJ1635" s="4" t="s">
        <v>241</v>
      </c>
      <c r="DK1635" s="4" t="s">
        <v>241</v>
      </c>
      <c r="DL1635" s="4" t="s">
        <v>241</v>
      </c>
      <c r="DP1635" s="4" t="s">
        <v>241</v>
      </c>
      <c r="DQ1635" s="4" t="s">
        <v>241</v>
      </c>
      <c r="DR1635" s="4" t="s">
        <v>241</v>
      </c>
      <c r="DS1635" s="4" t="s">
        <v>241</v>
      </c>
      <c r="DV1635" s="4" t="s">
        <v>278</v>
      </c>
      <c r="DW1635" s="4" t="s">
        <v>2265</v>
      </c>
      <c r="HO1635" s="4" t="s">
        <v>267</v>
      </c>
    </row>
    <row r="1636" spans="1:223" ht="19.5" customHeight="1" x14ac:dyDescent="0.4">
      <c r="A1636" s="4">
        <v>1</v>
      </c>
      <c r="B1636" s="4" t="s">
        <v>239</v>
      </c>
      <c r="C1636" s="4">
        <v>3310</v>
      </c>
      <c r="D1636" s="4">
        <v>1</v>
      </c>
      <c r="E1636" s="4">
        <v>1</v>
      </c>
      <c r="F1636" s="4" t="s">
        <v>268</v>
      </c>
      <c r="G1636" s="4" t="s">
        <v>241</v>
      </c>
      <c r="H1636" s="4" t="s">
        <v>241</v>
      </c>
      <c r="I1636" s="4" t="s">
        <v>272</v>
      </c>
      <c r="J1636" s="4" t="s">
        <v>274</v>
      </c>
      <c r="K1636" s="4" t="s">
        <v>251</v>
      </c>
      <c r="L1636" s="4" t="s">
        <v>269</v>
      </c>
      <c r="M1636" s="5" t="s">
        <v>2262</v>
      </c>
      <c r="N1636" s="6">
        <f>447</f>
        <v>447</v>
      </c>
      <c r="O1636" s="4" t="s">
        <v>265</v>
      </c>
      <c r="P1636" s="6">
        <f>1</f>
        <v>1</v>
      </c>
      <c r="Q1636" s="6">
        <f>0</f>
        <v>0</v>
      </c>
      <c r="S1636" s="6">
        <f>0</f>
        <v>0</v>
      </c>
      <c r="T1636" s="6">
        <f>1</f>
        <v>1</v>
      </c>
      <c r="U1636" s="5" t="s">
        <v>245</v>
      </c>
      <c r="V1636" s="4" t="s">
        <v>270</v>
      </c>
      <c r="W1636" s="4" t="s">
        <v>271</v>
      </c>
      <c r="X1636" s="4" t="s">
        <v>273</v>
      </c>
      <c r="Y1636" s="4" t="s">
        <v>241</v>
      </c>
      <c r="AB1636" s="4" t="s">
        <v>241</v>
      </c>
      <c r="AD1636" s="5" t="s">
        <v>241</v>
      </c>
      <c r="AG1636" s="5" t="s">
        <v>246</v>
      </c>
      <c r="AH1636" s="4" t="s">
        <v>241</v>
      </c>
      <c r="AI1636" s="4" t="s">
        <v>247</v>
      </c>
      <c r="AJ1636" s="4" t="s">
        <v>248</v>
      </c>
      <c r="AZ1636" s="4" t="s">
        <v>249</v>
      </c>
      <c r="BA1636" s="4" t="s">
        <v>241</v>
      </c>
      <c r="BB1636" s="4" t="s">
        <v>250</v>
      </c>
      <c r="BC1636" s="4" t="s">
        <v>241</v>
      </c>
      <c r="BD1636" s="4" t="s">
        <v>252</v>
      </c>
      <c r="BE1636" s="4" t="s">
        <v>241</v>
      </c>
      <c r="BI1636" s="4" t="s">
        <v>253</v>
      </c>
      <c r="BJ1636" s="5" t="s">
        <v>246</v>
      </c>
      <c r="BK1636" s="4" t="s">
        <v>254</v>
      </c>
      <c r="BL1636" s="4" t="s">
        <v>255</v>
      </c>
      <c r="BM1636" s="4" t="s">
        <v>241</v>
      </c>
      <c r="BN1636" s="6">
        <f>0</f>
        <v>0</v>
      </c>
      <c r="BO1636" s="6">
        <f>0</f>
        <v>0</v>
      </c>
      <c r="BP1636" s="4" t="s">
        <v>256</v>
      </c>
      <c r="BQ1636" s="4" t="s">
        <v>257</v>
      </c>
      <c r="CE1636" s="4" t="s">
        <v>241</v>
      </c>
      <c r="CF1636" s="4" t="s">
        <v>241</v>
      </c>
      <c r="CJ1636" s="4" t="s">
        <v>276</v>
      </c>
      <c r="CK1636" s="4" t="s">
        <v>259</v>
      </c>
      <c r="CL1636" s="4" t="s">
        <v>241</v>
      </c>
      <c r="CO1636" s="5" t="s">
        <v>260</v>
      </c>
      <c r="CP1636" s="4" t="s">
        <v>241</v>
      </c>
      <c r="CQ1636" s="4" t="s">
        <v>261</v>
      </c>
      <c r="CR1636" s="4" t="s">
        <v>241</v>
      </c>
      <c r="CS1636" s="4" t="s">
        <v>241</v>
      </c>
      <c r="CT1636" s="4">
        <v>0</v>
      </c>
      <c r="CU1636" s="4" t="s">
        <v>262</v>
      </c>
      <c r="CV1636" s="4" t="s">
        <v>263</v>
      </c>
      <c r="CW1636" s="4" t="s">
        <v>263</v>
      </c>
      <c r="CX1636" s="4" t="s">
        <v>264</v>
      </c>
      <c r="DA1636" s="6">
        <f>1</f>
        <v>1</v>
      </c>
      <c r="DC1636" s="4" t="s">
        <v>277</v>
      </c>
      <c r="DD1636" s="4" t="s">
        <v>241</v>
      </c>
      <c r="DF1636" s="4" t="s">
        <v>277</v>
      </c>
      <c r="DG1636" s="6">
        <f>447</f>
        <v>447</v>
      </c>
      <c r="DI1636" s="4" t="s">
        <v>241</v>
      </c>
      <c r="DJ1636" s="4" t="s">
        <v>241</v>
      </c>
      <c r="DK1636" s="4" t="s">
        <v>241</v>
      </c>
      <c r="DL1636" s="4" t="s">
        <v>241</v>
      </c>
      <c r="DP1636" s="4" t="s">
        <v>241</v>
      </c>
      <c r="DQ1636" s="4" t="s">
        <v>241</v>
      </c>
      <c r="DR1636" s="4" t="s">
        <v>241</v>
      </c>
      <c r="DS1636" s="4" t="s">
        <v>241</v>
      </c>
      <c r="DV1636" s="4" t="s">
        <v>278</v>
      </c>
      <c r="DW1636" s="4" t="s">
        <v>2263</v>
      </c>
      <c r="HO1636" s="4" t="s">
        <v>267</v>
      </c>
    </row>
    <row r="1637" spans="1:223" ht="19.5" customHeight="1" x14ac:dyDescent="0.4">
      <c r="A1637" s="4">
        <v>1</v>
      </c>
      <c r="B1637" s="4" t="s">
        <v>239</v>
      </c>
      <c r="C1637" s="4">
        <v>3311</v>
      </c>
      <c r="D1637" s="4">
        <v>1</v>
      </c>
      <c r="E1637" s="4">
        <v>1</v>
      </c>
      <c r="F1637" s="4" t="s">
        <v>268</v>
      </c>
      <c r="G1637" s="4" t="s">
        <v>241</v>
      </c>
      <c r="H1637" s="4" t="s">
        <v>241</v>
      </c>
      <c r="I1637" s="4" t="s">
        <v>272</v>
      </c>
      <c r="J1637" s="4" t="s">
        <v>274</v>
      </c>
      <c r="K1637" s="4" t="s">
        <v>251</v>
      </c>
      <c r="L1637" s="4" t="s">
        <v>269</v>
      </c>
      <c r="M1637" s="5" t="s">
        <v>2260</v>
      </c>
      <c r="N1637" s="6">
        <f>144</f>
        <v>144</v>
      </c>
      <c r="O1637" s="4" t="s">
        <v>265</v>
      </c>
      <c r="P1637" s="6">
        <f>1</f>
        <v>1</v>
      </c>
      <c r="Q1637" s="6">
        <f>0</f>
        <v>0</v>
      </c>
      <c r="S1637" s="6">
        <f>0</f>
        <v>0</v>
      </c>
      <c r="T1637" s="6">
        <f>1</f>
        <v>1</v>
      </c>
      <c r="U1637" s="5" t="s">
        <v>245</v>
      </c>
      <c r="V1637" s="4" t="s">
        <v>270</v>
      </c>
      <c r="W1637" s="4" t="s">
        <v>271</v>
      </c>
      <c r="X1637" s="4" t="s">
        <v>273</v>
      </c>
      <c r="Y1637" s="4" t="s">
        <v>241</v>
      </c>
      <c r="AB1637" s="4" t="s">
        <v>241</v>
      </c>
      <c r="AD1637" s="5" t="s">
        <v>241</v>
      </c>
      <c r="AG1637" s="5" t="s">
        <v>246</v>
      </c>
      <c r="AH1637" s="4" t="s">
        <v>241</v>
      </c>
      <c r="AI1637" s="4" t="s">
        <v>247</v>
      </c>
      <c r="AJ1637" s="4" t="s">
        <v>248</v>
      </c>
      <c r="AZ1637" s="4" t="s">
        <v>249</v>
      </c>
      <c r="BA1637" s="4" t="s">
        <v>241</v>
      </c>
      <c r="BB1637" s="4" t="s">
        <v>250</v>
      </c>
      <c r="BC1637" s="4" t="s">
        <v>241</v>
      </c>
      <c r="BD1637" s="4" t="s">
        <v>252</v>
      </c>
      <c r="BE1637" s="4" t="s">
        <v>241</v>
      </c>
      <c r="BI1637" s="4" t="s">
        <v>253</v>
      </c>
      <c r="BJ1637" s="5" t="s">
        <v>246</v>
      </c>
      <c r="BK1637" s="4" t="s">
        <v>254</v>
      </c>
      <c r="BL1637" s="4" t="s">
        <v>255</v>
      </c>
      <c r="BM1637" s="4" t="s">
        <v>241</v>
      </c>
      <c r="BN1637" s="6">
        <f>0</f>
        <v>0</v>
      </c>
      <c r="BO1637" s="6">
        <f>0</f>
        <v>0</v>
      </c>
      <c r="BP1637" s="4" t="s">
        <v>256</v>
      </c>
      <c r="BQ1637" s="4" t="s">
        <v>257</v>
      </c>
      <c r="CE1637" s="4" t="s">
        <v>241</v>
      </c>
      <c r="CF1637" s="4" t="s">
        <v>241</v>
      </c>
      <c r="CJ1637" s="4" t="s">
        <v>276</v>
      </c>
      <c r="CK1637" s="4" t="s">
        <v>259</v>
      </c>
      <c r="CL1637" s="4" t="s">
        <v>241</v>
      </c>
      <c r="CO1637" s="5" t="s">
        <v>260</v>
      </c>
      <c r="CP1637" s="4" t="s">
        <v>241</v>
      </c>
      <c r="CQ1637" s="4" t="s">
        <v>261</v>
      </c>
      <c r="CR1637" s="4" t="s">
        <v>241</v>
      </c>
      <c r="CS1637" s="4" t="s">
        <v>241</v>
      </c>
      <c r="CT1637" s="4">
        <v>0</v>
      </c>
      <c r="CU1637" s="4" t="s">
        <v>262</v>
      </c>
      <c r="CV1637" s="4" t="s">
        <v>263</v>
      </c>
      <c r="CW1637" s="4" t="s">
        <v>263</v>
      </c>
      <c r="CX1637" s="4" t="s">
        <v>264</v>
      </c>
      <c r="DA1637" s="6">
        <f>1</f>
        <v>1</v>
      </c>
      <c r="DC1637" s="4" t="s">
        <v>277</v>
      </c>
      <c r="DD1637" s="4" t="s">
        <v>241</v>
      </c>
      <c r="DF1637" s="4" t="s">
        <v>277</v>
      </c>
      <c r="DG1637" s="6">
        <f>144</f>
        <v>144</v>
      </c>
      <c r="DI1637" s="4" t="s">
        <v>241</v>
      </c>
      <c r="DJ1637" s="4" t="s">
        <v>241</v>
      </c>
      <c r="DK1637" s="4" t="s">
        <v>241</v>
      </c>
      <c r="DL1637" s="4" t="s">
        <v>241</v>
      </c>
      <c r="DP1637" s="4" t="s">
        <v>241</v>
      </c>
      <c r="DQ1637" s="4" t="s">
        <v>241</v>
      </c>
      <c r="DR1637" s="4" t="s">
        <v>241</v>
      </c>
      <c r="DS1637" s="4" t="s">
        <v>241</v>
      </c>
      <c r="DV1637" s="4" t="s">
        <v>278</v>
      </c>
      <c r="DW1637" s="4" t="s">
        <v>2261</v>
      </c>
      <c r="HO1637" s="4" t="s">
        <v>267</v>
      </c>
    </row>
    <row r="1638" spans="1:223" ht="19.5" customHeight="1" x14ac:dyDescent="0.4">
      <c r="A1638" s="4">
        <v>1</v>
      </c>
      <c r="B1638" s="4" t="s">
        <v>239</v>
      </c>
      <c r="C1638" s="4">
        <v>3312</v>
      </c>
      <c r="D1638" s="4">
        <v>1</v>
      </c>
      <c r="E1638" s="4">
        <v>1</v>
      </c>
      <c r="F1638" s="4" t="s">
        <v>268</v>
      </c>
      <c r="G1638" s="4" t="s">
        <v>241</v>
      </c>
      <c r="H1638" s="4" t="s">
        <v>241</v>
      </c>
      <c r="I1638" s="4" t="s">
        <v>272</v>
      </c>
      <c r="J1638" s="4" t="s">
        <v>274</v>
      </c>
      <c r="K1638" s="4" t="s">
        <v>251</v>
      </c>
      <c r="L1638" s="4" t="s">
        <v>269</v>
      </c>
      <c r="M1638" s="5" t="s">
        <v>2258</v>
      </c>
      <c r="N1638" s="6">
        <f>1146</f>
        <v>1146</v>
      </c>
      <c r="O1638" s="4" t="s">
        <v>265</v>
      </c>
      <c r="P1638" s="6">
        <f>1</f>
        <v>1</v>
      </c>
      <c r="Q1638" s="6">
        <f>0</f>
        <v>0</v>
      </c>
      <c r="S1638" s="6">
        <f>0</f>
        <v>0</v>
      </c>
      <c r="T1638" s="6">
        <f>1</f>
        <v>1</v>
      </c>
      <c r="U1638" s="5" t="s">
        <v>245</v>
      </c>
      <c r="V1638" s="4" t="s">
        <v>270</v>
      </c>
      <c r="W1638" s="4" t="s">
        <v>271</v>
      </c>
      <c r="X1638" s="4" t="s">
        <v>273</v>
      </c>
      <c r="Y1638" s="4" t="s">
        <v>241</v>
      </c>
      <c r="AB1638" s="4" t="s">
        <v>241</v>
      </c>
      <c r="AD1638" s="5" t="s">
        <v>241</v>
      </c>
      <c r="AG1638" s="5" t="s">
        <v>246</v>
      </c>
      <c r="AH1638" s="4" t="s">
        <v>241</v>
      </c>
      <c r="AI1638" s="4" t="s">
        <v>247</v>
      </c>
      <c r="AJ1638" s="4" t="s">
        <v>248</v>
      </c>
      <c r="AZ1638" s="4" t="s">
        <v>249</v>
      </c>
      <c r="BA1638" s="4" t="s">
        <v>241</v>
      </c>
      <c r="BB1638" s="4" t="s">
        <v>250</v>
      </c>
      <c r="BC1638" s="4" t="s">
        <v>241</v>
      </c>
      <c r="BD1638" s="4" t="s">
        <v>252</v>
      </c>
      <c r="BE1638" s="4" t="s">
        <v>241</v>
      </c>
      <c r="BI1638" s="4" t="s">
        <v>253</v>
      </c>
      <c r="BJ1638" s="5" t="s">
        <v>246</v>
      </c>
      <c r="BK1638" s="4" t="s">
        <v>254</v>
      </c>
      <c r="BL1638" s="4" t="s">
        <v>255</v>
      </c>
      <c r="BM1638" s="4" t="s">
        <v>241</v>
      </c>
      <c r="BN1638" s="6">
        <f>0</f>
        <v>0</v>
      </c>
      <c r="BO1638" s="6">
        <f>0</f>
        <v>0</v>
      </c>
      <c r="BP1638" s="4" t="s">
        <v>256</v>
      </c>
      <c r="BQ1638" s="4" t="s">
        <v>257</v>
      </c>
      <c r="CE1638" s="4" t="s">
        <v>241</v>
      </c>
      <c r="CF1638" s="4" t="s">
        <v>241</v>
      </c>
      <c r="CJ1638" s="4" t="s">
        <v>276</v>
      </c>
      <c r="CK1638" s="4" t="s">
        <v>259</v>
      </c>
      <c r="CL1638" s="4" t="s">
        <v>241</v>
      </c>
      <c r="CO1638" s="5" t="s">
        <v>260</v>
      </c>
      <c r="CP1638" s="4" t="s">
        <v>241</v>
      </c>
      <c r="CQ1638" s="4" t="s">
        <v>261</v>
      </c>
      <c r="CR1638" s="4" t="s">
        <v>241</v>
      </c>
      <c r="CS1638" s="4" t="s">
        <v>241</v>
      </c>
      <c r="CT1638" s="4">
        <v>0</v>
      </c>
      <c r="CU1638" s="4" t="s">
        <v>262</v>
      </c>
      <c r="CV1638" s="4" t="s">
        <v>263</v>
      </c>
      <c r="CW1638" s="4" t="s">
        <v>263</v>
      </c>
      <c r="CX1638" s="4" t="s">
        <v>264</v>
      </c>
      <c r="DA1638" s="6">
        <f>1</f>
        <v>1</v>
      </c>
      <c r="DC1638" s="4" t="s">
        <v>277</v>
      </c>
      <c r="DD1638" s="4" t="s">
        <v>241</v>
      </c>
      <c r="DF1638" s="4" t="s">
        <v>277</v>
      </c>
      <c r="DG1638" s="6">
        <f>1146</f>
        <v>1146</v>
      </c>
      <c r="DI1638" s="4" t="s">
        <v>241</v>
      </c>
      <c r="DJ1638" s="4" t="s">
        <v>241</v>
      </c>
      <c r="DK1638" s="4" t="s">
        <v>241</v>
      </c>
      <c r="DL1638" s="4" t="s">
        <v>241</v>
      </c>
      <c r="DP1638" s="4" t="s">
        <v>241</v>
      </c>
      <c r="DQ1638" s="4" t="s">
        <v>241</v>
      </c>
      <c r="DR1638" s="4" t="s">
        <v>241</v>
      </c>
      <c r="DS1638" s="4" t="s">
        <v>241</v>
      </c>
      <c r="DV1638" s="4" t="s">
        <v>278</v>
      </c>
      <c r="DW1638" s="4" t="s">
        <v>964</v>
      </c>
      <c r="HO1638" s="4" t="s">
        <v>267</v>
      </c>
    </row>
    <row r="1639" spans="1:223" ht="19.5" customHeight="1" x14ac:dyDescent="0.4">
      <c r="A1639" s="4">
        <v>1</v>
      </c>
      <c r="B1639" s="4" t="s">
        <v>239</v>
      </c>
      <c r="C1639" s="4">
        <v>3313</v>
      </c>
      <c r="D1639" s="4">
        <v>1</v>
      </c>
      <c r="E1639" s="4">
        <v>1</v>
      </c>
      <c r="F1639" s="4" t="s">
        <v>268</v>
      </c>
      <c r="G1639" s="4" t="s">
        <v>241</v>
      </c>
      <c r="H1639" s="4" t="s">
        <v>241</v>
      </c>
      <c r="I1639" s="4" t="s">
        <v>272</v>
      </c>
      <c r="J1639" s="4" t="s">
        <v>274</v>
      </c>
      <c r="K1639" s="4" t="s">
        <v>251</v>
      </c>
      <c r="L1639" s="4" t="s">
        <v>269</v>
      </c>
      <c r="M1639" s="5" t="s">
        <v>2257</v>
      </c>
      <c r="N1639" s="6">
        <f>688</f>
        <v>688</v>
      </c>
      <c r="O1639" s="4" t="s">
        <v>265</v>
      </c>
      <c r="P1639" s="6">
        <f>1</f>
        <v>1</v>
      </c>
      <c r="Q1639" s="6">
        <f>0</f>
        <v>0</v>
      </c>
      <c r="S1639" s="6">
        <f>0</f>
        <v>0</v>
      </c>
      <c r="T1639" s="6">
        <f>1</f>
        <v>1</v>
      </c>
      <c r="U1639" s="5" t="s">
        <v>245</v>
      </c>
      <c r="V1639" s="4" t="s">
        <v>270</v>
      </c>
      <c r="W1639" s="4" t="s">
        <v>271</v>
      </c>
      <c r="X1639" s="4" t="s">
        <v>273</v>
      </c>
      <c r="Y1639" s="4" t="s">
        <v>241</v>
      </c>
      <c r="AB1639" s="4" t="s">
        <v>241</v>
      </c>
      <c r="AD1639" s="5" t="s">
        <v>241</v>
      </c>
      <c r="AG1639" s="5" t="s">
        <v>246</v>
      </c>
      <c r="AH1639" s="4" t="s">
        <v>241</v>
      </c>
      <c r="AI1639" s="4" t="s">
        <v>247</v>
      </c>
      <c r="AJ1639" s="4" t="s">
        <v>248</v>
      </c>
      <c r="AZ1639" s="4" t="s">
        <v>249</v>
      </c>
      <c r="BA1639" s="4" t="s">
        <v>241</v>
      </c>
      <c r="BB1639" s="4" t="s">
        <v>250</v>
      </c>
      <c r="BC1639" s="4" t="s">
        <v>241</v>
      </c>
      <c r="BD1639" s="4" t="s">
        <v>252</v>
      </c>
      <c r="BE1639" s="4" t="s">
        <v>241</v>
      </c>
      <c r="BI1639" s="4" t="s">
        <v>253</v>
      </c>
      <c r="BJ1639" s="5" t="s">
        <v>246</v>
      </c>
      <c r="BK1639" s="4" t="s">
        <v>254</v>
      </c>
      <c r="BL1639" s="4" t="s">
        <v>255</v>
      </c>
      <c r="BM1639" s="4" t="s">
        <v>241</v>
      </c>
      <c r="BN1639" s="6">
        <f>0</f>
        <v>0</v>
      </c>
      <c r="BO1639" s="6">
        <f>0</f>
        <v>0</v>
      </c>
      <c r="BP1639" s="4" t="s">
        <v>256</v>
      </c>
      <c r="BQ1639" s="4" t="s">
        <v>257</v>
      </c>
      <c r="CE1639" s="4" t="s">
        <v>241</v>
      </c>
      <c r="CF1639" s="4" t="s">
        <v>241</v>
      </c>
      <c r="CJ1639" s="4" t="s">
        <v>276</v>
      </c>
      <c r="CK1639" s="4" t="s">
        <v>259</v>
      </c>
      <c r="CL1639" s="4" t="s">
        <v>241</v>
      </c>
      <c r="CO1639" s="5" t="s">
        <v>260</v>
      </c>
      <c r="CP1639" s="4" t="s">
        <v>241</v>
      </c>
      <c r="CQ1639" s="4" t="s">
        <v>261</v>
      </c>
      <c r="CR1639" s="4" t="s">
        <v>241</v>
      </c>
      <c r="CS1639" s="4" t="s">
        <v>241</v>
      </c>
      <c r="CT1639" s="4">
        <v>0</v>
      </c>
      <c r="CU1639" s="4" t="s">
        <v>262</v>
      </c>
      <c r="CV1639" s="4" t="s">
        <v>263</v>
      </c>
      <c r="CW1639" s="4" t="s">
        <v>263</v>
      </c>
      <c r="CX1639" s="4" t="s">
        <v>264</v>
      </c>
      <c r="DA1639" s="6">
        <f>1</f>
        <v>1</v>
      </c>
      <c r="DC1639" s="4" t="s">
        <v>277</v>
      </c>
      <c r="DD1639" s="4" t="s">
        <v>241</v>
      </c>
      <c r="DF1639" s="4" t="s">
        <v>277</v>
      </c>
      <c r="DG1639" s="6">
        <f>688</f>
        <v>688</v>
      </c>
      <c r="DI1639" s="4" t="s">
        <v>241</v>
      </c>
      <c r="DJ1639" s="4" t="s">
        <v>241</v>
      </c>
      <c r="DK1639" s="4" t="s">
        <v>241</v>
      </c>
      <c r="DL1639" s="4" t="s">
        <v>241</v>
      </c>
      <c r="DP1639" s="4" t="s">
        <v>241</v>
      </c>
      <c r="DQ1639" s="4" t="s">
        <v>241</v>
      </c>
      <c r="DR1639" s="4" t="s">
        <v>241</v>
      </c>
      <c r="DS1639" s="4" t="s">
        <v>241</v>
      </c>
      <c r="DV1639" s="4" t="s">
        <v>278</v>
      </c>
      <c r="DW1639" s="4" t="s">
        <v>826</v>
      </c>
      <c r="HO1639" s="4" t="s">
        <v>267</v>
      </c>
    </row>
    <row r="1640" spans="1:223" ht="19.5" customHeight="1" x14ac:dyDescent="0.4">
      <c r="A1640" s="4">
        <v>1</v>
      </c>
      <c r="B1640" s="4" t="s">
        <v>239</v>
      </c>
      <c r="C1640" s="4">
        <v>3314</v>
      </c>
      <c r="D1640" s="4">
        <v>1</v>
      </c>
      <c r="E1640" s="4">
        <v>1</v>
      </c>
      <c r="F1640" s="4" t="s">
        <v>268</v>
      </c>
      <c r="G1640" s="4" t="s">
        <v>241</v>
      </c>
      <c r="H1640" s="4" t="s">
        <v>241</v>
      </c>
      <c r="I1640" s="4" t="s">
        <v>272</v>
      </c>
      <c r="J1640" s="4" t="s">
        <v>274</v>
      </c>
      <c r="K1640" s="4" t="s">
        <v>251</v>
      </c>
      <c r="L1640" s="4" t="s">
        <v>269</v>
      </c>
      <c r="M1640" s="5" t="s">
        <v>2256</v>
      </c>
      <c r="N1640" s="6">
        <f>52</f>
        <v>52</v>
      </c>
      <c r="O1640" s="4" t="s">
        <v>265</v>
      </c>
      <c r="P1640" s="6">
        <f>1</f>
        <v>1</v>
      </c>
      <c r="Q1640" s="6">
        <f>0</f>
        <v>0</v>
      </c>
      <c r="S1640" s="6">
        <f>0</f>
        <v>0</v>
      </c>
      <c r="T1640" s="6">
        <f>1</f>
        <v>1</v>
      </c>
      <c r="U1640" s="5" t="s">
        <v>245</v>
      </c>
      <c r="V1640" s="4" t="s">
        <v>270</v>
      </c>
      <c r="W1640" s="4" t="s">
        <v>271</v>
      </c>
      <c r="X1640" s="4" t="s">
        <v>273</v>
      </c>
      <c r="Y1640" s="4" t="s">
        <v>241</v>
      </c>
      <c r="AB1640" s="4" t="s">
        <v>241</v>
      </c>
      <c r="AD1640" s="5" t="s">
        <v>241</v>
      </c>
      <c r="AG1640" s="5" t="s">
        <v>246</v>
      </c>
      <c r="AH1640" s="4" t="s">
        <v>241</v>
      </c>
      <c r="AI1640" s="4" t="s">
        <v>247</v>
      </c>
      <c r="AJ1640" s="4" t="s">
        <v>248</v>
      </c>
      <c r="AZ1640" s="4" t="s">
        <v>249</v>
      </c>
      <c r="BA1640" s="4" t="s">
        <v>241</v>
      </c>
      <c r="BB1640" s="4" t="s">
        <v>250</v>
      </c>
      <c r="BC1640" s="4" t="s">
        <v>241</v>
      </c>
      <c r="BD1640" s="4" t="s">
        <v>252</v>
      </c>
      <c r="BE1640" s="4" t="s">
        <v>241</v>
      </c>
      <c r="BI1640" s="4" t="s">
        <v>253</v>
      </c>
      <c r="BJ1640" s="5" t="s">
        <v>246</v>
      </c>
      <c r="BK1640" s="4" t="s">
        <v>254</v>
      </c>
      <c r="BL1640" s="4" t="s">
        <v>255</v>
      </c>
      <c r="BM1640" s="4" t="s">
        <v>241</v>
      </c>
      <c r="BN1640" s="6">
        <f>0</f>
        <v>0</v>
      </c>
      <c r="BO1640" s="6">
        <f>0</f>
        <v>0</v>
      </c>
      <c r="BP1640" s="4" t="s">
        <v>256</v>
      </c>
      <c r="BQ1640" s="4" t="s">
        <v>257</v>
      </c>
      <c r="CE1640" s="4" t="s">
        <v>241</v>
      </c>
      <c r="CF1640" s="4" t="s">
        <v>241</v>
      </c>
      <c r="CJ1640" s="4" t="s">
        <v>276</v>
      </c>
      <c r="CK1640" s="4" t="s">
        <v>259</v>
      </c>
      <c r="CL1640" s="4" t="s">
        <v>241</v>
      </c>
      <c r="CO1640" s="5" t="s">
        <v>260</v>
      </c>
      <c r="CP1640" s="4" t="s">
        <v>241</v>
      </c>
      <c r="CQ1640" s="4" t="s">
        <v>261</v>
      </c>
      <c r="CR1640" s="4" t="s">
        <v>241</v>
      </c>
      <c r="CS1640" s="4" t="s">
        <v>241</v>
      </c>
      <c r="CT1640" s="4">
        <v>0</v>
      </c>
      <c r="CU1640" s="4" t="s">
        <v>262</v>
      </c>
      <c r="CV1640" s="4" t="s">
        <v>263</v>
      </c>
      <c r="CW1640" s="4" t="s">
        <v>263</v>
      </c>
      <c r="CX1640" s="4" t="s">
        <v>264</v>
      </c>
      <c r="DA1640" s="6">
        <f>1</f>
        <v>1</v>
      </c>
      <c r="DC1640" s="4" t="s">
        <v>277</v>
      </c>
      <c r="DD1640" s="4" t="s">
        <v>241</v>
      </c>
      <c r="DF1640" s="4" t="s">
        <v>277</v>
      </c>
      <c r="DG1640" s="6">
        <f>52</f>
        <v>52</v>
      </c>
      <c r="DI1640" s="4" t="s">
        <v>241</v>
      </c>
      <c r="DJ1640" s="4" t="s">
        <v>241</v>
      </c>
      <c r="DK1640" s="4" t="s">
        <v>241</v>
      </c>
      <c r="DL1640" s="4" t="s">
        <v>241</v>
      </c>
      <c r="DP1640" s="4" t="s">
        <v>241</v>
      </c>
      <c r="DQ1640" s="4" t="s">
        <v>241</v>
      </c>
      <c r="DR1640" s="4" t="s">
        <v>241</v>
      </c>
      <c r="DS1640" s="4" t="s">
        <v>241</v>
      </c>
      <c r="DV1640" s="4" t="s">
        <v>278</v>
      </c>
      <c r="DW1640" s="4" t="s">
        <v>756</v>
      </c>
      <c r="HO1640" s="4" t="s">
        <v>267</v>
      </c>
    </row>
    <row r="1641" spans="1:223" ht="19.5" customHeight="1" x14ac:dyDescent="0.4">
      <c r="A1641" s="4">
        <v>1</v>
      </c>
      <c r="B1641" s="4" t="s">
        <v>239</v>
      </c>
      <c r="C1641" s="4">
        <v>3315</v>
      </c>
      <c r="D1641" s="4">
        <v>1</v>
      </c>
      <c r="E1641" s="4">
        <v>1</v>
      </c>
      <c r="F1641" s="4" t="s">
        <v>268</v>
      </c>
      <c r="G1641" s="4" t="s">
        <v>241</v>
      </c>
      <c r="H1641" s="4" t="s">
        <v>241</v>
      </c>
      <c r="I1641" s="4" t="s">
        <v>272</v>
      </c>
      <c r="J1641" s="4" t="s">
        <v>274</v>
      </c>
      <c r="K1641" s="4" t="s">
        <v>251</v>
      </c>
      <c r="L1641" s="4" t="s">
        <v>269</v>
      </c>
      <c r="M1641" s="5" t="s">
        <v>2254</v>
      </c>
      <c r="N1641" s="6">
        <f>20</f>
        <v>20</v>
      </c>
      <c r="O1641" s="4" t="s">
        <v>265</v>
      </c>
      <c r="P1641" s="6">
        <f>1</f>
        <v>1</v>
      </c>
      <c r="Q1641" s="6">
        <f>0</f>
        <v>0</v>
      </c>
      <c r="S1641" s="6">
        <f>0</f>
        <v>0</v>
      </c>
      <c r="T1641" s="6">
        <f>1</f>
        <v>1</v>
      </c>
      <c r="U1641" s="5" t="s">
        <v>245</v>
      </c>
      <c r="V1641" s="4" t="s">
        <v>270</v>
      </c>
      <c r="W1641" s="4" t="s">
        <v>271</v>
      </c>
      <c r="X1641" s="4" t="s">
        <v>273</v>
      </c>
      <c r="Y1641" s="4" t="s">
        <v>241</v>
      </c>
      <c r="AB1641" s="4" t="s">
        <v>241</v>
      </c>
      <c r="AD1641" s="5" t="s">
        <v>241</v>
      </c>
      <c r="AG1641" s="5" t="s">
        <v>246</v>
      </c>
      <c r="AH1641" s="4" t="s">
        <v>241</v>
      </c>
      <c r="AI1641" s="4" t="s">
        <v>247</v>
      </c>
      <c r="AJ1641" s="4" t="s">
        <v>248</v>
      </c>
      <c r="AZ1641" s="4" t="s">
        <v>249</v>
      </c>
      <c r="BA1641" s="4" t="s">
        <v>241</v>
      </c>
      <c r="BB1641" s="4" t="s">
        <v>250</v>
      </c>
      <c r="BC1641" s="4" t="s">
        <v>241</v>
      </c>
      <c r="BD1641" s="4" t="s">
        <v>252</v>
      </c>
      <c r="BE1641" s="4" t="s">
        <v>241</v>
      </c>
      <c r="BI1641" s="4" t="s">
        <v>253</v>
      </c>
      <c r="BJ1641" s="5" t="s">
        <v>246</v>
      </c>
      <c r="BK1641" s="4" t="s">
        <v>254</v>
      </c>
      <c r="BL1641" s="4" t="s">
        <v>255</v>
      </c>
      <c r="BM1641" s="4" t="s">
        <v>241</v>
      </c>
      <c r="BN1641" s="6">
        <f>0</f>
        <v>0</v>
      </c>
      <c r="BO1641" s="6">
        <f>0</f>
        <v>0</v>
      </c>
      <c r="BP1641" s="4" t="s">
        <v>256</v>
      </c>
      <c r="BQ1641" s="4" t="s">
        <v>257</v>
      </c>
      <c r="CE1641" s="4" t="s">
        <v>241</v>
      </c>
      <c r="CF1641" s="4" t="s">
        <v>241</v>
      </c>
      <c r="CJ1641" s="4" t="s">
        <v>276</v>
      </c>
      <c r="CK1641" s="4" t="s">
        <v>259</v>
      </c>
      <c r="CL1641" s="4" t="s">
        <v>241</v>
      </c>
      <c r="CO1641" s="5" t="s">
        <v>260</v>
      </c>
      <c r="CP1641" s="4" t="s">
        <v>241</v>
      </c>
      <c r="CQ1641" s="4" t="s">
        <v>261</v>
      </c>
      <c r="CR1641" s="4" t="s">
        <v>241</v>
      </c>
      <c r="CS1641" s="4" t="s">
        <v>241</v>
      </c>
      <c r="CT1641" s="4">
        <v>0</v>
      </c>
      <c r="CU1641" s="4" t="s">
        <v>262</v>
      </c>
      <c r="CV1641" s="4" t="s">
        <v>263</v>
      </c>
      <c r="CW1641" s="4" t="s">
        <v>263</v>
      </c>
      <c r="CX1641" s="4" t="s">
        <v>264</v>
      </c>
      <c r="DA1641" s="6">
        <f>1</f>
        <v>1</v>
      </c>
      <c r="DC1641" s="4" t="s">
        <v>277</v>
      </c>
      <c r="DD1641" s="4" t="s">
        <v>241</v>
      </c>
      <c r="DF1641" s="4" t="s">
        <v>277</v>
      </c>
      <c r="DG1641" s="6">
        <f>20</f>
        <v>20</v>
      </c>
      <c r="DI1641" s="4" t="s">
        <v>241</v>
      </c>
      <c r="DJ1641" s="4" t="s">
        <v>241</v>
      </c>
      <c r="DK1641" s="4" t="s">
        <v>241</v>
      </c>
      <c r="DL1641" s="4" t="s">
        <v>241</v>
      </c>
      <c r="DP1641" s="4" t="s">
        <v>241</v>
      </c>
      <c r="DQ1641" s="4" t="s">
        <v>241</v>
      </c>
      <c r="DR1641" s="4" t="s">
        <v>241</v>
      </c>
      <c r="DS1641" s="4" t="s">
        <v>241</v>
      </c>
      <c r="DV1641" s="4" t="s">
        <v>278</v>
      </c>
      <c r="DW1641" s="4" t="s">
        <v>2255</v>
      </c>
      <c r="HO1641" s="4" t="s">
        <v>267</v>
      </c>
    </row>
    <row r="1642" spans="1:223" ht="19.5" customHeight="1" x14ac:dyDescent="0.4">
      <c r="A1642" s="4">
        <v>1</v>
      </c>
      <c r="B1642" s="4" t="s">
        <v>239</v>
      </c>
      <c r="C1642" s="4">
        <v>3316</v>
      </c>
      <c r="D1642" s="4">
        <v>1</v>
      </c>
      <c r="E1642" s="4">
        <v>1</v>
      </c>
      <c r="F1642" s="4" t="s">
        <v>268</v>
      </c>
      <c r="G1642" s="4" t="s">
        <v>241</v>
      </c>
      <c r="H1642" s="4" t="s">
        <v>241</v>
      </c>
      <c r="I1642" s="4" t="s">
        <v>272</v>
      </c>
      <c r="J1642" s="4" t="s">
        <v>274</v>
      </c>
      <c r="K1642" s="4" t="s">
        <v>251</v>
      </c>
      <c r="L1642" s="4" t="s">
        <v>269</v>
      </c>
      <c r="M1642" s="5" t="s">
        <v>2253</v>
      </c>
      <c r="N1642" s="6">
        <f>108</f>
        <v>108</v>
      </c>
      <c r="O1642" s="4" t="s">
        <v>265</v>
      </c>
      <c r="P1642" s="6">
        <f>1</f>
        <v>1</v>
      </c>
      <c r="Q1642" s="6">
        <f>0</f>
        <v>0</v>
      </c>
      <c r="S1642" s="6">
        <f>0</f>
        <v>0</v>
      </c>
      <c r="T1642" s="6">
        <f>1</f>
        <v>1</v>
      </c>
      <c r="U1642" s="5" t="s">
        <v>245</v>
      </c>
      <c r="V1642" s="4" t="s">
        <v>270</v>
      </c>
      <c r="W1642" s="4" t="s">
        <v>271</v>
      </c>
      <c r="X1642" s="4" t="s">
        <v>273</v>
      </c>
      <c r="Y1642" s="4" t="s">
        <v>241</v>
      </c>
      <c r="AB1642" s="4" t="s">
        <v>241</v>
      </c>
      <c r="AD1642" s="5" t="s">
        <v>241</v>
      </c>
      <c r="AG1642" s="5" t="s">
        <v>246</v>
      </c>
      <c r="AH1642" s="4" t="s">
        <v>241</v>
      </c>
      <c r="AI1642" s="4" t="s">
        <v>247</v>
      </c>
      <c r="AJ1642" s="4" t="s">
        <v>248</v>
      </c>
      <c r="AZ1642" s="4" t="s">
        <v>249</v>
      </c>
      <c r="BA1642" s="4" t="s">
        <v>241</v>
      </c>
      <c r="BB1642" s="4" t="s">
        <v>250</v>
      </c>
      <c r="BC1642" s="4" t="s">
        <v>241</v>
      </c>
      <c r="BD1642" s="4" t="s">
        <v>252</v>
      </c>
      <c r="BE1642" s="4" t="s">
        <v>241</v>
      </c>
      <c r="BI1642" s="4" t="s">
        <v>253</v>
      </c>
      <c r="BJ1642" s="5" t="s">
        <v>246</v>
      </c>
      <c r="BK1642" s="4" t="s">
        <v>254</v>
      </c>
      <c r="BL1642" s="4" t="s">
        <v>255</v>
      </c>
      <c r="BM1642" s="4" t="s">
        <v>241</v>
      </c>
      <c r="BN1642" s="6">
        <f>0</f>
        <v>0</v>
      </c>
      <c r="BO1642" s="6">
        <f>0</f>
        <v>0</v>
      </c>
      <c r="BP1642" s="4" t="s">
        <v>256</v>
      </c>
      <c r="BQ1642" s="4" t="s">
        <v>257</v>
      </c>
      <c r="CE1642" s="4" t="s">
        <v>241</v>
      </c>
      <c r="CF1642" s="4" t="s">
        <v>241</v>
      </c>
      <c r="CJ1642" s="4" t="s">
        <v>276</v>
      </c>
      <c r="CK1642" s="4" t="s">
        <v>259</v>
      </c>
      <c r="CL1642" s="4" t="s">
        <v>241</v>
      </c>
      <c r="CO1642" s="5" t="s">
        <v>260</v>
      </c>
      <c r="CP1642" s="4" t="s">
        <v>241</v>
      </c>
      <c r="CQ1642" s="4" t="s">
        <v>261</v>
      </c>
      <c r="CR1642" s="4" t="s">
        <v>241</v>
      </c>
      <c r="CS1642" s="4" t="s">
        <v>241</v>
      </c>
      <c r="CT1642" s="4">
        <v>0</v>
      </c>
      <c r="CU1642" s="4" t="s">
        <v>262</v>
      </c>
      <c r="CV1642" s="4" t="s">
        <v>263</v>
      </c>
      <c r="CW1642" s="4" t="s">
        <v>263</v>
      </c>
      <c r="CX1642" s="4" t="s">
        <v>264</v>
      </c>
      <c r="DA1642" s="6">
        <f>1</f>
        <v>1</v>
      </c>
      <c r="DC1642" s="4" t="s">
        <v>277</v>
      </c>
      <c r="DD1642" s="4" t="s">
        <v>241</v>
      </c>
      <c r="DF1642" s="4" t="s">
        <v>277</v>
      </c>
      <c r="DG1642" s="6">
        <f>108</f>
        <v>108</v>
      </c>
      <c r="DI1642" s="4" t="s">
        <v>241</v>
      </c>
      <c r="DJ1642" s="4" t="s">
        <v>241</v>
      </c>
      <c r="DK1642" s="4" t="s">
        <v>241</v>
      </c>
      <c r="DL1642" s="4" t="s">
        <v>241</v>
      </c>
      <c r="DP1642" s="4" t="s">
        <v>241</v>
      </c>
      <c r="DQ1642" s="4" t="s">
        <v>241</v>
      </c>
      <c r="DR1642" s="4" t="s">
        <v>241</v>
      </c>
      <c r="DS1642" s="4" t="s">
        <v>241</v>
      </c>
      <c r="DV1642" s="4" t="s">
        <v>278</v>
      </c>
      <c r="DW1642" s="4" t="s">
        <v>545</v>
      </c>
      <c r="HO1642" s="4" t="s">
        <v>267</v>
      </c>
    </row>
    <row r="1643" spans="1:223" ht="19.5" customHeight="1" x14ac:dyDescent="0.4">
      <c r="A1643" s="4">
        <v>1</v>
      </c>
      <c r="B1643" s="4" t="s">
        <v>239</v>
      </c>
      <c r="C1643" s="4">
        <v>3317</v>
      </c>
      <c r="D1643" s="4">
        <v>1</v>
      </c>
      <c r="E1643" s="4">
        <v>1</v>
      </c>
      <c r="F1643" s="4" t="s">
        <v>268</v>
      </c>
      <c r="G1643" s="4" t="s">
        <v>241</v>
      </c>
      <c r="H1643" s="4" t="s">
        <v>241</v>
      </c>
      <c r="I1643" s="4" t="s">
        <v>272</v>
      </c>
      <c r="J1643" s="4" t="s">
        <v>274</v>
      </c>
      <c r="K1643" s="4" t="s">
        <v>251</v>
      </c>
      <c r="L1643" s="4" t="s">
        <v>269</v>
      </c>
      <c r="M1643" s="5" t="s">
        <v>2251</v>
      </c>
      <c r="N1643" s="6">
        <f>1102</f>
        <v>1102</v>
      </c>
      <c r="O1643" s="4" t="s">
        <v>265</v>
      </c>
      <c r="P1643" s="6">
        <f>1</f>
        <v>1</v>
      </c>
      <c r="Q1643" s="6">
        <f>0</f>
        <v>0</v>
      </c>
      <c r="S1643" s="6">
        <f>0</f>
        <v>0</v>
      </c>
      <c r="T1643" s="6">
        <f>1</f>
        <v>1</v>
      </c>
      <c r="U1643" s="5" t="s">
        <v>245</v>
      </c>
      <c r="V1643" s="4" t="s">
        <v>270</v>
      </c>
      <c r="W1643" s="4" t="s">
        <v>271</v>
      </c>
      <c r="X1643" s="4" t="s">
        <v>273</v>
      </c>
      <c r="Y1643" s="4" t="s">
        <v>241</v>
      </c>
      <c r="AB1643" s="4" t="s">
        <v>241</v>
      </c>
      <c r="AD1643" s="5" t="s">
        <v>241</v>
      </c>
      <c r="AG1643" s="5" t="s">
        <v>246</v>
      </c>
      <c r="AH1643" s="4" t="s">
        <v>241</v>
      </c>
      <c r="AI1643" s="4" t="s">
        <v>247</v>
      </c>
      <c r="AJ1643" s="4" t="s">
        <v>248</v>
      </c>
      <c r="AZ1643" s="4" t="s">
        <v>249</v>
      </c>
      <c r="BA1643" s="4" t="s">
        <v>241</v>
      </c>
      <c r="BB1643" s="4" t="s">
        <v>250</v>
      </c>
      <c r="BC1643" s="4" t="s">
        <v>241</v>
      </c>
      <c r="BD1643" s="4" t="s">
        <v>252</v>
      </c>
      <c r="BE1643" s="4" t="s">
        <v>241</v>
      </c>
      <c r="BI1643" s="4" t="s">
        <v>253</v>
      </c>
      <c r="BJ1643" s="5" t="s">
        <v>246</v>
      </c>
      <c r="BK1643" s="4" t="s">
        <v>254</v>
      </c>
      <c r="BL1643" s="4" t="s">
        <v>255</v>
      </c>
      <c r="BM1643" s="4" t="s">
        <v>241</v>
      </c>
      <c r="BN1643" s="6">
        <f>0</f>
        <v>0</v>
      </c>
      <c r="BO1643" s="6">
        <f>0</f>
        <v>0</v>
      </c>
      <c r="BP1643" s="4" t="s">
        <v>256</v>
      </c>
      <c r="BQ1643" s="4" t="s">
        <v>257</v>
      </c>
      <c r="CE1643" s="4" t="s">
        <v>241</v>
      </c>
      <c r="CF1643" s="4" t="s">
        <v>241</v>
      </c>
      <c r="CJ1643" s="4" t="s">
        <v>276</v>
      </c>
      <c r="CK1643" s="4" t="s">
        <v>259</v>
      </c>
      <c r="CL1643" s="4" t="s">
        <v>241</v>
      </c>
      <c r="CO1643" s="5" t="s">
        <v>260</v>
      </c>
      <c r="CP1643" s="4" t="s">
        <v>241</v>
      </c>
      <c r="CQ1643" s="4" t="s">
        <v>261</v>
      </c>
      <c r="CR1643" s="4" t="s">
        <v>241</v>
      </c>
      <c r="CS1643" s="4" t="s">
        <v>241</v>
      </c>
      <c r="CT1643" s="4">
        <v>0</v>
      </c>
      <c r="CU1643" s="4" t="s">
        <v>262</v>
      </c>
      <c r="CV1643" s="4" t="s">
        <v>263</v>
      </c>
      <c r="CW1643" s="4" t="s">
        <v>263</v>
      </c>
      <c r="CX1643" s="4" t="s">
        <v>264</v>
      </c>
      <c r="DA1643" s="6">
        <f>1</f>
        <v>1</v>
      </c>
      <c r="DC1643" s="4" t="s">
        <v>277</v>
      </c>
      <c r="DD1643" s="4" t="s">
        <v>241</v>
      </c>
      <c r="DF1643" s="4" t="s">
        <v>277</v>
      </c>
      <c r="DG1643" s="6">
        <f>1102</f>
        <v>1102</v>
      </c>
      <c r="DI1643" s="4" t="s">
        <v>241</v>
      </c>
      <c r="DJ1643" s="4" t="s">
        <v>241</v>
      </c>
      <c r="DK1643" s="4" t="s">
        <v>241</v>
      </c>
      <c r="DL1643" s="4" t="s">
        <v>241</v>
      </c>
      <c r="DP1643" s="4" t="s">
        <v>241</v>
      </c>
      <c r="DQ1643" s="4" t="s">
        <v>241</v>
      </c>
      <c r="DR1643" s="4" t="s">
        <v>241</v>
      </c>
      <c r="DS1643" s="4" t="s">
        <v>241</v>
      </c>
      <c r="DV1643" s="4" t="s">
        <v>278</v>
      </c>
      <c r="DW1643" s="4" t="s">
        <v>2252</v>
      </c>
      <c r="HO1643" s="4" t="s">
        <v>267</v>
      </c>
    </row>
    <row r="1644" spans="1:223" ht="19.5" customHeight="1" x14ac:dyDescent="0.4">
      <c r="A1644" s="4">
        <v>1</v>
      </c>
      <c r="B1644" s="4" t="s">
        <v>239</v>
      </c>
      <c r="C1644" s="4">
        <v>3318</v>
      </c>
      <c r="D1644" s="4">
        <v>1</v>
      </c>
      <c r="E1644" s="4">
        <v>1</v>
      </c>
      <c r="F1644" s="4" t="s">
        <v>268</v>
      </c>
      <c r="G1644" s="4" t="s">
        <v>241</v>
      </c>
      <c r="H1644" s="4" t="s">
        <v>241</v>
      </c>
      <c r="I1644" s="4" t="s">
        <v>272</v>
      </c>
      <c r="J1644" s="4" t="s">
        <v>274</v>
      </c>
      <c r="K1644" s="4" t="s">
        <v>251</v>
      </c>
      <c r="L1644" s="4" t="s">
        <v>269</v>
      </c>
      <c r="M1644" s="5" t="s">
        <v>2247</v>
      </c>
      <c r="N1644" s="6">
        <f>62</f>
        <v>62</v>
      </c>
      <c r="O1644" s="4" t="s">
        <v>265</v>
      </c>
      <c r="P1644" s="6">
        <f>1</f>
        <v>1</v>
      </c>
      <c r="Q1644" s="6">
        <f>0</f>
        <v>0</v>
      </c>
      <c r="S1644" s="6">
        <f>0</f>
        <v>0</v>
      </c>
      <c r="T1644" s="6">
        <f>1</f>
        <v>1</v>
      </c>
      <c r="U1644" s="5" t="s">
        <v>245</v>
      </c>
      <c r="V1644" s="4" t="s">
        <v>270</v>
      </c>
      <c r="W1644" s="4" t="s">
        <v>271</v>
      </c>
      <c r="X1644" s="4" t="s">
        <v>273</v>
      </c>
      <c r="Y1644" s="4" t="s">
        <v>241</v>
      </c>
      <c r="AB1644" s="4" t="s">
        <v>241</v>
      </c>
      <c r="AD1644" s="5" t="s">
        <v>241</v>
      </c>
      <c r="AG1644" s="5" t="s">
        <v>246</v>
      </c>
      <c r="AH1644" s="4" t="s">
        <v>241</v>
      </c>
      <c r="AI1644" s="4" t="s">
        <v>247</v>
      </c>
      <c r="AJ1644" s="4" t="s">
        <v>248</v>
      </c>
      <c r="AZ1644" s="4" t="s">
        <v>249</v>
      </c>
      <c r="BA1644" s="4" t="s">
        <v>241</v>
      </c>
      <c r="BB1644" s="4" t="s">
        <v>250</v>
      </c>
      <c r="BC1644" s="4" t="s">
        <v>241</v>
      </c>
      <c r="BD1644" s="4" t="s">
        <v>252</v>
      </c>
      <c r="BE1644" s="4" t="s">
        <v>241</v>
      </c>
      <c r="BI1644" s="4" t="s">
        <v>253</v>
      </c>
      <c r="BJ1644" s="5" t="s">
        <v>246</v>
      </c>
      <c r="BK1644" s="4" t="s">
        <v>254</v>
      </c>
      <c r="BL1644" s="4" t="s">
        <v>255</v>
      </c>
      <c r="BM1644" s="4" t="s">
        <v>241</v>
      </c>
      <c r="BN1644" s="6">
        <f>0</f>
        <v>0</v>
      </c>
      <c r="BO1644" s="6">
        <f>0</f>
        <v>0</v>
      </c>
      <c r="BP1644" s="4" t="s">
        <v>256</v>
      </c>
      <c r="BQ1644" s="4" t="s">
        <v>257</v>
      </c>
      <c r="CE1644" s="4" t="s">
        <v>241</v>
      </c>
      <c r="CF1644" s="4" t="s">
        <v>241</v>
      </c>
      <c r="CJ1644" s="4" t="s">
        <v>276</v>
      </c>
      <c r="CK1644" s="4" t="s">
        <v>259</v>
      </c>
      <c r="CL1644" s="4" t="s">
        <v>241</v>
      </c>
      <c r="CO1644" s="5" t="s">
        <v>260</v>
      </c>
      <c r="CP1644" s="4" t="s">
        <v>241</v>
      </c>
      <c r="CQ1644" s="4" t="s">
        <v>261</v>
      </c>
      <c r="CR1644" s="4" t="s">
        <v>241</v>
      </c>
      <c r="CS1644" s="4" t="s">
        <v>241</v>
      </c>
      <c r="CT1644" s="4">
        <v>0</v>
      </c>
      <c r="CU1644" s="4" t="s">
        <v>262</v>
      </c>
      <c r="CV1644" s="4" t="s">
        <v>263</v>
      </c>
      <c r="CW1644" s="4" t="s">
        <v>263</v>
      </c>
      <c r="CX1644" s="4" t="s">
        <v>264</v>
      </c>
      <c r="DA1644" s="6">
        <f>1</f>
        <v>1</v>
      </c>
      <c r="DC1644" s="4" t="s">
        <v>277</v>
      </c>
      <c r="DD1644" s="4" t="s">
        <v>241</v>
      </c>
      <c r="DF1644" s="4" t="s">
        <v>277</v>
      </c>
      <c r="DG1644" s="6">
        <f>62</f>
        <v>62</v>
      </c>
      <c r="DI1644" s="4" t="s">
        <v>241</v>
      </c>
      <c r="DJ1644" s="4" t="s">
        <v>241</v>
      </c>
      <c r="DK1644" s="4" t="s">
        <v>241</v>
      </c>
      <c r="DL1644" s="4" t="s">
        <v>241</v>
      </c>
      <c r="DP1644" s="4" t="s">
        <v>241</v>
      </c>
      <c r="DQ1644" s="4" t="s">
        <v>241</v>
      </c>
      <c r="DR1644" s="4" t="s">
        <v>241</v>
      </c>
      <c r="DS1644" s="4" t="s">
        <v>241</v>
      </c>
      <c r="DV1644" s="4" t="s">
        <v>278</v>
      </c>
      <c r="DW1644" s="4" t="s">
        <v>2248</v>
      </c>
      <c r="HO1644" s="4" t="s">
        <v>267</v>
      </c>
    </row>
    <row r="1645" spans="1:223" ht="19.5" customHeight="1" x14ac:dyDescent="0.4">
      <c r="A1645" s="4">
        <v>1</v>
      </c>
      <c r="B1645" s="4" t="s">
        <v>239</v>
      </c>
      <c r="C1645" s="4">
        <v>3319</v>
      </c>
      <c r="D1645" s="4">
        <v>1</v>
      </c>
      <c r="E1645" s="4">
        <v>1</v>
      </c>
      <c r="F1645" s="4" t="s">
        <v>268</v>
      </c>
      <c r="G1645" s="4" t="s">
        <v>241</v>
      </c>
      <c r="H1645" s="4" t="s">
        <v>241</v>
      </c>
      <c r="I1645" s="4" t="s">
        <v>272</v>
      </c>
      <c r="J1645" s="4" t="s">
        <v>274</v>
      </c>
      <c r="K1645" s="4" t="s">
        <v>251</v>
      </c>
      <c r="L1645" s="4" t="s">
        <v>269</v>
      </c>
      <c r="M1645" s="5" t="s">
        <v>2245</v>
      </c>
      <c r="N1645" s="6">
        <f>1863</f>
        <v>1863</v>
      </c>
      <c r="O1645" s="4" t="s">
        <v>265</v>
      </c>
      <c r="P1645" s="6">
        <f>1</f>
        <v>1</v>
      </c>
      <c r="Q1645" s="6">
        <f>0</f>
        <v>0</v>
      </c>
      <c r="S1645" s="6">
        <f>0</f>
        <v>0</v>
      </c>
      <c r="T1645" s="6">
        <f>1</f>
        <v>1</v>
      </c>
      <c r="U1645" s="5" t="s">
        <v>245</v>
      </c>
      <c r="V1645" s="4" t="s">
        <v>270</v>
      </c>
      <c r="W1645" s="4" t="s">
        <v>271</v>
      </c>
      <c r="X1645" s="4" t="s">
        <v>273</v>
      </c>
      <c r="Y1645" s="4" t="s">
        <v>241</v>
      </c>
      <c r="AB1645" s="4" t="s">
        <v>241</v>
      </c>
      <c r="AD1645" s="5" t="s">
        <v>241</v>
      </c>
      <c r="AG1645" s="5" t="s">
        <v>246</v>
      </c>
      <c r="AH1645" s="4" t="s">
        <v>241</v>
      </c>
      <c r="AI1645" s="4" t="s">
        <v>247</v>
      </c>
      <c r="AJ1645" s="4" t="s">
        <v>248</v>
      </c>
      <c r="AZ1645" s="4" t="s">
        <v>249</v>
      </c>
      <c r="BA1645" s="4" t="s">
        <v>241</v>
      </c>
      <c r="BB1645" s="4" t="s">
        <v>250</v>
      </c>
      <c r="BC1645" s="4" t="s">
        <v>241</v>
      </c>
      <c r="BD1645" s="4" t="s">
        <v>252</v>
      </c>
      <c r="BE1645" s="4" t="s">
        <v>241</v>
      </c>
      <c r="BI1645" s="4" t="s">
        <v>253</v>
      </c>
      <c r="BJ1645" s="5" t="s">
        <v>246</v>
      </c>
      <c r="BK1645" s="4" t="s">
        <v>254</v>
      </c>
      <c r="BL1645" s="4" t="s">
        <v>255</v>
      </c>
      <c r="BM1645" s="4" t="s">
        <v>241</v>
      </c>
      <c r="BN1645" s="6">
        <f>0</f>
        <v>0</v>
      </c>
      <c r="BO1645" s="6">
        <f>0</f>
        <v>0</v>
      </c>
      <c r="BP1645" s="4" t="s">
        <v>256</v>
      </c>
      <c r="BQ1645" s="4" t="s">
        <v>257</v>
      </c>
      <c r="CE1645" s="4" t="s">
        <v>241</v>
      </c>
      <c r="CF1645" s="4" t="s">
        <v>241</v>
      </c>
      <c r="CJ1645" s="4" t="s">
        <v>276</v>
      </c>
      <c r="CK1645" s="4" t="s">
        <v>259</v>
      </c>
      <c r="CL1645" s="4" t="s">
        <v>241</v>
      </c>
      <c r="CO1645" s="5" t="s">
        <v>260</v>
      </c>
      <c r="CP1645" s="4" t="s">
        <v>241</v>
      </c>
      <c r="CQ1645" s="4" t="s">
        <v>261</v>
      </c>
      <c r="CR1645" s="4" t="s">
        <v>241</v>
      </c>
      <c r="CS1645" s="4" t="s">
        <v>241</v>
      </c>
      <c r="CT1645" s="4">
        <v>0</v>
      </c>
      <c r="CU1645" s="4" t="s">
        <v>262</v>
      </c>
      <c r="CV1645" s="4" t="s">
        <v>263</v>
      </c>
      <c r="CW1645" s="4" t="s">
        <v>263</v>
      </c>
      <c r="CX1645" s="4" t="s">
        <v>264</v>
      </c>
      <c r="DA1645" s="6">
        <f>1</f>
        <v>1</v>
      </c>
      <c r="DC1645" s="4" t="s">
        <v>277</v>
      </c>
      <c r="DD1645" s="4" t="s">
        <v>241</v>
      </c>
      <c r="DF1645" s="4" t="s">
        <v>277</v>
      </c>
      <c r="DG1645" s="6">
        <f>1863</f>
        <v>1863</v>
      </c>
      <c r="DI1645" s="4" t="s">
        <v>241</v>
      </c>
      <c r="DJ1645" s="4" t="s">
        <v>241</v>
      </c>
      <c r="DK1645" s="4" t="s">
        <v>241</v>
      </c>
      <c r="DL1645" s="4" t="s">
        <v>241</v>
      </c>
      <c r="DP1645" s="4" t="s">
        <v>241</v>
      </c>
      <c r="DQ1645" s="4" t="s">
        <v>241</v>
      </c>
      <c r="DR1645" s="4" t="s">
        <v>241</v>
      </c>
      <c r="DS1645" s="4" t="s">
        <v>241</v>
      </c>
      <c r="DV1645" s="4" t="s">
        <v>278</v>
      </c>
      <c r="DW1645" s="4" t="s">
        <v>2246</v>
      </c>
      <c r="HO1645" s="4" t="s">
        <v>267</v>
      </c>
    </row>
    <row r="1646" spans="1:223" ht="19.5" customHeight="1" x14ac:dyDescent="0.4">
      <c r="A1646" s="4">
        <v>1</v>
      </c>
      <c r="B1646" s="4" t="s">
        <v>239</v>
      </c>
      <c r="C1646" s="4">
        <v>3320</v>
      </c>
      <c r="D1646" s="4">
        <v>1</v>
      </c>
      <c r="E1646" s="4">
        <v>1</v>
      </c>
      <c r="F1646" s="4" t="s">
        <v>268</v>
      </c>
      <c r="G1646" s="4" t="s">
        <v>241</v>
      </c>
      <c r="H1646" s="4" t="s">
        <v>241</v>
      </c>
      <c r="I1646" s="4" t="s">
        <v>272</v>
      </c>
      <c r="J1646" s="4" t="s">
        <v>274</v>
      </c>
      <c r="K1646" s="4" t="s">
        <v>251</v>
      </c>
      <c r="L1646" s="4" t="s">
        <v>269</v>
      </c>
      <c r="M1646" s="5" t="s">
        <v>2243</v>
      </c>
      <c r="N1646" s="6">
        <f>810</f>
        <v>810</v>
      </c>
      <c r="O1646" s="4" t="s">
        <v>265</v>
      </c>
      <c r="P1646" s="6">
        <f>1</f>
        <v>1</v>
      </c>
      <c r="Q1646" s="6">
        <f>0</f>
        <v>0</v>
      </c>
      <c r="S1646" s="6">
        <f>0</f>
        <v>0</v>
      </c>
      <c r="T1646" s="6">
        <f>1</f>
        <v>1</v>
      </c>
      <c r="U1646" s="5" t="s">
        <v>245</v>
      </c>
      <c r="V1646" s="4" t="s">
        <v>270</v>
      </c>
      <c r="W1646" s="4" t="s">
        <v>271</v>
      </c>
      <c r="X1646" s="4" t="s">
        <v>273</v>
      </c>
      <c r="Y1646" s="4" t="s">
        <v>241</v>
      </c>
      <c r="AB1646" s="4" t="s">
        <v>241</v>
      </c>
      <c r="AD1646" s="5" t="s">
        <v>241</v>
      </c>
      <c r="AG1646" s="5" t="s">
        <v>246</v>
      </c>
      <c r="AH1646" s="4" t="s">
        <v>241</v>
      </c>
      <c r="AI1646" s="4" t="s">
        <v>247</v>
      </c>
      <c r="AJ1646" s="4" t="s">
        <v>248</v>
      </c>
      <c r="AZ1646" s="4" t="s">
        <v>249</v>
      </c>
      <c r="BA1646" s="4" t="s">
        <v>241</v>
      </c>
      <c r="BB1646" s="4" t="s">
        <v>250</v>
      </c>
      <c r="BC1646" s="4" t="s">
        <v>241</v>
      </c>
      <c r="BD1646" s="4" t="s">
        <v>252</v>
      </c>
      <c r="BE1646" s="4" t="s">
        <v>241</v>
      </c>
      <c r="BI1646" s="4" t="s">
        <v>253</v>
      </c>
      <c r="BJ1646" s="5" t="s">
        <v>246</v>
      </c>
      <c r="BK1646" s="4" t="s">
        <v>254</v>
      </c>
      <c r="BL1646" s="4" t="s">
        <v>255</v>
      </c>
      <c r="BM1646" s="4" t="s">
        <v>241</v>
      </c>
      <c r="BN1646" s="6">
        <f>0</f>
        <v>0</v>
      </c>
      <c r="BO1646" s="6">
        <f>0</f>
        <v>0</v>
      </c>
      <c r="BP1646" s="4" t="s">
        <v>256</v>
      </c>
      <c r="BQ1646" s="4" t="s">
        <v>257</v>
      </c>
      <c r="CE1646" s="4" t="s">
        <v>241</v>
      </c>
      <c r="CF1646" s="4" t="s">
        <v>241</v>
      </c>
      <c r="CJ1646" s="4" t="s">
        <v>276</v>
      </c>
      <c r="CK1646" s="4" t="s">
        <v>259</v>
      </c>
      <c r="CL1646" s="4" t="s">
        <v>241</v>
      </c>
      <c r="CO1646" s="5" t="s">
        <v>260</v>
      </c>
      <c r="CP1646" s="4" t="s">
        <v>241</v>
      </c>
      <c r="CQ1646" s="4" t="s">
        <v>261</v>
      </c>
      <c r="CR1646" s="4" t="s">
        <v>241</v>
      </c>
      <c r="CS1646" s="4" t="s">
        <v>241</v>
      </c>
      <c r="CT1646" s="4">
        <v>0</v>
      </c>
      <c r="CU1646" s="4" t="s">
        <v>262</v>
      </c>
      <c r="CV1646" s="4" t="s">
        <v>263</v>
      </c>
      <c r="CW1646" s="4" t="s">
        <v>263</v>
      </c>
      <c r="CX1646" s="4" t="s">
        <v>264</v>
      </c>
      <c r="DA1646" s="6">
        <f>1</f>
        <v>1</v>
      </c>
      <c r="DC1646" s="4" t="s">
        <v>277</v>
      </c>
      <c r="DD1646" s="4" t="s">
        <v>241</v>
      </c>
      <c r="DF1646" s="4" t="s">
        <v>277</v>
      </c>
      <c r="DG1646" s="6">
        <f>810</f>
        <v>810</v>
      </c>
      <c r="DI1646" s="4" t="s">
        <v>241</v>
      </c>
      <c r="DJ1646" s="4" t="s">
        <v>241</v>
      </c>
      <c r="DK1646" s="4" t="s">
        <v>241</v>
      </c>
      <c r="DL1646" s="4" t="s">
        <v>241</v>
      </c>
      <c r="DP1646" s="4" t="s">
        <v>241</v>
      </c>
      <c r="DQ1646" s="4" t="s">
        <v>241</v>
      </c>
      <c r="DR1646" s="4" t="s">
        <v>241</v>
      </c>
      <c r="DS1646" s="4" t="s">
        <v>241</v>
      </c>
      <c r="DV1646" s="4" t="s">
        <v>278</v>
      </c>
      <c r="DW1646" s="4" t="s">
        <v>2244</v>
      </c>
      <c r="HO1646" s="4" t="s">
        <v>267</v>
      </c>
    </row>
    <row r="1647" spans="1:223" ht="19.5" customHeight="1" x14ac:dyDescent="0.4">
      <c r="A1647" s="4">
        <v>1</v>
      </c>
      <c r="B1647" s="4" t="s">
        <v>239</v>
      </c>
      <c r="C1647" s="4">
        <v>3321</v>
      </c>
      <c r="D1647" s="4">
        <v>1</v>
      </c>
      <c r="E1647" s="4">
        <v>1</v>
      </c>
      <c r="F1647" s="4" t="s">
        <v>268</v>
      </c>
      <c r="G1647" s="4" t="s">
        <v>241</v>
      </c>
      <c r="H1647" s="4" t="s">
        <v>241</v>
      </c>
      <c r="I1647" s="4" t="s">
        <v>272</v>
      </c>
      <c r="J1647" s="4" t="s">
        <v>274</v>
      </c>
      <c r="K1647" s="4" t="s">
        <v>251</v>
      </c>
      <c r="L1647" s="4" t="s">
        <v>269</v>
      </c>
      <c r="M1647" s="5" t="s">
        <v>2241</v>
      </c>
      <c r="N1647" s="6">
        <f>1168</f>
        <v>1168</v>
      </c>
      <c r="O1647" s="4" t="s">
        <v>265</v>
      </c>
      <c r="P1647" s="6">
        <f>1</f>
        <v>1</v>
      </c>
      <c r="Q1647" s="6">
        <f>0</f>
        <v>0</v>
      </c>
      <c r="S1647" s="6">
        <f>0</f>
        <v>0</v>
      </c>
      <c r="T1647" s="6">
        <f>1</f>
        <v>1</v>
      </c>
      <c r="U1647" s="5" t="s">
        <v>245</v>
      </c>
      <c r="V1647" s="4" t="s">
        <v>270</v>
      </c>
      <c r="W1647" s="4" t="s">
        <v>271</v>
      </c>
      <c r="X1647" s="4" t="s">
        <v>273</v>
      </c>
      <c r="Y1647" s="4" t="s">
        <v>241</v>
      </c>
      <c r="AB1647" s="4" t="s">
        <v>241</v>
      </c>
      <c r="AD1647" s="5" t="s">
        <v>241</v>
      </c>
      <c r="AG1647" s="5" t="s">
        <v>246</v>
      </c>
      <c r="AH1647" s="4" t="s">
        <v>241</v>
      </c>
      <c r="AI1647" s="4" t="s">
        <v>247</v>
      </c>
      <c r="AJ1647" s="4" t="s">
        <v>248</v>
      </c>
      <c r="AZ1647" s="4" t="s">
        <v>249</v>
      </c>
      <c r="BA1647" s="4" t="s">
        <v>241</v>
      </c>
      <c r="BB1647" s="4" t="s">
        <v>250</v>
      </c>
      <c r="BC1647" s="4" t="s">
        <v>241</v>
      </c>
      <c r="BD1647" s="4" t="s">
        <v>252</v>
      </c>
      <c r="BE1647" s="4" t="s">
        <v>241</v>
      </c>
      <c r="BI1647" s="4" t="s">
        <v>253</v>
      </c>
      <c r="BJ1647" s="5" t="s">
        <v>246</v>
      </c>
      <c r="BK1647" s="4" t="s">
        <v>254</v>
      </c>
      <c r="BL1647" s="4" t="s">
        <v>255</v>
      </c>
      <c r="BM1647" s="4" t="s">
        <v>241</v>
      </c>
      <c r="BN1647" s="6">
        <f>0</f>
        <v>0</v>
      </c>
      <c r="BO1647" s="6">
        <f>0</f>
        <v>0</v>
      </c>
      <c r="BP1647" s="4" t="s">
        <v>256</v>
      </c>
      <c r="BQ1647" s="4" t="s">
        <v>257</v>
      </c>
      <c r="CE1647" s="4" t="s">
        <v>241</v>
      </c>
      <c r="CF1647" s="4" t="s">
        <v>241</v>
      </c>
      <c r="CJ1647" s="4" t="s">
        <v>276</v>
      </c>
      <c r="CK1647" s="4" t="s">
        <v>259</v>
      </c>
      <c r="CL1647" s="4" t="s">
        <v>241</v>
      </c>
      <c r="CO1647" s="5" t="s">
        <v>260</v>
      </c>
      <c r="CP1647" s="4" t="s">
        <v>241</v>
      </c>
      <c r="CQ1647" s="4" t="s">
        <v>261</v>
      </c>
      <c r="CR1647" s="4" t="s">
        <v>241</v>
      </c>
      <c r="CS1647" s="4" t="s">
        <v>241</v>
      </c>
      <c r="CT1647" s="4">
        <v>0</v>
      </c>
      <c r="CU1647" s="4" t="s">
        <v>262</v>
      </c>
      <c r="CV1647" s="4" t="s">
        <v>263</v>
      </c>
      <c r="CW1647" s="4" t="s">
        <v>263</v>
      </c>
      <c r="CX1647" s="4" t="s">
        <v>264</v>
      </c>
      <c r="DA1647" s="6">
        <f>1</f>
        <v>1</v>
      </c>
      <c r="DC1647" s="4" t="s">
        <v>277</v>
      </c>
      <c r="DD1647" s="4" t="s">
        <v>241</v>
      </c>
      <c r="DF1647" s="4" t="s">
        <v>277</v>
      </c>
      <c r="DG1647" s="6">
        <f>1168</f>
        <v>1168</v>
      </c>
      <c r="DI1647" s="4" t="s">
        <v>241</v>
      </c>
      <c r="DJ1647" s="4" t="s">
        <v>241</v>
      </c>
      <c r="DK1647" s="4" t="s">
        <v>241</v>
      </c>
      <c r="DL1647" s="4" t="s">
        <v>241</v>
      </c>
      <c r="DP1647" s="4" t="s">
        <v>241</v>
      </c>
      <c r="DQ1647" s="4" t="s">
        <v>241</v>
      </c>
      <c r="DR1647" s="4" t="s">
        <v>241</v>
      </c>
      <c r="DS1647" s="4" t="s">
        <v>241</v>
      </c>
      <c r="DV1647" s="4" t="s">
        <v>278</v>
      </c>
      <c r="DW1647" s="4" t="s">
        <v>2242</v>
      </c>
      <c r="HO1647" s="4" t="s">
        <v>267</v>
      </c>
    </row>
    <row r="1648" spans="1:223" ht="19.5" customHeight="1" x14ac:dyDescent="0.4">
      <c r="A1648" s="4">
        <v>1</v>
      </c>
      <c r="B1648" s="4" t="s">
        <v>239</v>
      </c>
      <c r="C1648" s="4">
        <v>3322</v>
      </c>
      <c r="D1648" s="4">
        <v>1</v>
      </c>
      <c r="E1648" s="4">
        <v>1</v>
      </c>
      <c r="F1648" s="4" t="s">
        <v>268</v>
      </c>
      <c r="G1648" s="4" t="s">
        <v>241</v>
      </c>
      <c r="H1648" s="4" t="s">
        <v>241</v>
      </c>
      <c r="I1648" s="4" t="s">
        <v>272</v>
      </c>
      <c r="J1648" s="4" t="s">
        <v>274</v>
      </c>
      <c r="K1648" s="4" t="s">
        <v>251</v>
      </c>
      <c r="L1648" s="4" t="s">
        <v>269</v>
      </c>
      <c r="M1648" s="5" t="s">
        <v>2239</v>
      </c>
      <c r="N1648" s="6">
        <f>40</f>
        <v>40</v>
      </c>
      <c r="O1648" s="4" t="s">
        <v>265</v>
      </c>
      <c r="P1648" s="6">
        <f>1</f>
        <v>1</v>
      </c>
      <c r="Q1648" s="6">
        <f>0</f>
        <v>0</v>
      </c>
      <c r="S1648" s="6">
        <f>0</f>
        <v>0</v>
      </c>
      <c r="T1648" s="6">
        <f>1</f>
        <v>1</v>
      </c>
      <c r="U1648" s="5" t="s">
        <v>245</v>
      </c>
      <c r="V1648" s="4" t="s">
        <v>270</v>
      </c>
      <c r="W1648" s="4" t="s">
        <v>271</v>
      </c>
      <c r="X1648" s="4" t="s">
        <v>273</v>
      </c>
      <c r="Y1648" s="4" t="s">
        <v>241</v>
      </c>
      <c r="AB1648" s="4" t="s">
        <v>241</v>
      </c>
      <c r="AD1648" s="5" t="s">
        <v>241</v>
      </c>
      <c r="AG1648" s="5" t="s">
        <v>246</v>
      </c>
      <c r="AH1648" s="4" t="s">
        <v>241</v>
      </c>
      <c r="AI1648" s="4" t="s">
        <v>247</v>
      </c>
      <c r="AJ1648" s="4" t="s">
        <v>248</v>
      </c>
      <c r="AZ1648" s="4" t="s">
        <v>249</v>
      </c>
      <c r="BA1648" s="4" t="s">
        <v>241</v>
      </c>
      <c r="BB1648" s="4" t="s">
        <v>250</v>
      </c>
      <c r="BC1648" s="4" t="s">
        <v>241</v>
      </c>
      <c r="BD1648" s="4" t="s">
        <v>252</v>
      </c>
      <c r="BE1648" s="4" t="s">
        <v>241</v>
      </c>
      <c r="BI1648" s="4" t="s">
        <v>253</v>
      </c>
      <c r="BJ1648" s="5" t="s">
        <v>246</v>
      </c>
      <c r="BK1648" s="4" t="s">
        <v>254</v>
      </c>
      <c r="BL1648" s="4" t="s">
        <v>255</v>
      </c>
      <c r="BM1648" s="4" t="s">
        <v>241</v>
      </c>
      <c r="BN1648" s="6">
        <f>0</f>
        <v>0</v>
      </c>
      <c r="BO1648" s="6">
        <f>0</f>
        <v>0</v>
      </c>
      <c r="BP1648" s="4" t="s">
        <v>256</v>
      </c>
      <c r="BQ1648" s="4" t="s">
        <v>257</v>
      </c>
      <c r="CE1648" s="4" t="s">
        <v>241</v>
      </c>
      <c r="CF1648" s="4" t="s">
        <v>241</v>
      </c>
      <c r="CJ1648" s="4" t="s">
        <v>276</v>
      </c>
      <c r="CK1648" s="4" t="s">
        <v>259</v>
      </c>
      <c r="CL1648" s="4" t="s">
        <v>241</v>
      </c>
      <c r="CO1648" s="5" t="s">
        <v>260</v>
      </c>
      <c r="CP1648" s="4" t="s">
        <v>241</v>
      </c>
      <c r="CQ1648" s="4" t="s">
        <v>261</v>
      </c>
      <c r="CR1648" s="4" t="s">
        <v>241</v>
      </c>
      <c r="CS1648" s="4" t="s">
        <v>241</v>
      </c>
      <c r="CT1648" s="4">
        <v>0</v>
      </c>
      <c r="CU1648" s="4" t="s">
        <v>262</v>
      </c>
      <c r="CV1648" s="4" t="s">
        <v>263</v>
      </c>
      <c r="CW1648" s="4" t="s">
        <v>263</v>
      </c>
      <c r="CX1648" s="4" t="s">
        <v>264</v>
      </c>
      <c r="DA1648" s="6">
        <f>1</f>
        <v>1</v>
      </c>
      <c r="DC1648" s="4" t="s">
        <v>277</v>
      </c>
      <c r="DD1648" s="4" t="s">
        <v>241</v>
      </c>
      <c r="DF1648" s="4" t="s">
        <v>277</v>
      </c>
      <c r="DG1648" s="6">
        <f>40</f>
        <v>40</v>
      </c>
      <c r="DI1648" s="4" t="s">
        <v>241</v>
      </c>
      <c r="DJ1648" s="4" t="s">
        <v>241</v>
      </c>
      <c r="DK1648" s="4" t="s">
        <v>241</v>
      </c>
      <c r="DL1648" s="4" t="s">
        <v>241</v>
      </c>
      <c r="DP1648" s="4" t="s">
        <v>241</v>
      </c>
      <c r="DQ1648" s="4" t="s">
        <v>241</v>
      </c>
      <c r="DR1648" s="4" t="s">
        <v>241</v>
      </c>
      <c r="DS1648" s="4" t="s">
        <v>241</v>
      </c>
      <c r="DV1648" s="4" t="s">
        <v>278</v>
      </c>
      <c r="DW1648" s="4" t="s">
        <v>2240</v>
      </c>
      <c r="HO1648" s="4" t="s">
        <v>267</v>
      </c>
    </row>
    <row r="1649" spans="1:223" ht="19.5" customHeight="1" x14ac:dyDescent="0.4">
      <c r="A1649" s="4">
        <v>1</v>
      </c>
      <c r="B1649" s="4" t="s">
        <v>239</v>
      </c>
      <c r="C1649" s="4">
        <v>3323</v>
      </c>
      <c r="D1649" s="4">
        <v>1</v>
      </c>
      <c r="E1649" s="4">
        <v>1</v>
      </c>
      <c r="F1649" s="4" t="s">
        <v>268</v>
      </c>
      <c r="G1649" s="4" t="s">
        <v>241</v>
      </c>
      <c r="H1649" s="4" t="s">
        <v>241</v>
      </c>
      <c r="I1649" s="4" t="s">
        <v>272</v>
      </c>
      <c r="J1649" s="4" t="s">
        <v>274</v>
      </c>
      <c r="K1649" s="4" t="s">
        <v>251</v>
      </c>
      <c r="L1649" s="4" t="s">
        <v>269</v>
      </c>
      <c r="M1649" s="5" t="s">
        <v>2237</v>
      </c>
      <c r="N1649" s="6">
        <f>1154</f>
        <v>1154</v>
      </c>
      <c r="O1649" s="4" t="s">
        <v>265</v>
      </c>
      <c r="P1649" s="6">
        <f>1</f>
        <v>1</v>
      </c>
      <c r="Q1649" s="6">
        <f>0</f>
        <v>0</v>
      </c>
      <c r="S1649" s="6">
        <f>0</f>
        <v>0</v>
      </c>
      <c r="T1649" s="6">
        <f>1</f>
        <v>1</v>
      </c>
      <c r="U1649" s="5" t="s">
        <v>245</v>
      </c>
      <c r="V1649" s="4" t="s">
        <v>270</v>
      </c>
      <c r="W1649" s="4" t="s">
        <v>271</v>
      </c>
      <c r="X1649" s="4" t="s">
        <v>273</v>
      </c>
      <c r="Y1649" s="4" t="s">
        <v>241</v>
      </c>
      <c r="AB1649" s="4" t="s">
        <v>241</v>
      </c>
      <c r="AD1649" s="5" t="s">
        <v>241</v>
      </c>
      <c r="AG1649" s="5" t="s">
        <v>246</v>
      </c>
      <c r="AH1649" s="4" t="s">
        <v>241</v>
      </c>
      <c r="AI1649" s="4" t="s">
        <v>247</v>
      </c>
      <c r="AJ1649" s="4" t="s">
        <v>248</v>
      </c>
      <c r="AZ1649" s="4" t="s">
        <v>249</v>
      </c>
      <c r="BA1649" s="4" t="s">
        <v>241</v>
      </c>
      <c r="BB1649" s="4" t="s">
        <v>250</v>
      </c>
      <c r="BC1649" s="4" t="s">
        <v>241</v>
      </c>
      <c r="BD1649" s="4" t="s">
        <v>252</v>
      </c>
      <c r="BE1649" s="4" t="s">
        <v>241</v>
      </c>
      <c r="BI1649" s="4" t="s">
        <v>253</v>
      </c>
      <c r="BJ1649" s="5" t="s">
        <v>246</v>
      </c>
      <c r="BK1649" s="4" t="s">
        <v>254</v>
      </c>
      <c r="BL1649" s="4" t="s">
        <v>255</v>
      </c>
      <c r="BM1649" s="4" t="s">
        <v>241</v>
      </c>
      <c r="BN1649" s="6">
        <f>0</f>
        <v>0</v>
      </c>
      <c r="BO1649" s="6">
        <f>0</f>
        <v>0</v>
      </c>
      <c r="BP1649" s="4" t="s">
        <v>256</v>
      </c>
      <c r="BQ1649" s="4" t="s">
        <v>257</v>
      </c>
      <c r="CE1649" s="4" t="s">
        <v>241</v>
      </c>
      <c r="CF1649" s="4" t="s">
        <v>241</v>
      </c>
      <c r="CJ1649" s="4" t="s">
        <v>276</v>
      </c>
      <c r="CK1649" s="4" t="s">
        <v>259</v>
      </c>
      <c r="CL1649" s="4" t="s">
        <v>241</v>
      </c>
      <c r="CO1649" s="5" t="s">
        <v>260</v>
      </c>
      <c r="CP1649" s="4" t="s">
        <v>241</v>
      </c>
      <c r="CQ1649" s="4" t="s">
        <v>261</v>
      </c>
      <c r="CR1649" s="4" t="s">
        <v>241</v>
      </c>
      <c r="CS1649" s="4" t="s">
        <v>241</v>
      </c>
      <c r="CT1649" s="4">
        <v>0</v>
      </c>
      <c r="CU1649" s="4" t="s">
        <v>262</v>
      </c>
      <c r="CV1649" s="4" t="s">
        <v>263</v>
      </c>
      <c r="CW1649" s="4" t="s">
        <v>263</v>
      </c>
      <c r="CX1649" s="4" t="s">
        <v>264</v>
      </c>
      <c r="DA1649" s="6">
        <f>1</f>
        <v>1</v>
      </c>
      <c r="DC1649" s="4" t="s">
        <v>277</v>
      </c>
      <c r="DD1649" s="4" t="s">
        <v>241</v>
      </c>
      <c r="DF1649" s="4" t="s">
        <v>277</v>
      </c>
      <c r="DG1649" s="6">
        <f>1154</f>
        <v>1154</v>
      </c>
      <c r="DI1649" s="4" t="s">
        <v>241</v>
      </c>
      <c r="DJ1649" s="4" t="s">
        <v>241</v>
      </c>
      <c r="DK1649" s="4" t="s">
        <v>241</v>
      </c>
      <c r="DL1649" s="4" t="s">
        <v>241</v>
      </c>
      <c r="DP1649" s="4" t="s">
        <v>241</v>
      </c>
      <c r="DQ1649" s="4" t="s">
        <v>241</v>
      </c>
      <c r="DR1649" s="4" t="s">
        <v>241</v>
      </c>
      <c r="DS1649" s="4" t="s">
        <v>241</v>
      </c>
      <c r="DV1649" s="4" t="s">
        <v>278</v>
      </c>
      <c r="DW1649" s="4" t="s">
        <v>2238</v>
      </c>
      <c r="HO1649" s="4" t="s">
        <v>267</v>
      </c>
    </row>
    <row r="1650" spans="1:223" ht="19.5" customHeight="1" x14ac:dyDescent="0.4">
      <c r="A1650" s="4">
        <v>1</v>
      </c>
      <c r="B1650" s="4" t="s">
        <v>239</v>
      </c>
      <c r="C1650" s="4">
        <v>3324</v>
      </c>
      <c r="D1650" s="4">
        <v>1</v>
      </c>
      <c r="E1650" s="4">
        <v>1</v>
      </c>
      <c r="F1650" s="4" t="s">
        <v>268</v>
      </c>
      <c r="G1650" s="4" t="s">
        <v>241</v>
      </c>
      <c r="H1650" s="4" t="s">
        <v>241</v>
      </c>
      <c r="I1650" s="4" t="s">
        <v>272</v>
      </c>
      <c r="J1650" s="4" t="s">
        <v>274</v>
      </c>
      <c r="K1650" s="4" t="s">
        <v>251</v>
      </c>
      <c r="L1650" s="4" t="s">
        <v>269</v>
      </c>
      <c r="M1650" s="5" t="s">
        <v>2235</v>
      </c>
      <c r="N1650" s="6">
        <f>157</f>
        <v>157</v>
      </c>
      <c r="O1650" s="4" t="s">
        <v>265</v>
      </c>
      <c r="P1650" s="6">
        <f>1</f>
        <v>1</v>
      </c>
      <c r="Q1650" s="6">
        <f>0</f>
        <v>0</v>
      </c>
      <c r="S1650" s="6">
        <f>0</f>
        <v>0</v>
      </c>
      <c r="T1650" s="6">
        <f>1</f>
        <v>1</v>
      </c>
      <c r="U1650" s="5" t="s">
        <v>245</v>
      </c>
      <c r="V1650" s="4" t="s">
        <v>270</v>
      </c>
      <c r="W1650" s="4" t="s">
        <v>271</v>
      </c>
      <c r="X1650" s="4" t="s">
        <v>273</v>
      </c>
      <c r="Y1650" s="4" t="s">
        <v>241</v>
      </c>
      <c r="AB1650" s="4" t="s">
        <v>241</v>
      </c>
      <c r="AD1650" s="5" t="s">
        <v>241</v>
      </c>
      <c r="AG1650" s="5" t="s">
        <v>246</v>
      </c>
      <c r="AH1650" s="4" t="s">
        <v>241</v>
      </c>
      <c r="AI1650" s="4" t="s">
        <v>247</v>
      </c>
      <c r="AJ1650" s="4" t="s">
        <v>248</v>
      </c>
      <c r="AZ1650" s="4" t="s">
        <v>249</v>
      </c>
      <c r="BA1650" s="4" t="s">
        <v>241</v>
      </c>
      <c r="BB1650" s="4" t="s">
        <v>250</v>
      </c>
      <c r="BC1650" s="4" t="s">
        <v>241</v>
      </c>
      <c r="BD1650" s="4" t="s">
        <v>252</v>
      </c>
      <c r="BE1650" s="4" t="s">
        <v>241</v>
      </c>
      <c r="BI1650" s="4" t="s">
        <v>253</v>
      </c>
      <c r="BJ1650" s="5" t="s">
        <v>246</v>
      </c>
      <c r="BK1650" s="4" t="s">
        <v>254</v>
      </c>
      <c r="BL1650" s="4" t="s">
        <v>255</v>
      </c>
      <c r="BM1650" s="4" t="s">
        <v>241</v>
      </c>
      <c r="BN1650" s="6">
        <f>0</f>
        <v>0</v>
      </c>
      <c r="BO1650" s="6">
        <f>0</f>
        <v>0</v>
      </c>
      <c r="BP1650" s="4" t="s">
        <v>256</v>
      </c>
      <c r="BQ1650" s="4" t="s">
        <v>257</v>
      </c>
      <c r="CE1650" s="4" t="s">
        <v>241</v>
      </c>
      <c r="CF1650" s="4" t="s">
        <v>241</v>
      </c>
      <c r="CJ1650" s="4" t="s">
        <v>276</v>
      </c>
      <c r="CK1650" s="4" t="s">
        <v>259</v>
      </c>
      <c r="CL1650" s="4" t="s">
        <v>241</v>
      </c>
      <c r="CO1650" s="5" t="s">
        <v>260</v>
      </c>
      <c r="CP1650" s="4" t="s">
        <v>241</v>
      </c>
      <c r="CQ1650" s="4" t="s">
        <v>261</v>
      </c>
      <c r="CR1650" s="4" t="s">
        <v>241</v>
      </c>
      <c r="CS1650" s="4" t="s">
        <v>241</v>
      </c>
      <c r="CT1650" s="4">
        <v>0</v>
      </c>
      <c r="CU1650" s="4" t="s">
        <v>262</v>
      </c>
      <c r="CV1650" s="4" t="s">
        <v>263</v>
      </c>
      <c r="CW1650" s="4" t="s">
        <v>263</v>
      </c>
      <c r="CX1650" s="4" t="s">
        <v>264</v>
      </c>
      <c r="DA1650" s="6">
        <f>1</f>
        <v>1</v>
      </c>
      <c r="DC1650" s="4" t="s">
        <v>277</v>
      </c>
      <c r="DD1650" s="4" t="s">
        <v>241</v>
      </c>
      <c r="DF1650" s="4" t="s">
        <v>277</v>
      </c>
      <c r="DG1650" s="6">
        <f>157</f>
        <v>157</v>
      </c>
      <c r="DI1650" s="4" t="s">
        <v>241</v>
      </c>
      <c r="DJ1650" s="4" t="s">
        <v>241</v>
      </c>
      <c r="DK1650" s="4" t="s">
        <v>241</v>
      </c>
      <c r="DL1650" s="4" t="s">
        <v>241</v>
      </c>
      <c r="DP1650" s="4" t="s">
        <v>241</v>
      </c>
      <c r="DQ1650" s="4" t="s">
        <v>241</v>
      </c>
      <c r="DR1650" s="4" t="s">
        <v>241</v>
      </c>
      <c r="DS1650" s="4" t="s">
        <v>241</v>
      </c>
      <c r="DV1650" s="4" t="s">
        <v>278</v>
      </c>
      <c r="DW1650" s="4" t="s">
        <v>2236</v>
      </c>
      <c r="HO1650" s="4" t="s">
        <v>267</v>
      </c>
    </row>
    <row r="1651" spans="1:223" ht="19.5" customHeight="1" x14ac:dyDescent="0.4">
      <c r="A1651" s="4">
        <v>1</v>
      </c>
      <c r="B1651" s="4" t="s">
        <v>239</v>
      </c>
      <c r="C1651" s="4">
        <v>3325</v>
      </c>
      <c r="D1651" s="4">
        <v>1</v>
      </c>
      <c r="E1651" s="4">
        <v>1</v>
      </c>
      <c r="F1651" s="4" t="s">
        <v>268</v>
      </c>
      <c r="G1651" s="4" t="s">
        <v>241</v>
      </c>
      <c r="H1651" s="4" t="s">
        <v>241</v>
      </c>
      <c r="I1651" s="4" t="s">
        <v>272</v>
      </c>
      <c r="J1651" s="4" t="s">
        <v>274</v>
      </c>
      <c r="K1651" s="4" t="s">
        <v>251</v>
      </c>
      <c r="L1651" s="4" t="s">
        <v>269</v>
      </c>
      <c r="M1651" s="5" t="s">
        <v>2233</v>
      </c>
      <c r="N1651" s="6">
        <f>1825</f>
        <v>1825</v>
      </c>
      <c r="O1651" s="4" t="s">
        <v>265</v>
      </c>
      <c r="P1651" s="6">
        <f>1</f>
        <v>1</v>
      </c>
      <c r="Q1651" s="6">
        <f>0</f>
        <v>0</v>
      </c>
      <c r="S1651" s="6">
        <f>0</f>
        <v>0</v>
      </c>
      <c r="T1651" s="6">
        <f>1</f>
        <v>1</v>
      </c>
      <c r="U1651" s="5" t="s">
        <v>245</v>
      </c>
      <c r="V1651" s="4" t="s">
        <v>270</v>
      </c>
      <c r="W1651" s="4" t="s">
        <v>271</v>
      </c>
      <c r="X1651" s="4" t="s">
        <v>273</v>
      </c>
      <c r="Y1651" s="4" t="s">
        <v>241</v>
      </c>
      <c r="AB1651" s="4" t="s">
        <v>241</v>
      </c>
      <c r="AD1651" s="5" t="s">
        <v>241</v>
      </c>
      <c r="AG1651" s="5" t="s">
        <v>246</v>
      </c>
      <c r="AH1651" s="4" t="s">
        <v>241</v>
      </c>
      <c r="AI1651" s="4" t="s">
        <v>247</v>
      </c>
      <c r="AJ1651" s="4" t="s">
        <v>248</v>
      </c>
      <c r="AZ1651" s="4" t="s">
        <v>249</v>
      </c>
      <c r="BA1651" s="4" t="s">
        <v>241</v>
      </c>
      <c r="BB1651" s="4" t="s">
        <v>250</v>
      </c>
      <c r="BC1651" s="4" t="s">
        <v>241</v>
      </c>
      <c r="BD1651" s="4" t="s">
        <v>252</v>
      </c>
      <c r="BE1651" s="4" t="s">
        <v>241</v>
      </c>
      <c r="BI1651" s="4" t="s">
        <v>253</v>
      </c>
      <c r="BJ1651" s="5" t="s">
        <v>246</v>
      </c>
      <c r="BK1651" s="4" t="s">
        <v>254</v>
      </c>
      <c r="BL1651" s="4" t="s">
        <v>255</v>
      </c>
      <c r="BM1651" s="4" t="s">
        <v>241</v>
      </c>
      <c r="BN1651" s="6">
        <f>0</f>
        <v>0</v>
      </c>
      <c r="BO1651" s="6">
        <f>0</f>
        <v>0</v>
      </c>
      <c r="BP1651" s="4" t="s">
        <v>256</v>
      </c>
      <c r="BQ1651" s="4" t="s">
        <v>257</v>
      </c>
      <c r="CE1651" s="4" t="s">
        <v>241</v>
      </c>
      <c r="CF1651" s="4" t="s">
        <v>241</v>
      </c>
      <c r="CJ1651" s="4" t="s">
        <v>276</v>
      </c>
      <c r="CK1651" s="4" t="s">
        <v>259</v>
      </c>
      <c r="CL1651" s="4" t="s">
        <v>241</v>
      </c>
      <c r="CO1651" s="5" t="s">
        <v>260</v>
      </c>
      <c r="CP1651" s="4" t="s">
        <v>241</v>
      </c>
      <c r="CQ1651" s="4" t="s">
        <v>261</v>
      </c>
      <c r="CR1651" s="4" t="s">
        <v>241</v>
      </c>
      <c r="CS1651" s="4" t="s">
        <v>241</v>
      </c>
      <c r="CT1651" s="4">
        <v>0</v>
      </c>
      <c r="CU1651" s="4" t="s">
        <v>262</v>
      </c>
      <c r="CV1651" s="4" t="s">
        <v>263</v>
      </c>
      <c r="CW1651" s="4" t="s">
        <v>263</v>
      </c>
      <c r="CX1651" s="4" t="s">
        <v>264</v>
      </c>
      <c r="DA1651" s="6">
        <f>1</f>
        <v>1</v>
      </c>
      <c r="DC1651" s="4" t="s">
        <v>277</v>
      </c>
      <c r="DD1651" s="4" t="s">
        <v>241</v>
      </c>
      <c r="DF1651" s="4" t="s">
        <v>277</v>
      </c>
      <c r="DG1651" s="6">
        <f>1825</f>
        <v>1825</v>
      </c>
      <c r="DI1651" s="4" t="s">
        <v>241</v>
      </c>
      <c r="DJ1651" s="4" t="s">
        <v>241</v>
      </c>
      <c r="DK1651" s="4" t="s">
        <v>241</v>
      </c>
      <c r="DL1651" s="4" t="s">
        <v>241</v>
      </c>
      <c r="DP1651" s="4" t="s">
        <v>241</v>
      </c>
      <c r="DQ1651" s="4" t="s">
        <v>241</v>
      </c>
      <c r="DR1651" s="4" t="s">
        <v>241</v>
      </c>
      <c r="DS1651" s="4" t="s">
        <v>241</v>
      </c>
      <c r="DV1651" s="4" t="s">
        <v>278</v>
      </c>
      <c r="DW1651" s="4" t="s">
        <v>2234</v>
      </c>
      <c r="HO1651" s="4" t="s">
        <v>267</v>
      </c>
    </row>
    <row r="1652" spans="1:223" ht="19.5" customHeight="1" x14ac:dyDescent="0.4">
      <c r="A1652" s="4">
        <v>1</v>
      </c>
      <c r="B1652" s="4" t="s">
        <v>239</v>
      </c>
      <c r="C1652" s="4">
        <v>3326</v>
      </c>
      <c r="D1652" s="4">
        <v>1</v>
      </c>
      <c r="E1652" s="4">
        <v>1</v>
      </c>
      <c r="F1652" s="4" t="s">
        <v>268</v>
      </c>
      <c r="G1652" s="4" t="s">
        <v>241</v>
      </c>
      <c r="H1652" s="4" t="s">
        <v>241</v>
      </c>
      <c r="I1652" s="4" t="s">
        <v>272</v>
      </c>
      <c r="J1652" s="4" t="s">
        <v>274</v>
      </c>
      <c r="K1652" s="4" t="s">
        <v>251</v>
      </c>
      <c r="L1652" s="4" t="s">
        <v>269</v>
      </c>
      <c r="M1652" s="5" t="s">
        <v>2231</v>
      </c>
      <c r="N1652" s="6">
        <f>2711</f>
        <v>2711</v>
      </c>
      <c r="O1652" s="4" t="s">
        <v>265</v>
      </c>
      <c r="P1652" s="6">
        <f>1</f>
        <v>1</v>
      </c>
      <c r="Q1652" s="6">
        <f>0</f>
        <v>0</v>
      </c>
      <c r="S1652" s="6">
        <f>0</f>
        <v>0</v>
      </c>
      <c r="T1652" s="6">
        <f>1</f>
        <v>1</v>
      </c>
      <c r="U1652" s="5" t="s">
        <v>245</v>
      </c>
      <c r="V1652" s="4" t="s">
        <v>270</v>
      </c>
      <c r="W1652" s="4" t="s">
        <v>271</v>
      </c>
      <c r="X1652" s="4" t="s">
        <v>273</v>
      </c>
      <c r="Y1652" s="4" t="s">
        <v>241</v>
      </c>
      <c r="AB1652" s="4" t="s">
        <v>241</v>
      </c>
      <c r="AD1652" s="5" t="s">
        <v>241</v>
      </c>
      <c r="AG1652" s="5" t="s">
        <v>246</v>
      </c>
      <c r="AH1652" s="4" t="s">
        <v>241</v>
      </c>
      <c r="AI1652" s="4" t="s">
        <v>247</v>
      </c>
      <c r="AJ1652" s="4" t="s">
        <v>248</v>
      </c>
      <c r="AZ1652" s="4" t="s">
        <v>249</v>
      </c>
      <c r="BA1652" s="4" t="s">
        <v>241</v>
      </c>
      <c r="BB1652" s="4" t="s">
        <v>250</v>
      </c>
      <c r="BC1652" s="4" t="s">
        <v>241</v>
      </c>
      <c r="BD1652" s="4" t="s">
        <v>252</v>
      </c>
      <c r="BE1652" s="4" t="s">
        <v>241</v>
      </c>
      <c r="BI1652" s="4" t="s">
        <v>253</v>
      </c>
      <c r="BJ1652" s="5" t="s">
        <v>246</v>
      </c>
      <c r="BK1652" s="4" t="s">
        <v>254</v>
      </c>
      <c r="BL1652" s="4" t="s">
        <v>255</v>
      </c>
      <c r="BM1652" s="4" t="s">
        <v>241</v>
      </c>
      <c r="BN1652" s="6">
        <f>0</f>
        <v>0</v>
      </c>
      <c r="BO1652" s="6">
        <f>0</f>
        <v>0</v>
      </c>
      <c r="BP1652" s="4" t="s">
        <v>256</v>
      </c>
      <c r="BQ1652" s="4" t="s">
        <v>257</v>
      </c>
      <c r="CE1652" s="4" t="s">
        <v>241</v>
      </c>
      <c r="CF1652" s="4" t="s">
        <v>241</v>
      </c>
      <c r="CJ1652" s="4" t="s">
        <v>276</v>
      </c>
      <c r="CK1652" s="4" t="s">
        <v>259</v>
      </c>
      <c r="CL1652" s="4" t="s">
        <v>241</v>
      </c>
      <c r="CO1652" s="5" t="s">
        <v>260</v>
      </c>
      <c r="CP1652" s="4" t="s">
        <v>241</v>
      </c>
      <c r="CQ1652" s="4" t="s">
        <v>261</v>
      </c>
      <c r="CR1652" s="4" t="s">
        <v>241</v>
      </c>
      <c r="CS1652" s="4" t="s">
        <v>241</v>
      </c>
      <c r="CT1652" s="4">
        <v>0</v>
      </c>
      <c r="CU1652" s="4" t="s">
        <v>262</v>
      </c>
      <c r="CV1652" s="4" t="s">
        <v>263</v>
      </c>
      <c r="CW1652" s="4" t="s">
        <v>263</v>
      </c>
      <c r="CX1652" s="4" t="s">
        <v>264</v>
      </c>
      <c r="DA1652" s="6">
        <f>1</f>
        <v>1</v>
      </c>
      <c r="DC1652" s="4" t="s">
        <v>277</v>
      </c>
      <c r="DD1652" s="4" t="s">
        <v>241</v>
      </c>
      <c r="DF1652" s="4" t="s">
        <v>277</v>
      </c>
      <c r="DG1652" s="6">
        <f>2711</f>
        <v>2711</v>
      </c>
      <c r="DI1652" s="4" t="s">
        <v>241</v>
      </c>
      <c r="DJ1652" s="4" t="s">
        <v>241</v>
      </c>
      <c r="DK1652" s="4" t="s">
        <v>241</v>
      </c>
      <c r="DL1652" s="4" t="s">
        <v>241</v>
      </c>
      <c r="DP1652" s="4" t="s">
        <v>241</v>
      </c>
      <c r="DQ1652" s="4" t="s">
        <v>241</v>
      </c>
      <c r="DR1652" s="4" t="s">
        <v>241</v>
      </c>
      <c r="DS1652" s="4" t="s">
        <v>241</v>
      </c>
      <c r="DV1652" s="4" t="s">
        <v>278</v>
      </c>
      <c r="DW1652" s="4" t="s">
        <v>2232</v>
      </c>
      <c r="HO1652" s="4" t="s">
        <v>267</v>
      </c>
    </row>
    <row r="1653" spans="1:223" ht="19.5" customHeight="1" x14ac:dyDescent="0.4">
      <c r="A1653" s="4">
        <v>1</v>
      </c>
      <c r="B1653" s="4" t="s">
        <v>239</v>
      </c>
      <c r="C1653" s="4">
        <v>3327</v>
      </c>
      <c r="D1653" s="4">
        <v>1</v>
      </c>
      <c r="E1653" s="4">
        <v>1</v>
      </c>
      <c r="F1653" s="4" t="s">
        <v>268</v>
      </c>
      <c r="G1653" s="4" t="s">
        <v>241</v>
      </c>
      <c r="H1653" s="4" t="s">
        <v>241</v>
      </c>
      <c r="I1653" s="4" t="s">
        <v>272</v>
      </c>
      <c r="J1653" s="4" t="s">
        <v>274</v>
      </c>
      <c r="K1653" s="4" t="s">
        <v>251</v>
      </c>
      <c r="L1653" s="4" t="s">
        <v>269</v>
      </c>
      <c r="M1653" s="5" t="s">
        <v>2229</v>
      </c>
      <c r="N1653" s="6">
        <f>928</f>
        <v>928</v>
      </c>
      <c r="O1653" s="4" t="s">
        <v>265</v>
      </c>
      <c r="P1653" s="6">
        <f>1</f>
        <v>1</v>
      </c>
      <c r="Q1653" s="6">
        <f>0</f>
        <v>0</v>
      </c>
      <c r="S1653" s="6">
        <f>0</f>
        <v>0</v>
      </c>
      <c r="T1653" s="6">
        <f>1</f>
        <v>1</v>
      </c>
      <c r="U1653" s="5" t="s">
        <v>245</v>
      </c>
      <c r="V1653" s="4" t="s">
        <v>270</v>
      </c>
      <c r="W1653" s="4" t="s">
        <v>271</v>
      </c>
      <c r="X1653" s="4" t="s">
        <v>273</v>
      </c>
      <c r="Y1653" s="4" t="s">
        <v>241</v>
      </c>
      <c r="AB1653" s="4" t="s">
        <v>241</v>
      </c>
      <c r="AD1653" s="5" t="s">
        <v>241</v>
      </c>
      <c r="AG1653" s="5" t="s">
        <v>246</v>
      </c>
      <c r="AH1653" s="4" t="s">
        <v>241</v>
      </c>
      <c r="AI1653" s="4" t="s">
        <v>247</v>
      </c>
      <c r="AJ1653" s="4" t="s">
        <v>248</v>
      </c>
      <c r="AZ1653" s="4" t="s">
        <v>249</v>
      </c>
      <c r="BA1653" s="4" t="s">
        <v>241</v>
      </c>
      <c r="BB1653" s="4" t="s">
        <v>250</v>
      </c>
      <c r="BC1653" s="4" t="s">
        <v>241</v>
      </c>
      <c r="BD1653" s="4" t="s">
        <v>252</v>
      </c>
      <c r="BE1653" s="4" t="s">
        <v>241</v>
      </c>
      <c r="BI1653" s="4" t="s">
        <v>253</v>
      </c>
      <c r="BJ1653" s="5" t="s">
        <v>246</v>
      </c>
      <c r="BK1653" s="4" t="s">
        <v>254</v>
      </c>
      <c r="BL1653" s="4" t="s">
        <v>255</v>
      </c>
      <c r="BM1653" s="4" t="s">
        <v>241</v>
      </c>
      <c r="BN1653" s="6">
        <f>0</f>
        <v>0</v>
      </c>
      <c r="BO1653" s="6">
        <f>0</f>
        <v>0</v>
      </c>
      <c r="BP1653" s="4" t="s">
        <v>256</v>
      </c>
      <c r="BQ1653" s="4" t="s">
        <v>257</v>
      </c>
      <c r="CE1653" s="4" t="s">
        <v>241</v>
      </c>
      <c r="CF1653" s="4" t="s">
        <v>241</v>
      </c>
      <c r="CJ1653" s="4" t="s">
        <v>276</v>
      </c>
      <c r="CK1653" s="4" t="s">
        <v>259</v>
      </c>
      <c r="CL1653" s="4" t="s">
        <v>241</v>
      </c>
      <c r="CO1653" s="5" t="s">
        <v>260</v>
      </c>
      <c r="CP1653" s="4" t="s">
        <v>241</v>
      </c>
      <c r="CQ1653" s="4" t="s">
        <v>261</v>
      </c>
      <c r="CR1653" s="4" t="s">
        <v>241</v>
      </c>
      <c r="CS1653" s="4" t="s">
        <v>241</v>
      </c>
      <c r="CT1653" s="4">
        <v>0</v>
      </c>
      <c r="CU1653" s="4" t="s">
        <v>262</v>
      </c>
      <c r="CV1653" s="4" t="s">
        <v>263</v>
      </c>
      <c r="CW1653" s="4" t="s">
        <v>263</v>
      </c>
      <c r="CX1653" s="4" t="s">
        <v>264</v>
      </c>
      <c r="DA1653" s="6">
        <f>1</f>
        <v>1</v>
      </c>
      <c r="DC1653" s="4" t="s">
        <v>277</v>
      </c>
      <c r="DD1653" s="4" t="s">
        <v>241</v>
      </c>
      <c r="DF1653" s="4" t="s">
        <v>277</v>
      </c>
      <c r="DG1653" s="6">
        <f>928</f>
        <v>928</v>
      </c>
      <c r="DI1653" s="4" t="s">
        <v>241</v>
      </c>
      <c r="DJ1653" s="4" t="s">
        <v>241</v>
      </c>
      <c r="DK1653" s="4" t="s">
        <v>241</v>
      </c>
      <c r="DL1653" s="4" t="s">
        <v>241</v>
      </c>
      <c r="DP1653" s="4" t="s">
        <v>241</v>
      </c>
      <c r="DQ1653" s="4" t="s">
        <v>241</v>
      </c>
      <c r="DR1653" s="4" t="s">
        <v>241</v>
      </c>
      <c r="DS1653" s="4" t="s">
        <v>241</v>
      </c>
      <c r="DV1653" s="4" t="s">
        <v>278</v>
      </c>
      <c r="DW1653" s="4" t="s">
        <v>2230</v>
      </c>
      <c r="HO1653" s="4" t="s">
        <v>267</v>
      </c>
    </row>
    <row r="1654" spans="1:223" ht="19.5" customHeight="1" x14ac:dyDescent="0.4">
      <c r="A1654" s="4">
        <v>1</v>
      </c>
      <c r="B1654" s="4" t="s">
        <v>239</v>
      </c>
      <c r="C1654" s="4">
        <v>3328</v>
      </c>
      <c r="D1654" s="4">
        <v>1</v>
      </c>
      <c r="E1654" s="4">
        <v>1</v>
      </c>
      <c r="F1654" s="4" t="s">
        <v>268</v>
      </c>
      <c r="G1654" s="4" t="s">
        <v>241</v>
      </c>
      <c r="H1654" s="4" t="s">
        <v>241</v>
      </c>
      <c r="I1654" s="4" t="s">
        <v>272</v>
      </c>
      <c r="J1654" s="4" t="s">
        <v>274</v>
      </c>
      <c r="K1654" s="4" t="s">
        <v>251</v>
      </c>
      <c r="L1654" s="4" t="s">
        <v>269</v>
      </c>
      <c r="M1654" s="5" t="s">
        <v>2227</v>
      </c>
      <c r="N1654" s="6">
        <f>3610</f>
        <v>3610</v>
      </c>
      <c r="O1654" s="4" t="s">
        <v>265</v>
      </c>
      <c r="P1654" s="6">
        <f>1</f>
        <v>1</v>
      </c>
      <c r="Q1654" s="6">
        <f>0</f>
        <v>0</v>
      </c>
      <c r="S1654" s="6">
        <f>0</f>
        <v>0</v>
      </c>
      <c r="T1654" s="6">
        <f>1</f>
        <v>1</v>
      </c>
      <c r="U1654" s="5" t="s">
        <v>245</v>
      </c>
      <c r="V1654" s="4" t="s">
        <v>270</v>
      </c>
      <c r="W1654" s="4" t="s">
        <v>271</v>
      </c>
      <c r="X1654" s="4" t="s">
        <v>273</v>
      </c>
      <c r="Y1654" s="4" t="s">
        <v>241</v>
      </c>
      <c r="AB1654" s="4" t="s">
        <v>241</v>
      </c>
      <c r="AD1654" s="5" t="s">
        <v>241</v>
      </c>
      <c r="AG1654" s="5" t="s">
        <v>246</v>
      </c>
      <c r="AH1654" s="4" t="s">
        <v>241</v>
      </c>
      <c r="AI1654" s="4" t="s">
        <v>247</v>
      </c>
      <c r="AJ1654" s="4" t="s">
        <v>248</v>
      </c>
      <c r="AZ1654" s="4" t="s">
        <v>249</v>
      </c>
      <c r="BA1654" s="4" t="s">
        <v>241</v>
      </c>
      <c r="BB1654" s="4" t="s">
        <v>250</v>
      </c>
      <c r="BC1654" s="4" t="s">
        <v>241</v>
      </c>
      <c r="BD1654" s="4" t="s">
        <v>252</v>
      </c>
      <c r="BE1654" s="4" t="s">
        <v>241</v>
      </c>
      <c r="BI1654" s="4" t="s">
        <v>253</v>
      </c>
      <c r="BJ1654" s="5" t="s">
        <v>246</v>
      </c>
      <c r="BK1654" s="4" t="s">
        <v>254</v>
      </c>
      <c r="BL1654" s="4" t="s">
        <v>255</v>
      </c>
      <c r="BM1654" s="4" t="s">
        <v>241</v>
      </c>
      <c r="BN1654" s="6">
        <f>0</f>
        <v>0</v>
      </c>
      <c r="BO1654" s="6">
        <f>0</f>
        <v>0</v>
      </c>
      <c r="BP1654" s="4" t="s">
        <v>256</v>
      </c>
      <c r="BQ1654" s="4" t="s">
        <v>257</v>
      </c>
      <c r="CE1654" s="4" t="s">
        <v>241</v>
      </c>
      <c r="CF1654" s="4" t="s">
        <v>241</v>
      </c>
      <c r="CJ1654" s="4" t="s">
        <v>276</v>
      </c>
      <c r="CK1654" s="4" t="s">
        <v>259</v>
      </c>
      <c r="CL1654" s="4" t="s">
        <v>241</v>
      </c>
      <c r="CO1654" s="5" t="s">
        <v>260</v>
      </c>
      <c r="CP1654" s="4" t="s">
        <v>241</v>
      </c>
      <c r="CQ1654" s="4" t="s">
        <v>261</v>
      </c>
      <c r="CR1654" s="4" t="s">
        <v>241</v>
      </c>
      <c r="CS1654" s="4" t="s">
        <v>241</v>
      </c>
      <c r="CT1654" s="4">
        <v>0</v>
      </c>
      <c r="CU1654" s="4" t="s">
        <v>262</v>
      </c>
      <c r="CV1654" s="4" t="s">
        <v>263</v>
      </c>
      <c r="CW1654" s="4" t="s">
        <v>263</v>
      </c>
      <c r="CX1654" s="4" t="s">
        <v>264</v>
      </c>
      <c r="DA1654" s="6">
        <f>1</f>
        <v>1</v>
      </c>
      <c r="DC1654" s="4" t="s">
        <v>277</v>
      </c>
      <c r="DD1654" s="4" t="s">
        <v>241</v>
      </c>
      <c r="DF1654" s="4" t="s">
        <v>277</v>
      </c>
      <c r="DG1654" s="6">
        <f>3610</f>
        <v>3610</v>
      </c>
      <c r="DI1654" s="4" t="s">
        <v>241</v>
      </c>
      <c r="DJ1654" s="4" t="s">
        <v>241</v>
      </c>
      <c r="DK1654" s="4" t="s">
        <v>241</v>
      </c>
      <c r="DL1654" s="4" t="s">
        <v>241</v>
      </c>
      <c r="DP1654" s="4" t="s">
        <v>241</v>
      </c>
      <c r="DQ1654" s="4" t="s">
        <v>241</v>
      </c>
      <c r="DR1654" s="4" t="s">
        <v>241</v>
      </c>
      <c r="DS1654" s="4" t="s">
        <v>241</v>
      </c>
      <c r="DV1654" s="4" t="s">
        <v>278</v>
      </c>
      <c r="DW1654" s="4" t="s">
        <v>2228</v>
      </c>
      <c r="HO1654" s="4" t="s">
        <v>267</v>
      </c>
    </row>
    <row r="1655" spans="1:223" ht="19.5" customHeight="1" x14ac:dyDescent="0.4">
      <c r="A1655" s="4">
        <v>1</v>
      </c>
      <c r="B1655" s="4" t="s">
        <v>239</v>
      </c>
      <c r="C1655" s="4">
        <v>3329</v>
      </c>
      <c r="D1655" s="4">
        <v>1</v>
      </c>
      <c r="E1655" s="4">
        <v>1</v>
      </c>
      <c r="F1655" s="4" t="s">
        <v>268</v>
      </c>
      <c r="G1655" s="4" t="s">
        <v>241</v>
      </c>
      <c r="H1655" s="4" t="s">
        <v>241</v>
      </c>
      <c r="I1655" s="4" t="s">
        <v>272</v>
      </c>
      <c r="J1655" s="4" t="s">
        <v>274</v>
      </c>
      <c r="K1655" s="4" t="s">
        <v>251</v>
      </c>
      <c r="L1655" s="4" t="s">
        <v>269</v>
      </c>
      <c r="M1655" s="5" t="s">
        <v>2225</v>
      </c>
      <c r="N1655" s="6">
        <f>268</f>
        <v>268</v>
      </c>
      <c r="O1655" s="4" t="s">
        <v>265</v>
      </c>
      <c r="P1655" s="6">
        <f>1</f>
        <v>1</v>
      </c>
      <c r="Q1655" s="6">
        <f>0</f>
        <v>0</v>
      </c>
      <c r="S1655" s="6">
        <f>0</f>
        <v>0</v>
      </c>
      <c r="T1655" s="6">
        <f>1</f>
        <v>1</v>
      </c>
      <c r="U1655" s="5" t="s">
        <v>245</v>
      </c>
      <c r="V1655" s="4" t="s">
        <v>270</v>
      </c>
      <c r="W1655" s="4" t="s">
        <v>271</v>
      </c>
      <c r="X1655" s="4" t="s">
        <v>273</v>
      </c>
      <c r="Y1655" s="4" t="s">
        <v>241</v>
      </c>
      <c r="AB1655" s="4" t="s">
        <v>241</v>
      </c>
      <c r="AD1655" s="5" t="s">
        <v>241</v>
      </c>
      <c r="AG1655" s="5" t="s">
        <v>246</v>
      </c>
      <c r="AH1655" s="4" t="s">
        <v>241</v>
      </c>
      <c r="AI1655" s="4" t="s">
        <v>247</v>
      </c>
      <c r="AJ1655" s="4" t="s">
        <v>248</v>
      </c>
      <c r="AZ1655" s="4" t="s">
        <v>249</v>
      </c>
      <c r="BA1655" s="4" t="s">
        <v>241</v>
      </c>
      <c r="BB1655" s="4" t="s">
        <v>250</v>
      </c>
      <c r="BC1655" s="4" t="s">
        <v>241</v>
      </c>
      <c r="BD1655" s="4" t="s">
        <v>252</v>
      </c>
      <c r="BE1655" s="4" t="s">
        <v>241</v>
      </c>
      <c r="BI1655" s="4" t="s">
        <v>253</v>
      </c>
      <c r="BJ1655" s="5" t="s">
        <v>246</v>
      </c>
      <c r="BK1655" s="4" t="s">
        <v>254</v>
      </c>
      <c r="BL1655" s="4" t="s">
        <v>255</v>
      </c>
      <c r="BM1655" s="4" t="s">
        <v>241</v>
      </c>
      <c r="BN1655" s="6">
        <f>0</f>
        <v>0</v>
      </c>
      <c r="BO1655" s="6">
        <f>0</f>
        <v>0</v>
      </c>
      <c r="BP1655" s="4" t="s">
        <v>256</v>
      </c>
      <c r="BQ1655" s="4" t="s">
        <v>257</v>
      </c>
      <c r="CE1655" s="4" t="s">
        <v>241</v>
      </c>
      <c r="CF1655" s="4" t="s">
        <v>241</v>
      </c>
      <c r="CJ1655" s="4" t="s">
        <v>276</v>
      </c>
      <c r="CK1655" s="4" t="s">
        <v>259</v>
      </c>
      <c r="CL1655" s="4" t="s">
        <v>241</v>
      </c>
      <c r="CO1655" s="5" t="s">
        <v>260</v>
      </c>
      <c r="CP1655" s="4" t="s">
        <v>241</v>
      </c>
      <c r="CQ1655" s="4" t="s">
        <v>261</v>
      </c>
      <c r="CR1655" s="4" t="s">
        <v>241</v>
      </c>
      <c r="CS1655" s="4" t="s">
        <v>241</v>
      </c>
      <c r="CT1655" s="4">
        <v>0</v>
      </c>
      <c r="CU1655" s="4" t="s">
        <v>262</v>
      </c>
      <c r="CV1655" s="4" t="s">
        <v>263</v>
      </c>
      <c r="CW1655" s="4" t="s">
        <v>263</v>
      </c>
      <c r="CX1655" s="4" t="s">
        <v>264</v>
      </c>
      <c r="DA1655" s="6">
        <f>1</f>
        <v>1</v>
      </c>
      <c r="DC1655" s="4" t="s">
        <v>277</v>
      </c>
      <c r="DD1655" s="4" t="s">
        <v>241</v>
      </c>
      <c r="DF1655" s="4" t="s">
        <v>277</v>
      </c>
      <c r="DG1655" s="6">
        <f>268</f>
        <v>268</v>
      </c>
      <c r="DI1655" s="4" t="s">
        <v>241</v>
      </c>
      <c r="DJ1655" s="4" t="s">
        <v>241</v>
      </c>
      <c r="DK1655" s="4" t="s">
        <v>241</v>
      </c>
      <c r="DL1655" s="4" t="s">
        <v>241</v>
      </c>
      <c r="DP1655" s="4" t="s">
        <v>241</v>
      </c>
      <c r="DQ1655" s="4" t="s">
        <v>241</v>
      </c>
      <c r="DR1655" s="4" t="s">
        <v>241</v>
      </c>
      <c r="DS1655" s="4" t="s">
        <v>241</v>
      </c>
      <c r="DV1655" s="4" t="s">
        <v>278</v>
      </c>
      <c r="DW1655" s="4" t="s">
        <v>2226</v>
      </c>
      <c r="HO1655" s="4" t="s">
        <v>267</v>
      </c>
    </row>
    <row r="1656" spans="1:223" ht="19.5" customHeight="1" x14ac:dyDescent="0.4">
      <c r="A1656" s="4">
        <v>1</v>
      </c>
      <c r="B1656" s="4" t="s">
        <v>239</v>
      </c>
      <c r="C1656" s="4">
        <v>3330</v>
      </c>
      <c r="D1656" s="4">
        <v>1</v>
      </c>
      <c r="E1656" s="4">
        <v>1</v>
      </c>
      <c r="F1656" s="4" t="s">
        <v>268</v>
      </c>
      <c r="G1656" s="4" t="s">
        <v>241</v>
      </c>
      <c r="H1656" s="4" t="s">
        <v>241</v>
      </c>
      <c r="I1656" s="4" t="s">
        <v>272</v>
      </c>
      <c r="J1656" s="4" t="s">
        <v>274</v>
      </c>
      <c r="K1656" s="4" t="s">
        <v>251</v>
      </c>
      <c r="L1656" s="4" t="s">
        <v>269</v>
      </c>
      <c r="M1656" s="5" t="s">
        <v>2223</v>
      </c>
      <c r="N1656" s="6">
        <f>690</f>
        <v>690</v>
      </c>
      <c r="O1656" s="4" t="s">
        <v>265</v>
      </c>
      <c r="P1656" s="6">
        <f>1</f>
        <v>1</v>
      </c>
      <c r="Q1656" s="6">
        <f>0</f>
        <v>0</v>
      </c>
      <c r="S1656" s="6">
        <f>0</f>
        <v>0</v>
      </c>
      <c r="T1656" s="6">
        <f>1</f>
        <v>1</v>
      </c>
      <c r="U1656" s="5" t="s">
        <v>245</v>
      </c>
      <c r="V1656" s="4" t="s">
        <v>270</v>
      </c>
      <c r="W1656" s="4" t="s">
        <v>271</v>
      </c>
      <c r="X1656" s="4" t="s">
        <v>273</v>
      </c>
      <c r="Y1656" s="4" t="s">
        <v>241</v>
      </c>
      <c r="AB1656" s="4" t="s">
        <v>241</v>
      </c>
      <c r="AD1656" s="5" t="s">
        <v>241</v>
      </c>
      <c r="AG1656" s="5" t="s">
        <v>246</v>
      </c>
      <c r="AH1656" s="4" t="s">
        <v>241</v>
      </c>
      <c r="AI1656" s="4" t="s">
        <v>247</v>
      </c>
      <c r="AJ1656" s="4" t="s">
        <v>248</v>
      </c>
      <c r="AZ1656" s="4" t="s">
        <v>249</v>
      </c>
      <c r="BA1656" s="4" t="s">
        <v>241</v>
      </c>
      <c r="BB1656" s="4" t="s">
        <v>250</v>
      </c>
      <c r="BC1656" s="4" t="s">
        <v>241</v>
      </c>
      <c r="BD1656" s="4" t="s">
        <v>252</v>
      </c>
      <c r="BE1656" s="4" t="s">
        <v>241</v>
      </c>
      <c r="BI1656" s="4" t="s">
        <v>253</v>
      </c>
      <c r="BJ1656" s="5" t="s">
        <v>246</v>
      </c>
      <c r="BK1656" s="4" t="s">
        <v>254</v>
      </c>
      <c r="BL1656" s="4" t="s">
        <v>255</v>
      </c>
      <c r="BM1656" s="4" t="s">
        <v>241</v>
      </c>
      <c r="BN1656" s="6">
        <f>0</f>
        <v>0</v>
      </c>
      <c r="BO1656" s="6">
        <f>0</f>
        <v>0</v>
      </c>
      <c r="BP1656" s="4" t="s">
        <v>256</v>
      </c>
      <c r="BQ1656" s="4" t="s">
        <v>257</v>
      </c>
      <c r="CE1656" s="4" t="s">
        <v>241</v>
      </c>
      <c r="CF1656" s="4" t="s">
        <v>241</v>
      </c>
      <c r="CJ1656" s="4" t="s">
        <v>276</v>
      </c>
      <c r="CK1656" s="4" t="s">
        <v>259</v>
      </c>
      <c r="CL1656" s="4" t="s">
        <v>241</v>
      </c>
      <c r="CO1656" s="5" t="s">
        <v>260</v>
      </c>
      <c r="CP1656" s="4" t="s">
        <v>241</v>
      </c>
      <c r="CQ1656" s="4" t="s">
        <v>261</v>
      </c>
      <c r="CR1656" s="4" t="s">
        <v>241</v>
      </c>
      <c r="CS1656" s="4" t="s">
        <v>241</v>
      </c>
      <c r="CT1656" s="4">
        <v>0</v>
      </c>
      <c r="CU1656" s="4" t="s">
        <v>262</v>
      </c>
      <c r="CV1656" s="4" t="s">
        <v>263</v>
      </c>
      <c r="CW1656" s="4" t="s">
        <v>263</v>
      </c>
      <c r="CX1656" s="4" t="s">
        <v>264</v>
      </c>
      <c r="DA1656" s="6">
        <f>1</f>
        <v>1</v>
      </c>
      <c r="DC1656" s="4" t="s">
        <v>277</v>
      </c>
      <c r="DD1656" s="4" t="s">
        <v>241</v>
      </c>
      <c r="DF1656" s="4" t="s">
        <v>277</v>
      </c>
      <c r="DG1656" s="6">
        <f>690</f>
        <v>690</v>
      </c>
      <c r="DI1656" s="4" t="s">
        <v>241</v>
      </c>
      <c r="DJ1656" s="4" t="s">
        <v>241</v>
      </c>
      <c r="DK1656" s="4" t="s">
        <v>241</v>
      </c>
      <c r="DL1656" s="4" t="s">
        <v>241</v>
      </c>
      <c r="DP1656" s="4" t="s">
        <v>241</v>
      </c>
      <c r="DQ1656" s="4" t="s">
        <v>241</v>
      </c>
      <c r="DR1656" s="4" t="s">
        <v>241</v>
      </c>
      <c r="DS1656" s="4" t="s">
        <v>241</v>
      </c>
      <c r="DV1656" s="4" t="s">
        <v>278</v>
      </c>
      <c r="DW1656" s="4" t="s">
        <v>2224</v>
      </c>
      <c r="HO1656" s="4" t="s">
        <v>267</v>
      </c>
    </row>
    <row r="1657" spans="1:223" ht="19.5" customHeight="1" x14ac:dyDescent="0.4">
      <c r="A1657" s="4">
        <v>1</v>
      </c>
      <c r="B1657" s="4" t="s">
        <v>239</v>
      </c>
      <c r="C1657" s="4">
        <v>3331</v>
      </c>
      <c r="D1657" s="4">
        <v>1</v>
      </c>
      <c r="E1657" s="4">
        <v>1</v>
      </c>
      <c r="F1657" s="4" t="s">
        <v>268</v>
      </c>
      <c r="G1657" s="4" t="s">
        <v>241</v>
      </c>
      <c r="H1657" s="4" t="s">
        <v>241</v>
      </c>
      <c r="I1657" s="4" t="s">
        <v>272</v>
      </c>
      <c r="J1657" s="4" t="s">
        <v>274</v>
      </c>
      <c r="K1657" s="4" t="s">
        <v>251</v>
      </c>
      <c r="L1657" s="4" t="s">
        <v>269</v>
      </c>
      <c r="M1657" s="5" t="s">
        <v>2221</v>
      </c>
      <c r="N1657" s="6">
        <f>3371</f>
        <v>3371</v>
      </c>
      <c r="O1657" s="4" t="s">
        <v>265</v>
      </c>
      <c r="P1657" s="6">
        <f>1</f>
        <v>1</v>
      </c>
      <c r="Q1657" s="6">
        <f>0</f>
        <v>0</v>
      </c>
      <c r="S1657" s="6">
        <f>0</f>
        <v>0</v>
      </c>
      <c r="T1657" s="6">
        <f>1</f>
        <v>1</v>
      </c>
      <c r="U1657" s="5" t="s">
        <v>245</v>
      </c>
      <c r="V1657" s="4" t="s">
        <v>270</v>
      </c>
      <c r="W1657" s="4" t="s">
        <v>271</v>
      </c>
      <c r="X1657" s="4" t="s">
        <v>273</v>
      </c>
      <c r="Y1657" s="4" t="s">
        <v>241</v>
      </c>
      <c r="AB1657" s="4" t="s">
        <v>241</v>
      </c>
      <c r="AD1657" s="5" t="s">
        <v>241</v>
      </c>
      <c r="AG1657" s="5" t="s">
        <v>246</v>
      </c>
      <c r="AH1657" s="4" t="s">
        <v>241</v>
      </c>
      <c r="AI1657" s="4" t="s">
        <v>247</v>
      </c>
      <c r="AJ1657" s="4" t="s">
        <v>248</v>
      </c>
      <c r="AZ1657" s="4" t="s">
        <v>249</v>
      </c>
      <c r="BA1657" s="4" t="s">
        <v>241</v>
      </c>
      <c r="BB1657" s="4" t="s">
        <v>250</v>
      </c>
      <c r="BC1657" s="4" t="s">
        <v>241</v>
      </c>
      <c r="BD1657" s="4" t="s">
        <v>252</v>
      </c>
      <c r="BE1657" s="4" t="s">
        <v>241</v>
      </c>
      <c r="BI1657" s="4" t="s">
        <v>253</v>
      </c>
      <c r="BJ1657" s="5" t="s">
        <v>246</v>
      </c>
      <c r="BK1657" s="4" t="s">
        <v>254</v>
      </c>
      <c r="BL1657" s="4" t="s">
        <v>255</v>
      </c>
      <c r="BM1657" s="4" t="s">
        <v>241</v>
      </c>
      <c r="BN1657" s="6">
        <f>0</f>
        <v>0</v>
      </c>
      <c r="BO1657" s="6">
        <f>0</f>
        <v>0</v>
      </c>
      <c r="BP1657" s="4" t="s">
        <v>256</v>
      </c>
      <c r="BQ1657" s="4" t="s">
        <v>257</v>
      </c>
      <c r="CE1657" s="4" t="s">
        <v>241</v>
      </c>
      <c r="CF1657" s="4" t="s">
        <v>241</v>
      </c>
      <c r="CJ1657" s="4" t="s">
        <v>276</v>
      </c>
      <c r="CK1657" s="4" t="s">
        <v>259</v>
      </c>
      <c r="CL1657" s="4" t="s">
        <v>241</v>
      </c>
      <c r="CO1657" s="5" t="s">
        <v>260</v>
      </c>
      <c r="CP1657" s="4" t="s">
        <v>241</v>
      </c>
      <c r="CQ1657" s="4" t="s">
        <v>261</v>
      </c>
      <c r="CR1657" s="4" t="s">
        <v>241</v>
      </c>
      <c r="CS1657" s="4" t="s">
        <v>241</v>
      </c>
      <c r="CT1657" s="4">
        <v>0</v>
      </c>
      <c r="CU1657" s="4" t="s">
        <v>262</v>
      </c>
      <c r="CV1657" s="4" t="s">
        <v>263</v>
      </c>
      <c r="CW1657" s="4" t="s">
        <v>263</v>
      </c>
      <c r="CX1657" s="4" t="s">
        <v>264</v>
      </c>
      <c r="DA1657" s="6">
        <f>1</f>
        <v>1</v>
      </c>
      <c r="DC1657" s="4" t="s">
        <v>277</v>
      </c>
      <c r="DD1657" s="4" t="s">
        <v>241</v>
      </c>
      <c r="DF1657" s="4" t="s">
        <v>277</v>
      </c>
      <c r="DG1657" s="6">
        <f>3371</f>
        <v>3371</v>
      </c>
      <c r="DI1657" s="4" t="s">
        <v>241</v>
      </c>
      <c r="DJ1657" s="4" t="s">
        <v>241</v>
      </c>
      <c r="DK1657" s="4" t="s">
        <v>241</v>
      </c>
      <c r="DL1657" s="4" t="s">
        <v>241</v>
      </c>
      <c r="DP1657" s="4" t="s">
        <v>241</v>
      </c>
      <c r="DQ1657" s="4" t="s">
        <v>241</v>
      </c>
      <c r="DR1657" s="4" t="s">
        <v>241</v>
      </c>
      <c r="DS1657" s="4" t="s">
        <v>241</v>
      </c>
      <c r="DV1657" s="4" t="s">
        <v>278</v>
      </c>
      <c r="DW1657" s="4" t="s">
        <v>2222</v>
      </c>
      <c r="HO1657" s="4" t="s">
        <v>267</v>
      </c>
    </row>
    <row r="1658" spans="1:223" ht="19.5" customHeight="1" x14ac:dyDescent="0.4">
      <c r="A1658" s="4">
        <v>1</v>
      </c>
      <c r="B1658" s="4" t="s">
        <v>239</v>
      </c>
      <c r="C1658" s="4">
        <v>3332</v>
      </c>
      <c r="D1658" s="4">
        <v>1</v>
      </c>
      <c r="E1658" s="4">
        <v>1</v>
      </c>
      <c r="F1658" s="4" t="s">
        <v>268</v>
      </c>
      <c r="G1658" s="4" t="s">
        <v>241</v>
      </c>
      <c r="H1658" s="4" t="s">
        <v>241</v>
      </c>
      <c r="I1658" s="4" t="s">
        <v>272</v>
      </c>
      <c r="J1658" s="4" t="s">
        <v>274</v>
      </c>
      <c r="K1658" s="4" t="s">
        <v>251</v>
      </c>
      <c r="L1658" s="4" t="s">
        <v>269</v>
      </c>
      <c r="M1658" s="5" t="s">
        <v>2218</v>
      </c>
      <c r="N1658" s="6">
        <f>258</f>
        <v>258</v>
      </c>
      <c r="O1658" s="4" t="s">
        <v>265</v>
      </c>
      <c r="P1658" s="6">
        <f>1</f>
        <v>1</v>
      </c>
      <c r="Q1658" s="6">
        <f>0</f>
        <v>0</v>
      </c>
      <c r="S1658" s="6">
        <f>0</f>
        <v>0</v>
      </c>
      <c r="T1658" s="6">
        <f>1</f>
        <v>1</v>
      </c>
      <c r="U1658" s="5" t="s">
        <v>245</v>
      </c>
      <c r="V1658" s="4" t="s">
        <v>270</v>
      </c>
      <c r="W1658" s="4" t="s">
        <v>271</v>
      </c>
      <c r="X1658" s="4" t="s">
        <v>273</v>
      </c>
      <c r="Y1658" s="4" t="s">
        <v>241</v>
      </c>
      <c r="AB1658" s="4" t="s">
        <v>241</v>
      </c>
      <c r="AD1658" s="5" t="s">
        <v>241</v>
      </c>
      <c r="AG1658" s="5" t="s">
        <v>246</v>
      </c>
      <c r="AH1658" s="4" t="s">
        <v>241</v>
      </c>
      <c r="AI1658" s="4" t="s">
        <v>247</v>
      </c>
      <c r="AJ1658" s="4" t="s">
        <v>248</v>
      </c>
      <c r="AZ1658" s="4" t="s">
        <v>249</v>
      </c>
      <c r="BA1658" s="4" t="s">
        <v>241</v>
      </c>
      <c r="BB1658" s="4" t="s">
        <v>250</v>
      </c>
      <c r="BC1658" s="4" t="s">
        <v>241</v>
      </c>
      <c r="BD1658" s="4" t="s">
        <v>252</v>
      </c>
      <c r="BE1658" s="4" t="s">
        <v>241</v>
      </c>
      <c r="BI1658" s="4" t="s">
        <v>253</v>
      </c>
      <c r="BJ1658" s="5" t="s">
        <v>246</v>
      </c>
      <c r="BK1658" s="4" t="s">
        <v>254</v>
      </c>
      <c r="BL1658" s="4" t="s">
        <v>255</v>
      </c>
      <c r="BM1658" s="4" t="s">
        <v>241</v>
      </c>
      <c r="BN1658" s="6">
        <f>0</f>
        <v>0</v>
      </c>
      <c r="BO1658" s="6">
        <f>0</f>
        <v>0</v>
      </c>
      <c r="BP1658" s="4" t="s">
        <v>256</v>
      </c>
      <c r="BQ1658" s="4" t="s">
        <v>257</v>
      </c>
      <c r="CE1658" s="4" t="s">
        <v>241</v>
      </c>
      <c r="CF1658" s="4" t="s">
        <v>241</v>
      </c>
      <c r="CJ1658" s="4" t="s">
        <v>276</v>
      </c>
      <c r="CK1658" s="4" t="s">
        <v>259</v>
      </c>
      <c r="CL1658" s="4" t="s">
        <v>241</v>
      </c>
      <c r="CO1658" s="5" t="s">
        <v>260</v>
      </c>
      <c r="CP1658" s="4" t="s">
        <v>241</v>
      </c>
      <c r="CQ1658" s="4" t="s">
        <v>261</v>
      </c>
      <c r="CR1658" s="4" t="s">
        <v>241</v>
      </c>
      <c r="CS1658" s="4" t="s">
        <v>241</v>
      </c>
      <c r="CT1658" s="4">
        <v>0</v>
      </c>
      <c r="CU1658" s="4" t="s">
        <v>262</v>
      </c>
      <c r="CV1658" s="4" t="s">
        <v>263</v>
      </c>
      <c r="CW1658" s="4" t="s">
        <v>263</v>
      </c>
      <c r="CX1658" s="4" t="s">
        <v>264</v>
      </c>
      <c r="DA1658" s="6">
        <f>1</f>
        <v>1</v>
      </c>
      <c r="DC1658" s="4" t="s">
        <v>277</v>
      </c>
      <c r="DD1658" s="4" t="s">
        <v>241</v>
      </c>
      <c r="DF1658" s="4" t="s">
        <v>277</v>
      </c>
      <c r="DG1658" s="6">
        <f>258</f>
        <v>258</v>
      </c>
      <c r="DI1658" s="4" t="s">
        <v>241</v>
      </c>
      <c r="DJ1658" s="4" t="s">
        <v>241</v>
      </c>
      <c r="DK1658" s="4" t="s">
        <v>241</v>
      </c>
      <c r="DL1658" s="4" t="s">
        <v>241</v>
      </c>
      <c r="DP1658" s="4" t="s">
        <v>241</v>
      </c>
      <c r="DQ1658" s="4" t="s">
        <v>241</v>
      </c>
      <c r="DR1658" s="4" t="s">
        <v>241</v>
      </c>
      <c r="DS1658" s="4" t="s">
        <v>241</v>
      </c>
      <c r="DV1658" s="4" t="s">
        <v>278</v>
      </c>
      <c r="DW1658" s="4" t="s">
        <v>2219</v>
      </c>
      <c r="HO1658" s="4" t="s">
        <v>267</v>
      </c>
    </row>
    <row r="1659" spans="1:223" ht="19.5" customHeight="1" x14ac:dyDescent="0.4">
      <c r="A1659" s="4">
        <v>1</v>
      </c>
      <c r="B1659" s="4" t="s">
        <v>239</v>
      </c>
      <c r="C1659" s="4">
        <v>3333</v>
      </c>
      <c r="D1659" s="4">
        <v>1</v>
      </c>
      <c r="E1659" s="4">
        <v>1</v>
      </c>
      <c r="F1659" s="4" t="s">
        <v>268</v>
      </c>
      <c r="G1659" s="4" t="s">
        <v>241</v>
      </c>
      <c r="H1659" s="4" t="s">
        <v>241</v>
      </c>
      <c r="I1659" s="4" t="s">
        <v>272</v>
      </c>
      <c r="J1659" s="4" t="s">
        <v>274</v>
      </c>
      <c r="K1659" s="4" t="s">
        <v>251</v>
      </c>
      <c r="L1659" s="4" t="s">
        <v>269</v>
      </c>
      <c r="M1659" s="5" t="s">
        <v>2216</v>
      </c>
      <c r="N1659" s="6">
        <f>2009</f>
        <v>2009</v>
      </c>
      <c r="O1659" s="4" t="s">
        <v>265</v>
      </c>
      <c r="P1659" s="6">
        <f>1</f>
        <v>1</v>
      </c>
      <c r="Q1659" s="6">
        <f>0</f>
        <v>0</v>
      </c>
      <c r="S1659" s="6">
        <f>0</f>
        <v>0</v>
      </c>
      <c r="T1659" s="6">
        <f>1</f>
        <v>1</v>
      </c>
      <c r="U1659" s="5" t="s">
        <v>245</v>
      </c>
      <c r="V1659" s="4" t="s">
        <v>270</v>
      </c>
      <c r="W1659" s="4" t="s">
        <v>271</v>
      </c>
      <c r="X1659" s="4" t="s">
        <v>273</v>
      </c>
      <c r="Y1659" s="4" t="s">
        <v>241</v>
      </c>
      <c r="AB1659" s="4" t="s">
        <v>241</v>
      </c>
      <c r="AD1659" s="5" t="s">
        <v>241</v>
      </c>
      <c r="AG1659" s="5" t="s">
        <v>246</v>
      </c>
      <c r="AH1659" s="4" t="s">
        <v>241</v>
      </c>
      <c r="AI1659" s="4" t="s">
        <v>247</v>
      </c>
      <c r="AJ1659" s="4" t="s">
        <v>248</v>
      </c>
      <c r="AZ1659" s="4" t="s">
        <v>249</v>
      </c>
      <c r="BA1659" s="4" t="s">
        <v>241</v>
      </c>
      <c r="BB1659" s="4" t="s">
        <v>250</v>
      </c>
      <c r="BC1659" s="4" t="s">
        <v>241</v>
      </c>
      <c r="BD1659" s="4" t="s">
        <v>252</v>
      </c>
      <c r="BE1659" s="4" t="s">
        <v>241</v>
      </c>
      <c r="BI1659" s="4" t="s">
        <v>253</v>
      </c>
      <c r="BJ1659" s="5" t="s">
        <v>246</v>
      </c>
      <c r="BK1659" s="4" t="s">
        <v>254</v>
      </c>
      <c r="BL1659" s="4" t="s">
        <v>255</v>
      </c>
      <c r="BM1659" s="4" t="s">
        <v>241</v>
      </c>
      <c r="BN1659" s="6">
        <f>0</f>
        <v>0</v>
      </c>
      <c r="BO1659" s="6">
        <f>0</f>
        <v>0</v>
      </c>
      <c r="BP1659" s="4" t="s">
        <v>256</v>
      </c>
      <c r="BQ1659" s="4" t="s">
        <v>257</v>
      </c>
      <c r="CE1659" s="4" t="s">
        <v>241</v>
      </c>
      <c r="CF1659" s="4" t="s">
        <v>241</v>
      </c>
      <c r="CJ1659" s="4" t="s">
        <v>276</v>
      </c>
      <c r="CK1659" s="4" t="s">
        <v>259</v>
      </c>
      <c r="CL1659" s="4" t="s">
        <v>241</v>
      </c>
      <c r="CO1659" s="5" t="s">
        <v>260</v>
      </c>
      <c r="CP1659" s="4" t="s">
        <v>241</v>
      </c>
      <c r="CQ1659" s="4" t="s">
        <v>261</v>
      </c>
      <c r="CR1659" s="4" t="s">
        <v>241</v>
      </c>
      <c r="CS1659" s="4" t="s">
        <v>241</v>
      </c>
      <c r="CT1659" s="4">
        <v>0</v>
      </c>
      <c r="CU1659" s="4" t="s">
        <v>262</v>
      </c>
      <c r="CV1659" s="4" t="s">
        <v>263</v>
      </c>
      <c r="CW1659" s="4" t="s">
        <v>263</v>
      </c>
      <c r="CX1659" s="4" t="s">
        <v>264</v>
      </c>
      <c r="DA1659" s="6">
        <f>1</f>
        <v>1</v>
      </c>
      <c r="DC1659" s="4" t="s">
        <v>277</v>
      </c>
      <c r="DD1659" s="4" t="s">
        <v>241</v>
      </c>
      <c r="DF1659" s="4" t="s">
        <v>277</v>
      </c>
      <c r="DG1659" s="6">
        <f>2009</f>
        <v>2009</v>
      </c>
      <c r="DI1659" s="4" t="s">
        <v>241</v>
      </c>
      <c r="DJ1659" s="4" t="s">
        <v>241</v>
      </c>
      <c r="DK1659" s="4" t="s">
        <v>241</v>
      </c>
      <c r="DL1659" s="4" t="s">
        <v>241</v>
      </c>
      <c r="DP1659" s="4" t="s">
        <v>241</v>
      </c>
      <c r="DQ1659" s="4" t="s">
        <v>241</v>
      </c>
      <c r="DR1659" s="4" t="s">
        <v>241</v>
      </c>
      <c r="DS1659" s="4" t="s">
        <v>241</v>
      </c>
      <c r="DV1659" s="4" t="s">
        <v>278</v>
      </c>
      <c r="DW1659" s="4" t="s">
        <v>2217</v>
      </c>
      <c r="HO1659" s="4" t="s">
        <v>267</v>
      </c>
    </row>
    <row r="1660" spans="1:223" ht="19.5" customHeight="1" x14ac:dyDescent="0.4">
      <c r="A1660" s="4">
        <v>1</v>
      </c>
      <c r="B1660" s="4" t="s">
        <v>239</v>
      </c>
      <c r="C1660" s="4">
        <v>3334</v>
      </c>
      <c r="D1660" s="4">
        <v>1</v>
      </c>
      <c r="E1660" s="4">
        <v>1</v>
      </c>
      <c r="F1660" s="4" t="s">
        <v>268</v>
      </c>
      <c r="G1660" s="4" t="s">
        <v>241</v>
      </c>
      <c r="H1660" s="4" t="s">
        <v>241</v>
      </c>
      <c r="I1660" s="4" t="s">
        <v>272</v>
      </c>
      <c r="J1660" s="4" t="s">
        <v>274</v>
      </c>
      <c r="K1660" s="4" t="s">
        <v>251</v>
      </c>
      <c r="L1660" s="4" t="s">
        <v>269</v>
      </c>
      <c r="M1660" s="5" t="s">
        <v>2214</v>
      </c>
      <c r="N1660" s="6">
        <f>902</f>
        <v>902</v>
      </c>
      <c r="O1660" s="4" t="s">
        <v>265</v>
      </c>
      <c r="P1660" s="6">
        <f>1</f>
        <v>1</v>
      </c>
      <c r="Q1660" s="6">
        <f>0</f>
        <v>0</v>
      </c>
      <c r="S1660" s="6">
        <f>0</f>
        <v>0</v>
      </c>
      <c r="T1660" s="6">
        <f>1</f>
        <v>1</v>
      </c>
      <c r="U1660" s="5" t="s">
        <v>245</v>
      </c>
      <c r="V1660" s="4" t="s">
        <v>270</v>
      </c>
      <c r="W1660" s="4" t="s">
        <v>271</v>
      </c>
      <c r="X1660" s="4" t="s">
        <v>273</v>
      </c>
      <c r="Y1660" s="4" t="s">
        <v>241</v>
      </c>
      <c r="AB1660" s="4" t="s">
        <v>241</v>
      </c>
      <c r="AD1660" s="5" t="s">
        <v>241</v>
      </c>
      <c r="AG1660" s="5" t="s">
        <v>246</v>
      </c>
      <c r="AH1660" s="4" t="s">
        <v>241</v>
      </c>
      <c r="AI1660" s="4" t="s">
        <v>247</v>
      </c>
      <c r="AJ1660" s="4" t="s">
        <v>248</v>
      </c>
      <c r="AZ1660" s="4" t="s">
        <v>249</v>
      </c>
      <c r="BA1660" s="4" t="s">
        <v>241</v>
      </c>
      <c r="BB1660" s="4" t="s">
        <v>250</v>
      </c>
      <c r="BC1660" s="4" t="s">
        <v>241</v>
      </c>
      <c r="BD1660" s="4" t="s">
        <v>252</v>
      </c>
      <c r="BE1660" s="4" t="s">
        <v>241</v>
      </c>
      <c r="BI1660" s="4" t="s">
        <v>253</v>
      </c>
      <c r="BJ1660" s="5" t="s">
        <v>246</v>
      </c>
      <c r="BK1660" s="4" t="s">
        <v>254</v>
      </c>
      <c r="BL1660" s="4" t="s">
        <v>255</v>
      </c>
      <c r="BM1660" s="4" t="s">
        <v>241</v>
      </c>
      <c r="BN1660" s="6">
        <f>0</f>
        <v>0</v>
      </c>
      <c r="BO1660" s="6">
        <f>0</f>
        <v>0</v>
      </c>
      <c r="BP1660" s="4" t="s">
        <v>256</v>
      </c>
      <c r="BQ1660" s="4" t="s">
        <v>257</v>
      </c>
      <c r="CE1660" s="4" t="s">
        <v>241</v>
      </c>
      <c r="CF1660" s="4" t="s">
        <v>241</v>
      </c>
      <c r="CJ1660" s="4" t="s">
        <v>276</v>
      </c>
      <c r="CK1660" s="4" t="s">
        <v>259</v>
      </c>
      <c r="CL1660" s="4" t="s">
        <v>241</v>
      </c>
      <c r="CO1660" s="5" t="s">
        <v>260</v>
      </c>
      <c r="CP1660" s="4" t="s">
        <v>241</v>
      </c>
      <c r="CQ1660" s="4" t="s">
        <v>261</v>
      </c>
      <c r="CR1660" s="4" t="s">
        <v>241</v>
      </c>
      <c r="CS1660" s="4" t="s">
        <v>241</v>
      </c>
      <c r="CT1660" s="4">
        <v>0</v>
      </c>
      <c r="CU1660" s="4" t="s">
        <v>262</v>
      </c>
      <c r="CV1660" s="4" t="s">
        <v>263</v>
      </c>
      <c r="CW1660" s="4" t="s">
        <v>263</v>
      </c>
      <c r="CX1660" s="4" t="s">
        <v>264</v>
      </c>
      <c r="DA1660" s="6">
        <f>1</f>
        <v>1</v>
      </c>
      <c r="DC1660" s="4" t="s">
        <v>277</v>
      </c>
      <c r="DD1660" s="4" t="s">
        <v>241</v>
      </c>
      <c r="DF1660" s="4" t="s">
        <v>277</v>
      </c>
      <c r="DG1660" s="6">
        <f>902</f>
        <v>902</v>
      </c>
      <c r="DI1660" s="4" t="s">
        <v>241</v>
      </c>
      <c r="DJ1660" s="4" t="s">
        <v>241</v>
      </c>
      <c r="DK1660" s="4" t="s">
        <v>241</v>
      </c>
      <c r="DL1660" s="4" t="s">
        <v>241</v>
      </c>
      <c r="DP1660" s="4" t="s">
        <v>241</v>
      </c>
      <c r="DQ1660" s="4" t="s">
        <v>241</v>
      </c>
      <c r="DR1660" s="4" t="s">
        <v>241</v>
      </c>
      <c r="DS1660" s="4" t="s">
        <v>241</v>
      </c>
      <c r="DV1660" s="4" t="s">
        <v>278</v>
      </c>
      <c r="DW1660" s="4" t="s">
        <v>2215</v>
      </c>
      <c r="HO1660" s="4" t="s">
        <v>267</v>
      </c>
    </row>
    <row r="1661" spans="1:223" ht="19.5" customHeight="1" x14ac:dyDescent="0.4">
      <c r="A1661" s="4">
        <v>1</v>
      </c>
      <c r="B1661" s="4" t="s">
        <v>239</v>
      </c>
      <c r="C1661" s="4">
        <v>3335</v>
      </c>
      <c r="D1661" s="4">
        <v>1</v>
      </c>
      <c r="E1661" s="4">
        <v>1</v>
      </c>
      <c r="F1661" s="4" t="s">
        <v>268</v>
      </c>
      <c r="G1661" s="4" t="s">
        <v>241</v>
      </c>
      <c r="H1661" s="4" t="s">
        <v>241</v>
      </c>
      <c r="I1661" s="4" t="s">
        <v>272</v>
      </c>
      <c r="J1661" s="4" t="s">
        <v>274</v>
      </c>
      <c r="K1661" s="4" t="s">
        <v>251</v>
      </c>
      <c r="L1661" s="4" t="s">
        <v>269</v>
      </c>
      <c r="M1661" s="5" t="s">
        <v>2212</v>
      </c>
      <c r="N1661" s="6">
        <f>1451</f>
        <v>1451</v>
      </c>
      <c r="O1661" s="4" t="s">
        <v>265</v>
      </c>
      <c r="P1661" s="6">
        <f>1</f>
        <v>1</v>
      </c>
      <c r="Q1661" s="6">
        <f>0</f>
        <v>0</v>
      </c>
      <c r="S1661" s="6">
        <f>0</f>
        <v>0</v>
      </c>
      <c r="T1661" s="6">
        <f>1</f>
        <v>1</v>
      </c>
      <c r="U1661" s="5" t="s">
        <v>245</v>
      </c>
      <c r="V1661" s="4" t="s">
        <v>270</v>
      </c>
      <c r="W1661" s="4" t="s">
        <v>271</v>
      </c>
      <c r="X1661" s="4" t="s">
        <v>273</v>
      </c>
      <c r="Y1661" s="4" t="s">
        <v>241</v>
      </c>
      <c r="AB1661" s="4" t="s">
        <v>241</v>
      </c>
      <c r="AD1661" s="5" t="s">
        <v>241</v>
      </c>
      <c r="AG1661" s="5" t="s">
        <v>246</v>
      </c>
      <c r="AH1661" s="4" t="s">
        <v>241</v>
      </c>
      <c r="AI1661" s="4" t="s">
        <v>247</v>
      </c>
      <c r="AJ1661" s="4" t="s">
        <v>248</v>
      </c>
      <c r="AZ1661" s="4" t="s">
        <v>249</v>
      </c>
      <c r="BA1661" s="4" t="s">
        <v>241</v>
      </c>
      <c r="BB1661" s="4" t="s">
        <v>250</v>
      </c>
      <c r="BC1661" s="4" t="s">
        <v>241</v>
      </c>
      <c r="BD1661" s="4" t="s">
        <v>252</v>
      </c>
      <c r="BE1661" s="4" t="s">
        <v>241</v>
      </c>
      <c r="BI1661" s="4" t="s">
        <v>253</v>
      </c>
      <c r="BJ1661" s="5" t="s">
        <v>246</v>
      </c>
      <c r="BK1661" s="4" t="s">
        <v>254</v>
      </c>
      <c r="BL1661" s="4" t="s">
        <v>255</v>
      </c>
      <c r="BM1661" s="4" t="s">
        <v>241</v>
      </c>
      <c r="BN1661" s="6">
        <f>0</f>
        <v>0</v>
      </c>
      <c r="BO1661" s="6">
        <f>0</f>
        <v>0</v>
      </c>
      <c r="BP1661" s="4" t="s">
        <v>256</v>
      </c>
      <c r="BQ1661" s="4" t="s">
        <v>257</v>
      </c>
      <c r="CE1661" s="4" t="s">
        <v>241</v>
      </c>
      <c r="CF1661" s="4" t="s">
        <v>241</v>
      </c>
      <c r="CJ1661" s="4" t="s">
        <v>276</v>
      </c>
      <c r="CK1661" s="4" t="s">
        <v>259</v>
      </c>
      <c r="CL1661" s="4" t="s">
        <v>241</v>
      </c>
      <c r="CO1661" s="5" t="s">
        <v>260</v>
      </c>
      <c r="CP1661" s="4" t="s">
        <v>241</v>
      </c>
      <c r="CQ1661" s="4" t="s">
        <v>261</v>
      </c>
      <c r="CR1661" s="4" t="s">
        <v>241</v>
      </c>
      <c r="CS1661" s="4" t="s">
        <v>241</v>
      </c>
      <c r="CT1661" s="4">
        <v>0</v>
      </c>
      <c r="CU1661" s="4" t="s">
        <v>262</v>
      </c>
      <c r="CV1661" s="4" t="s">
        <v>263</v>
      </c>
      <c r="CW1661" s="4" t="s">
        <v>263</v>
      </c>
      <c r="CX1661" s="4" t="s">
        <v>264</v>
      </c>
      <c r="DA1661" s="6">
        <f>1</f>
        <v>1</v>
      </c>
      <c r="DC1661" s="4" t="s">
        <v>277</v>
      </c>
      <c r="DD1661" s="4" t="s">
        <v>241</v>
      </c>
      <c r="DF1661" s="4" t="s">
        <v>277</v>
      </c>
      <c r="DG1661" s="6">
        <f>1451</f>
        <v>1451</v>
      </c>
      <c r="DI1661" s="4" t="s">
        <v>241</v>
      </c>
      <c r="DJ1661" s="4" t="s">
        <v>241</v>
      </c>
      <c r="DK1661" s="4" t="s">
        <v>241</v>
      </c>
      <c r="DL1661" s="4" t="s">
        <v>241</v>
      </c>
      <c r="DP1661" s="4" t="s">
        <v>241</v>
      </c>
      <c r="DQ1661" s="4" t="s">
        <v>241</v>
      </c>
      <c r="DR1661" s="4" t="s">
        <v>241</v>
      </c>
      <c r="DS1661" s="4" t="s">
        <v>241</v>
      </c>
      <c r="DV1661" s="4" t="s">
        <v>278</v>
      </c>
      <c r="DW1661" s="4" t="s">
        <v>2213</v>
      </c>
      <c r="HO1661" s="4" t="s">
        <v>267</v>
      </c>
    </row>
    <row r="1662" spans="1:223" ht="19.5" customHeight="1" x14ac:dyDescent="0.4">
      <c r="A1662" s="4">
        <v>1</v>
      </c>
      <c r="B1662" s="4" t="s">
        <v>239</v>
      </c>
      <c r="C1662" s="4">
        <v>3336</v>
      </c>
      <c r="D1662" s="4">
        <v>1</v>
      </c>
      <c r="E1662" s="4">
        <v>1</v>
      </c>
      <c r="F1662" s="4" t="s">
        <v>268</v>
      </c>
      <c r="G1662" s="4" t="s">
        <v>241</v>
      </c>
      <c r="H1662" s="4" t="s">
        <v>241</v>
      </c>
      <c r="I1662" s="4" t="s">
        <v>272</v>
      </c>
      <c r="J1662" s="4" t="s">
        <v>274</v>
      </c>
      <c r="K1662" s="4" t="s">
        <v>251</v>
      </c>
      <c r="L1662" s="4" t="s">
        <v>269</v>
      </c>
      <c r="M1662" s="5" t="s">
        <v>2210</v>
      </c>
      <c r="N1662" s="6">
        <f>1096</f>
        <v>1096</v>
      </c>
      <c r="O1662" s="4" t="s">
        <v>265</v>
      </c>
      <c r="P1662" s="6">
        <f>1</f>
        <v>1</v>
      </c>
      <c r="Q1662" s="6">
        <f>0</f>
        <v>0</v>
      </c>
      <c r="S1662" s="6">
        <f>0</f>
        <v>0</v>
      </c>
      <c r="T1662" s="6">
        <f>1</f>
        <v>1</v>
      </c>
      <c r="U1662" s="5" t="s">
        <v>245</v>
      </c>
      <c r="V1662" s="4" t="s">
        <v>270</v>
      </c>
      <c r="W1662" s="4" t="s">
        <v>271</v>
      </c>
      <c r="X1662" s="4" t="s">
        <v>273</v>
      </c>
      <c r="Y1662" s="4" t="s">
        <v>241</v>
      </c>
      <c r="AB1662" s="4" t="s">
        <v>241</v>
      </c>
      <c r="AD1662" s="5" t="s">
        <v>241</v>
      </c>
      <c r="AG1662" s="5" t="s">
        <v>246</v>
      </c>
      <c r="AH1662" s="4" t="s">
        <v>241</v>
      </c>
      <c r="AI1662" s="4" t="s">
        <v>247</v>
      </c>
      <c r="AJ1662" s="4" t="s">
        <v>248</v>
      </c>
      <c r="AZ1662" s="4" t="s">
        <v>249</v>
      </c>
      <c r="BA1662" s="4" t="s">
        <v>241</v>
      </c>
      <c r="BB1662" s="4" t="s">
        <v>250</v>
      </c>
      <c r="BC1662" s="4" t="s">
        <v>241</v>
      </c>
      <c r="BD1662" s="4" t="s">
        <v>252</v>
      </c>
      <c r="BE1662" s="4" t="s">
        <v>241</v>
      </c>
      <c r="BI1662" s="4" t="s">
        <v>253</v>
      </c>
      <c r="BJ1662" s="5" t="s">
        <v>246</v>
      </c>
      <c r="BK1662" s="4" t="s">
        <v>254</v>
      </c>
      <c r="BL1662" s="4" t="s">
        <v>255</v>
      </c>
      <c r="BM1662" s="4" t="s">
        <v>241</v>
      </c>
      <c r="BN1662" s="6">
        <f>0</f>
        <v>0</v>
      </c>
      <c r="BO1662" s="6">
        <f>0</f>
        <v>0</v>
      </c>
      <c r="BP1662" s="4" t="s">
        <v>256</v>
      </c>
      <c r="BQ1662" s="4" t="s">
        <v>257</v>
      </c>
      <c r="CE1662" s="4" t="s">
        <v>241</v>
      </c>
      <c r="CF1662" s="4" t="s">
        <v>241</v>
      </c>
      <c r="CJ1662" s="4" t="s">
        <v>276</v>
      </c>
      <c r="CK1662" s="4" t="s">
        <v>259</v>
      </c>
      <c r="CL1662" s="4" t="s">
        <v>241</v>
      </c>
      <c r="CO1662" s="5" t="s">
        <v>260</v>
      </c>
      <c r="CP1662" s="4" t="s">
        <v>241</v>
      </c>
      <c r="CQ1662" s="4" t="s">
        <v>261</v>
      </c>
      <c r="CR1662" s="4" t="s">
        <v>241</v>
      </c>
      <c r="CS1662" s="4" t="s">
        <v>241</v>
      </c>
      <c r="CT1662" s="4">
        <v>0</v>
      </c>
      <c r="CU1662" s="4" t="s">
        <v>262</v>
      </c>
      <c r="CV1662" s="4" t="s">
        <v>263</v>
      </c>
      <c r="CW1662" s="4" t="s">
        <v>263</v>
      </c>
      <c r="CX1662" s="4" t="s">
        <v>264</v>
      </c>
      <c r="DA1662" s="6">
        <f>1</f>
        <v>1</v>
      </c>
      <c r="DC1662" s="4" t="s">
        <v>277</v>
      </c>
      <c r="DD1662" s="4" t="s">
        <v>241</v>
      </c>
      <c r="DF1662" s="4" t="s">
        <v>277</v>
      </c>
      <c r="DG1662" s="6">
        <f>1096</f>
        <v>1096</v>
      </c>
      <c r="DI1662" s="4" t="s">
        <v>241</v>
      </c>
      <c r="DJ1662" s="4" t="s">
        <v>241</v>
      </c>
      <c r="DK1662" s="4" t="s">
        <v>241</v>
      </c>
      <c r="DL1662" s="4" t="s">
        <v>241</v>
      </c>
      <c r="DP1662" s="4" t="s">
        <v>241</v>
      </c>
      <c r="DQ1662" s="4" t="s">
        <v>241</v>
      </c>
      <c r="DR1662" s="4" t="s">
        <v>241</v>
      </c>
      <c r="DS1662" s="4" t="s">
        <v>241</v>
      </c>
      <c r="DV1662" s="4" t="s">
        <v>278</v>
      </c>
      <c r="DW1662" s="4" t="s">
        <v>2211</v>
      </c>
      <c r="HO1662" s="4" t="s">
        <v>267</v>
      </c>
    </row>
    <row r="1663" spans="1:223" ht="19.5" customHeight="1" x14ac:dyDescent="0.4">
      <c r="A1663" s="4">
        <v>1</v>
      </c>
      <c r="B1663" s="4" t="s">
        <v>239</v>
      </c>
      <c r="C1663" s="4">
        <v>3337</v>
      </c>
      <c r="D1663" s="4">
        <v>1</v>
      </c>
      <c r="E1663" s="4">
        <v>1</v>
      </c>
      <c r="F1663" s="4" t="s">
        <v>268</v>
      </c>
      <c r="G1663" s="4" t="s">
        <v>241</v>
      </c>
      <c r="H1663" s="4" t="s">
        <v>241</v>
      </c>
      <c r="I1663" s="4" t="s">
        <v>272</v>
      </c>
      <c r="J1663" s="4" t="s">
        <v>274</v>
      </c>
      <c r="K1663" s="4" t="s">
        <v>251</v>
      </c>
      <c r="L1663" s="4" t="s">
        <v>269</v>
      </c>
      <c r="M1663" s="5" t="s">
        <v>2208</v>
      </c>
      <c r="N1663" s="6">
        <f>114</f>
        <v>114</v>
      </c>
      <c r="O1663" s="4" t="s">
        <v>265</v>
      </c>
      <c r="P1663" s="6">
        <f>1</f>
        <v>1</v>
      </c>
      <c r="Q1663" s="6">
        <f>0</f>
        <v>0</v>
      </c>
      <c r="S1663" s="6">
        <f>0</f>
        <v>0</v>
      </c>
      <c r="T1663" s="6">
        <f>1</f>
        <v>1</v>
      </c>
      <c r="U1663" s="5" t="s">
        <v>245</v>
      </c>
      <c r="V1663" s="4" t="s">
        <v>270</v>
      </c>
      <c r="W1663" s="4" t="s">
        <v>271</v>
      </c>
      <c r="X1663" s="4" t="s">
        <v>273</v>
      </c>
      <c r="Y1663" s="4" t="s">
        <v>241</v>
      </c>
      <c r="AB1663" s="4" t="s">
        <v>241</v>
      </c>
      <c r="AD1663" s="5" t="s">
        <v>241</v>
      </c>
      <c r="AG1663" s="5" t="s">
        <v>246</v>
      </c>
      <c r="AH1663" s="4" t="s">
        <v>241</v>
      </c>
      <c r="AI1663" s="4" t="s">
        <v>247</v>
      </c>
      <c r="AJ1663" s="4" t="s">
        <v>248</v>
      </c>
      <c r="AZ1663" s="4" t="s">
        <v>249</v>
      </c>
      <c r="BA1663" s="4" t="s">
        <v>241</v>
      </c>
      <c r="BB1663" s="4" t="s">
        <v>250</v>
      </c>
      <c r="BC1663" s="4" t="s">
        <v>241</v>
      </c>
      <c r="BD1663" s="4" t="s">
        <v>252</v>
      </c>
      <c r="BE1663" s="4" t="s">
        <v>241</v>
      </c>
      <c r="BI1663" s="4" t="s">
        <v>253</v>
      </c>
      <c r="BJ1663" s="5" t="s">
        <v>246</v>
      </c>
      <c r="BK1663" s="4" t="s">
        <v>254</v>
      </c>
      <c r="BL1663" s="4" t="s">
        <v>255</v>
      </c>
      <c r="BM1663" s="4" t="s">
        <v>241</v>
      </c>
      <c r="BN1663" s="6">
        <f>0</f>
        <v>0</v>
      </c>
      <c r="BO1663" s="6">
        <f>0</f>
        <v>0</v>
      </c>
      <c r="BP1663" s="4" t="s">
        <v>256</v>
      </c>
      <c r="BQ1663" s="4" t="s">
        <v>257</v>
      </c>
      <c r="CE1663" s="4" t="s">
        <v>241</v>
      </c>
      <c r="CF1663" s="4" t="s">
        <v>241</v>
      </c>
      <c r="CJ1663" s="4" t="s">
        <v>276</v>
      </c>
      <c r="CK1663" s="4" t="s">
        <v>259</v>
      </c>
      <c r="CL1663" s="4" t="s">
        <v>241</v>
      </c>
      <c r="CO1663" s="5" t="s">
        <v>260</v>
      </c>
      <c r="CP1663" s="4" t="s">
        <v>241</v>
      </c>
      <c r="CQ1663" s="4" t="s">
        <v>261</v>
      </c>
      <c r="CR1663" s="4" t="s">
        <v>241</v>
      </c>
      <c r="CS1663" s="4" t="s">
        <v>241</v>
      </c>
      <c r="CT1663" s="4">
        <v>0</v>
      </c>
      <c r="CU1663" s="4" t="s">
        <v>262</v>
      </c>
      <c r="CV1663" s="4" t="s">
        <v>263</v>
      </c>
      <c r="CW1663" s="4" t="s">
        <v>263</v>
      </c>
      <c r="CX1663" s="4" t="s">
        <v>264</v>
      </c>
      <c r="DA1663" s="6">
        <f>1</f>
        <v>1</v>
      </c>
      <c r="DC1663" s="4" t="s">
        <v>277</v>
      </c>
      <c r="DD1663" s="4" t="s">
        <v>241</v>
      </c>
      <c r="DF1663" s="4" t="s">
        <v>277</v>
      </c>
      <c r="DG1663" s="6">
        <f>114</f>
        <v>114</v>
      </c>
      <c r="DI1663" s="4" t="s">
        <v>241</v>
      </c>
      <c r="DJ1663" s="4" t="s">
        <v>241</v>
      </c>
      <c r="DK1663" s="4" t="s">
        <v>241</v>
      </c>
      <c r="DL1663" s="4" t="s">
        <v>241</v>
      </c>
      <c r="DP1663" s="4" t="s">
        <v>241</v>
      </c>
      <c r="DQ1663" s="4" t="s">
        <v>241</v>
      </c>
      <c r="DR1663" s="4" t="s">
        <v>241</v>
      </c>
      <c r="DS1663" s="4" t="s">
        <v>241</v>
      </c>
      <c r="DV1663" s="4" t="s">
        <v>278</v>
      </c>
      <c r="DW1663" s="4" t="s">
        <v>2209</v>
      </c>
      <c r="HO1663" s="4" t="s">
        <v>267</v>
      </c>
    </row>
    <row r="1664" spans="1:223" ht="19.5" customHeight="1" x14ac:dyDescent="0.4">
      <c r="A1664" s="4">
        <v>1</v>
      </c>
      <c r="B1664" s="4" t="s">
        <v>239</v>
      </c>
      <c r="C1664" s="4">
        <v>3338</v>
      </c>
      <c r="D1664" s="4">
        <v>1</v>
      </c>
      <c r="E1664" s="4">
        <v>1</v>
      </c>
      <c r="F1664" s="4" t="s">
        <v>268</v>
      </c>
      <c r="G1664" s="4" t="s">
        <v>241</v>
      </c>
      <c r="H1664" s="4" t="s">
        <v>241</v>
      </c>
      <c r="I1664" s="4" t="s">
        <v>272</v>
      </c>
      <c r="J1664" s="4" t="s">
        <v>274</v>
      </c>
      <c r="K1664" s="4" t="s">
        <v>251</v>
      </c>
      <c r="L1664" s="4" t="s">
        <v>269</v>
      </c>
      <c r="M1664" s="5" t="s">
        <v>2206</v>
      </c>
      <c r="N1664" s="6">
        <f>798</f>
        <v>798</v>
      </c>
      <c r="O1664" s="4" t="s">
        <v>265</v>
      </c>
      <c r="P1664" s="6">
        <f>1</f>
        <v>1</v>
      </c>
      <c r="Q1664" s="6">
        <f>0</f>
        <v>0</v>
      </c>
      <c r="S1664" s="6">
        <f>0</f>
        <v>0</v>
      </c>
      <c r="T1664" s="6">
        <f>1</f>
        <v>1</v>
      </c>
      <c r="U1664" s="5" t="s">
        <v>245</v>
      </c>
      <c r="V1664" s="4" t="s">
        <v>270</v>
      </c>
      <c r="W1664" s="4" t="s">
        <v>271</v>
      </c>
      <c r="X1664" s="4" t="s">
        <v>273</v>
      </c>
      <c r="Y1664" s="4" t="s">
        <v>241</v>
      </c>
      <c r="AB1664" s="4" t="s">
        <v>241</v>
      </c>
      <c r="AD1664" s="5" t="s">
        <v>241</v>
      </c>
      <c r="AG1664" s="5" t="s">
        <v>246</v>
      </c>
      <c r="AH1664" s="4" t="s">
        <v>241</v>
      </c>
      <c r="AI1664" s="4" t="s">
        <v>247</v>
      </c>
      <c r="AJ1664" s="4" t="s">
        <v>248</v>
      </c>
      <c r="AZ1664" s="4" t="s">
        <v>249</v>
      </c>
      <c r="BA1664" s="4" t="s">
        <v>241</v>
      </c>
      <c r="BB1664" s="4" t="s">
        <v>250</v>
      </c>
      <c r="BC1664" s="4" t="s">
        <v>241</v>
      </c>
      <c r="BD1664" s="4" t="s">
        <v>252</v>
      </c>
      <c r="BE1664" s="4" t="s">
        <v>241</v>
      </c>
      <c r="BI1664" s="4" t="s">
        <v>253</v>
      </c>
      <c r="BJ1664" s="5" t="s">
        <v>246</v>
      </c>
      <c r="BK1664" s="4" t="s">
        <v>254</v>
      </c>
      <c r="BL1664" s="4" t="s">
        <v>255</v>
      </c>
      <c r="BM1664" s="4" t="s">
        <v>241</v>
      </c>
      <c r="BN1664" s="6">
        <f>0</f>
        <v>0</v>
      </c>
      <c r="BO1664" s="6">
        <f>0</f>
        <v>0</v>
      </c>
      <c r="BP1664" s="4" t="s">
        <v>256</v>
      </c>
      <c r="BQ1664" s="4" t="s">
        <v>257</v>
      </c>
      <c r="CE1664" s="4" t="s">
        <v>241</v>
      </c>
      <c r="CF1664" s="4" t="s">
        <v>241</v>
      </c>
      <c r="CJ1664" s="4" t="s">
        <v>276</v>
      </c>
      <c r="CK1664" s="4" t="s">
        <v>259</v>
      </c>
      <c r="CL1664" s="4" t="s">
        <v>241</v>
      </c>
      <c r="CO1664" s="5" t="s">
        <v>260</v>
      </c>
      <c r="CP1664" s="4" t="s">
        <v>241</v>
      </c>
      <c r="CQ1664" s="4" t="s">
        <v>261</v>
      </c>
      <c r="CR1664" s="4" t="s">
        <v>241</v>
      </c>
      <c r="CS1664" s="4" t="s">
        <v>241</v>
      </c>
      <c r="CT1664" s="4">
        <v>0</v>
      </c>
      <c r="CU1664" s="4" t="s">
        <v>262</v>
      </c>
      <c r="CV1664" s="4" t="s">
        <v>263</v>
      </c>
      <c r="CW1664" s="4" t="s">
        <v>263</v>
      </c>
      <c r="CX1664" s="4" t="s">
        <v>264</v>
      </c>
      <c r="DA1664" s="6">
        <f>1</f>
        <v>1</v>
      </c>
      <c r="DC1664" s="4" t="s">
        <v>277</v>
      </c>
      <c r="DD1664" s="4" t="s">
        <v>241</v>
      </c>
      <c r="DF1664" s="4" t="s">
        <v>277</v>
      </c>
      <c r="DG1664" s="6">
        <f>798</f>
        <v>798</v>
      </c>
      <c r="DI1664" s="4" t="s">
        <v>241</v>
      </c>
      <c r="DJ1664" s="4" t="s">
        <v>241</v>
      </c>
      <c r="DK1664" s="4" t="s">
        <v>241</v>
      </c>
      <c r="DL1664" s="4" t="s">
        <v>241</v>
      </c>
      <c r="DP1664" s="4" t="s">
        <v>241</v>
      </c>
      <c r="DQ1664" s="4" t="s">
        <v>241</v>
      </c>
      <c r="DR1664" s="4" t="s">
        <v>241</v>
      </c>
      <c r="DS1664" s="4" t="s">
        <v>241</v>
      </c>
      <c r="DV1664" s="4" t="s">
        <v>278</v>
      </c>
      <c r="DW1664" s="4" t="s">
        <v>2207</v>
      </c>
      <c r="HO1664" s="4" t="s">
        <v>267</v>
      </c>
    </row>
    <row r="1665" spans="1:223" ht="19.5" customHeight="1" x14ac:dyDescent="0.4">
      <c r="A1665" s="4">
        <v>1</v>
      </c>
      <c r="B1665" s="4" t="s">
        <v>239</v>
      </c>
      <c r="C1665" s="4">
        <v>3339</v>
      </c>
      <c r="D1665" s="4">
        <v>1</v>
      </c>
      <c r="E1665" s="4">
        <v>1</v>
      </c>
      <c r="F1665" s="4" t="s">
        <v>268</v>
      </c>
      <c r="G1665" s="4" t="s">
        <v>241</v>
      </c>
      <c r="H1665" s="4" t="s">
        <v>241</v>
      </c>
      <c r="I1665" s="4" t="s">
        <v>272</v>
      </c>
      <c r="J1665" s="4" t="s">
        <v>274</v>
      </c>
      <c r="K1665" s="4" t="s">
        <v>251</v>
      </c>
      <c r="L1665" s="4" t="s">
        <v>269</v>
      </c>
      <c r="M1665" s="5" t="s">
        <v>2204</v>
      </c>
      <c r="N1665" s="6">
        <f>2023</f>
        <v>2023</v>
      </c>
      <c r="O1665" s="4" t="s">
        <v>265</v>
      </c>
      <c r="P1665" s="6">
        <f>1</f>
        <v>1</v>
      </c>
      <c r="Q1665" s="6">
        <f>0</f>
        <v>0</v>
      </c>
      <c r="S1665" s="6">
        <f>0</f>
        <v>0</v>
      </c>
      <c r="T1665" s="6">
        <f>1</f>
        <v>1</v>
      </c>
      <c r="U1665" s="5" t="s">
        <v>245</v>
      </c>
      <c r="V1665" s="4" t="s">
        <v>270</v>
      </c>
      <c r="W1665" s="4" t="s">
        <v>271</v>
      </c>
      <c r="X1665" s="4" t="s">
        <v>273</v>
      </c>
      <c r="Y1665" s="4" t="s">
        <v>241</v>
      </c>
      <c r="AB1665" s="4" t="s">
        <v>241</v>
      </c>
      <c r="AD1665" s="5" t="s">
        <v>241</v>
      </c>
      <c r="AG1665" s="5" t="s">
        <v>246</v>
      </c>
      <c r="AH1665" s="4" t="s">
        <v>241</v>
      </c>
      <c r="AI1665" s="4" t="s">
        <v>247</v>
      </c>
      <c r="AJ1665" s="4" t="s">
        <v>248</v>
      </c>
      <c r="AZ1665" s="4" t="s">
        <v>249</v>
      </c>
      <c r="BA1665" s="4" t="s">
        <v>241</v>
      </c>
      <c r="BB1665" s="4" t="s">
        <v>250</v>
      </c>
      <c r="BC1665" s="4" t="s">
        <v>241</v>
      </c>
      <c r="BD1665" s="4" t="s">
        <v>252</v>
      </c>
      <c r="BE1665" s="4" t="s">
        <v>241</v>
      </c>
      <c r="BI1665" s="4" t="s">
        <v>253</v>
      </c>
      <c r="BJ1665" s="5" t="s">
        <v>246</v>
      </c>
      <c r="BK1665" s="4" t="s">
        <v>254</v>
      </c>
      <c r="BL1665" s="4" t="s">
        <v>255</v>
      </c>
      <c r="BM1665" s="4" t="s">
        <v>241</v>
      </c>
      <c r="BN1665" s="6">
        <f>0</f>
        <v>0</v>
      </c>
      <c r="BO1665" s="6">
        <f>0</f>
        <v>0</v>
      </c>
      <c r="BP1665" s="4" t="s">
        <v>256</v>
      </c>
      <c r="BQ1665" s="4" t="s">
        <v>257</v>
      </c>
      <c r="CE1665" s="4" t="s">
        <v>241</v>
      </c>
      <c r="CF1665" s="4" t="s">
        <v>241</v>
      </c>
      <c r="CJ1665" s="4" t="s">
        <v>276</v>
      </c>
      <c r="CK1665" s="4" t="s">
        <v>259</v>
      </c>
      <c r="CL1665" s="4" t="s">
        <v>241</v>
      </c>
      <c r="CO1665" s="5" t="s">
        <v>260</v>
      </c>
      <c r="CP1665" s="4" t="s">
        <v>241</v>
      </c>
      <c r="CQ1665" s="4" t="s">
        <v>261</v>
      </c>
      <c r="CR1665" s="4" t="s">
        <v>241</v>
      </c>
      <c r="CS1665" s="4" t="s">
        <v>241</v>
      </c>
      <c r="CT1665" s="4">
        <v>0</v>
      </c>
      <c r="CU1665" s="4" t="s">
        <v>262</v>
      </c>
      <c r="CV1665" s="4" t="s">
        <v>263</v>
      </c>
      <c r="CW1665" s="4" t="s">
        <v>263</v>
      </c>
      <c r="CX1665" s="4" t="s">
        <v>264</v>
      </c>
      <c r="DA1665" s="6">
        <f>1</f>
        <v>1</v>
      </c>
      <c r="DC1665" s="4" t="s">
        <v>277</v>
      </c>
      <c r="DD1665" s="4" t="s">
        <v>241</v>
      </c>
      <c r="DF1665" s="4" t="s">
        <v>277</v>
      </c>
      <c r="DG1665" s="6">
        <f>2023</f>
        <v>2023</v>
      </c>
      <c r="DI1665" s="4" t="s">
        <v>241</v>
      </c>
      <c r="DJ1665" s="4" t="s">
        <v>241</v>
      </c>
      <c r="DK1665" s="4" t="s">
        <v>241</v>
      </c>
      <c r="DL1665" s="4" t="s">
        <v>241</v>
      </c>
      <c r="DP1665" s="4" t="s">
        <v>241</v>
      </c>
      <c r="DQ1665" s="4" t="s">
        <v>241</v>
      </c>
      <c r="DR1665" s="4" t="s">
        <v>241</v>
      </c>
      <c r="DS1665" s="4" t="s">
        <v>241</v>
      </c>
      <c r="DV1665" s="4" t="s">
        <v>278</v>
      </c>
      <c r="DW1665" s="4" t="s">
        <v>2205</v>
      </c>
      <c r="HO1665" s="4" t="s">
        <v>267</v>
      </c>
    </row>
    <row r="1666" spans="1:223" ht="19.5" customHeight="1" x14ac:dyDescent="0.4">
      <c r="A1666" s="4">
        <v>1</v>
      </c>
      <c r="B1666" s="4" t="s">
        <v>239</v>
      </c>
      <c r="C1666" s="4">
        <v>3340</v>
      </c>
      <c r="D1666" s="4">
        <v>1</v>
      </c>
      <c r="E1666" s="4">
        <v>1</v>
      </c>
      <c r="F1666" s="4" t="s">
        <v>268</v>
      </c>
      <c r="G1666" s="4" t="s">
        <v>241</v>
      </c>
      <c r="H1666" s="4" t="s">
        <v>241</v>
      </c>
      <c r="I1666" s="4" t="s">
        <v>272</v>
      </c>
      <c r="J1666" s="4" t="s">
        <v>274</v>
      </c>
      <c r="K1666" s="4" t="s">
        <v>251</v>
      </c>
      <c r="L1666" s="4" t="s">
        <v>269</v>
      </c>
      <c r="M1666" s="5" t="s">
        <v>2203</v>
      </c>
      <c r="N1666" s="6">
        <f>292</f>
        <v>292</v>
      </c>
      <c r="O1666" s="4" t="s">
        <v>265</v>
      </c>
      <c r="P1666" s="6">
        <f>1</f>
        <v>1</v>
      </c>
      <c r="Q1666" s="6">
        <f>0</f>
        <v>0</v>
      </c>
      <c r="S1666" s="6">
        <f>0</f>
        <v>0</v>
      </c>
      <c r="T1666" s="6">
        <f>1</f>
        <v>1</v>
      </c>
      <c r="U1666" s="5" t="s">
        <v>245</v>
      </c>
      <c r="V1666" s="4" t="s">
        <v>270</v>
      </c>
      <c r="W1666" s="4" t="s">
        <v>271</v>
      </c>
      <c r="X1666" s="4" t="s">
        <v>273</v>
      </c>
      <c r="Y1666" s="4" t="s">
        <v>241</v>
      </c>
      <c r="AB1666" s="4" t="s">
        <v>241</v>
      </c>
      <c r="AD1666" s="5" t="s">
        <v>241</v>
      </c>
      <c r="AG1666" s="5" t="s">
        <v>246</v>
      </c>
      <c r="AH1666" s="4" t="s">
        <v>241</v>
      </c>
      <c r="AI1666" s="4" t="s">
        <v>247</v>
      </c>
      <c r="AJ1666" s="4" t="s">
        <v>248</v>
      </c>
      <c r="AZ1666" s="4" t="s">
        <v>249</v>
      </c>
      <c r="BA1666" s="4" t="s">
        <v>241</v>
      </c>
      <c r="BB1666" s="4" t="s">
        <v>250</v>
      </c>
      <c r="BC1666" s="4" t="s">
        <v>241</v>
      </c>
      <c r="BD1666" s="4" t="s">
        <v>252</v>
      </c>
      <c r="BE1666" s="4" t="s">
        <v>241</v>
      </c>
      <c r="BI1666" s="4" t="s">
        <v>253</v>
      </c>
      <c r="BJ1666" s="5" t="s">
        <v>246</v>
      </c>
      <c r="BK1666" s="4" t="s">
        <v>254</v>
      </c>
      <c r="BL1666" s="4" t="s">
        <v>255</v>
      </c>
      <c r="BM1666" s="4" t="s">
        <v>241</v>
      </c>
      <c r="BN1666" s="6">
        <f>0</f>
        <v>0</v>
      </c>
      <c r="BO1666" s="6">
        <f>0</f>
        <v>0</v>
      </c>
      <c r="BP1666" s="4" t="s">
        <v>256</v>
      </c>
      <c r="BQ1666" s="4" t="s">
        <v>257</v>
      </c>
      <c r="CE1666" s="4" t="s">
        <v>241</v>
      </c>
      <c r="CF1666" s="4" t="s">
        <v>241</v>
      </c>
      <c r="CJ1666" s="4" t="s">
        <v>276</v>
      </c>
      <c r="CK1666" s="4" t="s">
        <v>259</v>
      </c>
      <c r="CL1666" s="4" t="s">
        <v>241</v>
      </c>
      <c r="CO1666" s="5" t="s">
        <v>260</v>
      </c>
      <c r="CP1666" s="4" t="s">
        <v>241</v>
      </c>
      <c r="CQ1666" s="4" t="s">
        <v>261</v>
      </c>
      <c r="CR1666" s="4" t="s">
        <v>241</v>
      </c>
      <c r="CS1666" s="4" t="s">
        <v>241</v>
      </c>
      <c r="CT1666" s="4">
        <v>0</v>
      </c>
      <c r="CU1666" s="4" t="s">
        <v>262</v>
      </c>
      <c r="CV1666" s="4" t="s">
        <v>263</v>
      </c>
      <c r="CW1666" s="4" t="s">
        <v>263</v>
      </c>
      <c r="CX1666" s="4" t="s">
        <v>264</v>
      </c>
      <c r="DA1666" s="6">
        <f>1</f>
        <v>1</v>
      </c>
      <c r="DC1666" s="4" t="s">
        <v>277</v>
      </c>
      <c r="DD1666" s="4" t="s">
        <v>241</v>
      </c>
      <c r="DF1666" s="4" t="s">
        <v>277</v>
      </c>
      <c r="DG1666" s="6">
        <f>292</f>
        <v>292</v>
      </c>
      <c r="DI1666" s="4" t="s">
        <v>241</v>
      </c>
      <c r="DJ1666" s="4" t="s">
        <v>241</v>
      </c>
      <c r="DK1666" s="4" t="s">
        <v>241</v>
      </c>
      <c r="DL1666" s="4" t="s">
        <v>241</v>
      </c>
      <c r="DP1666" s="4" t="s">
        <v>241</v>
      </c>
      <c r="DQ1666" s="4" t="s">
        <v>241</v>
      </c>
      <c r="DR1666" s="4" t="s">
        <v>241</v>
      </c>
      <c r="DS1666" s="4" t="s">
        <v>241</v>
      </c>
      <c r="DV1666" s="4" t="s">
        <v>278</v>
      </c>
      <c r="DW1666" s="4" t="s">
        <v>920</v>
      </c>
      <c r="HO1666" s="4" t="s">
        <v>267</v>
      </c>
    </row>
    <row r="1667" spans="1:223" ht="19.5" customHeight="1" x14ac:dyDescent="0.4">
      <c r="A1667" s="4">
        <v>1</v>
      </c>
      <c r="B1667" s="4" t="s">
        <v>239</v>
      </c>
      <c r="C1667" s="4">
        <v>3341</v>
      </c>
      <c r="D1667" s="4">
        <v>1</v>
      </c>
      <c r="E1667" s="4">
        <v>1</v>
      </c>
      <c r="F1667" s="4" t="s">
        <v>268</v>
      </c>
      <c r="G1667" s="4" t="s">
        <v>241</v>
      </c>
      <c r="H1667" s="4" t="s">
        <v>241</v>
      </c>
      <c r="I1667" s="4" t="s">
        <v>272</v>
      </c>
      <c r="J1667" s="4" t="s">
        <v>274</v>
      </c>
      <c r="K1667" s="4" t="s">
        <v>251</v>
      </c>
      <c r="L1667" s="4" t="s">
        <v>269</v>
      </c>
      <c r="M1667" s="5" t="s">
        <v>2201</v>
      </c>
      <c r="N1667" s="6">
        <f>3055</f>
        <v>3055</v>
      </c>
      <c r="O1667" s="4" t="s">
        <v>265</v>
      </c>
      <c r="P1667" s="6">
        <f>1</f>
        <v>1</v>
      </c>
      <c r="Q1667" s="6">
        <f>0</f>
        <v>0</v>
      </c>
      <c r="S1667" s="6">
        <f>0</f>
        <v>0</v>
      </c>
      <c r="T1667" s="6">
        <f>1</f>
        <v>1</v>
      </c>
      <c r="U1667" s="5" t="s">
        <v>245</v>
      </c>
      <c r="V1667" s="4" t="s">
        <v>270</v>
      </c>
      <c r="W1667" s="4" t="s">
        <v>271</v>
      </c>
      <c r="X1667" s="4" t="s">
        <v>273</v>
      </c>
      <c r="Y1667" s="4" t="s">
        <v>241</v>
      </c>
      <c r="AB1667" s="4" t="s">
        <v>241</v>
      </c>
      <c r="AD1667" s="5" t="s">
        <v>241</v>
      </c>
      <c r="AG1667" s="5" t="s">
        <v>246</v>
      </c>
      <c r="AH1667" s="4" t="s">
        <v>241</v>
      </c>
      <c r="AI1667" s="4" t="s">
        <v>247</v>
      </c>
      <c r="AJ1667" s="4" t="s">
        <v>248</v>
      </c>
      <c r="AZ1667" s="4" t="s">
        <v>249</v>
      </c>
      <c r="BA1667" s="4" t="s">
        <v>241</v>
      </c>
      <c r="BB1667" s="4" t="s">
        <v>250</v>
      </c>
      <c r="BC1667" s="4" t="s">
        <v>241</v>
      </c>
      <c r="BD1667" s="4" t="s">
        <v>252</v>
      </c>
      <c r="BE1667" s="4" t="s">
        <v>241</v>
      </c>
      <c r="BI1667" s="4" t="s">
        <v>253</v>
      </c>
      <c r="BJ1667" s="5" t="s">
        <v>246</v>
      </c>
      <c r="BK1667" s="4" t="s">
        <v>254</v>
      </c>
      <c r="BL1667" s="4" t="s">
        <v>255</v>
      </c>
      <c r="BM1667" s="4" t="s">
        <v>241</v>
      </c>
      <c r="BN1667" s="6">
        <f>0</f>
        <v>0</v>
      </c>
      <c r="BO1667" s="6">
        <f>0</f>
        <v>0</v>
      </c>
      <c r="BP1667" s="4" t="s">
        <v>256</v>
      </c>
      <c r="BQ1667" s="4" t="s">
        <v>257</v>
      </c>
      <c r="CE1667" s="4" t="s">
        <v>241</v>
      </c>
      <c r="CF1667" s="4" t="s">
        <v>241</v>
      </c>
      <c r="CJ1667" s="4" t="s">
        <v>276</v>
      </c>
      <c r="CK1667" s="4" t="s">
        <v>259</v>
      </c>
      <c r="CL1667" s="4" t="s">
        <v>241</v>
      </c>
      <c r="CO1667" s="5" t="s">
        <v>260</v>
      </c>
      <c r="CP1667" s="4" t="s">
        <v>241</v>
      </c>
      <c r="CQ1667" s="4" t="s">
        <v>261</v>
      </c>
      <c r="CR1667" s="4" t="s">
        <v>241</v>
      </c>
      <c r="CS1667" s="4" t="s">
        <v>241</v>
      </c>
      <c r="CT1667" s="4">
        <v>0</v>
      </c>
      <c r="CU1667" s="4" t="s">
        <v>262</v>
      </c>
      <c r="CV1667" s="4" t="s">
        <v>263</v>
      </c>
      <c r="CW1667" s="4" t="s">
        <v>263</v>
      </c>
      <c r="CX1667" s="4" t="s">
        <v>264</v>
      </c>
      <c r="DA1667" s="6">
        <f>1</f>
        <v>1</v>
      </c>
      <c r="DC1667" s="4" t="s">
        <v>277</v>
      </c>
      <c r="DD1667" s="4" t="s">
        <v>241</v>
      </c>
      <c r="DF1667" s="4" t="s">
        <v>277</v>
      </c>
      <c r="DG1667" s="6">
        <f>3055</f>
        <v>3055</v>
      </c>
      <c r="DI1667" s="4" t="s">
        <v>241</v>
      </c>
      <c r="DJ1667" s="4" t="s">
        <v>241</v>
      </c>
      <c r="DK1667" s="4" t="s">
        <v>241</v>
      </c>
      <c r="DL1667" s="4" t="s">
        <v>241</v>
      </c>
      <c r="DP1667" s="4" t="s">
        <v>241</v>
      </c>
      <c r="DQ1667" s="4" t="s">
        <v>241</v>
      </c>
      <c r="DR1667" s="4" t="s">
        <v>241</v>
      </c>
      <c r="DS1667" s="4" t="s">
        <v>241</v>
      </c>
      <c r="DV1667" s="4" t="s">
        <v>278</v>
      </c>
      <c r="DW1667" s="4" t="s">
        <v>2202</v>
      </c>
      <c r="HO1667" s="4" t="s">
        <v>267</v>
      </c>
    </row>
    <row r="1668" spans="1:223" ht="19.5" customHeight="1" x14ac:dyDescent="0.4">
      <c r="A1668" s="4">
        <v>1</v>
      </c>
      <c r="B1668" s="4" t="s">
        <v>239</v>
      </c>
      <c r="C1668" s="4">
        <v>3342</v>
      </c>
      <c r="D1668" s="4">
        <v>1</v>
      </c>
      <c r="E1668" s="4">
        <v>1</v>
      </c>
      <c r="F1668" s="4" t="s">
        <v>268</v>
      </c>
      <c r="G1668" s="4" t="s">
        <v>241</v>
      </c>
      <c r="H1668" s="4" t="s">
        <v>241</v>
      </c>
      <c r="I1668" s="4" t="s">
        <v>272</v>
      </c>
      <c r="J1668" s="4" t="s">
        <v>274</v>
      </c>
      <c r="K1668" s="4" t="s">
        <v>251</v>
      </c>
      <c r="L1668" s="4" t="s">
        <v>269</v>
      </c>
      <c r="M1668" s="5" t="s">
        <v>2200</v>
      </c>
      <c r="N1668" s="6">
        <f>3415</f>
        <v>3415</v>
      </c>
      <c r="O1668" s="4" t="s">
        <v>265</v>
      </c>
      <c r="P1668" s="6">
        <f>1</f>
        <v>1</v>
      </c>
      <c r="Q1668" s="6">
        <f>0</f>
        <v>0</v>
      </c>
      <c r="S1668" s="6">
        <f>0</f>
        <v>0</v>
      </c>
      <c r="T1668" s="6">
        <f>1</f>
        <v>1</v>
      </c>
      <c r="U1668" s="5" t="s">
        <v>245</v>
      </c>
      <c r="V1668" s="4" t="s">
        <v>270</v>
      </c>
      <c r="W1668" s="4" t="s">
        <v>271</v>
      </c>
      <c r="X1668" s="4" t="s">
        <v>273</v>
      </c>
      <c r="Y1668" s="4" t="s">
        <v>241</v>
      </c>
      <c r="AB1668" s="4" t="s">
        <v>241</v>
      </c>
      <c r="AD1668" s="5" t="s">
        <v>241</v>
      </c>
      <c r="AG1668" s="5" t="s">
        <v>246</v>
      </c>
      <c r="AH1668" s="4" t="s">
        <v>241</v>
      </c>
      <c r="AI1668" s="4" t="s">
        <v>247</v>
      </c>
      <c r="AJ1668" s="4" t="s">
        <v>248</v>
      </c>
      <c r="AZ1668" s="4" t="s">
        <v>249</v>
      </c>
      <c r="BA1668" s="4" t="s">
        <v>241</v>
      </c>
      <c r="BB1668" s="4" t="s">
        <v>250</v>
      </c>
      <c r="BC1668" s="4" t="s">
        <v>241</v>
      </c>
      <c r="BD1668" s="4" t="s">
        <v>252</v>
      </c>
      <c r="BE1668" s="4" t="s">
        <v>241</v>
      </c>
      <c r="BI1668" s="4" t="s">
        <v>253</v>
      </c>
      <c r="BJ1668" s="5" t="s">
        <v>246</v>
      </c>
      <c r="BK1668" s="4" t="s">
        <v>254</v>
      </c>
      <c r="BL1668" s="4" t="s">
        <v>255</v>
      </c>
      <c r="BM1668" s="4" t="s">
        <v>241</v>
      </c>
      <c r="BN1668" s="6">
        <f>0</f>
        <v>0</v>
      </c>
      <c r="BO1668" s="6">
        <f>0</f>
        <v>0</v>
      </c>
      <c r="BP1668" s="4" t="s">
        <v>256</v>
      </c>
      <c r="BQ1668" s="4" t="s">
        <v>257</v>
      </c>
      <c r="CE1668" s="4" t="s">
        <v>241</v>
      </c>
      <c r="CF1668" s="4" t="s">
        <v>241</v>
      </c>
      <c r="CJ1668" s="4" t="s">
        <v>276</v>
      </c>
      <c r="CK1668" s="4" t="s">
        <v>259</v>
      </c>
      <c r="CL1668" s="4" t="s">
        <v>241</v>
      </c>
      <c r="CO1668" s="5" t="s">
        <v>260</v>
      </c>
      <c r="CP1668" s="4" t="s">
        <v>241</v>
      </c>
      <c r="CQ1668" s="4" t="s">
        <v>261</v>
      </c>
      <c r="CR1668" s="4" t="s">
        <v>241</v>
      </c>
      <c r="CS1668" s="4" t="s">
        <v>241</v>
      </c>
      <c r="CT1668" s="4">
        <v>0</v>
      </c>
      <c r="CU1668" s="4" t="s">
        <v>262</v>
      </c>
      <c r="CV1668" s="4" t="s">
        <v>263</v>
      </c>
      <c r="CW1668" s="4" t="s">
        <v>263</v>
      </c>
      <c r="CX1668" s="4" t="s">
        <v>264</v>
      </c>
      <c r="DA1668" s="6">
        <f>1</f>
        <v>1</v>
      </c>
      <c r="DC1668" s="4" t="s">
        <v>277</v>
      </c>
      <c r="DD1668" s="4" t="s">
        <v>241</v>
      </c>
      <c r="DF1668" s="4" t="s">
        <v>277</v>
      </c>
      <c r="DG1668" s="6">
        <f>3415</f>
        <v>3415</v>
      </c>
      <c r="DI1668" s="4" t="s">
        <v>241</v>
      </c>
      <c r="DJ1668" s="4" t="s">
        <v>241</v>
      </c>
      <c r="DK1668" s="4" t="s">
        <v>241</v>
      </c>
      <c r="DL1668" s="4" t="s">
        <v>241</v>
      </c>
      <c r="DP1668" s="4" t="s">
        <v>241</v>
      </c>
      <c r="DQ1668" s="4" t="s">
        <v>241</v>
      </c>
      <c r="DR1668" s="4" t="s">
        <v>241</v>
      </c>
      <c r="DS1668" s="4" t="s">
        <v>241</v>
      </c>
      <c r="DV1668" s="4" t="s">
        <v>278</v>
      </c>
      <c r="DW1668" s="4" t="s">
        <v>832</v>
      </c>
      <c r="HO1668" s="4" t="s">
        <v>267</v>
      </c>
    </row>
    <row r="1669" spans="1:223" ht="19.5" customHeight="1" x14ac:dyDescent="0.4">
      <c r="A1669" s="4">
        <v>1</v>
      </c>
      <c r="B1669" s="4" t="s">
        <v>239</v>
      </c>
      <c r="C1669" s="4">
        <v>3343</v>
      </c>
      <c r="D1669" s="4">
        <v>1</v>
      </c>
      <c r="E1669" s="4">
        <v>1</v>
      </c>
      <c r="F1669" s="4" t="s">
        <v>268</v>
      </c>
      <c r="G1669" s="4" t="s">
        <v>241</v>
      </c>
      <c r="H1669" s="4" t="s">
        <v>241</v>
      </c>
      <c r="I1669" s="4" t="s">
        <v>272</v>
      </c>
      <c r="J1669" s="4" t="s">
        <v>274</v>
      </c>
      <c r="K1669" s="4" t="s">
        <v>251</v>
      </c>
      <c r="L1669" s="4" t="s">
        <v>269</v>
      </c>
      <c r="M1669" s="5" t="s">
        <v>2197</v>
      </c>
      <c r="N1669" s="6">
        <f>2612</f>
        <v>2612</v>
      </c>
      <c r="O1669" s="4" t="s">
        <v>265</v>
      </c>
      <c r="P1669" s="6">
        <f>1</f>
        <v>1</v>
      </c>
      <c r="Q1669" s="6">
        <f>0</f>
        <v>0</v>
      </c>
      <c r="S1669" s="6">
        <f>0</f>
        <v>0</v>
      </c>
      <c r="T1669" s="6">
        <f>1</f>
        <v>1</v>
      </c>
      <c r="U1669" s="5" t="s">
        <v>245</v>
      </c>
      <c r="V1669" s="4" t="s">
        <v>270</v>
      </c>
      <c r="W1669" s="4" t="s">
        <v>271</v>
      </c>
      <c r="X1669" s="4" t="s">
        <v>273</v>
      </c>
      <c r="Y1669" s="4" t="s">
        <v>241</v>
      </c>
      <c r="AB1669" s="4" t="s">
        <v>241</v>
      </c>
      <c r="AD1669" s="5" t="s">
        <v>241</v>
      </c>
      <c r="AG1669" s="5" t="s">
        <v>246</v>
      </c>
      <c r="AH1669" s="4" t="s">
        <v>241</v>
      </c>
      <c r="AI1669" s="4" t="s">
        <v>247</v>
      </c>
      <c r="AJ1669" s="4" t="s">
        <v>248</v>
      </c>
      <c r="AZ1669" s="4" t="s">
        <v>249</v>
      </c>
      <c r="BA1669" s="4" t="s">
        <v>241</v>
      </c>
      <c r="BB1669" s="4" t="s">
        <v>250</v>
      </c>
      <c r="BC1669" s="4" t="s">
        <v>241</v>
      </c>
      <c r="BD1669" s="4" t="s">
        <v>252</v>
      </c>
      <c r="BE1669" s="4" t="s">
        <v>241</v>
      </c>
      <c r="BI1669" s="4" t="s">
        <v>253</v>
      </c>
      <c r="BJ1669" s="5" t="s">
        <v>246</v>
      </c>
      <c r="BK1669" s="4" t="s">
        <v>254</v>
      </c>
      <c r="BL1669" s="4" t="s">
        <v>255</v>
      </c>
      <c r="BM1669" s="4" t="s">
        <v>241</v>
      </c>
      <c r="BN1669" s="6">
        <f>0</f>
        <v>0</v>
      </c>
      <c r="BO1669" s="6">
        <f>0</f>
        <v>0</v>
      </c>
      <c r="BP1669" s="4" t="s">
        <v>256</v>
      </c>
      <c r="BQ1669" s="4" t="s">
        <v>257</v>
      </c>
      <c r="CE1669" s="4" t="s">
        <v>241</v>
      </c>
      <c r="CF1669" s="4" t="s">
        <v>241</v>
      </c>
      <c r="CJ1669" s="4" t="s">
        <v>276</v>
      </c>
      <c r="CK1669" s="4" t="s">
        <v>259</v>
      </c>
      <c r="CL1669" s="4" t="s">
        <v>241</v>
      </c>
      <c r="CO1669" s="5" t="s">
        <v>260</v>
      </c>
      <c r="CP1669" s="4" t="s">
        <v>241</v>
      </c>
      <c r="CQ1669" s="4" t="s">
        <v>261</v>
      </c>
      <c r="CR1669" s="4" t="s">
        <v>241</v>
      </c>
      <c r="CS1669" s="4" t="s">
        <v>241</v>
      </c>
      <c r="CT1669" s="4">
        <v>0</v>
      </c>
      <c r="CU1669" s="4" t="s">
        <v>262</v>
      </c>
      <c r="CV1669" s="4" t="s">
        <v>263</v>
      </c>
      <c r="CW1669" s="4" t="s">
        <v>263</v>
      </c>
      <c r="CX1669" s="4" t="s">
        <v>264</v>
      </c>
      <c r="DA1669" s="6">
        <f>1</f>
        <v>1</v>
      </c>
      <c r="DC1669" s="4" t="s">
        <v>277</v>
      </c>
      <c r="DD1669" s="4" t="s">
        <v>241</v>
      </c>
      <c r="DF1669" s="4" t="s">
        <v>277</v>
      </c>
      <c r="DG1669" s="6">
        <f>2612</f>
        <v>2612</v>
      </c>
      <c r="DI1669" s="4" t="s">
        <v>241</v>
      </c>
      <c r="DJ1669" s="4" t="s">
        <v>241</v>
      </c>
      <c r="DK1669" s="4" t="s">
        <v>241</v>
      </c>
      <c r="DL1669" s="4" t="s">
        <v>241</v>
      </c>
      <c r="DP1669" s="4" t="s">
        <v>241</v>
      </c>
      <c r="DQ1669" s="4" t="s">
        <v>241</v>
      </c>
      <c r="DR1669" s="4" t="s">
        <v>241</v>
      </c>
      <c r="DS1669" s="4" t="s">
        <v>241</v>
      </c>
      <c r="DV1669" s="4" t="s">
        <v>278</v>
      </c>
      <c r="DW1669" s="4" t="s">
        <v>772</v>
      </c>
      <c r="HO1669" s="4" t="s">
        <v>267</v>
      </c>
    </row>
    <row r="1670" spans="1:223" ht="19.5" customHeight="1" x14ac:dyDescent="0.4">
      <c r="A1670" s="4">
        <v>1</v>
      </c>
      <c r="B1670" s="4" t="s">
        <v>239</v>
      </c>
      <c r="C1670" s="4">
        <v>3344</v>
      </c>
      <c r="D1670" s="4">
        <v>1</v>
      </c>
      <c r="E1670" s="4">
        <v>1</v>
      </c>
      <c r="F1670" s="4" t="s">
        <v>268</v>
      </c>
      <c r="G1670" s="4" t="s">
        <v>241</v>
      </c>
      <c r="H1670" s="4" t="s">
        <v>241</v>
      </c>
      <c r="I1670" s="4" t="s">
        <v>272</v>
      </c>
      <c r="J1670" s="4" t="s">
        <v>274</v>
      </c>
      <c r="K1670" s="4" t="s">
        <v>251</v>
      </c>
      <c r="L1670" s="4" t="s">
        <v>269</v>
      </c>
      <c r="M1670" s="5" t="s">
        <v>2196</v>
      </c>
      <c r="N1670" s="6">
        <f>693</f>
        <v>693</v>
      </c>
      <c r="O1670" s="4" t="s">
        <v>265</v>
      </c>
      <c r="P1670" s="6">
        <f>1</f>
        <v>1</v>
      </c>
      <c r="Q1670" s="6">
        <f>0</f>
        <v>0</v>
      </c>
      <c r="S1670" s="6">
        <f>0</f>
        <v>0</v>
      </c>
      <c r="T1670" s="6">
        <f>1</f>
        <v>1</v>
      </c>
      <c r="U1670" s="5" t="s">
        <v>245</v>
      </c>
      <c r="V1670" s="4" t="s">
        <v>270</v>
      </c>
      <c r="W1670" s="4" t="s">
        <v>271</v>
      </c>
      <c r="X1670" s="4" t="s">
        <v>273</v>
      </c>
      <c r="Y1670" s="4" t="s">
        <v>241</v>
      </c>
      <c r="AB1670" s="4" t="s">
        <v>241</v>
      </c>
      <c r="AD1670" s="5" t="s">
        <v>241</v>
      </c>
      <c r="AG1670" s="5" t="s">
        <v>246</v>
      </c>
      <c r="AH1670" s="4" t="s">
        <v>241</v>
      </c>
      <c r="AI1670" s="4" t="s">
        <v>247</v>
      </c>
      <c r="AJ1670" s="4" t="s">
        <v>248</v>
      </c>
      <c r="AZ1670" s="4" t="s">
        <v>249</v>
      </c>
      <c r="BA1670" s="4" t="s">
        <v>241</v>
      </c>
      <c r="BB1670" s="4" t="s">
        <v>250</v>
      </c>
      <c r="BC1670" s="4" t="s">
        <v>241</v>
      </c>
      <c r="BD1670" s="4" t="s">
        <v>252</v>
      </c>
      <c r="BE1670" s="4" t="s">
        <v>241</v>
      </c>
      <c r="BI1670" s="4" t="s">
        <v>253</v>
      </c>
      <c r="BJ1670" s="5" t="s">
        <v>246</v>
      </c>
      <c r="BK1670" s="4" t="s">
        <v>254</v>
      </c>
      <c r="BL1670" s="4" t="s">
        <v>255</v>
      </c>
      <c r="BM1670" s="4" t="s">
        <v>241</v>
      </c>
      <c r="BN1670" s="6">
        <f>0</f>
        <v>0</v>
      </c>
      <c r="BO1670" s="6">
        <f>0</f>
        <v>0</v>
      </c>
      <c r="BP1670" s="4" t="s">
        <v>256</v>
      </c>
      <c r="BQ1670" s="4" t="s">
        <v>257</v>
      </c>
      <c r="CE1670" s="4" t="s">
        <v>241</v>
      </c>
      <c r="CF1670" s="4" t="s">
        <v>241</v>
      </c>
      <c r="CJ1670" s="4" t="s">
        <v>276</v>
      </c>
      <c r="CK1670" s="4" t="s">
        <v>259</v>
      </c>
      <c r="CL1670" s="4" t="s">
        <v>241</v>
      </c>
      <c r="CO1670" s="5" t="s">
        <v>260</v>
      </c>
      <c r="CP1670" s="4" t="s">
        <v>241</v>
      </c>
      <c r="CQ1670" s="4" t="s">
        <v>261</v>
      </c>
      <c r="CR1670" s="4" t="s">
        <v>241</v>
      </c>
      <c r="CS1670" s="4" t="s">
        <v>241</v>
      </c>
      <c r="CT1670" s="4">
        <v>0</v>
      </c>
      <c r="CU1670" s="4" t="s">
        <v>262</v>
      </c>
      <c r="CV1670" s="4" t="s">
        <v>263</v>
      </c>
      <c r="CW1670" s="4" t="s">
        <v>263</v>
      </c>
      <c r="CX1670" s="4" t="s">
        <v>264</v>
      </c>
      <c r="DA1670" s="6">
        <f>1</f>
        <v>1</v>
      </c>
      <c r="DC1670" s="4" t="s">
        <v>277</v>
      </c>
      <c r="DD1670" s="4" t="s">
        <v>241</v>
      </c>
      <c r="DF1670" s="4" t="s">
        <v>277</v>
      </c>
      <c r="DG1670" s="6">
        <f>693</f>
        <v>693</v>
      </c>
      <c r="DI1670" s="4" t="s">
        <v>241</v>
      </c>
      <c r="DJ1670" s="4" t="s">
        <v>241</v>
      </c>
      <c r="DK1670" s="4" t="s">
        <v>241</v>
      </c>
      <c r="DL1670" s="4" t="s">
        <v>241</v>
      </c>
      <c r="DP1670" s="4" t="s">
        <v>241</v>
      </c>
      <c r="DQ1670" s="4" t="s">
        <v>241</v>
      </c>
      <c r="DR1670" s="4" t="s">
        <v>241</v>
      </c>
      <c r="DS1670" s="4" t="s">
        <v>241</v>
      </c>
      <c r="DV1670" s="4" t="s">
        <v>278</v>
      </c>
      <c r="DW1670" s="4" t="s">
        <v>696</v>
      </c>
      <c r="HO1670" s="4" t="s">
        <v>267</v>
      </c>
    </row>
    <row r="1671" spans="1:223" ht="19.5" customHeight="1" x14ac:dyDescent="0.4">
      <c r="A1671" s="4">
        <v>1</v>
      </c>
      <c r="B1671" s="4" t="s">
        <v>239</v>
      </c>
      <c r="C1671" s="4">
        <v>3345</v>
      </c>
      <c r="D1671" s="4">
        <v>1</v>
      </c>
      <c r="E1671" s="4">
        <v>1</v>
      </c>
      <c r="F1671" s="4" t="s">
        <v>268</v>
      </c>
      <c r="G1671" s="4" t="s">
        <v>241</v>
      </c>
      <c r="H1671" s="4" t="s">
        <v>241</v>
      </c>
      <c r="I1671" s="4" t="s">
        <v>272</v>
      </c>
      <c r="J1671" s="4" t="s">
        <v>274</v>
      </c>
      <c r="K1671" s="4" t="s">
        <v>251</v>
      </c>
      <c r="L1671" s="4" t="s">
        <v>269</v>
      </c>
      <c r="M1671" s="5" t="s">
        <v>2195</v>
      </c>
      <c r="N1671" s="6">
        <f>2549</f>
        <v>2549</v>
      </c>
      <c r="O1671" s="4" t="s">
        <v>265</v>
      </c>
      <c r="P1671" s="6">
        <f>1</f>
        <v>1</v>
      </c>
      <c r="Q1671" s="6">
        <f>0</f>
        <v>0</v>
      </c>
      <c r="S1671" s="6">
        <f>0</f>
        <v>0</v>
      </c>
      <c r="T1671" s="6">
        <f>1</f>
        <v>1</v>
      </c>
      <c r="U1671" s="5" t="s">
        <v>245</v>
      </c>
      <c r="V1671" s="4" t="s">
        <v>270</v>
      </c>
      <c r="W1671" s="4" t="s">
        <v>271</v>
      </c>
      <c r="X1671" s="4" t="s">
        <v>273</v>
      </c>
      <c r="Y1671" s="4" t="s">
        <v>241</v>
      </c>
      <c r="AB1671" s="4" t="s">
        <v>241</v>
      </c>
      <c r="AD1671" s="5" t="s">
        <v>241</v>
      </c>
      <c r="AG1671" s="5" t="s">
        <v>246</v>
      </c>
      <c r="AH1671" s="4" t="s">
        <v>241</v>
      </c>
      <c r="AI1671" s="4" t="s">
        <v>247</v>
      </c>
      <c r="AJ1671" s="4" t="s">
        <v>248</v>
      </c>
      <c r="AZ1671" s="4" t="s">
        <v>249</v>
      </c>
      <c r="BA1671" s="4" t="s">
        <v>241</v>
      </c>
      <c r="BB1671" s="4" t="s">
        <v>250</v>
      </c>
      <c r="BC1671" s="4" t="s">
        <v>241</v>
      </c>
      <c r="BD1671" s="4" t="s">
        <v>252</v>
      </c>
      <c r="BE1671" s="4" t="s">
        <v>241</v>
      </c>
      <c r="BI1671" s="4" t="s">
        <v>253</v>
      </c>
      <c r="BJ1671" s="5" t="s">
        <v>246</v>
      </c>
      <c r="BK1671" s="4" t="s">
        <v>254</v>
      </c>
      <c r="BL1671" s="4" t="s">
        <v>255</v>
      </c>
      <c r="BM1671" s="4" t="s">
        <v>241</v>
      </c>
      <c r="BN1671" s="6">
        <f>0</f>
        <v>0</v>
      </c>
      <c r="BO1671" s="6">
        <f>0</f>
        <v>0</v>
      </c>
      <c r="BP1671" s="4" t="s">
        <v>256</v>
      </c>
      <c r="BQ1671" s="4" t="s">
        <v>257</v>
      </c>
      <c r="CE1671" s="4" t="s">
        <v>241</v>
      </c>
      <c r="CF1671" s="4" t="s">
        <v>241</v>
      </c>
      <c r="CJ1671" s="4" t="s">
        <v>276</v>
      </c>
      <c r="CK1671" s="4" t="s">
        <v>259</v>
      </c>
      <c r="CL1671" s="4" t="s">
        <v>241</v>
      </c>
      <c r="CO1671" s="5" t="s">
        <v>260</v>
      </c>
      <c r="CP1671" s="4" t="s">
        <v>241</v>
      </c>
      <c r="CQ1671" s="4" t="s">
        <v>261</v>
      </c>
      <c r="CR1671" s="4" t="s">
        <v>241</v>
      </c>
      <c r="CS1671" s="4" t="s">
        <v>241</v>
      </c>
      <c r="CT1671" s="4">
        <v>0</v>
      </c>
      <c r="CU1671" s="4" t="s">
        <v>262</v>
      </c>
      <c r="CV1671" s="4" t="s">
        <v>263</v>
      </c>
      <c r="CW1671" s="4" t="s">
        <v>263</v>
      </c>
      <c r="CX1671" s="4" t="s">
        <v>264</v>
      </c>
      <c r="DA1671" s="6">
        <f>1</f>
        <v>1</v>
      </c>
      <c r="DC1671" s="4" t="s">
        <v>277</v>
      </c>
      <c r="DD1671" s="4" t="s">
        <v>241</v>
      </c>
      <c r="DF1671" s="4" t="s">
        <v>277</v>
      </c>
      <c r="DG1671" s="6">
        <f>2549</f>
        <v>2549</v>
      </c>
      <c r="DI1671" s="4" t="s">
        <v>241</v>
      </c>
      <c r="DJ1671" s="4" t="s">
        <v>241</v>
      </c>
      <c r="DK1671" s="4" t="s">
        <v>241</v>
      </c>
      <c r="DL1671" s="4" t="s">
        <v>241</v>
      </c>
      <c r="DP1671" s="4" t="s">
        <v>241</v>
      </c>
      <c r="DQ1671" s="4" t="s">
        <v>241</v>
      </c>
      <c r="DR1671" s="4" t="s">
        <v>241</v>
      </c>
      <c r="DS1671" s="4" t="s">
        <v>241</v>
      </c>
      <c r="DV1671" s="4" t="s">
        <v>278</v>
      </c>
      <c r="DW1671" s="4" t="s">
        <v>646</v>
      </c>
      <c r="HO1671" s="4" t="s">
        <v>267</v>
      </c>
    </row>
    <row r="1672" spans="1:223" ht="19.5" customHeight="1" x14ac:dyDescent="0.4">
      <c r="A1672" s="4">
        <v>1</v>
      </c>
      <c r="B1672" s="4" t="s">
        <v>239</v>
      </c>
      <c r="C1672" s="4">
        <v>3346</v>
      </c>
      <c r="D1672" s="4">
        <v>1</v>
      </c>
      <c r="E1672" s="4">
        <v>1</v>
      </c>
      <c r="F1672" s="4" t="s">
        <v>268</v>
      </c>
      <c r="G1672" s="4" t="s">
        <v>241</v>
      </c>
      <c r="H1672" s="4" t="s">
        <v>241</v>
      </c>
      <c r="I1672" s="4" t="s">
        <v>272</v>
      </c>
      <c r="J1672" s="4" t="s">
        <v>274</v>
      </c>
      <c r="K1672" s="4" t="s">
        <v>251</v>
      </c>
      <c r="L1672" s="4" t="s">
        <v>269</v>
      </c>
      <c r="M1672" s="5" t="s">
        <v>2194</v>
      </c>
      <c r="N1672" s="6">
        <f>92</f>
        <v>92</v>
      </c>
      <c r="O1672" s="4" t="s">
        <v>265</v>
      </c>
      <c r="P1672" s="6">
        <f>1</f>
        <v>1</v>
      </c>
      <c r="Q1672" s="6">
        <f>0</f>
        <v>0</v>
      </c>
      <c r="S1672" s="6">
        <f>0</f>
        <v>0</v>
      </c>
      <c r="T1672" s="6">
        <f>1</f>
        <v>1</v>
      </c>
      <c r="U1672" s="5" t="s">
        <v>245</v>
      </c>
      <c r="V1672" s="4" t="s">
        <v>270</v>
      </c>
      <c r="W1672" s="4" t="s">
        <v>271</v>
      </c>
      <c r="X1672" s="4" t="s">
        <v>273</v>
      </c>
      <c r="Y1672" s="4" t="s">
        <v>241</v>
      </c>
      <c r="AB1672" s="4" t="s">
        <v>241</v>
      </c>
      <c r="AD1672" s="5" t="s">
        <v>241</v>
      </c>
      <c r="AG1672" s="5" t="s">
        <v>246</v>
      </c>
      <c r="AH1672" s="4" t="s">
        <v>241</v>
      </c>
      <c r="AI1672" s="4" t="s">
        <v>247</v>
      </c>
      <c r="AJ1672" s="4" t="s">
        <v>248</v>
      </c>
      <c r="AZ1672" s="4" t="s">
        <v>249</v>
      </c>
      <c r="BA1672" s="4" t="s">
        <v>241</v>
      </c>
      <c r="BB1672" s="4" t="s">
        <v>250</v>
      </c>
      <c r="BC1672" s="4" t="s">
        <v>241</v>
      </c>
      <c r="BD1672" s="4" t="s">
        <v>252</v>
      </c>
      <c r="BE1672" s="4" t="s">
        <v>241</v>
      </c>
      <c r="BI1672" s="4" t="s">
        <v>253</v>
      </c>
      <c r="BJ1672" s="5" t="s">
        <v>246</v>
      </c>
      <c r="BK1672" s="4" t="s">
        <v>254</v>
      </c>
      <c r="BL1672" s="4" t="s">
        <v>255</v>
      </c>
      <c r="BM1672" s="4" t="s">
        <v>241</v>
      </c>
      <c r="BN1672" s="6">
        <f>0</f>
        <v>0</v>
      </c>
      <c r="BO1672" s="6">
        <f>0</f>
        <v>0</v>
      </c>
      <c r="BP1672" s="4" t="s">
        <v>256</v>
      </c>
      <c r="BQ1672" s="4" t="s">
        <v>257</v>
      </c>
      <c r="CE1672" s="4" t="s">
        <v>241</v>
      </c>
      <c r="CF1672" s="4" t="s">
        <v>241</v>
      </c>
      <c r="CJ1672" s="4" t="s">
        <v>276</v>
      </c>
      <c r="CK1672" s="4" t="s">
        <v>259</v>
      </c>
      <c r="CL1672" s="4" t="s">
        <v>241</v>
      </c>
      <c r="CO1672" s="5" t="s">
        <v>260</v>
      </c>
      <c r="CP1672" s="4" t="s">
        <v>241</v>
      </c>
      <c r="CQ1672" s="4" t="s">
        <v>261</v>
      </c>
      <c r="CR1672" s="4" t="s">
        <v>241</v>
      </c>
      <c r="CS1672" s="4" t="s">
        <v>241</v>
      </c>
      <c r="CT1672" s="4">
        <v>0</v>
      </c>
      <c r="CU1672" s="4" t="s">
        <v>262</v>
      </c>
      <c r="CV1672" s="4" t="s">
        <v>263</v>
      </c>
      <c r="CW1672" s="4" t="s">
        <v>263</v>
      </c>
      <c r="CX1672" s="4" t="s">
        <v>264</v>
      </c>
      <c r="DA1672" s="6">
        <f>1</f>
        <v>1</v>
      </c>
      <c r="DC1672" s="4" t="s">
        <v>277</v>
      </c>
      <c r="DD1672" s="4" t="s">
        <v>241</v>
      </c>
      <c r="DF1672" s="4" t="s">
        <v>277</v>
      </c>
      <c r="DG1672" s="6">
        <f>92</f>
        <v>92</v>
      </c>
      <c r="DI1672" s="4" t="s">
        <v>241</v>
      </c>
      <c r="DJ1672" s="4" t="s">
        <v>241</v>
      </c>
      <c r="DK1672" s="4" t="s">
        <v>241</v>
      </c>
      <c r="DL1672" s="4" t="s">
        <v>241</v>
      </c>
      <c r="DP1672" s="4" t="s">
        <v>241</v>
      </c>
      <c r="DQ1672" s="4" t="s">
        <v>241</v>
      </c>
      <c r="DR1672" s="4" t="s">
        <v>241</v>
      </c>
      <c r="DS1672" s="4" t="s">
        <v>241</v>
      </c>
      <c r="DV1672" s="4" t="s">
        <v>278</v>
      </c>
      <c r="DW1672" s="4" t="s">
        <v>531</v>
      </c>
      <c r="HO1672" s="4" t="s">
        <v>267</v>
      </c>
    </row>
    <row r="1673" spans="1:223" ht="19.5" customHeight="1" x14ac:dyDescent="0.4">
      <c r="A1673" s="4">
        <v>1</v>
      </c>
      <c r="B1673" s="4" t="s">
        <v>239</v>
      </c>
      <c r="C1673" s="4">
        <v>3347</v>
      </c>
      <c r="D1673" s="4">
        <v>1</v>
      </c>
      <c r="E1673" s="4">
        <v>1</v>
      </c>
      <c r="F1673" s="4" t="s">
        <v>268</v>
      </c>
      <c r="G1673" s="4" t="s">
        <v>241</v>
      </c>
      <c r="H1673" s="4" t="s">
        <v>241</v>
      </c>
      <c r="I1673" s="4" t="s">
        <v>272</v>
      </c>
      <c r="J1673" s="4" t="s">
        <v>274</v>
      </c>
      <c r="K1673" s="4" t="s">
        <v>251</v>
      </c>
      <c r="L1673" s="4" t="s">
        <v>269</v>
      </c>
      <c r="M1673" s="5" t="s">
        <v>2193</v>
      </c>
      <c r="N1673" s="6">
        <f>728</f>
        <v>728</v>
      </c>
      <c r="O1673" s="4" t="s">
        <v>265</v>
      </c>
      <c r="P1673" s="6">
        <f>1</f>
        <v>1</v>
      </c>
      <c r="Q1673" s="6">
        <f>0</f>
        <v>0</v>
      </c>
      <c r="S1673" s="6">
        <f>0</f>
        <v>0</v>
      </c>
      <c r="T1673" s="6">
        <f>1</f>
        <v>1</v>
      </c>
      <c r="U1673" s="5" t="s">
        <v>245</v>
      </c>
      <c r="V1673" s="4" t="s">
        <v>270</v>
      </c>
      <c r="W1673" s="4" t="s">
        <v>271</v>
      </c>
      <c r="X1673" s="4" t="s">
        <v>273</v>
      </c>
      <c r="Y1673" s="4" t="s">
        <v>241</v>
      </c>
      <c r="AB1673" s="4" t="s">
        <v>241</v>
      </c>
      <c r="AD1673" s="5" t="s">
        <v>241</v>
      </c>
      <c r="AG1673" s="5" t="s">
        <v>246</v>
      </c>
      <c r="AH1673" s="4" t="s">
        <v>241</v>
      </c>
      <c r="AI1673" s="4" t="s">
        <v>247</v>
      </c>
      <c r="AJ1673" s="4" t="s">
        <v>248</v>
      </c>
      <c r="AZ1673" s="4" t="s">
        <v>249</v>
      </c>
      <c r="BA1673" s="4" t="s">
        <v>241</v>
      </c>
      <c r="BB1673" s="4" t="s">
        <v>250</v>
      </c>
      <c r="BC1673" s="4" t="s">
        <v>241</v>
      </c>
      <c r="BD1673" s="4" t="s">
        <v>252</v>
      </c>
      <c r="BE1673" s="4" t="s">
        <v>241</v>
      </c>
      <c r="BI1673" s="4" t="s">
        <v>253</v>
      </c>
      <c r="BJ1673" s="5" t="s">
        <v>246</v>
      </c>
      <c r="BK1673" s="4" t="s">
        <v>254</v>
      </c>
      <c r="BL1673" s="4" t="s">
        <v>255</v>
      </c>
      <c r="BM1673" s="4" t="s">
        <v>241</v>
      </c>
      <c r="BN1673" s="6">
        <f>0</f>
        <v>0</v>
      </c>
      <c r="BO1673" s="6">
        <f>0</f>
        <v>0</v>
      </c>
      <c r="BP1673" s="4" t="s">
        <v>256</v>
      </c>
      <c r="BQ1673" s="4" t="s">
        <v>257</v>
      </c>
      <c r="CE1673" s="4" t="s">
        <v>241</v>
      </c>
      <c r="CF1673" s="4" t="s">
        <v>241</v>
      </c>
      <c r="CJ1673" s="4" t="s">
        <v>276</v>
      </c>
      <c r="CK1673" s="4" t="s">
        <v>259</v>
      </c>
      <c r="CL1673" s="4" t="s">
        <v>241</v>
      </c>
      <c r="CO1673" s="5" t="s">
        <v>260</v>
      </c>
      <c r="CP1673" s="4" t="s">
        <v>241</v>
      </c>
      <c r="CQ1673" s="4" t="s">
        <v>261</v>
      </c>
      <c r="CR1673" s="4" t="s">
        <v>241</v>
      </c>
      <c r="CS1673" s="4" t="s">
        <v>241</v>
      </c>
      <c r="CT1673" s="4">
        <v>0</v>
      </c>
      <c r="CU1673" s="4" t="s">
        <v>262</v>
      </c>
      <c r="CV1673" s="4" t="s">
        <v>263</v>
      </c>
      <c r="CW1673" s="4" t="s">
        <v>263</v>
      </c>
      <c r="CX1673" s="4" t="s">
        <v>264</v>
      </c>
      <c r="DA1673" s="6">
        <f>1</f>
        <v>1</v>
      </c>
      <c r="DC1673" s="4" t="s">
        <v>277</v>
      </c>
      <c r="DD1673" s="4" t="s">
        <v>241</v>
      </c>
      <c r="DF1673" s="4" t="s">
        <v>277</v>
      </c>
      <c r="DG1673" s="6">
        <f>728</f>
        <v>728</v>
      </c>
      <c r="DI1673" s="4" t="s">
        <v>241</v>
      </c>
      <c r="DJ1673" s="4" t="s">
        <v>241</v>
      </c>
      <c r="DK1673" s="4" t="s">
        <v>241</v>
      </c>
      <c r="DL1673" s="4" t="s">
        <v>241</v>
      </c>
      <c r="DP1673" s="4" t="s">
        <v>241</v>
      </c>
      <c r="DQ1673" s="4" t="s">
        <v>241</v>
      </c>
      <c r="DR1673" s="4" t="s">
        <v>241</v>
      </c>
      <c r="DS1673" s="4" t="s">
        <v>241</v>
      </c>
      <c r="DV1673" s="4" t="s">
        <v>278</v>
      </c>
      <c r="DW1673" s="4" t="s">
        <v>511</v>
      </c>
      <c r="HO1673" s="4" t="s">
        <v>267</v>
      </c>
    </row>
    <row r="1674" spans="1:223" ht="19.5" customHeight="1" x14ac:dyDescent="0.4">
      <c r="A1674" s="4">
        <v>1</v>
      </c>
      <c r="B1674" s="4" t="s">
        <v>239</v>
      </c>
      <c r="C1674" s="4">
        <v>3348</v>
      </c>
      <c r="D1674" s="4">
        <v>1</v>
      </c>
      <c r="E1674" s="4">
        <v>1</v>
      </c>
      <c r="F1674" s="4" t="s">
        <v>268</v>
      </c>
      <c r="G1674" s="4" t="s">
        <v>241</v>
      </c>
      <c r="H1674" s="4" t="s">
        <v>241</v>
      </c>
      <c r="I1674" s="4" t="s">
        <v>272</v>
      </c>
      <c r="J1674" s="4" t="s">
        <v>274</v>
      </c>
      <c r="K1674" s="4" t="s">
        <v>251</v>
      </c>
      <c r="L1674" s="4" t="s">
        <v>269</v>
      </c>
      <c r="M1674" s="5" t="s">
        <v>2191</v>
      </c>
      <c r="N1674" s="6">
        <f>492</f>
        <v>492</v>
      </c>
      <c r="O1674" s="4" t="s">
        <v>265</v>
      </c>
      <c r="P1674" s="6">
        <f>1</f>
        <v>1</v>
      </c>
      <c r="Q1674" s="6">
        <f>0</f>
        <v>0</v>
      </c>
      <c r="S1674" s="6">
        <f>0</f>
        <v>0</v>
      </c>
      <c r="T1674" s="6">
        <f>1</f>
        <v>1</v>
      </c>
      <c r="U1674" s="5" t="s">
        <v>245</v>
      </c>
      <c r="V1674" s="4" t="s">
        <v>270</v>
      </c>
      <c r="W1674" s="4" t="s">
        <v>271</v>
      </c>
      <c r="X1674" s="4" t="s">
        <v>273</v>
      </c>
      <c r="Y1674" s="4" t="s">
        <v>241</v>
      </c>
      <c r="AB1674" s="4" t="s">
        <v>241</v>
      </c>
      <c r="AD1674" s="5" t="s">
        <v>241</v>
      </c>
      <c r="AG1674" s="5" t="s">
        <v>246</v>
      </c>
      <c r="AH1674" s="4" t="s">
        <v>241</v>
      </c>
      <c r="AI1674" s="4" t="s">
        <v>247</v>
      </c>
      <c r="AJ1674" s="4" t="s">
        <v>248</v>
      </c>
      <c r="AZ1674" s="4" t="s">
        <v>249</v>
      </c>
      <c r="BA1674" s="4" t="s">
        <v>241</v>
      </c>
      <c r="BB1674" s="4" t="s">
        <v>250</v>
      </c>
      <c r="BC1674" s="4" t="s">
        <v>241</v>
      </c>
      <c r="BD1674" s="4" t="s">
        <v>252</v>
      </c>
      <c r="BE1674" s="4" t="s">
        <v>241</v>
      </c>
      <c r="BI1674" s="4" t="s">
        <v>253</v>
      </c>
      <c r="BJ1674" s="5" t="s">
        <v>246</v>
      </c>
      <c r="BK1674" s="4" t="s">
        <v>254</v>
      </c>
      <c r="BL1674" s="4" t="s">
        <v>255</v>
      </c>
      <c r="BM1674" s="4" t="s">
        <v>241</v>
      </c>
      <c r="BN1674" s="6">
        <f>0</f>
        <v>0</v>
      </c>
      <c r="BO1674" s="6">
        <f>0</f>
        <v>0</v>
      </c>
      <c r="BP1674" s="4" t="s">
        <v>256</v>
      </c>
      <c r="BQ1674" s="4" t="s">
        <v>257</v>
      </c>
      <c r="CE1674" s="4" t="s">
        <v>241</v>
      </c>
      <c r="CF1674" s="4" t="s">
        <v>241</v>
      </c>
      <c r="CJ1674" s="4" t="s">
        <v>276</v>
      </c>
      <c r="CK1674" s="4" t="s">
        <v>259</v>
      </c>
      <c r="CL1674" s="4" t="s">
        <v>241</v>
      </c>
      <c r="CO1674" s="5" t="s">
        <v>260</v>
      </c>
      <c r="CP1674" s="4" t="s">
        <v>241</v>
      </c>
      <c r="CQ1674" s="4" t="s">
        <v>261</v>
      </c>
      <c r="CR1674" s="4" t="s">
        <v>241</v>
      </c>
      <c r="CS1674" s="4" t="s">
        <v>241</v>
      </c>
      <c r="CT1674" s="4">
        <v>0</v>
      </c>
      <c r="CU1674" s="4" t="s">
        <v>262</v>
      </c>
      <c r="CV1674" s="4" t="s">
        <v>263</v>
      </c>
      <c r="CW1674" s="4" t="s">
        <v>263</v>
      </c>
      <c r="CX1674" s="4" t="s">
        <v>264</v>
      </c>
      <c r="DA1674" s="6">
        <f>1</f>
        <v>1</v>
      </c>
      <c r="DC1674" s="4" t="s">
        <v>277</v>
      </c>
      <c r="DD1674" s="4" t="s">
        <v>241</v>
      </c>
      <c r="DF1674" s="4" t="s">
        <v>277</v>
      </c>
      <c r="DG1674" s="6">
        <f>492</f>
        <v>492</v>
      </c>
      <c r="DI1674" s="4" t="s">
        <v>241</v>
      </c>
      <c r="DJ1674" s="4" t="s">
        <v>241</v>
      </c>
      <c r="DK1674" s="4" t="s">
        <v>241</v>
      </c>
      <c r="DL1674" s="4" t="s">
        <v>241</v>
      </c>
      <c r="DP1674" s="4" t="s">
        <v>241</v>
      </c>
      <c r="DQ1674" s="4" t="s">
        <v>241</v>
      </c>
      <c r="DR1674" s="4" t="s">
        <v>241</v>
      </c>
      <c r="DS1674" s="4" t="s">
        <v>241</v>
      </c>
      <c r="DV1674" s="4" t="s">
        <v>278</v>
      </c>
      <c r="DW1674" s="4" t="s">
        <v>484</v>
      </c>
      <c r="HO1674" s="4" t="s">
        <v>267</v>
      </c>
    </row>
    <row r="1675" spans="1:223" ht="19.5" customHeight="1" x14ac:dyDescent="0.4">
      <c r="A1675" s="4">
        <v>1</v>
      </c>
      <c r="B1675" s="4" t="s">
        <v>239</v>
      </c>
      <c r="C1675" s="4">
        <v>3349</v>
      </c>
      <c r="D1675" s="4">
        <v>1</v>
      </c>
      <c r="E1675" s="4">
        <v>1</v>
      </c>
      <c r="F1675" s="4" t="s">
        <v>268</v>
      </c>
      <c r="G1675" s="4" t="s">
        <v>241</v>
      </c>
      <c r="H1675" s="4" t="s">
        <v>241</v>
      </c>
      <c r="I1675" s="4" t="s">
        <v>272</v>
      </c>
      <c r="J1675" s="4" t="s">
        <v>274</v>
      </c>
      <c r="K1675" s="4" t="s">
        <v>251</v>
      </c>
      <c r="L1675" s="4" t="s">
        <v>269</v>
      </c>
      <c r="M1675" s="5" t="s">
        <v>2189</v>
      </c>
      <c r="N1675" s="6">
        <f>97</f>
        <v>97</v>
      </c>
      <c r="O1675" s="4" t="s">
        <v>265</v>
      </c>
      <c r="P1675" s="6">
        <f>1</f>
        <v>1</v>
      </c>
      <c r="Q1675" s="6">
        <f>0</f>
        <v>0</v>
      </c>
      <c r="S1675" s="6">
        <f>0</f>
        <v>0</v>
      </c>
      <c r="T1675" s="6">
        <f>1</f>
        <v>1</v>
      </c>
      <c r="U1675" s="5" t="s">
        <v>245</v>
      </c>
      <c r="V1675" s="4" t="s">
        <v>270</v>
      </c>
      <c r="W1675" s="4" t="s">
        <v>271</v>
      </c>
      <c r="X1675" s="4" t="s">
        <v>273</v>
      </c>
      <c r="Y1675" s="4" t="s">
        <v>241</v>
      </c>
      <c r="AB1675" s="4" t="s">
        <v>241</v>
      </c>
      <c r="AD1675" s="5" t="s">
        <v>241</v>
      </c>
      <c r="AG1675" s="5" t="s">
        <v>246</v>
      </c>
      <c r="AH1675" s="4" t="s">
        <v>241</v>
      </c>
      <c r="AI1675" s="4" t="s">
        <v>247</v>
      </c>
      <c r="AJ1675" s="4" t="s">
        <v>248</v>
      </c>
      <c r="AZ1675" s="4" t="s">
        <v>249</v>
      </c>
      <c r="BA1675" s="4" t="s">
        <v>241</v>
      </c>
      <c r="BB1675" s="4" t="s">
        <v>250</v>
      </c>
      <c r="BC1675" s="4" t="s">
        <v>241</v>
      </c>
      <c r="BD1675" s="4" t="s">
        <v>252</v>
      </c>
      <c r="BE1675" s="4" t="s">
        <v>241</v>
      </c>
      <c r="BI1675" s="4" t="s">
        <v>253</v>
      </c>
      <c r="BJ1675" s="5" t="s">
        <v>246</v>
      </c>
      <c r="BK1675" s="4" t="s">
        <v>254</v>
      </c>
      <c r="BL1675" s="4" t="s">
        <v>255</v>
      </c>
      <c r="BM1675" s="4" t="s">
        <v>241</v>
      </c>
      <c r="BN1675" s="6">
        <f>0</f>
        <v>0</v>
      </c>
      <c r="BO1675" s="6">
        <f>0</f>
        <v>0</v>
      </c>
      <c r="BP1675" s="4" t="s">
        <v>256</v>
      </c>
      <c r="BQ1675" s="4" t="s">
        <v>257</v>
      </c>
      <c r="CE1675" s="4" t="s">
        <v>241</v>
      </c>
      <c r="CF1675" s="4" t="s">
        <v>241</v>
      </c>
      <c r="CJ1675" s="4" t="s">
        <v>276</v>
      </c>
      <c r="CK1675" s="4" t="s">
        <v>259</v>
      </c>
      <c r="CL1675" s="4" t="s">
        <v>241</v>
      </c>
      <c r="CO1675" s="5" t="s">
        <v>260</v>
      </c>
      <c r="CP1675" s="4" t="s">
        <v>241</v>
      </c>
      <c r="CQ1675" s="4" t="s">
        <v>261</v>
      </c>
      <c r="CR1675" s="4" t="s">
        <v>241</v>
      </c>
      <c r="CS1675" s="4" t="s">
        <v>241</v>
      </c>
      <c r="CT1675" s="4">
        <v>0</v>
      </c>
      <c r="CU1675" s="4" t="s">
        <v>262</v>
      </c>
      <c r="CV1675" s="4" t="s">
        <v>263</v>
      </c>
      <c r="CW1675" s="4" t="s">
        <v>263</v>
      </c>
      <c r="CX1675" s="4" t="s">
        <v>264</v>
      </c>
      <c r="DA1675" s="6">
        <f>1</f>
        <v>1</v>
      </c>
      <c r="DC1675" s="4" t="s">
        <v>277</v>
      </c>
      <c r="DD1675" s="4" t="s">
        <v>241</v>
      </c>
      <c r="DF1675" s="4" t="s">
        <v>277</v>
      </c>
      <c r="DG1675" s="6">
        <f>97</f>
        <v>97</v>
      </c>
      <c r="DI1675" s="4" t="s">
        <v>241</v>
      </c>
      <c r="DJ1675" s="4" t="s">
        <v>241</v>
      </c>
      <c r="DK1675" s="4" t="s">
        <v>241</v>
      </c>
      <c r="DL1675" s="4" t="s">
        <v>241</v>
      </c>
      <c r="DP1675" s="4" t="s">
        <v>241</v>
      </c>
      <c r="DQ1675" s="4" t="s">
        <v>241</v>
      </c>
      <c r="DR1675" s="4" t="s">
        <v>241</v>
      </c>
      <c r="DS1675" s="4" t="s">
        <v>241</v>
      </c>
      <c r="DV1675" s="4" t="s">
        <v>278</v>
      </c>
      <c r="DW1675" s="4" t="s">
        <v>2190</v>
      </c>
      <c r="HO1675" s="4" t="s">
        <v>267</v>
      </c>
    </row>
    <row r="1676" spans="1:223" ht="19.5" customHeight="1" x14ac:dyDescent="0.4">
      <c r="A1676" s="4">
        <v>1</v>
      </c>
      <c r="B1676" s="4" t="s">
        <v>239</v>
      </c>
      <c r="C1676" s="4">
        <v>3350</v>
      </c>
      <c r="D1676" s="4">
        <v>1</v>
      </c>
      <c r="E1676" s="4">
        <v>1</v>
      </c>
      <c r="F1676" s="4" t="s">
        <v>268</v>
      </c>
      <c r="G1676" s="4" t="s">
        <v>241</v>
      </c>
      <c r="H1676" s="4" t="s">
        <v>241</v>
      </c>
      <c r="I1676" s="4" t="s">
        <v>272</v>
      </c>
      <c r="J1676" s="4" t="s">
        <v>274</v>
      </c>
      <c r="K1676" s="4" t="s">
        <v>251</v>
      </c>
      <c r="L1676" s="4" t="s">
        <v>269</v>
      </c>
      <c r="M1676" s="5" t="s">
        <v>2187</v>
      </c>
      <c r="N1676" s="6">
        <f>431</f>
        <v>431</v>
      </c>
      <c r="O1676" s="4" t="s">
        <v>265</v>
      </c>
      <c r="P1676" s="6">
        <f>1</f>
        <v>1</v>
      </c>
      <c r="Q1676" s="6">
        <f>0</f>
        <v>0</v>
      </c>
      <c r="S1676" s="6">
        <f>0</f>
        <v>0</v>
      </c>
      <c r="T1676" s="6">
        <f>1</f>
        <v>1</v>
      </c>
      <c r="U1676" s="5" t="s">
        <v>245</v>
      </c>
      <c r="V1676" s="4" t="s">
        <v>270</v>
      </c>
      <c r="W1676" s="4" t="s">
        <v>271</v>
      </c>
      <c r="X1676" s="4" t="s">
        <v>273</v>
      </c>
      <c r="Y1676" s="4" t="s">
        <v>241</v>
      </c>
      <c r="AB1676" s="4" t="s">
        <v>241</v>
      </c>
      <c r="AD1676" s="5" t="s">
        <v>241</v>
      </c>
      <c r="AG1676" s="5" t="s">
        <v>246</v>
      </c>
      <c r="AH1676" s="4" t="s">
        <v>241</v>
      </c>
      <c r="AI1676" s="4" t="s">
        <v>247</v>
      </c>
      <c r="AJ1676" s="4" t="s">
        <v>248</v>
      </c>
      <c r="AZ1676" s="4" t="s">
        <v>249</v>
      </c>
      <c r="BA1676" s="4" t="s">
        <v>241</v>
      </c>
      <c r="BB1676" s="4" t="s">
        <v>250</v>
      </c>
      <c r="BC1676" s="4" t="s">
        <v>241</v>
      </c>
      <c r="BD1676" s="4" t="s">
        <v>252</v>
      </c>
      <c r="BE1676" s="4" t="s">
        <v>241</v>
      </c>
      <c r="BI1676" s="4" t="s">
        <v>253</v>
      </c>
      <c r="BJ1676" s="5" t="s">
        <v>246</v>
      </c>
      <c r="BK1676" s="4" t="s">
        <v>254</v>
      </c>
      <c r="BL1676" s="4" t="s">
        <v>255</v>
      </c>
      <c r="BM1676" s="4" t="s">
        <v>241</v>
      </c>
      <c r="BN1676" s="6">
        <f>0</f>
        <v>0</v>
      </c>
      <c r="BO1676" s="6">
        <f>0</f>
        <v>0</v>
      </c>
      <c r="BP1676" s="4" t="s">
        <v>256</v>
      </c>
      <c r="BQ1676" s="4" t="s">
        <v>257</v>
      </c>
      <c r="CE1676" s="4" t="s">
        <v>241</v>
      </c>
      <c r="CF1676" s="4" t="s">
        <v>241</v>
      </c>
      <c r="CJ1676" s="4" t="s">
        <v>276</v>
      </c>
      <c r="CK1676" s="4" t="s">
        <v>259</v>
      </c>
      <c r="CL1676" s="4" t="s">
        <v>241</v>
      </c>
      <c r="CO1676" s="5" t="s">
        <v>260</v>
      </c>
      <c r="CP1676" s="4" t="s">
        <v>241</v>
      </c>
      <c r="CQ1676" s="4" t="s">
        <v>261</v>
      </c>
      <c r="CR1676" s="4" t="s">
        <v>241</v>
      </c>
      <c r="CS1676" s="4" t="s">
        <v>241</v>
      </c>
      <c r="CT1676" s="4">
        <v>0</v>
      </c>
      <c r="CU1676" s="4" t="s">
        <v>262</v>
      </c>
      <c r="CV1676" s="4" t="s">
        <v>263</v>
      </c>
      <c r="CW1676" s="4" t="s">
        <v>263</v>
      </c>
      <c r="CX1676" s="4" t="s">
        <v>264</v>
      </c>
      <c r="DA1676" s="6">
        <f>1</f>
        <v>1</v>
      </c>
      <c r="DC1676" s="4" t="s">
        <v>277</v>
      </c>
      <c r="DD1676" s="4" t="s">
        <v>241</v>
      </c>
      <c r="DF1676" s="4" t="s">
        <v>277</v>
      </c>
      <c r="DG1676" s="6">
        <f>431</f>
        <v>431</v>
      </c>
      <c r="DI1676" s="4" t="s">
        <v>241</v>
      </c>
      <c r="DJ1676" s="4" t="s">
        <v>241</v>
      </c>
      <c r="DK1676" s="4" t="s">
        <v>241</v>
      </c>
      <c r="DL1676" s="4" t="s">
        <v>241</v>
      </c>
      <c r="DP1676" s="4" t="s">
        <v>241</v>
      </c>
      <c r="DQ1676" s="4" t="s">
        <v>241</v>
      </c>
      <c r="DR1676" s="4" t="s">
        <v>241</v>
      </c>
      <c r="DS1676" s="4" t="s">
        <v>241</v>
      </c>
      <c r="DV1676" s="4" t="s">
        <v>278</v>
      </c>
      <c r="DW1676" s="4" t="s">
        <v>2188</v>
      </c>
      <c r="HO1676" s="4" t="s">
        <v>267</v>
      </c>
    </row>
    <row r="1677" spans="1:223" ht="19.5" customHeight="1" x14ac:dyDescent="0.4">
      <c r="A1677" s="4">
        <v>1</v>
      </c>
      <c r="B1677" s="4" t="s">
        <v>239</v>
      </c>
      <c r="C1677" s="4">
        <v>3351</v>
      </c>
      <c r="D1677" s="4">
        <v>1</v>
      </c>
      <c r="E1677" s="4">
        <v>1</v>
      </c>
      <c r="F1677" s="4" t="s">
        <v>268</v>
      </c>
      <c r="G1677" s="4" t="s">
        <v>241</v>
      </c>
      <c r="H1677" s="4" t="s">
        <v>241</v>
      </c>
      <c r="I1677" s="4" t="s">
        <v>272</v>
      </c>
      <c r="J1677" s="4" t="s">
        <v>274</v>
      </c>
      <c r="K1677" s="4" t="s">
        <v>251</v>
      </c>
      <c r="L1677" s="4" t="s">
        <v>269</v>
      </c>
      <c r="M1677" s="5" t="s">
        <v>2185</v>
      </c>
      <c r="N1677" s="6">
        <f>1038</f>
        <v>1038</v>
      </c>
      <c r="O1677" s="4" t="s">
        <v>265</v>
      </c>
      <c r="P1677" s="6">
        <f>1</f>
        <v>1</v>
      </c>
      <c r="Q1677" s="6">
        <f>0</f>
        <v>0</v>
      </c>
      <c r="S1677" s="6">
        <f>0</f>
        <v>0</v>
      </c>
      <c r="T1677" s="6">
        <f>1</f>
        <v>1</v>
      </c>
      <c r="U1677" s="5" t="s">
        <v>245</v>
      </c>
      <c r="V1677" s="4" t="s">
        <v>270</v>
      </c>
      <c r="W1677" s="4" t="s">
        <v>271</v>
      </c>
      <c r="X1677" s="4" t="s">
        <v>273</v>
      </c>
      <c r="Y1677" s="4" t="s">
        <v>241</v>
      </c>
      <c r="AB1677" s="4" t="s">
        <v>241</v>
      </c>
      <c r="AD1677" s="5" t="s">
        <v>241</v>
      </c>
      <c r="AG1677" s="5" t="s">
        <v>246</v>
      </c>
      <c r="AH1677" s="4" t="s">
        <v>241</v>
      </c>
      <c r="AI1677" s="4" t="s">
        <v>247</v>
      </c>
      <c r="AJ1677" s="4" t="s">
        <v>248</v>
      </c>
      <c r="AZ1677" s="4" t="s">
        <v>249</v>
      </c>
      <c r="BA1677" s="4" t="s">
        <v>241</v>
      </c>
      <c r="BB1677" s="4" t="s">
        <v>250</v>
      </c>
      <c r="BC1677" s="4" t="s">
        <v>241</v>
      </c>
      <c r="BD1677" s="4" t="s">
        <v>252</v>
      </c>
      <c r="BE1677" s="4" t="s">
        <v>241</v>
      </c>
      <c r="BI1677" s="4" t="s">
        <v>253</v>
      </c>
      <c r="BJ1677" s="5" t="s">
        <v>246</v>
      </c>
      <c r="BK1677" s="4" t="s">
        <v>254</v>
      </c>
      <c r="BL1677" s="4" t="s">
        <v>255</v>
      </c>
      <c r="BM1677" s="4" t="s">
        <v>241</v>
      </c>
      <c r="BN1677" s="6">
        <f>0</f>
        <v>0</v>
      </c>
      <c r="BO1677" s="6">
        <f>0</f>
        <v>0</v>
      </c>
      <c r="BP1677" s="4" t="s">
        <v>256</v>
      </c>
      <c r="BQ1677" s="4" t="s">
        <v>257</v>
      </c>
      <c r="CE1677" s="4" t="s">
        <v>241</v>
      </c>
      <c r="CF1677" s="4" t="s">
        <v>241</v>
      </c>
      <c r="CJ1677" s="4" t="s">
        <v>276</v>
      </c>
      <c r="CK1677" s="4" t="s">
        <v>259</v>
      </c>
      <c r="CL1677" s="4" t="s">
        <v>241</v>
      </c>
      <c r="CO1677" s="5" t="s">
        <v>260</v>
      </c>
      <c r="CP1677" s="4" t="s">
        <v>241</v>
      </c>
      <c r="CQ1677" s="4" t="s">
        <v>261</v>
      </c>
      <c r="CR1677" s="4" t="s">
        <v>241</v>
      </c>
      <c r="CS1677" s="4" t="s">
        <v>241</v>
      </c>
      <c r="CT1677" s="4">
        <v>0</v>
      </c>
      <c r="CU1677" s="4" t="s">
        <v>262</v>
      </c>
      <c r="CV1677" s="4" t="s">
        <v>263</v>
      </c>
      <c r="CW1677" s="4" t="s">
        <v>263</v>
      </c>
      <c r="CX1677" s="4" t="s">
        <v>264</v>
      </c>
      <c r="DA1677" s="6">
        <f>1</f>
        <v>1</v>
      </c>
      <c r="DC1677" s="4" t="s">
        <v>277</v>
      </c>
      <c r="DD1677" s="4" t="s">
        <v>241</v>
      </c>
      <c r="DF1677" s="4" t="s">
        <v>277</v>
      </c>
      <c r="DG1677" s="6">
        <f>1038</f>
        <v>1038</v>
      </c>
      <c r="DI1677" s="4" t="s">
        <v>241</v>
      </c>
      <c r="DJ1677" s="4" t="s">
        <v>241</v>
      </c>
      <c r="DK1677" s="4" t="s">
        <v>241</v>
      </c>
      <c r="DL1677" s="4" t="s">
        <v>241</v>
      </c>
      <c r="DP1677" s="4" t="s">
        <v>241</v>
      </c>
      <c r="DQ1677" s="4" t="s">
        <v>241</v>
      </c>
      <c r="DR1677" s="4" t="s">
        <v>241</v>
      </c>
      <c r="DS1677" s="4" t="s">
        <v>241</v>
      </c>
      <c r="DV1677" s="4" t="s">
        <v>278</v>
      </c>
      <c r="DW1677" s="4" t="s">
        <v>2186</v>
      </c>
      <c r="HO1677" s="4" t="s">
        <v>267</v>
      </c>
    </row>
    <row r="1678" spans="1:223" ht="19.5" customHeight="1" x14ac:dyDescent="0.4">
      <c r="A1678" s="4">
        <v>1</v>
      </c>
      <c r="B1678" s="4" t="s">
        <v>239</v>
      </c>
      <c r="C1678" s="4">
        <v>3352</v>
      </c>
      <c r="D1678" s="4">
        <v>1</v>
      </c>
      <c r="E1678" s="4">
        <v>1</v>
      </c>
      <c r="F1678" s="4" t="s">
        <v>268</v>
      </c>
      <c r="G1678" s="4" t="s">
        <v>241</v>
      </c>
      <c r="H1678" s="4" t="s">
        <v>241</v>
      </c>
      <c r="I1678" s="4" t="s">
        <v>272</v>
      </c>
      <c r="J1678" s="4" t="s">
        <v>274</v>
      </c>
      <c r="K1678" s="4" t="s">
        <v>251</v>
      </c>
      <c r="L1678" s="4" t="s">
        <v>269</v>
      </c>
      <c r="M1678" s="5" t="s">
        <v>2183</v>
      </c>
      <c r="N1678" s="6">
        <f>987</f>
        <v>987</v>
      </c>
      <c r="O1678" s="4" t="s">
        <v>265</v>
      </c>
      <c r="P1678" s="6">
        <f>1</f>
        <v>1</v>
      </c>
      <c r="Q1678" s="6">
        <f>0</f>
        <v>0</v>
      </c>
      <c r="S1678" s="6">
        <f>0</f>
        <v>0</v>
      </c>
      <c r="T1678" s="6">
        <f>1</f>
        <v>1</v>
      </c>
      <c r="U1678" s="5" t="s">
        <v>245</v>
      </c>
      <c r="V1678" s="4" t="s">
        <v>270</v>
      </c>
      <c r="W1678" s="4" t="s">
        <v>271</v>
      </c>
      <c r="X1678" s="4" t="s">
        <v>273</v>
      </c>
      <c r="Y1678" s="4" t="s">
        <v>241</v>
      </c>
      <c r="AB1678" s="4" t="s">
        <v>241</v>
      </c>
      <c r="AD1678" s="5" t="s">
        <v>241</v>
      </c>
      <c r="AG1678" s="5" t="s">
        <v>246</v>
      </c>
      <c r="AH1678" s="4" t="s">
        <v>241</v>
      </c>
      <c r="AI1678" s="4" t="s">
        <v>247</v>
      </c>
      <c r="AJ1678" s="4" t="s">
        <v>248</v>
      </c>
      <c r="AZ1678" s="4" t="s">
        <v>249</v>
      </c>
      <c r="BA1678" s="4" t="s">
        <v>241</v>
      </c>
      <c r="BB1678" s="4" t="s">
        <v>250</v>
      </c>
      <c r="BC1678" s="4" t="s">
        <v>241</v>
      </c>
      <c r="BD1678" s="4" t="s">
        <v>252</v>
      </c>
      <c r="BE1678" s="4" t="s">
        <v>241</v>
      </c>
      <c r="BI1678" s="4" t="s">
        <v>253</v>
      </c>
      <c r="BJ1678" s="5" t="s">
        <v>246</v>
      </c>
      <c r="BK1678" s="4" t="s">
        <v>254</v>
      </c>
      <c r="BL1678" s="4" t="s">
        <v>255</v>
      </c>
      <c r="BM1678" s="4" t="s">
        <v>241</v>
      </c>
      <c r="BN1678" s="6">
        <f>0</f>
        <v>0</v>
      </c>
      <c r="BO1678" s="6">
        <f>0</f>
        <v>0</v>
      </c>
      <c r="BP1678" s="4" t="s">
        <v>256</v>
      </c>
      <c r="BQ1678" s="4" t="s">
        <v>257</v>
      </c>
      <c r="CE1678" s="4" t="s">
        <v>241</v>
      </c>
      <c r="CF1678" s="4" t="s">
        <v>241</v>
      </c>
      <c r="CJ1678" s="4" t="s">
        <v>276</v>
      </c>
      <c r="CK1678" s="4" t="s">
        <v>259</v>
      </c>
      <c r="CL1678" s="4" t="s">
        <v>241</v>
      </c>
      <c r="CO1678" s="5" t="s">
        <v>260</v>
      </c>
      <c r="CP1678" s="4" t="s">
        <v>241</v>
      </c>
      <c r="CQ1678" s="4" t="s">
        <v>261</v>
      </c>
      <c r="CR1678" s="4" t="s">
        <v>241</v>
      </c>
      <c r="CS1678" s="4" t="s">
        <v>241</v>
      </c>
      <c r="CT1678" s="4">
        <v>0</v>
      </c>
      <c r="CU1678" s="4" t="s">
        <v>262</v>
      </c>
      <c r="CV1678" s="4" t="s">
        <v>263</v>
      </c>
      <c r="CW1678" s="4" t="s">
        <v>263</v>
      </c>
      <c r="CX1678" s="4" t="s">
        <v>264</v>
      </c>
      <c r="DA1678" s="6">
        <f>1</f>
        <v>1</v>
      </c>
      <c r="DC1678" s="4" t="s">
        <v>277</v>
      </c>
      <c r="DD1678" s="4" t="s">
        <v>241</v>
      </c>
      <c r="DF1678" s="4" t="s">
        <v>277</v>
      </c>
      <c r="DG1678" s="6">
        <f>987</f>
        <v>987</v>
      </c>
      <c r="DI1678" s="4" t="s">
        <v>241</v>
      </c>
      <c r="DJ1678" s="4" t="s">
        <v>241</v>
      </c>
      <c r="DK1678" s="4" t="s">
        <v>241</v>
      </c>
      <c r="DL1678" s="4" t="s">
        <v>241</v>
      </c>
      <c r="DP1678" s="4" t="s">
        <v>241</v>
      </c>
      <c r="DQ1678" s="4" t="s">
        <v>241</v>
      </c>
      <c r="DR1678" s="4" t="s">
        <v>241</v>
      </c>
      <c r="DS1678" s="4" t="s">
        <v>241</v>
      </c>
      <c r="DV1678" s="4" t="s">
        <v>278</v>
      </c>
      <c r="DW1678" s="4" t="s">
        <v>2184</v>
      </c>
      <c r="HO1678" s="4" t="s">
        <v>267</v>
      </c>
    </row>
    <row r="1679" spans="1:223" ht="19.5" customHeight="1" x14ac:dyDescent="0.4">
      <c r="A1679" s="4">
        <v>1</v>
      </c>
      <c r="B1679" s="4" t="s">
        <v>239</v>
      </c>
      <c r="C1679" s="4">
        <v>3353</v>
      </c>
      <c r="D1679" s="4">
        <v>1</v>
      </c>
      <c r="E1679" s="4">
        <v>1</v>
      </c>
      <c r="F1679" s="4" t="s">
        <v>268</v>
      </c>
      <c r="G1679" s="4" t="s">
        <v>241</v>
      </c>
      <c r="H1679" s="4" t="s">
        <v>241</v>
      </c>
      <c r="I1679" s="4" t="s">
        <v>272</v>
      </c>
      <c r="J1679" s="4" t="s">
        <v>274</v>
      </c>
      <c r="K1679" s="4" t="s">
        <v>251</v>
      </c>
      <c r="L1679" s="4" t="s">
        <v>269</v>
      </c>
      <c r="M1679" s="5" t="s">
        <v>2181</v>
      </c>
      <c r="N1679" s="6">
        <f>2351</f>
        <v>2351</v>
      </c>
      <c r="O1679" s="4" t="s">
        <v>265</v>
      </c>
      <c r="P1679" s="6">
        <f>1</f>
        <v>1</v>
      </c>
      <c r="Q1679" s="6">
        <f>0</f>
        <v>0</v>
      </c>
      <c r="S1679" s="6">
        <f>0</f>
        <v>0</v>
      </c>
      <c r="T1679" s="6">
        <f>1</f>
        <v>1</v>
      </c>
      <c r="U1679" s="5" t="s">
        <v>245</v>
      </c>
      <c r="V1679" s="4" t="s">
        <v>270</v>
      </c>
      <c r="W1679" s="4" t="s">
        <v>271</v>
      </c>
      <c r="X1679" s="4" t="s">
        <v>273</v>
      </c>
      <c r="Y1679" s="4" t="s">
        <v>241</v>
      </c>
      <c r="AB1679" s="4" t="s">
        <v>241</v>
      </c>
      <c r="AD1679" s="5" t="s">
        <v>241</v>
      </c>
      <c r="AG1679" s="5" t="s">
        <v>246</v>
      </c>
      <c r="AH1679" s="4" t="s">
        <v>241</v>
      </c>
      <c r="AI1679" s="4" t="s">
        <v>247</v>
      </c>
      <c r="AJ1679" s="4" t="s">
        <v>248</v>
      </c>
      <c r="AZ1679" s="4" t="s">
        <v>249</v>
      </c>
      <c r="BA1679" s="4" t="s">
        <v>241</v>
      </c>
      <c r="BB1679" s="4" t="s">
        <v>250</v>
      </c>
      <c r="BC1679" s="4" t="s">
        <v>241</v>
      </c>
      <c r="BD1679" s="4" t="s">
        <v>252</v>
      </c>
      <c r="BE1679" s="4" t="s">
        <v>241</v>
      </c>
      <c r="BI1679" s="4" t="s">
        <v>253</v>
      </c>
      <c r="BJ1679" s="5" t="s">
        <v>246</v>
      </c>
      <c r="BK1679" s="4" t="s">
        <v>254</v>
      </c>
      <c r="BL1679" s="4" t="s">
        <v>255</v>
      </c>
      <c r="BM1679" s="4" t="s">
        <v>241</v>
      </c>
      <c r="BN1679" s="6">
        <f>0</f>
        <v>0</v>
      </c>
      <c r="BO1679" s="6">
        <f>0</f>
        <v>0</v>
      </c>
      <c r="BP1679" s="4" t="s">
        <v>256</v>
      </c>
      <c r="BQ1679" s="4" t="s">
        <v>257</v>
      </c>
      <c r="CE1679" s="4" t="s">
        <v>241</v>
      </c>
      <c r="CF1679" s="4" t="s">
        <v>241</v>
      </c>
      <c r="CJ1679" s="4" t="s">
        <v>276</v>
      </c>
      <c r="CK1679" s="4" t="s">
        <v>259</v>
      </c>
      <c r="CL1679" s="4" t="s">
        <v>241</v>
      </c>
      <c r="CO1679" s="5" t="s">
        <v>260</v>
      </c>
      <c r="CP1679" s="4" t="s">
        <v>241</v>
      </c>
      <c r="CQ1679" s="4" t="s">
        <v>261</v>
      </c>
      <c r="CR1679" s="4" t="s">
        <v>241</v>
      </c>
      <c r="CS1679" s="4" t="s">
        <v>241</v>
      </c>
      <c r="CT1679" s="4">
        <v>0</v>
      </c>
      <c r="CU1679" s="4" t="s">
        <v>262</v>
      </c>
      <c r="CV1679" s="4" t="s">
        <v>263</v>
      </c>
      <c r="CW1679" s="4" t="s">
        <v>263</v>
      </c>
      <c r="CX1679" s="4" t="s">
        <v>264</v>
      </c>
      <c r="DA1679" s="6">
        <f>1</f>
        <v>1</v>
      </c>
      <c r="DC1679" s="4" t="s">
        <v>277</v>
      </c>
      <c r="DD1679" s="4" t="s">
        <v>241</v>
      </c>
      <c r="DF1679" s="4" t="s">
        <v>277</v>
      </c>
      <c r="DG1679" s="6">
        <f>2351</f>
        <v>2351</v>
      </c>
      <c r="DI1679" s="4" t="s">
        <v>241</v>
      </c>
      <c r="DJ1679" s="4" t="s">
        <v>241</v>
      </c>
      <c r="DK1679" s="4" t="s">
        <v>241</v>
      </c>
      <c r="DL1679" s="4" t="s">
        <v>241</v>
      </c>
      <c r="DP1679" s="4" t="s">
        <v>241</v>
      </c>
      <c r="DQ1679" s="4" t="s">
        <v>241</v>
      </c>
      <c r="DR1679" s="4" t="s">
        <v>241</v>
      </c>
      <c r="DS1679" s="4" t="s">
        <v>241</v>
      </c>
      <c r="DV1679" s="4" t="s">
        <v>278</v>
      </c>
      <c r="DW1679" s="4" t="s">
        <v>2182</v>
      </c>
      <c r="HO1679" s="4" t="s">
        <v>267</v>
      </c>
    </row>
    <row r="1680" spans="1:223" ht="19.5" customHeight="1" x14ac:dyDescent="0.4">
      <c r="A1680" s="4">
        <v>1</v>
      </c>
      <c r="B1680" s="4" t="s">
        <v>239</v>
      </c>
      <c r="C1680" s="4">
        <v>3354</v>
      </c>
      <c r="D1680" s="4">
        <v>1</v>
      </c>
      <c r="E1680" s="4">
        <v>1</v>
      </c>
      <c r="F1680" s="4" t="s">
        <v>268</v>
      </c>
      <c r="G1680" s="4" t="s">
        <v>241</v>
      </c>
      <c r="H1680" s="4" t="s">
        <v>241</v>
      </c>
      <c r="I1680" s="4" t="s">
        <v>272</v>
      </c>
      <c r="J1680" s="4" t="s">
        <v>274</v>
      </c>
      <c r="K1680" s="4" t="s">
        <v>251</v>
      </c>
      <c r="L1680" s="4" t="s">
        <v>269</v>
      </c>
      <c r="M1680" s="5" t="s">
        <v>2179</v>
      </c>
      <c r="N1680" s="6">
        <f>1493</f>
        <v>1493</v>
      </c>
      <c r="O1680" s="4" t="s">
        <v>265</v>
      </c>
      <c r="P1680" s="6">
        <f>1</f>
        <v>1</v>
      </c>
      <c r="Q1680" s="6">
        <f>0</f>
        <v>0</v>
      </c>
      <c r="S1680" s="6">
        <f>0</f>
        <v>0</v>
      </c>
      <c r="T1680" s="6">
        <f>1</f>
        <v>1</v>
      </c>
      <c r="U1680" s="5" t="s">
        <v>245</v>
      </c>
      <c r="V1680" s="4" t="s">
        <v>270</v>
      </c>
      <c r="W1680" s="4" t="s">
        <v>271</v>
      </c>
      <c r="X1680" s="4" t="s">
        <v>273</v>
      </c>
      <c r="Y1680" s="4" t="s">
        <v>241</v>
      </c>
      <c r="AB1680" s="4" t="s">
        <v>241</v>
      </c>
      <c r="AD1680" s="5" t="s">
        <v>241</v>
      </c>
      <c r="AG1680" s="5" t="s">
        <v>246</v>
      </c>
      <c r="AH1680" s="4" t="s">
        <v>241</v>
      </c>
      <c r="AI1680" s="4" t="s">
        <v>247</v>
      </c>
      <c r="AJ1680" s="4" t="s">
        <v>248</v>
      </c>
      <c r="AZ1680" s="4" t="s">
        <v>249</v>
      </c>
      <c r="BA1680" s="4" t="s">
        <v>241</v>
      </c>
      <c r="BB1680" s="4" t="s">
        <v>250</v>
      </c>
      <c r="BC1680" s="4" t="s">
        <v>241</v>
      </c>
      <c r="BD1680" s="4" t="s">
        <v>252</v>
      </c>
      <c r="BE1680" s="4" t="s">
        <v>241</v>
      </c>
      <c r="BI1680" s="4" t="s">
        <v>253</v>
      </c>
      <c r="BJ1680" s="5" t="s">
        <v>246</v>
      </c>
      <c r="BK1680" s="4" t="s">
        <v>254</v>
      </c>
      <c r="BL1680" s="4" t="s">
        <v>255</v>
      </c>
      <c r="BM1680" s="4" t="s">
        <v>241</v>
      </c>
      <c r="BN1680" s="6">
        <f>0</f>
        <v>0</v>
      </c>
      <c r="BO1680" s="6">
        <f>0</f>
        <v>0</v>
      </c>
      <c r="BP1680" s="4" t="s">
        <v>256</v>
      </c>
      <c r="BQ1680" s="4" t="s">
        <v>257</v>
      </c>
      <c r="CE1680" s="4" t="s">
        <v>241</v>
      </c>
      <c r="CF1680" s="4" t="s">
        <v>241</v>
      </c>
      <c r="CJ1680" s="4" t="s">
        <v>276</v>
      </c>
      <c r="CK1680" s="4" t="s">
        <v>259</v>
      </c>
      <c r="CL1680" s="4" t="s">
        <v>241</v>
      </c>
      <c r="CO1680" s="5" t="s">
        <v>260</v>
      </c>
      <c r="CP1680" s="4" t="s">
        <v>241</v>
      </c>
      <c r="CQ1680" s="4" t="s">
        <v>261</v>
      </c>
      <c r="CR1680" s="4" t="s">
        <v>241</v>
      </c>
      <c r="CS1680" s="4" t="s">
        <v>241</v>
      </c>
      <c r="CT1680" s="4">
        <v>0</v>
      </c>
      <c r="CU1680" s="4" t="s">
        <v>262</v>
      </c>
      <c r="CV1680" s="4" t="s">
        <v>263</v>
      </c>
      <c r="CW1680" s="4" t="s">
        <v>263</v>
      </c>
      <c r="CX1680" s="4" t="s">
        <v>264</v>
      </c>
      <c r="DA1680" s="6">
        <f>1</f>
        <v>1</v>
      </c>
      <c r="DC1680" s="4" t="s">
        <v>277</v>
      </c>
      <c r="DD1680" s="4" t="s">
        <v>241</v>
      </c>
      <c r="DF1680" s="4" t="s">
        <v>277</v>
      </c>
      <c r="DG1680" s="6">
        <f>1493</f>
        <v>1493</v>
      </c>
      <c r="DI1680" s="4" t="s">
        <v>241</v>
      </c>
      <c r="DJ1680" s="4" t="s">
        <v>241</v>
      </c>
      <c r="DK1680" s="4" t="s">
        <v>241</v>
      </c>
      <c r="DL1680" s="4" t="s">
        <v>241</v>
      </c>
      <c r="DP1680" s="4" t="s">
        <v>241</v>
      </c>
      <c r="DQ1680" s="4" t="s">
        <v>241</v>
      </c>
      <c r="DR1680" s="4" t="s">
        <v>241</v>
      </c>
      <c r="DS1680" s="4" t="s">
        <v>241</v>
      </c>
      <c r="DV1680" s="4" t="s">
        <v>278</v>
      </c>
      <c r="DW1680" s="4" t="s">
        <v>2180</v>
      </c>
      <c r="HO1680" s="4" t="s">
        <v>267</v>
      </c>
    </row>
    <row r="1681" spans="1:223" ht="19.5" customHeight="1" x14ac:dyDescent="0.4">
      <c r="A1681" s="4">
        <v>1</v>
      </c>
      <c r="B1681" s="4" t="s">
        <v>239</v>
      </c>
      <c r="C1681" s="4">
        <v>3355</v>
      </c>
      <c r="D1681" s="4">
        <v>1</v>
      </c>
      <c r="E1681" s="4">
        <v>1</v>
      </c>
      <c r="F1681" s="4" t="s">
        <v>268</v>
      </c>
      <c r="G1681" s="4" t="s">
        <v>241</v>
      </c>
      <c r="H1681" s="4" t="s">
        <v>241</v>
      </c>
      <c r="I1681" s="4" t="s">
        <v>272</v>
      </c>
      <c r="J1681" s="4" t="s">
        <v>274</v>
      </c>
      <c r="K1681" s="4" t="s">
        <v>251</v>
      </c>
      <c r="L1681" s="4" t="s">
        <v>269</v>
      </c>
      <c r="M1681" s="5" t="s">
        <v>2177</v>
      </c>
      <c r="N1681" s="6">
        <f>1884</f>
        <v>1884</v>
      </c>
      <c r="O1681" s="4" t="s">
        <v>265</v>
      </c>
      <c r="P1681" s="6">
        <f>1</f>
        <v>1</v>
      </c>
      <c r="Q1681" s="6">
        <f>0</f>
        <v>0</v>
      </c>
      <c r="S1681" s="6">
        <f>0</f>
        <v>0</v>
      </c>
      <c r="T1681" s="6">
        <f>1</f>
        <v>1</v>
      </c>
      <c r="U1681" s="5" t="s">
        <v>245</v>
      </c>
      <c r="V1681" s="4" t="s">
        <v>270</v>
      </c>
      <c r="W1681" s="4" t="s">
        <v>271</v>
      </c>
      <c r="X1681" s="4" t="s">
        <v>273</v>
      </c>
      <c r="Y1681" s="4" t="s">
        <v>241</v>
      </c>
      <c r="AB1681" s="4" t="s">
        <v>241</v>
      </c>
      <c r="AD1681" s="5" t="s">
        <v>241</v>
      </c>
      <c r="AG1681" s="5" t="s">
        <v>246</v>
      </c>
      <c r="AH1681" s="4" t="s">
        <v>241</v>
      </c>
      <c r="AI1681" s="4" t="s">
        <v>247</v>
      </c>
      <c r="AJ1681" s="4" t="s">
        <v>248</v>
      </c>
      <c r="AZ1681" s="4" t="s">
        <v>249</v>
      </c>
      <c r="BA1681" s="4" t="s">
        <v>241</v>
      </c>
      <c r="BB1681" s="4" t="s">
        <v>250</v>
      </c>
      <c r="BC1681" s="4" t="s">
        <v>241</v>
      </c>
      <c r="BD1681" s="4" t="s">
        <v>252</v>
      </c>
      <c r="BE1681" s="4" t="s">
        <v>241</v>
      </c>
      <c r="BI1681" s="4" t="s">
        <v>253</v>
      </c>
      <c r="BJ1681" s="5" t="s">
        <v>246</v>
      </c>
      <c r="BK1681" s="4" t="s">
        <v>254</v>
      </c>
      <c r="BL1681" s="4" t="s">
        <v>255</v>
      </c>
      <c r="BM1681" s="4" t="s">
        <v>241</v>
      </c>
      <c r="BN1681" s="6">
        <f>0</f>
        <v>0</v>
      </c>
      <c r="BO1681" s="6">
        <f>0</f>
        <v>0</v>
      </c>
      <c r="BP1681" s="4" t="s">
        <v>256</v>
      </c>
      <c r="BQ1681" s="4" t="s">
        <v>257</v>
      </c>
      <c r="CE1681" s="4" t="s">
        <v>241</v>
      </c>
      <c r="CF1681" s="4" t="s">
        <v>241</v>
      </c>
      <c r="CJ1681" s="4" t="s">
        <v>276</v>
      </c>
      <c r="CK1681" s="4" t="s">
        <v>259</v>
      </c>
      <c r="CL1681" s="4" t="s">
        <v>241</v>
      </c>
      <c r="CO1681" s="5" t="s">
        <v>260</v>
      </c>
      <c r="CP1681" s="4" t="s">
        <v>241</v>
      </c>
      <c r="CQ1681" s="4" t="s">
        <v>261</v>
      </c>
      <c r="CR1681" s="4" t="s">
        <v>241</v>
      </c>
      <c r="CS1681" s="4" t="s">
        <v>241</v>
      </c>
      <c r="CT1681" s="4">
        <v>0</v>
      </c>
      <c r="CU1681" s="4" t="s">
        <v>262</v>
      </c>
      <c r="CV1681" s="4" t="s">
        <v>263</v>
      </c>
      <c r="CW1681" s="4" t="s">
        <v>263</v>
      </c>
      <c r="CX1681" s="4" t="s">
        <v>264</v>
      </c>
      <c r="DA1681" s="6">
        <f>1</f>
        <v>1</v>
      </c>
      <c r="DC1681" s="4" t="s">
        <v>277</v>
      </c>
      <c r="DD1681" s="4" t="s">
        <v>241</v>
      </c>
      <c r="DF1681" s="4" t="s">
        <v>277</v>
      </c>
      <c r="DG1681" s="6">
        <f>1884</f>
        <v>1884</v>
      </c>
      <c r="DI1681" s="4" t="s">
        <v>241</v>
      </c>
      <c r="DJ1681" s="4" t="s">
        <v>241</v>
      </c>
      <c r="DK1681" s="4" t="s">
        <v>241</v>
      </c>
      <c r="DL1681" s="4" t="s">
        <v>241</v>
      </c>
      <c r="DP1681" s="4" t="s">
        <v>241</v>
      </c>
      <c r="DQ1681" s="4" t="s">
        <v>241</v>
      </c>
      <c r="DR1681" s="4" t="s">
        <v>241</v>
      </c>
      <c r="DS1681" s="4" t="s">
        <v>241</v>
      </c>
      <c r="DV1681" s="4" t="s">
        <v>278</v>
      </c>
      <c r="DW1681" s="4" t="s">
        <v>2178</v>
      </c>
      <c r="HO1681" s="4" t="s">
        <v>267</v>
      </c>
    </row>
    <row r="1682" spans="1:223" ht="19.5" customHeight="1" x14ac:dyDescent="0.4">
      <c r="A1682" s="4">
        <v>1</v>
      </c>
      <c r="B1682" s="4" t="s">
        <v>239</v>
      </c>
      <c r="C1682" s="4">
        <v>3356</v>
      </c>
      <c r="D1682" s="4">
        <v>1</v>
      </c>
      <c r="E1682" s="4">
        <v>1</v>
      </c>
      <c r="F1682" s="4" t="s">
        <v>268</v>
      </c>
      <c r="G1682" s="4" t="s">
        <v>241</v>
      </c>
      <c r="H1682" s="4" t="s">
        <v>241</v>
      </c>
      <c r="I1682" s="4" t="s">
        <v>272</v>
      </c>
      <c r="J1682" s="4" t="s">
        <v>274</v>
      </c>
      <c r="K1682" s="4" t="s">
        <v>251</v>
      </c>
      <c r="L1682" s="4" t="s">
        <v>269</v>
      </c>
      <c r="M1682" s="5" t="s">
        <v>2175</v>
      </c>
      <c r="N1682" s="6">
        <f>117</f>
        <v>117</v>
      </c>
      <c r="O1682" s="4" t="s">
        <v>265</v>
      </c>
      <c r="P1682" s="6">
        <f>1</f>
        <v>1</v>
      </c>
      <c r="Q1682" s="6">
        <f>0</f>
        <v>0</v>
      </c>
      <c r="S1682" s="6">
        <f>0</f>
        <v>0</v>
      </c>
      <c r="T1682" s="6">
        <f>1</f>
        <v>1</v>
      </c>
      <c r="U1682" s="5" t="s">
        <v>245</v>
      </c>
      <c r="V1682" s="4" t="s">
        <v>270</v>
      </c>
      <c r="W1682" s="4" t="s">
        <v>271</v>
      </c>
      <c r="X1682" s="4" t="s">
        <v>273</v>
      </c>
      <c r="Y1682" s="4" t="s">
        <v>241</v>
      </c>
      <c r="AB1682" s="4" t="s">
        <v>241</v>
      </c>
      <c r="AD1682" s="5" t="s">
        <v>241</v>
      </c>
      <c r="AG1682" s="5" t="s">
        <v>246</v>
      </c>
      <c r="AH1682" s="4" t="s">
        <v>241</v>
      </c>
      <c r="AI1682" s="4" t="s">
        <v>247</v>
      </c>
      <c r="AJ1682" s="4" t="s">
        <v>248</v>
      </c>
      <c r="AZ1682" s="4" t="s">
        <v>249</v>
      </c>
      <c r="BA1682" s="4" t="s">
        <v>241</v>
      </c>
      <c r="BB1682" s="4" t="s">
        <v>250</v>
      </c>
      <c r="BC1682" s="4" t="s">
        <v>241</v>
      </c>
      <c r="BD1682" s="4" t="s">
        <v>252</v>
      </c>
      <c r="BE1682" s="4" t="s">
        <v>241</v>
      </c>
      <c r="BI1682" s="4" t="s">
        <v>253</v>
      </c>
      <c r="BJ1682" s="5" t="s">
        <v>246</v>
      </c>
      <c r="BK1682" s="4" t="s">
        <v>254</v>
      </c>
      <c r="BL1682" s="4" t="s">
        <v>255</v>
      </c>
      <c r="BM1682" s="4" t="s">
        <v>241</v>
      </c>
      <c r="BN1682" s="6">
        <f>0</f>
        <v>0</v>
      </c>
      <c r="BO1682" s="6">
        <f>0</f>
        <v>0</v>
      </c>
      <c r="BP1682" s="4" t="s">
        <v>256</v>
      </c>
      <c r="BQ1682" s="4" t="s">
        <v>257</v>
      </c>
      <c r="CE1682" s="4" t="s">
        <v>241</v>
      </c>
      <c r="CF1682" s="4" t="s">
        <v>241</v>
      </c>
      <c r="CJ1682" s="4" t="s">
        <v>276</v>
      </c>
      <c r="CK1682" s="4" t="s">
        <v>259</v>
      </c>
      <c r="CL1682" s="4" t="s">
        <v>241</v>
      </c>
      <c r="CO1682" s="5" t="s">
        <v>260</v>
      </c>
      <c r="CP1682" s="4" t="s">
        <v>241</v>
      </c>
      <c r="CQ1682" s="4" t="s">
        <v>261</v>
      </c>
      <c r="CR1682" s="4" t="s">
        <v>241</v>
      </c>
      <c r="CS1682" s="4" t="s">
        <v>241</v>
      </c>
      <c r="CT1682" s="4">
        <v>0</v>
      </c>
      <c r="CU1682" s="4" t="s">
        <v>262</v>
      </c>
      <c r="CV1682" s="4" t="s">
        <v>263</v>
      </c>
      <c r="CW1682" s="4" t="s">
        <v>263</v>
      </c>
      <c r="CX1682" s="4" t="s">
        <v>264</v>
      </c>
      <c r="DA1682" s="6">
        <f>1</f>
        <v>1</v>
      </c>
      <c r="DC1682" s="4" t="s">
        <v>277</v>
      </c>
      <c r="DD1682" s="4" t="s">
        <v>241</v>
      </c>
      <c r="DF1682" s="4" t="s">
        <v>277</v>
      </c>
      <c r="DG1682" s="6">
        <f>117</f>
        <v>117</v>
      </c>
      <c r="DI1682" s="4" t="s">
        <v>241</v>
      </c>
      <c r="DJ1682" s="4" t="s">
        <v>241</v>
      </c>
      <c r="DK1682" s="4" t="s">
        <v>241</v>
      </c>
      <c r="DL1682" s="4" t="s">
        <v>241</v>
      </c>
      <c r="DP1682" s="4" t="s">
        <v>241</v>
      </c>
      <c r="DQ1682" s="4" t="s">
        <v>241</v>
      </c>
      <c r="DR1682" s="4" t="s">
        <v>241</v>
      </c>
      <c r="DS1682" s="4" t="s">
        <v>241</v>
      </c>
      <c r="DV1682" s="4" t="s">
        <v>278</v>
      </c>
      <c r="DW1682" s="4" t="s">
        <v>2176</v>
      </c>
      <c r="HO1682" s="4" t="s">
        <v>267</v>
      </c>
    </row>
    <row r="1683" spans="1:223" ht="19.5" customHeight="1" x14ac:dyDescent="0.4">
      <c r="A1683" s="4">
        <v>1</v>
      </c>
      <c r="B1683" s="4" t="s">
        <v>239</v>
      </c>
      <c r="C1683" s="4">
        <v>3357</v>
      </c>
      <c r="D1683" s="4">
        <v>1</v>
      </c>
      <c r="E1683" s="4">
        <v>1</v>
      </c>
      <c r="F1683" s="4" t="s">
        <v>268</v>
      </c>
      <c r="G1683" s="4" t="s">
        <v>241</v>
      </c>
      <c r="H1683" s="4" t="s">
        <v>241</v>
      </c>
      <c r="I1683" s="4" t="s">
        <v>272</v>
      </c>
      <c r="J1683" s="4" t="s">
        <v>274</v>
      </c>
      <c r="K1683" s="4" t="s">
        <v>251</v>
      </c>
      <c r="L1683" s="4" t="s">
        <v>269</v>
      </c>
      <c r="M1683" s="5" t="s">
        <v>2171</v>
      </c>
      <c r="N1683" s="6">
        <f>1675</f>
        <v>1675</v>
      </c>
      <c r="O1683" s="4" t="s">
        <v>265</v>
      </c>
      <c r="P1683" s="6">
        <f>1</f>
        <v>1</v>
      </c>
      <c r="Q1683" s="6">
        <f>0</f>
        <v>0</v>
      </c>
      <c r="S1683" s="6">
        <f>0</f>
        <v>0</v>
      </c>
      <c r="T1683" s="6">
        <f>1</f>
        <v>1</v>
      </c>
      <c r="U1683" s="5" t="s">
        <v>245</v>
      </c>
      <c r="V1683" s="4" t="s">
        <v>270</v>
      </c>
      <c r="W1683" s="4" t="s">
        <v>271</v>
      </c>
      <c r="X1683" s="4" t="s">
        <v>273</v>
      </c>
      <c r="Y1683" s="4" t="s">
        <v>241</v>
      </c>
      <c r="AB1683" s="4" t="s">
        <v>241</v>
      </c>
      <c r="AD1683" s="5" t="s">
        <v>241</v>
      </c>
      <c r="AG1683" s="5" t="s">
        <v>246</v>
      </c>
      <c r="AH1683" s="4" t="s">
        <v>241</v>
      </c>
      <c r="AI1683" s="4" t="s">
        <v>247</v>
      </c>
      <c r="AJ1683" s="4" t="s">
        <v>248</v>
      </c>
      <c r="AZ1683" s="4" t="s">
        <v>249</v>
      </c>
      <c r="BA1683" s="4" t="s">
        <v>241</v>
      </c>
      <c r="BB1683" s="4" t="s">
        <v>250</v>
      </c>
      <c r="BC1683" s="4" t="s">
        <v>241</v>
      </c>
      <c r="BD1683" s="4" t="s">
        <v>252</v>
      </c>
      <c r="BE1683" s="4" t="s">
        <v>241</v>
      </c>
      <c r="BI1683" s="4" t="s">
        <v>253</v>
      </c>
      <c r="BJ1683" s="5" t="s">
        <v>246</v>
      </c>
      <c r="BK1683" s="4" t="s">
        <v>254</v>
      </c>
      <c r="BL1683" s="4" t="s">
        <v>255</v>
      </c>
      <c r="BM1683" s="4" t="s">
        <v>241</v>
      </c>
      <c r="BN1683" s="6">
        <f>0</f>
        <v>0</v>
      </c>
      <c r="BO1683" s="6">
        <f>0</f>
        <v>0</v>
      </c>
      <c r="BP1683" s="4" t="s">
        <v>256</v>
      </c>
      <c r="BQ1683" s="4" t="s">
        <v>257</v>
      </c>
      <c r="CE1683" s="4" t="s">
        <v>241</v>
      </c>
      <c r="CF1683" s="4" t="s">
        <v>241</v>
      </c>
      <c r="CJ1683" s="4" t="s">
        <v>276</v>
      </c>
      <c r="CK1683" s="4" t="s">
        <v>259</v>
      </c>
      <c r="CL1683" s="4" t="s">
        <v>241</v>
      </c>
      <c r="CO1683" s="5" t="s">
        <v>260</v>
      </c>
      <c r="CP1683" s="4" t="s">
        <v>241</v>
      </c>
      <c r="CQ1683" s="4" t="s">
        <v>261</v>
      </c>
      <c r="CR1683" s="4" t="s">
        <v>241</v>
      </c>
      <c r="CS1683" s="4" t="s">
        <v>241</v>
      </c>
      <c r="CT1683" s="4">
        <v>0</v>
      </c>
      <c r="CU1683" s="4" t="s">
        <v>262</v>
      </c>
      <c r="CV1683" s="4" t="s">
        <v>263</v>
      </c>
      <c r="CW1683" s="4" t="s">
        <v>263</v>
      </c>
      <c r="CX1683" s="4" t="s">
        <v>264</v>
      </c>
      <c r="DA1683" s="6">
        <f>1</f>
        <v>1</v>
      </c>
      <c r="DC1683" s="4" t="s">
        <v>277</v>
      </c>
      <c r="DD1683" s="4" t="s">
        <v>241</v>
      </c>
      <c r="DF1683" s="4" t="s">
        <v>277</v>
      </c>
      <c r="DG1683" s="6">
        <f>1675</f>
        <v>1675</v>
      </c>
      <c r="DI1683" s="4" t="s">
        <v>241</v>
      </c>
      <c r="DJ1683" s="4" t="s">
        <v>241</v>
      </c>
      <c r="DK1683" s="4" t="s">
        <v>241</v>
      </c>
      <c r="DL1683" s="4" t="s">
        <v>241</v>
      </c>
      <c r="DP1683" s="4" t="s">
        <v>241</v>
      </c>
      <c r="DQ1683" s="4" t="s">
        <v>241</v>
      </c>
      <c r="DR1683" s="4" t="s">
        <v>241</v>
      </c>
      <c r="DS1683" s="4" t="s">
        <v>241</v>
      </c>
      <c r="DV1683" s="4" t="s">
        <v>278</v>
      </c>
      <c r="DW1683" s="4" t="s">
        <v>2172</v>
      </c>
      <c r="HO1683" s="4" t="s">
        <v>267</v>
      </c>
    </row>
    <row r="1684" spans="1:223" ht="19.5" customHeight="1" x14ac:dyDescent="0.4">
      <c r="A1684" s="4">
        <v>1</v>
      </c>
      <c r="B1684" s="4" t="s">
        <v>239</v>
      </c>
      <c r="C1684" s="4">
        <v>3358</v>
      </c>
      <c r="D1684" s="4">
        <v>1</v>
      </c>
      <c r="E1684" s="4">
        <v>1</v>
      </c>
      <c r="F1684" s="4" t="s">
        <v>268</v>
      </c>
      <c r="G1684" s="4" t="s">
        <v>241</v>
      </c>
      <c r="H1684" s="4" t="s">
        <v>241</v>
      </c>
      <c r="I1684" s="4" t="s">
        <v>272</v>
      </c>
      <c r="J1684" s="4" t="s">
        <v>274</v>
      </c>
      <c r="K1684" s="4" t="s">
        <v>251</v>
      </c>
      <c r="L1684" s="4" t="s">
        <v>269</v>
      </c>
      <c r="M1684" s="5" t="s">
        <v>2169</v>
      </c>
      <c r="N1684" s="6">
        <f>1257</f>
        <v>1257</v>
      </c>
      <c r="O1684" s="4" t="s">
        <v>265</v>
      </c>
      <c r="P1684" s="6">
        <f>1</f>
        <v>1</v>
      </c>
      <c r="Q1684" s="6">
        <f>0</f>
        <v>0</v>
      </c>
      <c r="S1684" s="6">
        <f>0</f>
        <v>0</v>
      </c>
      <c r="T1684" s="6">
        <f>1</f>
        <v>1</v>
      </c>
      <c r="U1684" s="5" t="s">
        <v>245</v>
      </c>
      <c r="V1684" s="4" t="s">
        <v>270</v>
      </c>
      <c r="W1684" s="4" t="s">
        <v>271</v>
      </c>
      <c r="X1684" s="4" t="s">
        <v>273</v>
      </c>
      <c r="Y1684" s="4" t="s">
        <v>241</v>
      </c>
      <c r="AB1684" s="4" t="s">
        <v>241</v>
      </c>
      <c r="AD1684" s="5" t="s">
        <v>241</v>
      </c>
      <c r="AG1684" s="5" t="s">
        <v>246</v>
      </c>
      <c r="AH1684" s="4" t="s">
        <v>241</v>
      </c>
      <c r="AI1684" s="4" t="s">
        <v>247</v>
      </c>
      <c r="AJ1684" s="4" t="s">
        <v>248</v>
      </c>
      <c r="AZ1684" s="4" t="s">
        <v>249</v>
      </c>
      <c r="BA1684" s="4" t="s">
        <v>241</v>
      </c>
      <c r="BB1684" s="4" t="s">
        <v>250</v>
      </c>
      <c r="BC1684" s="4" t="s">
        <v>241</v>
      </c>
      <c r="BD1684" s="4" t="s">
        <v>252</v>
      </c>
      <c r="BE1684" s="4" t="s">
        <v>241</v>
      </c>
      <c r="BI1684" s="4" t="s">
        <v>253</v>
      </c>
      <c r="BJ1684" s="5" t="s">
        <v>246</v>
      </c>
      <c r="BK1684" s="4" t="s">
        <v>254</v>
      </c>
      <c r="BL1684" s="4" t="s">
        <v>255</v>
      </c>
      <c r="BM1684" s="4" t="s">
        <v>241</v>
      </c>
      <c r="BN1684" s="6">
        <f>0</f>
        <v>0</v>
      </c>
      <c r="BO1684" s="6">
        <f>0</f>
        <v>0</v>
      </c>
      <c r="BP1684" s="4" t="s">
        <v>256</v>
      </c>
      <c r="BQ1684" s="4" t="s">
        <v>257</v>
      </c>
      <c r="CE1684" s="4" t="s">
        <v>241</v>
      </c>
      <c r="CF1684" s="4" t="s">
        <v>241</v>
      </c>
      <c r="CJ1684" s="4" t="s">
        <v>276</v>
      </c>
      <c r="CK1684" s="4" t="s">
        <v>259</v>
      </c>
      <c r="CL1684" s="4" t="s">
        <v>241</v>
      </c>
      <c r="CO1684" s="5" t="s">
        <v>260</v>
      </c>
      <c r="CP1684" s="4" t="s">
        <v>241</v>
      </c>
      <c r="CQ1684" s="4" t="s">
        <v>261</v>
      </c>
      <c r="CR1684" s="4" t="s">
        <v>241</v>
      </c>
      <c r="CS1684" s="4" t="s">
        <v>241</v>
      </c>
      <c r="CT1684" s="4">
        <v>0</v>
      </c>
      <c r="CU1684" s="4" t="s">
        <v>262</v>
      </c>
      <c r="CV1684" s="4" t="s">
        <v>263</v>
      </c>
      <c r="CW1684" s="4" t="s">
        <v>263</v>
      </c>
      <c r="CX1684" s="4" t="s">
        <v>264</v>
      </c>
      <c r="DA1684" s="6">
        <f>1</f>
        <v>1</v>
      </c>
      <c r="DC1684" s="4" t="s">
        <v>277</v>
      </c>
      <c r="DD1684" s="4" t="s">
        <v>241</v>
      </c>
      <c r="DF1684" s="4" t="s">
        <v>277</v>
      </c>
      <c r="DG1684" s="6">
        <f>1257</f>
        <v>1257</v>
      </c>
      <c r="DI1684" s="4" t="s">
        <v>241</v>
      </c>
      <c r="DJ1684" s="4" t="s">
        <v>241</v>
      </c>
      <c r="DK1684" s="4" t="s">
        <v>241</v>
      </c>
      <c r="DL1684" s="4" t="s">
        <v>241</v>
      </c>
      <c r="DP1684" s="4" t="s">
        <v>241</v>
      </c>
      <c r="DQ1684" s="4" t="s">
        <v>241</v>
      </c>
      <c r="DR1684" s="4" t="s">
        <v>241</v>
      </c>
      <c r="DS1684" s="4" t="s">
        <v>241</v>
      </c>
      <c r="DV1684" s="4" t="s">
        <v>278</v>
      </c>
      <c r="DW1684" s="4" t="s">
        <v>2170</v>
      </c>
      <c r="HO1684" s="4" t="s">
        <v>267</v>
      </c>
    </row>
    <row r="1685" spans="1:223" ht="19.5" customHeight="1" x14ac:dyDescent="0.4">
      <c r="A1685" s="4">
        <v>1</v>
      </c>
      <c r="B1685" s="4" t="s">
        <v>239</v>
      </c>
      <c r="C1685" s="4">
        <v>3359</v>
      </c>
      <c r="D1685" s="4">
        <v>1</v>
      </c>
      <c r="E1685" s="4">
        <v>1</v>
      </c>
      <c r="F1685" s="4" t="s">
        <v>268</v>
      </c>
      <c r="G1685" s="4" t="s">
        <v>241</v>
      </c>
      <c r="H1685" s="4" t="s">
        <v>241</v>
      </c>
      <c r="I1685" s="4" t="s">
        <v>272</v>
      </c>
      <c r="J1685" s="4" t="s">
        <v>274</v>
      </c>
      <c r="K1685" s="4" t="s">
        <v>251</v>
      </c>
      <c r="L1685" s="4" t="s">
        <v>269</v>
      </c>
      <c r="M1685" s="5" t="s">
        <v>2167</v>
      </c>
      <c r="N1685" s="6">
        <f>720</f>
        <v>720</v>
      </c>
      <c r="O1685" s="4" t="s">
        <v>265</v>
      </c>
      <c r="P1685" s="6">
        <f>1</f>
        <v>1</v>
      </c>
      <c r="Q1685" s="6">
        <f>0</f>
        <v>0</v>
      </c>
      <c r="S1685" s="6">
        <f>0</f>
        <v>0</v>
      </c>
      <c r="T1685" s="6">
        <f>1</f>
        <v>1</v>
      </c>
      <c r="U1685" s="5" t="s">
        <v>245</v>
      </c>
      <c r="V1685" s="4" t="s">
        <v>270</v>
      </c>
      <c r="W1685" s="4" t="s">
        <v>271</v>
      </c>
      <c r="X1685" s="4" t="s">
        <v>273</v>
      </c>
      <c r="Y1685" s="4" t="s">
        <v>241</v>
      </c>
      <c r="AB1685" s="4" t="s">
        <v>241</v>
      </c>
      <c r="AD1685" s="5" t="s">
        <v>241</v>
      </c>
      <c r="AG1685" s="5" t="s">
        <v>246</v>
      </c>
      <c r="AH1685" s="4" t="s">
        <v>241</v>
      </c>
      <c r="AI1685" s="4" t="s">
        <v>247</v>
      </c>
      <c r="AJ1685" s="4" t="s">
        <v>248</v>
      </c>
      <c r="AZ1685" s="4" t="s">
        <v>249</v>
      </c>
      <c r="BA1685" s="4" t="s">
        <v>241</v>
      </c>
      <c r="BB1685" s="4" t="s">
        <v>250</v>
      </c>
      <c r="BC1685" s="4" t="s">
        <v>241</v>
      </c>
      <c r="BD1685" s="4" t="s">
        <v>252</v>
      </c>
      <c r="BE1685" s="4" t="s">
        <v>241</v>
      </c>
      <c r="BI1685" s="4" t="s">
        <v>253</v>
      </c>
      <c r="BJ1685" s="5" t="s">
        <v>246</v>
      </c>
      <c r="BK1685" s="4" t="s">
        <v>254</v>
      </c>
      <c r="BL1685" s="4" t="s">
        <v>255</v>
      </c>
      <c r="BM1685" s="4" t="s">
        <v>241</v>
      </c>
      <c r="BN1685" s="6">
        <f>0</f>
        <v>0</v>
      </c>
      <c r="BO1685" s="6">
        <f>0</f>
        <v>0</v>
      </c>
      <c r="BP1685" s="4" t="s">
        <v>256</v>
      </c>
      <c r="BQ1685" s="4" t="s">
        <v>257</v>
      </c>
      <c r="CE1685" s="4" t="s">
        <v>241</v>
      </c>
      <c r="CF1685" s="4" t="s">
        <v>241</v>
      </c>
      <c r="CJ1685" s="4" t="s">
        <v>276</v>
      </c>
      <c r="CK1685" s="4" t="s">
        <v>259</v>
      </c>
      <c r="CL1685" s="4" t="s">
        <v>241</v>
      </c>
      <c r="CO1685" s="5" t="s">
        <v>260</v>
      </c>
      <c r="CP1685" s="4" t="s">
        <v>241</v>
      </c>
      <c r="CQ1685" s="4" t="s">
        <v>261</v>
      </c>
      <c r="CR1685" s="4" t="s">
        <v>241</v>
      </c>
      <c r="CS1685" s="4" t="s">
        <v>241</v>
      </c>
      <c r="CT1685" s="4">
        <v>0</v>
      </c>
      <c r="CU1685" s="4" t="s">
        <v>262</v>
      </c>
      <c r="CV1685" s="4" t="s">
        <v>263</v>
      </c>
      <c r="CW1685" s="4" t="s">
        <v>263</v>
      </c>
      <c r="CX1685" s="4" t="s">
        <v>264</v>
      </c>
      <c r="DA1685" s="6">
        <f>1</f>
        <v>1</v>
      </c>
      <c r="DC1685" s="4" t="s">
        <v>277</v>
      </c>
      <c r="DD1685" s="4" t="s">
        <v>241</v>
      </c>
      <c r="DF1685" s="4" t="s">
        <v>277</v>
      </c>
      <c r="DG1685" s="6">
        <f>720</f>
        <v>720</v>
      </c>
      <c r="DI1685" s="4" t="s">
        <v>241</v>
      </c>
      <c r="DJ1685" s="4" t="s">
        <v>241</v>
      </c>
      <c r="DK1685" s="4" t="s">
        <v>241</v>
      </c>
      <c r="DL1685" s="4" t="s">
        <v>241</v>
      </c>
      <c r="DP1685" s="4" t="s">
        <v>241</v>
      </c>
      <c r="DQ1685" s="4" t="s">
        <v>241</v>
      </c>
      <c r="DR1685" s="4" t="s">
        <v>241</v>
      </c>
      <c r="DS1685" s="4" t="s">
        <v>241</v>
      </c>
      <c r="DV1685" s="4" t="s">
        <v>278</v>
      </c>
      <c r="DW1685" s="4" t="s">
        <v>2168</v>
      </c>
      <c r="HO1685" s="4" t="s">
        <v>267</v>
      </c>
    </row>
    <row r="1686" spans="1:223" ht="19.5" customHeight="1" x14ac:dyDescent="0.4">
      <c r="A1686" s="4">
        <v>1</v>
      </c>
      <c r="B1686" s="4" t="s">
        <v>239</v>
      </c>
      <c r="C1686" s="4">
        <v>3360</v>
      </c>
      <c r="D1686" s="4">
        <v>1</v>
      </c>
      <c r="E1686" s="4">
        <v>1</v>
      </c>
      <c r="F1686" s="4" t="s">
        <v>268</v>
      </c>
      <c r="G1686" s="4" t="s">
        <v>241</v>
      </c>
      <c r="H1686" s="4" t="s">
        <v>241</v>
      </c>
      <c r="I1686" s="4" t="s">
        <v>272</v>
      </c>
      <c r="J1686" s="4" t="s">
        <v>274</v>
      </c>
      <c r="K1686" s="4" t="s">
        <v>251</v>
      </c>
      <c r="L1686" s="4" t="s">
        <v>269</v>
      </c>
      <c r="M1686" s="5" t="s">
        <v>2165</v>
      </c>
      <c r="N1686" s="6">
        <f>461</f>
        <v>461</v>
      </c>
      <c r="O1686" s="4" t="s">
        <v>265</v>
      </c>
      <c r="P1686" s="6">
        <f>1</f>
        <v>1</v>
      </c>
      <c r="Q1686" s="6">
        <f>0</f>
        <v>0</v>
      </c>
      <c r="S1686" s="6">
        <f>0</f>
        <v>0</v>
      </c>
      <c r="T1686" s="6">
        <f>1</f>
        <v>1</v>
      </c>
      <c r="U1686" s="5" t="s">
        <v>245</v>
      </c>
      <c r="V1686" s="4" t="s">
        <v>270</v>
      </c>
      <c r="W1686" s="4" t="s">
        <v>271</v>
      </c>
      <c r="X1686" s="4" t="s">
        <v>273</v>
      </c>
      <c r="Y1686" s="4" t="s">
        <v>241</v>
      </c>
      <c r="AB1686" s="4" t="s">
        <v>241</v>
      </c>
      <c r="AD1686" s="5" t="s">
        <v>241</v>
      </c>
      <c r="AG1686" s="5" t="s">
        <v>246</v>
      </c>
      <c r="AH1686" s="4" t="s">
        <v>241</v>
      </c>
      <c r="AI1686" s="4" t="s">
        <v>247</v>
      </c>
      <c r="AJ1686" s="4" t="s">
        <v>248</v>
      </c>
      <c r="AZ1686" s="4" t="s">
        <v>249</v>
      </c>
      <c r="BA1686" s="4" t="s">
        <v>241</v>
      </c>
      <c r="BB1686" s="4" t="s">
        <v>250</v>
      </c>
      <c r="BC1686" s="4" t="s">
        <v>241</v>
      </c>
      <c r="BD1686" s="4" t="s">
        <v>252</v>
      </c>
      <c r="BE1686" s="4" t="s">
        <v>241</v>
      </c>
      <c r="BI1686" s="4" t="s">
        <v>253</v>
      </c>
      <c r="BJ1686" s="5" t="s">
        <v>246</v>
      </c>
      <c r="BK1686" s="4" t="s">
        <v>254</v>
      </c>
      <c r="BL1686" s="4" t="s">
        <v>255</v>
      </c>
      <c r="BM1686" s="4" t="s">
        <v>241</v>
      </c>
      <c r="BN1686" s="6">
        <f>0</f>
        <v>0</v>
      </c>
      <c r="BO1686" s="6">
        <f>0</f>
        <v>0</v>
      </c>
      <c r="BP1686" s="4" t="s">
        <v>256</v>
      </c>
      <c r="BQ1686" s="4" t="s">
        <v>257</v>
      </c>
      <c r="CE1686" s="4" t="s">
        <v>241</v>
      </c>
      <c r="CF1686" s="4" t="s">
        <v>241</v>
      </c>
      <c r="CJ1686" s="4" t="s">
        <v>276</v>
      </c>
      <c r="CK1686" s="4" t="s">
        <v>259</v>
      </c>
      <c r="CL1686" s="4" t="s">
        <v>241</v>
      </c>
      <c r="CO1686" s="5" t="s">
        <v>260</v>
      </c>
      <c r="CP1686" s="4" t="s">
        <v>241</v>
      </c>
      <c r="CQ1686" s="4" t="s">
        <v>261</v>
      </c>
      <c r="CR1686" s="4" t="s">
        <v>241</v>
      </c>
      <c r="CS1686" s="4" t="s">
        <v>241</v>
      </c>
      <c r="CT1686" s="4">
        <v>0</v>
      </c>
      <c r="CU1686" s="4" t="s">
        <v>262</v>
      </c>
      <c r="CV1686" s="4" t="s">
        <v>263</v>
      </c>
      <c r="CW1686" s="4" t="s">
        <v>263</v>
      </c>
      <c r="CX1686" s="4" t="s">
        <v>264</v>
      </c>
      <c r="DA1686" s="6">
        <f>1</f>
        <v>1</v>
      </c>
      <c r="DC1686" s="4" t="s">
        <v>277</v>
      </c>
      <c r="DD1686" s="4" t="s">
        <v>241</v>
      </c>
      <c r="DF1686" s="4" t="s">
        <v>277</v>
      </c>
      <c r="DG1686" s="6">
        <f>461</f>
        <v>461</v>
      </c>
      <c r="DI1686" s="4" t="s">
        <v>241</v>
      </c>
      <c r="DJ1686" s="4" t="s">
        <v>241</v>
      </c>
      <c r="DK1686" s="4" t="s">
        <v>241</v>
      </c>
      <c r="DL1686" s="4" t="s">
        <v>241</v>
      </c>
      <c r="DP1686" s="4" t="s">
        <v>241</v>
      </c>
      <c r="DQ1686" s="4" t="s">
        <v>241</v>
      </c>
      <c r="DR1686" s="4" t="s">
        <v>241</v>
      </c>
      <c r="DS1686" s="4" t="s">
        <v>241</v>
      </c>
      <c r="DV1686" s="4" t="s">
        <v>278</v>
      </c>
      <c r="DW1686" s="4" t="s">
        <v>2166</v>
      </c>
      <c r="HO1686" s="4" t="s">
        <v>267</v>
      </c>
    </row>
    <row r="1687" spans="1:223" ht="19.5" customHeight="1" x14ac:dyDescent="0.4">
      <c r="A1687" s="4">
        <v>1</v>
      </c>
      <c r="B1687" s="4" t="s">
        <v>239</v>
      </c>
      <c r="C1687" s="4">
        <v>3361</v>
      </c>
      <c r="D1687" s="4">
        <v>1</v>
      </c>
      <c r="E1687" s="4">
        <v>1</v>
      </c>
      <c r="F1687" s="4" t="s">
        <v>268</v>
      </c>
      <c r="G1687" s="4" t="s">
        <v>241</v>
      </c>
      <c r="H1687" s="4" t="s">
        <v>241</v>
      </c>
      <c r="I1687" s="4" t="s">
        <v>272</v>
      </c>
      <c r="J1687" s="4" t="s">
        <v>274</v>
      </c>
      <c r="K1687" s="4" t="s">
        <v>251</v>
      </c>
      <c r="L1687" s="4" t="s">
        <v>269</v>
      </c>
      <c r="M1687" s="5" t="s">
        <v>2163</v>
      </c>
      <c r="N1687" s="6">
        <f>1714</f>
        <v>1714</v>
      </c>
      <c r="O1687" s="4" t="s">
        <v>265</v>
      </c>
      <c r="P1687" s="6">
        <f>1</f>
        <v>1</v>
      </c>
      <c r="Q1687" s="6">
        <f>0</f>
        <v>0</v>
      </c>
      <c r="S1687" s="6">
        <f>0</f>
        <v>0</v>
      </c>
      <c r="T1687" s="6">
        <f>1</f>
        <v>1</v>
      </c>
      <c r="U1687" s="5" t="s">
        <v>245</v>
      </c>
      <c r="V1687" s="4" t="s">
        <v>270</v>
      </c>
      <c r="W1687" s="4" t="s">
        <v>271</v>
      </c>
      <c r="X1687" s="4" t="s">
        <v>273</v>
      </c>
      <c r="Y1687" s="4" t="s">
        <v>241</v>
      </c>
      <c r="AB1687" s="4" t="s">
        <v>241</v>
      </c>
      <c r="AD1687" s="5" t="s">
        <v>241</v>
      </c>
      <c r="AG1687" s="5" t="s">
        <v>246</v>
      </c>
      <c r="AH1687" s="4" t="s">
        <v>241</v>
      </c>
      <c r="AI1687" s="4" t="s">
        <v>247</v>
      </c>
      <c r="AJ1687" s="4" t="s">
        <v>248</v>
      </c>
      <c r="AZ1687" s="4" t="s">
        <v>249</v>
      </c>
      <c r="BA1687" s="4" t="s">
        <v>241</v>
      </c>
      <c r="BB1687" s="4" t="s">
        <v>250</v>
      </c>
      <c r="BC1687" s="4" t="s">
        <v>241</v>
      </c>
      <c r="BD1687" s="4" t="s">
        <v>252</v>
      </c>
      <c r="BE1687" s="4" t="s">
        <v>241</v>
      </c>
      <c r="BI1687" s="4" t="s">
        <v>253</v>
      </c>
      <c r="BJ1687" s="5" t="s">
        <v>246</v>
      </c>
      <c r="BK1687" s="4" t="s">
        <v>254</v>
      </c>
      <c r="BL1687" s="4" t="s">
        <v>255</v>
      </c>
      <c r="BM1687" s="4" t="s">
        <v>241</v>
      </c>
      <c r="BN1687" s="6">
        <f>0</f>
        <v>0</v>
      </c>
      <c r="BO1687" s="6">
        <f>0</f>
        <v>0</v>
      </c>
      <c r="BP1687" s="4" t="s">
        <v>256</v>
      </c>
      <c r="BQ1687" s="4" t="s">
        <v>257</v>
      </c>
      <c r="CE1687" s="4" t="s">
        <v>241</v>
      </c>
      <c r="CF1687" s="4" t="s">
        <v>241</v>
      </c>
      <c r="CJ1687" s="4" t="s">
        <v>276</v>
      </c>
      <c r="CK1687" s="4" t="s">
        <v>259</v>
      </c>
      <c r="CL1687" s="4" t="s">
        <v>241</v>
      </c>
      <c r="CO1687" s="5" t="s">
        <v>260</v>
      </c>
      <c r="CP1687" s="4" t="s">
        <v>241</v>
      </c>
      <c r="CQ1687" s="4" t="s">
        <v>261</v>
      </c>
      <c r="CR1687" s="4" t="s">
        <v>241</v>
      </c>
      <c r="CS1687" s="4" t="s">
        <v>241</v>
      </c>
      <c r="CT1687" s="4">
        <v>0</v>
      </c>
      <c r="CU1687" s="4" t="s">
        <v>262</v>
      </c>
      <c r="CV1687" s="4" t="s">
        <v>263</v>
      </c>
      <c r="CW1687" s="4" t="s">
        <v>263</v>
      </c>
      <c r="CX1687" s="4" t="s">
        <v>264</v>
      </c>
      <c r="DA1687" s="6">
        <f>1</f>
        <v>1</v>
      </c>
      <c r="DC1687" s="4" t="s">
        <v>277</v>
      </c>
      <c r="DD1687" s="4" t="s">
        <v>241</v>
      </c>
      <c r="DF1687" s="4" t="s">
        <v>277</v>
      </c>
      <c r="DG1687" s="6">
        <f>1714</f>
        <v>1714</v>
      </c>
      <c r="DI1687" s="4" t="s">
        <v>241</v>
      </c>
      <c r="DJ1687" s="4" t="s">
        <v>241</v>
      </c>
      <c r="DK1687" s="4" t="s">
        <v>241</v>
      </c>
      <c r="DL1687" s="4" t="s">
        <v>241</v>
      </c>
      <c r="DP1687" s="4" t="s">
        <v>241</v>
      </c>
      <c r="DQ1687" s="4" t="s">
        <v>241</v>
      </c>
      <c r="DR1687" s="4" t="s">
        <v>241</v>
      </c>
      <c r="DS1687" s="4" t="s">
        <v>241</v>
      </c>
      <c r="DV1687" s="4" t="s">
        <v>278</v>
      </c>
      <c r="DW1687" s="4" t="s">
        <v>2164</v>
      </c>
      <c r="HO1687" s="4" t="s">
        <v>267</v>
      </c>
    </row>
    <row r="1688" spans="1:223" ht="19.5" customHeight="1" x14ac:dyDescent="0.4">
      <c r="A1688" s="4">
        <v>1</v>
      </c>
      <c r="B1688" s="4" t="s">
        <v>239</v>
      </c>
      <c r="C1688" s="4">
        <v>3362</v>
      </c>
      <c r="D1688" s="4">
        <v>1</v>
      </c>
      <c r="E1688" s="4">
        <v>1</v>
      </c>
      <c r="F1688" s="4" t="s">
        <v>268</v>
      </c>
      <c r="G1688" s="4" t="s">
        <v>241</v>
      </c>
      <c r="H1688" s="4" t="s">
        <v>241</v>
      </c>
      <c r="I1688" s="4" t="s">
        <v>272</v>
      </c>
      <c r="J1688" s="4" t="s">
        <v>274</v>
      </c>
      <c r="K1688" s="4" t="s">
        <v>251</v>
      </c>
      <c r="L1688" s="4" t="s">
        <v>269</v>
      </c>
      <c r="M1688" s="5" t="s">
        <v>2161</v>
      </c>
      <c r="N1688" s="6">
        <f>702</f>
        <v>702</v>
      </c>
      <c r="O1688" s="4" t="s">
        <v>265</v>
      </c>
      <c r="P1688" s="6">
        <f>1</f>
        <v>1</v>
      </c>
      <c r="Q1688" s="6">
        <f>0</f>
        <v>0</v>
      </c>
      <c r="S1688" s="6">
        <f>0</f>
        <v>0</v>
      </c>
      <c r="T1688" s="6">
        <f>1</f>
        <v>1</v>
      </c>
      <c r="U1688" s="5" t="s">
        <v>245</v>
      </c>
      <c r="V1688" s="4" t="s">
        <v>270</v>
      </c>
      <c r="W1688" s="4" t="s">
        <v>271</v>
      </c>
      <c r="X1688" s="4" t="s">
        <v>273</v>
      </c>
      <c r="Y1688" s="4" t="s">
        <v>241</v>
      </c>
      <c r="AB1688" s="4" t="s">
        <v>241</v>
      </c>
      <c r="AD1688" s="5" t="s">
        <v>241</v>
      </c>
      <c r="AG1688" s="5" t="s">
        <v>246</v>
      </c>
      <c r="AH1688" s="4" t="s">
        <v>241</v>
      </c>
      <c r="AI1688" s="4" t="s">
        <v>247</v>
      </c>
      <c r="AJ1688" s="4" t="s">
        <v>248</v>
      </c>
      <c r="AZ1688" s="4" t="s">
        <v>249</v>
      </c>
      <c r="BA1688" s="4" t="s">
        <v>241</v>
      </c>
      <c r="BB1688" s="4" t="s">
        <v>250</v>
      </c>
      <c r="BC1688" s="4" t="s">
        <v>241</v>
      </c>
      <c r="BD1688" s="4" t="s">
        <v>252</v>
      </c>
      <c r="BE1688" s="4" t="s">
        <v>241</v>
      </c>
      <c r="BI1688" s="4" t="s">
        <v>253</v>
      </c>
      <c r="BJ1688" s="5" t="s">
        <v>246</v>
      </c>
      <c r="BK1688" s="4" t="s">
        <v>254</v>
      </c>
      <c r="BL1688" s="4" t="s">
        <v>255</v>
      </c>
      <c r="BM1688" s="4" t="s">
        <v>241</v>
      </c>
      <c r="BN1688" s="6">
        <f>0</f>
        <v>0</v>
      </c>
      <c r="BO1688" s="6">
        <f>0</f>
        <v>0</v>
      </c>
      <c r="BP1688" s="4" t="s">
        <v>256</v>
      </c>
      <c r="BQ1688" s="4" t="s">
        <v>257</v>
      </c>
      <c r="CE1688" s="4" t="s">
        <v>241</v>
      </c>
      <c r="CF1688" s="4" t="s">
        <v>241</v>
      </c>
      <c r="CJ1688" s="4" t="s">
        <v>276</v>
      </c>
      <c r="CK1688" s="4" t="s">
        <v>259</v>
      </c>
      <c r="CL1688" s="4" t="s">
        <v>241</v>
      </c>
      <c r="CO1688" s="5" t="s">
        <v>260</v>
      </c>
      <c r="CP1688" s="4" t="s">
        <v>241</v>
      </c>
      <c r="CQ1688" s="4" t="s">
        <v>261</v>
      </c>
      <c r="CR1688" s="4" t="s">
        <v>241</v>
      </c>
      <c r="CS1688" s="4" t="s">
        <v>241</v>
      </c>
      <c r="CT1688" s="4">
        <v>0</v>
      </c>
      <c r="CU1688" s="4" t="s">
        <v>262</v>
      </c>
      <c r="CV1688" s="4" t="s">
        <v>263</v>
      </c>
      <c r="CW1688" s="4" t="s">
        <v>263</v>
      </c>
      <c r="CX1688" s="4" t="s">
        <v>264</v>
      </c>
      <c r="DA1688" s="6">
        <f>1</f>
        <v>1</v>
      </c>
      <c r="DC1688" s="4" t="s">
        <v>277</v>
      </c>
      <c r="DD1688" s="4" t="s">
        <v>241</v>
      </c>
      <c r="DF1688" s="4" t="s">
        <v>277</v>
      </c>
      <c r="DG1688" s="6">
        <f>702</f>
        <v>702</v>
      </c>
      <c r="DI1688" s="4" t="s">
        <v>241</v>
      </c>
      <c r="DJ1688" s="4" t="s">
        <v>241</v>
      </c>
      <c r="DK1688" s="4" t="s">
        <v>241</v>
      </c>
      <c r="DL1688" s="4" t="s">
        <v>241</v>
      </c>
      <c r="DP1688" s="4" t="s">
        <v>241</v>
      </c>
      <c r="DQ1688" s="4" t="s">
        <v>241</v>
      </c>
      <c r="DR1688" s="4" t="s">
        <v>241</v>
      </c>
      <c r="DS1688" s="4" t="s">
        <v>241</v>
      </c>
      <c r="DV1688" s="4" t="s">
        <v>278</v>
      </c>
      <c r="DW1688" s="4" t="s">
        <v>2162</v>
      </c>
      <c r="HO1688" s="4" t="s">
        <v>267</v>
      </c>
    </row>
    <row r="1689" spans="1:223" ht="19.5" customHeight="1" x14ac:dyDescent="0.4">
      <c r="A1689" s="4">
        <v>1</v>
      </c>
      <c r="B1689" s="4" t="s">
        <v>239</v>
      </c>
      <c r="C1689" s="4">
        <v>3363</v>
      </c>
      <c r="D1689" s="4">
        <v>1</v>
      </c>
      <c r="E1689" s="4">
        <v>1</v>
      </c>
      <c r="F1689" s="4" t="s">
        <v>268</v>
      </c>
      <c r="G1689" s="4" t="s">
        <v>241</v>
      </c>
      <c r="H1689" s="4" t="s">
        <v>241</v>
      </c>
      <c r="I1689" s="4" t="s">
        <v>272</v>
      </c>
      <c r="J1689" s="4" t="s">
        <v>274</v>
      </c>
      <c r="K1689" s="4" t="s">
        <v>251</v>
      </c>
      <c r="L1689" s="4" t="s">
        <v>269</v>
      </c>
      <c r="M1689" s="5" t="s">
        <v>2159</v>
      </c>
      <c r="N1689" s="6">
        <f>9.66</f>
        <v>9.66</v>
      </c>
      <c r="O1689" s="4" t="s">
        <v>265</v>
      </c>
      <c r="P1689" s="6">
        <f>1</f>
        <v>1</v>
      </c>
      <c r="Q1689" s="6">
        <f>0</f>
        <v>0</v>
      </c>
      <c r="S1689" s="6">
        <f>0</f>
        <v>0</v>
      </c>
      <c r="T1689" s="6">
        <f>1</f>
        <v>1</v>
      </c>
      <c r="U1689" s="5" t="s">
        <v>245</v>
      </c>
      <c r="V1689" s="4" t="s">
        <v>270</v>
      </c>
      <c r="W1689" s="4" t="s">
        <v>271</v>
      </c>
      <c r="X1689" s="4" t="s">
        <v>273</v>
      </c>
      <c r="Y1689" s="4" t="s">
        <v>241</v>
      </c>
      <c r="AB1689" s="4" t="s">
        <v>241</v>
      </c>
      <c r="AD1689" s="5" t="s">
        <v>241</v>
      </c>
      <c r="AG1689" s="5" t="s">
        <v>246</v>
      </c>
      <c r="AH1689" s="4" t="s">
        <v>241</v>
      </c>
      <c r="AI1689" s="4" t="s">
        <v>247</v>
      </c>
      <c r="AJ1689" s="4" t="s">
        <v>248</v>
      </c>
      <c r="AZ1689" s="4" t="s">
        <v>249</v>
      </c>
      <c r="BA1689" s="4" t="s">
        <v>241</v>
      </c>
      <c r="BB1689" s="4" t="s">
        <v>250</v>
      </c>
      <c r="BC1689" s="4" t="s">
        <v>241</v>
      </c>
      <c r="BD1689" s="4" t="s">
        <v>252</v>
      </c>
      <c r="BE1689" s="4" t="s">
        <v>241</v>
      </c>
      <c r="BI1689" s="4" t="s">
        <v>253</v>
      </c>
      <c r="BJ1689" s="5" t="s">
        <v>246</v>
      </c>
      <c r="BK1689" s="4" t="s">
        <v>254</v>
      </c>
      <c r="BL1689" s="4" t="s">
        <v>255</v>
      </c>
      <c r="BM1689" s="4" t="s">
        <v>241</v>
      </c>
      <c r="BN1689" s="6">
        <f>0</f>
        <v>0</v>
      </c>
      <c r="BO1689" s="6">
        <f>0</f>
        <v>0</v>
      </c>
      <c r="BP1689" s="4" t="s">
        <v>256</v>
      </c>
      <c r="BQ1689" s="4" t="s">
        <v>257</v>
      </c>
      <c r="CE1689" s="4" t="s">
        <v>241</v>
      </c>
      <c r="CF1689" s="4" t="s">
        <v>241</v>
      </c>
      <c r="CJ1689" s="4" t="s">
        <v>276</v>
      </c>
      <c r="CK1689" s="4" t="s">
        <v>259</v>
      </c>
      <c r="CL1689" s="4" t="s">
        <v>241</v>
      </c>
      <c r="CO1689" s="5" t="s">
        <v>260</v>
      </c>
      <c r="CP1689" s="4" t="s">
        <v>241</v>
      </c>
      <c r="CQ1689" s="4" t="s">
        <v>261</v>
      </c>
      <c r="CR1689" s="4" t="s">
        <v>241</v>
      </c>
      <c r="CS1689" s="4" t="s">
        <v>241</v>
      </c>
      <c r="CT1689" s="4">
        <v>0</v>
      </c>
      <c r="CU1689" s="4" t="s">
        <v>262</v>
      </c>
      <c r="CV1689" s="4" t="s">
        <v>263</v>
      </c>
      <c r="CW1689" s="4" t="s">
        <v>263</v>
      </c>
      <c r="CX1689" s="4" t="s">
        <v>264</v>
      </c>
      <c r="DA1689" s="6">
        <f>1</f>
        <v>1</v>
      </c>
      <c r="DC1689" s="4" t="s">
        <v>277</v>
      </c>
      <c r="DD1689" s="4" t="s">
        <v>241</v>
      </c>
      <c r="DF1689" s="4" t="s">
        <v>277</v>
      </c>
      <c r="DG1689" s="6">
        <f>9.66</f>
        <v>9.66</v>
      </c>
      <c r="DI1689" s="4" t="s">
        <v>241</v>
      </c>
      <c r="DJ1689" s="4" t="s">
        <v>241</v>
      </c>
      <c r="DK1689" s="4" t="s">
        <v>241</v>
      </c>
      <c r="DL1689" s="4" t="s">
        <v>241</v>
      </c>
      <c r="DP1689" s="4" t="s">
        <v>241</v>
      </c>
      <c r="DQ1689" s="4" t="s">
        <v>241</v>
      </c>
      <c r="DR1689" s="4" t="s">
        <v>241</v>
      </c>
      <c r="DS1689" s="4" t="s">
        <v>241</v>
      </c>
      <c r="DV1689" s="4" t="s">
        <v>278</v>
      </c>
      <c r="DW1689" s="4" t="s">
        <v>2160</v>
      </c>
      <c r="HO1689" s="4" t="s">
        <v>267</v>
      </c>
    </row>
    <row r="1690" spans="1:223" ht="19.5" customHeight="1" x14ac:dyDescent="0.4">
      <c r="A1690" s="4">
        <v>1</v>
      </c>
      <c r="B1690" s="4" t="s">
        <v>239</v>
      </c>
      <c r="C1690" s="4">
        <v>3364</v>
      </c>
      <c r="D1690" s="4">
        <v>1</v>
      </c>
      <c r="E1690" s="4">
        <v>1</v>
      </c>
      <c r="F1690" s="4" t="s">
        <v>268</v>
      </c>
      <c r="G1690" s="4" t="s">
        <v>241</v>
      </c>
      <c r="H1690" s="4" t="s">
        <v>241</v>
      </c>
      <c r="I1690" s="4" t="s">
        <v>272</v>
      </c>
      <c r="J1690" s="4" t="s">
        <v>274</v>
      </c>
      <c r="K1690" s="4" t="s">
        <v>251</v>
      </c>
      <c r="L1690" s="4" t="s">
        <v>269</v>
      </c>
      <c r="M1690" s="5" t="s">
        <v>2157</v>
      </c>
      <c r="N1690" s="6">
        <f>440</f>
        <v>440</v>
      </c>
      <c r="O1690" s="4" t="s">
        <v>265</v>
      </c>
      <c r="P1690" s="6">
        <f>1</f>
        <v>1</v>
      </c>
      <c r="Q1690" s="6">
        <f>0</f>
        <v>0</v>
      </c>
      <c r="S1690" s="6">
        <f>0</f>
        <v>0</v>
      </c>
      <c r="T1690" s="6">
        <f>1</f>
        <v>1</v>
      </c>
      <c r="U1690" s="5" t="s">
        <v>245</v>
      </c>
      <c r="V1690" s="4" t="s">
        <v>270</v>
      </c>
      <c r="W1690" s="4" t="s">
        <v>271</v>
      </c>
      <c r="X1690" s="4" t="s">
        <v>273</v>
      </c>
      <c r="Y1690" s="4" t="s">
        <v>241</v>
      </c>
      <c r="AB1690" s="4" t="s">
        <v>241</v>
      </c>
      <c r="AD1690" s="5" t="s">
        <v>241</v>
      </c>
      <c r="AG1690" s="5" t="s">
        <v>246</v>
      </c>
      <c r="AH1690" s="4" t="s">
        <v>241</v>
      </c>
      <c r="AI1690" s="4" t="s">
        <v>247</v>
      </c>
      <c r="AJ1690" s="4" t="s">
        <v>248</v>
      </c>
      <c r="AZ1690" s="4" t="s">
        <v>249</v>
      </c>
      <c r="BA1690" s="4" t="s">
        <v>241</v>
      </c>
      <c r="BB1690" s="4" t="s">
        <v>250</v>
      </c>
      <c r="BC1690" s="4" t="s">
        <v>241</v>
      </c>
      <c r="BD1690" s="4" t="s">
        <v>252</v>
      </c>
      <c r="BE1690" s="4" t="s">
        <v>241</v>
      </c>
      <c r="BI1690" s="4" t="s">
        <v>253</v>
      </c>
      <c r="BJ1690" s="5" t="s">
        <v>246</v>
      </c>
      <c r="BK1690" s="4" t="s">
        <v>254</v>
      </c>
      <c r="BL1690" s="4" t="s">
        <v>255</v>
      </c>
      <c r="BM1690" s="4" t="s">
        <v>241</v>
      </c>
      <c r="BN1690" s="6">
        <f>0</f>
        <v>0</v>
      </c>
      <c r="BO1690" s="6">
        <f>0</f>
        <v>0</v>
      </c>
      <c r="BP1690" s="4" t="s">
        <v>256</v>
      </c>
      <c r="BQ1690" s="4" t="s">
        <v>257</v>
      </c>
      <c r="CE1690" s="4" t="s">
        <v>241</v>
      </c>
      <c r="CF1690" s="4" t="s">
        <v>241</v>
      </c>
      <c r="CJ1690" s="4" t="s">
        <v>276</v>
      </c>
      <c r="CK1690" s="4" t="s">
        <v>259</v>
      </c>
      <c r="CL1690" s="4" t="s">
        <v>241</v>
      </c>
      <c r="CO1690" s="5" t="s">
        <v>260</v>
      </c>
      <c r="CP1690" s="4" t="s">
        <v>241</v>
      </c>
      <c r="CQ1690" s="4" t="s">
        <v>261</v>
      </c>
      <c r="CR1690" s="4" t="s">
        <v>241</v>
      </c>
      <c r="CS1690" s="4" t="s">
        <v>241</v>
      </c>
      <c r="CT1690" s="4">
        <v>0</v>
      </c>
      <c r="CU1690" s="4" t="s">
        <v>262</v>
      </c>
      <c r="CV1690" s="4" t="s">
        <v>263</v>
      </c>
      <c r="CW1690" s="4" t="s">
        <v>263</v>
      </c>
      <c r="CX1690" s="4" t="s">
        <v>264</v>
      </c>
      <c r="DA1690" s="6">
        <f>1</f>
        <v>1</v>
      </c>
      <c r="DC1690" s="4" t="s">
        <v>277</v>
      </c>
      <c r="DD1690" s="4" t="s">
        <v>241</v>
      </c>
      <c r="DF1690" s="4" t="s">
        <v>277</v>
      </c>
      <c r="DG1690" s="6">
        <f>440</f>
        <v>440</v>
      </c>
      <c r="DI1690" s="4" t="s">
        <v>241</v>
      </c>
      <c r="DJ1690" s="4" t="s">
        <v>241</v>
      </c>
      <c r="DK1690" s="4" t="s">
        <v>241</v>
      </c>
      <c r="DL1690" s="4" t="s">
        <v>241</v>
      </c>
      <c r="DP1690" s="4" t="s">
        <v>241</v>
      </c>
      <c r="DQ1690" s="4" t="s">
        <v>241</v>
      </c>
      <c r="DR1690" s="4" t="s">
        <v>241</v>
      </c>
      <c r="DS1690" s="4" t="s">
        <v>241</v>
      </c>
      <c r="DV1690" s="4" t="s">
        <v>278</v>
      </c>
      <c r="DW1690" s="4" t="s">
        <v>2158</v>
      </c>
      <c r="HO1690" s="4" t="s">
        <v>267</v>
      </c>
    </row>
    <row r="1691" spans="1:223" ht="19.5" customHeight="1" x14ac:dyDescent="0.4">
      <c r="A1691" s="4">
        <v>1</v>
      </c>
      <c r="B1691" s="4" t="s">
        <v>239</v>
      </c>
      <c r="C1691" s="4">
        <v>3365</v>
      </c>
      <c r="D1691" s="4">
        <v>1</v>
      </c>
      <c r="E1691" s="4">
        <v>1</v>
      </c>
      <c r="F1691" s="4" t="s">
        <v>268</v>
      </c>
      <c r="G1691" s="4" t="s">
        <v>241</v>
      </c>
      <c r="H1691" s="4" t="s">
        <v>241</v>
      </c>
      <c r="I1691" s="4" t="s">
        <v>272</v>
      </c>
      <c r="J1691" s="4" t="s">
        <v>274</v>
      </c>
      <c r="K1691" s="4" t="s">
        <v>251</v>
      </c>
      <c r="L1691" s="4" t="s">
        <v>269</v>
      </c>
      <c r="M1691" s="5" t="s">
        <v>2334</v>
      </c>
      <c r="N1691" s="6">
        <f>939</f>
        <v>939</v>
      </c>
      <c r="O1691" s="4" t="s">
        <v>265</v>
      </c>
      <c r="P1691" s="6">
        <f>1</f>
        <v>1</v>
      </c>
      <c r="Q1691" s="6">
        <f>0</f>
        <v>0</v>
      </c>
      <c r="S1691" s="6">
        <f>0</f>
        <v>0</v>
      </c>
      <c r="T1691" s="6">
        <f>1</f>
        <v>1</v>
      </c>
      <c r="U1691" s="5" t="s">
        <v>245</v>
      </c>
      <c r="V1691" s="4" t="s">
        <v>270</v>
      </c>
      <c r="W1691" s="4" t="s">
        <v>271</v>
      </c>
      <c r="X1691" s="4" t="s">
        <v>273</v>
      </c>
      <c r="Y1691" s="4" t="s">
        <v>241</v>
      </c>
      <c r="AB1691" s="4" t="s">
        <v>241</v>
      </c>
      <c r="AD1691" s="5" t="s">
        <v>241</v>
      </c>
      <c r="AG1691" s="5" t="s">
        <v>246</v>
      </c>
      <c r="AH1691" s="4" t="s">
        <v>241</v>
      </c>
      <c r="AI1691" s="4" t="s">
        <v>247</v>
      </c>
      <c r="AJ1691" s="4" t="s">
        <v>248</v>
      </c>
      <c r="AZ1691" s="4" t="s">
        <v>249</v>
      </c>
      <c r="BA1691" s="4" t="s">
        <v>241</v>
      </c>
      <c r="BB1691" s="4" t="s">
        <v>250</v>
      </c>
      <c r="BC1691" s="4" t="s">
        <v>241</v>
      </c>
      <c r="BD1691" s="4" t="s">
        <v>252</v>
      </c>
      <c r="BE1691" s="4" t="s">
        <v>241</v>
      </c>
      <c r="BI1691" s="4" t="s">
        <v>253</v>
      </c>
      <c r="BJ1691" s="5" t="s">
        <v>246</v>
      </c>
      <c r="BK1691" s="4" t="s">
        <v>254</v>
      </c>
      <c r="BL1691" s="4" t="s">
        <v>255</v>
      </c>
      <c r="BM1691" s="4" t="s">
        <v>241</v>
      </c>
      <c r="BN1691" s="6">
        <f>0</f>
        <v>0</v>
      </c>
      <c r="BO1691" s="6">
        <f>0</f>
        <v>0</v>
      </c>
      <c r="BP1691" s="4" t="s">
        <v>256</v>
      </c>
      <c r="BQ1691" s="4" t="s">
        <v>257</v>
      </c>
      <c r="CE1691" s="4" t="s">
        <v>241</v>
      </c>
      <c r="CF1691" s="4" t="s">
        <v>241</v>
      </c>
      <c r="CJ1691" s="4" t="s">
        <v>276</v>
      </c>
      <c r="CK1691" s="4" t="s">
        <v>259</v>
      </c>
      <c r="CL1691" s="4" t="s">
        <v>241</v>
      </c>
      <c r="CO1691" s="5" t="s">
        <v>260</v>
      </c>
      <c r="CP1691" s="4" t="s">
        <v>241</v>
      </c>
      <c r="CQ1691" s="4" t="s">
        <v>261</v>
      </c>
      <c r="CR1691" s="4" t="s">
        <v>241</v>
      </c>
      <c r="CS1691" s="4" t="s">
        <v>241</v>
      </c>
      <c r="CT1691" s="4">
        <v>0</v>
      </c>
      <c r="CU1691" s="4" t="s">
        <v>262</v>
      </c>
      <c r="CV1691" s="4" t="s">
        <v>263</v>
      </c>
      <c r="CW1691" s="4" t="s">
        <v>263</v>
      </c>
      <c r="CX1691" s="4" t="s">
        <v>264</v>
      </c>
      <c r="DA1691" s="6">
        <f>1</f>
        <v>1</v>
      </c>
      <c r="DC1691" s="4" t="s">
        <v>277</v>
      </c>
      <c r="DD1691" s="4" t="s">
        <v>241</v>
      </c>
      <c r="DF1691" s="4" t="s">
        <v>277</v>
      </c>
      <c r="DG1691" s="6">
        <f>939</f>
        <v>939</v>
      </c>
      <c r="DI1691" s="4" t="s">
        <v>241</v>
      </c>
      <c r="DJ1691" s="4" t="s">
        <v>241</v>
      </c>
      <c r="DK1691" s="4" t="s">
        <v>241</v>
      </c>
      <c r="DL1691" s="4" t="s">
        <v>241</v>
      </c>
      <c r="DP1691" s="4" t="s">
        <v>241</v>
      </c>
      <c r="DQ1691" s="4" t="s">
        <v>241</v>
      </c>
      <c r="DR1691" s="4" t="s">
        <v>241</v>
      </c>
      <c r="DS1691" s="4" t="s">
        <v>241</v>
      </c>
      <c r="DV1691" s="4" t="s">
        <v>278</v>
      </c>
      <c r="DW1691" s="4" t="s">
        <v>2335</v>
      </c>
      <c r="HO1691" s="4" t="s">
        <v>267</v>
      </c>
    </row>
    <row r="1692" spans="1:223" ht="19.5" customHeight="1" x14ac:dyDescent="0.4">
      <c r="A1692" s="4">
        <v>1</v>
      </c>
      <c r="B1692" s="4" t="s">
        <v>239</v>
      </c>
      <c r="C1692" s="4">
        <v>3366</v>
      </c>
      <c r="D1692" s="4">
        <v>1</v>
      </c>
      <c r="E1692" s="4">
        <v>1</v>
      </c>
      <c r="F1692" s="4" t="s">
        <v>268</v>
      </c>
      <c r="G1692" s="4" t="s">
        <v>241</v>
      </c>
      <c r="H1692" s="4" t="s">
        <v>241</v>
      </c>
      <c r="I1692" s="4" t="s">
        <v>272</v>
      </c>
      <c r="J1692" s="4" t="s">
        <v>274</v>
      </c>
      <c r="K1692" s="4" t="s">
        <v>251</v>
      </c>
      <c r="L1692" s="4" t="s">
        <v>269</v>
      </c>
      <c r="M1692" s="5" t="s">
        <v>2151</v>
      </c>
      <c r="N1692" s="6">
        <f>326</f>
        <v>326</v>
      </c>
      <c r="O1692" s="4" t="s">
        <v>265</v>
      </c>
      <c r="P1692" s="6">
        <f>1</f>
        <v>1</v>
      </c>
      <c r="Q1692" s="6">
        <f>0</f>
        <v>0</v>
      </c>
      <c r="S1692" s="6">
        <f>0</f>
        <v>0</v>
      </c>
      <c r="T1692" s="6">
        <f>1</f>
        <v>1</v>
      </c>
      <c r="U1692" s="5" t="s">
        <v>245</v>
      </c>
      <c r="V1692" s="4" t="s">
        <v>270</v>
      </c>
      <c r="W1692" s="4" t="s">
        <v>271</v>
      </c>
      <c r="X1692" s="4" t="s">
        <v>273</v>
      </c>
      <c r="Y1692" s="4" t="s">
        <v>241</v>
      </c>
      <c r="AB1692" s="4" t="s">
        <v>241</v>
      </c>
      <c r="AD1692" s="5" t="s">
        <v>241</v>
      </c>
      <c r="AG1692" s="5" t="s">
        <v>246</v>
      </c>
      <c r="AH1692" s="4" t="s">
        <v>241</v>
      </c>
      <c r="AI1692" s="4" t="s">
        <v>247</v>
      </c>
      <c r="AJ1692" s="4" t="s">
        <v>248</v>
      </c>
      <c r="AZ1692" s="4" t="s">
        <v>249</v>
      </c>
      <c r="BA1692" s="4" t="s">
        <v>241</v>
      </c>
      <c r="BB1692" s="4" t="s">
        <v>250</v>
      </c>
      <c r="BC1692" s="4" t="s">
        <v>241</v>
      </c>
      <c r="BD1692" s="4" t="s">
        <v>252</v>
      </c>
      <c r="BE1692" s="4" t="s">
        <v>241</v>
      </c>
      <c r="BI1692" s="4" t="s">
        <v>253</v>
      </c>
      <c r="BJ1692" s="5" t="s">
        <v>246</v>
      </c>
      <c r="BK1692" s="4" t="s">
        <v>254</v>
      </c>
      <c r="BL1692" s="4" t="s">
        <v>255</v>
      </c>
      <c r="BM1692" s="4" t="s">
        <v>241</v>
      </c>
      <c r="BN1692" s="6">
        <f>0</f>
        <v>0</v>
      </c>
      <c r="BO1692" s="6">
        <f>0</f>
        <v>0</v>
      </c>
      <c r="BP1692" s="4" t="s">
        <v>256</v>
      </c>
      <c r="BQ1692" s="4" t="s">
        <v>257</v>
      </c>
      <c r="CE1692" s="4" t="s">
        <v>241</v>
      </c>
      <c r="CF1692" s="4" t="s">
        <v>241</v>
      </c>
      <c r="CJ1692" s="4" t="s">
        <v>276</v>
      </c>
      <c r="CK1692" s="4" t="s">
        <v>259</v>
      </c>
      <c r="CL1692" s="4" t="s">
        <v>241</v>
      </c>
      <c r="CO1692" s="5" t="s">
        <v>260</v>
      </c>
      <c r="CP1692" s="4" t="s">
        <v>241</v>
      </c>
      <c r="CQ1692" s="4" t="s">
        <v>261</v>
      </c>
      <c r="CR1692" s="4" t="s">
        <v>241</v>
      </c>
      <c r="CS1692" s="4" t="s">
        <v>241</v>
      </c>
      <c r="CT1692" s="4">
        <v>0</v>
      </c>
      <c r="CU1692" s="4" t="s">
        <v>262</v>
      </c>
      <c r="CV1692" s="4" t="s">
        <v>263</v>
      </c>
      <c r="CW1692" s="4" t="s">
        <v>263</v>
      </c>
      <c r="CX1692" s="4" t="s">
        <v>264</v>
      </c>
      <c r="DA1692" s="6">
        <f>1</f>
        <v>1</v>
      </c>
      <c r="DC1692" s="4" t="s">
        <v>277</v>
      </c>
      <c r="DD1692" s="4" t="s">
        <v>241</v>
      </c>
      <c r="DF1692" s="4" t="s">
        <v>277</v>
      </c>
      <c r="DG1692" s="6">
        <f>326</f>
        <v>326</v>
      </c>
      <c r="DI1692" s="4" t="s">
        <v>241</v>
      </c>
      <c r="DJ1692" s="4" t="s">
        <v>241</v>
      </c>
      <c r="DK1692" s="4" t="s">
        <v>241</v>
      </c>
      <c r="DL1692" s="4" t="s">
        <v>241</v>
      </c>
      <c r="DP1692" s="4" t="s">
        <v>241</v>
      </c>
      <c r="DQ1692" s="4" t="s">
        <v>241</v>
      </c>
      <c r="DR1692" s="4" t="s">
        <v>241</v>
      </c>
      <c r="DS1692" s="4" t="s">
        <v>241</v>
      </c>
      <c r="DV1692" s="4" t="s">
        <v>278</v>
      </c>
      <c r="DW1692" s="4" t="s">
        <v>2152</v>
      </c>
      <c r="HO1692" s="4" t="s">
        <v>267</v>
      </c>
    </row>
    <row r="1693" spans="1:223" ht="19.5" customHeight="1" x14ac:dyDescent="0.4">
      <c r="A1693" s="4">
        <v>1</v>
      </c>
      <c r="B1693" s="4" t="s">
        <v>239</v>
      </c>
      <c r="C1693" s="4">
        <v>3367</v>
      </c>
      <c r="D1693" s="4">
        <v>1</v>
      </c>
      <c r="E1693" s="4">
        <v>1</v>
      </c>
      <c r="F1693" s="4" t="s">
        <v>268</v>
      </c>
      <c r="G1693" s="4" t="s">
        <v>241</v>
      </c>
      <c r="H1693" s="4" t="s">
        <v>241</v>
      </c>
      <c r="I1693" s="4" t="s">
        <v>272</v>
      </c>
      <c r="J1693" s="4" t="s">
        <v>274</v>
      </c>
      <c r="K1693" s="4" t="s">
        <v>251</v>
      </c>
      <c r="L1693" s="4" t="s">
        <v>269</v>
      </c>
      <c r="M1693" s="5" t="s">
        <v>2149</v>
      </c>
      <c r="N1693" s="6">
        <f>1631</f>
        <v>1631</v>
      </c>
      <c r="O1693" s="4" t="s">
        <v>265</v>
      </c>
      <c r="P1693" s="6">
        <f>1</f>
        <v>1</v>
      </c>
      <c r="Q1693" s="6">
        <f>0</f>
        <v>0</v>
      </c>
      <c r="S1693" s="6">
        <f>0</f>
        <v>0</v>
      </c>
      <c r="T1693" s="6">
        <f>1</f>
        <v>1</v>
      </c>
      <c r="U1693" s="5" t="s">
        <v>245</v>
      </c>
      <c r="V1693" s="4" t="s">
        <v>270</v>
      </c>
      <c r="W1693" s="4" t="s">
        <v>271</v>
      </c>
      <c r="X1693" s="4" t="s">
        <v>273</v>
      </c>
      <c r="Y1693" s="4" t="s">
        <v>241</v>
      </c>
      <c r="AB1693" s="4" t="s">
        <v>241</v>
      </c>
      <c r="AD1693" s="5" t="s">
        <v>241</v>
      </c>
      <c r="AG1693" s="5" t="s">
        <v>246</v>
      </c>
      <c r="AH1693" s="4" t="s">
        <v>241</v>
      </c>
      <c r="AI1693" s="4" t="s">
        <v>247</v>
      </c>
      <c r="AJ1693" s="4" t="s">
        <v>248</v>
      </c>
      <c r="AZ1693" s="4" t="s">
        <v>249</v>
      </c>
      <c r="BA1693" s="4" t="s">
        <v>241</v>
      </c>
      <c r="BB1693" s="4" t="s">
        <v>250</v>
      </c>
      <c r="BC1693" s="4" t="s">
        <v>241</v>
      </c>
      <c r="BD1693" s="4" t="s">
        <v>252</v>
      </c>
      <c r="BE1693" s="4" t="s">
        <v>241</v>
      </c>
      <c r="BI1693" s="4" t="s">
        <v>253</v>
      </c>
      <c r="BJ1693" s="5" t="s">
        <v>246</v>
      </c>
      <c r="BK1693" s="4" t="s">
        <v>254</v>
      </c>
      <c r="BL1693" s="4" t="s">
        <v>255</v>
      </c>
      <c r="BM1693" s="4" t="s">
        <v>241</v>
      </c>
      <c r="BN1693" s="6">
        <f>0</f>
        <v>0</v>
      </c>
      <c r="BO1693" s="6">
        <f>0</f>
        <v>0</v>
      </c>
      <c r="BP1693" s="4" t="s">
        <v>256</v>
      </c>
      <c r="BQ1693" s="4" t="s">
        <v>257</v>
      </c>
      <c r="CE1693" s="4" t="s">
        <v>241</v>
      </c>
      <c r="CF1693" s="4" t="s">
        <v>241</v>
      </c>
      <c r="CJ1693" s="4" t="s">
        <v>276</v>
      </c>
      <c r="CK1693" s="4" t="s">
        <v>259</v>
      </c>
      <c r="CL1693" s="4" t="s">
        <v>241</v>
      </c>
      <c r="CO1693" s="5" t="s">
        <v>260</v>
      </c>
      <c r="CP1693" s="4" t="s">
        <v>241</v>
      </c>
      <c r="CQ1693" s="4" t="s">
        <v>261</v>
      </c>
      <c r="CR1693" s="4" t="s">
        <v>241</v>
      </c>
      <c r="CS1693" s="4" t="s">
        <v>241</v>
      </c>
      <c r="CT1693" s="4">
        <v>0</v>
      </c>
      <c r="CU1693" s="4" t="s">
        <v>262</v>
      </c>
      <c r="CV1693" s="4" t="s">
        <v>263</v>
      </c>
      <c r="CW1693" s="4" t="s">
        <v>263</v>
      </c>
      <c r="CX1693" s="4" t="s">
        <v>264</v>
      </c>
      <c r="DA1693" s="6">
        <f>1</f>
        <v>1</v>
      </c>
      <c r="DC1693" s="4" t="s">
        <v>277</v>
      </c>
      <c r="DD1693" s="4" t="s">
        <v>241</v>
      </c>
      <c r="DF1693" s="4" t="s">
        <v>277</v>
      </c>
      <c r="DG1693" s="6">
        <f>1631</f>
        <v>1631</v>
      </c>
      <c r="DI1693" s="4" t="s">
        <v>241</v>
      </c>
      <c r="DJ1693" s="4" t="s">
        <v>241</v>
      </c>
      <c r="DK1693" s="4" t="s">
        <v>241</v>
      </c>
      <c r="DL1693" s="4" t="s">
        <v>241</v>
      </c>
      <c r="DP1693" s="4" t="s">
        <v>241</v>
      </c>
      <c r="DQ1693" s="4" t="s">
        <v>241</v>
      </c>
      <c r="DR1693" s="4" t="s">
        <v>241</v>
      </c>
      <c r="DS1693" s="4" t="s">
        <v>241</v>
      </c>
      <c r="DV1693" s="4" t="s">
        <v>278</v>
      </c>
      <c r="DW1693" s="4" t="s">
        <v>2150</v>
      </c>
      <c r="HO1693" s="4" t="s">
        <v>267</v>
      </c>
    </row>
    <row r="1694" spans="1:223" ht="19.5" customHeight="1" x14ac:dyDescent="0.4">
      <c r="A1694" s="4">
        <v>1</v>
      </c>
      <c r="B1694" s="4" t="s">
        <v>239</v>
      </c>
      <c r="C1694" s="4">
        <v>3368</v>
      </c>
      <c r="D1694" s="4">
        <v>1</v>
      </c>
      <c r="E1694" s="4">
        <v>1</v>
      </c>
      <c r="F1694" s="4" t="s">
        <v>268</v>
      </c>
      <c r="G1694" s="4" t="s">
        <v>241</v>
      </c>
      <c r="H1694" s="4" t="s">
        <v>241</v>
      </c>
      <c r="I1694" s="4" t="s">
        <v>272</v>
      </c>
      <c r="J1694" s="4" t="s">
        <v>274</v>
      </c>
      <c r="K1694" s="4" t="s">
        <v>251</v>
      </c>
      <c r="L1694" s="4" t="s">
        <v>269</v>
      </c>
      <c r="M1694" s="5" t="s">
        <v>2147</v>
      </c>
      <c r="N1694" s="6">
        <f>1005</f>
        <v>1005</v>
      </c>
      <c r="O1694" s="4" t="s">
        <v>265</v>
      </c>
      <c r="P1694" s="6">
        <f>1</f>
        <v>1</v>
      </c>
      <c r="Q1694" s="6">
        <f>0</f>
        <v>0</v>
      </c>
      <c r="S1694" s="6">
        <f>0</f>
        <v>0</v>
      </c>
      <c r="T1694" s="6">
        <f>1</f>
        <v>1</v>
      </c>
      <c r="U1694" s="5" t="s">
        <v>245</v>
      </c>
      <c r="V1694" s="4" t="s">
        <v>270</v>
      </c>
      <c r="W1694" s="4" t="s">
        <v>271</v>
      </c>
      <c r="X1694" s="4" t="s">
        <v>273</v>
      </c>
      <c r="Y1694" s="4" t="s">
        <v>241</v>
      </c>
      <c r="AB1694" s="4" t="s">
        <v>241</v>
      </c>
      <c r="AD1694" s="5" t="s">
        <v>241</v>
      </c>
      <c r="AG1694" s="5" t="s">
        <v>246</v>
      </c>
      <c r="AH1694" s="4" t="s">
        <v>241</v>
      </c>
      <c r="AI1694" s="4" t="s">
        <v>247</v>
      </c>
      <c r="AJ1694" s="4" t="s">
        <v>248</v>
      </c>
      <c r="AZ1694" s="4" t="s">
        <v>249</v>
      </c>
      <c r="BA1694" s="4" t="s">
        <v>241</v>
      </c>
      <c r="BB1694" s="4" t="s">
        <v>250</v>
      </c>
      <c r="BC1694" s="4" t="s">
        <v>241</v>
      </c>
      <c r="BD1694" s="4" t="s">
        <v>252</v>
      </c>
      <c r="BE1694" s="4" t="s">
        <v>241</v>
      </c>
      <c r="BI1694" s="4" t="s">
        <v>253</v>
      </c>
      <c r="BJ1694" s="5" t="s">
        <v>246</v>
      </c>
      <c r="BK1694" s="4" t="s">
        <v>254</v>
      </c>
      <c r="BL1694" s="4" t="s">
        <v>255</v>
      </c>
      <c r="BM1694" s="4" t="s">
        <v>241</v>
      </c>
      <c r="BN1694" s="6">
        <f>0</f>
        <v>0</v>
      </c>
      <c r="BO1694" s="6">
        <f>0</f>
        <v>0</v>
      </c>
      <c r="BP1694" s="4" t="s">
        <v>256</v>
      </c>
      <c r="BQ1694" s="4" t="s">
        <v>257</v>
      </c>
      <c r="CE1694" s="4" t="s">
        <v>241</v>
      </c>
      <c r="CF1694" s="4" t="s">
        <v>241</v>
      </c>
      <c r="CJ1694" s="4" t="s">
        <v>276</v>
      </c>
      <c r="CK1694" s="4" t="s">
        <v>259</v>
      </c>
      <c r="CL1694" s="4" t="s">
        <v>241</v>
      </c>
      <c r="CO1694" s="5" t="s">
        <v>260</v>
      </c>
      <c r="CP1694" s="4" t="s">
        <v>241</v>
      </c>
      <c r="CQ1694" s="4" t="s">
        <v>261</v>
      </c>
      <c r="CR1694" s="4" t="s">
        <v>241</v>
      </c>
      <c r="CS1694" s="4" t="s">
        <v>241</v>
      </c>
      <c r="CT1694" s="4">
        <v>0</v>
      </c>
      <c r="CU1694" s="4" t="s">
        <v>262</v>
      </c>
      <c r="CV1694" s="4" t="s">
        <v>263</v>
      </c>
      <c r="CW1694" s="4" t="s">
        <v>263</v>
      </c>
      <c r="CX1694" s="4" t="s">
        <v>264</v>
      </c>
      <c r="DA1694" s="6">
        <f>1</f>
        <v>1</v>
      </c>
      <c r="DC1694" s="4" t="s">
        <v>277</v>
      </c>
      <c r="DD1694" s="4" t="s">
        <v>241</v>
      </c>
      <c r="DF1694" s="4" t="s">
        <v>277</v>
      </c>
      <c r="DG1694" s="6">
        <f>1005</f>
        <v>1005</v>
      </c>
      <c r="DI1694" s="4" t="s">
        <v>241</v>
      </c>
      <c r="DJ1694" s="4" t="s">
        <v>241</v>
      </c>
      <c r="DK1694" s="4" t="s">
        <v>241</v>
      </c>
      <c r="DL1694" s="4" t="s">
        <v>241</v>
      </c>
      <c r="DP1694" s="4" t="s">
        <v>241</v>
      </c>
      <c r="DQ1694" s="4" t="s">
        <v>241</v>
      </c>
      <c r="DR1694" s="4" t="s">
        <v>241</v>
      </c>
      <c r="DS1694" s="4" t="s">
        <v>241</v>
      </c>
      <c r="DV1694" s="4" t="s">
        <v>278</v>
      </c>
      <c r="DW1694" s="4" t="s">
        <v>2148</v>
      </c>
      <c r="HO1694" s="4" t="s">
        <v>267</v>
      </c>
    </row>
    <row r="1695" spans="1:223" ht="19.5" customHeight="1" x14ac:dyDescent="0.4">
      <c r="A1695" s="4">
        <v>1</v>
      </c>
      <c r="B1695" s="4" t="s">
        <v>239</v>
      </c>
      <c r="C1695" s="4">
        <v>3369</v>
      </c>
      <c r="D1695" s="4">
        <v>1</v>
      </c>
      <c r="E1695" s="4">
        <v>1</v>
      </c>
      <c r="F1695" s="4" t="s">
        <v>268</v>
      </c>
      <c r="G1695" s="4" t="s">
        <v>241</v>
      </c>
      <c r="H1695" s="4" t="s">
        <v>241</v>
      </c>
      <c r="I1695" s="4" t="s">
        <v>272</v>
      </c>
      <c r="J1695" s="4" t="s">
        <v>274</v>
      </c>
      <c r="K1695" s="4" t="s">
        <v>251</v>
      </c>
      <c r="L1695" s="4" t="s">
        <v>269</v>
      </c>
      <c r="M1695" s="5" t="s">
        <v>2145</v>
      </c>
      <c r="N1695" s="6">
        <f>74</f>
        <v>74</v>
      </c>
      <c r="O1695" s="4" t="s">
        <v>265</v>
      </c>
      <c r="P1695" s="6">
        <f>1</f>
        <v>1</v>
      </c>
      <c r="Q1695" s="6">
        <f>0</f>
        <v>0</v>
      </c>
      <c r="S1695" s="6">
        <f>0</f>
        <v>0</v>
      </c>
      <c r="T1695" s="6">
        <f>1</f>
        <v>1</v>
      </c>
      <c r="U1695" s="5" t="s">
        <v>245</v>
      </c>
      <c r="V1695" s="4" t="s">
        <v>270</v>
      </c>
      <c r="W1695" s="4" t="s">
        <v>271</v>
      </c>
      <c r="X1695" s="4" t="s">
        <v>273</v>
      </c>
      <c r="Y1695" s="4" t="s">
        <v>241</v>
      </c>
      <c r="AB1695" s="4" t="s">
        <v>241</v>
      </c>
      <c r="AD1695" s="5" t="s">
        <v>241</v>
      </c>
      <c r="AG1695" s="5" t="s">
        <v>246</v>
      </c>
      <c r="AH1695" s="4" t="s">
        <v>241</v>
      </c>
      <c r="AI1695" s="4" t="s">
        <v>247</v>
      </c>
      <c r="AJ1695" s="4" t="s">
        <v>248</v>
      </c>
      <c r="AZ1695" s="4" t="s">
        <v>249</v>
      </c>
      <c r="BA1695" s="4" t="s">
        <v>241</v>
      </c>
      <c r="BB1695" s="4" t="s">
        <v>250</v>
      </c>
      <c r="BC1695" s="4" t="s">
        <v>241</v>
      </c>
      <c r="BD1695" s="4" t="s">
        <v>252</v>
      </c>
      <c r="BE1695" s="4" t="s">
        <v>241</v>
      </c>
      <c r="BI1695" s="4" t="s">
        <v>253</v>
      </c>
      <c r="BJ1695" s="5" t="s">
        <v>246</v>
      </c>
      <c r="BK1695" s="4" t="s">
        <v>254</v>
      </c>
      <c r="BL1695" s="4" t="s">
        <v>255</v>
      </c>
      <c r="BM1695" s="4" t="s">
        <v>241</v>
      </c>
      <c r="BN1695" s="6">
        <f>0</f>
        <v>0</v>
      </c>
      <c r="BO1695" s="6">
        <f>0</f>
        <v>0</v>
      </c>
      <c r="BP1695" s="4" t="s">
        <v>256</v>
      </c>
      <c r="BQ1695" s="4" t="s">
        <v>257</v>
      </c>
      <c r="CE1695" s="4" t="s">
        <v>241</v>
      </c>
      <c r="CF1695" s="4" t="s">
        <v>241</v>
      </c>
      <c r="CJ1695" s="4" t="s">
        <v>276</v>
      </c>
      <c r="CK1695" s="4" t="s">
        <v>259</v>
      </c>
      <c r="CL1695" s="4" t="s">
        <v>241</v>
      </c>
      <c r="CO1695" s="5" t="s">
        <v>260</v>
      </c>
      <c r="CP1695" s="4" t="s">
        <v>241</v>
      </c>
      <c r="CQ1695" s="4" t="s">
        <v>261</v>
      </c>
      <c r="CR1695" s="4" t="s">
        <v>241</v>
      </c>
      <c r="CS1695" s="4" t="s">
        <v>241</v>
      </c>
      <c r="CT1695" s="4">
        <v>0</v>
      </c>
      <c r="CU1695" s="4" t="s">
        <v>262</v>
      </c>
      <c r="CV1695" s="4" t="s">
        <v>263</v>
      </c>
      <c r="CW1695" s="4" t="s">
        <v>263</v>
      </c>
      <c r="CX1695" s="4" t="s">
        <v>264</v>
      </c>
      <c r="DA1695" s="6">
        <f>1</f>
        <v>1</v>
      </c>
      <c r="DC1695" s="4" t="s">
        <v>277</v>
      </c>
      <c r="DD1695" s="4" t="s">
        <v>241</v>
      </c>
      <c r="DF1695" s="4" t="s">
        <v>277</v>
      </c>
      <c r="DG1695" s="6">
        <f>74</f>
        <v>74</v>
      </c>
      <c r="DI1695" s="4" t="s">
        <v>241</v>
      </c>
      <c r="DJ1695" s="4" t="s">
        <v>241</v>
      </c>
      <c r="DK1695" s="4" t="s">
        <v>241</v>
      </c>
      <c r="DL1695" s="4" t="s">
        <v>241</v>
      </c>
      <c r="DP1695" s="4" t="s">
        <v>241</v>
      </c>
      <c r="DQ1695" s="4" t="s">
        <v>241</v>
      </c>
      <c r="DR1695" s="4" t="s">
        <v>241</v>
      </c>
      <c r="DS1695" s="4" t="s">
        <v>241</v>
      </c>
      <c r="DV1695" s="4" t="s">
        <v>278</v>
      </c>
      <c r="DW1695" s="4" t="s">
        <v>2146</v>
      </c>
      <c r="HO1695" s="4" t="s">
        <v>267</v>
      </c>
    </row>
    <row r="1696" spans="1:223" ht="19.5" customHeight="1" x14ac:dyDescent="0.4">
      <c r="A1696" s="4">
        <v>1</v>
      </c>
      <c r="B1696" s="4" t="s">
        <v>239</v>
      </c>
      <c r="C1696" s="4">
        <v>3370</v>
      </c>
      <c r="D1696" s="4">
        <v>1</v>
      </c>
      <c r="E1696" s="4">
        <v>1</v>
      </c>
      <c r="F1696" s="4" t="s">
        <v>268</v>
      </c>
      <c r="G1696" s="4" t="s">
        <v>241</v>
      </c>
      <c r="H1696" s="4" t="s">
        <v>241</v>
      </c>
      <c r="I1696" s="4" t="s">
        <v>272</v>
      </c>
      <c r="J1696" s="4" t="s">
        <v>274</v>
      </c>
      <c r="K1696" s="4" t="s">
        <v>251</v>
      </c>
      <c r="L1696" s="4" t="s">
        <v>269</v>
      </c>
      <c r="M1696" s="5" t="s">
        <v>2141</v>
      </c>
      <c r="N1696" s="6">
        <f>139</f>
        <v>139</v>
      </c>
      <c r="O1696" s="4" t="s">
        <v>265</v>
      </c>
      <c r="P1696" s="6">
        <f>1</f>
        <v>1</v>
      </c>
      <c r="Q1696" s="6">
        <f>0</f>
        <v>0</v>
      </c>
      <c r="S1696" s="6">
        <f>0</f>
        <v>0</v>
      </c>
      <c r="T1696" s="6">
        <f>1</f>
        <v>1</v>
      </c>
      <c r="U1696" s="5" t="s">
        <v>245</v>
      </c>
      <c r="V1696" s="4" t="s">
        <v>270</v>
      </c>
      <c r="W1696" s="4" t="s">
        <v>271</v>
      </c>
      <c r="X1696" s="4" t="s">
        <v>273</v>
      </c>
      <c r="Y1696" s="4" t="s">
        <v>241</v>
      </c>
      <c r="AB1696" s="4" t="s">
        <v>241</v>
      </c>
      <c r="AD1696" s="5" t="s">
        <v>241</v>
      </c>
      <c r="AG1696" s="5" t="s">
        <v>246</v>
      </c>
      <c r="AH1696" s="4" t="s">
        <v>241</v>
      </c>
      <c r="AI1696" s="4" t="s">
        <v>247</v>
      </c>
      <c r="AJ1696" s="4" t="s">
        <v>248</v>
      </c>
      <c r="AZ1696" s="4" t="s">
        <v>249</v>
      </c>
      <c r="BA1696" s="4" t="s">
        <v>241</v>
      </c>
      <c r="BB1696" s="4" t="s">
        <v>250</v>
      </c>
      <c r="BC1696" s="4" t="s">
        <v>241</v>
      </c>
      <c r="BD1696" s="4" t="s">
        <v>252</v>
      </c>
      <c r="BE1696" s="4" t="s">
        <v>241</v>
      </c>
      <c r="BI1696" s="4" t="s">
        <v>253</v>
      </c>
      <c r="BJ1696" s="5" t="s">
        <v>246</v>
      </c>
      <c r="BK1696" s="4" t="s">
        <v>254</v>
      </c>
      <c r="BL1696" s="4" t="s">
        <v>255</v>
      </c>
      <c r="BM1696" s="4" t="s">
        <v>241</v>
      </c>
      <c r="BN1696" s="6">
        <f>0</f>
        <v>0</v>
      </c>
      <c r="BO1696" s="6">
        <f>0</f>
        <v>0</v>
      </c>
      <c r="BP1696" s="4" t="s">
        <v>256</v>
      </c>
      <c r="BQ1696" s="4" t="s">
        <v>257</v>
      </c>
      <c r="CE1696" s="4" t="s">
        <v>241</v>
      </c>
      <c r="CF1696" s="4" t="s">
        <v>241</v>
      </c>
      <c r="CJ1696" s="4" t="s">
        <v>276</v>
      </c>
      <c r="CK1696" s="4" t="s">
        <v>259</v>
      </c>
      <c r="CL1696" s="4" t="s">
        <v>241</v>
      </c>
      <c r="CO1696" s="5" t="s">
        <v>260</v>
      </c>
      <c r="CP1696" s="4" t="s">
        <v>241</v>
      </c>
      <c r="CQ1696" s="4" t="s">
        <v>261</v>
      </c>
      <c r="CR1696" s="4" t="s">
        <v>241</v>
      </c>
      <c r="CS1696" s="4" t="s">
        <v>241</v>
      </c>
      <c r="CT1696" s="4">
        <v>0</v>
      </c>
      <c r="CU1696" s="4" t="s">
        <v>262</v>
      </c>
      <c r="CV1696" s="4" t="s">
        <v>263</v>
      </c>
      <c r="CW1696" s="4" t="s">
        <v>263</v>
      </c>
      <c r="CX1696" s="4" t="s">
        <v>264</v>
      </c>
      <c r="DA1696" s="6">
        <f>1</f>
        <v>1</v>
      </c>
      <c r="DC1696" s="4" t="s">
        <v>277</v>
      </c>
      <c r="DD1696" s="4" t="s">
        <v>241</v>
      </c>
      <c r="DF1696" s="4" t="s">
        <v>277</v>
      </c>
      <c r="DG1696" s="6">
        <f>139</f>
        <v>139</v>
      </c>
      <c r="DI1696" s="4" t="s">
        <v>241</v>
      </c>
      <c r="DJ1696" s="4" t="s">
        <v>241</v>
      </c>
      <c r="DK1696" s="4" t="s">
        <v>241</v>
      </c>
      <c r="DL1696" s="4" t="s">
        <v>241</v>
      </c>
      <c r="DP1696" s="4" t="s">
        <v>241</v>
      </c>
      <c r="DQ1696" s="4" t="s">
        <v>241</v>
      </c>
      <c r="DR1696" s="4" t="s">
        <v>241</v>
      </c>
      <c r="DS1696" s="4" t="s">
        <v>241</v>
      </c>
      <c r="DV1696" s="4" t="s">
        <v>278</v>
      </c>
      <c r="DW1696" s="4" t="s">
        <v>2142</v>
      </c>
      <c r="HO1696" s="4" t="s">
        <v>267</v>
      </c>
    </row>
    <row r="1697" spans="1:223" ht="19.5" customHeight="1" x14ac:dyDescent="0.4">
      <c r="A1697" s="4">
        <v>1</v>
      </c>
      <c r="B1697" s="4" t="s">
        <v>239</v>
      </c>
      <c r="C1697" s="4">
        <v>3371</v>
      </c>
      <c r="D1697" s="4">
        <v>1</v>
      </c>
      <c r="E1697" s="4">
        <v>1</v>
      </c>
      <c r="F1697" s="4" t="s">
        <v>268</v>
      </c>
      <c r="G1697" s="4" t="s">
        <v>241</v>
      </c>
      <c r="H1697" s="4" t="s">
        <v>241</v>
      </c>
      <c r="I1697" s="4" t="s">
        <v>272</v>
      </c>
      <c r="J1697" s="4" t="s">
        <v>274</v>
      </c>
      <c r="K1697" s="4" t="s">
        <v>251</v>
      </c>
      <c r="L1697" s="4" t="s">
        <v>269</v>
      </c>
      <c r="M1697" s="5" t="s">
        <v>2137</v>
      </c>
      <c r="N1697" s="6">
        <f>3911</f>
        <v>3911</v>
      </c>
      <c r="O1697" s="4" t="s">
        <v>265</v>
      </c>
      <c r="P1697" s="6">
        <f>1</f>
        <v>1</v>
      </c>
      <c r="Q1697" s="6">
        <f>0</f>
        <v>0</v>
      </c>
      <c r="S1697" s="6">
        <f>0</f>
        <v>0</v>
      </c>
      <c r="T1697" s="6">
        <f>1</f>
        <v>1</v>
      </c>
      <c r="U1697" s="5" t="s">
        <v>245</v>
      </c>
      <c r="V1697" s="4" t="s">
        <v>270</v>
      </c>
      <c r="W1697" s="4" t="s">
        <v>271</v>
      </c>
      <c r="X1697" s="4" t="s">
        <v>273</v>
      </c>
      <c r="Y1697" s="4" t="s">
        <v>241</v>
      </c>
      <c r="AB1697" s="4" t="s">
        <v>241</v>
      </c>
      <c r="AD1697" s="5" t="s">
        <v>241</v>
      </c>
      <c r="AG1697" s="5" t="s">
        <v>246</v>
      </c>
      <c r="AH1697" s="4" t="s">
        <v>241</v>
      </c>
      <c r="AI1697" s="4" t="s">
        <v>247</v>
      </c>
      <c r="AJ1697" s="4" t="s">
        <v>248</v>
      </c>
      <c r="AZ1697" s="4" t="s">
        <v>249</v>
      </c>
      <c r="BA1697" s="4" t="s">
        <v>241</v>
      </c>
      <c r="BB1697" s="4" t="s">
        <v>250</v>
      </c>
      <c r="BC1697" s="4" t="s">
        <v>241</v>
      </c>
      <c r="BD1697" s="4" t="s">
        <v>252</v>
      </c>
      <c r="BE1697" s="4" t="s">
        <v>241</v>
      </c>
      <c r="BI1697" s="4" t="s">
        <v>253</v>
      </c>
      <c r="BJ1697" s="5" t="s">
        <v>246</v>
      </c>
      <c r="BK1697" s="4" t="s">
        <v>254</v>
      </c>
      <c r="BL1697" s="4" t="s">
        <v>255</v>
      </c>
      <c r="BM1697" s="4" t="s">
        <v>241</v>
      </c>
      <c r="BN1697" s="6">
        <f>0</f>
        <v>0</v>
      </c>
      <c r="BO1697" s="6">
        <f>0</f>
        <v>0</v>
      </c>
      <c r="BP1697" s="4" t="s">
        <v>256</v>
      </c>
      <c r="BQ1697" s="4" t="s">
        <v>257</v>
      </c>
      <c r="CE1697" s="4" t="s">
        <v>241</v>
      </c>
      <c r="CF1697" s="4" t="s">
        <v>241</v>
      </c>
      <c r="CJ1697" s="4" t="s">
        <v>276</v>
      </c>
      <c r="CK1697" s="4" t="s">
        <v>259</v>
      </c>
      <c r="CL1697" s="4" t="s">
        <v>241</v>
      </c>
      <c r="CO1697" s="5" t="s">
        <v>260</v>
      </c>
      <c r="CP1697" s="4" t="s">
        <v>241</v>
      </c>
      <c r="CQ1697" s="4" t="s">
        <v>261</v>
      </c>
      <c r="CR1697" s="4" t="s">
        <v>241</v>
      </c>
      <c r="CS1697" s="4" t="s">
        <v>241</v>
      </c>
      <c r="CT1697" s="4">
        <v>0</v>
      </c>
      <c r="CU1697" s="4" t="s">
        <v>262</v>
      </c>
      <c r="CV1697" s="4" t="s">
        <v>263</v>
      </c>
      <c r="CW1697" s="4" t="s">
        <v>263</v>
      </c>
      <c r="CX1697" s="4" t="s">
        <v>264</v>
      </c>
      <c r="DA1697" s="6">
        <f>1</f>
        <v>1</v>
      </c>
      <c r="DC1697" s="4" t="s">
        <v>277</v>
      </c>
      <c r="DD1697" s="4" t="s">
        <v>241</v>
      </c>
      <c r="DF1697" s="4" t="s">
        <v>277</v>
      </c>
      <c r="DG1697" s="6">
        <f>3911</f>
        <v>3911</v>
      </c>
      <c r="DI1697" s="4" t="s">
        <v>241</v>
      </c>
      <c r="DJ1697" s="4" t="s">
        <v>241</v>
      </c>
      <c r="DK1697" s="4" t="s">
        <v>241</v>
      </c>
      <c r="DL1697" s="4" t="s">
        <v>241</v>
      </c>
      <c r="DP1697" s="4" t="s">
        <v>241</v>
      </c>
      <c r="DQ1697" s="4" t="s">
        <v>241</v>
      </c>
      <c r="DR1697" s="4" t="s">
        <v>241</v>
      </c>
      <c r="DS1697" s="4" t="s">
        <v>241</v>
      </c>
      <c r="DV1697" s="4" t="s">
        <v>278</v>
      </c>
      <c r="DW1697" s="4" t="s">
        <v>2138</v>
      </c>
      <c r="HO1697" s="4" t="s">
        <v>267</v>
      </c>
    </row>
    <row r="1698" spans="1:223" ht="19.5" customHeight="1" x14ac:dyDescent="0.4">
      <c r="A1698" s="4">
        <v>1</v>
      </c>
      <c r="B1698" s="4" t="s">
        <v>239</v>
      </c>
      <c r="C1698" s="4">
        <v>3372</v>
      </c>
      <c r="D1698" s="4">
        <v>1</v>
      </c>
      <c r="E1698" s="4">
        <v>1</v>
      </c>
      <c r="F1698" s="4" t="s">
        <v>268</v>
      </c>
      <c r="G1698" s="4" t="s">
        <v>241</v>
      </c>
      <c r="H1698" s="4" t="s">
        <v>241</v>
      </c>
      <c r="I1698" s="4" t="s">
        <v>272</v>
      </c>
      <c r="J1698" s="4" t="s">
        <v>274</v>
      </c>
      <c r="K1698" s="4" t="s">
        <v>251</v>
      </c>
      <c r="L1698" s="4" t="s">
        <v>269</v>
      </c>
      <c r="M1698" s="5" t="s">
        <v>2133</v>
      </c>
      <c r="N1698" s="6">
        <f>824</f>
        <v>824</v>
      </c>
      <c r="O1698" s="4" t="s">
        <v>265</v>
      </c>
      <c r="P1698" s="6">
        <f>1</f>
        <v>1</v>
      </c>
      <c r="Q1698" s="6">
        <f>0</f>
        <v>0</v>
      </c>
      <c r="S1698" s="6">
        <f>0</f>
        <v>0</v>
      </c>
      <c r="T1698" s="6">
        <f>1</f>
        <v>1</v>
      </c>
      <c r="U1698" s="5" t="s">
        <v>245</v>
      </c>
      <c r="V1698" s="4" t="s">
        <v>270</v>
      </c>
      <c r="W1698" s="4" t="s">
        <v>271</v>
      </c>
      <c r="X1698" s="4" t="s">
        <v>273</v>
      </c>
      <c r="Y1698" s="4" t="s">
        <v>241</v>
      </c>
      <c r="AB1698" s="4" t="s">
        <v>241</v>
      </c>
      <c r="AD1698" s="5" t="s">
        <v>241</v>
      </c>
      <c r="AG1698" s="5" t="s">
        <v>246</v>
      </c>
      <c r="AH1698" s="4" t="s">
        <v>241</v>
      </c>
      <c r="AI1698" s="4" t="s">
        <v>247</v>
      </c>
      <c r="AJ1698" s="4" t="s">
        <v>248</v>
      </c>
      <c r="AZ1698" s="4" t="s">
        <v>249</v>
      </c>
      <c r="BA1698" s="4" t="s">
        <v>241</v>
      </c>
      <c r="BB1698" s="4" t="s">
        <v>250</v>
      </c>
      <c r="BC1698" s="4" t="s">
        <v>241</v>
      </c>
      <c r="BD1698" s="4" t="s">
        <v>252</v>
      </c>
      <c r="BE1698" s="4" t="s">
        <v>241</v>
      </c>
      <c r="BI1698" s="4" t="s">
        <v>253</v>
      </c>
      <c r="BJ1698" s="5" t="s">
        <v>246</v>
      </c>
      <c r="BK1698" s="4" t="s">
        <v>254</v>
      </c>
      <c r="BL1698" s="4" t="s">
        <v>255</v>
      </c>
      <c r="BM1698" s="4" t="s">
        <v>241</v>
      </c>
      <c r="BN1698" s="6">
        <f>0</f>
        <v>0</v>
      </c>
      <c r="BO1698" s="6">
        <f>0</f>
        <v>0</v>
      </c>
      <c r="BP1698" s="4" t="s">
        <v>256</v>
      </c>
      <c r="BQ1698" s="4" t="s">
        <v>257</v>
      </c>
      <c r="CE1698" s="4" t="s">
        <v>241</v>
      </c>
      <c r="CF1698" s="4" t="s">
        <v>241</v>
      </c>
      <c r="CJ1698" s="4" t="s">
        <v>276</v>
      </c>
      <c r="CK1698" s="4" t="s">
        <v>259</v>
      </c>
      <c r="CL1698" s="4" t="s">
        <v>241</v>
      </c>
      <c r="CO1698" s="5" t="s">
        <v>260</v>
      </c>
      <c r="CP1698" s="4" t="s">
        <v>241</v>
      </c>
      <c r="CQ1698" s="4" t="s">
        <v>261</v>
      </c>
      <c r="CR1698" s="4" t="s">
        <v>241</v>
      </c>
      <c r="CS1698" s="4" t="s">
        <v>241</v>
      </c>
      <c r="CT1698" s="4">
        <v>0</v>
      </c>
      <c r="CU1698" s="4" t="s">
        <v>262</v>
      </c>
      <c r="CV1698" s="4" t="s">
        <v>263</v>
      </c>
      <c r="CW1698" s="4" t="s">
        <v>263</v>
      </c>
      <c r="CX1698" s="4" t="s">
        <v>264</v>
      </c>
      <c r="DA1698" s="6">
        <f>1</f>
        <v>1</v>
      </c>
      <c r="DC1698" s="4" t="s">
        <v>277</v>
      </c>
      <c r="DD1698" s="4" t="s">
        <v>241</v>
      </c>
      <c r="DF1698" s="4" t="s">
        <v>277</v>
      </c>
      <c r="DG1698" s="6">
        <f>824</f>
        <v>824</v>
      </c>
      <c r="DI1698" s="4" t="s">
        <v>241</v>
      </c>
      <c r="DJ1698" s="4" t="s">
        <v>241</v>
      </c>
      <c r="DK1698" s="4" t="s">
        <v>241</v>
      </c>
      <c r="DL1698" s="4" t="s">
        <v>241</v>
      </c>
      <c r="DP1698" s="4" t="s">
        <v>241</v>
      </c>
      <c r="DQ1698" s="4" t="s">
        <v>241</v>
      </c>
      <c r="DR1698" s="4" t="s">
        <v>241</v>
      </c>
      <c r="DS1698" s="4" t="s">
        <v>241</v>
      </c>
      <c r="DV1698" s="4" t="s">
        <v>278</v>
      </c>
      <c r="DW1698" s="4" t="s">
        <v>2134</v>
      </c>
      <c r="HO1698" s="4" t="s">
        <v>267</v>
      </c>
    </row>
    <row r="1699" spans="1:223" ht="19.5" customHeight="1" x14ac:dyDescent="0.4">
      <c r="A1699" s="4">
        <v>1</v>
      </c>
      <c r="B1699" s="4" t="s">
        <v>239</v>
      </c>
      <c r="C1699" s="4">
        <v>3373</v>
      </c>
      <c r="D1699" s="4">
        <v>1</v>
      </c>
      <c r="E1699" s="4">
        <v>1</v>
      </c>
      <c r="F1699" s="4" t="s">
        <v>268</v>
      </c>
      <c r="G1699" s="4" t="s">
        <v>241</v>
      </c>
      <c r="H1699" s="4" t="s">
        <v>241</v>
      </c>
      <c r="I1699" s="4" t="s">
        <v>272</v>
      </c>
      <c r="J1699" s="4" t="s">
        <v>274</v>
      </c>
      <c r="K1699" s="4" t="s">
        <v>251</v>
      </c>
      <c r="L1699" s="4" t="s">
        <v>269</v>
      </c>
      <c r="M1699" s="5" t="s">
        <v>2131</v>
      </c>
      <c r="N1699" s="6">
        <f>2990</f>
        <v>2990</v>
      </c>
      <c r="O1699" s="4" t="s">
        <v>265</v>
      </c>
      <c r="P1699" s="6">
        <f>1</f>
        <v>1</v>
      </c>
      <c r="Q1699" s="6">
        <f>0</f>
        <v>0</v>
      </c>
      <c r="S1699" s="6">
        <f>0</f>
        <v>0</v>
      </c>
      <c r="T1699" s="6">
        <f>1</f>
        <v>1</v>
      </c>
      <c r="U1699" s="5" t="s">
        <v>245</v>
      </c>
      <c r="V1699" s="4" t="s">
        <v>270</v>
      </c>
      <c r="W1699" s="4" t="s">
        <v>271</v>
      </c>
      <c r="X1699" s="4" t="s">
        <v>273</v>
      </c>
      <c r="Y1699" s="4" t="s">
        <v>241</v>
      </c>
      <c r="AB1699" s="4" t="s">
        <v>241</v>
      </c>
      <c r="AD1699" s="5" t="s">
        <v>241</v>
      </c>
      <c r="AG1699" s="5" t="s">
        <v>246</v>
      </c>
      <c r="AH1699" s="4" t="s">
        <v>241</v>
      </c>
      <c r="AI1699" s="4" t="s">
        <v>247</v>
      </c>
      <c r="AJ1699" s="4" t="s">
        <v>248</v>
      </c>
      <c r="AZ1699" s="4" t="s">
        <v>249</v>
      </c>
      <c r="BA1699" s="4" t="s">
        <v>241</v>
      </c>
      <c r="BB1699" s="4" t="s">
        <v>250</v>
      </c>
      <c r="BC1699" s="4" t="s">
        <v>241</v>
      </c>
      <c r="BD1699" s="4" t="s">
        <v>252</v>
      </c>
      <c r="BE1699" s="4" t="s">
        <v>241</v>
      </c>
      <c r="BI1699" s="4" t="s">
        <v>253</v>
      </c>
      <c r="BJ1699" s="5" t="s">
        <v>246</v>
      </c>
      <c r="BK1699" s="4" t="s">
        <v>254</v>
      </c>
      <c r="BL1699" s="4" t="s">
        <v>255</v>
      </c>
      <c r="BM1699" s="4" t="s">
        <v>241</v>
      </c>
      <c r="BN1699" s="6">
        <f>0</f>
        <v>0</v>
      </c>
      <c r="BO1699" s="6">
        <f>0</f>
        <v>0</v>
      </c>
      <c r="BP1699" s="4" t="s">
        <v>256</v>
      </c>
      <c r="BQ1699" s="4" t="s">
        <v>257</v>
      </c>
      <c r="CE1699" s="4" t="s">
        <v>241</v>
      </c>
      <c r="CF1699" s="4" t="s">
        <v>241</v>
      </c>
      <c r="CJ1699" s="4" t="s">
        <v>276</v>
      </c>
      <c r="CK1699" s="4" t="s">
        <v>259</v>
      </c>
      <c r="CL1699" s="4" t="s">
        <v>241</v>
      </c>
      <c r="CO1699" s="5" t="s">
        <v>260</v>
      </c>
      <c r="CP1699" s="4" t="s">
        <v>241</v>
      </c>
      <c r="CQ1699" s="4" t="s">
        <v>261</v>
      </c>
      <c r="CR1699" s="4" t="s">
        <v>241</v>
      </c>
      <c r="CS1699" s="4" t="s">
        <v>241</v>
      </c>
      <c r="CT1699" s="4">
        <v>0</v>
      </c>
      <c r="CU1699" s="4" t="s">
        <v>262</v>
      </c>
      <c r="CV1699" s="4" t="s">
        <v>263</v>
      </c>
      <c r="CW1699" s="4" t="s">
        <v>263</v>
      </c>
      <c r="CX1699" s="4" t="s">
        <v>264</v>
      </c>
      <c r="DA1699" s="6">
        <f>1</f>
        <v>1</v>
      </c>
      <c r="DC1699" s="4" t="s">
        <v>277</v>
      </c>
      <c r="DD1699" s="4" t="s">
        <v>241</v>
      </c>
      <c r="DF1699" s="4" t="s">
        <v>277</v>
      </c>
      <c r="DG1699" s="6">
        <f>2990</f>
        <v>2990</v>
      </c>
      <c r="DI1699" s="4" t="s">
        <v>241</v>
      </c>
      <c r="DJ1699" s="4" t="s">
        <v>241</v>
      </c>
      <c r="DK1699" s="4" t="s">
        <v>241</v>
      </c>
      <c r="DL1699" s="4" t="s">
        <v>241</v>
      </c>
      <c r="DP1699" s="4" t="s">
        <v>241</v>
      </c>
      <c r="DQ1699" s="4" t="s">
        <v>241</v>
      </c>
      <c r="DR1699" s="4" t="s">
        <v>241</v>
      </c>
      <c r="DS1699" s="4" t="s">
        <v>241</v>
      </c>
      <c r="DV1699" s="4" t="s">
        <v>278</v>
      </c>
      <c r="DW1699" s="4" t="s">
        <v>2132</v>
      </c>
      <c r="HO1699" s="4" t="s">
        <v>267</v>
      </c>
    </row>
    <row r="1700" spans="1:223" ht="19.5" customHeight="1" x14ac:dyDescent="0.4">
      <c r="A1700" s="4">
        <v>1</v>
      </c>
      <c r="B1700" s="4" t="s">
        <v>239</v>
      </c>
      <c r="C1700" s="4">
        <v>3374</v>
      </c>
      <c r="D1700" s="4">
        <v>1</v>
      </c>
      <c r="E1700" s="4">
        <v>1</v>
      </c>
      <c r="F1700" s="4" t="s">
        <v>268</v>
      </c>
      <c r="G1700" s="4" t="s">
        <v>241</v>
      </c>
      <c r="H1700" s="4" t="s">
        <v>241</v>
      </c>
      <c r="I1700" s="4" t="s">
        <v>272</v>
      </c>
      <c r="J1700" s="4" t="s">
        <v>274</v>
      </c>
      <c r="K1700" s="4" t="s">
        <v>251</v>
      </c>
      <c r="L1700" s="4" t="s">
        <v>269</v>
      </c>
      <c r="M1700" s="5" t="s">
        <v>2127</v>
      </c>
      <c r="N1700" s="6">
        <f>685</f>
        <v>685</v>
      </c>
      <c r="O1700" s="4" t="s">
        <v>265</v>
      </c>
      <c r="P1700" s="6">
        <f>1</f>
        <v>1</v>
      </c>
      <c r="Q1700" s="6">
        <f>0</f>
        <v>0</v>
      </c>
      <c r="S1700" s="6">
        <f>0</f>
        <v>0</v>
      </c>
      <c r="T1700" s="6">
        <f>1</f>
        <v>1</v>
      </c>
      <c r="U1700" s="5" t="s">
        <v>245</v>
      </c>
      <c r="V1700" s="4" t="s">
        <v>270</v>
      </c>
      <c r="W1700" s="4" t="s">
        <v>271</v>
      </c>
      <c r="X1700" s="4" t="s">
        <v>273</v>
      </c>
      <c r="Y1700" s="4" t="s">
        <v>241</v>
      </c>
      <c r="AB1700" s="4" t="s">
        <v>241</v>
      </c>
      <c r="AD1700" s="5" t="s">
        <v>241</v>
      </c>
      <c r="AG1700" s="5" t="s">
        <v>246</v>
      </c>
      <c r="AH1700" s="4" t="s">
        <v>241</v>
      </c>
      <c r="AI1700" s="4" t="s">
        <v>247</v>
      </c>
      <c r="AJ1700" s="4" t="s">
        <v>248</v>
      </c>
      <c r="AZ1700" s="4" t="s">
        <v>249</v>
      </c>
      <c r="BA1700" s="4" t="s">
        <v>241</v>
      </c>
      <c r="BB1700" s="4" t="s">
        <v>250</v>
      </c>
      <c r="BC1700" s="4" t="s">
        <v>241</v>
      </c>
      <c r="BD1700" s="4" t="s">
        <v>252</v>
      </c>
      <c r="BE1700" s="4" t="s">
        <v>241</v>
      </c>
      <c r="BI1700" s="4" t="s">
        <v>253</v>
      </c>
      <c r="BJ1700" s="5" t="s">
        <v>246</v>
      </c>
      <c r="BK1700" s="4" t="s">
        <v>254</v>
      </c>
      <c r="BL1700" s="4" t="s">
        <v>255</v>
      </c>
      <c r="BM1700" s="4" t="s">
        <v>241</v>
      </c>
      <c r="BN1700" s="6">
        <f>0</f>
        <v>0</v>
      </c>
      <c r="BO1700" s="6">
        <f>0</f>
        <v>0</v>
      </c>
      <c r="BP1700" s="4" t="s">
        <v>256</v>
      </c>
      <c r="BQ1700" s="4" t="s">
        <v>257</v>
      </c>
      <c r="CE1700" s="4" t="s">
        <v>241</v>
      </c>
      <c r="CF1700" s="4" t="s">
        <v>241</v>
      </c>
      <c r="CJ1700" s="4" t="s">
        <v>276</v>
      </c>
      <c r="CK1700" s="4" t="s">
        <v>259</v>
      </c>
      <c r="CL1700" s="4" t="s">
        <v>241</v>
      </c>
      <c r="CO1700" s="5" t="s">
        <v>260</v>
      </c>
      <c r="CP1700" s="4" t="s">
        <v>241</v>
      </c>
      <c r="CQ1700" s="4" t="s">
        <v>261</v>
      </c>
      <c r="CR1700" s="4" t="s">
        <v>241</v>
      </c>
      <c r="CS1700" s="4" t="s">
        <v>241</v>
      </c>
      <c r="CT1700" s="4">
        <v>0</v>
      </c>
      <c r="CU1700" s="4" t="s">
        <v>262</v>
      </c>
      <c r="CV1700" s="4" t="s">
        <v>263</v>
      </c>
      <c r="CW1700" s="4" t="s">
        <v>263</v>
      </c>
      <c r="CX1700" s="4" t="s">
        <v>264</v>
      </c>
      <c r="DA1700" s="6">
        <f>1</f>
        <v>1</v>
      </c>
      <c r="DC1700" s="4" t="s">
        <v>277</v>
      </c>
      <c r="DD1700" s="4" t="s">
        <v>241</v>
      </c>
      <c r="DF1700" s="4" t="s">
        <v>277</v>
      </c>
      <c r="DG1700" s="6">
        <f>685</f>
        <v>685</v>
      </c>
      <c r="DI1700" s="4" t="s">
        <v>241</v>
      </c>
      <c r="DJ1700" s="4" t="s">
        <v>241</v>
      </c>
      <c r="DK1700" s="4" t="s">
        <v>241</v>
      </c>
      <c r="DL1700" s="4" t="s">
        <v>241</v>
      </c>
      <c r="DP1700" s="4" t="s">
        <v>241</v>
      </c>
      <c r="DQ1700" s="4" t="s">
        <v>241</v>
      </c>
      <c r="DR1700" s="4" t="s">
        <v>241</v>
      </c>
      <c r="DS1700" s="4" t="s">
        <v>241</v>
      </c>
      <c r="DV1700" s="4" t="s">
        <v>278</v>
      </c>
      <c r="DW1700" s="4" t="s">
        <v>2128</v>
      </c>
      <c r="HO1700" s="4" t="s">
        <v>267</v>
      </c>
    </row>
    <row r="1701" spans="1:223" ht="19.5" customHeight="1" x14ac:dyDescent="0.4">
      <c r="A1701" s="4">
        <v>1</v>
      </c>
      <c r="B1701" s="4" t="s">
        <v>239</v>
      </c>
      <c r="C1701" s="4">
        <v>3375</v>
      </c>
      <c r="D1701" s="4">
        <v>1</v>
      </c>
      <c r="E1701" s="4">
        <v>1</v>
      </c>
      <c r="F1701" s="4" t="s">
        <v>268</v>
      </c>
      <c r="G1701" s="4" t="s">
        <v>241</v>
      </c>
      <c r="H1701" s="4" t="s">
        <v>241</v>
      </c>
      <c r="I1701" s="4" t="s">
        <v>272</v>
      </c>
      <c r="J1701" s="4" t="s">
        <v>274</v>
      </c>
      <c r="K1701" s="4" t="s">
        <v>251</v>
      </c>
      <c r="L1701" s="4" t="s">
        <v>269</v>
      </c>
      <c r="M1701" s="5" t="s">
        <v>2121</v>
      </c>
      <c r="N1701" s="6">
        <f>2234</f>
        <v>2234</v>
      </c>
      <c r="O1701" s="4" t="s">
        <v>265</v>
      </c>
      <c r="P1701" s="6">
        <f>1</f>
        <v>1</v>
      </c>
      <c r="Q1701" s="6">
        <f>0</f>
        <v>0</v>
      </c>
      <c r="S1701" s="6">
        <f>0</f>
        <v>0</v>
      </c>
      <c r="T1701" s="6">
        <f>1</f>
        <v>1</v>
      </c>
      <c r="U1701" s="5" t="s">
        <v>245</v>
      </c>
      <c r="V1701" s="4" t="s">
        <v>270</v>
      </c>
      <c r="W1701" s="4" t="s">
        <v>271</v>
      </c>
      <c r="X1701" s="4" t="s">
        <v>273</v>
      </c>
      <c r="Y1701" s="4" t="s">
        <v>241</v>
      </c>
      <c r="AB1701" s="4" t="s">
        <v>241</v>
      </c>
      <c r="AD1701" s="5" t="s">
        <v>241</v>
      </c>
      <c r="AG1701" s="5" t="s">
        <v>246</v>
      </c>
      <c r="AH1701" s="4" t="s">
        <v>241</v>
      </c>
      <c r="AI1701" s="4" t="s">
        <v>247</v>
      </c>
      <c r="AJ1701" s="4" t="s">
        <v>248</v>
      </c>
      <c r="AZ1701" s="4" t="s">
        <v>249</v>
      </c>
      <c r="BA1701" s="4" t="s">
        <v>241</v>
      </c>
      <c r="BB1701" s="4" t="s">
        <v>250</v>
      </c>
      <c r="BC1701" s="4" t="s">
        <v>241</v>
      </c>
      <c r="BD1701" s="4" t="s">
        <v>252</v>
      </c>
      <c r="BE1701" s="4" t="s">
        <v>241</v>
      </c>
      <c r="BI1701" s="4" t="s">
        <v>253</v>
      </c>
      <c r="BJ1701" s="5" t="s">
        <v>246</v>
      </c>
      <c r="BK1701" s="4" t="s">
        <v>254</v>
      </c>
      <c r="BL1701" s="4" t="s">
        <v>255</v>
      </c>
      <c r="BM1701" s="4" t="s">
        <v>241</v>
      </c>
      <c r="BN1701" s="6">
        <f>0</f>
        <v>0</v>
      </c>
      <c r="BO1701" s="6">
        <f>0</f>
        <v>0</v>
      </c>
      <c r="BP1701" s="4" t="s">
        <v>256</v>
      </c>
      <c r="BQ1701" s="4" t="s">
        <v>257</v>
      </c>
      <c r="CE1701" s="4" t="s">
        <v>241</v>
      </c>
      <c r="CF1701" s="4" t="s">
        <v>241</v>
      </c>
      <c r="CJ1701" s="4" t="s">
        <v>276</v>
      </c>
      <c r="CK1701" s="4" t="s">
        <v>259</v>
      </c>
      <c r="CL1701" s="4" t="s">
        <v>241</v>
      </c>
      <c r="CO1701" s="5" t="s">
        <v>260</v>
      </c>
      <c r="CP1701" s="4" t="s">
        <v>241</v>
      </c>
      <c r="CQ1701" s="4" t="s">
        <v>261</v>
      </c>
      <c r="CR1701" s="4" t="s">
        <v>241</v>
      </c>
      <c r="CS1701" s="4" t="s">
        <v>241</v>
      </c>
      <c r="CT1701" s="4">
        <v>0</v>
      </c>
      <c r="CU1701" s="4" t="s">
        <v>262</v>
      </c>
      <c r="CV1701" s="4" t="s">
        <v>263</v>
      </c>
      <c r="CW1701" s="4" t="s">
        <v>263</v>
      </c>
      <c r="CX1701" s="4" t="s">
        <v>264</v>
      </c>
      <c r="DA1701" s="6">
        <f>1</f>
        <v>1</v>
      </c>
      <c r="DC1701" s="4" t="s">
        <v>277</v>
      </c>
      <c r="DD1701" s="4" t="s">
        <v>241</v>
      </c>
      <c r="DF1701" s="4" t="s">
        <v>277</v>
      </c>
      <c r="DG1701" s="6">
        <f>2234</f>
        <v>2234</v>
      </c>
      <c r="DI1701" s="4" t="s">
        <v>241</v>
      </c>
      <c r="DJ1701" s="4" t="s">
        <v>241</v>
      </c>
      <c r="DK1701" s="4" t="s">
        <v>241</v>
      </c>
      <c r="DL1701" s="4" t="s">
        <v>241</v>
      </c>
      <c r="DP1701" s="4" t="s">
        <v>241</v>
      </c>
      <c r="DQ1701" s="4" t="s">
        <v>241</v>
      </c>
      <c r="DR1701" s="4" t="s">
        <v>241</v>
      </c>
      <c r="DS1701" s="4" t="s">
        <v>241</v>
      </c>
      <c r="DV1701" s="4" t="s">
        <v>278</v>
      </c>
      <c r="DW1701" s="4" t="s">
        <v>2122</v>
      </c>
      <c r="HO1701" s="4" t="s">
        <v>267</v>
      </c>
    </row>
    <row r="1702" spans="1:223" ht="19.5" customHeight="1" x14ac:dyDescent="0.4">
      <c r="A1702" s="4">
        <v>1</v>
      </c>
      <c r="B1702" s="4" t="s">
        <v>239</v>
      </c>
      <c r="C1702" s="4">
        <v>3376</v>
      </c>
      <c r="D1702" s="4">
        <v>1</v>
      </c>
      <c r="E1702" s="4">
        <v>1</v>
      </c>
      <c r="F1702" s="4" t="s">
        <v>268</v>
      </c>
      <c r="G1702" s="4" t="s">
        <v>241</v>
      </c>
      <c r="H1702" s="4" t="s">
        <v>241</v>
      </c>
      <c r="I1702" s="4" t="s">
        <v>272</v>
      </c>
      <c r="J1702" s="4" t="s">
        <v>274</v>
      </c>
      <c r="K1702" s="4" t="s">
        <v>251</v>
      </c>
      <c r="L1702" s="4" t="s">
        <v>269</v>
      </c>
      <c r="M1702" s="5" t="s">
        <v>2119</v>
      </c>
      <c r="N1702" s="6">
        <f>3483</f>
        <v>3483</v>
      </c>
      <c r="O1702" s="4" t="s">
        <v>265</v>
      </c>
      <c r="P1702" s="6">
        <f>1</f>
        <v>1</v>
      </c>
      <c r="Q1702" s="6">
        <f>0</f>
        <v>0</v>
      </c>
      <c r="S1702" s="6">
        <f>0</f>
        <v>0</v>
      </c>
      <c r="T1702" s="6">
        <f>1</f>
        <v>1</v>
      </c>
      <c r="U1702" s="5" t="s">
        <v>245</v>
      </c>
      <c r="V1702" s="4" t="s">
        <v>270</v>
      </c>
      <c r="W1702" s="4" t="s">
        <v>271</v>
      </c>
      <c r="X1702" s="4" t="s">
        <v>273</v>
      </c>
      <c r="Y1702" s="4" t="s">
        <v>241</v>
      </c>
      <c r="AB1702" s="4" t="s">
        <v>241</v>
      </c>
      <c r="AD1702" s="5" t="s">
        <v>241</v>
      </c>
      <c r="AG1702" s="5" t="s">
        <v>246</v>
      </c>
      <c r="AH1702" s="4" t="s">
        <v>241</v>
      </c>
      <c r="AI1702" s="4" t="s">
        <v>247</v>
      </c>
      <c r="AJ1702" s="4" t="s">
        <v>248</v>
      </c>
      <c r="AZ1702" s="4" t="s">
        <v>249</v>
      </c>
      <c r="BA1702" s="4" t="s">
        <v>241</v>
      </c>
      <c r="BB1702" s="4" t="s">
        <v>250</v>
      </c>
      <c r="BC1702" s="4" t="s">
        <v>241</v>
      </c>
      <c r="BD1702" s="4" t="s">
        <v>252</v>
      </c>
      <c r="BE1702" s="4" t="s">
        <v>241</v>
      </c>
      <c r="BI1702" s="4" t="s">
        <v>253</v>
      </c>
      <c r="BJ1702" s="5" t="s">
        <v>246</v>
      </c>
      <c r="BK1702" s="4" t="s">
        <v>254</v>
      </c>
      <c r="BL1702" s="4" t="s">
        <v>255</v>
      </c>
      <c r="BM1702" s="4" t="s">
        <v>241</v>
      </c>
      <c r="BN1702" s="6">
        <f>0</f>
        <v>0</v>
      </c>
      <c r="BO1702" s="6">
        <f>0</f>
        <v>0</v>
      </c>
      <c r="BP1702" s="4" t="s">
        <v>256</v>
      </c>
      <c r="BQ1702" s="4" t="s">
        <v>257</v>
      </c>
      <c r="CE1702" s="4" t="s">
        <v>241</v>
      </c>
      <c r="CF1702" s="4" t="s">
        <v>241</v>
      </c>
      <c r="CJ1702" s="4" t="s">
        <v>276</v>
      </c>
      <c r="CK1702" s="4" t="s">
        <v>259</v>
      </c>
      <c r="CL1702" s="4" t="s">
        <v>241</v>
      </c>
      <c r="CO1702" s="5" t="s">
        <v>260</v>
      </c>
      <c r="CP1702" s="4" t="s">
        <v>241</v>
      </c>
      <c r="CQ1702" s="4" t="s">
        <v>261</v>
      </c>
      <c r="CR1702" s="4" t="s">
        <v>241</v>
      </c>
      <c r="CS1702" s="4" t="s">
        <v>241</v>
      </c>
      <c r="CT1702" s="4">
        <v>0</v>
      </c>
      <c r="CU1702" s="4" t="s">
        <v>262</v>
      </c>
      <c r="CV1702" s="4" t="s">
        <v>263</v>
      </c>
      <c r="CW1702" s="4" t="s">
        <v>263</v>
      </c>
      <c r="CX1702" s="4" t="s">
        <v>264</v>
      </c>
      <c r="DA1702" s="6">
        <f>1</f>
        <v>1</v>
      </c>
      <c r="DC1702" s="4" t="s">
        <v>277</v>
      </c>
      <c r="DD1702" s="4" t="s">
        <v>241</v>
      </c>
      <c r="DF1702" s="4" t="s">
        <v>277</v>
      </c>
      <c r="DG1702" s="6">
        <f>3483</f>
        <v>3483</v>
      </c>
      <c r="DI1702" s="4" t="s">
        <v>241</v>
      </c>
      <c r="DJ1702" s="4" t="s">
        <v>241</v>
      </c>
      <c r="DK1702" s="4" t="s">
        <v>241</v>
      </c>
      <c r="DL1702" s="4" t="s">
        <v>241</v>
      </c>
      <c r="DP1702" s="4" t="s">
        <v>241</v>
      </c>
      <c r="DQ1702" s="4" t="s">
        <v>241</v>
      </c>
      <c r="DR1702" s="4" t="s">
        <v>241</v>
      </c>
      <c r="DS1702" s="4" t="s">
        <v>241</v>
      </c>
      <c r="DV1702" s="4" t="s">
        <v>278</v>
      </c>
      <c r="DW1702" s="4" t="s">
        <v>2120</v>
      </c>
      <c r="HO1702" s="4" t="s">
        <v>267</v>
      </c>
    </row>
    <row r="1703" spans="1:223" ht="19.5" customHeight="1" x14ac:dyDescent="0.4">
      <c r="A1703" s="4">
        <v>1</v>
      </c>
      <c r="B1703" s="4" t="s">
        <v>239</v>
      </c>
      <c r="C1703" s="4">
        <v>3377</v>
      </c>
      <c r="D1703" s="4">
        <v>1</v>
      </c>
      <c r="E1703" s="4">
        <v>1</v>
      </c>
      <c r="F1703" s="4" t="s">
        <v>268</v>
      </c>
      <c r="G1703" s="4" t="s">
        <v>241</v>
      </c>
      <c r="H1703" s="4" t="s">
        <v>241</v>
      </c>
      <c r="I1703" s="4" t="s">
        <v>272</v>
      </c>
      <c r="J1703" s="4" t="s">
        <v>274</v>
      </c>
      <c r="K1703" s="4" t="s">
        <v>251</v>
      </c>
      <c r="L1703" s="4" t="s">
        <v>269</v>
      </c>
      <c r="M1703" s="5" t="s">
        <v>2117</v>
      </c>
      <c r="N1703" s="6">
        <f>3958</f>
        <v>3958</v>
      </c>
      <c r="O1703" s="4" t="s">
        <v>265</v>
      </c>
      <c r="P1703" s="6">
        <f>1</f>
        <v>1</v>
      </c>
      <c r="Q1703" s="6">
        <f>0</f>
        <v>0</v>
      </c>
      <c r="S1703" s="6">
        <f>0</f>
        <v>0</v>
      </c>
      <c r="T1703" s="6">
        <f>1</f>
        <v>1</v>
      </c>
      <c r="U1703" s="5" t="s">
        <v>245</v>
      </c>
      <c r="V1703" s="4" t="s">
        <v>270</v>
      </c>
      <c r="W1703" s="4" t="s">
        <v>271</v>
      </c>
      <c r="X1703" s="4" t="s">
        <v>273</v>
      </c>
      <c r="Y1703" s="4" t="s">
        <v>241</v>
      </c>
      <c r="AB1703" s="4" t="s">
        <v>241</v>
      </c>
      <c r="AD1703" s="5" t="s">
        <v>241</v>
      </c>
      <c r="AG1703" s="5" t="s">
        <v>246</v>
      </c>
      <c r="AH1703" s="4" t="s">
        <v>241</v>
      </c>
      <c r="AI1703" s="4" t="s">
        <v>247</v>
      </c>
      <c r="AJ1703" s="4" t="s">
        <v>248</v>
      </c>
      <c r="AZ1703" s="4" t="s">
        <v>249</v>
      </c>
      <c r="BA1703" s="4" t="s">
        <v>241</v>
      </c>
      <c r="BB1703" s="4" t="s">
        <v>250</v>
      </c>
      <c r="BC1703" s="4" t="s">
        <v>241</v>
      </c>
      <c r="BD1703" s="4" t="s">
        <v>252</v>
      </c>
      <c r="BE1703" s="4" t="s">
        <v>241</v>
      </c>
      <c r="BI1703" s="4" t="s">
        <v>253</v>
      </c>
      <c r="BJ1703" s="5" t="s">
        <v>246</v>
      </c>
      <c r="BK1703" s="4" t="s">
        <v>254</v>
      </c>
      <c r="BL1703" s="4" t="s">
        <v>255</v>
      </c>
      <c r="BM1703" s="4" t="s">
        <v>241</v>
      </c>
      <c r="BN1703" s="6">
        <f>0</f>
        <v>0</v>
      </c>
      <c r="BO1703" s="6">
        <f>0</f>
        <v>0</v>
      </c>
      <c r="BP1703" s="4" t="s">
        <v>256</v>
      </c>
      <c r="BQ1703" s="4" t="s">
        <v>257</v>
      </c>
      <c r="CE1703" s="4" t="s">
        <v>241</v>
      </c>
      <c r="CF1703" s="4" t="s">
        <v>241</v>
      </c>
      <c r="CJ1703" s="4" t="s">
        <v>276</v>
      </c>
      <c r="CK1703" s="4" t="s">
        <v>259</v>
      </c>
      <c r="CL1703" s="4" t="s">
        <v>241</v>
      </c>
      <c r="CO1703" s="5" t="s">
        <v>260</v>
      </c>
      <c r="CP1703" s="4" t="s">
        <v>241</v>
      </c>
      <c r="CQ1703" s="4" t="s">
        <v>261</v>
      </c>
      <c r="CR1703" s="4" t="s">
        <v>241</v>
      </c>
      <c r="CS1703" s="4" t="s">
        <v>241</v>
      </c>
      <c r="CT1703" s="4">
        <v>0</v>
      </c>
      <c r="CU1703" s="4" t="s">
        <v>262</v>
      </c>
      <c r="CV1703" s="4" t="s">
        <v>263</v>
      </c>
      <c r="CW1703" s="4" t="s">
        <v>263</v>
      </c>
      <c r="CX1703" s="4" t="s">
        <v>264</v>
      </c>
      <c r="DA1703" s="6">
        <f>1</f>
        <v>1</v>
      </c>
      <c r="DC1703" s="4" t="s">
        <v>277</v>
      </c>
      <c r="DD1703" s="4" t="s">
        <v>241</v>
      </c>
      <c r="DF1703" s="4" t="s">
        <v>277</v>
      </c>
      <c r="DG1703" s="6">
        <f>3958</f>
        <v>3958</v>
      </c>
      <c r="DI1703" s="4" t="s">
        <v>241</v>
      </c>
      <c r="DJ1703" s="4" t="s">
        <v>241</v>
      </c>
      <c r="DK1703" s="4" t="s">
        <v>241</v>
      </c>
      <c r="DL1703" s="4" t="s">
        <v>241</v>
      </c>
      <c r="DP1703" s="4" t="s">
        <v>241</v>
      </c>
      <c r="DQ1703" s="4" t="s">
        <v>241</v>
      </c>
      <c r="DR1703" s="4" t="s">
        <v>241</v>
      </c>
      <c r="DS1703" s="4" t="s">
        <v>241</v>
      </c>
      <c r="DV1703" s="4" t="s">
        <v>278</v>
      </c>
      <c r="DW1703" s="4" t="s">
        <v>2118</v>
      </c>
      <c r="HO1703" s="4" t="s">
        <v>267</v>
      </c>
    </row>
    <row r="1704" spans="1:223" ht="19.5" customHeight="1" x14ac:dyDescent="0.4">
      <c r="A1704" s="4">
        <v>1</v>
      </c>
      <c r="B1704" s="4" t="s">
        <v>239</v>
      </c>
      <c r="C1704" s="4">
        <v>3378</v>
      </c>
      <c r="D1704" s="4">
        <v>1</v>
      </c>
      <c r="E1704" s="4">
        <v>1</v>
      </c>
      <c r="F1704" s="4" t="s">
        <v>268</v>
      </c>
      <c r="G1704" s="4" t="s">
        <v>241</v>
      </c>
      <c r="H1704" s="4" t="s">
        <v>241</v>
      </c>
      <c r="I1704" s="4" t="s">
        <v>272</v>
      </c>
      <c r="J1704" s="4" t="s">
        <v>274</v>
      </c>
      <c r="K1704" s="4" t="s">
        <v>251</v>
      </c>
      <c r="L1704" s="4" t="s">
        <v>269</v>
      </c>
      <c r="M1704" s="5" t="s">
        <v>2115</v>
      </c>
      <c r="N1704" s="6">
        <f>703</f>
        <v>703</v>
      </c>
      <c r="O1704" s="4" t="s">
        <v>265</v>
      </c>
      <c r="P1704" s="6">
        <f>1</f>
        <v>1</v>
      </c>
      <c r="Q1704" s="6">
        <f>0</f>
        <v>0</v>
      </c>
      <c r="S1704" s="6">
        <f>0</f>
        <v>0</v>
      </c>
      <c r="T1704" s="6">
        <f>1</f>
        <v>1</v>
      </c>
      <c r="U1704" s="5" t="s">
        <v>245</v>
      </c>
      <c r="V1704" s="4" t="s">
        <v>270</v>
      </c>
      <c r="W1704" s="4" t="s">
        <v>271</v>
      </c>
      <c r="X1704" s="4" t="s">
        <v>273</v>
      </c>
      <c r="Y1704" s="4" t="s">
        <v>241</v>
      </c>
      <c r="AB1704" s="4" t="s">
        <v>241</v>
      </c>
      <c r="AD1704" s="5" t="s">
        <v>241</v>
      </c>
      <c r="AG1704" s="5" t="s">
        <v>246</v>
      </c>
      <c r="AH1704" s="4" t="s">
        <v>241</v>
      </c>
      <c r="AI1704" s="4" t="s">
        <v>247</v>
      </c>
      <c r="AJ1704" s="4" t="s">
        <v>248</v>
      </c>
      <c r="AZ1704" s="4" t="s">
        <v>249</v>
      </c>
      <c r="BA1704" s="4" t="s">
        <v>241</v>
      </c>
      <c r="BB1704" s="4" t="s">
        <v>250</v>
      </c>
      <c r="BC1704" s="4" t="s">
        <v>241</v>
      </c>
      <c r="BD1704" s="4" t="s">
        <v>252</v>
      </c>
      <c r="BE1704" s="4" t="s">
        <v>241</v>
      </c>
      <c r="BI1704" s="4" t="s">
        <v>253</v>
      </c>
      <c r="BJ1704" s="5" t="s">
        <v>246</v>
      </c>
      <c r="BK1704" s="4" t="s">
        <v>254</v>
      </c>
      <c r="BL1704" s="4" t="s">
        <v>255</v>
      </c>
      <c r="BM1704" s="4" t="s">
        <v>241</v>
      </c>
      <c r="BN1704" s="6">
        <f>0</f>
        <v>0</v>
      </c>
      <c r="BO1704" s="6">
        <f>0</f>
        <v>0</v>
      </c>
      <c r="BP1704" s="4" t="s">
        <v>256</v>
      </c>
      <c r="BQ1704" s="4" t="s">
        <v>257</v>
      </c>
      <c r="CE1704" s="4" t="s">
        <v>241</v>
      </c>
      <c r="CF1704" s="4" t="s">
        <v>241</v>
      </c>
      <c r="CJ1704" s="4" t="s">
        <v>276</v>
      </c>
      <c r="CK1704" s="4" t="s">
        <v>259</v>
      </c>
      <c r="CL1704" s="4" t="s">
        <v>241</v>
      </c>
      <c r="CO1704" s="5" t="s">
        <v>260</v>
      </c>
      <c r="CP1704" s="4" t="s">
        <v>241</v>
      </c>
      <c r="CQ1704" s="4" t="s">
        <v>261</v>
      </c>
      <c r="CR1704" s="4" t="s">
        <v>241</v>
      </c>
      <c r="CS1704" s="4" t="s">
        <v>241</v>
      </c>
      <c r="CT1704" s="4">
        <v>0</v>
      </c>
      <c r="CU1704" s="4" t="s">
        <v>262</v>
      </c>
      <c r="CV1704" s="4" t="s">
        <v>263</v>
      </c>
      <c r="CW1704" s="4" t="s">
        <v>263</v>
      </c>
      <c r="CX1704" s="4" t="s">
        <v>264</v>
      </c>
      <c r="DA1704" s="6">
        <f>1</f>
        <v>1</v>
      </c>
      <c r="DC1704" s="4" t="s">
        <v>277</v>
      </c>
      <c r="DD1704" s="4" t="s">
        <v>241</v>
      </c>
      <c r="DF1704" s="4" t="s">
        <v>277</v>
      </c>
      <c r="DG1704" s="6">
        <f>703</f>
        <v>703</v>
      </c>
      <c r="DI1704" s="4" t="s">
        <v>241</v>
      </c>
      <c r="DJ1704" s="4" t="s">
        <v>241</v>
      </c>
      <c r="DK1704" s="4" t="s">
        <v>241</v>
      </c>
      <c r="DL1704" s="4" t="s">
        <v>241</v>
      </c>
      <c r="DP1704" s="4" t="s">
        <v>241</v>
      </c>
      <c r="DQ1704" s="4" t="s">
        <v>241</v>
      </c>
      <c r="DR1704" s="4" t="s">
        <v>241</v>
      </c>
      <c r="DS1704" s="4" t="s">
        <v>241</v>
      </c>
      <c r="DV1704" s="4" t="s">
        <v>278</v>
      </c>
      <c r="DW1704" s="4" t="s">
        <v>2116</v>
      </c>
      <c r="HO1704" s="4" t="s">
        <v>267</v>
      </c>
    </row>
    <row r="1705" spans="1:223" ht="19.5" customHeight="1" x14ac:dyDescent="0.4">
      <c r="A1705" s="4">
        <v>1</v>
      </c>
      <c r="B1705" s="4" t="s">
        <v>239</v>
      </c>
      <c r="C1705" s="4">
        <v>3379</v>
      </c>
      <c r="D1705" s="4">
        <v>1</v>
      </c>
      <c r="E1705" s="4">
        <v>1</v>
      </c>
      <c r="F1705" s="4" t="s">
        <v>268</v>
      </c>
      <c r="G1705" s="4" t="s">
        <v>241</v>
      </c>
      <c r="H1705" s="4" t="s">
        <v>241</v>
      </c>
      <c r="I1705" s="4" t="s">
        <v>272</v>
      </c>
      <c r="J1705" s="4" t="s">
        <v>274</v>
      </c>
      <c r="K1705" s="4" t="s">
        <v>251</v>
      </c>
      <c r="L1705" s="4" t="s">
        <v>269</v>
      </c>
      <c r="M1705" s="5" t="s">
        <v>2113</v>
      </c>
      <c r="N1705" s="6">
        <f>2837</f>
        <v>2837</v>
      </c>
      <c r="O1705" s="4" t="s">
        <v>265</v>
      </c>
      <c r="P1705" s="6">
        <f>1</f>
        <v>1</v>
      </c>
      <c r="Q1705" s="6">
        <f>0</f>
        <v>0</v>
      </c>
      <c r="S1705" s="6">
        <f>0</f>
        <v>0</v>
      </c>
      <c r="T1705" s="6">
        <f>1</f>
        <v>1</v>
      </c>
      <c r="U1705" s="5" t="s">
        <v>245</v>
      </c>
      <c r="V1705" s="4" t="s">
        <v>270</v>
      </c>
      <c r="W1705" s="4" t="s">
        <v>271</v>
      </c>
      <c r="X1705" s="4" t="s">
        <v>273</v>
      </c>
      <c r="Y1705" s="4" t="s">
        <v>241</v>
      </c>
      <c r="AB1705" s="4" t="s">
        <v>241</v>
      </c>
      <c r="AD1705" s="5" t="s">
        <v>241</v>
      </c>
      <c r="AG1705" s="5" t="s">
        <v>246</v>
      </c>
      <c r="AH1705" s="4" t="s">
        <v>241</v>
      </c>
      <c r="AI1705" s="4" t="s">
        <v>247</v>
      </c>
      <c r="AJ1705" s="4" t="s">
        <v>248</v>
      </c>
      <c r="AZ1705" s="4" t="s">
        <v>249</v>
      </c>
      <c r="BA1705" s="4" t="s">
        <v>241</v>
      </c>
      <c r="BB1705" s="4" t="s">
        <v>250</v>
      </c>
      <c r="BC1705" s="4" t="s">
        <v>241</v>
      </c>
      <c r="BD1705" s="4" t="s">
        <v>252</v>
      </c>
      <c r="BE1705" s="4" t="s">
        <v>241</v>
      </c>
      <c r="BI1705" s="4" t="s">
        <v>253</v>
      </c>
      <c r="BJ1705" s="5" t="s">
        <v>246</v>
      </c>
      <c r="BK1705" s="4" t="s">
        <v>254</v>
      </c>
      <c r="BL1705" s="4" t="s">
        <v>255</v>
      </c>
      <c r="BM1705" s="4" t="s">
        <v>241</v>
      </c>
      <c r="BN1705" s="6">
        <f>0</f>
        <v>0</v>
      </c>
      <c r="BO1705" s="6">
        <f>0</f>
        <v>0</v>
      </c>
      <c r="BP1705" s="4" t="s">
        <v>256</v>
      </c>
      <c r="BQ1705" s="4" t="s">
        <v>257</v>
      </c>
      <c r="CE1705" s="4" t="s">
        <v>241</v>
      </c>
      <c r="CF1705" s="4" t="s">
        <v>241</v>
      </c>
      <c r="CJ1705" s="4" t="s">
        <v>276</v>
      </c>
      <c r="CK1705" s="4" t="s">
        <v>259</v>
      </c>
      <c r="CL1705" s="4" t="s">
        <v>241</v>
      </c>
      <c r="CO1705" s="5" t="s">
        <v>260</v>
      </c>
      <c r="CP1705" s="4" t="s">
        <v>241</v>
      </c>
      <c r="CQ1705" s="4" t="s">
        <v>261</v>
      </c>
      <c r="CR1705" s="4" t="s">
        <v>241</v>
      </c>
      <c r="CS1705" s="4" t="s">
        <v>241</v>
      </c>
      <c r="CT1705" s="4">
        <v>0</v>
      </c>
      <c r="CU1705" s="4" t="s">
        <v>262</v>
      </c>
      <c r="CV1705" s="4" t="s">
        <v>263</v>
      </c>
      <c r="CW1705" s="4" t="s">
        <v>263</v>
      </c>
      <c r="CX1705" s="4" t="s">
        <v>264</v>
      </c>
      <c r="DA1705" s="6">
        <f>1</f>
        <v>1</v>
      </c>
      <c r="DC1705" s="4" t="s">
        <v>277</v>
      </c>
      <c r="DD1705" s="4" t="s">
        <v>241</v>
      </c>
      <c r="DF1705" s="4" t="s">
        <v>277</v>
      </c>
      <c r="DG1705" s="6">
        <f>2837</f>
        <v>2837</v>
      </c>
      <c r="DI1705" s="4" t="s">
        <v>241</v>
      </c>
      <c r="DJ1705" s="4" t="s">
        <v>241</v>
      </c>
      <c r="DK1705" s="4" t="s">
        <v>241</v>
      </c>
      <c r="DL1705" s="4" t="s">
        <v>241</v>
      </c>
      <c r="DP1705" s="4" t="s">
        <v>241</v>
      </c>
      <c r="DQ1705" s="4" t="s">
        <v>241</v>
      </c>
      <c r="DR1705" s="4" t="s">
        <v>241</v>
      </c>
      <c r="DS1705" s="4" t="s">
        <v>241</v>
      </c>
      <c r="DV1705" s="4" t="s">
        <v>278</v>
      </c>
      <c r="DW1705" s="4" t="s">
        <v>2114</v>
      </c>
      <c r="HO1705" s="4" t="s">
        <v>267</v>
      </c>
    </row>
    <row r="1706" spans="1:223" ht="19.5" customHeight="1" x14ac:dyDescent="0.4">
      <c r="A1706" s="4">
        <v>1</v>
      </c>
      <c r="B1706" s="4" t="s">
        <v>239</v>
      </c>
      <c r="C1706" s="4">
        <v>3380</v>
      </c>
      <c r="D1706" s="4">
        <v>1</v>
      </c>
      <c r="E1706" s="4">
        <v>1</v>
      </c>
      <c r="F1706" s="4" t="s">
        <v>268</v>
      </c>
      <c r="G1706" s="4" t="s">
        <v>241</v>
      </c>
      <c r="H1706" s="4" t="s">
        <v>241</v>
      </c>
      <c r="I1706" s="4" t="s">
        <v>272</v>
      </c>
      <c r="J1706" s="4" t="s">
        <v>274</v>
      </c>
      <c r="K1706" s="4" t="s">
        <v>251</v>
      </c>
      <c r="L1706" s="4" t="s">
        <v>269</v>
      </c>
      <c r="M1706" s="5" t="s">
        <v>2111</v>
      </c>
      <c r="N1706" s="6">
        <f>1579</f>
        <v>1579</v>
      </c>
      <c r="O1706" s="4" t="s">
        <v>265</v>
      </c>
      <c r="P1706" s="6">
        <f>1</f>
        <v>1</v>
      </c>
      <c r="Q1706" s="6">
        <f>0</f>
        <v>0</v>
      </c>
      <c r="S1706" s="6">
        <f>0</f>
        <v>0</v>
      </c>
      <c r="T1706" s="6">
        <f>1</f>
        <v>1</v>
      </c>
      <c r="U1706" s="5" t="s">
        <v>245</v>
      </c>
      <c r="V1706" s="4" t="s">
        <v>270</v>
      </c>
      <c r="W1706" s="4" t="s">
        <v>271</v>
      </c>
      <c r="X1706" s="4" t="s">
        <v>273</v>
      </c>
      <c r="Y1706" s="4" t="s">
        <v>241</v>
      </c>
      <c r="AB1706" s="4" t="s">
        <v>241</v>
      </c>
      <c r="AD1706" s="5" t="s">
        <v>241</v>
      </c>
      <c r="AG1706" s="5" t="s">
        <v>246</v>
      </c>
      <c r="AH1706" s="4" t="s">
        <v>241</v>
      </c>
      <c r="AI1706" s="4" t="s">
        <v>247</v>
      </c>
      <c r="AJ1706" s="4" t="s">
        <v>248</v>
      </c>
      <c r="AZ1706" s="4" t="s">
        <v>249</v>
      </c>
      <c r="BA1706" s="4" t="s">
        <v>241</v>
      </c>
      <c r="BB1706" s="4" t="s">
        <v>250</v>
      </c>
      <c r="BC1706" s="4" t="s">
        <v>241</v>
      </c>
      <c r="BD1706" s="4" t="s">
        <v>252</v>
      </c>
      <c r="BE1706" s="4" t="s">
        <v>241</v>
      </c>
      <c r="BI1706" s="4" t="s">
        <v>253</v>
      </c>
      <c r="BJ1706" s="5" t="s">
        <v>246</v>
      </c>
      <c r="BK1706" s="4" t="s">
        <v>254</v>
      </c>
      <c r="BL1706" s="4" t="s">
        <v>255</v>
      </c>
      <c r="BM1706" s="4" t="s">
        <v>241</v>
      </c>
      <c r="BN1706" s="6">
        <f>0</f>
        <v>0</v>
      </c>
      <c r="BO1706" s="6">
        <f>0</f>
        <v>0</v>
      </c>
      <c r="BP1706" s="4" t="s">
        <v>256</v>
      </c>
      <c r="BQ1706" s="4" t="s">
        <v>257</v>
      </c>
      <c r="CE1706" s="4" t="s">
        <v>241</v>
      </c>
      <c r="CF1706" s="4" t="s">
        <v>241</v>
      </c>
      <c r="CJ1706" s="4" t="s">
        <v>276</v>
      </c>
      <c r="CK1706" s="4" t="s">
        <v>259</v>
      </c>
      <c r="CL1706" s="4" t="s">
        <v>241</v>
      </c>
      <c r="CO1706" s="5" t="s">
        <v>260</v>
      </c>
      <c r="CP1706" s="4" t="s">
        <v>241</v>
      </c>
      <c r="CQ1706" s="4" t="s">
        <v>261</v>
      </c>
      <c r="CR1706" s="4" t="s">
        <v>241</v>
      </c>
      <c r="CS1706" s="4" t="s">
        <v>241</v>
      </c>
      <c r="CT1706" s="4">
        <v>0</v>
      </c>
      <c r="CU1706" s="4" t="s">
        <v>262</v>
      </c>
      <c r="CV1706" s="4" t="s">
        <v>263</v>
      </c>
      <c r="CW1706" s="4" t="s">
        <v>263</v>
      </c>
      <c r="CX1706" s="4" t="s">
        <v>264</v>
      </c>
      <c r="DA1706" s="6">
        <f>1</f>
        <v>1</v>
      </c>
      <c r="DC1706" s="4" t="s">
        <v>277</v>
      </c>
      <c r="DD1706" s="4" t="s">
        <v>241</v>
      </c>
      <c r="DF1706" s="4" t="s">
        <v>277</v>
      </c>
      <c r="DG1706" s="6">
        <f>1579</f>
        <v>1579</v>
      </c>
      <c r="DI1706" s="4" t="s">
        <v>241</v>
      </c>
      <c r="DJ1706" s="4" t="s">
        <v>241</v>
      </c>
      <c r="DK1706" s="4" t="s">
        <v>241</v>
      </c>
      <c r="DL1706" s="4" t="s">
        <v>241</v>
      </c>
      <c r="DP1706" s="4" t="s">
        <v>241</v>
      </c>
      <c r="DQ1706" s="4" t="s">
        <v>241</v>
      </c>
      <c r="DR1706" s="4" t="s">
        <v>241</v>
      </c>
      <c r="DS1706" s="4" t="s">
        <v>241</v>
      </c>
      <c r="DV1706" s="4" t="s">
        <v>278</v>
      </c>
      <c r="DW1706" s="4" t="s">
        <v>2112</v>
      </c>
      <c r="HO1706" s="4" t="s">
        <v>267</v>
      </c>
    </row>
    <row r="1707" spans="1:223" ht="19.5" customHeight="1" x14ac:dyDescent="0.4">
      <c r="A1707" s="4">
        <v>1</v>
      </c>
      <c r="B1707" s="4" t="s">
        <v>239</v>
      </c>
      <c r="C1707" s="4">
        <v>3381</v>
      </c>
      <c r="D1707" s="4">
        <v>1</v>
      </c>
      <c r="E1707" s="4">
        <v>1</v>
      </c>
      <c r="F1707" s="4" t="s">
        <v>268</v>
      </c>
      <c r="G1707" s="4" t="s">
        <v>241</v>
      </c>
      <c r="H1707" s="4" t="s">
        <v>241</v>
      </c>
      <c r="I1707" s="4" t="s">
        <v>272</v>
      </c>
      <c r="J1707" s="4" t="s">
        <v>274</v>
      </c>
      <c r="K1707" s="4" t="s">
        <v>251</v>
      </c>
      <c r="L1707" s="4" t="s">
        <v>269</v>
      </c>
      <c r="M1707" s="5" t="s">
        <v>2109</v>
      </c>
      <c r="N1707" s="6">
        <f>1816</f>
        <v>1816</v>
      </c>
      <c r="O1707" s="4" t="s">
        <v>265</v>
      </c>
      <c r="P1707" s="6">
        <f>1</f>
        <v>1</v>
      </c>
      <c r="Q1707" s="6">
        <f>0</f>
        <v>0</v>
      </c>
      <c r="S1707" s="6">
        <f>0</f>
        <v>0</v>
      </c>
      <c r="T1707" s="6">
        <f>1</f>
        <v>1</v>
      </c>
      <c r="U1707" s="5" t="s">
        <v>245</v>
      </c>
      <c r="V1707" s="4" t="s">
        <v>270</v>
      </c>
      <c r="W1707" s="4" t="s">
        <v>271</v>
      </c>
      <c r="X1707" s="4" t="s">
        <v>273</v>
      </c>
      <c r="Y1707" s="4" t="s">
        <v>241</v>
      </c>
      <c r="AB1707" s="4" t="s">
        <v>241</v>
      </c>
      <c r="AD1707" s="5" t="s">
        <v>241</v>
      </c>
      <c r="AG1707" s="5" t="s">
        <v>246</v>
      </c>
      <c r="AH1707" s="4" t="s">
        <v>241</v>
      </c>
      <c r="AI1707" s="4" t="s">
        <v>247</v>
      </c>
      <c r="AJ1707" s="4" t="s">
        <v>248</v>
      </c>
      <c r="AZ1707" s="4" t="s">
        <v>249</v>
      </c>
      <c r="BA1707" s="4" t="s">
        <v>241</v>
      </c>
      <c r="BB1707" s="4" t="s">
        <v>250</v>
      </c>
      <c r="BC1707" s="4" t="s">
        <v>241</v>
      </c>
      <c r="BD1707" s="4" t="s">
        <v>252</v>
      </c>
      <c r="BE1707" s="4" t="s">
        <v>241</v>
      </c>
      <c r="BI1707" s="4" t="s">
        <v>253</v>
      </c>
      <c r="BJ1707" s="5" t="s">
        <v>246</v>
      </c>
      <c r="BK1707" s="4" t="s">
        <v>254</v>
      </c>
      <c r="BL1707" s="4" t="s">
        <v>255</v>
      </c>
      <c r="BM1707" s="4" t="s">
        <v>241</v>
      </c>
      <c r="BN1707" s="6">
        <f>0</f>
        <v>0</v>
      </c>
      <c r="BO1707" s="6">
        <f>0</f>
        <v>0</v>
      </c>
      <c r="BP1707" s="4" t="s">
        <v>256</v>
      </c>
      <c r="BQ1707" s="4" t="s">
        <v>257</v>
      </c>
      <c r="CE1707" s="4" t="s">
        <v>241</v>
      </c>
      <c r="CF1707" s="4" t="s">
        <v>241</v>
      </c>
      <c r="CJ1707" s="4" t="s">
        <v>276</v>
      </c>
      <c r="CK1707" s="4" t="s">
        <v>259</v>
      </c>
      <c r="CL1707" s="4" t="s">
        <v>241</v>
      </c>
      <c r="CO1707" s="5" t="s">
        <v>260</v>
      </c>
      <c r="CP1707" s="4" t="s">
        <v>241</v>
      </c>
      <c r="CQ1707" s="4" t="s">
        <v>261</v>
      </c>
      <c r="CR1707" s="4" t="s">
        <v>241</v>
      </c>
      <c r="CS1707" s="4" t="s">
        <v>241</v>
      </c>
      <c r="CT1707" s="4">
        <v>0</v>
      </c>
      <c r="CU1707" s="4" t="s">
        <v>262</v>
      </c>
      <c r="CV1707" s="4" t="s">
        <v>263</v>
      </c>
      <c r="CW1707" s="4" t="s">
        <v>263</v>
      </c>
      <c r="CX1707" s="4" t="s">
        <v>264</v>
      </c>
      <c r="DA1707" s="6">
        <f>1</f>
        <v>1</v>
      </c>
      <c r="DC1707" s="4" t="s">
        <v>277</v>
      </c>
      <c r="DD1707" s="4" t="s">
        <v>241</v>
      </c>
      <c r="DF1707" s="4" t="s">
        <v>277</v>
      </c>
      <c r="DG1707" s="6">
        <f>1816</f>
        <v>1816</v>
      </c>
      <c r="DI1707" s="4" t="s">
        <v>241</v>
      </c>
      <c r="DJ1707" s="4" t="s">
        <v>241</v>
      </c>
      <c r="DK1707" s="4" t="s">
        <v>241</v>
      </c>
      <c r="DL1707" s="4" t="s">
        <v>241</v>
      </c>
      <c r="DP1707" s="4" t="s">
        <v>241</v>
      </c>
      <c r="DQ1707" s="4" t="s">
        <v>241</v>
      </c>
      <c r="DR1707" s="4" t="s">
        <v>241</v>
      </c>
      <c r="DS1707" s="4" t="s">
        <v>241</v>
      </c>
      <c r="DV1707" s="4" t="s">
        <v>278</v>
      </c>
      <c r="DW1707" s="4" t="s">
        <v>2110</v>
      </c>
      <c r="HO1707" s="4" t="s">
        <v>267</v>
      </c>
    </row>
    <row r="1708" spans="1:223" ht="19.5" customHeight="1" x14ac:dyDescent="0.4">
      <c r="A1708" s="4">
        <v>1</v>
      </c>
      <c r="B1708" s="4" t="s">
        <v>239</v>
      </c>
      <c r="C1708" s="4">
        <v>3382</v>
      </c>
      <c r="D1708" s="4">
        <v>1</v>
      </c>
      <c r="E1708" s="4">
        <v>1</v>
      </c>
      <c r="F1708" s="4" t="s">
        <v>268</v>
      </c>
      <c r="G1708" s="4" t="s">
        <v>241</v>
      </c>
      <c r="H1708" s="4" t="s">
        <v>241</v>
      </c>
      <c r="I1708" s="4" t="s">
        <v>272</v>
      </c>
      <c r="J1708" s="4" t="s">
        <v>274</v>
      </c>
      <c r="K1708" s="4" t="s">
        <v>251</v>
      </c>
      <c r="L1708" s="4" t="s">
        <v>269</v>
      </c>
      <c r="M1708" s="5" t="s">
        <v>2107</v>
      </c>
      <c r="N1708" s="6">
        <f>839</f>
        <v>839</v>
      </c>
      <c r="O1708" s="4" t="s">
        <v>265</v>
      </c>
      <c r="P1708" s="6">
        <f>1</f>
        <v>1</v>
      </c>
      <c r="Q1708" s="6">
        <f>0</f>
        <v>0</v>
      </c>
      <c r="S1708" s="6">
        <f>0</f>
        <v>0</v>
      </c>
      <c r="T1708" s="6">
        <f>1</f>
        <v>1</v>
      </c>
      <c r="U1708" s="5" t="s">
        <v>245</v>
      </c>
      <c r="V1708" s="4" t="s">
        <v>270</v>
      </c>
      <c r="W1708" s="4" t="s">
        <v>271</v>
      </c>
      <c r="X1708" s="4" t="s">
        <v>273</v>
      </c>
      <c r="Y1708" s="4" t="s">
        <v>241</v>
      </c>
      <c r="AB1708" s="4" t="s">
        <v>241</v>
      </c>
      <c r="AD1708" s="5" t="s">
        <v>241</v>
      </c>
      <c r="AG1708" s="5" t="s">
        <v>246</v>
      </c>
      <c r="AH1708" s="4" t="s">
        <v>241</v>
      </c>
      <c r="AI1708" s="4" t="s">
        <v>247</v>
      </c>
      <c r="AJ1708" s="4" t="s">
        <v>248</v>
      </c>
      <c r="AZ1708" s="4" t="s">
        <v>249</v>
      </c>
      <c r="BA1708" s="4" t="s">
        <v>241</v>
      </c>
      <c r="BB1708" s="4" t="s">
        <v>250</v>
      </c>
      <c r="BC1708" s="4" t="s">
        <v>241</v>
      </c>
      <c r="BD1708" s="4" t="s">
        <v>252</v>
      </c>
      <c r="BE1708" s="4" t="s">
        <v>241</v>
      </c>
      <c r="BI1708" s="4" t="s">
        <v>253</v>
      </c>
      <c r="BJ1708" s="5" t="s">
        <v>246</v>
      </c>
      <c r="BK1708" s="4" t="s">
        <v>254</v>
      </c>
      <c r="BL1708" s="4" t="s">
        <v>255</v>
      </c>
      <c r="BM1708" s="4" t="s">
        <v>241</v>
      </c>
      <c r="BN1708" s="6">
        <f>0</f>
        <v>0</v>
      </c>
      <c r="BO1708" s="6">
        <f>0</f>
        <v>0</v>
      </c>
      <c r="BP1708" s="4" t="s">
        <v>256</v>
      </c>
      <c r="BQ1708" s="4" t="s">
        <v>257</v>
      </c>
      <c r="CE1708" s="4" t="s">
        <v>241</v>
      </c>
      <c r="CF1708" s="4" t="s">
        <v>241</v>
      </c>
      <c r="CJ1708" s="4" t="s">
        <v>276</v>
      </c>
      <c r="CK1708" s="4" t="s">
        <v>259</v>
      </c>
      <c r="CL1708" s="4" t="s">
        <v>241</v>
      </c>
      <c r="CO1708" s="5" t="s">
        <v>260</v>
      </c>
      <c r="CP1708" s="4" t="s">
        <v>241</v>
      </c>
      <c r="CQ1708" s="4" t="s">
        <v>261</v>
      </c>
      <c r="CR1708" s="4" t="s">
        <v>241</v>
      </c>
      <c r="CS1708" s="4" t="s">
        <v>241</v>
      </c>
      <c r="CT1708" s="4">
        <v>0</v>
      </c>
      <c r="CU1708" s="4" t="s">
        <v>262</v>
      </c>
      <c r="CV1708" s="4" t="s">
        <v>263</v>
      </c>
      <c r="CW1708" s="4" t="s">
        <v>263</v>
      </c>
      <c r="CX1708" s="4" t="s">
        <v>264</v>
      </c>
      <c r="DA1708" s="6">
        <f>1</f>
        <v>1</v>
      </c>
      <c r="DC1708" s="4" t="s">
        <v>277</v>
      </c>
      <c r="DD1708" s="4" t="s">
        <v>241</v>
      </c>
      <c r="DF1708" s="4" t="s">
        <v>277</v>
      </c>
      <c r="DG1708" s="6">
        <f>839</f>
        <v>839</v>
      </c>
      <c r="DI1708" s="4" t="s">
        <v>241</v>
      </c>
      <c r="DJ1708" s="4" t="s">
        <v>241</v>
      </c>
      <c r="DK1708" s="4" t="s">
        <v>241</v>
      </c>
      <c r="DL1708" s="4" t="s">
        <v>241</v>
      </c>
      <c r="DP1708" s="4" t="s">
        <v>241</v>
      </c>
      <c r="DQ1708" s="4" t="s">
        <v>241</v>
      </c>
      <c r="DR1708" s="4" t="s">
        <v>241</v>
      </c>
      <c r="DS1708" s="4" t="s">
        <v>241</v>
      </c>
      <c r="DV1708" s="4" t="s">
        <v>278</v>
      </c>
      <c r="DW1708" s="4" t="s">
        <v>2108</v>
      </c>
      <c r="HO1708" s="4" t="s">
        <v>267</v>
      </c>
    </row>
    <row r="1709" spans="1:223" ht="19.5" customHeight="1" x14ac:dyDescent="0.4">
      <c r="A1709" s="4">
        <v>1</v>
      </c>
      <c r="B1709" s="4" t="s">
        <v>239</v>
      </c>
      <c r="C1709" s="4">
        <v>3383</v>
      </c>
      <c r="D1709" s="4">
        <v>1</v>
      </c>
      <c r="E1709" s="4">
        <v>1</v>
      </c>
      <c r="F1709" s="4" t="s">
        <v>268</v>
      </c>
      <c r="G1709" s="4" t="s">
        <v>241</v>
      </c>
      <c r="H1709" s="4" t="s">
        <v>241</v>
      </c>
      <c r="I1709" s="4" t="s">
        <v>272</v>
      </c>
      <c r="J1709" s="4" t="s">
        <v>274</v>
      </c>
      <c r="K1709" s="4" t="s">
        <v>251</v>
      </c>
      <c r="L1709" s="4" t="s">
        <v>269</v>
      </c>
      <c r="M1709" s="5" t="s">
        <v>2105</v>
      </c>
      <c r="N1709" s="6">
        <f>2239</f>
        <v>2239</v>
      </c>
      <c r="O1709" s="4" t="s">
        <v>265</v>
      </c>
      <c r="P1709" s="6">
        <f>1</f>
        <v>1</v>
      </c>
      <c r="Q1709" s="6">
        <f>0</f>
        <v>0</v>
      </c>
      <c r="S1709" s="6">
        <f>0</f>
        <v>0</v>
      </c>
      <c r="T1709" s="6">
        <f>1</f>
        <v>1</v>
      </c>
      <c r="U1709" s="5" t="s">
        <v>245</v>
      </c>
      <c r="V1709" s="4" t="s">
        <v>270</v>
      </c>
      <c r="W1709" s="4" t="s">
        <v>271</v>
      </c>
      <c r="X1709" s="4" t="s">
        <v>273</v>
      </c>
      <c r="Y1709" s="4" t="s">
        <v>241</v>
      </c>
      <c r="AB1709" s="4" t="s">
        <v>241</v>
      </c>
      <c r="AD1709" s="5" t="s">
        <v>241</v>
      </c>
      <c r="AG1709" s="5" t="s">
        <v>246</v>
      </c>
      <c r="AH1709" s="4" t="s">
        <v>241</v>
      </c>
      <c r="AI1709" s="4" t="s">
        <v>247</v>
      </c>
      <c r="AJ1709" s="4" t="s">
        <v>248</v>
      </c>
      <c r="AZ1709" s="4" t="s">
        <v>249</v>
      </c>
      <c r="BA1709" s="4" t="s">
        <v>241</v>
      </c>
      <c r="BB1709" s="4" t="s">
        <v>250</v>
      </c>
      <c r="BC1709" s="4" t="s">
        <v>241</v>
      </c>
      <c r="BD1709" s="4" t="s">
        <v>252</v>
      </c>
      <c r="BE1709" s="4" t="s">
        <v>241</v>
      </c>
      <c r="BI1709" s="4" t="s">
        <v>253</v>
      </c>
      <c r="BJ1709" s="5" t="s">
        <v>246</v>
      </c>
      <c r="BK1709" s="4" t="s">
        <v>254</v>
      </c>
      <c r="BL1709" s="4" t="s">
        <v>255</v>
      </c>
      <c r="BM1709" s="4" t="s">
        <v>241</v>
      </c>
      <c r="BN1709" s="6">
        <f>0</f>
        <v>0</v>
      </c>
      <c r="BO1709" s="6">
        <f>0</f>
        <v>0</v>
      </c>
      <c r="BP1709" s="4" t="s">
        <v>256</v>
      </c>
      <c r="BQ1709" s="4" t="s">
        <v>257</v>
      </c>
      <c r="CE1709" s="4" t="s">
        <v>241</v>
      </c>
      <c r="CF1709" s="4" t="s">
        <v>241</v>
      </c>
      <c r="CJ1709" s="4" t="s">
        <v>276</v>
      </c>
      <c r="CK1709" s="4" t="s">
        <v>259</v>
      </c>
      <c r="CL1709" s="4" t="s">
        <v>241</v>
      </c>
      <c r="CO1709" s="5" t="s">
        <v>260</v>
      </c>
      <c r="CP1709" s="4" t="s">
        <v>241</v>
      </c>
      <c r="CQ1709" s="4" t="s">
        <v>261</v>
      </c>
      <c r="CR1709" s="4" t="s">
        <v>241</v>
      </c>
      <c r="CS1709" s="4" t="s">
        <v>241</v>
      </c>
      <c r="CT1709" s="4">
        <v>0</v>
      </c>
      <c r="CU1709" s="4" t="s">
        <v>262</v>
      </c>
      <c r="CV1709" s="4" t="s">
        <v>263</v>
      </c>
      <c r="CW1709" s="4" t="s">
        <v>263</v>
      </c>
      <c r="CX1709" s="4" t="s">
        <v>264</v>
      </c>
      <c r="DA1709" s="6">
        <f>1</f>
        <v>1</v>
      </c>
      <c r="DC1709" s="4" t="s">
        <v>277</v>
      </c>
      <c r="DD1709" s="4" t="s">
        <v>241</v>
      </c>
      <c r="DF1709" s="4" t="s">
        <v>277</v>
      </c>
      <c r="DG1709" s="6">
        <f>2239</f>
        <v>2239</v>
      </c>
      <c r="DI1709" s="4" t="s">
        <v>241</v>
      </c>
      <c r="DJ1709" s="4" t="s">
        <v>241</v>
      </c>
      <c r="DK1709" s="4" t="s">
        <v>241</v>
      </c>
      <c r="DL1709" s="4" t="s">
        <v>241</v>
      </c>
      <c r="DP1709" s="4" t="s">
        <v>241</v>
      </c>
      <c r="DQ1709" s="4" t="s">
        <v>241</v>
      </c>
      <c r="DR1709" s="4" t="s">
        <v>241</v>
      </c>
      <c r="DS1709" s="4" t="s">
        <v>241</v>
      </c>
      <c r="DV1709" s="4" t="s">
        <v>278</v>
      </c>
      <c r="DW1709" s="4" t="s">
        <v>2106</v>
      </c>
      <c r="HO1709" s="4" t="s">
        <v>267</v>
      </c>
    </row>
    <row r="1710" spans="1:223" ht="19.5" customHeight="1" x14ac:dyDescent="0.4">
      <c r="A1710" s="4">
        <v>1</v>
      </c>
      <c r="B1710" s="4" t="s">
        <v>239</v>
      </c>
      <c r="C1710" s="4">
        <v>3384</v>
      </c>
      <c r="D1710" s="4">
        <v>1</v>
      </c>
      <c r="E1710" s="4">
        <v>1</v>
      </c>
      <c r="F1710" s="4" t="s">
        <v>268</v>
      </c>
      <c r="G1710" s="4" t="s">
        <v>241</v>
      </c>
      <c r="H1710" s="4" t="s">
        <v>241</v>
      </c>
      <c r="I1710" s="4" t="s">
        <v>272</v>
      </c>
      <c r="J1710" s="4" t="s">
        <v>274</v>
      </c>
      <c r="K1710" s="4" t="s">
        <v>251</v>
      </c>
      <c r="L1710" s="4" t="s">
        <v>269</v>
      </c>
      <c r="M1710" s="5" t="s">
        <v>2103</v>
      </c>
      <c r="N1710" s="6">
        <f>4921</f>
        <v>4921</v>
      </c>
      <c r="O1710" s="4" t="s">
        <v>265</v>
      </c>
      <c r="P1710" s="6">
        <f>1</f>
        <v>1</v>
      </c>
      <c r="Q1710" s="6">
        <f>0</f>
        <v>0</v>
      </c>
      <c r="S1710" s="6">
        <f>0</f>
        <v>0</v>
      </c>
      <c r="T1710" s="6">
        <f>1</f>
        <v>1</v>
      </c>
      <c r="U1710" s="5" t="s">
        <v>245</v>
      </c>
      <c r="V1710" s="4" t="s">
        <v>270</v>
      </c>
      <c r="W1710" s="4" t="s">
        <v>271</v>
      </c>
      <c r="X1710" s="4" t="s">
        <v>273</v>
      </c>
      <c r="Y1710" s="4" t="s">
        <v>241</v>
      </c>
      <c r="AB1710" s="4" t="s">
        <v>241</v>
      </c>
      <c r="AD1710" s="5" t="s">
        <v>241</v>
      </c>
      <c r="AG1710" s="5" t="s">
        <v>246</v>
      </c>
      <c r="AH1710" s="4" t="s">
        <v>241</v>
      </c>
      <c r="AI1710" s="4" t="s">
        <v>247</v>
      </c>
      <c r="AJ1710" s="4" t="s">
        <v>248</v>
      </c>
      <c r="AZ1710" s="4" t="s">
        <v>249</v>
      </c>
      <c r="BA1710" s="4" t="s">
        <v>241</v>
      </c>
      <c r="BB1710" s="4" t="s">
        <v>250</v>
      </c>
      <c r="BC1710" s="4" t="s">
        <v>241</v>
      </c>
      <c r="BD1710" s="4" t="s">
        <v>252</v>
      </c>
      <c r="BE1710" s="4" t="s">
        <v>241</v>
      </c>
      <c r="BI1710" s="4" t="s">
        <v>253</v>
      </c>
      <c r="BJ1710" s="5" t="s">
        <v>246</v>
      </c>
      <c r="BK1710" s="4" t="s">
        <v>254</v>
      </c>
      <c r="BL1710" s="4" t="s">
        <v>255</v>
      </c>
      <c r="BM1710" s="4" t="s">
        <v>241</v>
      </c>
      <c r="BN1710" s="6">
        <f>0</f>
        <v>0</v>
      </c>
      <c r="BO1710" s="6">
        <f>0</f>
        <v>0</v>
      </c>
      <c r="BP1710" s="4" t="s">
        <v>256</v>
      </c>
      <c r="BQ1710" s="4" t="s">
        <v>257</v>
      </c>
      <c r="CE1710" s="4" t="s">
        <v>241</v>
      </c>
      <c r="CF1710" s="4" t="s">
        <v>241</v>
      </c>
      <c r="CJ1710" s="4" t="s">
        <v>276</v>
      </c>
      <c r="CK1710" s="4" t="s">
        <v>259</v>
      </c>
      <c r="CL1710" s="4" t="s">
        <v>241</v>
      </c>
      <c r="CO1710" s="5" t="s">
        <v>260</v>
      </c>
      <c r="CP1710" s="4" t="s">
        <v>241</v>
      </c>
      <c r="CQ1710" s="4" t="s">
        <v>261</v>
      </c>
      <c r="CR1710" s="4" t="s">
        <v>241</v>
      </c>
      <c r="CS1710" s="4" t="s">
        <v>241</v>
      </c>
      <c r="CT1710" s="4">
        <v>0</v>
      </c>
      <c r="CU1710" s="4" t="s">
        <v>262</v>
      </c>
      <c r="CV1710" s="4" t="s">
        <v>263</v>
      </c>
      <c r="CW1710" s="4" t="s">
        <v>263</v>
      </c>
      <c r="CX1710" s="4" t="s">
        <v>264</v>
      </c>
      <c r="DA1710" s="6">
        <f>1</f>
        <v>1</v>
      </c>
      <c r="DC1710" s="4" t="s">
        <v>277</v>
      </c>
      <c r="DD1710" s="4" t="s">
        <v>241</v>
      </c>
      <c r="DF1710" s="4" t="s">
        <v>277</v>
      </c>
      <c r="DG1710" s="6">
        <f>4921</f>
        <v>4921</v>
      </c>
      <c r="DI1710" s="4" t="s">
        <v>241</v>
      </c>
      <c r="DJ1710" s="4" t="s">
        <v>241</v>
      </c>
      <c r="DK1710" s="4" t="s">
        <v>241</v>
      </c>
      <c r="DL1710" s="4" t="s">
        <v>241</v>
      </c>
      <c r="DP1710" s="4" t="s">
        <v>241</v>
      </c>
      <c r="DQ1710" s="4" t="s">
        <v>241</v>
      </c>
      <c r="DR1710" s="4" t="s">
        <v>241</v>
      </c>
      <c r="DS1710" s="4" t="s">
        <v>241</v>
      </c>
      <c r="DV1710" s="4" t="s">
        <v>278</v>
      </c>
      <c r="DW1710" s="4" t="s">
        <v>2104</v>
      </c>
      <c r="HO1710" s="4" t="s">
        <v>267</v>
      </c>
    </row>
    <row r="1711" spans="1:223" ht="19.5" customHeight="1" x14ac:dyDescent="0.4">
      <c r="A1711" s="4">
        <v>1</v>
      </c>
      <c r="B1711" s="4" t="s">
        <v>239</v>
      </c>
      <c r="C1711" s="4">
        <v>3385</v>
      </c>
      <c r="D1711" s="4">
        <v>1</v>
      </c>
      <c r="E1711" s="4">
        <v>1</v>
      </c>
      <c r="F1711" s="4" t="s">
        <v>268</v>
      </c>
      <c r="G1711" s="4" t="s">
        <v>241</v>
      </c>
      <c r="H1711" s="4" t="s">
        <v>241</v>
      </c>
      <c r="I1711" s="4" t="s">
        <v>272</v>
      </c>
      <c r="J1711" s="4" t="s">
        <v>274</v>
      </c>
      <c r="K1711" s="4" t="s">
        <v>251</v>
      </c>
      <c r="L1711" s="4" t="s">
        <v>269</v>
      </c>
      <c r="M1711" s="5" t="s">
        <v>2101</v>
      </c>
      <c r="N1711" s="6">
        <f>144</f>
        <v>144</v>
      </c>
      <c r="O1711" s="4" t="s">
        <v>265</v>
      </c>
      <c r="P1711" s="6">
        <f>1</f>
        <v>1</v>
      </c>
      <c r="Q1711" s="6">
        <f>0</f>
        <v>0</v>
      </c>
      <c r="S1711" s="6">
        <f>0</f>
        <v>0</v>
      </c>
      <c r="T1711" s="6">
        <f>1</f>
        <v>1</v>
      </c>
      <c r="U1711" s="5" t="s">
        <v>245</v>
      </c>
      <c r="V1711" s="4" t="s">
        <v>270</v>
      </c>
      <c r="W1711" s="4" t="s">
        <v>271</v>
      </c>
      <c r="X1711" s="4" t="s">
        <v>273</v>
      </c>
      <c r="Y1711" s="4" t="s">
        <v>241</v>
      </c>
      <c r="AB1711" s="4" t="s">
        <v>241</v>
      </c>
      <c r="AD1711" s="5" t="s">
        <v>241</v>
      </c>
      <c r="AG1711" s="5" t="s">
        <v>246</v>
      </c>
      <c r="AH1711" s="4" t="s">
        <v>241</v>
      </c>
      <c r="AI1711" s="4" t="s">
        <v>247</v>
      </c>
      <c r="AJ1711" s="4" t="s">
        <v>248</v>
      </c>
      <c r="AZ1711" s="4" t="s">
        <v>249</v>
      </c>
      <c r="BA1711" s="4" t="s">
        <v>241</v>
      </c>
      <c r="BB1711" s="4" t="s">
        <v>250</v>
      </c>
      <c r="BC1711" s="4" t="s">
        <v>241</v>
      </c>
      <c r="BD1711" s="4" t="s">
        <v>252</v>
      </c>
      <c r="BE1711" s="4" t="s">
        <v>241</v>
      </c>
      <c r="BI1711" s="4" t="s">
        <v>253</v>
      </c>
      <c r="BJ1711" s="5" t="s">
        <v>246</v>
      </c>
      <c r="BK1711" s="4" t="s">
        <v>254</v>
      </c>
      <c r="BL1711" s="4" t="s">
        <v>255</v>
      </c>
      <c r="BM1711" s="4" t="s">
        <v>241</v>
      </c>
      <c r="BN1711" s="6">
        <f>0</f>
        <v>0</v>
      </c>
      <c r="BO1711" s="6">
        <f>0</f>
        <v>0</v>
      </c>
      <c r="BP1711" s="4" t="s">
        <v>256</v>
      </c>
      <c r="BQ1711" s="4" t="s">
        <v>257</v>
      </c>
      <c r="CE1711" s="4" t="s">
        <v>241</v>
      </c>
      <c r="CF1711" s="4" t="s">
        <v>241</v>
      </c>
      <c r="CJ1711" s="4" t="s">
        <v>276</v>
      </c>
      <c r="CK1711" s="4" t="s">
        <v>259</v>
      </c>
      <c r="CL1711" s="4" t="s">
        <v>241</v>
      </c>
      <c r="CO1711" s="5" t="s">
        <v>260</v>
      </c>
      <c r="CP1711" s="4" t="s">
        <v>241</v>
      </c>
      <c r="CQ1711" s="4" t="s">
        <v>261</v>
      </c>
      <c r="CR1711" s="4" t="s">
        <v>241</v>
      </c>
      <c r="CS1711" s="4" t="s">
        <v>241</v>
      </c>
      <c r="CT1711" s="4">
        <v>0</v>
      </c>
      <c r="CU1711" s="4" t="s">
        <v>262</v>
      </c>
      <c r="CV1711" s="4" t="s">
        <v>263</v>
      </c>
      <c r="CW1711" s="4" t="s">
        <v>263</v>
      </c>
      <c r="CX1711" s="4" t="s">
        <v>264</v>
      </c>
      <c r="DA1711" s="6">
        <f>1</f>
        <v>1</v>
      </c>
      <c r="DC1711" s="4" t="s">
        <v>277</v>
      </c>
      <c r="DD1711" s="4" t="s">
        <v>241</v>
      </c>
      <c r="DF1711" s="4" t="s">
        <v>277</v>
      </c>
      <c r="DG1711" s="6">
        <f>144</f>
        <v>144</v>
      </c>
      <c r="DI1711" s="4" t="s">
        <v>241</v>
      </c>
      <c r="DJ1711" s="4" t="s">
        <v>241</v>
      </c>
      <c r="DK1711" s="4" t="s">
        <v>241</v>
      </c>
      <c r="DL1711" s="4" t="s">
        <v>241</v>
      </c>
      <c r="DP1711" s="4" t="s">
        <v>241</v>
      </c>
      <c r="DQ1711" s="4" t="s">
        <v>241</v>
      </c>
      <c r="DR1711" s="4" t="s">
        <v>241</v>
      </c>
      <c r="DS1711" s="4" t="s">
        <v>241</v>
      </c>
      <c r="DV1711" s="4" t="s">
        <v>278</v>
      </c>
      <c r="DW1711" s="4" t="s">
        <v>2102</v>
      </c>
      <c r="HO1711" s="4" t="s">
        <v>267</v>
      </c>
    </row>
    <row r="1712" spans="1:223" ht="19.5" customHeight="1" x14ac:dyDescent="0.4">
      <c r="A1712" s="4">
        <v>1</v>
      </c>
      <c r="B1712" s="4" t="s">
        <v>239</v>
      </c>
      <c r="C1712" s="4">
        <v>3386</v>
      </c>
      <c r="D1712" s="4">
        <v>1</v>
      </c>
      <c r="E1712" s="4">
        <v>1</v>
      </c>
      <c r="F1712" s="4" t="s">
        <v>268</v>
      </c>
      <c r="G1712" s="4" t="s">
        <v>241</v>
      </c>
      <c r="H1712" s="4" t="s">
        <v>241</v>
      </c>
      <c r="I1712" s="4" t="s">
        <v>272</v>
      </c>
      <c r="J1712" s="4" t="s">
        <v>274</v>
      </c>
      <c r="K1712" s="4" t="s">
        <v>251</v>
      </c>
      <c r="L1712" s="4" t="s">
        <v>269</v>
      </c>
      <c r="M1712" s="5" t="s">
        <v>2099</v>
      </c>
      <c r="N1712" s="6">
        <f>384</f>
        <v>384</v>
      </c>
      <c r="O1712" s="4" t="s">
        <v>265</v>
      </c>
      <c r="P1712" s="6">
        <f>1</f>
        <v>1</v>
      </c>
      <c r="Q1712" s="6">
        <f>0</f>
        <v>0</v>
      </c>
      <c r="S1712" s="6">
        <f>0</f>
        <v>0</v>
      </c>
      <c r="T1712" s="6">
        <f>1</f>
        <v>1</v>
      </c>
      <c r="U1712" s="5" t="s">
        <v>245</v>
      </c>
      <c r="V1712" s="4" t="s">
        <v>270</v>
      </c>
      <c r="W1712" s="4" t="s">
        <v>271</v>
      </c>
      <c r="X1712" s="4" t="s">
        <v>273</v>
      </c>
      <c r="Y1712" s="4" t="s">
        <v>241</v>
      </c>
      <c r="AB1712" s="4" t="s">
        <v>241</v>
      </c>
      <c r="AD1712" s="5" t="s">
        <v>241</v>
      </c>
      <c r="AG1712" s="5" t="s">
        <v>246</v>
      </c>
      <c r="AH1712" s="4" t="s">
        <v>241</v>
      </c>
      <c r="AI1712" s="4" t="s">
        <v>247</v>
      </c>
      <c r="AJ1712" s="4" t="s">
        <v>248</v>
      </c>
      <c r="AZ1712" s="4" t="s">
        <v>249</v>
      </c>
      <c r="BA1712" s="4" t="s">
        <v>241</v>
      </c>
      <c r="BB1712" s="4" t="s">
        <v>250</v>
      </c>
      <c r="BC1712" s="4" t="s">
        <v>241</v>
      </c>
      <c r="BD1712" s="4" t="s">
        <v>252</v>
      </c>
      <c r="BE1712" s="4" t="s">
        <v>241</v>
      </c>
      <c r="BI1712" s="4" t="s">
        <v>253</v>
      </c>
      <c r="BJ1712" s="5" t="s">
        <v>246</v>
      </c>
      <c r="BK1712" s="4" t="s">
        <v>254</v>
      </c>
      <c r="BL1712" s="4" t="s">
        <v>255</v>
      </c>
      <c r="BM1712" s="4" t="s">
        <v>241</v>
      </c>
      <c r="BN1712" s="6">
        <f>0</f>
        <v>0</v>
      </c>
      <c r="BO1712" s="6">
        <f>0</f>
        <v>0</v>
      </c>
      <c r="BP1712" s="4" t="s">
        <v>256</v>
      </c>
      <c r="BQ1712" s="4" t="s">
        <v>257</v>
      </c>
      <c r="CE1712" s="4" t="s">
        <v>241</v>
      </c>
      <c r="CF1712" s="4" t="s">
        <v>241</v>
      </c>
      <c r="CJ1712" s="4" t="s">
        <v>276</v>
      </c>
      <c r="CK1712" s="4" t="s">
        <v>259</v>
      </c>
      <c r="CL1712" s="4" t="s">
        <v>241</v>
      </c>
      <c r="CO1712" s="5" t="s">
        <v>260</v>
      </c>
      <c r="CP1712" s="4" t="s">
        <v>241</v>
      </c>
      <c r="CQ1712" s="4" t="s">
        <v>261</v>
      </c>
      <c r="CR1712" s="4" t="s">
        <v>241</v>
      </c>
      <c r="CS1712" s="4" t="s">
        <v>241</v>
      </c>
      <c r="CT1712" s="4">
        <v>0</v>
      </c>
      <c r="CU1712" s="4" t="s">
        <v>262</v>
      </c>
      <c r="CV1712" s="4" t="s">
        <v>263</v>
      </c>
      <c r="CW1712" s="4" t="s">
        <v>263</v>
      </c>
      <c r="CX1712" s="4" t="s">
        <v>264</v>
      </c>
      <c r="DA1712" s="6">
        <f>1</f>
        <v>1</v>
      </c>
      <c r="DC1712" s="4" t="s">
        <v>277</v>
      </c>
      <c r="DD1712" s="4" t="s">
        <v>241</v>
      </c>
      <c r="DF1712" s="4" t="s">
        <v>277</v>
      </c>
      <c r="DG1712" s="6">
        <f>384</f>
        <v>384</v>
      </c>
      <c r="DI1712" s="4" t="s">
        <v>241</v>
      </c>
      <c r="DJ1712" s="4" t="s">
        <v>241</v>
      </c>
      <c r="DK1712" s="4" t="s">
        <v>241</v>
      </c>
      <c r="DL1712" s="4" t="s">
        <v>241</v>
      </c>
      <c r="DP1712" s="4" t="s">
        <v>241</v>
      </c>
      <c r="DQ1712" s="4" t="s">
        <v>241</v>
      </c>
      <c r="DR1712" s="4" t="s">
        <v>241</v>
      </c>
      <c r="DS1712" s="4" t="s">
        <v>241</v>
      </c>
      <c r="DV1712" s="4" t="s">
        <v>278</v>
      </c>
      <c r="DW1712" s="4" t="s">
        <v>2100</v>
      </c>
      <c r="HO1712" s="4" t="s">
        <v>267</v>
      </c>
    </row>
    <row r="1713" spans="1:223" ht="19.5" customHeight="1" x14ac:dyDescent="0.4">
      <c r="A1713" s="4">
        <v>1</v>
      </c>
      <c r="B1713" s="4" t="s">
        <v>239</v>
      </c>
      <c r="C1713" s="4">
        <v>3387</v>
      </c>
      <c r="D1713" s="4">
        <v>1</v>
      </c>
      <c r="E1713" s="4">
        <v>1</v>
      </c>
      <c r="F1713" s="4" t="s">
        <v>268</v>
      </c>
      <c r="G1713" s="4" t="s">
        <v>241</v>
      </c>
      <c r="H1713" s="4" t="s">
        <v>241</v>
      </c>
      <c r="I1713" s="4" t="s">
        <v>272</v>
      </c>
      <c r="J1713" s="4" t="s">
        <v>274</v>
      </c>
      <c r="K1713" s="4" t="s">
        <v>251</v>
      </c>
      <c r="L1713" s="4" t="s">
        <v>269</v>
      </c>
      <c r="M1713" s="5" t="s">
        <v>2097</v>
      </c>
      <c r="N1713" s="6">
        <f>2008</f>
        <v>2008</v>
      </c>
      <c r="O1713" s="4" t="s">
        <v>265</v>
      </c>
      <c r="P1713" s="6">
        <f>1</f>
        <v>1</v>
      </c>
      <c r="Q1713" s="6">
        <f>0</f>
        <v>0</v>
      </c>
      <c r="S1713" s="6">
        <f>0</f>
        <v>0</v>
      </c>
      <c r="T1713" s="6">
        <f>1</f>
        <v>1</v>
      </c>
      <c r="U1713" s="5" t="s">
        <v>245</v>
      </c>
      <c r="V1713" s="4" t="s">
        <v>270</v>
      </c>
      <c r="W1713" s="4" t="s">
        <v>271</v>
      </c>
      <c r="X1713" s="4" t="s">
        <v>273</v>
      </c>
      <c r="Y1713" s="4" t="s">
        <v>241</v>
      </c>
      <c r="AB1713" s="4" t="s">
        <v>241</v>
      </c>
      <c r="AD1713" s="5" t="s">
        <v>241</v>
      </c>
      <c r="AG1713" s="5" t="s">
        <v>246</v>
      </c>
      <c r="AH1713" s="4" t="s">
        <v>241</v>
      </c>
      <c r="AI1713" s="4" t="s">
        <v>247</v>
      </c>
      <c r="AJ1713" s="4" t="s">
        <v>248</v>
      </c>
      <c r="AZ1713" s="4" t="s">
        <v>249</v>
      </c>
      <c r="BA1713" s="4" t="s">
        <v>241</v>
      </c>
      <c r="BB1713" s="4" t="s">
        <v>250</v>
      </c>
      <c r="BC1713" s="4" t="s">
        <v>241</v>
      </c>
      <c r="BD1713" s="4" t="s">
        <v>252</v>
      </c>
      <c r="BE1713" s="4" t="s">
        <v>241</v>
      </c>
      <c r="BI1713" s="4" t="s">
        <v>253</v>
      </c>
      <c r="BJ1713" s="5" t="s">
        <v>246</v>
      </c>
      <c r="BK1713" s="4" t="s">
        <v>254</v>
      </c>
      <c r="BL1713" s="4" t="s">
        <v>255</v>
      </c>
      <c r="BM1713" s="4" t="s">
        <v>241</v>
      </c>
      <c r="BN1713" s="6">
        <f>0</f>
        <v>0</v>
      </c>
      <c r="BO1713" s="6">
        <f>0</f>
        <v>0</v>
      </c>
      <c r="BP1713" s="4" t="s">
        <v>256</v>
      </c>
      <c r="BQ1713" s="4" t="s">
        <v>257</v>
      </c>
      <c r="CE1713" s="4" t="s">
        <v>241</v>
      </c>
      <c r="CF1713" s="4" t="s">
        <v>241</v>
      </c>
      <c r="CJ1713" s="4" t="s">
        <v>276</v>
      </c>
      <c r="CK1713" s="4" t="s">
        <v>259</v>
      </c>
      <c r="CL1713" s="4" t="s">
        <v>241</v>
      </c>
      <c r="CO1713" s="5" t="s">
        <v>260</v>
      </c>
      <c r="CP1713" s="4" t="s">
        <v>241</v>
      </c>
      <c r="CQ1713" s="4" t="s">
        <v>261</v>
      </c>
      <c r="CR1713" s="4" t="s">
        <v>241</v>
      </c>
      <c r="CS1713" s="4" t="s">
        <v>241</v>
      </c>
      <c r="CT1713" s="4">
        <v>0</v>
      </c>
      <c r="CU1713" s="4" t="s">
        <v>262</v>
      </c>
      <c r="CV1713" s="4" t="s">
        <v>263</v>
      </c>
      <c r="CW1713" s="4" t="s">
        <v>263</v>
      </c>
      <c r="CX1713" s="4" t="s">
        <v>264</v>
      </c>
      <c r="DA1713" s="6">
        <f>1</f>
        <v>1</v>
      </c>
      <c r="DC1713" s="4" t="s">
        <v>277</v>
      </c>
      <c r="DD1713" s="4" t="s">
        <v>241</v>
      </c>
      <c r="DF1713" s="4" t="s">
        <v>277</v>
      </c>
      <c r="DG1713" s="6">
        <f>2008</f>
        <v>2008</v>
      </c>
      <c r="DI1713" s="4" t="s">
        <v>241</v>
      </c>
      <c r="DJ1713" s="4" t="s">
        <v>241</v>
      </c>
      <c r="DK1713" s="4" t="s">
        <v>241</v>
      </c>
      <c r="DL1713" s="4" t="s">
        <v>241</v>
      </c>
      <c r="DP1713" s="4" t="s">
        <v>241</v>
      </c>
      <c r="DQ1713" s="4" t="s">
        <v>241</v>
      </c>
      <c r="DR1713" s="4" t="s">
        <v>241</v>
      </c>
      <c r="DS1713" s="4" t="s">
        <v>241</v>
      </c>
      <c r="DV1713" s="4" t="s">
        <v>278</v>
      </c>
      <c r="DW1713" s="4" t="s">
        <v>2098</v>
      </c>
      <c r="HO1713" s="4" t="s">
        <v>267</v>
      </c>
    </row>
    <row r="1714" spans="1:223" ht="19.5" customHeight="1" x14ac:dyDescent="0.4">
      <c r="A1714" s="4">
        <v>1</v>
      </c>
      <c r="B1714" s="4" t="s">
        <v>239</v>
      </c>
      <c r="C1714" s="4">
        <v>3388</v>
      </c>
      <c r="D1714" s="4">
        <v>1</v>
      </c>
      <c r="E1714" s="4">
        <v>1</v>
      </c>
      <c r="F1714" s="4" t="s">
        <v>268</v>
      </c>
      <c r="G1714" s="4" t="s">
        <v>241</v>
      </c>
      <c r="H1714" s="4" t="s">
        <v>241</v>
      </c>
      <c r="I1714" s="4" t="s">
        <v>272</v>
      </c>
      <c r="J1714" s="4" t="s">
        <v>274</v>
      </c>
      <c r="K1714" s="4" t="s">
        <v>251</v>
      </c>
      <c r="L1714" s="4" t="s">
        <v>269</v>
      </c>
      <c r="M1714" s="5" t="s">
        <v>2095</v>
      </c>
      <c r="N1714" s="6">
        <f>166</f>
        <v>166</v>
      </c>
      <c r="O1714" s="4" t="s">
        <v>265</v>
      </c>
      <c r="P1714" s="6">
        <f>1</f>
        <v>1</v>
      </c>
      <c r="Q1714" s="6">
        <f>0</f>
        <v>0</v>
      </c>
      <c r="S1714" s="6">
        <f>0</f>
        <v>0</v>
      </c>
      <c r="T1714" s="6">
        <f>1</f>
        <v>1</v>
      </c>
      <c r="U1714" s="5" t="s">
        <v>245</v>
      </c>
      <c r="V1714" s="4" t="s">
        <v>270</v>
      </c>
      <c r="W1714" s="4" t="s">
        <v>271</v>
      </c>
      <c r="X1714" s="4" t="s">
        <v>273</v>
      </c>
      <c r="Y1714" s="4" t="s">
        <v>241</v>
      </c>
      <c r="AB1714" s="4" t="s">
        <v>241</v>
      </c>
      <c r="AD1714" s="5" t="s">
        <v>241</v>
      </c>
      <c r="AG1714" s="5" t="s">
        <v>246</v>
      </c>
      <c r="AH1714" s="4" t="s">
        <v>241</v>
      </c>
      <c r="AI1714" s="4" t="s">
        <v>247</v>
      </c>
      <c r="AJ1714" s="4" t="s">
        <v>248</v>
      </c>
      <c r="AZ1714" s="4" t="s">
        <v>249</v>
      </c>
      <c r="BA1714" s="4" t="s">
        <v>241</v>
      </c>
      <c r="BB1714" s="4" t="s">
        <v>250</v>
      </c>
      <c r="BC1714" s="4" t="s">
        <v>241</v>
      </c>
      <c r="BD1714" s="4" t="s">
        <v>252</v>
      </c>
      <c r="BE1714" s="4" t="s">
        <v>241</v>
      </c>
      <c r="BI1714" s="4" t="s">
        <v>253</v>
      </c>
      <c r="BJ1714" s="5" t="s">
        <v>246</v>
      </c>
      <c r="BK1714" s="4" t="s">
        <v>254</v>
      </c>
      <c r="BL1714" s="4" t="s">
        <v>255</v>
      </c>
      <c r="BM1714" s="4" t="s">
        <v>241</v>
      </c>
      <c r="BN1714" s="6">
        <f>0</f>
        <v>0</v>
      </c>
      <c r="BO1714" s="6">
        <f>0</f>
        <v>0</v>
      </c>
      <c r="BP1714" s="4" t="s">
        <v>256</v>
      </c>
      <c r="BQ1714" s="4" t="s">
        <v>257</v>
      </c>
      <c r="CE1714" s="4" t="s">
        <v>241</v>
      </c>
      <c r="CF1714" s="4" t="s">
        <v>241</v>
      </c>
      <c r="CJ1714" s="4" t="s">
        <v>276</v>
      </c>
      <c r="CK1714" s="4" t="s">
        <v>259</v>
      </c>
      <c r="CL1714" s="4" t="s">
        <v>241</v>
      </c>
      <c r="CO1714" s="5" t="s">
        <v>260</v>
      </c>
      <c r="CP1714" s="4" t="s">
        <v>241</v>
      </c>
      <c r="CQ1714" s="4" t="s">
        <v>261</v>
      </c>
      <c r="CR1714" s="4" t="s">
        <v>241</v>
      </c>
      <c r="CS1714" s="4" t="s">
        <v>241</v>
      </c>
      <c r="CT1714" s="4">
        <v>0</v>
      </c>
      <c r="CU1714" s="4" t="s">
        <v>262</v>
      </c>
      <c r="CV1714" s="4" t="s">
        <v>263</v>
      </c>
      <c r="CW1714" s="4" t="s">
        <v>263</v>
      </c>
      <c r="CX1714" s="4" t="s">
        <v>264</v>
      </c>
      <c r="DA1714" s="6">
        <f>1</f>
        <v>1</v>
      </c>
      <c r="DC1714" s="4" t="s">
        <v>277</v>
      </c>
      <c r="DD1714" s="4" t="s">
        <v>241</v>
      </c>
      <c r="DF1714" s="4" t="s">
        <v>277</v>
      </c>
      <c r="DG1714" s="6">
        <f>166</f>
        <v>166</v>
      </c>
      <c r="DI1714" s="4" t="s">
        <v>241</v>
      </c>
      <c r="DJ1714" s="4" t="s">
        <v>241</v>
      </c>
      <c r="DK1714" s="4" t="s">
        <v>241</v>
      </c>
      <c r="DL1714" s="4" t="s">
        <v>241</v>
      </c>
      <c r="DP1714" s="4" t="s">
        <v>241</v>
      </c>
      <c r="DQ1714" s="4" t="s">
        <v>241</v>
      </c>
      <c r="DR1714" s="4" t="s">
        <v>241</v>
      </c>
      <c r="DS1714" s="4" t="s">
        <v>241</v>
      </c>
      <c r="DV1714" s="4" t="s">
        <v>278</v>
      </c>
      <c r="DW1714" s="4" t="s">
        <v>2096</v>
      </c>
      <c r="HO1714" s="4" t="s">
        <v>267</v>
      </c>
    </row>
    <row r="1715" spans="1:223" ht="19.5" customHeight="1" x14ac:dyDescent="0.4">
      <c r="A1715" s="4">
        <v>1</v>
      </c>
      <c r="B1715" s="4" t="s">
        <v>239</v>
      </c>
      <c r="C1715" s="4">
        <v>3389</v>
      </c>
      <c r="D1715" s="4">
        <v>1</v>
      </c>
      <c r="E1715" s="4">
        <v>1</v>
      </c>
      <c r="F1715" s="4" t="s">
        <v>268</v>
      </c>
      <c r="G1715" s="4" t="s">
        <v>241</v>
      </c>
      <c r="H1715" s="4" t="s">
        <v>241</v>
      </c>
      <c r="I1715" s="4" t="s">
        <v>272</v>
      </c>
      <c r="J1715" s="4" t="s">
        <v>274</v>
      </c>
      <c r="K1715" s="4" t="s">
        <v>251</v>
      </c>
      <c r="L1715" s="4" t="s">
        <v>269</v>
      </c>
      <c r="M1715" s="5" t="s">
        <v>2093</v>
      </c>
      <c r="N1715" s="6">
        <f>113</f>
        <v>113</v>
      </c>
      <c r="O1715" s="4" t="s">
        <v>265</v>
      </c>
      <c r="P1715" s="6">
        <f>1</f>
        <v>1</v>
      </c>
      <c r="Q1715" s="6">
        <f>0</f>
        <v>0</v>
      </c>
      <c r="S1715" s="6">
        <f>0</f>
        <v>0</v>
      </c>
      <c r="T1715" s="6">
        <f>1</f>
        <v>1</v>
      </c>
      <c r="U1715" s="5" t="s">
        <v>245</v>
      </c>
      <c r="V1715" s="4" t="s">
        <v>270</v>
      </c>
      <c r="W1715" s="4" t="s">
        <v>271</v>
      </c>
      <c r="X1715" s="4" t="s">
        <v>273</v>
      </c>
      <c r="Y1715" s="4" t="s">
        <v>241</v>
      </c>
      <c r="AB1715" s="4" t="s">
        <v>241</v>
      </c>
      <c r="AD1715" s="5" t="s">
        <v>241</v>
      </c>
      <c r="AG1715" s="5" t="s">
        <v>246</v>
      </c>
      <c r="AH1715" s="4" t="s">
        <v>241</v>
      </c>
      <c r="AI1715" s="4" t="s">
        <v>247</v>
      </c>
      <c r="AJ1715" s="4" t="s">
        <v>248</v>
      </c>
      <c r="AZ1715" s="4" t="s">
        <v>249</v>
      </c>
      <c r="BA1715" s="4" t="s">
        <v>241</v>
      </c>
      <c r="BB1715" s="4" t="s">
        <v>250</v>
      </c>
      <c r="BC1715" s="4" t="s">
        <v>241</v>
      </c>
      <c r="BD1715" s="4" t="s">
        <v>252</v>
      </c>
      <c r="BE1715" s="4" t="s">
        <v>241</v>
      </c>
      <c r="BI1715" s="4" t="s">
        <v>253</v>
      </c>
      <c r="BJ1715" s="5" t="s">
        <v>246</v>
      </c>
      <c r="BK1715" s="4" t="s">
        <v>254</v>
      </c>
      <c r="BL1715" s="4" t="s">
        <v>255</v>
      </c>
      <c r="BM1715" s="4" t="s">
        <v>241</v>
      </c>
      <c r="BN1715" s="6">
        <f>0</f>
        <v>0</v>
      </c>
      <c r="BO1715" s="6">
        <f>0</f>
        <v>0</v>
      </c>
      <c r="BP1715" s="4" t="s">
        <v>256</v>
      </c>
      <c r="BQ1715" s="4" t="s">
        <v>257</v>
      </c>
      <c r="CE1715" s="4" t="s">
        <v>241</v>
      </c>
      <c r="CF1715" s="4" t="s">
        <v>241</v>
      </c>
      <c r="CJ1715" s="4" t="s">
        <v>276</v>
      </c>
      <c r="CK1715" s="4" t="s">
        <v>259</v>
      </c>
      <c r="CL1715" s="4" t="s">
        <v>241</v>
      </c>
      <c r="CO1715" s="5" t="s">
        <v>260</v>
      </c>
      <c r="CP1715" s="4" t="s">
        <v>241</v>
      </c>
      <c r="CQ1715" s="4" t="s">
        <v>261</v>
      </c>
      <c r="CR1715" s="4" t="s">
        <v>241</v>
      </c>
      <c r="CS1715" s="4" t="s">
        <v>241</v>
      </c>
      <c r="CT1715" s="4">
        <v>0</v>
      </c>
      <c r="CU1715" s="4" t="s">
        <v>262</v>
      </c>
      <c r="CV1715" s="4" t="s">
        <v>263</v>
      </c>
      <c r="CW1715" s="4" t="s">
        <v>263</v>
      </c>
      <c r="CX1715" s="4" t="s">
        <v>264</v>
      </c>
      <c r="DA1715" s="6">
        <f>1</f>
        <v>1</v>
      </c>
      <c r="DC1715" s="4" t="s">
        <v>277</v>
      </c>
      <c r="DD1715" s="4" t="s">
        <v>241</v>
      </c>
      <c r="DF1715" s="4" t="s">
        <v>277</v>
      </c>
      <c r="DG1715" s="6">
        <f>113</f>
        <v>113</v>
      </c>
      <c r="DI1715" s="4" t="s">
        <v>241</v>
      </c>
      <c r="DJ1715" s="4" t="s">
        <v>241</v>
      </c>
      <c r="DK1715" s="4" t="s">
        <v>241</v>
      </c>
      <c r="DL1715" s="4" t="s">
        <v>241</v>
      </c>
      <c r="DP1715" s="4" t="s">
        <v>241</v>
      </c>
      <c r="DQ1715" s="4" t="s">
        <v>241</v>
      </c>
      <c r="DR1715" s="4" t="s">
        <v>241</v>
      </c>
      <c r="DS1715" s="4" t="s">
        <v>241</v>
      </c>
      <c r="DV1715" s="4" t="s">
        <v>278</v>
      </c>
      <c r="DW1715" s="4" t="s">
        <v>2094</v>
      </c>
      <c r="HO1715" s="4" t="s">
        <v>267</v>
      </c>
    </row>
    <row r="1716" spans="1:223" ht="19.5" customHeight="1" x14ac:dyDescent="0.4">
      <c r="A1716" s="4">
        <v>1</v>
      </c>
      <c r="B1716" s="4" t="s">
        <v>239</v>
      </c>
      <c r="C1716" s="4">
        <v>3390</v>
      </c>
      <c r="D1716" s="4">
        <v>1</v>
      </c>
      <c r="E1716" s="4">
        <v>1</v>
      </c>
      <c r="F1716" s="4" t="s">
        <v>268</v>
      </c>
      <c r="G1716" s="4" t="s">
        <v>241</v>
      </c>
      <c r="H1716" s="4" t="s">
        <v>241</v>
      </c>
      <c r="I1716" s="4" t="s">
        <v>272</v>
      </c>
      <c r="J1716" s="4" t="s">
        <v>274</v>
      </c>
      <c r="K1716" s="4" t="s">
        <v>251</v>
      </c>
      <c r="L1716" s="4" t="s">
        <v>269</v>
      </c>
      <c r="M1716" s="5" t="s">
        <v>2091</v>
      </c>
      <c r="N1716" s="6">
        <f>507</f>
        <v>507</v>
      </c>
      <c r="O1716" s="4" t="s">
        <v>265</v>
      </c>
      <c r="P1716" s="6">
        <f>1</f>
        <v>1</v>
      </c>
      <c r="Q1716" s="6">
        <f>0</f>
        <v>0</v>
      </c>
      <c r="S1716" s="6">
        <f>0</f>
        <v>0</v>
      </c>
      <c r="T1716" s="6">
        <f>1</f>
        <v>1</v>
      </c>
      <c r="U1716" s="5" t="s">
        <v>245</v>
      </c>
      <c r="V1716" s="4" t="s">
        <v>270</v>
      </c>
      <c r="W1716" s="4" t="s">
        <v>271</v>
      </c>
      <c r="X1716" s="4" t="s">
        <v>273</v>
      </c>
      <c r="Y1716" s="4" t="s">
        <v>241</v>
      </c>
      <c r="AB1716" s="4" t="s">
        <v>241</v>
      </c>
      <c r="AD1716" s="5" t="s">
        <v>241</v>
      </c>
      <c r="AG1716" s="5" t="s">
        <v>246</v>
      </c>
      <c r="AH1716" s="4" t="s">
        <v>241</v>
      </c>
      <c r="AI1716" s="4" t="s">
        <v>247</v>
      </c>
      <c r="AJ1716" s="4" t="s">
        <v>248</v>
      </c>
      <c r="AZ1716" s="4" t="s">
        <v>249</v>
      </c>
      <c r="BA1716" s="4" t="s">
        <v>241</v>
      </c>
      <c r="BB1716" s="4" t="s">
        <v>250</v>
      </c>
      <c r="BC1716" s="4" t="s">
        <v>241</v>
      </c>
      <c r="BD1716" s="4" t="s">
        <v>252</v>
      </c>
      <c r="BE1716" s="4" t="s">
        <v>241</v>
      </c>
      <c r="BI1716" s="4" t="s">
        <v>253</v>
      </c>
      <c r="BJ1716" s="5" t="s">
        <v>246</v>
      </c>
      <c r="BK1716" s="4" t="s">
        <v>254</v>
      </c>
      <c r="BL1716" s="4" t="s">
        <v>255</v>
      </c>
      <c r="BM1716" s="4" t="s">
        <v>241</v>
      </c>
      <c r="BN1716" s="6">
        <f>0</f>
        <v>0</v>
      </c>
      <c r="BO1716" s="6">
        <f>0</f>
        <v>0</v>
      </c>
      <c r="BP1716" s="4" t="s">
        <v>256</v>
      </c>
      <c r="BQ1716" s="4" t="s">
        <v>257</v>
      </c>
      <c r="CE1716" s="4" t="s">
        <v>241</v>
      </c>
      <c r="CF1716" s="4" t="s">
        <v>241</v>
      </c>
      <c r="CJ1716" s="4" t="s">
        <v>276</v>
      </c>
      <c r="CK1716" s="4" t="s">
        <v>259</v>
      </c>
      <c r="CL1716" s="4" t="s">
        <v>241</v>
      </c>
      <c r="CO1716" s="5" t="s">
        <v>260</v>
      </c>
      <c r="CP1716" s="4" t="s">
        <v>241</v>
      </c>
      <c r="CQ1716" s="4" t="s">
        <v>261</v>
      </c>
      <c r="CR1716" s="4" t="s">
        <v>241</v>
      </c>
      <c r="CS1716" s="4" t="s">
        <v>241</v>
      </c>
      <c r="CT1716" s="4">
        <v>0</v>
      </c>
      <c r="CU1716" s="4" t="s">
        <v>262</v>
      </c>
      <c r="CV1716" s="4" t="s">
        <v>263</v>
      </c>
      <c r="CW1716" s="4" t="s">
        <v>263</v>
      </c>
      <c r="CX1716" s="4" t="s">
        <v>264</v>
      </c>
      <c r="DA1716" s="6">
        <f>1</f>
        <v>1</v>
      </c>
      <c r="DC1716" s="4" t="s">
        <v>277</v>
      </c>
      <c r="DD1716" s="4" t="s">
        <v>241</v>
      </c>
      <c r="DF1716" s="4" t="s">
        <v>277</v>
      </c>
      <c r="DG1716" s="6">
        <f>507</f>
        <v>507</v>
      </c>
      <c r="DI1716" s="4" t="s">
        <v>241</v>
      </c>
      <c r="DJ1716" s="4" t="s">
        <v>241</v>
      </c>
      <c r="DK1716" s="4" t="s">
        <v>241</v>
      </c>
      <c r="DL1716" s="4" t="s">
        <v>241</v>
      </c>
      <c r="DP1716" s="4" t="s">
        <v>241</v>
      </c>
      <c r="DQ1716" s="4" t="s">
        <v>241</v>
      </c>
      <c r="DR1716" s="4" t="s">
        <v>241</v>
      </c>
      <c r="DS1716" s="4" t="s">
        <v>241</v>
      </c>
      <c r="DV1716" s="4" t="s">
        <v>278</v>
      </c>
      <c r="DW1716" s="4" t="s">
        <v>2092</v>
      </c>
      <c r="HO1716" s="4" t="s">
        <v>267</v>
      </c>
    </row>
    <row r="1717" spans="1:223" ht="19.5" customHeight="1" x14ac:dyDescent="0.4">
      <c r="A1717" s="4">
        <v>1</v>
      </c>
      <c r="B1717" s="4" t="s">
        <v>239</v>
      </c>
      <c r="C1717" s="4">
        <v>3391</v>
      </c>
      <c r="D1717" s="4">
        <v>1</v>
      </c>
      <c r="E1717" s="4">
        <v>1</v>
      </c>
      <c r="F1717" s="4" t="s">
        <v>268</v>
      </c>
      <c r="G1717" s="4" t="s">
        <v>241</v>
      </c>
      <c r="H1717" s="4" t="s">
        <v>241</v>
      </c>
      <c r="I1717" s="4" t="s">
        <v>272</v>
      </c>
      <c r="J1717" s="4" t="s">
        <v>274</v>
      </c>
      <c r="K1717" s="4" t="s">
        <v>251</v>
      </c>
      <c r="L1717" s="4" t="s">
        <v>269</v>
      </c>
      <c r="M1717" s="5" t="s">
        <v>2089</v>
      </c>
      <c r="N1717" s="6">
        <f>3153</f>
        <v>3153</v>
      </c>
      <c r="O1717" s="4" t="s">
        <v>265</v>
      </c>
      <c r="P1717" s="6">
        <f>1</f>
        <v>1</v>
      </c>
      <c r="Q1717" s="6">
        <f>0</f>
        <v>0</v>
      </c>
      <c r="S1717" s="6">
        <f>0</f>
        <v>0</v>
      </c>
      <c r="T1717" s="6">
        <f>1</f>
        <v>1</v>
      </c>
      <c r="U1717" s="5" t="s">
        <v>245</v>
      </c>
      <c r="V1717" s="4" t="s">
        <v>270</v>
      </c>
      <c r="W1717" s="4" t="s">
        <v>271</v>
      </c>
      <c r="X1717" s="4" t="s">
        <v>273</v>
      </c>
      <c r="Y1717" s="4" t="s">
        <v>241</v>
      </c>
      <c r="AB1717" s="4" t="s">
        <v>241</v>
      </c>
      <c r="AD1717" s="5" t="s">
        <v>241</v>
      </c>
      <c r="AG1717" s="5" t="s">
        <v>246</v>
      </c>
      <c r="AH1717" s="4" t="s">
        <v>241</v>
      </c>
      <c r="AI1717" s="4" t="s">
        <v>247</v>
      </c>
      <c r="AJ1717" s="4" t="s">
        <v>248</v>
      </c>
      <c r="AZ1717" s="4" t="s">
        <v>249</v>
      </c>
      <c r="BA1717" s="4" t="s">
        <v>241</v>
      </c>
      <c r="BB1717" s="4" t="s">
        <v>250</v>
      </c>
      <c r="BC1717" s="4" t="s">
        <v>241</v>
      </c>
      <c r="BD1717" s="4" t="s">
        <v>252</v>
      </c>
      <c r="BE1717" s="4" t="s">
        <v>241</v>
      </c>
      <c r="BI1717" s="4" t="s">
        <v>253</v>
      </c>
      <c r="BJ1717" s="5" t="s">
        <v>246</v>
      </c>
      <c r="BK1717" s="4" t="s">
        <v>254</v>
      </c>
      <c r="BL1717" s="4" t="s">
        <v>255</v>
      </c>
      <c r="BM1717" s="4" t="s">
        <v>241</v>
      </c>
      <c r="BN1717" s="6">
        <f>0</f>
        <v>0</v>
      </c>
      <c r="BO1717" s="6">
        <f>0</f>
        <v>0</v>
      </c>
      <c r="BP1717" s="4" t="s">
        <v>256</v>
      </c>
      <c r="BQ1717" s="4" t="s">
        <v>257</v>
      </c>
      <c r="CE1717" s="4" t="s">
        <v>241</v>
      </c>
      <c r="CF1717" s="4" t="s">
        <v>241</v>
      </c>
      <c r="CJ1717" s="4" t="s">
        <v>276</v>
      </c>
      <c r="CK1717" s="4" t="s">
        <v>259</v>
      </c>
      <c r="CL1717" s="4" t="s">
        <v>241</v>
      </c>
      <c r="CO1717" s="5" t="s">
        <v>260</v>
      </c>
      <c r="CP1717" s="4" t="s">
        <v>241</v>
      </c>
      <c r="CQ1717" s="4" t="s">
        <v>261</v>
      </c>
      <c r="CR1717" s="4" t="s">
        <v>241</v>
      </c>
      <c r="CS1717" s="4" t="s">
        <v>241</v>
      </c>
      <c r="CT1717" s="4">
        <v>0</v>
      </c>
      <c r="CU1717" s="4" t="s">
        <v>262</v>
      </c>
      <c r="CV1717" s="4" t="s">
        <v>263</v>
      </c>
      <c r="CW1717" s="4" t="s">
        <v>263</v>
      </c>
      <c r="CX1717" s="4" t="s">
        <v>264</v>
      </c>
      <c r="DA1717" s="6">
        <f>1</f>
        <v>1</v>
      </c>
      <c r="DC1717" s="4" t="s">
        <v>277</v>
      </c>
      <c r="DD1717" s="4" t="s">
        <v>241</v>
      </c>
      <c r="DF1717" s="4" t="s">
        <v>277</v>
      </c>
      <c r="DG1717" s="6">
        <f>3153</f>
        <v>3153</v>
      </c>
      <c r="DI1717" s="4" t="s">
        <v>241</v>
      </c>
      <c r="DJ1717" s="4" t="s">
        <v>241</v>
      </c>
      <c r="DK1717" s="4" t="s">
        <v>241</v>
      </c>
      <c r="DL1717" s="4" t="s">
        <v>241</v>
      </c>
      <c r="DP1717" s="4" t="s">
        <v>241</v>
      </c>
      <c r="DQ1717" s="4" t="s">
        <v>241</v>
      </c>
      <c r="DR1717" s="4" t="s">
        <v>241</v>
      </c>
      <c r="DS1717" s="4" t="s">
        <v>241</v>
      </c>
      <c r="DV1717" s="4" t="s">
        <v>278</v>
      </c>
      <c r="DW1717" s="4" t="s">
        <v>2090</v>
      </c>
      <c r="HO1717" s="4" t="s">
        <v>267</v>
      </c>
    </row>
    <row r="1718" spans="1:223" ht="19.5" customHeight="1" x14ac:dyDescent="0.4">
      <c r="A1718" s="4">
        <v>1</v>
      </c>
      <c r="B1718" s="4" t="s">
        <v>239</v>
      </c>
      <c r="C1718" s="4">
        <v>3392</v>
      </c>
      <c r="D1718" s="4">
        <v>1</v>
      </c>
      <c r="E1718" s="4">
        <v>1</v>
      </c>
      <c r="F1718" s="4" t="s">
        <v>268</v>
      </c>
      <c r="G1718" s="4" t="s">
        <v>241</v>
      </c>
      <c r="H1718" s="4" t="s">
        <v>241</v>
      </c>
      <c r="I1718" s="4" t="s">
        <v>272</v>
      </c>
      <c r="J1718" s="4" t="s">
        <v>274</v>
      </c>
      <c r="K1718" s="4" t="s">
        <v>251</v>
      </c>
      <c r="L1718" s="4" t="s">
        <v>269</v>
      </c>
      <c r="M1718" s="5" t="s">
        <v>2087</v>
      </c>
      <c r="N1718" s="6">
        <f>2020</f>
        <v>2020</v>
      </c>
      <c r="O1718" s="4" t="s">
        <v>265</v>
      </c>
      <c r="P1718" s="6">
        <f>1</f>
        <v>1</v>
      </c>
      <c r="Q1718" s="6">
        <f>0</f>
        <v>0</v>
      </c>
      <c r="S1718" s="6">
        <f>0</f>
        <v>0</v>
      </c>
      <c r="T1718" s="6">
        <f>1</f>
        <v>1</v>
      </c>
      <c r="U1718" s="5" t="s">
        <v>245</v>
      </c>
      <c r="V1718" s="4" t="s">
        <v>270</v>
      </c>
      <c r="W1718" s="4" t="s">
        <v>271</v>
      </c>
      <c r="X1718" s="4" t="s">
        <v>273</v>
      </c>
      <c r="Y1718" s="4" t="s">
        <v>241</v>
      </c>
      <c r="AB1718" s="4" t="s">
        <v>241</v>
      </c>
      <c r="AD1718" s="5" t="s">
        <v>241</v>
      </c>
      <c r="AG1718" s="5" t="s">
        <v>246</v>
      </c>
      <c r="AH1718" s="4" t="s">
        <v>241</v>
      </c>
      <c r="AI1718" s="4" t="s">
        <v>247</v>
      </c>
      <c r="AJ1718" s="4" t="s">
        <v>248</v>
      </c>
      <c r="AZ1718" s="4" t="s">
        <v>249</v>
      </c>
      <c r="BA1718" s="4" t="s">
        <v>241</v>
      </c>
      <c r="BB1718" s="4" t="s">
        <v>250</v>
      </c>
      <c r="BC1718" s="4" t="s">
        <v>241</v>
      </c>
      <c r="BD1718" s="4" t="s">
        <v>252</v>
      </c>
      <c r="BE1718" s="4" t="s">
        <v>241</v>
      </c>
      <c r="BI1718" s="4" t="s">
        <v>253</v>
      </c>
      <c r="BJ1718" s="5" t="s">
        <v>246</v>
      </c>
      <c r="BK1718" s="4" t="s">
        <v>254</v>
      </c>
      <c r="BL1718" s="4" t="s">
        <v>255</v>
      </c>
      <c r="BM1718" s="4" t="s">
        <v>241</v>
      </c>
      <c r="BN1718" s="6">
        <f>0</f>
        <v>0</v>
      </c>
      <c r="BO1718" s="6">
        <f>0</f>
        <v>0</v>
      </c>
      <c r="BP1718" s="4" t="s">
        <v>256</v>
      </c>
      <c r="BQ1718" s="4" t="s">
        <v>257</v>
      </c>
      <c r="CE1718" s="4" t="s">
        <v>241</v>
      </c>
      <c r="CF1718" s="4" t="s">
        <v>241</v>
      </c>
      <c r="CJ1718" s="4" t="s">
        <v>276</v>
      </c>
      <c r="CK1718" s="4" t="s">
        <v>259</v>
      </c>
      <c r="CL1718" s="4" t="s">
        <v>241</v>
      </c>
      <c r="CO1718" s="5" t="s">
        <v>260</v>
      </c>
      <c r="CP1718" s="4" t="s">
        <v>241</v>
      </c>
      <c r="CQ1718" s="4" t="s">
        <v>261</v>
      </c>
      <c r="CR1718" s="4" t="s">
        <v>241</v>
      </c>
      <c r="CS1718" s="4" t="s">
        <v>241</v>
      </c>
      <c r="CT1718" s="4">
        <v>0</v>
      </c>
      <c r="CU1718" s="4" t="s">
        <v>262</v>
      </c>
      <c r="CV1718" s="4" t="s">
        <v>263</v>
      </c>
      <c r="CW1718" s="4" t="s">
        <v>263</v>
      </c>
      <c r="CX1718" s="4" t="s">
        <v>264</v>
      </c>
      <c r="DA1718" s="6">
        <f>1</f>
        <v>1</v>
      </c>
      <c r="DC1718" s="4" t="s">
        <v>277</v>
      </c>
      <c r="DD1718" s="4" t="s">
        <v>241</v>
      </c>
      <c r="DF1718" s="4" t="s">
        <v>277</v>
      </c>
      <c r="DG1718" s="6">
        <f>2020</f>
        <v>2020</v>
      </c>
      <c r="DI1718" s="4" t="s">
        <v>241</v>
      </c>
      <c r="DJ1718" s="4" t="s">
        <v>241</v>
      </c>
      <c r="DK1718" s="4" t="s">
        <v>241</v>
      </c>
      <c r="DL1718" s="4" t="s">
        <v>241</v>
      </c>
      <c r="DP1718" s="4" t="s">
        <v>241</v>
      </c>
      <c r="DQ1718" s="4" t="s">
        <v>241</v>
      </c>
      <c r="DR1718" s="4" t="s">
        <v>241</v>
      </c>
      <c r="DS1718" s="4" t="s">
        <v>241</v>
      </c>
      <c r="DV1718" s="4" t="s">
        <v>278</v>
      </c>
      <c r="DW1718" s="4" t="s">
        <v>2088</v>
      </c>
      <c r="HO1718" s="4" t="s">
        <v>267</v>
      </c>
    </row>
    <row r="1719" spans="1:223" ht="19.5" customHeight="1" x14ac:dyDescent="0.4">
      <c r="A1719" s="4">
        <v>1</v>
      </c>
      <c r="B1719" s="4" t="s">
        <v>239</v>
      </c>
      <c r="C1719" s="4">
        <v>3393</v>
      </c>
      <c r="D1719" s="4">
        <v>1</v>
      </c>
      <c r="E1719" s="4">
        <v>1</v>
      </c>
      <c r="F1719" s="4" t="s">
        <v>268</v>
      </c>
      <c r="G1719" s="4" t="s">
        <v>241</v>
      </c>
      <c r="H1719" s="4" t="s">
        <v>241</v>
      </c>
      <c r="I1719" s="4" t="s">
        <v>272</v>
      </c>
      <c r="J1719" s="4" t="s">
        <v>274</v>
      </c>
      <c r="K1719" s="4" t="s">
        <v>251</v>
      </c>
      <c r="L1719" s="4" t="s">
        <v>269</v>
      </c>
      <c r="M1719" s="5" t="s">
        <v>2086</v>
      </c>
      <c r="N1719" s="6">
        <f>3759</f>
        <v>3759</v>
      </c>
      <c r="O1719" s="4" t="s">
        <v>265</v>
      </c>
      <c r="P1719" s="6">
        <f>1</f>
        <v>1</v>
      </c>
      <c r="Q1719" s="6">
        <f>0</f>
        <v>0</v>
      </c>
      <c r="S1719" s="6">
        <f>0</f>
        <v>0</v>
      </c>
      <c r="T1719" s="6">
        <f>1</f>
        <v>1</v>
      </c>
      <c r="U1719" s="5" t="s">
        <v>245</v>
      </c>
      <c r="V1719" s="4" t="s">
        <v>270</v>
      </c>
      <c r="W1719" s="4" t="s">
        <v>271</v>
      </c>
      <c r="X1719" s="4" t="s">
        <v>273</v>
      </c>
      <c r="Y1719" s="4" t="s">
        <v>241</v>
      </c>
      <c r="AB1719" s="4" t="s">
        <v>241</v>
      </c>
      <c r="AD1719" s="5" t="s">
        <v>241</v>
      </c>
      <c r="AG1719" s="5" t="s">
        <v>246</v>
      </c>
      <c r="AH1719" s="4" t="s">
        <v>241</v>
      </c>
      <c r="AI1719" s="4" t="s">
        <v>247</v>
      </c>
      <c r="AJ1719" s="4" t="s">
        <v>248</v>
      </c>
      <c r="AZ1719" s="4" t="s">
        <v>249</v>
      </c>
      <c r="BA1719" s="4" t="s">
        <v>241</v>
      </c>
      <c r="BB1719" s="4" t="s">
        <v>250</v>
      </c>
      <c r="BC1719" s="4" t="s">
        <v>241</v>
      </c>
      <c r="BD1719" s="4" t="s">
        <v>252</v>
      </c>
      <c r="BE1719" s="4" t="s">
        <v>241</v>
      </c>
      <c r="BI1719" s="4" t="s">
        <v>253</v>
      </c>
      <c r="BJ1719" s="5" t="s">
        <v>246</v>
      </c>
      <c r="BK1719" s="4" t="s">
        <v>254</v>
      </c>
      <c r="BL1719" s="4" t="s">
        <v>255</v>
      </c>
      <c r="BM1719" s="4" t="s">
        <v>241</v>
      </c>
      <c r="BN1719" s="6">
        <f>0</f>
        <v>0</v>
      </c>
      <c r="BO1719" s="6">
        <f>0</f>
        <v>0</v>
      </c>
      <c r="BP1719" s="4" t="s">
        <v>256</v>
      </c>
      <c r="BQ1719" s="4" t="s">
        <v>257</v>
      </c>
      <c r="CE1719" s="4" t="s">
        <v>241</v>
      </c>
      <c r="CF1719" s="4" t="s">
        <v>241</v>
      </c>
      <c r="CJ1719" s="4" t="s">
        <v>276</v>
      </c>
      <c r="CK1719" s="4" t="s">
        <v>259</v>
      </c>
      <c r="CL1719" s="4" t="s">
        <v>241</v>
      </c>
      <c r="CO1719" s="5" t="s">
        <v>260</v>
      </c>
      <c r="CP1719" s="4" t="s">
        <v>241</v>
      </c>
      <c r="CQ1719" s="4" t="s">
        <v>261</v>
      </c>
      <c r="CR1719" s="4" t="s">
        <v>241</v>
      </c>
      <c r="CS1719" s="4" t="s">
        <v>241</v>
      </c>
      <c r="CT1719" s="4">
        <v>0</v>
      </c>
      <c r="CU1719" s="4" t="s">
        <v>262</v>
      </c>
      <c r="CV1719" s="4" t="s">
        <v>263</v>
      </c>
      <c r="CW1719" s="4" t="s">
        <v>263</v>
      </c>
      <c r="CX1719" s="4" t="s">
        <v>264</v>
      </c>
      <c r="DA1719" s="6">
        <f>1</f>
        <v>1</v>
      </c>
      <c r="DC1719" s="4" t="s">
        <v>277</v>
      </c>
      <c r="DD1719" s="4" t="s">
        <v>241</v>
      </c>
      <c r="DF1719" s="4" t="s">
        <v>277</v>
      </c>
      <c r="DG1719" s="6">
        <f>3759</f>
        <v>3759</v>
      </c>
      <c r="DI1719" s="4" t="s">
        <v>241</v>
      </c>
      <c r="DJ1719" s="4" t="s">
        <v>241</v>
      </c>
      <c r="DK1719" s="4" t="s">
        <v>241</v>
      </c>
      <c r="DL1719" s="4" t="s">
        <v>241</v>
      </c>
      <c r="DP1719" s="4" t="s">
        <v>241</v>
      </c>
      <c r="DQ1719" s="4" t="s">
        <v>241</v>
      </c>
      <c r="DR1719" s="4" t="s">
        <v>241</v>
      </c>
      <c r="DS1719" s="4" t="s">
        <v>241</v>
      </c>
      <c r="DV1719" s="4" t="s">
        <v>278</v>
      </c>
      <c r="DW1719" s="4" t="s">
        <v>968</v>
      </c>
      <c r="HO1719" s="4" t="s">
        <v>267</v>
      </c>
    </row>
    <row r="1720" spans="1:223" ht="19.5" customHeight="1" x14ac:dyDescent="0.4">
      <c r="A1720" s="4">
        <v>1</v>
      </c>
      <c r="B1720" s="4" t="s">
        <v>239</v>
      </c>
      <c r="C1720" s="4">
        <v>3394</v>
      </c>
      <c r="D1720" s="4">
        <v>1</v>
      </c>
      <c r="E1720" s="4">
        <v>1</v>
      </c>
      <c r="F1720" s="4" t="s">
        <v>268</v>
      </c>
      <c r="G1720" s="4" t="s">
        <v>241</v>
      </c>
      <c r="H1720" s="4" t="s">
        <v>241</v>
      </c>
      <c r="I1720" s="4" t="s">
        <v>272</v>
      </c>
      <c r="J1720" s="4" t="s">
        <v>274</v>
      </c>
      <c r="K1720" s="4" t="s">
        <v>251</v>
      </c>
      <c r="L1720" s="4" t="s">
        <v>269</v>
      </c>
      <c r="M1720" s="5" t="s">
        <v>2085</v>
      </c>
      <c r="N1720" s="6">
        <f>211</f>
        <v>211</v>
      </c>
      <c r="O1720" s="4" t="s">
        <v>265</v>
      </c>
      <c r="P1720" s="6">
        <f>1</f>
        <v>1</v>
      </c>
      <c r="Q1720" s="6">
        <f>0</f>
        <v>0</v>
      </c>
      <c r="S1720" s="6">
        <f>0</f>
        <v>0</v>
      </c>
      <c r="T1720" s="6">
        <f>1</f>
        <v>1</v>
      </c>
      <c r="U1720" s="5" t="s">
        <v>245</v>
      </c>
      <c r="V1720" s="4" t="s">
        <v>270</v>
      </c>
      <c r="W1720" s="4" t="s">
        <v>271</v>
      </c>
      <c r="X1720" s="4" t="s">
        <v>273</v>
      </c>
      <c r="Y1720" s="4" t="s">
        <v>241</v>
      </c>
      <c r="AB1720" s="4" t="s">
        <v>241</v>
      </c>
      <c r="AD1720" s="5" t="s">
        <v>241</v>
      </c>
      <c r="AG1720" s="5" t="s">
        <v>246</v>
      </c>
      <c r="AH1720" s="4" t="s">
        <v>241</v>
      </c>
      <c r="AI1720" s="4" t="s">
        <v>247</v>
      </c>
      <c r="AJ1720" s="4" t="s">
        <v>248</v>
      </c>
      <c r="AZ1720" s="4" t="s">
        <v>249</v>
      </c>
      <c r="BA1720" s="4" t="s">
        <v>241</v>
      </c>
      <c r="BB1720" s="4" t="s">
        <v>250</v>
      </c>
      <c r="BC1720" s="4" t="s">
        <v>241</v>
      </c>
      <c r="BD1720" s="4" t="s">
        <v>252</v>
      </c>
      <c r="BE1720" s="4" t="s">
        <v>241</v>
      </c>
      <c r="BI1720" s="4" t="s">
        <v>253</v>
      </c>
      <c r="BJ1720" s="5" t="s">
        <v>246</v>
      </c>
      <c r="BK1720" s="4" t="s">
        <v>254</v>
      </c>
      <c r="BL1720" s="4" t="s">
        <v>255</v>
      </c>
      <c r="BM1720" s="4" t="s">
        <v>241</v>
      </c>
      <c r="BN1720" s="6">
        <f>0</f>
        <v>0</v>
      </c>
      <c r="BO1720" s="6">
        <f>0</f>
        <v>0</v>
      </c>
      <c r="BP1720" s="4" t="s">
        <v>256</v>
      </c>
      <c r="BQ1720" s="4" t="s">
        <v>257</v>
      </c>
      <c r="CE1720" s="4" t="s">
        <v>241</v>
      </c>
      <c r="CF1720" s="4" t="s">
        <v>241</v>
      </c>
      <c r="CJ1720" s="4" t="s">
        <v>276</v>
      </c>
      <c r="CK1720" s="4" t="s">
        <v>259</v>
      </c>
      <c r="CL1720" s="4" t="s">
        <v>241</v>
      </c>
      <c r="CO1720" s="5" t="s">
        <v>260</v>
      </c>
      <c r="CP1720" s="4" t="s">
        <v>241</v>
      </c>
      <c r="CQ1720" s="4" t="s">
        <v>261</v>
      </c>
      <c r="CR1720" s="4" t="s">
        <v>241</v>
      </c>
      <c r="CS1720" s="4" t="s">
        <v>241</v>
      </c>
      <c r="CT1720" s="4">
        <v>0</v>
      </c>
      <c r="CU1720" s="4" t="s">
        <v>262</v>
      </c>
      <c r="CV1720" s="4" t="s">
        <v>263</v>
      </c>
      <c r="CW1720" s="4" t="s">
        <v>263</v>
      </c>
      <c r="CX1720" s="4" t="s">
        <v>264</v>
      </c>
      <c r="DA1720" s="6">
        <f>1</f>
        <v>1</v>
      </c>
      <c r="DC1720" s="4" t="s">
        <v>277</v>
      </c>
      <c r="DD1720" s="4" t="s">
        <v>241</v>
      </c>
      <c r="DF1720" s="4" t="s">
        <v>277</v>
      </c>
      <c r="DG1720" s="6">
        <f>211</f>
        <v>211</v>
      </c>
      <c r="DI1720" s="4" t="s">
        <v>241</v>
      </c>
      <c r="DJ1720" s="4" t="s">
        <v>241</v>
      </c>
      <c r="DK1720" s="4" t="s">
        <v>241</v>
      </c>
      <c r="DL1720" s="4" t="s">
        <v>241</v>
      </c>
      <c r="DP1720" s="4" t="s">
        <v>241</v>
      </c>
      <c r="DQ1720" s="4" t="s">
        <v>241</v>
      </c>
      <c r="DR1720" s="4" t="s">
        <v>241</v>
      </c>
      <c r="DS1720" s="4" t="s">
        <v>241</v>
      </c>
      <c r="DV1720" s="4" t="s">
        <v>278</v>
      </c>
      <c r="DW1720" s="4" t="s">
        <v>942</v>
      </c>
      <c r="HO1720" s="4" t="s">
        <v>267</v>
      </c>
    </row>
    <row r="1721" spans="1:223" ht="19.5" customHeight="1" x14ac:dyDescent="0.4">
      <c r="A1721" s="4">
        <v>1</v>
      </c>
      <c r="B1721" s="4" t="s">
        <v>239</v>
      </c>
      <c r="C1721" s="4">
        <v>3395</v>
      </c>
      <c r="D1721" s="4">
        <v>1</v>
      </c>
      <c r="E1721" s="4">
        <v>1</v>
      </c>
      <c r="F1721" s="4" t="s">
        <v>268</v>
      </c>
      <c r="G1721" s="4" t="s">
        <v>241</v>
      </c>
      <c r="H1721" s="4" t="s">
        <v>241</v>
      </c>
      <c r="I1721" s="4" t="s">
        <v>272</v>
      </c>
      <c r="J1721" s="4" t="s">
        <v>274</v>
      </c>
      <c r="K1721" s="4" t="s">
        <v>251</v>
      </c>
      <c r="L1721" s="4" t="s">
        <v>269</v>
      </c>
      <c r="M1721" s="5" t="s">
        <v>2084</v>
      </c>
      <c r="N1721" s="6">
        <f>150</f>
        <v>150</v>
      </c>
      <c r="O1721" s="4" t="s">
        <v>265</v>
      </c>
      <c r="P1721" s="6">
        <f>1</f>
        <v>1</v>
      </c>
      <c r="Q1721" s="6">
        <f>0</f>
        <v>0</v>
      </c>
      <c r="S1721" s="6">
        <f>0</f>
        <v>0</v>
      </c>
      <c r="T1721" s="6">
        <f>1</f>
        <v>1</v>
      </c>
      <c r="U1721" s="5" t="s">
        <v>245</v>
      </c>
      <c r="V1721" s="4" t="s">
        <v>270</v>
      </c>
      <c r="W1721" s="4" t="s">
        <v>271</v>
      </c>
      <c r="X1721" s="4" t="s">
        <v>273</v>
      </c>
      <c r="Y1721" s="4" t="s">
        <v>241</v>
      </c>
      <c r="AB1721" s="4" t="s">
        <v>241</v>
      </c>
      <c r="AD1721" s="5" t="s">
        <v>241</v>
      </c>
      <c r="AG1721" s="5" t="s">
        <v>246</v>
      </c>
      <c r="AH1721" s="4" t="s">
        <v>241</v>
      </c>
      <c r="AI1721" s="4" t="s">
        <v>247</v>
      </c>
      <c r="AJ1721" s="4" t="s">
        <v>248</v>
      </c>
      <c r="AZ1721" s="4" t="s">
        <v>249</v>
      </c>
      <c r="BA1721" s="4" t="s">
        <v>241</v>
      </c>
      <c r="BB1721" s="4" t="s">
        <v>250</v>
      </c>
      <c r="BC1721" s="4" t="s">
        <v>241</v>
      </c>
      <c r="BD1721" s="4" t="s">
        <v>252</v>
      </c>
      <c r="BE1721" s="4" t="s">
        <v>241</v>
      </c>
      <c r="BI1721" s="4" t="s">
        <v>253</v>
      </c>
      <c r="BJ1721" s="5" t="s">
        <v>246</v>
      </c>
      <c r="BK1721" s="4" t="s">
        <v>254</v>
      </c>
      <c r="BL1721" s="4" t="s">
        <v>255</v>
      </c>
      <c r="BM1721" s="4" t="s">
        <v>241</v>
      </c>
      <c r="BN1721" s="6">
        <f>0</f>
        <v>0</v>
      </c>
      <c r="BO1721" s="6">
        <f>0</f>
        <v>0</v>
      </c>
      <c r="BP1721" s="4" t="s">
        <v>256</v>
      </c>
      <c r="BQ1721" s="4" t="s">
        <v>257</v>
      </c>
      <c r="CE1721" s="4" t="s">
        <v>241</v>
      </c>
      <c r="CF1721" s="4" t="s">
        <v>241</v>
      </c>
      <c r="CJ1721" s="4" t="s">
        <v>276</v>
      </c>
      <c r="CK1721" s="4" t="s">
        <v>259</v>
      </c>
      <c r="CL1721" s="4" t="s">
        <v>241</v>
      </c>
      <c r="CO1721" s="5" t="s">
        <v>260</v>
      </c>
      <c r="CP1721" s="4" t="s">
        <v>241</v>
      </c>
      <c r="CQ1721" s="4" t="s">
        <v>261</v>
      </c>
      <c r="CR1721" s="4" t="s">
        <v>241</v>
      </c>
      <c r="CS1721" s="4" t="s">
        <v>241</v>
      </c>
      <c r="CT1721" s="4">
        <v>0</v>
      </c>
      <c r="CU1721" s="4" t="s">
        <v>262</v>
      </c>
      <c r="CV1721" s="4" t="s">
        <v>263</v>
      </c>
      <c r="CW1721" s="4" t="s">
        <v>263</v>
      </c>
      <c r="CX1721" s="4" t="s">
        <v>264</v>
      </c>
      <c r="DA1721" s="6">
        <f>1</f>
        <v>1</v>
      </c>
      <c r="DC1721" s="4" t="s">
        <v>277</v>
      </c>
      <c r="DD1721" s="4" t="s">
        <v>241</v>
      </c>
      <c r="DF1721" s="4" t="s">
        <v>277</v>
      </c>
      <c r="DG1721" s="6">
        <f>150</f>
        <v>150</v>
      </c>
      <c r="DI1721" s="4" t="s">
        <v>241</v>
      </c>
      <c r="DJ1721" s="4" t="s">
        <v>241</v>
      </c>
      <c r="DK1721" s="4" t="s">
        <v>241</v>
      </c>
      <c r="DL1721" s="4" t="s">
        <v>241</v>
      </c>
      <c r="DP1721" s="4" t="s">
        <v>241</v>
      </c>
      <c r="DQ1721" s="4" t="s">
        <v>241</v>
      </c>
      <c r="DR1721" s="4" t="s">
        <v>241</v>
      </c>
      <c r="DS1721" s="4" t="s">
        <v>241</v>
      </c>
      <c r="DV1721" s="4" t="s">
        <v>278</v>
      </c>
      <c r="DW1721" s="4" t="s">
        <v>914</v>
      </c>
      <c r="HO1721" s="4" t="s">
        <v>267</v>
      </c>
    </row>
    <row r="1722" spans="1:223" ht="19.5" customHeight="1" x14ac:dyDescent="0.4">
      <c r="A1722" s="4">
        <v>1</v>
      </c>
      <c r="B1722" s="4" t="s">
        <v>239</v>
      </c>
      <c r="C1722" s="4">
        <v>3396</v>
      </c>
      <c r="D1722" s="4">
        <v>1</v>
      </c>
      <c r="E1722" s="4">
        <v>1</v>
      </c>
      <c r="F1722" s="4" t="s">
        <v>268</v>
      </c>
      <c r="G1722" s="4" t="s">
        <v>241</v>
      </c>
      <c r="H1722" s="4" t="s">
        <v>241</v>
      </c>
      <c r="I1722" s="4" t="s">
        <v>272</v>
      </c>
      <c r="J1722" s="4" t="s">
        <v>274</v>
      </c>
      <c r="K1722" s="4" t="s">
        <v>251</v>
      </c>
      <c r="L1722" s="4" t="s">
        <v>269</v>
      </c>
      <c r="M1722" s="5" t="s">
        <v>2083</v>
      </c>
      <c r="N1722" s="6">
        <f>130</f>
        <v>130</v>
      </c>
      <c r="O1722" s="4" t="s">
        <v>265</v>
      </c>
      <c r="P1722" s="6">
        <f>1</f>
        <v>1</v>
      </c>
      <c r="Q1722" s="6">
        <f>0</f>
        <v>0</v>
      </c>
      <c r="S1722" s="6">
        <f>0</f>
        <v>0</v>
      </c>
      <c r="T1722" s="6">
        <f>1</f>
        <v>1</v>
      </c>
      <c r="U1722" s="5" t="s">
        <v>245</v>
      </c>
      <c r="V1722" s="4" t="s">
        <v>270</v>
      </c>
      <c r="W1722" s="4" t="s">
        <v>271</v>
      </c>
      <c r="X1722" s="4" t="s">
        <v>273</v>
      </c>
      <c r="Y1722" s="4" t="s">
        <v>241</v>
      </c>
      <c r="AB1722" s="4" t="s">
        <v>241</v>
      </c>
      <c r="AD1722" s="5" t="s">
        <v>241</v>
      </c>
      <c r="AG1722" s="5" t="s">
        <v>246</v>
      </c>
      <c r="AH1722" s="4" t="s">
        <v>241</v>
      </c>
      <c r="AI1722" s="4" t="s">
        <v>247</v>
      </c>
      <c r="AJ1722" s="4" t="s">
        <v>248</v>
      </c>
      <c r="AZ1722" s="4" t="s">
        <v>249</v>
      </c>
      <c r="BA1722" s="4" t="s">
        <v>241</v>
      </c>
      <c r="BB1722" s="4" t="s">
        <v>250</v>
      </c>
      <c r="BC1722" s="4" t="s">
        <v>241</v>
      </c>
      <c r="BD1722" s="4" t="s">
        <v>252</v>
      </c>
      <c r="BE1722" s="4" t="s">
        <v>241</v>
      </c>
      <c r="BI1722" s="4" t="s">
        <v>253</v>
      </c>
      <c r="BJ1722" s="5" t="s">
        <v>246</v>
      </c>
      <c r="BK1722" s="4" t="s">
        <v>254</v>
      </c>
      <c r="BL1722" s="4" t="s">
        <v>255</v>
      </c>
      <c r="BM1722" s="4" t="s">
        <v>241</v>
      </c>
      <c r="BN1722" s="6">
        <f>0</f>
        <v>0</v>
      </c>
      <c r="BO1722" s="6">
        <f>0</f>
        <v>0</v>
      </c>
      <c r="BP1722" s="4" t="s">
        <v>256</v>
      </c>
      <c r="BQ1722" s="4" t="s">
        <v>257</v>
      </c>
      <c r="CE1722" s="4" t="s">
        <v>241</v>
      </c>
      <c r="CF1722" s="4" t="s">
        <v>241</v>
      </c>
      <c r="CJ1722" s="4" t="s">
        <v>276</v>
      </c>
      <c r="CK1722" s="4" t="s">
        <v>259</v>
      </c>
      <c r="CL1722" s="4" t="s">
        <v>241</v>
      </c>
      <c r="CO1722" s="5" t="s">
        <v>260</v>
      </c>
      <c r="CP1722" s="4" t="s">
        <v>241</v>
      </c>
      <c r="CQ1722" s="4" t="s">
        <v>261</v>
      </c>
      <c r="CR1722" s="4" t="s">
        <v>241</v>
      </c>
      <c r="CS1722" s="4" t="s">
        <v>241</v>
      </c>
      <c r="CT1722" s="4">
        <v>0</v>
      </c>
      <c r="CU1722" s="4" t="s">
        <v>262</v>
      </c>
      <c r="CV1722" s="4" t="s">
        <v>263</v>
      </c>
      <c r="CW1722" s="4" t="s">
        <v>263</v>
      </c>
      <c r="CX1722" s="4" t="s">
        <v>264</v>
      </c>
      <c r="DA1722" s="6">
        <f>1</f>
        <v>1</v>
      </c>
      <c r="DC1722" s="4" t="s">
        <v>277</v>
      </c>
      <c r="DD1722" s="4" t="s">
        <v>241</v>
      </c>
      <c r="DF1722" s="4" t="s">
        <v>277</v>
      </c>
      <c r="DG1722" s="6">
        <f>130</f>
        <v>130</v>
      </c>
      <c r="DI1722" s="4" t="s">
        <v>241</v>
      </c>
      <c r="DJ1722" s="4" t="s">
        <v>241</v>
      </c>
      <c r="DK1722" s="4" t="s">
        <v>241</v>
      </c>
      <c r="DL1722" s="4" t="s">
        <v>241</v>
      </c>
      <c r="DP1722" s="4" t="s">
        <v>241</v>
      </c>
      <c r="DQ1722" s="4" t="s">
        <v>241</v>
      </c>
      <c r="DR1722" s="4" t="s">
        <v>241</v>
      </c>
      <c r="DS1722" s="4" t="s">
        <v>241</v>
      </c>
      <c r="DV1722" s="4" t="s">
        <v>278</v>
      </c>
      <c r="DW1722" s="4" t="s">
        <v>893</v>
      </c>
      <c r="HO1722" s="4" t="s">
        <v>267</v>
      </c>
    </row>
    <row r="1723" spans="1:223" ht="19.5" customHeight="1" x14ac:dyDescent="0.4">
      <c r="A1723" s="4">
        <v>1</v>
      </c>
      <c r="B1723" s="4" t="s">
        <v>239</v>
      </c>
      <c r="C1723" s="4">
        <v>3397</v>
      </c>
      <c r="D1723" s="4">
        <v>1</v>
      </c>
      <c r="E1723" s="4">
        <v>1</v>
      </c>
      <c r="F1723" s="4" t="s">
        <v>268</v>
      </c>
      <c r="G1723" s="4" t="s">
        <v>241</v>
      </c>
      <c r="H1723" s="4" t="s">
        <v>241</v>
      </c>
      <c r="I1723" s="4" t="s">
        <v>272</v>
      </c>
      <c r="J1723" s="4" t="s">
        <v>274</v>
      </c>
      <c r="K1723" s="4" t="s">
        <v>251</v>
      </c>
      <c r="L1723" s="4" t="s">
        <v>269</v>
      </c>
      <c r="M1723" s="5" t="s">
        <v>2082</v>
      </c>
      <c r="N1723" s="6">
        <f>3990</f>
        <v>3990</v>
      </c>
      <c r="O1723" s="4" t="s">
        <v>265</v>
      </c>
      <c r="P1723" s="6">
        <f>1</f>
        <v>1</v>
      </c>
      <c r="Q1723" s="6">
        <f>0</f>
        <v>0</v>
      </c>
      <c r="S1723" s="6">
        <f>0</f>
        <v>0</v>
      </c>
      <c r="T1723" s="6">
        <f>1</f>
        <v>1</v>
      </c>
      <c r="U1723" s="5" t="s">
        <v>245</v>
      </c>
      <c r="V1723" s="4" t="s">
        <v>270</v>
      </c>
      <c r="W1723" s="4" t="s">
        <v>271</v>
      </c>
      <c r="X1723" s="4" t="s">
        <v>273</v>
      </c>
      <c r="Y1723" s="4" t="s">
        <v>241</v>
      </c>
      <c r="AB1723" s="4" t="s">
        <v>241</v>
      </c>
      <c r="AD1723" s="5" t="s">
        <v>241</v>
      </c>
      <c r="AG1723" s="5" t="s">
        <v>246</v>
      </c>
      <c r="AH1723" s="4" t="s">
        <v>241</v>
      </c>
      <c r="AI1723" s="4" t="s">
        <v>247</v>
      </c>
      <c r="AJ1723" s="4" t="s">
        <v>248</v>
      </c>
      <c r="AZ1723" s="4" t="s">
        <v>249</v>
      </c>
      <c r="BA1723" s="4" t="s">
        <v>241</v>
      </c>
      <c r="BB1723" s="4" t="s">
        <v>250</v>
      </c>
      <c r="BC1723" s="4" t="s">
        <v>241</v>
      </c>
      <c r="BD1723" s="4" t="s">
        <v>252</v>
      </c>
      <c r="BE1723" s="4" t="s">
        <v>241</v>
      </c>
      <c r="BI1723" s="4" t="s">
        <v>253</v>
      </c>
      <c r="BJ1723" s="5" t="s">
        <v>246</v>
      </c>
      <c r="BK1723" s="4" t="s">
        <v>254</v>
      </c>
      <c r="BL1723" s="4" t="s">
        <v>255</v>
      </c>
      <c r="BM1723" s="4" t="s">
        <v>241</v>
      </c>
      <c r="BN1723" s="6">
        <f>0</f>
        <v>0</v>
      </c>
      <c r="BO1723" s="6">
        <f>0</f>
        <v>0</v>
      </c>
      <c r="BP1723" s="4" t="s">
        <v>256</v>
      </c>
      <c r="BQ1723" s="4" t="s">
        <v>257</v>
      </c>
      <c r="CE1723" s="4" t="s">
        <v>241</v>
      </c>
      <c r="CF1723" s="4" t="s">
        <v>241</v>
      </c>
      <c r="CJ1723" s="4" t="s">
        <v>276</v>
      </c>
      <c r="CK1723" s="4" t="s">
        <v>259</v>
      </c>
      <c r="CL1723" s="4" t="s">
        <v>241</v>
      </c>
      <c r="CO1723" s="5" t="s">
        <v>260</v>
      </c>
      <c r="CP1723" s="4" t="s">
        <v>241</v>
      </c>
      <c r="CQ1723" s="4" t="s">
        <v>261</v>
      </c>
      <c r="CR1723" s="4" t="s">
        <v>241</v>
      </c>
      <c r="CS1723" s="4" t="s">
        <v>241</v>
      </c>
      <c r="CT1723" s="4">
        <v>0</v>
      </c>
      <c r="CU1723" s="4" t="s">
        <v>262</v>
      </c>
      <c r="CV1723" s="4" t="s">
        <v>263</v>
      </c>
      <c r="CW1723" s="4" t="s">
        <v>263</v>
      </c>
      <c r="CX1723" s="4" t="s">
        <v>264</v>
      </c>
      <c r="DA1723" s="6">
        <f>1</f>
        <v>1</v>
      </c>
      <c r="DC1723" s="4" t="s">
        <v>277</v>
      </c>
      <c r="DD1723" s="4" t="s">
        <v>241</v>
      </c>
      <c r="DF1723" s="4" t="s">
        <v>277</v>
      </c>
      <c r="DG1723" s="6">
        <f>3990</f>
        <v>3990</v>
      </c>
      <c r="DI1723" s="4" t="s">
        <v>241</v>
      </c>
      <c r="DJ1723" s="4" t="s">
        <v>241</v>
      </c>
      <c r="DK1723" s="4" t="s">
        <v>241</v>
      </c>
      <c r="DL1723" s="4" t="s">
        <v>241</v>
      </c>
      <c r="DP1723" s="4" t="s">
        <v>241</v>
      </c>
      <c r="DQ1723" s="4" t="s">
        <v>241</v>
      </c>
      <c r="DR1723" s="4" t="s">
        <v>241</v>
      </c>
      <c r="DS1723" s="4" t="s">
        <v>241</v>
      </c>
      <c r="DV1723" s="4" t="s">
        <v>278</v>
      </c>
      <c r="DW1723" s="4" t="s">
        <v>947</v>
      </c>
      <c r="HO1723" s="4" t="s">
        <v>267</v>
      </c>
    </row>
    <row r="1724" spans="1:223" ht="19.5" customHeight="1" x14ac:dyDescent="0.4">
      <c r="A1724" s="4">
        <v>1</v>
      </c>
      <c r="B1724" s="4" t="s">
        <v>239</v>
      </c>
      <c r="C1724" s="4">
        <v>3398</v>
      </c>
      <c r="D1724" s="4">
        <v>1</v>
      </c>
      <c r="E1724" s="4">
        <v>1</v>
      </c>
      <c r="F1724" s="4" t="s">
        <v>268</v>
      </c>
      <c r="G1724" s="4" t="s">
        <v>241</v>
      </c>
      <c r="H1724" s="4" t="s">
        <v>241</v>
      </c>
      <c r="I1724" s="4" t="s">
        <v>272</v>
      </c>
      <c r="J1724" s="4" t="s">
        <v>274</v>
      </c>
      <c r="K1724" s="4" t="s">
        <v>251</v>
      </c>
      <c r="L1724" s="4" t="s">
        <v>269</v>
      </c>
      <c r="M1724" s="5" t="s">
        <v>2079</v>
      </c>
      <c r="N1724" s="6">
        <f>78</f>
        <v>78</v>
      </c>
      <c r="O1724" s="4" t="s">
        <v>265</v>
      </c>
      <c r="P1724" s="6">
        <f>1</f>
        <v>1</v>
      </c>
      <c r="Q1724" s="6">
        <f>0</f>
        <v>0</v>
      </c>
      <c r="S1724" s="6">
        <f>0</f>
        <v>0</v>
      </c>
      <c r="T1724" s="6">
        <f>1</f>
        <v>1</v>
      </c>
      <c r="U1724" s="5" t="s">
        <v>245</v>
      </c>
      <c r="V1724" s="4" t="s">
        <v>270</v>
      </c>
      <c r="W1724" s="4" t="s">
        <v>271</v>
      </c>
      <c r="X1724" s="4" t="s">
        <v>273</v>
      </c>
      <c r="Y1724" s="4" t="s">
        <v>241</v>
      </c>
      <c r="AB1724" s="4" t="s">
        <v>241</v>
      </c>
      <c r="AD1724" s="5" t="s">
        <v>241</v>
      </c>
      <c r="AG1724" s="5" t="s">
        <v>246</v>
      </c>
      <c r="AH1724" s="4" t="s">
        <v>241</v>
      </c>
      <c r="AI1724" s="4" t="s">
        <v>247</v>
      </c>
      <c r="AJ1724" s="4" t="s">
        <v>248</v>
      </c>
      <c r="AZ1724" s="4" t="s">
        <v>249</v>
      </c>
      <c r="BA1724" s="4" t="s">
        <v>241</v>
      </c>
      <c r="BB1724" s="4" t="s">
        <v>250</v>
      </c>
      <c r="BC1724" s="4" t="s">
        <v>241</v>
      </c>
      <c r="BD1724" s="4" t="s">
        <v>252</v>
      </c>
      <c r="BE1724" s="4" t="s">
        <v>241</v>
      </c>
      <c r="BI1724" s="4" t="s">
        <v>253</v>
      </c>
      <c r="BJ1724" s="5" t="s">
        <v>246</v>
      </c>
      <c r="BK1724" s="4" t="s">
        <v>254</v>
      </c>
      <c r="BL1724" s="4" t="s">
        <v>255</v>
      </c>
      <c r="BM1724" s="4" t="s">
        <v>241</v>
      </c>
      <c r="BN1724" s="6">
        <f>0</f>
        <v>0</v>
      </c>
      <c r="BO1724" s="6">
        <f>0</f>
        <v>0</v>
      </c>
      <c r="BP1724" s="4" t="s">
        <v>256</v>
      </c>
      <c r="BQ1724" s="4" t="s">
        <v>257</v>
      </c>
      <c r="CE1724" s="4" t="s">
        <v>241</v>
      </c>
      <c r="CF1724" s="4" t="s">
        <v>241</v>
      </c>
      <c r="CJ1724" s="4" t="s">
        <v>276</v>
      </c>
      <c r="CK1724" s="4" t="s">
        <v>259</v>
      </c>
      <c r="CL1724" s="4" t="s">
        <v>241</v>
      </c>
      <c r="CO1724" s="5" t="s">
        <v>260</v>
      </c>
      <c r="CP1724" s="4" t="s">
        <v>241</v>
      </c>
      <c r="CQ1724" s="4" t="s">
        <v>261</v>
      </c>
      <c r="CR1724" s="4" t="s">
        <v>241</v>
      </c>
      <c r="CS1724" s="4" t="s">
        <v>241</v>
      </c>
      <c r="CT1724" s="4">
        <v>0</v>
      </c>
      <c r="CU1724" s="4" t="s">
        <v>262</v>
      </c>
      <c r="CV1724" s="4" t="s">
        <v>263</v>
      </c>
      <c r="CW1724" s="4" t="s">
        <v>263</v>
      </c>
      <c r="CX1724" s="4" t="s">
        <v>264</v>
      </c>
      <c r="DA1724" s="6">
        <f>1</f>
        <v>1</v>
      </c>
      <c r="DC1724" s="4" t="s">
        <v>277</v>
      </c>
      <c r="DD1724" s="4" t="s">
        <v>241</v>
      </c>
      <c r="DF1724" s="4" t="s">
        <v>277</v>
      </c>
      <c r="DG1724" s="6">
        <f>78</f>
        <v>78</v>
      </c>
      <c r="DI1724" s="4" t="s">
        <v>241</v>
      </c>
      <c r="DJ1724" s="4" t="s">
        <v>241</v>
      </c>
      <c r="DK1724" s="4" t="s">
        <v>241</v>
      </c>
      <c r="DL1724" s="4" t="s">
        <v>241</v>
      </c>
      <c r="DP1724" s="4" t="s">
        <v>241</v>
      </c>
      <c r="DQ1724" s="4" t="s">
        <v>241</v>
      </c>
      <c r="DR1724" s="4" t="s">
        <v>241</v>
      </c>
      <c r="DS1724" s="4" t="s">
        <v>241</v>
      </c>
      <c r="DV1724" s="4" t="s">
        <v>278</v>
      </c>
      <c r="DW1724" s="4" t="s">
        <v>844</v>
      </c>
      <c r="HO1724" s="4" t="s">
        <v>267</v>
      </c>
    </row>
    <row r="1725" spans="1:223" ht="19.5" customHeight="1" x14ac:dyDescent="0.4">
      <c r="A1725" s="4">
        <v>1</v>
      </c>
      <c r="B1725" s="4" t="s">
        <v>239</v>
      </c>
      <c r="C1725" s="4">
        <v>3399</v>
      </c>
      <c r="D1725" s="4">
        <v>1</v>
      </c>
      <c r="E1725" s="4">
        <v>1</v>
      </c>
      <c r="F1725" s="4" t="s">
        <v>268</v>
      </c>
      <c r="G1725" s="4" t="s">
        <v>241</v>
      </c>
      <c r="H1725" s="4" t="s">
        <v>241</v>
      </c>
      <c r="I1725" s="4" t="s">
        <v>272</v>
      </c>
      <c r="J1725" s="4" t="s">
        <v>274</v>
      </c>
      <c r="K1725" s="4" t="s">
        <v>251</v>
      </c>
      <c r="L1725" s="4" t="s">
        <v>269</v>
      </c>
      <c r="M1725" s="5" t="s">
        <v>2078</v>
      </c>
      <c r="N1725" s="6">
        <f>1048</f>
        <v>1048</v>
      </c>
      <c r="O1725" s="4" t="s">
        <v>265</v>
      </c>
      <c r="P1725" s="6">
        <f>1</f>
        <v>1</v>
      </c>
      <c r="Q1725" s="6">
        <f>0</f>
        <v>0</v>
      </c>
      <c r="S1725" s="6">
        <f>0</f>
        <v>0</v>
      </c>
      <c r="T1725" s="6">
        <f>1</f>
        <v>1</v>
      </c>
      <c r="U1725" s="5" t="s">
        <v>245</v>
      </c>
      <c r="V1725" s="4" t="s">
        <v>270</v>
      </c>
      <c r="W1725" s="4" t="s">
        <v>271</v>
      </c>
      <c r="X1725" s="4" t="s">
        <v>273</v>
      </c>
      <c r="Y1725" s="4" t="s">
        <v>241</v>
      </c>
      <c r="AB1725" s="4" t="s">
        <v>241</v>
      </c>
      <c r="AD1725" s="5" t="s">
        <v>241</v>
      </c>
      <c r="AG1725" s="5" t="s">
        <v>246</v>
      </c>
      <c r="AH1725" s="4" t="s">
        <v>241</v>
      </c>
      <c r="AI1725" s="4" t="s">
        <v>247</v>
      </c>
      <c r="AJ1725" s="4" t="s">
        <v>248</v>
      </c>
      <c r="AZ1725" s="4" t="s">
        <v>249</v>
      </c>
      <c r="BA1725" s="4" t="s">
        <v>241</v>
      </c>
      <c r="BB1725" s="4" t="s">
        <v>250</v>
      </c>
      <c r="BC1725" s="4" t="s">
        <v>241</v>
      </c>
      <c r="BD1725" s="4" t="s">
        <v>252</v>
      </c>
      <c r="BE1725" s="4" t="s">
        <v>241</v>
      </c>
      <c r="BI1725" s="4" t="s">
        <v>253</v>
      </c>
      <c r="BJ1725" s="5" t="s">
        <v>246</v>
      </c>
      <c r="BK1725" s="4" t="s">
        <v>254</v>
      </c>
      <c r="BL1725" s="4" t="s">
        <v>255</v>
      </c>
      <c r="BM1725" s="4" t="s">
        <v>241</v>
      </c>
      <c r="BN1725" s="6">
        <f>0</f>
        <v>0</v>
      </c>
      <c r="BO1725" s="6">
        <f>0</f>
        <v>0</v>
      </c>
      <c r="BP1725" s="4" t="s">
        <v>256</v>
      </c>
      <c r="BQ1725" s="4" t="s">
        <v>257</v>
      </c>
      <c r="CE1725" s="4" t="s">
        <v>241</v>
      </c>
      <c r="CF1725" s="4" t="s">
        <v>241</v>
      </c>
      <c r="CJ1725" s="4" t="s">
        <v>276</v>
      </c>
      <c r="CK1725" s="4" t="s">
        <v>259</v>
      </c>
      <c r="CL1725" s="4" t="s">
        <v>241</v>
      </c>
      <c r="CO1725" s="5" t="s">
        <v>260</v>
      </c>
      <c r="CP1725" s="4" t="s">
        <v>241</v>
      </c>
      <c r="CQ1725" s="4" t="s">
        <v>261</v>
      </c>
      <c r="CR1725" s="4" t="s">
        <v>241</v>
      </c>
      <c r="CS1725" s="4" t="s">
        <v>241</v>
      </c>
      <c r="CT1725" s="4">
        <v>0</v>
      </c>
      <c r="CU1725" s="4" t="s">
        <v>262</v>
      </c>
      <c r="CV1725" s="4" t="s">
        <v>263</v>
      </c>
      <c r="CW1725" s="4" t="s">
        <v>263</v>
      </c>
      <c r="CX1725" s="4" t="s">
        <v>264</v>
      </c>
      <c r="DA1725" s="6">
        <f>1</f>
        <v>1</v>
      </c>
      <c r="DC1725" s="4" t="s">
        <v>277</v>
      </c>
      <c r="DD1725" s="4" t="s">
        <v>241</v>
      </c>
      <c r="DF1725" s="4" t="s">
        <v>277</v>
      </c>
      <c r="DG1725" s="6">
        <f>1048</f>
        <v>1048</v>
      </c>
      <c r="DI1725" s="4" t="s">
        <v>241</v>
      </c>
      <c r="DJ1725" s="4" t="s">
        <v>241</v>
      </c>
      <c r="DK1725" s="4" t="s">
        <v>241</v>
      </c>
      <c r="DL1725" s="4" t="s">
        <v>241</v>
      </c>
      <c r="DP1725" s="4" t="s">
        <v>241</v>
      </c>
      <c r="DQ1725" s="4" t="s">
        <v>241</v>
      </c>
      <c r="DR1725" s="4" t="s">
        <v>241</v>
      </c>
      <c r="DS1725" s="4" t="s">
        <v>241</v>
      </c>
      <c r="DV1725" s="4" t="s">
        <v>278</v>
      </c>
      <c r="DW1725" s="4" t="s">
        <v>828</v>
      </c>
      <c r="HO1725" s="4" t="s">
        <v>267</v>
      </c>
    </row>
    <row r="1726" spans="1:223" ht="19.5" customHeight="1" x14ac:dyDescent="0.4">
      <c r="A1726" s="4">
        <v>1</v>
      </c>
      <c r="B1726" s="4" t="s">
        <v>239</v>
      </c>
      <c r="C1726" s="4">
        <v>3400</v>
      </c>
      <c r="D1726" s="4">
        <v>1</v>
      </c>
      <c r="E1726" s="4">
        <v>1</v>
      </c>
      <c r="F1726" s="4" t="s">
        <v>268</v>
      </c>
      <c r="G1726" s="4" t="s">
        <v>241</v>
      </c>
      <c r="H1726" s="4" t="s">
        <v>241</v>
      </c>
      <c r="I1726" s="4" t="s">
        <v>272</v>
      </c>
      <c r="J1726" s="4" t="s">
        <v>274</v>
      </c>
      <c r="K1726" s="4" t="s">
        <v>251</v>
      </c>
      <c r="L1726" s="4" t="s">
        <v>269</v>
      </c>
      <c r="M1726" s="5" t="s">
        <v>2077</v>
      </c>
      <c r="N1726" s="6">
        <f>1576</f>
        <v>1576</v>
      </c>
      <c r="O1726" s="4" t="s">
        <v>265</v>
      </c>
      <c r="P1726" s="6">
        <f>1</f>
        <v>1</v>
      </c>
      <c r="Q1726" s="6">
        <f>0</f>
        <v>0</v>
      </c>
      <c r="S1726" s="6">
        <f>0</f>
        <v>0</v>
      </c>
      <c r="T1726" s="6">
        <f>1</f>
        <v>1</v>
      </c>
      <c r="U1726" s="5" t="s">
        <v>245</v>
      </c>
      <c r="V1726" s="4" t="s">
        <v>270</v>
      </c>
      <c r="W1726" s="4" t="s">
        <v>271</v>
      </c>
      <c r="X1726" s="4" t="s">
        <v>273</v>
      </c>
      <c r="Y1726" s="4" t="s">
        <v>241</v>
      </c>
      <c r="AB1726" s="4" t="s">
        <v>241</v>
      </c>
      <c r="AD1726" s="5" t="s">
        <v>241</v>
      </c>
      <c r="AG1726" s="5" t="s">
        <v>246</v>
      </c>
      <c r="AH1726" s="4" t="s">
        <v>241</v>
      </c>
      <c r="AI1726" s="4" t="s">
        <v>247</v>
      </c>
      <c r="AJ1726" s="4" t="s">
        <v>248</v>
      </c>
      <c r="AZ1726" s="4" t="s">
        <v>249</v>
      </c>
      <c r="BA1726" s="4" t="s">
        <v>241</v>
      </c>
      <c r="BB1726" s="4" t="s">
        <v>250</v>
      </c>
      <c r="BC1726" s="4" t="s">
        <v>241</v>
      </c>
      <c r="BD1726" s="4" t="s">
        <v>252</v>
      </c>
      <c r="BE1726" s="4" t="s">
        <v>241</v>
      </c>
      <c r="BI1726" s="4" t="s">
        <v>253</v>
      </c>
      <c r="BJ1726" s="5" t="s">
        <v>246</v>
      </c>
      <c r="BK1726" s="4" t="s">
        <v>254</v>
      </c>
      <c r="BL1726" s="4" t="s">
        <v>255</v>
      </c>
      <c r="BM1726" s="4" t="s">
        <v>241</v>
      </c>
      <c r="BN1726" s="6">
        <f>0</f>
        <v>0</v>
      </c>
      <c r="BO1726" s="6">
        <f>0</f>
        <v>0</v>
      </c>
      <c r="BP1726" s="4" t="s">
        <v>256</v>
      </c>
      <c r="BQ1726" s="4" t="s">
        <v>257</v>
      </c>
      <c r="CE1726" s="4" t="s">
        <v>241</v>
      </c>
      <c r="CF1726" s="4" t="s">
        <v>241</v>
      </c>
      <c r="CJ1726" s="4" t="s">
        <v>276</v>
      </c>
      <c r="CK1726" s="4" t="s">
        <v>259</v>
      </c>
      <c r="CL1726" s="4" t="s">
        <v>241</v>
      </c>
      <c r="CO1726" s="5" t="s">
        <v>260</v>
      </c>
      <c r="CP1726" s="4" t="s">
        <v>241</v>
      </c>
      <c r="CQ1726" s="4" t="s">
        <v>261</v>
      </c>
      <c r="CR1726" s="4" t="s">
        <v>241</v>
      </c>
      <c r="CS1726" s="4" t="s">
        <v>241</v>
      </c>
      <c r="CT1726" s="4">
        <v>0</v>
      </c>
      <c r="CU1726" s="4" t="s">
        <v>262</v>
      </c>
      <c r="CV1726" s="4" t="s">
        <v>263</v>
      </c>
      <c r="CW1726" s="4" t="s">
        <v>263</v>
      </c>
      <c r="CX1726" s="4" t="s">
        <v>264</v>
      </c>
      <c r="DA1726" s="6">
        <f>1</f>
        <v>1</v>
      </c>
      <c r="DC1726" s="4" t="s">
        <v>277</v>
      </c>
      <c r="DD1726" s="4" t="s">
        <v>241</v>
      </c>
      <c r="DF1726" s="4" t="s">
        <v>277</v>
      </c>
      <c r="DG1726" s="6">
        <f>1576</f>
        <v>1576</v>
      </c>
      <c r="DI1726" s="4" t="s">
        <v>241</v>
      </c>
      <c r="DJ1726" s="4" t="s">
        <v>241</v>
      </c>
      <c r="DK1726" s="4" t="s">
        <v>241</v>
      </c>
      <c r="DL1726" s="4" t="s">
        <v>241</v>
      </c>
      <c r="DP1726" s="4" t="s">
        <v>241</v>
      </c>
      <c r="DQ1726" s="4" t="s">
        <v>241</v>
      </c>
      <c r="DR1726" s="4" t="s">
        <v>241</v>
      </c>
      <c r="DS1726" s="4" t="s">
        <v>241</v>
      </c>
      <c r="DV1726" s="4" t="s">
        <v>278</v>
      </c>
      <c r="DW1726" s="4" t="s">
        <v>806</v>
      </c>
      <c r="HO1726" s="4" t="s">
        <v>267</v>
      </c>
    </row>
    <row r="1727" spans="1:223" ht="19.5" customHeight="1" x14ac:dyDescent="0.4">
      <c r="A1727" s="4">
        <v>1</v>
      </c>
      <c r="B1727" s="4" t="s">
        <v>239</v>
      </c>
      <c r="C1727" s="4">
        <v>3401</v>
      </c>
      <c r="D1727" s="4">
        <v>1</v>
      </c>
      <c r="E1727" s="4">
        <v>1</v>
      </c>
      <c r="F1727" s="4" t="s">
        <v>268</v>
      </c>
      <c r="G1727" s="4" t="s">
        <v>241</v>
      </c>
      <c r="H1727" s="4" t="s">
        <v>241</v>
      </c>
      <c r="I1727" s="4" t="s">
        <v>272</v>
      </c>
      <c r="J1727" s="4" t="s">
        <v>274</v>
      </c>
      <c r="K1727" s="4" t="s">
        <v>251</v>
      </c>
      <c r="L1727" s="4" t="s">
        <v>269</v>
      </c>
      <c r="M1727" s="5" t="s">
        <v>2074</v>
      </c>
      <c r="N1727" s="6">
        <f>2523</f>
        <v>2523</v>
      </c>
      <c r="O1727" s="4" t="s">
        <v>265</v>
      </c>
      <c r="P1727" s="6">
        <f>1</f>
        <v>1</v>
      </c>
      <c r="Q1727" s="6">
        <f>0</f>
        <v>0</v>
      </c>
      <c r="S1727" s="6">
        <f>0</f>
        <v>0</v>
      </c>
      <c r="T1727" s="6">
        <f>1</f>
        <v>1</v>
      </c>
      <c r="U1727" s="5" t="s">
        <v>245</v>
      </c>
      <c r="V1727" s="4" t="s">
        <v>270</v>
      </c>
      <c r="W1727" s="4" t="s">
        <v>271</v>
      </c>
      <c r="X1727" s="4" t="s">
        <v>273</v>
      </c>
      <c r="Y1727" s="4" t="s">
        <v>241</v>
      </c>
      <c r="AB1727" s="4" t="s">
        <v>241</v>
      </c>
      <c r="AD1727" s="5" t="s">
        <v>241</v>
      </c>
      <c r="AG1727" s="5" t="s">
        <v>246</v>
      </c>
      <c r="AH1727" s="4" t="s">
        <v>241</v>
      </c>
      <c r="AI1727" s="4" t="s">
        <v>247</v>
      </c>
      <c r="AJ1727" s="4" t="s">
        <v>248</v>
      </c>
      <c r="AZ1727" s="4" t="s">
        <v>249</v>
      </c>
      <c r="BA1727" s="4" t="s">
        <v>241</v>
      </c>
      <c r="BB1727" s="4" t="s">
        <v>250</v>
      </c>
      <c r="BC1727" s="4" t="s">
        <v>241</v>
      </c>
      <c r="BD1727" s="4" t="s">
        <v>252</v>
      </c>
      <c r="BE1727" s="4" t="s">
        <v>241</v>
      </c>
      <c r="BI1727" s="4" t="s">
        <v>253</v>
      </c>
      <c r="BJ1727" s="5" t="s">
        <v>246</v>
      </c>
      <c r="BK1727" s="4" t="s">
        <v>254</v>
      </c>
      <c r="BL1727" s="4" t="s">
        <v>255</v>
      </c>
      <c r="BM1727" s="4" t="s">
        <v>241</v>
      </c>
      <c r="BN1727" s="6">
        <f>0</f>
        <v>0</v>
      </c>
      <c r="BO1727" s="6">
        <f>0</f>
        <v>0</v>
      </c>
      <c r="BP1727" s="4" t="s">
        <v>256</v>
      </c>
      <c r="BQ1727" s="4" t="s">
        <v>257</v>
      </c>
      <c r="CE1727" s="4" t="s">
        <v>241</v>
      </c>
      <c r="CF1727" s="4" t="s">
        <v>241</v>
      </c>
      <c r="CJ1727" s="4" t="s">
        <v>276</v>
      </c>
      <c r="CK1727" s="4" t="s">
        <v>259</v>
      </c>
      <c r="CL1727" s="4" t="s">
        <v>241</v>
      </c>
      <c r="CO1727" s="5" t="s">
        <v>260</v>
      </c>
      <c r="CP1727" s="4" t="s">
        <v>241</v>
      </c>
      <c r="CQ1727" s="4" t="s">
        <v>261</v>
      </c>
      <c r="CR1727" s="4" t="s">
        <v>241</v>
      </c>
      <c r="CS1727" s="4" t="s">
        <v>241</v>
      </c>
      <c r="CT1727" s="4">
        <v>0</v>
      </c>
      <c r="CU1727" s="4" t="s">
        <v>262</v>
      </c>
      <c r="CV1727" s="4" t="s">
        <v>263</v>
      </c>
      <c r="CW1727" s="4" t="s">
        <v>263</v>
      </c>
      <c r="CX1727" s="4" t="s">
        <v>264</v>
      </c>
      <c r="DA1727" s="6">
        <f>1</f>
        <v>1</v>
      </c>
      <c r="DC1727" s="4" t="s">
        <v>277</v>
      </c>
      <c r="DD1727" s="4" t="s">
        <v>241</v>
      </c>
      <c r="DF1727" s="4" t="s">
        <v>277</v>
      </c>
      <c r="DG1727" s="6">
        <f>2523</f>
        <v>2523</v>
      </c>
      <c r="DI1727" s="4" t="s">
        <v>241</v>
      </c>
      <c r="DJ1727" s="4" t="s">
        <v>241</v>
      </c>
      <c r="DK1727" s="4" t="s">
        <v>241</v>
      </c>
      <c r="DL1727" s="4" t="s">
        <v>241</v>
      </c>
      <c r="DP1727" s="4" t="s">
        <v>241</v>
      </c>
      <c r="DQ1727" s="4" t="s">
        <v>241</v>
      </c>
      <c r="DR1727" s="4" t="s">
        <v>241</v>
      </c>
      <c r="DS1727" s="4" t="s">
        <v>241</v>
      </c>
      <c r="DV1727" s="4" t="s">
        <v>278</v>
      </c>
      <c r="DW1727" s="4" t="s">
        <v>644</v>
      </c>
      <c r="HO1727" s="4" t="s">
        <v>267</v>
      </c>
    </row>
    <row r="1728" spans="1:223" ht="19.5" customHeight="1" x14ac:dyDescent="0.4">
      <c r="A1728" s="4">
        <v>1</v>
      </c>
      <c r="B1728" s="4" t="s">
        <v>239</v>
      </c>
      <c r="C1728" s="4">
        <v>3402</v>
      </c>
      <c r="D1728" s="4">
        <v>1</v>
      </c>
      <c r="E1728" s="4">
        <v>1</v>
      </c>
      <c r="F1728" s="4" t="s">
        <v>268</v>
      </c>
      <c r="G1728" s="4" t="s">
        <v>241</v>
      </c>
      <c r="H1728" s="4" t="s">
        <v>241</v>
      </c>
      <c r="I1728" s="4" t="s">
        <v>272</v>
      </c>
      <c r="J1728" s="4" t="s">
        <v>274</v>
      </c>
      <c r="K1728" s="4" t="s">
        <v>251</v>
      </c>
      <c r="L1728" s="4" t="s">
        <v>269</v>
      </c>
      <c r="M1728" s="5" t="s">
        <v>2073</v>
      </c>
      <c r="N1728" s="6">
        <f>802</f>
        <v>802</v>
      </c>
      <c r="O1728" s="4" t="s">
        <v>265</v>
      </c>
      <c r="P1728" s="6">
        <f>1</f>
        <v>1</v>
      </c>
      <c r="Q1728" s="6">
        <f>0</f>
        <v>0</v>
      </c>
      <c r="S1728" s="6">
        <f>0</f>
        <v>0</v>
      </c>
      <c r="T1728" s="6">
        <f>1</f>
        <v>1</v>
      </c>
      <c r="U1728" s="5" t="s">
        <v>245</v>
      </c>
      <c r="V1728" s="4" t="s">
        <v>270</v>
      </c>
      <c r="W1728" s="4" t="s">
        <v>271</v>
      </c>
      <c r="X1728" s="4" t="s">
        <v>273</v>
      </c>
      <c r="Y1728" s="4" t="s">
        <v>241</v>
      </c>
      <c r="AB1728" s="4" t="s">
        <v>241</v>
      </c>
      <c r="AD1728" s="5" t="s">
        <v>241</v>
      </c>
      <c r="AG1728" s="5" t="s">
        <v>246</v>
      </c>
      <c r="AH1728" s="4" t="s">
        <v>241</v>
      </c>
      <c r="AI1728" s="4" t="s">
        <v>247</v>
      </c>
      <c r="AJ1728" s="4" t="s">
        <v>248</v>
      </c>
      <c r="AZ1728" s="4" t="s">
        <v>249</v>
      </c>
      <c r="BA1728" s="4" t="s">
        <v>241</v>
      </c>
      <c r="BB1728" s="4" t="s">
        <v>250</v>
      </c>
      <c r="BC1728" s="4" t="s">
        <v>241</v>
      </c>
      <c r="BD1728" s="4" t="s">
        <v>252</v>
      </c>
      <c r="BE1728" s="4" t="s">
        <v>241</v>
      </c>
      <c r="BI1728" s="4" t="s">
        <v>253</v>
      </c>
      <c r="BJ1728" s="5" t="s">
        <v>246</v>
      </c>
      <c r="BK1728" s="4" t="s">
        <v>254</v>
      </c>
      <c r="BL1728" s="4" t="s">
        <v>255</v>
      </c>
      <c r="BM1728" s="4" t="s">
        <v>241</v>
      </c>
      <c r="BN1728" s="6">
        <f>0</f>
        <v>0</v>
      </c>
      <c r="BO1728" s="6">
        <f>0</f>
        <v>0</v>
      </c>
      <c r="BP1728" s="4" t="s">
        <v>256</v>
      </c>
      <c r="BQ1728" s="4" t="s">
        <v>257</v>
      </c>
      <c r="CE1728" s="4" t="s">
        <v>241</v>
      </c>
      <c r="CF1728" s="4" t="s">
        <v>241</v>
      </c>
      <c r="CJ1728" s="4" t="s">
        <v>276</v>
      </c>
      <c r="CK1728" s="4" t="s">
        <v>259</v>
      </c>
      <c r="CL1728" s="4" t="s">
        <v>241</v>
      </c>
      <c r="CO1728" s="5" t="s">
        <v>260</v>
      </c>
      <c r="CP1728" s="4" t="s">
        <v>241</v>
      </c>
      <c r="CQ1728" s="4" t="s">
        <v>261</v>
      </c>
      <c r="CR1728" s="4" t="s">
        <v>241</v>
      </c>
      <c r="CS1728" s="4" t="s">
        <v>241</v>
      </c>
      <c r="CT1728" s="4">
        <v>0</v>
      </c>
      <c r="CU1728" s="4" t="s">
        <v>262</v>
      </c>
      <c r="CV1728" s="4" t="s">
        <v>263</v>
      </c>
      <c r="CW1728" s="4" t="s">
        <v>263</v>
      </c>
      <c r="CX1728" s="4" t="s">
        <v>264</v>
      </c>
      <c r="DA1728" s="6">
        <f>1</f>
        <v>1</v>
      </c>
      <c r="DC1728" s="4" t="s">
        <v>277</v>
      </c>
      <c r="DD1728" s="4" t="s">
        <v>241</v>
      </c>
      <c r="DF1728" s="4" t="s">
        <v>277</v>
      </c>
      <c r="DG1728" s="6">
        <f>802</f>
        <v>802</v>
      </c>
      <c r="DI1728" s="4" t="s">
        <v>241</v>
      </c>
      <c r="DJ1728" s="4" t="s">
        <v>241</v>
      </c>
      <c r="DK1728" s="4" t="s">
        <v>241</v>
      </c>
      <c r="DL1728" s="4" t="s">
        <v>241</v>
      </c>
      <c r="DP1728" s="4" t="s">
        <v>241</v>
      </c>
      <c r="DQ1728" s="4" t="s">
        <v>241</v>
      </c>
      <c r="DR1728" s="4" t="s">
        <v>241</v>
      </c>
      <c r="DS1728" s="4" t="s">
        <v>241</v>
      </c>
      <c r="DV1728" s="4" t="s">
        <v>278</v>
      </c>
      <c r="DW1728" s="4" t="s">
        <v>729</v>
      </c>
      <c r="HO1728" s="4" t="s">
        <v>267</v>
      </c>
    </row>
    <row r="1729" spans="1:223" ht="19.5" customHeight="1" x14ac:dyDescent="0.4">
      <c r="A1729" s="4">
        <v>1</v>
      </c>
      <c r="B1729" s="4" t="s">
        <v>239</v>
      </c>
      <c r="C1729" s="4">
        <v>3403</v>
      </c>
      <c r="D1729" s="4">
        <v>1</v>
      </c>
      <c r="E1729" s="4">
        <v>1</v>
      </c>
      <c r="F1729" s="4" t="s">
        <v>268</v>
      </c>
      <c r="G1729" s="4" t="s">
        <v>241</v>
      </c>
      <c r="H1729" s="4" t="s">
        <v>241</v>
      </c>
      <c r="I1729" s="4" t="s">
        <v>272</v>
      </c>
      <c r="J1729" s="4" t="s">
        <v>274</v>
      </c>
      <c r="K1729" s="4" t="s">
        <v>251</v>
      </c>
      <c r="L1729" s="4" t="s">
        <v>269</v>
      </c>
      <c r="M1729" s="5" t="s">
        <v>2070</v>
      </c>
      <c r="N1729" s="6">
        <f>1730</f>
        <v>1730</v>
      </c>
      <c r="O1729" s="4" t="s">
        <v>265</v>
      </c>
      <c r="P1729" s="6">
        <f>1</f>
        <v>1</v>
      </c>
      <c r="Q1729" s="6">
        <f>0</f>
        <v>0</v>
      </c>
      <c r="S1729" s="6">
        <f>0</f>
        <v>0</v>
      </c>
      <c r="T1729" s="6">
        <f>1</f>
        <v>1</v>
      </c>
      <c r="U1729" s="5" t="s">
        <v>245</v>
      </c>
      <c r="V1729" s="4" t="s">
        <v>270</v>
      </c>
      <c r="W1729" s="4" t="s">
        <v>271</v>
      </c>
      <c r="X1729" s="4" t="s">
        <v>273</v>
      </c>
      <c r="Y1729" s="4" t="s">
        <v>241</v>
      </c>
      <c r="AB1729" s="4" t="s">
        <v>241</v>
      </c>
      <c r="AD1729" s="5" t="s">
        <v>241</v>
      </c>
      <c r="AG1729" s="5" t="s">
        <v>246</v>
      </c>
      <c r="AH1729" s="4" t="s">
        <v>241</v>
      </c>
      <c r="AI1729" s="4" t="s">
        <v>247</v>
      </c>
      <c r="AJ1729" s="4" t="s">
        <v>248</v>
      </c>
      <c r="AZ1729" s="4" t="s">
        <v>249</v>
      </c>
      <c r="BA1729" s="4" t="s">
        <v>241</v>
      </c>
      <c r="BB1729" s="4" t="s">
        <v>250</v>
      </c>
      <c r="BC1729" s="4" t="s">
        <v>241</v>
      </c>
      <c r="BD1729" s="4" t="s">
        <v>252</v>
      </c>
      <c r="BE1729" s="4" t="s">
        <v>241</v>
      </c>
      <c r="BI1729" s="4" t="s">
        <v>253</v>
      </c>
      <c r="BJ1729" s="5" t="s">
        <v>246</v>
      </c>
      <c r="BK1729" s="4" t="s">
        <v>254</v>
      </c>
      <c r="BL1729" s="4" t="s">
        <v>255</v>
      </c>
      <c r="BM1729" s="4" t="s">
        <v>241</v>
      </c>
      <c r="BN1729" s="6">
        <f>0</f>
        <v>0</v>
      </c>
      <c r="BO1729" s="6">
        <f>0</f>
        <v>0</v>
      </c>
      <c r="BP1729" s="4" t="s">
        <v>256</v>
      </c>
      <c r="BQ1729" s="4" t="s">
        <v>257</v>
      </c>
      <c r="CE1729" s="4" t="s">
        <v>241</v>
      </c>
      <c r="CF1729" s="4" t="s">
        <v>241</v>
      </c>
      <c r="CJ1729" s="4" t="s">
        <v>276</v>
      </c>
      <c r="CK1729" s="4" t="s">
        <v>259</v>
      </c>
      <c r="CL1729" s="4" t="s">
        <v>241</v>
      </c>
      <c r="CO1729" s="5" t="s">
        <v>260</v>
      </c>
      <c r="CP1729" s="4" t="s">
        <v>241</v>
      </c>
      <c r="CQ1729" s="4" t="s">
        <v>261</v>
      </c>
      <c r="CR1729" s="4" t="s">
        <v>241</v>
      </c>
      <c r="CS1729" s="4" t="s">
        <v>241</v>
      </c>
      <c r="CT1729" s="4">
        <v>0</v>
      </c>
      <c r="CU1729" s="4" t="s">
        <v>262</v>
      </c>
      <c r="CV1729" s="4" t="s">
        <v>263</v>
      </c>
      <c r="CW1729" s="4" t="s">
        <v>263</v>
      </c>
      <c r="CX1729" s="4" t="s">
        <v>264</v>
      </c>
      <c r="DA1729" s="6">
        <f>1</f>
        <v>1</v>
      </c>
      <c r="DC1729" s="4" t="s">
        <v>277</v>
      </c>
      <c r="DD1729" s="4" t="s">
        <v>241</v>
      </c>
      <c r="DF1729" s="4" t="s">
        <v>277</v>
      </c>
      <c r="DG1729" s="6">
        <f>1730</f>
        <v>1730</v>
      </c>
      <c r="DI1729" s="4" t="s">
        <v>241</v>
      </c>
      <c r="DJ1729" s="4" t="s">
        <v>241</v>
      </c>
      <c r="DK1729" s="4" t="s">
        <v>241</v>
      </c>
      <c r="DL1729" s="4" t="s">
        <v>241</v>
      </c>
      <c r="DP1729" s="4" t="s">
        <v>241</v>
      </c>
      <c r="DQ1729" s="4" t="s">
        <v>241</v>
      </c>
      <c r="DR1729" s="4" t="s">
        <v>241</v>
      </c>
      <c r="DS1729" s="4" t="s">
        <v>241</v>
      </c>
      <c r="DV1729" s="4" t="s">
        <v>278</v>
      </c>
      <c r="DW1729" s="4" t="s">
        <v>692</v>
      </c>
      <c r="HO1729" s="4" t="s">
        <v>267</v>
      </c>
    </row>
    <row r="1730" spans="1:223" ht="19.5" customHeight="1" x14ac:dyDescent="0.4">
      <c r="A1730" s="4">
        <v>1</v>
      </c>
      <c r="B1730" s="4" t="s">
        <v>239</v>
      </c>
      <c r="C1730" s="4">
        <v>3404</v>
      </c>
      <c r="D1730" s="4">
        <v>1</v>
      </c>
      <c r="E1730" s="4">
        <v>1</v>
      </c>
      <c r="F1730" s="4" t="s">
        <v>268</v>
      </c>
      <c r="G1730" s="4" t="s">
        <v>241</v>
      </c>
      <c r="H1730" s="4" t="s">
        <v>241</v>
      </c>
      <c r="I1730" s="4" t="s">
        <v>272</v>
      </c>
      <c r="J1730" s="4" t="s">
        <v>274</v>
      </c>
      <c r="K1730" s="4" t="s">
        <v>251</v>
      </c>
      <c r="L1730" s="4" t="s">
        <v>269</v>
      </c>
      <c r="M1730" s="5" t="s">
        <v>2069</v>
      </c>
      <c r="N1730" s="6">
        <f>431</f>
        <v>431</v>
      </c>
      <c r="O1730" s="4" t="s">
        <v>265</v>
      </c>
      <c r="P1730" s="6">
        <f>1</f>
        <v>1</v>
      </c>
      <c r="Q1730" s="6">
        <f>0</f>
        <v>0</v>
      </c>
      <c r="S1730" s="6">
        <f>0</f>
        <v>0</v>
      </c>
      <c r="T1730" s="6">
        <f>1</f>
        <v>1</v>
      </c>
      <c r="U1730" s="5" t="s">
        <v>245</v>
      </c>
      <c r="V1730" s="4" t="s">
        <v>270</v>
      </c>
      <c r="W1730" s="4" t="s">
        <v>271</v>
      </c>
      <c r="X1730" s="4" t="s">
        <v>273</v>
      </c>
      <c r="Y1730" s="4" t="s">
        <v>241</v>
      </c>
      <c r="AB1730" s="4" t="s">
        <v>241</v>
      </c>
      <c r="AD1730" s="5" t="s">
        <v>241</v>
      </c>
      <c r="AG1730" s="5" t="s">
        <v>246</v>
      </c>
      <c r="AH1730" s="4" t="s">
        <v>241</v>
      </c>
      <c r="AI1730" s="4" t="s">
        <v>247</v>
      </c>
      <c r="AJ1730" s="4" t="s">
        <v>248</v>
      </c>
      <c r="AZ1730" s="4" t="s">
        <v>249</v>
      </c>
      <c r="BA1730" s="4" t="s">
        <v>241</v>
      </c>
      <c r="BB1730" s="4" t="s">
        <v>250</v>
      </c>
      <c r="BC1730" s="4" t="s">
        <v>241</v>
      </c>
      <c r="BD1730" s="4" t="s">
        <v>252</v>
      </c>
      <c r="BE1730" s="4" t="s">
        <v>241</v>
      </c>
      <c r="BI1730" s="4" t="s">
        <v>253</v>
      </c>
      <c r="BJ1730" s="5" t="s">
        <v>246</v>
      </c>
      <c r="BK1730" s="4" t="s">
        <v>254</v>
      </c>
      <c r="BL1730" s="4" t="s">
        <v>255</v>
      </c>
      <c r="BM1730" s="4" t="s">
        <v>241</v>
      </c>
      <c r="BN1730" s="6">
        <f>0</f>
        <v>0</v>
      </c>
      <c r="BO1730" s="6">
        <f>0</f>
        <v>0</v>
      </c>
      <c r="BP1730" s="4" t="s">
        <v>256</v>
      </c>
      <c r="BQ1730" s="4" t="s">
        <v>257</v>
      </c>
      <c r="CE1730" s="4" t="s">
        <v>241</v>
      </c>
      <c r="CF1730" s="4" t="s">
        <v>241</v>
      </c>
      <c r="CJ1730" s="4" t="s">
        <v>276</v>
      </c>
      <c r="CK1730" s="4" t="s">
        <v>259</v>
      </c>
      <c r="CL1730" s="4" t="s">
        <v>241</v>
      </c>
      <c r="CO1730" s="5" t="s">
        <v>260</v>
      </c>
      <c r="CP1730" s="4" t="s">
        <v>241</v>
      </c>
      <c r="CQ1730" s="4" t="s">
        <v>261</v>
      </c>
      <c r="CR1730" s="4" t="s">
        <v>241</v>
      </c>
      <c r="CS1730" s="4" t="s">
        <v>241</v>
      </c>
      <c r="CT1730" s="4">
        <v>0</v>
      </c>
      <c r="CU1730" s="4" t="s">
        <v>262</v>
      </c>
      <c r="CV1730" s="4" t="s">
        <v>263</v>
      </c>
      <c r="CW1730" s="4" t="s">
        <v>263</v>
      </c>
      <c r="CX1730" s="4" t="s">
        <v>264</v>
      </c>
      <c r="DA1730" s="6">
        <f>1</f>
        <v>1</v>
      </c>
      <c r="DC1730" s="4" t="s">
        <v>277</v>
      </c>
      <c r="DD1730" s="4" t="s">
        <v>241</v>
      </c>
      <c r="DF1730" s="4" t="s">
        <v>277</v>
      </c>
      <c r="DG1730" s="6">
        <f>431</f>
        <v>431</v>
      </c>
      <c r="DI1730" s="4" t="s">
        <v>241</v>
      </c>
      <c r="DJ1730" s="4" t="s">
        <v>241</v>
      </c>
      <c r="DK1730" s="4" t="s">
        <v>241</v>
      </c>
      <c r="DL1730" s="4" t="s">
        <v>241</v>
      </c>
      <c r="DP1730" s="4" t="s">
        <v>241</v>
      </c>
      <c r="DQ1730" s="4" t="s">
        <v>241</v>
      </c>
      <c r="DR1730" s="4" t="s">
        <v>241</v>
      </c>
      <c r="DS1730" s="4" t="s">
        <v>241</v>
      </c>
      <c r="DV1730" s="4" t="s">
        <v>278</v>
      </c>
      <c r="DW1730" s="4" t="s">
        <v>670</v>
      </c>
      <c r="HO1730" s="4" t="s">
        <v>267</v>
      </c>
    </row>
    <row r="1731" spans="1:223" ht="19.5" customHeight="1" x14ac:dyDescent="0.4">
      <c r="A1731" s="4">
        <v>1</v>
      </c>
      <c r="B1731" s="4" t="s">
        <v>239</v>
      </c>
      <c r="C1731" s="4">
        <v>3405</v>
      </c>
      <c r="D1731" s="4">
        <v>1</v>
      </c>
      <c r="E1731" s="4">
        <v>1</v>
      </c>
      <c r="F1731" s="4" t="s">
        <v>268</v>
      </c>
      <c r="G1731" s="4" t="s">
        <v>241</v>
      </c>
      <c r="H1731" s="4" t="s">
        <v>241</v>
      </c>
      <c r="I1731" s="4" t="s">
        <v>272</v>
      </c>
      <c r="J1731" s="4" t="s">
        <v>274</v>
      </c>
      <c r="K1731" s="4" t="s">
        <v>251</v>
      </c>
      <c r="L1731" s="4" t="s">
        <v>269</v>
      </c>
      <c r="M1731" s="5" t="s">
        <v>2067</v>
      </c>
      <c r="N1731" s="6">
        <f>179</f>
        <v>179</v>
      </c>
      <c r="O1731" s="4" t="s">
        <v>265</v>
      </c>
      <c r="P1731" s="6">
        <f>1</f>
        <v>1</v>
      </c>
      <c r="Q1731" s="6">
        <f>0</f>
        <v>0</v>
      </c>
      <c r="S1731" s="6">
        <f>0</f>
        <v>0</v>
      </c>
      <c r="T1731" s="6">
        <f>1</f>
        <v>1</v>
      </c>
      <c r="U1731" s="5" t="s">
        <v>245</v>
      </c>
      <c r="V1731" s="4" t="s">
        <v>270</v>
      </c>
      <c r="W1731" s="4" t="s">
        <v>271</v>
      </c>
      <c r="X1731" s="4" t="s">
        <v>273</v>
      </c>
      <c r="Y1731" s="4" t="s">
        <v>241</v>
      </c>
      <c r="AB1731" s="4" t="s">
        <v>241</v>
      </c>
      <c r="AD1731" s="5" t="s">
        <v>241</v>
      </c>
      <c r="AG1731" s="5" t="s">
        <v>246</v>
      </c>
      <c r="AH1731" s="4" t="s">
        <v>241</v>
      </c>
      <c r="AI1731" s="4" t="s">
        <v>247</v>
      </c>
      <c r="AJ1731" s="4" t="s">
        <v>248</v>
      </c>
      <c r="AZ1731" s="4" t="s">
        <v>249</v>
      </c>
      <c r="BA1731" s="4" t="s">
        <v>241</v>
      </c>
      <c r="BB1731" s="4" t="s">
        <v>250</v>
      </c>
      <c r="BC1731" s="4" t="s">
        <v>241</v>
      </c>
      <c r="BD1731" s="4" t="s">
        <v>252</v>
      </c>
      <c r="BE1731" s="4" t="s">
        <v>241</v>
      </c>
      <c r="BI1731" s="4" t="s">
        <v>253</v>
      </c>
      <c r="BJ1731" s="5" t="s">
        <v>246</v>
      </c>
      <c r="BK1731" s="4" t="s">
        <v>254</v>
      </c>
      <c r="BL1731" s="4" t="s">
        <v>255</v>
      </c>
      <c r="BM1731" s="4" t="s">
        <v>241</v>
      </c>
      <c r="BN1731" s="6">
        <f>0</f>
        <v>0</v>
      </c>
      <c r="BO1731" s="6">
        <f>0</f>
        <v>0</v>
      </c>
      <c r="BP1731" s="4" t="s">
        <v>256</v>
      </c>
      <c r="BQ1731" s="4" t="s">
        <v>257</v>
      </c>
      <c r="CE1731" s="4" t="s">
        <v>241</v>
      </c>
      <c r="CF1731" s="4" t="s">
        <v>241</v>
      </c>
      <c r="CJ1731" s="4" t="s">
        <v>276</v>
      </c>
      <c r="CK1731" s="4" t="s">
        <v>259</v>
      </c>
      <c r="CL1731" s="4" t="s">
        <v>241</v>
      </c>
      <c r="CO1731" s="5" t="s">
        <v>260</v>
      </c>
      <c r="CP1731" s="4" t="s">
        <v>241</v>
      </c>
      <c r="CQ1731" s="4" t="s">
        <v>261</v>
      </c>
      <c r="CR1731" s="4" t="s">
        <v>241</v>
      </c>
      <c r="CS1731" s="4" t="s">
        <v>241</v>
      </c>
      <c r="CT1731" s="4">
        <v>0</v>
      </c>
      <c r="CU1731" s="4" t="s">
        <v>262</v>
      </c>
      <c r="CV1731" s="4" t="s">
        <v>263</v>
      </c>
      <c r="CW1731" s="4" t="s">
        <v>263</v>
      </c>
      <c r="CX1731" s="4" t="s">
        <v>264</v>
      </c>
      <c r="DA1731" s="6">
        <f>1</f>
        <v>1</v>
      </c>
      <c r="DC1731" s="4" t="s">
        <v>277</v>
      </c>
      <c r="DD1731" s="4" t="s">
        <v>241</v>
      </c>
      <c r="DF1731" s="4" t="s">
        <v>277</v>
      </c>
      <c r="DG1731" s="6">
        <f>179</f>
        <v>179</v>
      </c>
      <c r="DI1731" s="4" t="s">
        <v>241</v>
      </c>
      <c r="DJ1731" s="4" t="s">
        <v>241</v>
      </c>
      <c r="DK1731" s="4" t="s">
        <v>241</v>
      </c>
      <c r="DL1731" s="4" t="s">
        <v>241</v>
      </c>
      <c r="DP1731" s="4" t="s">
        <v>241</v>
      </c>
      <c r="DQ1731" s="4" t="s">
        <v>241</v>
      </c>
      <c r="DR1731" s="4" t="s">
        <v>241</v>
      </c>
      <c r="DS1731" s="4" t="s">
        <v>241</v>
      </c>
      <c r="DV1731" s="4" t="s">
        <v>278</v>
      </c>
      <c r="DW1731" s="4" t="s">
        <v>2068</v>
      </c>
      <c r="HO1731" s="4" t="s">
        <v>267</v>
      </c>
    </row>
    <row r="1732" spans="1:223" ht="19.5" customHeight="1" x14ac:dyDescent="0.4">
      <c r="A1732" s="4">
        <v>1</v>
      </c>
      <c r="B1732" s="4" t="s">
        <v>239</v>
      </c>
      <c r="C1732" s="4">
        <v>3406</v>
      </c>
      <c r="D1732" s="4">
        <v>1</v>
      </c>
      <c r="E1732" s="4">
        <v>1</v>
      </c>
      <c r="F1732" s="4" t="s">
        <v>268</v>
      </c>
      <c r="G1732" s="4" t="s">
        <v>241</v>
      </c>
      <c r="H1732" s="4" t="s">
        <v>241</v>
      </c>
      <c r="I1732" s="4" t="s">
        <v>272</v>
      </c>
      <c r="J1732" s="4" t="s">
        <v>274</v>
      </c>
      <c r="K1732" s="4" t="s">
        <v>251</v>
      </c>
      <c r="L1732" s="4" t="s">
        <v>269</v>
      </c>
      <c r="M1732" s="5" t="s">
        <v>2066</v>
      </c>
      <c r="N1732" s="6">
        <f>169</f>
        <v>169</v>
      </c>
      <c r="O1732" s="4" t="s">
        <v>265</v>
      </c>
      <c r="P1732" s="6">
        <f>1</f>
        <v>1</v>
      </c>
      <c r="Q1732" s="6">
        <f>0</f>
        <v>0</v>
      </c>
      <c r="S1732" s="6">
        <f>0</f>
        <v>0</v>
      </c>
      <c r="T1732" s="6">
        <f>1</f>
        <v>1</v>
      </c>
      <c r="U1732" s="5" t="s">
        <v>245</v>
      </c>
      <c r="V1732" s="4" t="s">
        <v>270</v>
      </c>
      <c r="W1732" s="4" t="s">
        <v>271</v>
      </c>
      <c r="X1732" s="4" t="s">
        <v>273</v>
      </c>
      <c r="Y1732" s="4" t="s">
        <v>241</v>
      </c>
      <c r="AB1732" s="4" t="s">
        <v>241</v>
      </c>
      <c r="AD1732" s="5" t="s">
        <v>241</v>
      </c>
      <c r="AG1732" s="5" t="s">
        <v>246</v>
      </c>
      <c r="AH1732" s="4" t="s">
        <v>241</v>
      </c>
      <c r="AI1732" s="4" t="s">
        <v>247</v>
      </c>
      <c r="AJ1732" s="4" t="s">
        <v>248</v>
      </c>
      <c r="AZ1732" s="4" t="s">
        <v>249</v>
      </c>
      <c r="BA1732" s="4" t="s">
        <v>241</v>
      </c>
      <c r="BB1732" s="4" t="s">
        <v>250</v>
      </c>
      <c r="BC1732" s="4" t="s">
        <v>241</v>
      </c>
      <c r="BD1732" s="4" t="s">
        <v>252</v>
      </c>
      <c r="BE1732" s="4" t="s">
        <v>241</v>
      </c>
      <c r="BI1732" s="4" t="s">
        <v>253</v>
      </c>
      <c r="BJ1732" s="5" t="s">
        <v>246</v>
      </c>
      <c r="BK1732" s="4" t="s">
        <v>254</v>
      </c>
      <c r="BL1732" s="4" t="s">
        <v>255</v>
      </c>
      <c r="BM1732" s="4" t="s">
        <v>241</v>
      </c>
      <c r="BN1732" s="6">
        <f>0</f>
        <v>0</v>
      </c>
      <c r="BO1732" s="6">
        <f>0</f>
        <v>0</v>
      </c>
      <c r="BP1732" s="4" t="s">
        <v>256</v>
      </c>
      <c r="BQ1732" s="4" t="s">
        <v>257</v>
      </c>
      <c r="CE1732" s="4" t="s">
        <v>241</v>
      </c>
      <c r="CF1732" s="4" t="s">
        <v>241</v>
      </c>
      <c r="CJ1732" s="4" t="s">
        <v>276</v>
      </c>
      <c r="CK1732" s="4" t="s">
        <v>259</v>
      </c>
      <c r="CL1732" s="4" t="s">
        <v>241</v>
      </c>
      <c r="CO1732" s="5" t="s">
        <v>260</v>
      </c>
      <c r="CP1732" s="4" t="s">
        <v>241</v>
      </c>
      <c r="CQ1732" s="4" t="s">
        <v>261</v>
      </c>
      <c r="CR1732" s="4" t="s">
        <v>241</v>
      </c>
      <c r="CS1732" s="4" t="s">
        <v>241</v>
      </c>
      <c r="CT1732" s="4">
        <v>0</v>
      </c>
      <c r="CU1732" s="4" t="s">
        <v>262</v>
      </c>
      <c r="CV1732" s="4" t="s">
        <v>263</v>
      </c>
      <c r="CW1732" s="4" t="s">
        <v>263</v>
      </c>
      <c r="CX1732" s="4" t="s">
        <v>264</v>
      </c>
      <c r="DA1732" s="6">
        <f>1</f>
        <v>1</v>
      </c>
      <c r="DC1732" s="4" t="s">
        <v>277</v>
      </c>
      <c r="DD1732" s="4" t="s">
        <v>241</v>
      </c>
      <c r="DF1732" s="4" t="s">
        <v>277</v>
      </c>
      <c r="DG1732" s="6">
        <f>169</f>
        <v>169</v>
      </c>
      <c r="DI1732" s="4" t="s">
        <v>241</v>
      </c>
      <c r="DJ1732" s="4" t="s">
        <v>241</v>
      </c>
      <c r="DK1732" s="4" t="s">
        <v>241</v>
      </c>
      <c r="DL1732" s="4" t="s">
        <v>241</v>
      </c>
      <c r="DP1732" s="4" t="s">
        <v>241</v>
      </c>
      <c r="DQ1732" s="4" t="s">
        <v>241</v>
      </c>
      <c r="DR1732" s="4" t="s">
        <v>241</v>
      </c>
      <c r="DS1732" s="4" t="s">
        <v>241</v>
      </c>
      <c r="DV1732" s="4" t="s">
        <v>278</v>
      </c>
      <c r="DW1732" s="4" t="s">
        <v>630</v>
      </c>
      <c r="HO1732" s="4" t="s">
        <v>267</v>
      </c>
    </row>
    <row r="1733" spans="1:223" ht="19.5" customHeight="1" x14ac:dyDescent="0.4">
      <c r="A1733" s="4">
        <v>1</v>
      </c>
      <c r="B1733" s="4" t="s">
        <v>239</v>
      </c>
      <c r="C1733" s="4">
        <v>3407</v>
      </c>
      <c r="D1733" s="4">
        <v>1</v>
      </c>
      <c r="E1733" s="4">
        <v>1</v>
      </c>
      <c r="F1733" s="4" t="s">
        <v>268</v>
      </c>
      <c r="G1733" s="4" t="s">
        <v>241</v>
      </c>
      <c r="H1733" s="4" t="s">
        <v>241</v>
      </c>
      <c r="I1733" s="4" t="s">
        <v>272</v>
      </c>
      <c r="J1733" s="4" t="s">
        <v>274</v>
      </c>
      <c r="K1733" s="4" t="s">
        <v>251</v>
      </c>
      <c r="L1733" s="4" t="s">
        <v>269</v>
      </c>
      <c r="M1733" s="5" t="s">
        <v>2065</v>
      </c>
      <c r="N1733" s="6">
        <f>153</f>
        <v>153</v>
      </c>
      <c r="O1733" s="4" t="s">
        <v>265</v>
      </c>
      <c r="P1733" s="6">
        <f>1</f>
        <v>1</v>
      </c>
      <c r="Q1733" s="6">
        <f>0</f>
        <v>0</v>
      </c>
      <c r="S1733" s="6">
        <f>0</f>
        <v>0</v>
      </c>
      <c r="T1733" s="6">
        <f>1</f>
        <v>1</v>
      </c>
      <c r="U1733" s="5" t="s">
        <v>245</v>
      </c>
      <c r="V1733" s="4" t="s">
        <v>270</v>
      </c>
      <c r="W1733" s="4" t="s">
        <v>271</v>
      </c>
      <c r="X1733" s="4" t="s">
        <v>273</v>
      </c>
      <c r="Y1733" s="4" t="s">
        <v>241</v>
      </c>
      <c r="AB1733" s="4" t="s">
        <v>241</v>
      </c>
      <c r="AD1733" s="5" t="s">
        <v>241</v>
      </c>
      <c r="AG1733" s="5" t="s">
        <v>246</v>
      </c>
      <c r="AH1733" s="4" t="s">
        <v>241</v>
      </c>
      <c r="AI1733" s="4" t="s">
        <v>247</v>
      </c>
      <c r="AJ1733" s="4" t="s">
        <v>248</v>
      </c>
      <c r="AZ1733" s="4" t="s">
        <v>249</v>
      </c>
      <c r="BA1733" s="4" t="s">
        <v>241</v>
      </c>
      <c r="BB1733" s="4" t="s">
        <v>250</v>
      </c>
      <c r="BC1733" s="4" t="s">
        <v>241</v>
      </c>
      <c r="BD1733" s="4" t="s">
        <v>252</v>
      </c>
      <c r="BE1733" s="4" t="s">
        <v>241</v>
      </c>
      <c r="BI1733" s="4" t="s">
        <v>253</v>
      </c>
      <c r="BJ1733" s="5" t="s">
        <v>246</v>
      </c>
      <c r="BK1733" s="4" t="s">
        <v>254</v>
      </c>
      <c r="BL1733" s="4" t="s">
        <v>255</v>
      </c>
      <c r="BM1733" s="4" t="s">
        <v>241</v>
      </c>
      <c r="BN1733" s="6">
        <f>0</f>
        <v>0</v>
      </c>
      <c r="BO1733" s="6">
        <f>0</f>
        <v>0</v>
      </c>
      <c r="BP1733" s="4" t="s">
        <v>256</v>
      </c>
      <c r="BQ1733" s="4" t="s">
        <v>257</v>
      </c>
      <c r="CE1733" s="4" t="s">
        <v>241</v>
      </c>
      <c r="CF1733" s="4" t="s">
        <v>241</v>
      </c>
      <c r="CJ1733" s="4" t="s">
        <v>276</v>
      </c>
      <c r="CK1733" s="4" t="s">
        <v>259</v>
      </c>
      <c r="CL1733" s="4" t="s">
        <v>241</v>
      </c>
      <c r="CO1733" s="5" t="s">
        <v>260</v>
      </c>
      <c r="CP1733" s="4" t="s">
        <v>241</v>
      </c>
      <c r="CQ1733" s="4" t="s">
        <v>261</v>
      </c>
      <c r="CR1733" s="4" t="s">
        <v>241</v>
      </c>
      <c r="CS1733" s="4" t="s">
        <v>241</v>
      </c>
      <c r="CT1733" s="4">
        <v>0</v>
      </c>
      <c r="CU1733" s="4" t="s">
        <v>262</v>
      </c>
      <c r="CV1733" s="4" t="s">
        <v>263</v>
      </c>
      <c r="CW1733" s="4" t="s">
        <v>263</v>
      </c>
      <c r="CX1733" s="4" t="s">
        <v>264</v>
      </c>
      <c r="DA1733" s="6">
        <f>1</f>
        <v>1</v>
      </c>
      <c r="DC1733" s="4" t="s">
        <v>277</v>
      </c>
      <c r="DD1733" s="4" t="s">
        <v>241</v>
      </c>
      <c r="DF1733" s="4" t="s">
        <v>277</v>
      </c>
      <c r="DG1733" s="6">
        <f>153</f>
        <v>153</v>
      </c>
      <c r="DI1733" s="4" t="s">
        <v>241</v>
      </c>
      <c r="DJ1733" s="4" t="s">
        <v>241</v>
      </c>
      <c r="DK1733" s="4" t="s">
        <v>241</v>
      </c>
      <c r="DL1733" s="4" t="s">
        <v>241</v>
      </c>
      <c r="DP1733" s="4" t="s">
        <v>241</v>
      </c>
      <c r="DQ1733" s="4" t="s">
        <v>241</v>
      </c>
      <c r="DR1733" s="4" t="s">
        <v>241</v>
      </c>
      <c r="DS1733" s="4" t="s">
        <v>241</v>
      </c>
      <c r="DV1733" s="4" t="s">
        <v>278</v>
      </c>
      <c r="DW1733" s="4" t="s">
        <v>603</v>
      </c>
      <c r="HO1733" s="4" t="s">
        <v>267</v>
      </c>
    </row>
    <row r="1734" spans="1:223" ht="19.5" customHeight="1" x14ac:dyDescent="0.4">
      <c r="A1734" s="4">
        <v>1</v>
      </c>
      <c r="B1734" s="4" t="s">
        <v>239</v>
      </c>
      <c r="C1734" s="4">
        <v>3408</v>
      </c>
      <c r="D1734" s="4">
        <v>1</v>
      </c>
      <c r="E1734" s="4">
        <v>1</v>
      </c>
      <c r="F1734" s="4" t="s">
        <v>268</v>
      </c>
      <c r="G1734" s="4" t="s">
        <v>241</v>
      </c>
      <c r="H1734" s="4" t="s">
        <v>241</v>
      </c>
      <c r="I1734" s="4" t="s">
        <v>272</v>
      </c>
      <c r="J1734" s="4" t="s">
        <v>274</v>
      </c>
      <c r="K1734" s="4" t="s">
        <v>251</v>
      </c>
      <c r="L1734" s="4" t="s">
        <v>269</v>
      </c>
      <c r="M1734" s="5" t="s">
        <v>2064</v>
      </c>
      <c r="N1734" s="6">
        <f>121</f>
        <v>121</v>
      </c>
      <c r="O1734" s="4" t="s">
        <v>265</v>
      </c>
      <c r="P1734" s="6">
        <f>1</f>
        <v>1</v>
      </c>
      <c r="Q1734" s="6">
        <f>0</f>
        <v>0</v>
      </c>
      <c r="S1734" s="6">
        <f>0</f>
        <v>0</v>
      </c>
      <c r="T1734" s="6">
        <f>1</f>
        <v>1</v>
      </c>
      <c r="U1734" s="5" t="s">
        <v>245</v>
      </c>
      <c r="V1734" s="4" t="s">
        <v>270</v>
      </c>
      <c r="W1734" s="4" t="s">
        <v>271</v>
      </c>
      <c r="X1734" s="4" t="s">
        <v>273</v>
      </c>
      <c r="Y1734" s="4" t="s">
        <v>241</v>
      </c>
      <c r="AB1734" s="4" t="s">
        <v>241</v>
      </c>
      <c r="AD1734" s="5" t="s">
        <v>241</v>
      </c>
      <c r="AG1734" s="5" t="s">
        <v>246</v>
      </c>
      <c r="AH1734" s="4" t="s">
        <v>241</v>
      </c>
      <c r="AI1734" s="4" t="s">
        <v>247</v>
      </c>
      <c r="AJ1734" s="4" t="s">
        <v>248</v>
      </c>
      <c r="AZ1734" s="4" t="s">
        <v>249</v>
      </c>
      <c r="BA1734" s="4" t="s">
        <v>241</v>
      </c>
      <c r="BB1734" s="4" t="s">
        <v>250</v>
      </c>
      <c r="BC1734" s="4" t="s">
        <v>241</v>
      </c>
      <c r="BD1734" s="4" t="s">
        <v>252</v>
      </c>
      <c r="BE1734" s="4" t="s">
        <v>241</v>
      </c>
      <c r="BI1734" s="4" t="s">
        <v>253</v>
      </c>
      <c r="BJ1734" s="5" t="s">
        <v>246</v>
      </c>
      <c r="BK1734" s="4" t="s">
        <v>254</v>
      </c>
      <c r="BL1734" s="4" t="s">
        <v>255</v>
      </c>
      <c r="BM1734" s="4" t="s">
        <v>241</v>
      </c>
      <c r="BN1734" s="6">
        <f>0</f>
        <v>0</v>
      </c>
      <c r="BO1734" s="6">
        <f>0</f>
        <v>0</v>
      </c>
      <c r="BP1734" s="4" t="s">
        <v>256</v>
      </c>
      <c r="BQ1734" s="4" t="s">
        <v>257</v>
      </c>
      <c r="CE1734" s="4" t="s">
        <v>241</v>
      </c>
      <c r="CF1734" s="4" t="s">
        <v>241</v>
      </c>
      <c r="CJ1734" s="4" t="s">
        <v>276</v>
      </c>
      <c r="CK1734" s="4" t="s">
        <v>259</v>
      </c>
      <c r="CL1734" s="4" t="s">
        <v>241</v>
      </c>
      <c r="CO1734" s="5" t="s">
        <v>260</v>
      </c>
      <c r="CP1734" s="4" t="s">
        <v>241</v>
      </c>
      <c r="CQ1734" s="4" t="s">
        <v>261</v>
      </c>
      <c r="CR1734" s="4" t="s">
        <v>241</v>
      </c>
      <c r="CS1734" s="4" t="s">
        <v>241</v>
      </c>
      <c r="CT1734" s="4">
        <v>0</v>
      </c>
      <c r="CU1734" s="4" t="s">
        <v>262</v>
      </c>
      <c r="CV1734" s="4" t="s">
        <v>263</v>
      </c>
      <c r="CW1734" s="4" t="s">
        <v>263</v>
      </c>
      <c r="CX1734" s="4" t="s">
        <v>264</v>
      </c>
      <c r="DA1734" s="6">
        <f>1</f>
        <v>1</v>
      </c>
      <c r="DC1734" s="4" t="s">
        <v>277</v>
      </c>
      <c r="DD1734" s="4" t="s">
        <v>241</v>
      </c>
      <c r="DF1734" s="4" t="s">
        <v>277</v>
      </c>
      <c r="DG1734" s="6">
        <f>121</f>
        <v>121</v>
      </c>
      <c r="DI1734" s="4" t="s">
        <v>241</v>
      </c>
      <c r="DJ1734" s="4" t="s">
        <v>241</v>
      </c>
      <c r="DK1734" s="4" t="s">
        <v>241</v>
      </c>
      <c r="DL1734" s="4" t="s">
        <v>241</v>
      </c>
      <c r="DP1734" s="4" t="s">
        <v>241</v>
      </c>
      <c r="DQ1734" s="4" t="s">
        <v>241</v>
      </c>
      <c r="DR1734" s="4" t="s">
        <v>241</v>
      </c>
      <c r="DS1734" s="4" t="s">
        <v>241</v>
      </c>
      <c r="DV1734" s="4" t="s">
        <v>278</v>
      </c>
      <c r="DW1734" s="4" t="s">
        <v>575</v>
      </c>
      <c r="HO1734" s="4" t="s">
        <v>267</v>
      </c>
    </row>
    <row r="1735" spans="1:223" ht="19.5" customHeight="1" x14ac:dyDescent="0.4">
      <c r="A1735" s="4">
        <v>1</v>
      </c>
      <c r="B1735" s="4" t="s">
        <v>239</v>
      </c>
      <c r="C1735" s="4">
        <v>3409</v>
      </c>
      <c r="D1735" s="4">
        <v>1</v>
      </c>
      <c r="E1735" s="4">
        <v>1</v>
      </c>
      <c r="F1735" s="4" t="s">
        <v>268</v>
      </c>
      <c r="G1735" s="4" t="s">
        <v>241</v>
      </c>
      <c r="H1735" s="4" t="s">
        <v>241</v>
      </c>
      <c r="I1735" s="4" t="s">
        <v>272</v>
      </c>
      <c r="J1735" s="4" t="s">
        <v>274</v>
      </c>
      <c r="K1735" s="4" t="s">
        <v>251</v>
      </c>
      <c r="L1735" s="4" t="s">
        <v>269</v>
      </c>
      <c r="M1735" s="5" t="s">
        <v>2063</v>
      </c>
      <c r="N1735" s="6">
        <f>730</f>
        <v>730</v>
      </c>
      <c r="O1735" s="4" t="s">
        <v>265</v>
      </c>
      <c r="P1735" s="6">
        <f>1</f>
        <v>1</v>
      </c>
      <c r="Q1735" s="6">
        <f>0</f>
        <v>0</v>
      </c>
      <c r="S1735" s="6">
        <f>0</f>
        <v>0</v>
      </c>
      <c r="T1735" s="6">
        <f>1</f>
        <v>1</v>
      </c>
      <c r="U1735" s="5" t="s">
        <v>245</v>
      </c>
      <c r="V1735" s="4" t="s">
        <v>270</v>
      </c>
      <c r="W1735" s="4" t="s">
        <v>271</v>
      </c>
      <c r="X1735" s="4" t="s">
        <v>273</v>
      </c>
      <c r="Y1735" s="4" t="s">
        <v>241</v>
      </c>
      <c r="AB1735" s="4" t="s">
        <v>241</v>
      </c>
      <c r="AD1735" s="5" t="s">
        <v>241</v>
      </c>
      <c r="AG1735" s="5" t="s">
        <v>246</v>
      </c>
      <c r="AH1735" s="4" t="s">
        <v>241</v>
      </c>
      <c r="AI1735" s="4" t="s">
        <v>247</v>
      </c>
      <c r="AJ1735" s="4" t="s">
        <v>248</v>
      </c>
      <c r="AZ1735" s="4" t="s">
        <v>249</v>
      </c>
      <c r="BA1735" s="4" t="s">
        <v>241</v>
      </c>
      <c r="BB1735" s="4" t="s">
        <v>250</v>
      </c>
      <c r="BC1735" s="4" t="s">
        <v>241</v>
      </c>
      <c r="BD1735" s="4" t="s">
        <v>252</v>
      </c>
      <c r="BE1735" s="4" t="s">
        <v>241</v>
      </c>
      <c r="BI1735" s="4" t="s">
        <v>253</v>
      </c>
      <c r="BJ1735" s="5" t="s">
        <v>246</v>
      </c>
      <c r="BK1735" s="4" t="s">
        <v>254</v>
      </c>
      <c r="BL1735" s="4" t="s">
        <v>255</v>
      </c>
      <c r="BM1735" s="4" t="s">
        <v>241</v>
      </c>
      <c r="BN1735" s="6">
        <f>0</f>
        <v>0</v>
      </c>
      <c r="BO1735" s="6">
        <f>0</f>
        <v>0</v>
      </c>
      <c r="BP1735" s="4" t="s">
        <v>256</v>
      </c>
      <c r="BQ1735" s="4" t="s">
        <v>257</v>
      </c>
      <c r="CE1735" s="4" t="s">
        <v>241</v>
      </c>
      <c r="CF1735" s="4" t="s">
        <v>241</v>
      </c>
      <c r="CJ1735" s="4" t="s">
        <v>276</v>
      </c>
      <c r="CK1735" s="4" t="s">
        <v>259</v>
      </c>
      <c r="CL1735" s="4" t="s">
        <v>241</v>
      </c>
      <c r="CO1735" s="5" t="s">
        <v>260</v>
      </c>
      <c r="CP1735" s="4" t="s">
        <v>241</v>
      </c>
      <c r="CQ1735" s="4" t="s">
        <v>261</v>
      </c>
      <c r="CR1735" s="4" t="s">
        <v>241</v>
      </c>
      <c r="CS1735" s="4" t="s">
        <v>241</v>
      </c>
      <c r="CT1735" s="4">
        <v>0</v>
      </c>
      <c r="CU1735" s="4" t="s">
        <v>262</v>
      </c>
      <c r="CV1735" s="4" t="s">
        <v>263</v>
      </c>
      <c r="CW1735" s="4" t="s">
        <v>263</v>
      </c>
      <c r="CX1735" s="4" t="s">
        <v>264</v>
      </c>
      <c r="DA1735" s="6">
        <f>1</f>
        <v>1</v>
      </c>
      <c r="DC1735" s="4" t="s">
        <v>277</v>
      </c>
      <c r="DD1735" s="4" t="s">
        <v>241</v>
      </c>
      <c r="DF1735" s="4" t="s">
        <v>277</v>
      </c>
      <c r="DG1735" s="6">
        <f>730</f>
        <v>730</v>
      </c>
      <c r="DI1735" s="4" t="s">
        <v>241</v>
      </c>
      <c r="DJ1735" s="4" t="s">
        <v>241</v>
      </c>
      <c r="DK1735" s="4" t="s">
        <v>241</v>
      </c>
      <c r="DL1735" s="4" t="s">
        <v>241</v>
      </c>
      <c r="DP1735" s="4" t="s">
        <v>241</v>
      </c>
      <c r="DQ1735" s="4" t="s">
        <v>241</v>
      </c>
      <c r="DR1735" s="4" t="s">
        <v>241</v>
      </c>
      <c r="DS1735" s="4" t="s">
        <v>241</v>
      </c>
      <c r="DV1735" s="4" t="s">
        <v>278</v>
      </c>
      <c r="DW1735" s="4" t="s">
        <v>543</v>
      </c>
      <c r="HO1735" s="4" t="s">
        <v>267</v>
      </c>
    </row>
    <row r="1736" spans="1:223" ht="19.5" customHeight="1" x14ac:dyDescent="0.4">
      <c r="A1736" s="4">
        <v>1</v>
      </c>
      <c r="B1736" s="4" t="s">
        <v>239</v>
      </c>
      <c r="C1736" s="4">
        <v>3410</v>
      </c>
      <c r="D1736" s="4">
        <v>1</v>
      </c>
      <c r="E1736" s="4">
        <v>1</v>
      </c>
      <c r="F1736" s="4" t="s">
        <v>268</v>
      </c>
      <c r="G1736" s="4" t="s">
        <v>241</v>
      </c>
      <c r="H1736" s="4" t="s">
        <v>241</v>
      </c>
      <c r="I1736" s="4" t="s">
        <v>272</v>
      </c>
      <c r="J1736" s="4" t="s">
        <v>274</v>
      </c>
      <c r="K1736" s="4" t="s">
        <v>251</v>
      </c>
      <c r="L1736" s="4" t="s">
        <v>269</v>
      </c>
      <c r="M1736" s="5" t="s">
        <v>2062</v>
      </c>
      <c r="N1736" s="6">
        <f>3411</f>
        <v>3411</v>
      </c>
      <c r="O1736" s="4" t="s">
        <v>265</v>
      </c>
      <c r="P1736" s="6">
        <f>1</f>
        <v>1</v>
      </c>
      <c r="Q1736" s="6">
        <f>0</f>
        <v>0</v>
      </c>
      <c r="S1736" s="6">
        <f>0</f>
        <v>0</v>
      </c>
      <c r="T1736" s="6">
        <f>1</f>
        <v>1</v>
      </c>
      <c r="U1736" s="5" t="s">
        <v>245</v>
      </c>
      <c r="V1736" s="4" t="s">
        <v>270</v>
      </c>
      <c r="W1736" s="4" t="s">
        <v>271</v>
      </c>
      <c r="X1736" s="4" t="s">
        <v>273</v>
      </c>
      <c r="Y1736" s="4" t="s">
        <v>241</v>
      </c>
      <c r="AB1736" s="4" t="s">
        <v>241</v>
      </c>
      <c r="AD1736" s="5" t="s">
        <v>241</v>
      </c>
      <c r="AG1736" s="5" t="s">
        <v>246</v>
      </c>
      <c r="AH1736" s="4" t="s">
        <v>241</v>
      </c>
      <c r="AI1736" s="4" t="s">
        <v>247</v>
      </c>
      <c r="AJ1736" s="4" t="s">
        <v>248</v>
      </c>
      <c r="AZ1736" s="4" t="s">
        <v>249</v>
      </c>
      <c r="BA1736" s="4" t="s">
        <v>241</v>
      </c>
      <c r="BB1736" s="4" t="s">
        <v>250</v>
      </c>
      <c r="BC1736" s="4" t="s">
        <v>241</v>
      </c>
      <c r="BD1736" s="4" t="s">
        <v>252</v>
      </c>
      <c r="BE1736" s="4" t="s">
        <v>241</v>
      </c>
      <c r="BI1736" s="4" t="s">
        <v>253</v>
      </c>
      <c r="BJ1736" s="5" t="s">
        <v>246</v>
      </c>
      <c r="BK1736" s="4" t="s">
        <v>254</v>
      </c>
      <c r="BL1736" s="4" t="s">
        <v>255</v>
      </c>
      <c r="BM1736" s="4" t="s">
        <v>241</v>
      </c>
      <c r="BN1736" s="6">
        <f>0</f>
        <v>0</v>
      </c>
      <c r="BO1736" s="6">
        <f>0</f>
        <v>0</v>
      </c>
      <c r="BP1736" s="4" t="s">
        <v>256</v>
      </c>
      <c r="BQ1736" s="4" t="s">
        <v>257</v>
      </c>
      <c r="CE1736" s="4" t="s">
        <v>241</v>
      </c>
      <c r="CF1736" s="4" t="s">
        <v>241</v>
      </c>
      <c r="CJ1736" s="4" t="s">
        <v>276</v>
      </c>
      <c r="CK1736" s="4" t="s">
        <v>259</v>
      </c>
      <c r="CL1736" s="4" t="s">
        <v>241</v>
      </c>
      <c r="CO1736" s="5" t="s">
        <v>260</v>
      </c>
      <c r="CP1736" s="4" t="s">
        <v>241</v>
      </c>
      <c r="CQ1736" s="4" t="s">
        <v>261</v>
      </c>
      <c r="CR1736" s="4" t="s">
        <v>241</v>
      </c>
      <c r="CS1736" s="4" t="s">
        <v>241</v>
      </c>
      <c r="CT1736" s="4">
        <v>0</v>
      </c>
      <c r="CU1736" s="4" t="s">
        <v>262</v>
      </c>
      <c r="CV1736" s="4" t="s">
        <v>263</v>
      </c>
      <c r="CW1736" s="4" t="s">
        <v>263</v>
      </c>
      <c r="CX1736" s="4" t="s">
        <v>264</v>
      </c>
      <c r="DA1736" s="6">
        <f>1</f>
        <v>1</v>
      </c>
      <c r="DC1736" s="4" t="s">
        <v>277</v>
      </c>
      <c r="DD1736" s="4" t="s">
        <v>241</v>
      </c>
      <c r="DF1736" s="4" t="s">
        <v>277</v>
      </c>
      <c r="DG1736" s="6">
        <f>3411</f>
        <v>3411</v>
      </c>
      <c r="DI1736" s="4" t="s">
        <v>241</v>
      </c>
      <c r="DJ1736" s="4" t="s">
        <v>241</v>
      </c>
      <c r="DK1736" s="4" t="s">
        <v>241</v>
      </c>
      <c r="DL1736" s="4" t="s">
        <v>241</v>
      </c>
      <c r="DP1736" s="4" t="s">
        <v>241</v>
      </c>
      <c r="DQ1736" s="4" t="s">
        <v>241</v>
      </c>
      <c r="DR1736" s="4" t="s">
        <v>241</v>
      </c>
      <c r="DS1736" s="4" t="s">
        <v>241</v>
      </c>
      <c r="DV1736" s="4" t="s">
        <v>278</v>
      </c>
      <c r="DW1736" s="4" t="s">
        <v>472</v>
      </c>
      <c r="HO1736" s="4" t="s">
        <v>267</v>
      </c>
    </row>
    <row r="1737" spans="1:223" ht="19.5" customHeight="1" x14ac:dyDescent="0.4">
      <c r="A1737" s="4">
        <v>1</v>
      </c>
      <c r="B1737" s="4" t="s">
        <v>239</v>
      </c>
      <c r="C1737" s="4">
        <v>3411</v>
      </c>
      <c r="D1737" s="4">
        <v>1</v>
      </c>
      <c r="E1737" s="4">
        <v>1</v>
      </c>
      <c r="F1737" s="4" t="s">
        <v>268</v>
      </c>
      <c r="G1737" s="4" t="s">
        <v>241</v>
      </c>
      <c r="H1737" s="4" t="s">
        <v>241</v>
      </c>
      <c r="I1737" s="4" t="s">
        <v>272</v>
      </c>
      <c r="J1737" s="4" t="s">
        <v>274</v>
      </c>
      <c r="K1737" s="4" t="s">
        <v>251</v>
      </c>
      <c r="L1737" s="4" t="s">
        <v>269</v>
      </c>
      <c r="M1737" s="5" t="s">
        <v>2061</v>
      </c>
      <c r="N1737" s="6">
        <f>2841</f>
        <v>2841</v>
      </c>
      <c r="O1737" s="4" t="s">
        <v>265</v>
      </c>
      <c r="P1737" s="6">
        <f>1</f>
        <v>1</v>
      </c>
      <c r="Q1737" s="6">
        <f>0</f>
        <v>0</v>
      </c>
      <c r="S1737" s="6">
        <f>0</f>
        <v>0</v>
      </c>
      <c r="T1737" s="6">
        <f>1</f>
        <v>1</v>
      </c>
      <c r="U1737" s="5" t="s">
        <v>245</v>
      </c>
      <c r="V1737" s="4" t="s">
        <v>270</v>
      </c>
      <c r="W1737" s="4" t="s">
        <v>271</v>
      </c>
      <c r="X1737" s="4" t="s">
        <v>273</v>
      </c>
      <c r="Y1737" s="4" t="s">
        <v>241</v>
      </c>
      <c r="AB1737" s="4" t="s">
        <v>241</v>
      </c>
      <c r="AD1737" s="5" t="s">
        <v>241</v>
      </c>
      <c r="AG1737" s="5" t="s">
        <v>246</v>
      </c>
      <c r="AH1737" s="4" t="s">
        <v>241</v>
      </c>
      <c r="AI1737" s="4" t="s">
        <v>247</v>
      </c>
      <c r="AJ1737" s="4" t="s">
        <v>248</v>
      </c>
      <c r="AZ1737" s="4" t="s">
        <v>249</v>
      </c>
      <c r="BA1737" s="4" t="s">
        <v>241</v>
      </c>
      <c r="BB1737" s="4" t="s">
        <v>250</v>
      </c>
      <c r="BC1737" s="4" t="s">
        <v>241</v>
      </c>
      <c r="BD1737" s="4" t="s">
        <v>252</v>
      </c>
      <c r="BE1737" s="4" t="s">
        <v>241</v>
      </c>
      <c r="BI1737" s="4" t="s">
        <v>253</v>
      </c>
      <c r="BJ1737" s="5" t="s">
        <v>246</v>
      </c>
      <c r="BK1737" s="4" t="s">
        <v>254</v>
      </c>
      <c r="BL1737" s="4" t="s">
        <v>255</v>
      </c>
      <c r="BM1737" s="4" t="s">
        <v>241</v>
      </c>
      <c r="BN1737" s="6">
        <f>0</f>
        <v>0</v>
      </c>
      <c r="BO1737" s="6">
        <f>0</f>
        <v>0</v>
      </c>
      <c r="BP1737" s="4" t="s">
        <v>256</v>
      </c>
      <c r="BQ1737" s="4" t="s">
        <v>257</v>
      </c>
      <c r="CE1737" s="4" t="s">
        <v>241</v>
      </c>
      <c r="CF1737" s="4" t="s">
        <v>241</v>
      </c>
      <c r="CJ1737" s="4" t="s">
        <v>276</v>
      </c>
      <c r="CK1737" s="4" t="s">
        <v>259</v>
      </c>
      <c r="CL1737" s="4" t="s">
        <v>241</v>
      </c>
      <c r="CO1737" s="5" t="s">
        <v>260</v>
      </c>
      <c r="CP1737" s="4" t="s">
        <v>241</v>
      </c>
      <c r="CQ1737" s="4" t="s">
        <v>261</v>
      </c>
      <c r="CR1737" s="4" t="s">
        <v>241</v>
      </c>
      <c r="CS1737" s="4" t="s">
        <v>241</v>
      </c>
      <c r="CT1737" s="4">
        <v>0</v>
      </c>
      <c r="CU1737" s="4" t="s">
        <v>262</v>
      </c>
      <c r="CV1737" s="4" t="s">
        <v>263</v>
      </c>
      <c r="CW1737" s="4" t="s">
        <v>263</v>
      </c>
      <c r="CX1737" s="4" t="s">
        <v>264</v>
      </c>
      <c r="DA1737" s="6">
        <f>1</f>
        <v>1</v>
      </c>
      <c r="DC1737" s="4" t="s">
        <v>277</v>
      </c>
      <c r="DD1737" s="4" t="s">
        <v>241</v>
      </c>
      <c r="DF1737" s="4" t="s">
        <v>277</v>
      </c>
      <c r="DG1737" s="6">
        <f>2841</f>
        <v>2841</v>
      </c>
      <c r="DI1737" s="4" t="s">
        <v>241</v>
      </c>
      <c r="DJ1737" s="4" t="s">
        <v>241</v>
      </c>
      <c r="DK1737" s="4" t="s">
        <v>241</v>
      </c>
      <c r="DL1737" s="4" t="s">
        <v>241</v>
      </c>
      <c r="DP1737" s="4" t="s">
        <v>241</v>
      </c>
      <c r="DQ1737" s="4" t="s">
        <v>241</v>
      </c>
      <c r="DR1737" s="4" t="s">
        <v>241</v>
      </c>
      <c r="DS1737" s="4" t="s">
        <v>241</v>
      </c>
      <c r="DV1737" s="4" t="s">
        <v>278</v>
      </c>
      <c r="DW1737" s="4" t="s">
        <v>482</v>
      </c>
      <c r="HO1737" s="4" t="s">
        <v>267</v>
      </c>
    </row>
    <row r="1738" spans="1:223" ht="19.5" customHeight="1" x14ac:dyDescent="0.4">
      <c r="A1738" s="4">
        <v>1</v>
      </c>
      <c r="B1738" s="4" t="s">
        <v>239</v>
      </c>
      <c r="C1738" s="4">
        <v>3412</v>
      </c>
      <c r="D1738" s="4">
        <v>1</v>
      </c>
      <c r="E1738" s="4">
        <v>1</v>
      </c>
      <c r="F1738" s="4" t="s">
        <v>268</v>
      </c>
      <c r="G1738" s="4" t="s">
        <v>241</v>
      </c>
      <c r="H1738" s="4" t="s">
        <v>241</v>
      </c>
      <c r="I1738" s="4" t="s">
        <v>272</v>
      </c>
      <c r="J1738" s="4" t="s">
        <v>274</v>
      </c>
      <c r="K1738" s="4" t="s">
        <v>251</v>
      </c>
      <c r="L1738" s="4" t="s">
        <v>269</v>
      </c>
      <c r="M1738" s="5" t="s">
        <v>2060</v>
      </c>
      <c r="N1738" s="6">
        <f>1200</f>
        <v>1200</v>
      </c>
      <c r="O1738" s="4" t="s">
        <v>265</v>
      </c>
      <c r="P1738" s="6">
        <f>1</f>
        <v>1</v>
      </c>
      <c r="Q1738" s="6">
        <f>0</f>
        <v>0</v>
      </c>
      <c r="S1738" s="6">
        <f>0</f>
        <v>0</v>
      </c>
      <c r="T1738" s="6">
        <f>1</f>
        <v>1</v>
      </c>
      <c r="U1738" s="5" t="s">
        <v>245</v>
      </c>
      <c r="V1738" s="4" t="s">
        <v>270</v>
      </c>
      <c r="W1738" s="4" t="s">
        <v>271</v>
      </c>
      <c r="X1738" s="4" t="s">
        <v>273</v>
      </c>
      <c r="Y1738" s="4" t="s">
        <v>241</v>
      </c>
      <c r="AB1738" s="4" t="s">
        <v>241</v>
      </c>
      <c r="AD1738" s="5" t="s">
        <v>241</v>
      </c>
      <c r="AG1738" s="5" t="s">
        <v>246</v>
      </c>
      <c r="AH1738" s="4" t="s">
        <v>241</v>
      </c>
      <c r="AI1738" s="4" t="s">
        <v>247</v>
      </c>
      <c r="AJ1738" s="4" t="s">
        <v>248</v>
      </c>
      <c r="AZ1738" s="4" t="s">
        <v>249</v>
      </c>
      <c r="BA1738" s="4" t="s">
        <v>241</v>
      </c>
      <c r="BB1738" s="4" t="s">
        <v>250</v>
      </c>
      <c r="BC1738" s="4" t="s">
        <v>241</v>
      </c>
      <c r="BD1738" s="4" t="s">
        <v>252</v>
      </c>
      <c r="BE1738" s="4" t="s">
        <v>241</v>
      </c>
      <c r="BI1738" s="4" t="s">
        <v>253</v>
      </c>
      <c r="BJ1738" s="5" t="s">
        <v>246</v>
      </c>
      <c r="BK1738" s="4" t="s">
        <v>254</v>
      </c>
      <c r="BL1738" s="4" t="s">
        <v>255</v>
      </c>
      <c r="BM1738" s="4" t="s">
        <v>241</v>
      </c>
      <c r="BN1738" s="6">
        <f>0</f>
        <v>0</v>
      </c>
      <c r="BO1738" s="6">
        <f>0</f>
        <v>0</v>
      </c>
      <c r="BP1738" s="4" t="s">
        <v>256</v>
      </c>
      <c r="BQ1738" s="4" t="s">
        <v>257</v>
      </c>
      <c r="CE1738" s="4" t="s">
        <v>241</v>
      </c>
      <c r="CF1738" s="4" t="s">
        <v>241</v>
      </c>
      <c r="CJ1738" s="4" t="s">
        <v>276</v>
      </c>
      <c r="CK1738" s="4" t="s">
        <v>259</v>
      </c>
      <c r="CL1738" s="4" t="s">
        <v>241</v>
      </c>
      <c r="CO1738" s="5" t="s">
        <v>260</v>
      </c>
      <c r="CP1738" s="4" t="s">
        <v>241</v>
      </c>
      <c r="CQ1738" s="4" t="s">
        <v>261</v>
      </c>
      <c r="CR1738" s="4" t="s">
        <v>241</v>
      </c>
      <c r="CS1738" s="4" t="s">
        <v>241</v>
      </c>
      <c r="CT1738" s="4">
        <v>0</v>
      </c>
      <c r="CU1738" s="4" t="s">
        <v>262</v>
      </c>
      <c r="CV1738" s="4" t="s">
        <v>263</v>
      </c>
      <c r="CW1738" s="4" t="s">
        <v>263</v>
      </c>
      <c r="CX1738" s="4" t="s">
        <v>264</v>
      </c>
      <c r="DA1738" s="6">
        <f>1</f>
        <v>1</v>
      </c>
      <c r="DC1738" s="4" t="s">
        <v>277</v>
      </c>
      <c r="DD1738" s="4" t="s">
        <v>241</v>
      </c>
      <c r="DF1738" s="4" t="s">
        <v>277</v>
      </c>
      <c r="DG1738" s="6">
        <f>1200</f>
        <v>1200</v>
      </c>
      <c r="DI1738" s="4" t="s">
        <v>241</v>
      </c>
      <c r="DJ1738" s="4" t="s">
        <v>241</v>
      </c>
      <c r="DK1738" s="4" t="s">
        <v>241</v>
      </c>
      <c r="DL1738" s="4" t="s">
        <v>241</v>
      </c>
      <c r="DP1738" s="4" t="s">
        <v>241</v>
      </c>
      <c r="DQ1738" s="4" t="s">
        <v>241</v>
      </c>
      <c r="DR1738" s="4" t="s">
        <v>241</v>
      </c>
      <c r="DS1738" s="4" t="s">
        <v>241</v>
      </c>
      <c r="DV1738" s="4" t="s">
        <v>278</v>
      </c>
      <c r="DW1738" s="4" t="s">
        <v>454</v>
      </c>
      <c r="HO1738" s="4" t="s">
        <v>267</v>
      </c>
    </row>
    <row r="1739" spans="1:223" ht="19.5" customHeight="1" x14ac:dyDescent="0.4">
      <c r="A1739" s="4">
        <v>1</v>
      </c>
      <c r="B1739" s="4" t="s">
        <v>239</v>
      </c>
      <c r="C1739" s="4">
        <v>3413</v>
      </c>
      <c r="D1739" s="4">
        <v>1</v>
      </c>
      <c r="E1739" s="4">
        <v>1</v>
      </c>
      <c r="F1739" s="4" t="s">
        <v>268</v>
      </c>
      <c r="G1739" s="4" t="s">
        <v>241</v>
      </c>
      <c r="H1739" s="4" t="s">
        <v>241</v>
      </c>
      <c r="I1739" s="4" t="s">
        <v>272</v>
      </c>
      <c r="J1739" s="4" t="s">
        <v>274</v>
      </c>
      <c r="K1739" s="4" t="s">
        <v>251</v>
      </c>
      <c r="L1739" s="4" t="s">
        <v>269</v>
      </c>
      <c r="M1739" s="5" t="s">
        <v>2058</v>
      </c>
      <c r="N1739" s="6">
        <f>1538</f>
        <v>1538</v>
      </c>
      <c r="O1739" s="4" t="s">
        <v>265</v>
      </c>
      <c r="P1739" s="6">
        <f>1</f>
        <v>1</v>
      </c>
      <c r="Q1739" s="6">
        <f>0</f>
        <v>0</v>
      </c>
      <c r="S1739" s="6">
        <f>0</f>
        <v>0</v>
      </c>
      <c r="T1739" s="6">
        <f>1</f>
        <v>1</v>
      </c>
      <c r="U1739" s="5" t="s">
        <v>245</v>
      </c>
      <c r="V1739" s="4" t="s">
        <v>270</v>
      </c>
      <c r="W1739" s="4" t="s">
        <v>271</v>
      </c>
      <c r="X1739" s="4" t="s">
        <v>273</v>
      </c>
      <c r="Y1739" s="4" t="s">
        <v>241</v>
      </c>
      <c r="AB1739" s="4" t="s">
        <v>241</v>
      </c>
      <c r="AD1739" s="5" t="s">
        <v>241</v>
      </c>
      <c r="AG1739" s="5" t="s">
        <v>246</v>
      </c>
      <c r="AH1739" s="4" t="s">
        <v>241</v>
      </c>
      <c r="AI1739" s="4" t="s">
        <v>247</v>
      </c>
      <c r="AJ1739" s="4" t="s">
        <v>248</v>
      </c>
      <c r="AZ1739" s="4" t="s">
        <v>249</v>
      </c>
      <c r="BA1739" s="4" t="s">
        <v>241</v>
      </c>
      <c r="BB1739" s="4" t="s">
        <v>250</v>
      </c>
      <c r="BC1739" s="4" t="s">
        <v>241</v>
      </c>
      <c r="BD1739" s="4" t="s">
        <v>252</v>
      </c>
      <c r="BE1739" s="4" t="s">
        <v>241</v>
      </c>
      <c r="BI1739" s="4" t="s">
        <v>253</v>
      </c>
      <c r="BJ1739" s="5" t="s">
        <v>246</v>
      </c>
      <c r="BK1739" s="4" t="s">
        <v>254</v>
      </c>
      <c r="BL1739" s="4" t="s">
        <v>255</v>
      </c>
      <c r="BM1739" s="4" t="s">
        <v>241</v>
      </c>
      <c r="BN1739" s="6">
        <f>0</f>
        <v>0</v>
      </c>
      <c r="BO1739" s="6">
        <f>0</f>
        <v>0</v>
      </c>
      <c r="BP1739" s="4" t="s">
        <v>256</v>
      </c>
      <c r="BQ1739" s="4" t="s">
        <v>257</v>
      </c>
      <c r="CE1739" s="4" t="s">
        <v>241</v>
      </c>
      <c r="CF1739" s="4" t="s">
        <v>241</v>
      </c>
      <c r="CJ1739" s="4" t="s">
        <v>276</v>
      </c>
      <c r="CK1739" s="4" t="s">
        <v>259</v>
      </c>
      <c r="CL1739" s="4" t="s">
        <v>241</v>
      </c>
      <c r="CO1739" s="5" t="s">
        <v>260</v>
      </c>
      <c r="CP1739" s="4" t="s">
        <v>241</v>
      </c>
      <c r="CQ1739" s="4" t="s">
        <v>261</v>
      </c>
      <c r="CR1739" s="4" t="s">
        <v>241</v>
      </c>
      <c r="CS1739" s="4" t="s">
        <v>241</v>
      </c>
      <c r="CT1739" s="4">
        <v>0</v>
      </c>
      <c r="CU1739" s="4" t="s">
        <v>262</v>
      </c>
      <c r="CV1739" s="4" t="s">
        <v>263</v>
      </c>
      <c r="CW1739" s="4" t="s">
        <v>263</v>
      </c>
      <c r="CX1739" s="4" t="s">
        <v>264</v>
      </c>
      <c r="DA1739" s="6">
        <f>1</f>
        <v>1</v>
      </c>
      <c r="DC1739" s="4" t="s">
        <v>277</v>
      </c>
      <c r="DD1739" s="4" t="s">
        <v>241</v>
      </c>
      <c r="DF1739" s="4" t="s">
        <v>277</v>
      </c>
      <c r="DG1739" s="6">
        <f>1538</f>
        <v>1538</v>
      </c>
      <c r="DI1739" s="4" t="s">
        <v>241</v>
      </c>
      <c r="DJ1739" s="4" t="s">
        <v>241</v>
      </c>
      <c r="DK1739" s="4" t="s">
        <v>241</v>
      </c>
      <c r="DL1739" s="4" t="s">
        <v>241</v>
      </c>
      <c r="DP1739" s="4" t="s">
        <v>241</v>
      </c>
      <c r="DQ1739" s="4" t="s">
        <v>241</v>
      </c>
      <c r="DR1739" s="4" t="s">
        <v>241</v>
      </c>
      <c r="DS1739" s="4" t="s">
        <v>241</v>
      </c>
      <c r="DV1739" s="4" t="s">
        <v>278</v>
      </c>
      <c r="DW1739" s="4" t="s">
        <v>2059</v>
      </c>
      <c r="HO1739" s="4" t="s">
        <v>267</v>
      </c>
    </row>
    <row r="1740" spans="1:223" ht="19.5" customHeight="1" x14ac:dyDescent="0.4">
      <c r="A1740" s="4">
        <v>1</v>
      </c>
      <c r="B1740" s="4" t="s">
        <v>239</v>
      </c>
      <c r="C1740" s="4">
        <v>3414</v>
      </c>
      <c r="D1740" s="4">
        <v>1</v>
      </c>
      <c r="E1740" s="4">
        <v>1</v>
      </c>
      <c r="F1740" s="4" t="s">
        <v>268</v>
      </c>
      <c r="G1740" s="4" t="s">
        <v>241</v>
      </c>
      <c r="H1740" s="4" t="s">
        <v>241</v>
      </c>
      <c r="I1740" s="4" t="s">
        <v>272</v>
      </c>
      <c r="J1740" s="4" t="s">
        <v>274</v>
      </c>
      <c r="K1740" s="4" t="s">
        <v>251</v>
      </c>
      <c r="L1740" s="4" t="s">
        <v>269</v>
      </c>
      <c r="M1740" s="5" t="s">
        <v>2056</v>
      </c>
      <c r="N1740" s="6">
        <f>1637</f>
        <v>1637</v>
      </c>
      <c r="O1740" s="4" t="s">
        <v>265</v>
      </c>
      <c r="P1740" s="6">
        <f>1</f>
        <v>1</v>
      </c>
      <c r="Q1740" s="6">
        <f>0</f>
        <v>0</v>
      </c>
      <c r="S1740" s="6">
        <f>0</f>
        <v>0</v>
      </c>
      <c r="T1740" s="6">
        <f>1</f>
        <v>1</v>
      </c>
      <c r="U1740" s="5" t="s">
        <v>245</v>
      </c>
      <c r="V1740" s="4" t="s">
        <v>270</v>
      </c>
      <c r="W1740" s="4" t="s">
        <v>271</v>
      </c>
      <c r="X1740" s="4" t="s">
        <v>273</v>
      </c>
      <c r="Y1740" s="4" t="s">
        <v>241</v>
      </c>
      <c r="AB1740" s="4" t="s">
        <v>241</v>
      </c>
      <c r="AD1740" s="5" t="s">
        <v>241</v>
      </c>
      <c r="AG1740" s="5" t="s">
        <v>246</v>
      </c>
      <c r="AH1740" s="4" t="s">
        <v>241</v>
      </c>
      <c r="AI1740" s="4" t="s">
        <v>247</v>
      </c>
      <c r="AJ1740" s="4" t="s">
        <v>248</v>
      </c>
      <c r="AZ1740" s="4" t="s">
        <v>249</v>
      </c>
      <c r="BA1740" s="4" t="s">
        <v>241</v>
      </c>
      <c r="BB1740" s="4" t="s">
        <v>250</v>
      </c>
      <c r="BC1740" s="4" t="s">
        <v>241</v>
      </c>
      <c r="BD1740" s="4" t="s">
        <v>252</v>
      </c>
      <c r="BE1740" s="4" t="s">
        <v>241</v>
      </c>
      <c r="BI1740" s="4" t="s">
        <v>253</v>
      </c>
      <c r="BJ1740" s="5" t="s">
        <v>246</v>
      </c>
      <c r="BK1740" s="4" t="s">
        <v>254</v>
      </c>
      <c r="BL1740" s="4" t="s">
        <v>255</v>
      </c>
      <c r="BM1740" s="4" t="s">
        <v>241</v>
      </c>
      <c r="BN1740" s="6">
        <f>0</f>
        <v>0</v>
      </c>
      <c r="BO1740" s="6">
        <f>0</f>
        <v>0</v>
      </c>
      <c r="BP1740" s="4" t="s">
        <v>256</v>
      </c>
      <c r="BQ1740" s="4" t="s">
        <v>257</v>
      </c>
      <c r="CE1740" s="4" t="s">
        <v>241</v>
      </c>
      <c r="CF1740" s="4" t="s">
        <v>241</v>
      </c>
      <c r="CJ1740" s="4" t="s">
        <v>276</v>
      </c>
      <c r="CK1740" s="4" t="s">
        <v>259</v>
      </c>
      <c r="CL1740" s="4" t="s">
        <v>241</v>
      </c>
      <c r="CO1740" s="5" t="s">
        <v>260</v>
      </c>
      <c r="CP1740" s="4" t="s">
        <v>241</v>
      </c>
      <c r="CQ1740" s="4" t="s">
        <v>261</v>
      </c>
      <c r="CR1740" s="4" t="s">
        <v>241</v>
      </c>
      <c r="CS1740" s="4" t="s">
        <v>241</v>
      </c>
      <c r="CT1740" s="4">
        <v>0</v>
      </c>
      <c r="CU1740" s="4" t="s">
        <v>262</v>
      </c>
      <c r="CV1740" s="4" t="s">
        <v>263</v>
      </c>
      <c r="CW1740" s="4" t="s">
        <v>263</v>
      </c>
      <c r="CX1740" s="4" t="s">
        <v>264</v>
      </c>
      <c r="DA1740" s="6">
        <f>1</f>
        <v>1</v>
      </c>
      <c r="DC1740" s="4" t="s">
        <v>277</v>
      </c>
      <c r="DD1740" s="4" t="s">
        <v>241</v>
      </c>
      <c r="DF1740" s="4" t="s">
        <v>277</v>
      </c>
      <c r="DG1740" s="6">
        <f>1637</f>
        <v>1637</v>
      </c>
      <c r="DI1740" s="4" t="s">
        <v>241</v>
      </c>
      <c r="DJ1740" s="4" t="s">
        <v>241</v>
      </c>
      <c r="DK1740" s="4" t="s">
        <v>241</v>
      </c>
      <c r="DL1740" s="4" t="s">
        <v>241</v>
      </c>
      <c r="DP1740" s="4" t="s">
        <v>241</v>
      </c>
      <c r="DQ1740" s="4" t="s">
        <v>241</v>
      </c>
      <c r="DR1740" s="4" t="s">
        <v>241</v>
      </c>
      <c r="DS1740" s="4" t="s">
        <v>241</v>
      </c>
      <c r="DV1740" s="4" t="s">
        <v>278</v>
      </c>
      <c r="DW1740" s="4" t="s">
        <v>2057</v>
      </c>
      <c r="HO1740" s="4" t="s">
        <v>267</v>
      </c>
    </row>
    <row r="1741" spans="1:223" ht="19.5" customHeight="1" x14ac:dyDescent="0.4">
      <c r="A1741" s="4">
        <v>1</v>
      </c>
      <c r="B1741" s="4" t="s">
        <v>239</v>
      </c>
      <c r="C1741" s="4">
        <v>3415</v>
      </c>
      <c r="D1741" s="4">
        <v>1</v>
      </c>
      <c r="E1741" s="4">
        <v>1</v>
      </c>
      <c r="F1741" s="4" t="s">
        <v>268</v>
      </c>
      <c r="G1741" s="4" t="s">
        <v>241</v>
      </c>
      <c r="H1741" s="4" t="s">
        <v>241</v>
      </c>
      <c r="I1741" s="4" t="s">
        <v>272</v>
      </c>
      <c r="J1741" s="4" t="s">
        <v>274</v>
      </c>
      <c r="K1741" s="4" t="s">
        <v>251</v>
      </c>
      <c r="L1741" s="4" t="s">
        <v>269</v>
      </c>
      <c r="M1741" s="5" t="s">
        <v>2054</v>
      </c>
      <c r="N1741" s="6">
        <f>2856</f>
        <v>2856</v>
      </c>
      <c r="O1741" s="4" t="s">
        <v>265</v>
      </c>
      <c r="P1741" s="6">
        <f>1</f>
        <v>1</v>
      </c>
      <c r="Q1741" s="6">
        <f>0</f>
        <v>0</v>
      </c>
      <c r="S1741" s="6">
        <f>0</f>
        <v>0</v>
      </c>
      <c r="T1741" s="6">
        <f>1</f>
        <v>1</v>
      </c>
      <c r="U1741" s="5" t="s">
        <v>245</v>
      </c>
      <c r="V1741" s="4" t="s">
        <v>270</v>
      </c>
      <c r="W1741" s="4" t="s">
        <v>271</v>
      </c>
      <c r="X1741" s="4" t="s">
        <v>273</v>
      </c>
      <c r="Y1741" s="4" t="s">
        <v>241</v>
      </c>
      <c r="AB1741" s="4" t="s">
        <v>241</v>
      </c>
      <c r="AD1741" s="5" t="s">
        <v>241</v>
      </c>
      <c r="AG1741" s="5" t="s">
        <v>246</v>
      </c>
      <c r="AH1741" s="4" t="s">
        <v>241</v>
      </c>
      <c r="AI1741" s="4" t="s">
        <v>247</v>
      </c>
      <c r="AJ1741" s="4" t="s">
        <v>248</v>
      </c>
      <c r="AZ1741" s="4" t="s">
        <v>249</v>
      </c>
      <c r="BA1741" s="4" t="s">
        <v>241</v>
      </c>
      <c r="BB1741" s="4" t="s">
        <v>250</v>
      </c>
      <c r="BC1741" s="4" t="s">
        <v>241</v>
      </c>
      <c r="BD1741" s="4" t="s">
        <v>252</v>
      </c>
      <c r="BE1741" s="4" t="s">
        <v>241</v>
      </c>
      <c r="BI1741" s="4" t="s">
        <v>253</v>
      </c>
      <c r="BJ1741" s="5" t="s">
        <v>246</v>
      </c>
      <c r="BK1741" s="4" t="s">
        <v>254</v>
      </c>
      <c r="BL1741" s="4" t="s">
        <v>255</v>
      </c>
      <c r="BM1741" s="4" t="s">
        <v>241</v>
      </c>
      <c r="BN1741" s="6">
        <f>0</f>
        <v>0</v>
      </c>
      <c r="BO1741" s="6">
        <f>0</f>
        <v>0</v>
      </c>
      <c r="BP1741" s="4" t="s">
        <v>256</v>
      </c>
      <c r="BQ1741" s="4" t="s">
        <v>257</v>
      </c>
      <c r="CE1741" s="4" t="s">
        <v>241</v>
      </c>
      <c r="CF1741" s="4" t="s">
        <v>241</v>
      </c>
      <c r="CJ1741" s="4" t="s">
        <v>276</v>
      </c>
      <c r="CK1741" s="4" t="s">
        <v>259</v>
      </c>
      <c r="CL1741" s="4" t="s">
        <v>241</v>
      </c>
      <c r="CO1741" s="5" t="s">
        <v>260</v>
      </c>
      <c r="CP1741" s="4" t="s">
        <v>241</v>
      </c>
      <c r="CQ1741" s="4" t="s">
        <v>261</v>
      </c>
      <c r="CR1741" s="4" t="s">
        <v>241</v>
      </c>
      <c r="CS1741" s="4" t="s">
        <v>241</v>
      </c>
      <c r="CT1741" s="4">
        <v>0</v>
      </c>
      <c r="CU1741" s="4" t="s">
        <v>262</v>
      </c>
      <c r="CV1741" s="4" t="s">
        <v>263</v>
      </c>
      <c r="CW1741" s="4" t="s">
        <v>263</v>
      </c>
      <c r="CX1741" s="4" t="s">
        <v>264</v>
      </c>
      <c r="DA1741" s="6">
        <f>1</f>
        <v>1</v>
      </c>
      <c r="DC1741" s="4" t="s">
        <v>277</v>
      </c>
      <c r="DD1741" s="4" t="s">
        <v>241</v>
      </c>
      <c r="DF1741" s="4" t="s">
        <v>277</v>
      </c>
      <c r="DG1741" s="6">
        <f>2856</f>
        <v>2856</v>
      </c>
      <c r="DI1741" s="4" t="s">
        <v>241</v>
      </c>
      <c r="DJ1741" s="4" t="s">
        <v>241</v>
      </c>
      <c r="DK1741" s="4" t="s">
        <v>241</v>
      </c>
      <c r="DL1741" s="4" t="s">
        <v>241</v>
      </c>
      <c r="DP1741" s="4" t="s">
        <v>241</v>
      </c>
      <c r="DQ1741" s="4" t="s">
        <v>241</v>
      </c>
      <c r="DR1741" s="4" t="s">
        <v>241</v>
      </c>
      <c r="DS1741" s="4" t="s">
        <v>241</v>
      </c>
      <c r="DV1741" s="4" t="s">
        <v>278</v>
      </c>
      <c r="DW1741" s="4" t="s">
        <v>2055</v>
      </c>
      <c r="HO1741" s="4" t="s">
        <v>267</v>
      </c>
    </row>
    <row r="1742" spans="1:223" ht="19.5" customHeight="1" x14ac:dyDescent="0.4">
      <c r="A1742" s="4">
        <v>1</v>
      </c>
      <c r="B1742" s="4" t="s">
        <v>239</v>
      </c>
      <c r="C1742" s="4">
        <v>3416</v>
      </c>
      <c r="D1742" s="4">
        <v>1</v>
      </c>
      <c r="E1742" s="4">
        <v>1</v>
      </c>
      <c r="F1742" s="4" t="s">
        <v>268</v>
      </c>
      <c r="G1742" s="4" t="s">
        <v>241</v>
      </c>
      <c r="H1742" s="4" t="s">
        <v>241</v>
      </c>
      <c r="I1742" s="4" t="s">
        <v>272</v>
      </c>
      <c r="J1742" s="4" t="s">
        <v>274</v>
      </c>
      <c r="K1742" s="4" t="s">
        <v>251</v>
      </c>
      <c r="L1742" s="4" t="s">
        <v>269</v>
      </c>
      <c r="M1742" s="5" t="s">
        <v>2052</v>
      </c>
      <c r="N1742" s="6">
        <f>2061</f>
        <v>2061</v>
      </c>
      <c r="O1742" s="4" t="s">
        <v>265</v>
      </c>
      <c r="P1742" s="6">
        <f>1</f>
        <v>1</v>
      </c>
      <c r="Q1742" s="6">
        <f>0</f>
        <v>0</v>
      </c>
      <c r="S1742" s="6">
        <f>0</f>
        <v>0</v>
      </c>
      <c r="T1742" s="6">
        <f>1</f>
        <v>1</v>
      </c>
      <c r="U1742" s="5" t="s">
        <v>245</v>
      </c>
      <c r="V1742" s="4" t="s">
        <v>270</v>
      </c>
      <c r="W1742" s="4" t="s">
        <v>271</v>
      </c>
      <c r="X1742" s="4" t="s">
        <v>273</v>
      </c>
      <c r="Y1742" s="4" t="s">
        <v>241</v>
      </c>
      <c r="AB1742" s="4" t="s">
        <v>241</v>
      </c>
      <c r="AD1742" s="5" t="s">
        <v>241</v>
      </c>
      <c r="AG1742" s="5" t="s">
        <v>246</v>
      </c>
      <c r="AH1742" s="4" t="s">
        <v>241</v>
      </c>
      <c r="AI1742" s="4" t="s">
        <v>247</v>
      </c>
      <c r="AJ1742" s="4" t="s">
        <v>248</v>
      </c>
      <c r="AZ1742" s="4" t="s">
        <v>249</v>
      </c>
      <c r="BA1742" s="4" t="s">
        <v>241</v>
      </c>
      <c r="BB1742" s="4" t="s">
        <v>250</v>
      </c>
      <c r="BC1742" s="4" t="s">
        <v>241</v>
      </c>
      <c r="BD1742" s="4" t="s">
        <v>252</v>
      </c>
      <c r="BE1742" s="4" t="s">
        <v>241</v>
      </c>
      <c r="BI1742" s="4" t="s">
        <v>253</v>
      </c>
      <c r="BJ1742" s="5" t="s">
        <v>246</v>
      </c>
      <c r="BK1742" s="4" t="s">
        <v>254</v>
      </c>
      <c r="BL1742" s="4" t="s">
        <v>255</v>
      </c>
      <c r="BM1742" s="4" t="s">
        <v>241</v>
      </c>
      <c r="BN1742" s="6">
        <f>0</f>
        <v>0</v>
      </c>
      <c r="BO1742" s="6">
        <f>0</f>
        <v>0</v>
      </c>
      <c r="BP1742" s="4" t="s">
        <v>256</v>
      </c>
      <c r="BQ1742" s="4" t="s">
        <v>257</v>
      </c>
      <c r="CE1742" s="4" t="s">
        <v>241</v>
      </c>
      <c r="CF1742" s="4" t="s">
        <v>241</v>
      </c>
      <c r="CJ1742" s="4" t="s">
        <v>276</v>
      </c>
      <c r="CK1742" s="4" t="s">
        <v>259</v>
      </c>
      <c r="CL1742" s="4" t="s">
        <v>241</v>
      </c>
      <c r="CO1742" s="5" t="s">
        <v>260</v>
      </c>
      <c r="CP1742" s="4" t="s">
        <v>241</v>
      </c>
      <c r="CQ1742" s="4" t="s">
        <v>261</v>
      </c>
      <c r="CR1742" s="4" t="s">
        <v>241</v>
      </c>
      <c r="CS1742" s="4" t="s">
        <v>241</v>
      </c>
      <c r="CT1742" s="4">
        <v>0</v>
      </c>
      <c r="CU1742" s="4" t="s">
        <v>262</v>
      </c>
      <c r="CV1742" s="4" t="s">
        <v>263</v>
      </c>
      <c r="CW1742" s="4" t="s">
        <v>263</v>
      </c>
      <c r="CX1742" s="4" t="s">
        <v>264</v>
      </c>
      <c r="DA1742" s="6">
        <f>1</f>
        <v>1</v>
      </c>
      <c r="DC1742" s="4" t="s">
        <v>277</v>
      </c>
      <c r="DD1742" s="4" t="s">
        <v>241</v>
      </c>
      <c r="DF1742" s="4" t="s">
        <v>277</v>
      </c>
      <c r="DG1742" s="6">
        <f>2061</f>
        <v>2061</v>
      </c>
      <c r="DI1742" s="4" t="s">
        <v>241</v>
      </c>
      <c r="DJ1742" s="4" t="s">
        <v>241</v>
      </c>
      <c r="DK1742" s="4" t="s">
        <v>241</v>
      </c>
      <c r="DL1742" s="4" t="s">
        <v>241</v>
      </c>
      <c r="DP1742" s="4" t="s">
        <v>241</v>
      </c>
      <c r="DQ1742" s="4" t="s">
        <v>241</v>
      </c>
      <c r="DR1742" s="4" t="s">
        <v>241</v>
      </c>
      <c r="DS1742" s="4" t="s">
        <v>241</v>
      </c>
      <c r="DV1742" s="4" t="s">
        <v>278</v>
      </c>
      <c r="DW1742" s="4" t="s">
        <v>2053</v>
      </c>
      <c r="HO1742" s="4" t="s">
        <v>267</v>
      </c>
    </row>
    <row r="1743" spans="1:223" ht="19.5" customHeight="1" x14ac:dyDescent="0.4">
      <c r="A1743" s="4">
        <v>1</v>
      </c>
      <c r="B1743" s="4" t="s">
        <v>239</v>
      </c>
      <c r="C1743" s="4">
        <v>3417</v>
      </c>
      <c r="D1743" s="4">
        <v>1</v>
      </c>
      <c r="E1743" s="4">
        <v>1</v>
      </c>
      <c r="F1743" s="4" t="s">
        <v>268</v>
      </c>
      <c r="G1743" s="4" t="s">
        <v>241</v>
      </c>
      <c r="H1743" s="4" t="s">
        <v>241</v>
      </c>
      <c r="I1743" s="4" t="s">
        <v>272</v>
      </c>
      <c r="J1743" s="4" t="s">
        <v>274</v>
      </c>
      <c r="K1743" s="4" t="s">
        <v>251</v>
      </c>
      <c r="L1743" s="4" t="s">
        <v>269</v>
      </c>
      <c r="M1743" s="5" t="s">
        <v>2050</v>
      </c>
      <c r="N1743" s="6">
        <f>2711</f>
        <v>2711</v>
      </c>
      <c r="O1743" s="4" t="s">
        <v>265</v>
      </c>
      <c r="P1743" s="6">
        <f>1</f>
        <v>1</v>
      </c>
      <c r="Q1743" s="6">
        <f>0</f>
        <v>0</v>
      </c>
      <c r="S1743" s="6">
        <f>0</f>
        <v>0</v>
      </c>
      <c r="T1743" s="6">
        <f>1</f>
        <v>1</v>
      </c>
      <c r="U1743" s="5" t="s">
        <v>245</v>
      </c>
      <c r="V1743" s="4" t="s">
        <v>270</v>
      </c>
      <c r="W1743" s="4" t="s">
        <v>271</v>
      </c>
      <c r="X1743" s="4" t="s">
        <v>273</v>
      </c>
      <c r="Y1743" s="4" t="s">
        <v>241</v>
      </c>
      <c r="AB1743" s="4" t="s">
        <v>241</v>
      </c>
      <c r="AD1743" s="5" t="s">
        <v>241</v>
      </c>
      <c r="AG1743" s="5" t="s">
        <v>246</v>
      </c>
      <c r="AH1743" s="4" t="s">
        <v>241</v>
      </c>
      <c r="AI1743" s="4" t="s">
        <v>247</v>
      </c>
      <c r="AJ1743" s="4" t="s">
        <v>248</v>
      </c>
      <c r="AZ1743" s="4" t="s">
        <v>249</v>
      </c>
      <c r="BA1743" s="4" t="s">
        <v>241</v>
      </c>
      <c r="BB1743" s="4" t="s">
        <v>250</v>
      </c>
      <c r="BC1743" s="4" t="s">
        <v>241</v>
      </c>
      <c r="BD1743" s="4" t="s">
        <v>252</v>
      </c>
      <c r="BE1743" s="4" t="s">
        <v>241</v>
      </c>
      <c r="BI1743" s="4" t="s">
        <v>253</v>
      </c>
      <c r="BJ1743" s="5" t="s">
        <v>246</v>
      </c>
      <c r="BK1743" s="4" t="s">
        <v>254</v>
      </c>
      <c r="BL1743" s="4" t="s">
        <v>255</v>
      </c>
      <c r="BM1743" s="4" t="s">
        <v>241</v>
      </c>
      <c r="BN1743" s="6">
        <f>0</f>
        <v>0</v>
      </c>
      <c r="BO1743" s="6">
        <f>0</f>
        <v>0</v>
      </c>
      <c r="BP1743" s="4" t="s">
        <v>256</v>
      </c>
      <c r="BQ1743" s="4" t="s">
        <v>257</v>
      </c>
      <c r="CE1743" s="4" t="s">
        <v>241</v>
      </c>
      <c r="CF1743" s="4" t="s">
        <v>241</v>
      </c>
      <c r="CJ1743" s="4" t="s">
        <v>276</v>
      </c>
      <c r="CK1743" s="4" t="s">
        <v>259</v>
      </c>
      <c r="CL1743" s="4" t="s">
        <v>241</v>
      </c>
      <c r="CO1743" s="5" t="s">
        <v>260</v>
      </c>
      <c r="CP1743" s="4" t="s">
        <v>241</v>
      </c>
      <c r="CQ1743" s="4" t="s">
        <v>261</v>
      </c>
      <c r="CR1743" s="4" t="s">
        <v>241</v>
      </c>
      <c r="CS1743" s="4" t="s">
        <v>241</v>
      </c>
      <c r="CT1743" s="4">
        <v>0</v>
      </c>
      <c r="CU1743" s="4" t="s">
        <v>262</v>
      </c>
      <c r="CV1743" s="4" t="s">
        <v>263</v>
      </c>
      <c r="CW1743" s="4" t="s">
        <v>263</v>
      </c>
      <c r="CX1743" s="4" t="s">
        <v>264</v>
      </c>
      <c r="DA1743" s="6">
        <f>1</f>
        <v>1</v>
      </c>
      <c r="DC1743" s="4" t="s">
        <v>277</v>
      </c>
      <c r="DD1743" s="4" t="s">
        <v>241</v>
      </c>
      <c r="DF1743" s="4" t="s">
        <v>277</v>
      </c>
      <c r="DG1743" s="6">
        <f>2711</f>
        <v>2711</v>
      </c>
      <c r="DI1743" s="4" t="s">
        <v>241</v>
      </c>
      <c r="DJ1743" s="4" t="s">
        <v>241</v>
      </c>
      <c r="DK1743" s="4" t="s">
        <v>241</v>
      </c>
      <c r="DL1743" s="4" t="s">
        <v>241</v>
      </c>
      <c r="DP1743" s="4" t="s">
        <v>241</v>
      </c>
      <c r="DQ1743" s="4" t="s">
        <v>241</v>
      </c>
      <c r="DR1743" s="4" t="s">
        <v>241</v>
      </c>
      <c r="DS1743" s="4" t="s">
        <v>241</v>
      </c>
      <c r="DV1743" s="4" t="s">
        <v>278</v>
      </c>
      <c r="DW1743" s="4" t="s">
        <v>2051</v>
      </c>
      <c r="HO1743" s="4" t="s">
        <v>267</v>
      </c>
    </row>
    <row r="1744" spans="1:223" ht="19.5" customHeight="1" x14ac:dyDescent="0.4">
      <c r="A1744" s="4">
        <v>1</v>
      </c>
      <c r="B1744" s="4" t="s">
        <v>239</v>
      </c>
      <c r="C1744" s="4">
        <v>3418</v>
      </c>
      <c r="D1744" s="4">
        <v>1</v>
      </c>
      <c r="E1744" s="4">
        <v>1</v>
      </c>
      <c r="F1744" s="4" t="s">
        <v>268</v>
      </c>
      <c r="G1744" s="4" t="s">
        <v>241</v>
      </c>
      <c r="H1744" s="4" t="s">
        <v>241</v>
      </c>
      <c r="I1744" s="4" t="s">
        <v>272</v>
      </c>
      <c r="J1744" s="4" t="s">
        <v>274</v>
      </c>
      <c r="K1744" s="4" t="s">
        <v>251</v>
      </c>
      <c r="L1744" s="4" t="s">
        <v>269</v>
      </c>
      <c r="M1744" s="5" t="s">
        <v>2048</v>
      </c>
      <c r="N1744" s="6">
        <f>28</f>
        <v>28</v>
      </c>
      <c r="O1744" s="4" t="s">
        <v>265</v>
      </c>
      <c r="P1744" s="6">
        <f>1</f>
        <v>1</v>
      </c>
      <c r="Q1744" s="6">
        <f>0</f>
        <v>0</v>
      </c>
      <c r="S1744" s="6">
        <f>0</f>
        <v>0</v>
      </c>
      <c r="T1744" s="6">
        <f>1</f>
        <v>1</v>
      </c>
      <c r="U1744" s="5" t="s">
        <v>245</v>
      </c>
      <c r="V1744" s="4" t="s">
        <v>270</v>
      </c>
      <c r="W1744" s="4" t="s">
        <v>271</v>
      </c>
      <c r="X1744" s="4" t="s">
        <v>273</v>
      </c>
      <c r="Y1744" s="4" t="s">
        <v>241</v>
      </c>
      <c r="AB1744" s="4" t="s">
        <v>241</v>
      </c>
      <c r="AD1744" s="5" t="s">
        <v>241</v>
      </c>
      <c r="AG1744" s="5" t="s">
        <v>246</v>
      </c>
      <c r="AH1744" s="4" t="s">
        <v>241</v>
      </c>
      <c r="AI1744" s="4" t="s">
        <v>247</v>
      </c>
      <c r="AJ1744" s="4" t="s">
        <v>248</v>
      </c>
      <c r="AZ1744" s="4" t="s">
        <v>249</v>
      </c>
      <c r="BA1744" s="4" t="s">
        <v>241</v>
      </c>
      <c r="BB1744" s="4" t="s">
        <v>250</v>
      </c>
      <c r="BC1744" s="4" t="s">
        <v>241</v>
      </c>
      <c r="BD1744" s="4" t="s">
        <v>252</v>
      </c>
      <c r="BE1744" s="4" t="s">
        <v>241</v>
      </c>
      <c r="BI1744" s="4" t="s">
        <v>253</v>
      </c>
      <c r="BJ1744" s="5" t="s">
        <v>246</v>
      </c>
      <c r="BK1744" s="4" t="s">
        <v>254</v>
      </c>
      <c r="BL1744" s="4" t="s">
        <v>255</v>
      </c>
      <c r="BM1744" s="4" t="s">
        <v>241</v>
      </c>
      <c r="BN1744" s="6">
        <f>0</f>
        <v>0</v>
      </c>
      <c r="BO1744" s="6">
        <f>0</f>
        <v>0</v>
      </c>
      <c r="BP1744" s="4" t="s">
        <v>256</v>
      </c>
      <c r="BQ1744" s="4" t="s">
        <v>257</v>
      </c>
      <c r="CE1744" s="4" t="s">
        <v>241</v>
      </c>
      <c r="CF1744" s="4" t="s">
        <v>241</v>
      </c>
      <c r="CJ1744" s="4" t="s">
        <v>276</v>
      </c>
      <c r="CK1744" s="4" t="s">
        <v>259</v>
      </c>
      <c r="CL1744" s="4" t="s">
        <v>241</v>
      </c>
      <c r="CO1744" s="5" t="s">
        <v>260</v>
      </c>
      <c r="CP1744" s="4" t="s">
        <v>241</v>
      </c>
      <c r="CQ1744" s="4" t="s">
        <v>261</v>
      </c>
      <c r="CR1744" s="4" t="s">
        <v>241</v>
      </c>
      <c r="CS1744" s="4" t="s">
        <v>241</v>
      </c>
      <c r="CT1744" s="4">
        <v>0</v>
      </c>
      <c r="CU1744" s="4" t="s">
        <v>262</v>
      </c>
      <c r="CV1744" s="4" t="s">
        <v>263</v>
      </c>
      <c r="CW1744" s="4" t="s">
        <v>263</v>
      </c>
      <c r="CX1744" s="4" t="s">
        <v>264</v>
      </c>
      <c r="DA1744" s="6">
        <f>1</f>
        <v>1</v>
      </c>
      <c r="DC1744" s="4" t="s">
        <v>277</v>
      </c>
      <c r="DD1744" s="4" t="s">
        <v>241</v>
      </c>
      <c r="DF1744" s="4" t="s">
        <v>277</v>
      </c>
      <c r="DG1744" s="6">
        <f>28</f>
        <v>28</v>
      </c>
      <c r="DI1744" s="4" t="s">
        <v>241</v>
      </c>
      <c r="DJ1744" s="4" t="s">
        <v>241</v>
      </c>
      <c r="DK1744" s="4" t="s">
        <v>241</v>
      </c>
      <c r="DL1744" s="4" t="s">
        <v>241</v>
      </c>
      <c r="DP1744" s="4" t="s">
        <v>241</v>
      </c>
      <c r="DQ1744" s="4" t="s">
        <v>241</v>
      </c>
      <c r="DR1744" s="4" t="s">
        <v>241</v>
      </c>
      <c r="DS1744" s="4" t="s">
        <v>241</v>
      </c>
      <c r="DV1744" s="4" t="s">
        <v>278</v>
      </c>
      <c r="DW1744" s="4" t="s">
        <v>2049</v>
      </c>
      <c r="HO1744" s="4" t="s">
        <v>267</v>
      </c>
    </row>
    <row r="1745" spans="1:223" ht="19.5" customHeight="1" x14ac:dyDescent="0.4">
      <c r="A1745" s="4">
        <v>1</v>
      </c>
      <c r="B1745" s="4" t="s">
        <v>239</v>
      </c>
      <c r="C1745" s="4">
        <v>3419</v>
      </c>
      <c r="D1745" s="4">
        <v>1</v>
      </c>
      <c r="E1745" s="4">
        <v>1</v>
      </c>
      <c r="F1745" s="4" t="s">
        <v>268</v>
      </c>
      <c r="G1745" s="4" t="s">
        <v>241</v>
      </c>
      <c r="H1745" s="4" t="s">
        <v>241</v>
      </c>
      <c r="I1745" s="4" t="s">
        <v>272</v>
      </c>
      <c r="J1745" s="4" t="s">
        <v>274</v>
      </c>
      <c r="K1745" s="4" t="s">
        <v>251</v>
      </c>
      <c r="L1745" s="4" t="s">
        <v>269</v>
      </c>
      <c r="M1745" s="5" t="s">
        <v>2046</v>
      </c>
      <c r="N1745" s="6">
        <f>5458</f>
        <v>5458</v>
      </c>
      <c r="O1745" s="4" t="s">
        <v>265</v>
      </c>
      <c r="P1745" s="6">
        <f>1</f>
        <v>1</v>
      </c>
      <c r="Q1745" s="6">
        <f>0</f>
        <v>0</v>
      </c>
      <c r="S1745" s="6">
        <f>0</f>
        <v>0</v>
      </c>
      <c r="T1745" s="6">
        <f>1</f>
        <v>1</v>
      </c>
      <c r="U1745" s="5" t="s">
        <v>245</v>
      </c>
      <c r="V1745" s="4" t="s">
        <v>270</v>
      </c>
      <c r="W1745" s="4" t="s">
        <v>271</v>
      </c>
      <c r="X1745" s="4" t="s">
        <v>273</v>
      </c>
      <c r="Y1745" s="4" t="s">
        <v>241</v>
      </c>
      <c r="AB1745" s="4" t="s">
        <v>241</v>
      </c>
      <c r="AD1745" s="5" t="s">
        <v>241</v>
      </c>
      <c r="AG1745" s="5" t="s">
        <v>246</v>
      </c>
      <c r="AH1745" s="4" t="s">
        <v>241</v>
      </c>
      <c r="AI1745" s="4" t="s">
        <v>247</v>
      </c>
      <c r="AJ1745" s="4" t="s">
        <v>248</v>
      </c>
      <c r="AZ1745" s="4" t="s">
        <v>249</v>
      </c>
      <c r="BA1745" s="4" t="s">
        <v>241</v>
      </c>
      <c r="BB1745" s="4" t="s">
        <v>250</v>
      </c>
      <c r="BC1745" s="4" t="s">
        <v>241</v>
      </c>
      <c r="BD1745" s="4" t="s">
        <v>252</v>
      </c>
      <c r="BE1745" s="4" t="s">
        <v>241</v>
      </c>
      <c r="BI1745" s="4" t="s">
        <v>253</v>
      </c>
      <c r="BJ1745" s="5" t="s">
        <v>246</v>
      </c>
      <c r="BK1745" s="4" t="s">
        <v>254</v>
      </c>
      <c r="BL1745" s="4" t="s">
        <v>255</v>
      </c>
      <c r="BM1745" s="4" t="s">
        <v>241</v>
      </c>
      <c r="BN1745" s="6">
        <f>0</f>
        <v>0</v>
      </c>
      <c r="BO1745" s="6">
        <f>0</f>
        <v>0</v>
      </c>
      <c r="BP1745" s="4" t="s">
        <v>256</v>
      </c>
      <c r="BQ1745" s="4" t="s">
        <v>257</v>
      </c>
      <c r="CE1745" s="4" t="s">
        <v>241</v>
      </c>
      <c r="CF1745" s="4" t="s">
        <v>241</v>
      </c>
      <c r="CJ1745" s="4" t="s">
        <v>276</v>
      </c>
      <c r="CK1745" s="4" t="s">
        <v>259</v>
      </c>
      <c r="CL1745" s="4" t="s">
        <v>241</v>
      </c>
      <c r="CO1745" s="5" t="s">
        <v>260</v>
      </c>
      <c r="CP1745" s="4" t="s">
        <v>241</v>
      </c>
      <c r="CQ1745" s="4" t="s">
        <v>261</v>
      </c>
      <c r="CR1745" s="4" t="s">
        <v>241</v>
      </c>
      <c r="CS1745" s="4" t="s">
        <v>241</v>
      </c>
      <c r="CT1745" s="4">
        <v>0</v>
      </c>
      <c r="CU1745" s="4" t="s">
        <v>262</v>
      </c>
      <c r="CV1745" s="4" t="s">
        <v>263</v>
      </c>
      <c r="CW1745" s="4" t="s">
        <v>263</v>
      </c>
      <c r="CX1745" s="4" t="s">
        <v>264</v>
      </c>
      <c r="DA1745" s="6">
        <f>1</f>
        <v>1</v>
      </c>
      <c r="DC1745" s="4" t="s">
        <v>277</v>
      </c>
      <c r="DD1745" s="4" t="s">
        <v>241</v>
      </c>
      <c r="DF1745" s="4" t="s">
        <v>277</v>
      </c>
      <c r="DG1745" s="6">
        <f>5458</f>
        <v>5458</v>
      </c>
      <c r="DI1745" s="4" t="s">
        <v>241</v>
      </c>
      <c r="DJ1745" s="4" t="s">
        <v>241</v>
      </c>
      <c r="DK1745" s="4" t="s">
        <v>241</v>
      </c>
      <c r="DL1745" s="4" t="s">
        <v>241</v>
      </c>
      <c r="DP1745" s="4" t="s">
        <v>241</v>
      </c>
      <c r="DQ1745" s="4" t="s">
        <v>241</v>
      </c>
      <c r="DR1745" s="4" t="s">
        <v>241</v>
      </c>
      <c r="DS1745" s="4" t="s">
        <v>241</v>
      </c>
      <c r="DV1745" s="4" t="s">
        <v>278</v>
      </c>
      <c r="DW1745" s="4" t="s">
        <v>2047</v>
      </c>
      <c r="HO1745" s="4" t="s">
        <v>267</v>
      </c>
    </row>
    <row r="1746" spans="1:223" ht="19.5" customHeight="1" x14ac:dyDescent="0.4">
      <c r="A1746" s="4">
        <v>1</v>
      </c>
      <c r="B1746" s="4" t="s">
        <v>239</v>
      </c>
      <c r="C1746" s="4">
        <v>3420</v>
      </c>
      <c r="D1746" s="4">
        <v>1</v>
      </c>
      <c r="E1746" s="4">
        <v>1</v>
      </c>
      <c r="F1746" s="4" t="s">
        <v>268</v>
      </c>
      <c r="G1746" s="4" t="s">
        <v>241</v>
      </c>
      <c r="H1746" s="4" t="s">
        <v>241</v>
      </c>
      <c r="I1746" s="4" t="s">
        <v>272</v>
      </c>
      <c r="J1746" s="4" t="s">
        <v>274</v>
      </c>
      <c r="K1746" s="4" t="s">
        <v>251</v>
      </c>
      <c r="L1746" s="4" t="s">
        <v>269</v>
      </c>
      <c r="M1746" s="5" t="s">
        <v>2044</v>
      </c>
      <c r="N1746" s="6">
        <f>57</f>
        <v>57</v>
      </c>
      <c r="O1746" s="4" t="s">
        <v>265</v>
      </c>
      <c r="P1746" s="6">
        <f>1</f>
        <v>1</v>
      </c>
      <c r="Q1746" s="6">
        <f>0</f>
        <v>0</v>
      </c>
      <c r="S1746" s="6">
        <f>0</f>
        <v>0</v>
      </c>
      <c r="T1746" s="6">
        <f>1</f>
        <v>1</v>
      </c>
      <c r="U1746" s="5" t="s">
        <v>245</v>
      </c>
      <c r="V1746" s="4" t="s">
        <v>270</v>
      </c>
      <c r="W1746" s="4" t="s">
        <v>271</v>
      </c>
      <c r="X1746" s="4" t="s">
        <v>273</v>
      </c>
      <c r="Y1746" s="4" t="s">
        <v>241</v>
      </c>
      <c r="AB1746" s="4" t="s">
        <v>241</v>
      </c>
      <c r="AD1746" s="5" t="s">
        <v>241</v>
      </c>
      <c r="AG1746" s="5" t="s">
        <v>246</v>
      </c>
      <c r="AH1746" s="4" t="s">
        <v>241</v>
      </c>
      <c r="AI1746" s="4" t="s">
        <v>247</v>
      </c>
      <c r="AJ1746" s="4" t="s">
        <v>248</v>
      </c>
      <c r="AZ1746" s="4" t="s">
        <v>249</v>
      </c>
      <c r="BA1746" s="4" t="s">
        <v>241</v>
      </c>
      <c r="BB1746" s="4" t="s">
        <v>250</v>
      </c>
      <c r="BC1746" s="4" t="s">
        <v>241</v>
      </c>
      <c r="BD1746" s="4" t="s">
        <v>252</v>
      </c>
      <c r="BE1746" s="4" t="s">
        <v>241</v>
      </c>
      <c r="BI1746" s="4" t="s">
        <v>253</v>
      </c>
      <c r="BJ1746" s="5" t="s">
        <v>246</v>
      </c>
      <c r="BK1746" s="4" t="s">
        <v>254</v>
      </c>
      <c r="BL1746" s="4" t="s">
        <v>255</v>
      </c>
      <c r="BM1746" s="4" t="s">
        <v>241</v>
      </c>
      <c r="BN1746" s="6">
        <f>0</f>
        <v>0</v>
      </c>
      <c r="BO1746" s="6">
        <f>0</f>
        <v>0</v>
      </c>
      <c r="BP1746" s="4" t="s">
        <v>256</v>
      </c>
      <c r="BQ1746" s="4" t="s">
        <v>257</v>
      </c>
      <c r="CE1746" s="4" t="s">
        <v>241</v>
      </c>
      <c r="CF1746" s="4" t="s">
        <v>241</v>
      </c>
      <c r="CJ1746" s="4" t="s">
        <v>276</v>
      </c>
      <c r="CK1746" s="4" t="s">
        <v>259</v>
      </c>
      <c r="CL1746" s="4" t="s">
        <v>241</v>
      </c>
      <c r="CO1746" s="5" t="s">
        <v>260</v>
      </c>
      <c r="CP1746" s="4" t="s">
        <v>241</v>
      </c>
      <c r="CQ1746" s="4" t="s">
        <v>261</v>
      </c>
      <c r="CR1746" s="4" t="s">
        <v>241</v>
      </c>
      <c r="CS1746" s="4" t="s">
        <v>241</v>
      </c>
      <c r="CT1746" s="4">
        <v>0</v>
      </c>
      <c r="CU1746" s="4" t="s">
        <v>262</v>
      </c>
      <c r="CV1746" s="4" t="s">
        <v>263</v>
      </c>
      <c r="CW1746" s="4" t="s">
        <v>263</v>
      </c>
      <c r="CX1746" s="4" t="s">
        <v>264</v>
      </c>
      <c r="DA1746" s="6">
        <f>1</f>
        <v>1</v>
      </c>
      <c r="DC1746" s="4" t="s">
        <v>277</v>
      </c>
      <c r="DD1746" s="4" t="s">
        <v>241</v>
      </c>
      <c r="DF1746" s="4" t="s">
        <v>277</v>
      </c>
      <c r="DG1746" s="6">
        <f>57</f>
        <v>57</v>
      </c>
      <c r="DI1746" s="4" t="s">
        <v>241</v>
      </c>
      <c r="DJ1746" s="4" t="s">
        <v>241</v>
      </c>
      <c r="DK1746" s="4" t="s">
        <v>241</v>
      </c>
      <c r="DL1746" s="4" t="s">
        <v>241</v>
      </c>
      <c r="DP1746" s="4" t="s">
        <v>241</v>
      </c>
      <c r="DQ1746" s="4" t="s">
        <v>241</v>
      </c>
      <c r="DR1746" s="4" t="s">
        <v>241</v>
      </c>
      <c r="DS1746" s="4" t="s">
        <v>241</v>
      </c>
      <c r="DV1746" s="4" t="s">
        <v>278</v>
      </c>
      <c r="DW1746" s="4" t="s">
        <v>2045</v>
      </c>
      <c r="HO1746" s="4" t="s">
        <v>267</v>
      </c>
    </row>
    <row r="1747" spans="1:223" ht="19.5" customHeight="1" x14ac:dyDescent="0.4">
      <c r="A1747" s="4">
        <v>1</v>
      </c>
      <c r="B1747" s="4" t="s">
        <v>239</v>
      </c>
      <c r="C1747" s="4">
        <v>3421</v>
      </c>
      <c r="D1747" s="4">
        <v>1</v>
      </c>
      <c r="E1747" s="4">
        <v>1</v>
      </c>
      <c r="F1747" s="4" t="s">
        <v>268</v>
      </c>
      <c r="G1747" s="4" t="s">
        <v>241</v>
      </c>
      <c r="H1747" s="4" t="s">
        <v>241</v>
      </c>
      <c r="I1747" s="4" t="s">
        <v>272</v>
      </c>
      <c r="J1747" s="4" t="s">
        <v>274</v>
      </c>
      <c r="K1747" s="4" t="s">
        <v>251</v>
      </c>
      <c r="L1747" s="4" t="s">
        <v>269</v>
      </c>
      <c r="M1747" s="5" t="s">
        <v>2042</v>
      </c>
      <c r="N1747" s="6">
        <f>17</f>
        <v>17</v>
      </c>
      <c r="O1747" s="4" t="s">
        <v>265</v>
      </c>
      <c r="P1747" s="6">
        <f>1</f>
        <v>1</v>
      </c>
      <c r="Q1747" s="6">
        <f>0</f>
        <v>0</v>
      </c>
      <c r="S1747" s="6">
        <f>0</f>
        <v>0</v>
      </c>
      <c r="T1747" s="6">
        <f>1</f>
        <v>1</v>
      </c>
      <c r="U1747" s="5" t="s">
        <v>245</v>
      </c>
      <c r="V1747" s="4" t="s">
        <v>270</v>
      </c>
      <c r="W1747" s="4" t="s">
        <v>271</v>
      </c>
      <c r="X1747" s="4" t="s">
        <v>273</v>
      </c>
      <c r="Y1747" s="4" t="s">
        <v>241</v>
      </c>
      <c r="AB1747" s="4" t="s">
        <v>241</v>
      </c>
      <c r="AD1747" s="5" t="s">
        <v>241</v>
      </c>
      <c r="AG1747" s="5" t="s">
        <v>246</v>
      </c>
      <c r="AH1747" s="4" t="s">
        <v>241</v>
      </c>
      <c r="AI1747" s="4" t="s">
        <v>247</v>
      </c>
      <c r="AJ1747" s="4" t="s">
        <v>248</v>
      </c>
      <c r="AZ1747" s="4" t="s">
        <v>249</v>
      </c>
      <c r="BA1747" s="4" t="s">
        <v>241</v>
      </c>
      <c r="BB1747" s="4" t="s">
        <v>250</v>
      </c>
      <c r="BC1747" s="4" t="s">
        <v>241</v>
      </c>
      <c r="BD1747" s="4" t="s">
        <v>252</v>
      </c>
      <c r="BE1747" s="4" t="s">
        <v>241</v>
      </c>
      <c r="BI1747" s="4" t="s">
        <v>253</v>
      </c>
      <c r="BJ1747" s="5" t="s">
        <v>246</v>
      </c>
      <c r="BK1747" s="4" t="s">
        <v>254</v>
      </c>
      <c r="BL1747" s="4" t="s">
        <v>255</v>
      </c>
      <c r="BM1747" s="4" t="s">
        <v>241</v>
      </c>
      <c r="BN1747" s="6">
        <f>0</f>
        <v>0</v>
      </c>
      <c r="BO1747" s="6">
        <f>0</f>
        <v>0</v>
      </c>
      <c r="BP1747" s="4" t="s">
        <v>256</v>
      </c>
      <c r="BQ1747" s="4" t="s">
        <v>257</v>
      </c>
      <c r="CE1747" s="4" t="s">
        <v>241</v>
      </c>
      <c r="CF1747" s="4" t="s">
        <v>241</v>
      </c>
      <c r="CJ1747" s="4" t="s">
        <v>276</v>
      </c>
      <c r="CK1747" s="4" t="s">
        <v>259</v>
      </c>
      <c r="CL1747" s="4" t="s">
        <v>241</v>
      </c>
      <c r="CO1747" s="5" t="s">
        <v>260</v>
      </c>
      <c r="CP1747" s="4" t="s">
        <v>241</v>
      </c>
      <c r="CQ1747" s="4" t="s">
        <v>261</v>
      </c>
      <c r="CR1747" s="4" t="s">
        <v>241</v>
      </c>
      <c r="CS1747" s="4" t="s">
        <v>241</v>
      </c>
      <c r="CT1747" s="4">
        <v>0</v>
      </c>
      <c r="CU1747" s="4" t="s">
        <v>262</v>
      </c>
      <c r="CV1747" s="4" t="s">
        <v>263</v>
      </c>
      <c r="CW1747" s="4" t="s">
        <v>263</v>
      </c>
      <c r="CX1747" s="4" t="s">
        <v>264</v>
      </c>
      <c r="DA1747" s="6">
        <f>1</f>
        <v>1</v>
      </c>
      <c r="DC1747" s="4" t="s">
        <v>277</v>
      </c>
      <c r="DD1747" s="4" t="s">
        <v>241</v>
      </c>
      <c r="DF1747" s="4" t="s">
        <v>277</v>
      </c>
      <c r="DG1747" s="6">
        <f>17</f>
        <v>17</v>
      </c>
      <c r="DI1747" s="4" t="s">
        <v>241</v>
      </c>
      <c r="DJ1747" s="4" t="s">
        <v>241</v>
      </c>
      <c r="DK1747" s="4" t="s">
        <v>241</v>
      </c>
      <c r="DL1747" s="4" t="s">
        <v>241</v>
      </c>
      <c r="DP1747" s="4" t="s">
        <v>241</v>
      </c>
      <c r="DQ1747" s="4" t="s">
        <v>241</v>
      </c>
      <c r="DR1747" s="4" t="s">
        <v>241</v>
      </c>
      <c r="DS1747" s="4" t="s">
        <v>241</v>
      </c>
      <c r="DV1747" s="4" t="s">
        <v>278</v>
      </c>
      <c r="DW1747" s="4" t="s">
        <v>2043</v>
      </c>
      <c r="HO1747" s="4" t="s">
        <v>267</v>
      </c>
    </row>
    <row r="1748" spans="1:223" ht="19.5" customHeight="1" x14ac:dyDescent="0.4">
      <c r="A1748" s="4">
        <v>1</v>
      </c>
      <c r="B1748" s="4" t="s">
        <v>239</v>
      </c>
      <c r="C1748" s="4">
        <v>3422</v>
      </c>
      <c r="D1748" s="4">
        <v>1</v>
      </c>
      <c r="E1748" s="4">
        <v>1</v>
      </c>
      <c r="F1748" s="4" t="s">
        <v>268</v>
      </c>
      <c r="G1748" s="4" t="s">
        <v>241</v>
      </c>
      <c r="H1748" s="4" t="s">
        <v>241</v>
      </c>
      <c r="I1748" s="4" t="s">
        <v>272</v>
      </c>
      <c r="J1748" s="4" t="s">
        <v>274</v>
      </c>
      <c r="K1748" s="4" t="s">
        <v>251</v>
      </c>
      <c r="L1748" s="4" t="s">
        <v>269</v>
      </c>
      <c r="M1748" s="5" t="s">
        <v>2040</v>
      </c>
      <c r="N1748" s="6">
        <f>40</f>
        <v>40</v>
      </c>
      <c r="O1748" s="4" t="s">
        <v>265</v>
      </c>
      <c r="P1748" s="6">
        <f>1</f>
        <v>1</v>
      </c>
      <c r="Q1748" s="6">
        <f>0</f>
        <v>0</v>
      </c>
      <c r="S1748" s="6">
        <f>0</f>
        <v>0</v>
      </c>
      <c r="T1748" s="6">
        <f>1</f>
        <v>1</v>
      </c>
      <c r="U1748" s="5" t="s">
        <v>245</v>
      </c>
      <c r="V1748" s="4" t="s">
        <v>270</v>
      </c>
      <c r="W1748" s="4" t="s">
        <v>271</v>
      </c>
      <c r="X1748" s="4" t="s">
        <v>273</v>
      </c>
      <c r="Y1748" s="4" t="s">
        <v>241</v>
      </c>
      <c r="AB1748" s="4" t="s">
        <v>241</v>
      </c>
      <c r="AD1748" s="5" t="s">
        <v>241</v>
      </c>
      <c r="AG1748" s="5" t="s">
        <v>246</v>
      </c>
      <c r="AH1748" s="4" t="s">
        <v>241</v>
      </c>
      <c r="AI1748" s="4" t="s">
        <v>247</v>
      </c>
      <c r="AJ1748" s="4" t="s">
        <v>248</v>
      </c>
      <c r="AZ1748" s="4" t="s">
        <v>249</v>
      </c>
      <c r="BA1748" s="4" t="s">
        <v>241</v>
      </c>
      <c r="BB1748" s="4" t="s">
        <v>250</v>
      </c>
      <c r="BC1748" s="4" t="s">
        <v>241</v>
      </c>
      <c r="BD1748" s="4" t="s">
        <v>252</v>
      </c>
      <c r="BE1748" s="4" t="s">
        <v>241</v>
      </c>
      <c r="BI1748" s="4" t="s">
        <v>253</v>
      </c>
      <c r="BJ1748" s="5" t="s">
        <v>246</v>
      </c>
      <c r="BK1748" s="4" t="s">
        <v>254</v>
      </c>
      <c r="BL1748" s="4" t="s">
        <v>255</v>
      </c>
      <c r="BM1748" s="4" t="s">
        <v>241</v>
      </c>
      <c r="BN1748" s="6">
        <f>0</f>
        <v>0</v>
      </c>
      <c r="BO1748" s="6">
        <f>0</f>
        <v>0</v>
      </c>
      <c r="BP1748" s="4" t="s">
        <v>256</v>
      </c>
      <c r="BQ1748" s="4" t="s">
        <v>257</v>
      </c>
      <c r="CE1748" s="4" t="s">
        <v>241</v>
      </c>
      <c r="CF1748" s="4" t="s">
        <v>241</v>
      </c>
      <c r="CJ1748" s="4" t="s">
        <v>276</v>
      </c>
      <c r="CK1748" s="4" t="s">
        <v>259</v>
      </c>
      <c r="CL1748" s="4" t="s">
        <v>241</v>
      </c>
      <c r="CO1748" s="5" t="s">
        <v>260</v>
      </c>
      <c r="CP1748" s="4" t="s">
        <v>241</v>
      </c>
      <c r="CQ1748" s="4" t="s">
        <v>261</v>
      </c>
      <c r="CR1748" s="4" t="s">
        <v>241</v>
      </c>
      <c r="CS1748" s="4" t="s">
        <v>241</v>
      </c>
      <c r="CT1748" s="4">
        <v>0</v>
      </c>
      <c r="CU1748" s="4" t="s">
        <v>262</v>
      </c>
      <c r="CV1748" s="4" t="s">
        <v>263</v>
      </c>
      <c r="CW1748" s="4" t="s">
        <v>263</v>
      </c>
      <c r="CX1748" s="4" t="s">
        <v>264</v>
      </c>
      <c r="DA1748" s="6">
        <f>1</f>
        <v>1</v>
      </c>
      <c r="DC1748" s="4" t="s">
        <v>277</v>
      </c>
      <c r="DD1748" s="4" t="s">
        <v>241</v>
      </c>
      <c r="DF1748" s="4" t="s">
        <v>277</v>
      </c>
      <c r="DG1748" s="6">
        <f>40</f>
        <v>40</v>
      </c>
      <c r="DI1748" s="4" t="s">
        <v>241</v>
      </c>
      <c r="DJ1748" s="4" t="s">
        <v>241</v>
      </c>
      <c r="DK1748" s="4" t="s">
        <v>241</v>
      </c>
      <c r="DL1748" s="4" t="s">
        <v>241</v>
      </c>
      <c r="DP1748" s="4" t="s">
        <v>241</v>
      </c>
      <c r="DQ1748" s="4" t="s">
        <v>241</v>
      </c>
      <c r="DR1748" s="4" t="s">
        <v>241</v>
      </c>
      <c r="DS1748" s="4" t="s">
        <v>241</v>
      </c>
      <c r="DV1748" s="4" t="s">
        <v>278</v>
      </c>
      <c r="DW1748" s="4" t="s">
        <v>2041</v>
      </c>
      <c r="HO1748" s="4" t="s">
        <v>267</v>
      </c>
    </row>
    <row r="1749" spans="1:223" ht="19.5" customHeight="1" x14ac:dyDescent="0.4">
      <c r="A1749" s="4">
        <v>1</v>
      </c>
      <c r="B1749" s="4" t="s">
        <v>239</v>
      </c>
      <c r="C1749" s="4">
        <v>3423</v>
      </c>
      <c r="D1749" s="4">
        <v>1</v>
      </c>
      <c r="E1749" s="4">
        <v>1</v>
      </c>
      <c r="F1749" s="4" t="s">
        <v>268</v>
      </c>
      <c r="G1749" s="4" t="s">
        <v>241</v>
      </c>
      <c r="H1749" s="4" t="s">
        <v>241</v>
      </c>
      <c r="I1749" s="4" t="s">
        <v>272</v>
      </c>
      <c r="J1749" s="4" t="s">
        <v>274</v>
      </c>
      <c r="K1749" s="4" t="s">
        <v>251</v>
      </c>
      <c r="L1749" s="4" t="s">
        <v>269</v>
      </c>
      <c r="M1749" s="5" t="s">
        <v>2038</v>
      </c>
      <c r="N1749" s="6">
        <f>129</f>
        <v>129</v>
      </c>
      <c r="O1749" s="4" t="s">
        <v>265</v>
      </c>
      <c r="P1749" s="6">
        <f>1</f>
        <v>1</v>
      </c>
      <c r="Q1749" s="6">
        <f>0</f>
        <v>0</v>
      </c>
      <c r="S1749" s="6">
        <f>0</f>
        <v>0</v>
      </c>
      <c r="T1749" s="6">
        <f>1</f>
        <v>1</v>
      </c>
      <c r="U1749" s="5" t="s">
        <v>245</v>
      </c>
      <c r="V1749" s="4" t="s">
        <v>270</v>
      </c>
      <c r="W1749" s="4" t="s">
        <v>271</v>
      </c>
      <c r="X1749" s="4" t="s">
        <v>273</v>
      </c>
      <c r="Y1749" s="4" t="s">
        <v>241</v>
      </c>
      <c r="AB1749" s="4" t="s">
        <v>241</v>
      </c>
      <c r="AD1749" s="5" t="s">
        <v>241</v>
      </c>
      <c r="AG1749" s="5" t="s">
        <v>246</v>
      </c>
      <c r="AH1749" s="4" t="s">
        <v>241</v>
      </c>
      <c r="AI1749" s="4" t="s">
        <v>247</v>
      </c>
      <c r="AJ1749" s="4" t="s">
        <v>248</v>
      </c>
      <c r="AZ1749" s="4" t="s">
        <v>249</v>
      </c>
      <c r="BA1749" s="4" t="s">
        <v>241</v>
      </c>
      <c r="BB1749" s="4" t="s">
        <v>250</v>
      </c>
      <c r="BC1749" s="4" t="s">
        <v>241</v>
      </c>
      <c r="BD1749" s="4" t="s">
        <v>252</v>
      </c>
      <c r="BE1749" s="4" t="s">
        <v>241</v>
      </c>
      <c r="BI1749" s="4" t="s">
        <v>253</v>
      </c>
      <c r="BJ1749" s="5" t="s">
        <v>246</v>
      </c>
      <c r="BK1749" s="4" t="s">
        <v>254</v>
      </c>
      <c r="BL1749" s="4" t="s">
        <v>255</v>
      </c>
      <c r="BM1749" s="4" t="s">
        <v>241</v>
      </c>
      <c r="BN1749" s="6">
        <f>0</f>
        <v>0</v>
      </c>
      <c r="BO1749" s="6">
        <f>0</f>
        <v>0</v>
      </c>
      <c r="BP1749" s="4" t="s">
        <v>256</v>
      </c>
      <c r="BQ1749" s="4" t="s">
        <v>257</v>
      </c>
      <c r="CE1749" s="4" t="s">
        <v>241</v>
      </c>
      <c r="CF1749" s="4" t="s">
        <v>241</v>
      </c>
      <c r="CJ1749" s="4" t="s">
        <v>276</v>
      </c>
      <c r="CK1749" s="4" t="s">
        <v>259</v>
      </c>
      <c r="CL1749" s="4" t="s">
        <v>241</v>
      </c>
      <c r="CO1749" s="5" t="s">
        <v>260</v>
      </c>
      <c r="CP1749" s="4" t="s">
        <v>241</v>
      </c>
      <c r="CQ1749" s="4" t="s">
        <v>261</v>
      </c>
      <c r="CR1749" s="4" t="s">
        <v>241</v>
      </c>
      <c r="CS1749" s="4" t="s">
        <v>241</v>
      </c>
      <c r="CT1749" s="4">
        <v>0</v>
      </c>
      <c r="CU1749" s="4" t="s">
        <v>262</v>
      </c>
      <c r="CV1749" s="4" t="s">
        <v>263</v>
      </c>
      <c r="CW1749" s="4" t="s">
        <v>263</v>
      </c>
      <c r="CX1749" s="4" t="s">
        <v>264</v>
      </c>
      <c r="DA1749" s="6">
        <f>1</f>
        <v>1</v>
      </c>
      <c r="DC1749" s="4" t="s">
        <v>277</v>
      </c>
      <c r="DD1749" s="4" t="s">
        <v>241</v>
      </c>
      <c r="DF1749" s="4" t="s">
        <v>277</v>
      </c>
      <c r="DG1749" s="6">
        <f>129</f>
        <v>129</v>
      </c>
      <c r="DI1749" s="4" t="s">
        <v>241</v>
      </c>
      <c r="DJ1749" s="4" t="s">
        <v>241</v>
      </c>
      <c r="DK1749" s="4" t="s">
        <v>241</v>
      </c>
      <c r="DL1749" s="4" t="s">
        <v>241</v>
      </c>
      <c r="DP1749" s="4" t="s">
        <v>241</v>
      </c>
      <c r="DQ1749" s="4" t="s">
        <v>241</v>
      </c>
      <c r="DR1749" s="4" t="s">
        <v>241</v>
      </c>
      <c r="DS1749" s="4" t="s">
        <v>241</v>
      </c>
      <c r="DV1749" s="4" t="s">
        <v>278</v>
      </c>
      <c r="DW1749" s="4" t="s">
        <v>2039</v>
      </c>
      <c r="HO1749" s="4" t="s">
        <v>267</v>
      </c>
    </row>
    <row r="1750" spans="1:223" ht="19.5" customHeight="1" x14ac:dyDescent="0.4">
      <c r="A1750" s="4">
        <v>1</v>
      </c>
      <c r="B1750" s="4" t="s">
        <v>239</v>
      </c>
      <c r="C1750" s="4">
        <v>3424</v>
      </c>
      <c r="D1750" s="4">
        <v>1</v>
      </c>
      <c r="E1750" s="4">
        <v>1</v>
      </c>
      <c r="F1750" s="4" t="s">
        <v>268</v>
      </c>
      <c r="G1750" s="4" t="s">
        <v>241</v>
      </c>
      <c r="H1750" s="4" t="s">
        <v>241</v>
      </c>
      <c r="I1750" s="4" t="s">
        <v>272</v>
      </c>
      <c r="J1750" s="4" t="s">
        <v>274</v>
      </c>
      <c r="K1750" s="4" t="s">
        <v>251</v>
      </c>
      <c r="L1750" s="4" t="s">
        <v>269</v>
      </c>
      <c r="M1750" s="5" t="s">
        <v>2036</v>
      </c>
      <c r="N1750" s="6">
        <f>906</f>
        <v>906</v>
      </c>
      <c r="O1750" s="4" t="s">
        <v>265</v>
      </c>
      <c r="P1750" s="6">
        <f>1</f>
        <v>1</v>
      </c>
      <c r="Q1750" s="6">
        <f>0</f>
        <v>0</v>
      </c>
      <c r="S1750" s="6">
        <f>0</f>
        <v>0</v>
      </c>
      <c r="T1750" s="6">
        <f>1</f>
        <v>1</v>
      </c>
      <c r="U1750" s="5" t="s">
        <v>245</v>
      </c>
      <c r="V1750" s="4" t="s">
        <v>270</v>
      </c>
      <c r="W1750" s="4" t="s">
        <v>271</v>
      </c>
      <c r="X1750" s="4" t="s">
        <v>273</v>
      </c>
      <c r="Y1750" s="4" t="s">
        <v>241</v>
      </c>
      <c r="AB1750" s="4" t="s">
        <v>241</v>
      </c>
      <c r="AD1750" s="5" t="s">
        <v>241</v>
      </c>
      <c r="AG1750" s="5" t="s">
        <v>246</v>
      </c>
      <c r="AH1750" s="4" t="s">
        <v>241</v>
      </c>
      <c r="AI1750" s="4" t="s">
        <v>247</v>
      </c>
      <c r="AJ1750" s="4" t="s">
        <v>248</v>
      </c>
      <c r="AZ1750" s="4" t="s">
        <v>249</v>
      </c>
      <c r="BA1750" s="4" t="s">
        <v>241</v>
      </c>
      <c r="BB1750" s="4" t="s">
        <v>250</v>
      </c>
      <c r="BC1750" s="4" t="s">
        <v>241</v>
      </c>
      <c r="BD1750" s="4" t="s">
        <v>252</v>
      </c>
      <c r="BE1750" s="4" t="s">
        <v>241</v>
      </c>
      <c r="BI1750" s="4" t="s">
        <v>253</v>
      </c>
      <c r="BJ1750" s="5" t="s">
        <v>246</v>
      </c>
      <c r="BK1750" s="4" t="s">
        <v>254</v>
      </c>
      <c r="BL1750" s="4" t="s">
        <v>255</v>
      </c>
      <c r="BM1750" s="4" t="s">
        <v>241</v>
      </c>
      <c r="BN1750" s="6">
        <f>0</f>
        <v>0</v>
      </c>
      <c r="BO1750" s="6">
        <f>0</f>
        <v>0</v>
      </c>
      <c r="BP1750" s="4" t="s">
        <v>256</v>
      </c>
      <c r="BQ1750" s="4" t="s">
        <v>257</v>
      </c>
      <c r="CE1750" s="4" t="s">
        <v>241</v>
      </c>
      <c r="CF1750" s="4" t="s">
        <v>241</v>
      </c>
      <c r="CJ1750" s="4" t="s">
        <v>276</v>
      </c>
      <c r="CK1750" s="4" t="s">
        <v>259</v>
      </c>
      <c r="CL1750" s="4" t="s">
        <v>241</v>
      </c>
      <c r="CO1750" s="5" t="s">
        <v>260</v>
      </c>
      <c r="CP1750" s="4" t="s">
        <v>241</v>
      </c>
      <c r="CQ1750" s="4" t="s">
        <v>261</v>
      </c>
      <c r="CR1750" s="4" t="s">
        <v>241</v>
      </c>
      <c r="CS1750" s="4" t="s">
        <v>241</v>
      </c>
      <c r="CT1750" s="4">
        <v>0</v>
      </c>
      <c r="CU1750" s="4" t="s">
        <v>262</v>
      </c>
      <c r="CV1750" s="4" t="s">
        <v>263</v>
      </c>
      <c r="CW1750" s="4" t="s">
        <v>263</v>
      </c>
      <c r="CX1750" s="4" t="s">
        <v>264</v>
      </c>
      <c r="DA1750" s="6">
        <f>1</f>
        <v>1</v>
      </c>
      <c r="DC1750" s="4" t="s">
        <v>277</v>
      </c>
      <c r="DD1750" s="4" t="s">
        <v>241</v>
      </c>
      <c r="DF1750" s="4" t="s">
        <v>277</v>
      </c>
      <c r="DG1750" s="6">
        <f>906</f>
        <v>906</v>
      </c>
      <c r="DI1750" s="4" t="s">
        <v>241</v>
      </c>
      <c r="DJ1750" s="4" t="s">
        <v>241</v>
      </c>
      <c r="DK1750" s="4" t="s">
        <v>241</v>
      </c>
      <c r="DL1750" s="4" t="s">
        <v>241</v>
      </c>
      <c r="DP1750" s="4" t="s">
        <v>241</v>
      </c>
      <c r="DQ1750" s="4" t="s">
        <v>241</v>
      </c>
      <c r="DR1750" s="4" t="s">
        <v>241</v>
      </c>
      <c r="DS1750" s="4" t="s">
        <v>241</v>
      </c>
      <c r="DV1750" s="4" t="s">
        <v>278</v>
      </c>
      <c r="DW1750" s="4" t="s">
        <v>2037</v>
      </c>
      <c r="HO1750" s="4" t="s">
        <v>267</v>
      </c>
    </row>
    <row r="1751" spans="1:223" ht="19.5" customHeight="1" x14ac:dyDescent="0.4">
      <c r="A1751" s="4">
        <v>1</v>
      </c>
      <c r="B1751" s="4" t="s">
        <v>239</v>
      </c>
      <c r="C1751" s="4">
        <v>3425</v>
      </c>
      <c r="D1751" s="4">
        <v>1</v>
      </c>
      <c r="E1751" s="4">
        <v>1</v>
      </c>
      <c r="F1751" s="4" t="s">
        <v>268</v>
      </c>
      <c r="G1751" s="4" t="s">
        <v>241</v>
      </c>
      <c r="H1751" s="4" t="s">
        <v>241</v>
      </c>
      <c r="I1751" s="4" t="s">
        <v>272</v>
      </c>
      <c r="J1751" s="4" t="s">
        <v>274</v>
      </c>
      <c r="K1751" s="4" t="s">
        <v>251</v>
      </c>
      <c r="L1751" s="4" t="s">
        <v>269</v>
      </c>
      <c r="M1751" s="5" t="s">
        <v>2034</v>
      </c>
      <c r="N1751" s="6">
        <f>3657</f>
        <v>3657</v>
      </c>
      <c r="O1751" s="4" t="s">
        <v>265</v>
      </c>
      <c r="P1751" s="6">
        <f>1</f>
        <v>1</v>
      </c>
      <c r="Q1751" s="6">
        <f>0</f>
        <v>0</v>
      </c>
      <c r="S1751" s="6">
        <f>0</f>
        <v>0</v>
      </c>
      <c r="T1751" s="6">
        <f>1</f>
        <v>1</v>
      </c>
      <c r="U1751" s="5" t="s">
        <v>245</v>
      </c>
      <c r="V1751" s="4" t="s">
        <v>270</v>
      </c>
      <c r="W1751" s="4" t="s">
        <v>271</v>
      </c>
      <c r="X1751" s="4" t="s">
        <v>273</v>
      </c>
      <c r="Y1751" s="4" t="s">
        <v>241</v>
      </c>
      <c r="AB1751" s="4" t="s">
        <v>241</v>
      </c>
      <c r="AD1751" s="5" t="s">
        <v>241</v>
      </c>
      <c r="AG1751" s="5" t="s">
        <v>246</v>
      </c>
      <c r="AH1751" s="4" t="s">
        <v>241</v>
      </c>
      <c r="AI1751" s="4" t="s">
        <v>247</v>
      </c>
      <c r="AJ1751" s="4" t="s">
        <v>248</v>
      </c>
      <c r="AZ1751" s="4" t="s">
        <v>249</v>
      </c>
      <c r="BA1751" s="4" t="s">
        <v>241</v>
      </c>
      <c r="BB1751" s="4" t="s">
        <v>250</v>
      </c>
      <c r="BC1751" s="4" t="s">
        <v>241</v>
      </c>
      <c r="BD1751" s="4" t="s">
        <v>252</v>
      </c>
      <c r="BE1751" s="4" t="s">
        <v>241</v>
      </c>
      <c r="BI1751" s="4" t="s">
        <v>253</v>
      </c>
      <c r="BJ1751" s="5" t="s">
        <v>246</v>
      </c>
      <c r="BK1751" s="4" t="s">
        <v>254</v>
      </c>
      <c r="BL1751" s="4" t="s">
        <v>255</v>
      </c>
      <c r="BM1751" s="4" t="s">
        <v>241</v>
      </c>
      <c r="BN1751" s="6">
        <f>0</f>
        <v>0</v>
      </c>
      <c r="BO1751" s="6">
        <f>0</f>
        <v>0</v>
      </c>
      <c r="BP1751" s="4" t="s">
        <v>256</v>
      </c>
      <c r="BQ1751" s="4" t="s">
        <v>257</v>
      </c>
      <c r="CE1751" s="4" t="s">
        <v>241</v>
      </c>
      <c r="CF1751" s="4" t="s">
        <v>241</v>
      </c>
      <c r="CJ1751" s="4" t="s">
        <v>276</v>
      </c>
      <c r="CK1751" s="4" t="s">
        <v>259</v>
      </c>
      <c r="CL1751" s="4" t="s">
        <v>241</v>
      </c>
      <c r="CO1751" s="5" t="s">
        <v>260</v>
      </c>
      <c r="CP1751" s="4" t="s">
        <v>241</v>
      </c>
      <c r="CQ1751" s="4" t="s">
        <v>261</v>
      </c>
      <c r="CR1751" s="4" t="s">
        <v>241</v>
      </c>
      <c r="CS1751" s="4" t="s">
        <v>241</v>
      </c>
      <c r="CT1751" s="4">
        <v>0</v>
      </c>
      <c r="CU1751" s="4" t="s">
        <v>262</v>
      </c>
      <c r="CV1751" s="4" t="s">
        <v>263</v>
      </c>
      <c r="CW1751" s="4" t="s">
        <v>263</v>
      </c>
      <c r="CX1751" s="4" t="s">
        <v>264</v>
      </c>
      <c r="DA1751" s="6">
        <f>1</f>
        <v>1</v>
      </c>
      <c r="DC1751" s="4" t="s">
        <v>277</v>
      </c>
      <c r="DD1751" s="4" t="s">
        <v>241</v>
      </c>
      <c r="DF1751" s="4" t="s">
        <v>277</v>
      </c>
      <c r="DG1751" s="6">
        <f>3657</f>
        <v>3657</v>
      </c>
      <c r="DI1751" s="4" t="s">
        <v>241</v>
      </c>
      <c r="DJ1751" s="4" t="s">
        <v>241</v>
      </c>
      <c r="DK1751" s="4" t="s">
        <v>241</v>
      </c>
      <c r="DL1751" s="4" t="s">
        <v>241</v>
      </c>
      <c r="DP1751" s="4" t="s">
        <v>241</v>
      </c>
      <c r="DQ1751" s="4" t="s">
        <v>241</v>
      </c>
      <c r="DR1751" s="4" t="s">
        <v>241</v>
      </c>
      <c r="DS1751" s="4" t="s">
        <v>241</v>
      </c>
      <c r="DV1751" s="4" t="s">
        <v>278</v>
      </c>
      <c r="DW1751" s="4" t="s">
        <v>2035</v>
      </c>
      <c r="HO1751" s="4" t="s">
        <v>267</v>
      </c>
    </row>
    <row r="1752" spans="1:223" ht="19.5" customHeight="1" x14ac:dyDescent="0.4">
      <c r="A1752" s="4">
        <v>1</v>
      </c>
      <c r="B1752" s="4" t="s">
        <v>239</v>
      </c>
      <c r="C1752" s="4">
        <v>3426</v>
      </c>
      <c r="D1752" s="4">
        <v>1</v>
      </c>
      <c r="E1752" s="4">
        <v>1</v>
      </c>
      <c r="F1752" s="4" t="s">
        <v>268</v>
      </c>
      <c r="G1752" s="4" t="s">
        <v>241</v>
      </c>
      <c r="H1752" s="4" t="s">
        <v>241</v>
      </c>
      <c r="I1752" s="4" t="s">
        <v>272</v>
      </c>
      <c r="J1752" s="4" t="s">
        <v>274</v>
      </c>
      <c r="K1752" s="4" t="s">
        <v>251</v>
      </c>
      <c r="L1752" s="4" t="s">
        <v>269</v>
      </c>
      <c r="M1752" s="5" t="s">
        <v>2032</v>
      </c>
      <c r="N1752" s="6">
        <f>551</f>
        <v>551</v>
      </c>
      <c r="O1752" s="4" t="s">
        <v>265</v>
      </c>
      <c r="P1752" s="6">
        <f>1</f>
        <v>1</v>
      </c>
      <c r="Q1752" s="6">
        <f>0</f>
        <v>0</v>
      </c>
      <c r="S1752" s="6">
        <f>0</f>
        <v>0</v>
      </c>
      <c r="T1752" s="6">
        <f>1</f>
        <v>1</v>
      </c>
      <c r="U1752" s="5" t="s">
        <v>245</v>
      </c>
      <c r="V1752" s="4" t="s">
        <v>270</v>
      </c>
      <c r="W1752" s="4" t="s">
        <v>271</v>
      </c>
      <c r="X1752" s="4" t="s">
        <v>273</v>
      </c>
      <c r="Y1752" s="4" t="s">
        <v>241</v>
      </c>
      <c r="AB1752" s="4" t="s">
        <v>241</v>
      </c>
      <c r="AD1752" s="5" t="s">
        <v>241</v>
      </c>
      <c r="AG1752" s="5" t="s">
        <v>246</v>
      </c>
      <c r="AH1752" s="4" t="s">
        <v>241</v>
      </c>
      <c r="AI1752" s="4" t="s">
        <v>247</v>
      </c>
      <c r="AJ1752" s="4" t="s">
        <v>248</v>
      </c>
      <c r="AZ1752" s="4" t="s">
        <v>249</v>
      </c>
      <c r="BA1752" s="4" t="s">
        <v>241</v>
      </c>
      <c r="BB1752" s="4" t="s">
        <v>250</v>
      </c>
      <c r="BC1752" s="4" t="s">
        <v>241</v>
      </c>
      <c r="BD1752" s="4" t="s">
        <v>252</v>
      </c>
      <c r="BE1752" s="4" t="s">
        <v>241</v>
      </c>
      <c r="BI1752" s="4" t="s">
        <v>253</v>
      </c>
      <c r="BJ1752" s="5" t="s">
        <v>246</v>
      </c>
      <c r="BK1752" s="4" t="s">
        <v>254</v>
      </c>
      <c r="BL1752" s="4" t="s">
        <v>255</v>
      </c>
      <c r="BM1752" s="4" t="s">
        <v>241</v>
      </c>
      <c r="BN1752" s="6">
        <f>0</f>
        <v>0</v>
      </c>
      <c r="BO1752" s="6">
        <f>0</f>
        <v>0</v>
      </c>
      <c r="BP1752" s="4" t="s">
        <v>256</v>
      </c>
      <c r="BQ1752" s="4" t="s">
        <v>257</v>
      </c>
      <c r="CE1752" s="4" t="s">
        <v>241</v>
      </c>
      <c r="CF1752" s="4" t="s">
        <v>241</v>
      </c>
      <c r="CJ1752" s="4" t="s">
        <v>276</v>
      </c>
      <c r="CK1752" s="4" t="s">
        <v>259</v>
      </c>
      <c r="CL1752" s="4" t="s">
        <v>241</v>
      </c>
      <c r="CO1752" s="5" t="s">
        <v>260</v>
      </c>
      <c r="CP1752" s="4" t="s">
        <v>241</v>
      </c>
      <c r="CQ1752" s="4" t="s">
        <v>261</v>
      </c>
      <c r="CR1752" s="4" t="s">
        <v>241</v>
      </c>
      <c r="CS1752" s="4" t="s">
        <v>241</v>
      </c>
      <c r="CT1752" s="4">
        <v>0</v>
      </c>
      <c r="CU1752" s="4" t="s">
        <v>262</v>
      </c>
      <c r="CV1752" s="4" t="s">
        <v>263</v>
      </c>
      <c r="CW1752" s="4" t="s">
        <v>263</v>
      </c>
      <c r="CX1752" s="4" t="s">
        <v>264</v>
      </c>
      <c r="DA1752" s="6">
        <f>1</f>
        <v>1</v>
      </c>
      <c r="DC1752" s="4" t="s">
        <v>277</v>
      </c>
      <c r="DD1752" s="4" t="s">
        <v>241</v>
      </c>
      <c r="DF1752" s="4" t="s">
        <v>277</v>
      </c>
      <c r="DG1752" s="6">
        <f>551</f>
        <v>551</v>
      </c>
      <c r="DI1752" s="4" t="s">
        <v>241</v>
      </c>
      <c r="DJ1752" s="4" t="s">
        <v>241</v>
      </c>
      <c r="DK1752" s="4" t="s">
        <v>241</v>
      </c>
      <c r="DL1752" s="4" t="s">
        <v>241</v>
      </c>
      <c r="DP1752" s="4" t="s">
        <v>241</v>
      </c>
      <c r="DQ1752" s="4" t="s">
        <v>241</v>
      </c>
      <c r="DR1752" s="4" t="s">
        <v>241</v>
      </c>
      <c r="DS1752" s="4" t="s">
        <v>241</v>
      </c>
      <c r="DV1752" s="4" t="s">
        <v>278</v>
      </c>
      <c r="DW1752" s="4" t="s">
        <v>2033</v>
      </c>
      <c r="HO1752" s="4" t="s">
        <v>267</v>
      </c>
    </row>
    <row r="1753" spans="1:223" ht="19.5" customHeight="1" x14ac:dyDescent="0.4">
      <c r="A1753" s="4">
        <v>1</v>
      </c>
      <c r="B1753" s="4" t="s">
        <v>239</v>
      </c>
      <c r="C1753" s="4">
        <v>3427</v>
      </c>
      <c r="D1753" s="4">
        <v>1</v>
      </c>
      <c r="E1753" s="4">
        <v>1</v>
      </c>
      <c r="F1753" s="4" t="s">
        <v>268</v>
      </c>
      <c r="G1753" s="4" t="s">
        <v>241</v>
      </c>
      <c r="H1753" s="4" t="s">
        <v>241</v>
      </c>
      <c r="I1753" s="4" t="s">
        <v>272</v>
      </c>
      <c r="J1753" s="4" t="s">
        <v>274</v>
      </c>
      <c r="K1753" s="4" t="s">
        <v>251</v>
      </c>
      <c r="L1753" s="4" t="s">
        <v>269</v>
      </c>
      <c r="M1753" s="5" t="s">
        <v>2029</v>
      </c>
      <c r="N1753" s="6">
        <f>3602</f>
        <v>3602</v>
      </c>
      <c r="O1753" s="4" t="s">
        <v>265</v>
      </c>
      <c r="P1753" s="6">
        <f>1</f>
        <v>1</v>
      </c>
      <c r="Q1753" s="6">
        <f>0</f>
        <v>0</v>
      </c>
      <c r="S1753" s="6">
        <f>0</f>
        <v>0</v>
      </c>
      <c r="T1753" s="6">
        <f>1</f>
        <v>1</v>
      </c>
      <c r="U1753" s="5" t="s">
        <v>245</v>
      </c>
      <c r="V1753" s="4" t="s">
        <v>270</v>
      </c>
      <c r="W1753" s="4" t="s">
        <v>271</v>
      </c>
      <c r="X1753" s="4" t="s">
        <v>273</v>
      </c>
      <c r="Y1753" s="4" t="s">
        <v>241</v>
      </c>
      <c r="AB1753" s="4" t="s">
        <v>241</v>
      </c>
      <c r="AD1753" s="5" t="s">
        <v>241</v>
      </c>
      <c r="AG1753" s="5" t="s">
        <v>246</v>
      </c>
      <c r="AH1753" s="4" t="s">
        <v>241</v>
      </c>
      <c r="AI1753" s="4" t="s">
        <v>247</v>
      </c>
      <c r="AJ1753" s="4" t="s">
        <v>248</v>
      </c>
      <c r="AZ1753" s="4" t="s">
        <v>249</v>
      </c>
      <c r="BA1753" s="4" t="s">
        <v>241</v>
      </c>
      <c r="BB1753" s="4" t="s">
        <v>250</v>
      </c>
      <c r="BC1753" s="4" t="s">
        <v>241</v>
      </c>
      <c r="BD1753" s="4" t="s">
        <v>252</v>
      </c>
      <c r="BE1753" s="4" t="s">
        <v>241</v>
      </c>
      <c r="BI1753" s="4" t="s">
        <v>253</v>
      </c>
      <c r="BJ1753" s="5" t="s">
        <v>246</v>
      </c>
      <c r="BK1753" s="4" t="s">
        <v>254</v>
      </c>
      <c r="BL1753" s="4" t="s">
        <v>255</v>
      </c>
      <c r="BM1753" s="4" t="s">
        <v>241</v>
      </c>
      <c r="BN1753" s="6">
        <f>0</f>
        <v>0</v>
      </c>
      <c r="BO1753" s="6">
        <f>0</f>
        <v>0</v>
      </c>
      <c r="BP1753" s="4" t="s">
        <v>256</v>
      </c>
      <c r="BQ1753" s="4" t="s">
        <v>257</v>
      </c>
      <c r="CE1753" s="4" t="s">
        <v>241</v>
      </c>
      <c r="CF1753" s="4" t="s">
        <v>241</v>
      </c>
      <c r="CJ1753" s="4" t="s">
        <v>276</v>
      </c>
      <c r="CK1753" s="4" t="s">
        <v>259</v>
      </c>
      <c r="CL1753" s="4" t="s">
        <v>241</v>
      </c>
      <c r="CO1753" s="5" t="s">
        <v>260</v>
      </c>
      <c r="CP1753" s="4" t="s">
        <v>241</v>
      </c>
      <c r="CQ1753" s="4" t="s">
        <v>261</v>
      </c>
      <c r="CR1753" s="4" t="s">
        <v>241</v>
      </c>
      <c r="CS1753" s="4" t="s">
        <v>241</v>
      </c>
      <c r="CT1753" s="4">
        <v>0</v>
      </c>
      <c r="CU1753" s="4" t="s">
        <v>262</v>
      </c>
      <c r="CV1753" s="4" t="s">
        <v>263</v>
      </c>
      <c r="CW1753" s="4" t="s">
        <v>263</v>
      </c>
      <c r="CX1753" s="4" t="s">
        <v>264</v>
      </c>
      <c r="DA1753" s="6">
        <f>1</f>
        <v>1</v>
      </c>
      <c r="DC1753" s="4" t="s">
        <v>277</v>
      </c>
      <c r="DD1753" s="4" t="s">
        <v>241</v>
      </c>
      <c r="DF1753" s="4" t="s">
        <v>277</v>
      </c>
      <c r="DG1753" s="6">
        <f>3602</f>
        <v>3602</v>
      </c>
      <c r="DI1753" s="4" t="s">
        <v>241</v>
      </c>
      <c r="DJ1753" s="4" t="s">
        <v>241</v>
      </c>
      <c r="DK1753" s="4" t="s">
        <v>241</v>
      </c>
      <c r="DL1753" s="4" t="s">
        <v>241</v>
      </c>
      <c r="DP1753" s="4" t="s">
        <v>241</v>
      </c>
      <c r="DQ1753" s="4" t="s">
        <v>241</v>
      </c>
      <c r="DR1753" s="4" t="s">
        <v>241</v>
      </c>
      <c r="DS1753" s="4" t="s">
        <v>241</v>
      </c>
      <c r="DV1753" s="4" t="s">
        <v>278</v>
      </c>
      <c r="DW1753" s="4" t="s">
        <v>2030</v>
      </c>
      <c r="HO1753" s="4" t="s">
        <v>267</v>
      </c>
    </row>
    <row r="1754" spans="1:223" ht="19.5" customHeight="1" x14ac:dyDescent="0.4">
      <c r="A1754" s="4">
        <v>1</v>
      </c>
      <c r="B1754" s="4" t="s">
        <v>239</v>
      </c>
      <c r="C1754" s="4">
        <v>3428</v>
      </c>
      <c r="D1754" s="4">
        <v>1</v>
      </c>
      <c r="E1754" s="4">
        <v>1</v>
      </c>
      <c r="F1754" s="4" t="s">
        <v>268</v>
      </c>
      <c r="G1754" s="4" t="s">
        <v>241</v>
      </c>
      <c r="H1754" s="4" t="s">
        <v>241</v>
      </c>
      <c r="I1754" s="4" t="s">
        <v>272</v>
      </c>
      <c r="J1754" s="4" t="s">
        <v>274</v>
      </c>
      <c r="K1754" s="4" t="s">
        <v>251</v>
      </c>
      <c r="L1754" s="4" t="s">
        <v>269</v>
      </c>
      <c r="M1754" s="5" t="s">
        <v>2027</v>
      </c>
      <c r="N1754" s="6">
        <f>1004</f>
        <v>1004</v>
      </c>
      <c r="O1754" s="4" t="s">
        <v>265</v>
      </c>
      <c r="P1754" s="6">
        <f>1</f>
        <v>1</v>
      </c>
      <c r="Q1754" s="6">
        <f>0</f>
        <v>0</v>
      </c>
      <c r="S1754" s="6">
        <f>0</f>
        <v>0</v>
      </c>
      <c r="T1754" s="6">
        <f>1</f>
        <v>1</v>
      </c>
      <c r="U1754" s="5" t="s">
        <v>245</v>
      </c>
      <c r="V1754" s="4" t="s">
        <v>270</v>
      </c>
      <c r="W1754" s="4" t="s">
        <v>271</v>
      </c>
      <c r="X1754" s="4" t="s">
        <v>273</v>
      </c>
      <c r="Y1754" s="4" t="s">
        <v>241</v>
      </c>
      <c r="AB1754" s="4" t="s">
        <v>241</v>
      </c>
      <c r="AD1754" s="5" t="s">
        <v>241</v>
      </c>
      <c r="AG1754" s="5" t="s">
        <v>246</v>
      </c>
      <c r="AH1754" s="4" t="s">
        <v>241</v>
      </c>
      <c r="AI1754" s="4" t="s">
        <v>247</v>
      </c>
      <c r="AJ1754" s="4" t="s">
        <v>248</v>
      </c>
      <c r="AZ1754" s="4" t="s">
        <v>249</v>
      </c>
      <c r="BA1754" s="4" t="s">
        <v>241</v>
      </c>
      <c r="BB1754" s="4" t="s">
        <v>250</v>
      </c>
      <c r="BC1754" s="4" t="s">
        <v>241</v>
      </c>
      <c r="BD1754" s="4" t="s">
        <v>252</v>
      </c>
      <c r="BE1754" s="4" t="s">
        <v>241</v>
      </c>
      <c r="BI1754" s="4" t="s">
        <v>253</v>
      </c>
      <c r="BJ1754" s="5" t="s">
        <v>246</v>
      </c>
      <c r="BK1754" s="4" t="s">
        <v>254</v>
      </c>
      <c r="BL1754" s="4" t="s">
        <v>255</v>
      </c>
      <c r="BM1754" s="4" t="s">
        <v>241</v>
      </c>
      <c r="BN1754" s="6">
        <f>0</f>
        <v>0</v>
      </c>
      <c r="BO1754" s="6">
        <f>0</f>
        <v>0</v>
      </c>
      <c r="BP1754" s="4" t="s">
        <v>256</v>
      </c>
      <c r="BQ1754" s="4" t="s">
        <v>257</v>
      </c>
      <c r="CE1754" s="4" t="s">
        <v>241</v>
      </c>
      <c r="CF1754" s="4" t="s">
        <v>241</v>
      </c>
      <c r="CJ1754" s="4" t="s">
        <v>276</v>
      </c>
      <c r="CK1754" s="4" t="s">
        <v>259</v>
      </c>
      <c r="CL1754" s="4" t="s">
        <v>241</v>
      </c>
      <c r="CO1754" s="5" t="s">
        <v>260</v>
      </c>
      <c r="CP1754" s="4" t="s">
        <v>241</v>
      </c>
      <c r="CQ1754" s="4" t="s">
        <v>261</v>
      </c>
      <c r="CR1754" s="4" t="s">
        <v>241</v>
      </c>
      <c r="CS1754" s="4" t="s">
        <v>241</v>
      </c>
      <c r="CT1754" s="4">
        <v>0</v>
      </c>
      <c r="CU1754" s="4" t="s">
        <v>262</v>
      </c>
      <c r="CV1754" s="4" t="s">
        <v>263</v>
      </c>
      <c r="CW1754" s="4" t="s">
        <v>263</v>
      </c>
      <c r="CX1754" s="4" t="s">
        <v>264</v>
      </c>
      <c r="DA1754" s="6">
        <f>1</f>
        <v>1</v>
      </c>
      <c r="DC1754" s="4" t="s">
        <v>277</v>
      </c>
      <c r="DD1754" s="4" t="s">
        <v>241</v>
      </c>
      <c r="DF1754" s="4" t="s">
        <v>277</v>
      </c>
      <c r="DG1754" s="6">
        <f>1004</f>
        <v>1004</v>
      </c>
      <c r="DI1754" s="4" t="s">
        <v>241</v>
      </c>
      <c r="DJ1754" s="4" t="s">
        <v>241</v>
      </c>
      <c r="DK1754" s="4" t="s">
        <v>241</v>
      </c>
      <c r="DL1754" s="4" t="s">
        <v>241</v>
      </c>
      <c r="DP1754" s="4" t="s">
        <v>241</v>
      </c>
      <c r="DQ1754" s="4" t="s">
        <v>241</v>
      </c>
      <c r="DR1754" s="4" t="s">
        <v>241</v>
      </c>
      <c r="DS1754" s="4" t="s">
        <v>241</v>
      </c>
      <c r="DV1754" s="4" t="s">
        <v>278</v>
      </c>
      <c r="DW1754" s="4" t="s">
        <v>2028</v>
      </c>
      <c r="HO1754" s="4" t="s">
        <v>267</v>
      </c>
    </row>
    <row r="1755" spans="1:223" ht="19.5" customHeight="1" x14ac:dyDescent="0.4">
      <c r="A1755" s="4">
        <v>1</v>
      </c>
      <c r="B1755" s="4" t="s">
        <v>239</v>
      </c>
      <c r="C1755" s="4">
        <v>3429</v>
      </c>
      <c r="D1755" s="4">
        <v>1</v>
      </c>
      <c r="E1755" s="4">
        <v>1</v>
      </c>
      <c r="F1755" s="4" t="s">
        <v>268</v>
      </c>
      <c r="G1755" s="4" t="s">
        <v>241</v>
      </c>
      <c r="H1755" s="4" t="s">
        <v>241</v>
      </c>
      <c r="I1755" s="4" t="s">
        <v>272</v>
      </c>
      <c r="J1755" s="4" t="s">
        <v>274</v>
      </c>
      <c r="K1755" s="4" t="s">
        <v>251</v>
      </c>
      <c r="L1755" s="4" t="s">
        <v>269</v>
      </c>
      <c r="M1755" s="5" t="s">
        <v>2025</v>
      </c>
      <c r="N1755" s="6">
        <f>1694</f>
        <v>1694</v>
      </c>
      <c r="O1755" s="4" t="s">
        <v>265</v>
      </c>
      <c r="P1755" s="6">
        <f>1</f>
        <v>1</v>
      </c>
      <c r="Q1755" s="6">
        <f>0</f>
        <v>0</v>
      </c>
      <c r="S1755" s="6">
        <f>0</f>
        <v>0</v>
      </c>
      <c r="T1755" s="6">
        <f>1</f>
        <v>1</v>
      </c>
      <c r="U1755" s="5" t="s">
        <v>245</v>
      </c>
      <c r="V1755" s="4" t="s">
        <v>270</v>
      </c>
      <c r="W1755" s="4" t="s">
        <v>271</v>
      </c>
      <c r="X1755" s="4" t="s">
        <v>273</v>
      </c>
      <c r="Y1755" s="4" t="s">
        <v>241</v>
      </c>
      <c r="AB1755" s="4" t="s">
        <v>241</v>
      </c>
      <c r="AD1755" s="5" t="s">
        <v>241</v>
      </c>
      <c r="AG1755" s="5" t="s">
        <v>246</v>
      </c>
      <c r="AH1755" s="4" t="s">
        <v>241</v>
      </c>
      <c r="AI1755" s="4" t="s">
        <v>247</v>
      </c>
      <c r="AJ1755" s="4" t="s">
        <v>248</v>
      </c>
      <c r="AZ1755" s="4" t="s">
        <v>249</v>
      </c>
      <c r="BA1755" s="4" t="s">
        <v>241</v>
      </c>
      <c r="BB1755" s="4" t="s">
        <v>250</v>
      </c>
      <c r="BC1755" s="4" t="s">
        <v>241</v>
      </c>
      <c r="BD1755" s="4" t="s">
        <v>252</v>
      </c>
      <c r="BE1755" s="4" t="s">
        <v>241</v>
      </c>
      <c r="BI1755" s="4" t="s">
        <v>253</v>
      </c>
      <c r="BJ1755" s="5" t="s">
        <v>246</v>
      </c>
      <c r="BK1755" s="4" t="s">
        <v>254</v>
      </c>
      <c r="BL1755" s="4" t="s">
        <v>255</v>
      </c>
      <c r="BM1755" s="4" t="s">
        <v>241</v>
      </c>
      <c r="BN1755" s="6">
        <f>0</f>
        <v>0</v>
      </c>
      <c r="BO1755" s="6">
        <f>0</f>
        <v>0</v>
      </c>
      <c r="BP1755" s="4" t="s">
        <v>256</v>
      </c>
      <c r="BQ1755" s="4" t="s">
        <v>257</v>
      </c>
      <c r="CE1755" s="4" t="s">
        <v>241</v>
      </c>
      <c r="CF1755" s="4" t="s">
        <v>241</v>
      </c>
      <c r="CJ1755" s="4" t="s">
        <v>276</v>
      </c>
      <c r="CK1755" s="4" t="s">
        <v>259</v>
      </c>
      <c r="CL1755" s="4" t="s">
        <v>241</v>
      </c>
      <c r="CO1755" s="5" t="s">
        <v>260</v>
      </c>
      <c r="CP1755" s="4" t="s">
        <v>241</v>
      </c>
      <c r="CQ1755" s="4" t="s">
        <v>261</v>
      </c>
      <c r="CR1755" s="4" t="s">
        <v>241</v>
      </c>
      <c r="CS1755" s="4" t="s">
        <v>241</v>
      </c>
      <c r="CT1755" s="4">
        <v>0</v>
      </c>
      <c r="CU1755" s="4" t="s">
        <v>262</v>
      </c>
      <c r="CV1755" s="4" t="s">
        <v>263</v>
      </c>
      <c r="CW1755" s="4" t="s">
        <v>263</v>
      </c>
      <c r="CX1755" s="4" t="s">
        <v>264</v>
      </c>
      <c r="DA1755" s="6">
        <f>1</f>
        <v>1</v>
      </c>
      <c r="DC1755" s="4" t="s">
        <v>277</v>
      </c>
      <c r="DD1755" s="4" t="s">
        <v>241</v>
      </c>
      <c r="DF1755" s="4" t="s">
        <v>277</v>
      </c>
      <c r="DG1755" s="6">
        <f>1694</f>
        <v>1694</v>
      </c>
      <c r="DI1755" s="4" t="s">
        <v>241</v>
      </c>
      <c r="DJ1755" s="4" t="s">
        <v>241</v>
      </c>
      <c r="DK1755" s="4" t="s">
        <v>241</v>
      </c>
      <c r="DL1755" s="4" t="s">
        <v>241</v>
      </c>
      <c r="DP1755" s="4" t="s">
        <v>241</v>
      </c>
      <c r="DQ1755" s="4" t="s">
        <v>241</v>
      </c>
      <c r="DR1755" s="4" t="s">
        <v>241</v>
      </c>
      <c r="DS1755" s="4" t="s">
        <v>241</v>
      </c>
      <c r="DV1755" s="4" t="s">
        <v>278</v>
      </c>
      <c r="DW1755" s="4" t="s">
        <v>2026</v>
      </c>
      <c r="HO1755" s="4" t="s">
        <v>267</v>
      </c>
    </row>
    <row r="1756" spans="1:223" ht="19.5" customHeight="1" x14ac:dyDescent="0.4">
      <c r="A1756" s="4">
        <v>1</v>
      </c>
      <c r="B1756" s="4" t="s">
        <v>239</v>
      </c>
      <c r="C1756" s="4">
        <v>3430</v>
      </c>
      <c r="D1756" s="4">
        <v>1</v>
      </c>
      <c r="E1756" s="4">
        <v>1</v>
      </c>
      <c r="F1756" s="4" t="s">
        <v>268</v>
      </c>
      <c r="G1756" s="4" t="s">
        <v>241</v>
      </c>
      <c r="H1756" s="4" t="s">
        <v>241</v>
      </c>
      <c r="I1756" s="4" t="s">
        <v>272</v>
      </c>
      <c r="J1756" s="4" t="s">
        <v>274</v>
      </c>
      <c r="K1756" s="4" t="s">
        <v>251</v>
      </c>
      <c r="L1756" s="4" t="s">
        <v>269</v>
      </c>
      <c r="M1756" s="5" t="s">
        <v>2023</v>
      </c>
      <c r="N1756" s="6">
        <f>1105</f>
        <v>1105</v>
      </c>
      <c r="O1756" s="4" t="s">
        <v>265</v>
      </c>
      <c r="P1756" s="6">
        <f>1</f>
        <v>1</v>
      </c>
      <c r="Q1756" s="6">
        <f>0</f>
        <v>0</v>
      </c>
      <c r="S1756" s="6">
        <f>0</f>
        <v>0</v>
      </c>
      <c r="T1756" s="6">
        <f>1</f>
        <v>1</v>
      </c>
      <c r="U1756" s="5" t="s">
        <v>245</v>
      </c>
      <c r="V1756" s="4" t="s">
        <v>270</v>
      </c>
      <c r="W1756" s="4" t="s">
        <v>271</v>
      </c>
      <c r="X1756" s="4" t="s">
        <v>273</v>
      </c>
      <c r="Y1756" s="4" t="s">
        <v>241</v>
      </c>
      <c r="AB1756" s="4" t="s">
        <v>241</v>
      </c>
      <c r="AD1756" s="5" t="s">
        <v>241</v>
      </c>
      <c r="AG1756" s="5" t="s">
        <v>246</v>
      </c>
      <c r="AH1756" s="4" t="s">
        <v>241</v>
      </c>
      <c r="AI1756" s="4" t="s">
        <v>247</v>
      </c>
      <c r="AJ1756" s="4" t="s">
        <v>248</v>
      </c>
      <c r="AZ1756" s="4" t="s">
        <v>249</v>
      </c>
      <c r="BA1756" s="4" t="s">
        <v>241</v>
      </c>
      <c r="BB1756" s="4" t="s">
        <v>250</v>
      </c>
      <c r="BC1756" s="4" t="s">
        <v>241</v>
      </c>
      <c r="BD1756" s="4" t="s">
        <v>252</v>
      </c>
      <c r="BE1756" s="4" t="s">
        <v>241</v>
      </c>
      <c r="BI1756" s="4" t="s">
        <v>253</v>
      </c>
      <c r="BJ1756" s="5" t="s">
        <v>246</v>
      </c>
      <c r="BK1756" s="4" t="s">
        <v>254</v>
      </c>
      <c r="BL1756" s="4" t="s">
        <v>255</v>
      </c>
      <c r="BM1756" s="4" t="s">
        <v>241</v>
      </c>
      <c r="BN1756" s="6">
        <f>0</f>
        <v>0</v>
      </c>
      <c r="BO1756" s="6">
        <f>0</f>
        <v>0</v>
      </c>
      <c r="BP1756" s="4" t="s">
        <v>256</v>
      </c>
      <c r="BQ1756" s="4" t="s">
        <v>257</v>
      </c>
      <c r="CE1756" s="4" t="s">
        <v>241</v>
      </c>
      <c r="CF1756" s="4" t="s">
        <v>241</v>
      </c>
      <c r="CJ1756" s="4" t="s">
        <v>276</v>
      </c>
      <c r="CK1756" s="4" t="s">
        <v>259</v>
      </c>
      <c r="CL1756" s="4" t="s">
        <v>241</v>
      </c>
      <c r="CO1756" s="5" t="s">
        <v>260</v>
      </c>
      <c r="CP1756" s="4" t="s">
        <v>241</v>
      </c>
      <c r="CQ1756" s="4" t="s">
        <v>261</v>
      </c>
      <c r="CR1756" s="4" t="s">
        <v>241</v>
      </c>
      <c r="CS1756" s="4" t="s">
        <v>241</v>
      </c>
      <c r="CT1756" s="4">
        <v>0</v>
      </c>
      <c r="CU1756" s="4" t="s">
        <v>262</v>
      </c>
      <c r="CV1756" s="4" t="s">
        <v>263</v>
      </c>
      <c r="CW1756" s="4" t="s">
        <v>263</v>
      </c>
      <c r="CX1756" s="4" t="s">
        <v>264</v>
      </c>
      <c r="DA1756" s="6">
        <f>1</f>
        <v>1</v>
      </c>
      <c r="DC1756" s="4" t="s">
        <v>277</v>
      </c>
      <c r="DD1756" s="4" t="s">
        <v>241</v>
      </c>
      <c r="DF1756" s="4" t="s">
        <v>277</v>
      </c>
      <c r="DG1756" s="6">
        <f>1105</f>
        <v>1105</v>
      </c>
      <c r="DI1756" s="4" t="s">
        <v>241</v>
      </c>
      <c r="DJ1756" s="4" t="s">
        <v>241</v>
      </c>
      <c r="DK1756" s="4" t="s">
        <v>241</v>
      </c>
      <c r="DL1756" s="4" t="s">
        <v>241</v>
      </c>
      <c r="DP1756" s="4" t="s">
        <v>241</v>
      </c>
      <c r="DQ1756" s="4" t="s">
        <v>241</v>
      </c>
      <c r="DR1756" s="4" t="s">
        <v>241</v>
      </c>
      <c r="DS1756" s="4" t="s">
        <v>241</v>
      </c>
      <c r="DV1756" s="4" t="s">
        <v>278</v>
      </c>
      <c r="DW1756" s="4" t="s">
        <v>2024</v>
      </c>
      <c r="HO1756" s="4" t="s">
        <v>267</v>
      </c>
    </row>
    <row r="1757" spans="1:223" ht="19.5" customHeight="1" x14ac:dyDescent="0.4">
      <c r="A1757" s="4">
        <v>1</v>
      </c>
      <c r="B1757" s="4" t="s">
        <v>239</v>
      </c>
      <c r="C1757" s="4">
        <v>3431</v>
      </c>
      <c r="D1757" s="4">
        <v>1</v>
      </c>
      <c r="E1757" s="4">
        <v>1</v>
      </c>
      <c r="F1757" s="4" t="s">
        <v>268</v>
      </c>
      <c r="G1757" s="4" t="s">
        <v>241</v>
      </c>
      <c r="H1757" s="4" t="s">
        <v>241</v>
      </c>
      <c r="I1757" s="4" t="s">
        <v>272</v>
      </c>
      <c r="J1757" s="4" t="s">
        <v>274</v>
      </c>
      <c r="K1757" s="4" t="s">
        <v>251</v>
      </c>
      <c r="L1757" s="4" t="s">
        <v>269</v>
      </c>
      <c r="M1757" s="5" t="s">
        <v>2019</v>
      </c>
      <c r="N1757" s="6">
        <f>304</f>
        <v>304</v>
      </c>
      <c r="O1757" s="4" t="s">
        <v>265</v>
      </c>
      <c r="P1757" s="6">
        <f>1</f>
        <v>1</v>
      </c>
      <c r="Q1757" s="6">
        <f>0</f>
        <v>0</v>
      </c>
      <c r="S1757" s="6">
        <f>0</f>
        <v>0</v>
      </c>
      <c r="T1757" s="6">
        <f>1</f>
        <v>1</v>
      </c>
      <c r="U1757" s="5" t="s">
        <v>245</v>
      </c>
      <c r="V1757" s="4" t="s">
        <v>270</v>
      </c>
      <c r="W1757" s="4" t="s">
        <v>271</v>
      </c>
      <c r="X1757" s="4" t="s">
        <v>273</v>
      </c>
      <c r="Y1757" s="4" t="s">
        <v>241</v>
      </c>
      <c r="AB1757" s="4" t="s">
        <v>241</v>
      </c>
      <c r="AD1757" s="5" t="s">
        <v>241</v>
      </c>
      <c r="AG1757" s="5" t="s">
        <v>246</v>
      </c>
      <c r="AH1757" s="4" t="s">
        <v>241</v>
      </c>
      <c r="AI1757" s="4" t="s">
        <v>247</v>
      </c>
      <c r="AJ1757" s="4" t="s">
        <v>248</v>
      </c>
      <c r="AZ1757" s="4" t="s">
        <v>249</v>
      </c>
      <c r="BA1757" s="4" t="s">
        <v>241</v>
      </c>
      <c r="BB1757" s="4" t="s">
        <v>250</v>
      </c>
      <c r="BC1757" s="4" t="s">
        <v>241</v>
      </c>
      <c r="BD1757" s="4" t="s">
        <v>252</v>
      </c>
      <c r="BE1757" s="4" t="s">
        <v>241</v>
      </c>
      <c r="BI1757" s="4" t="s">
        <v>253</v>
      </c>
      <c r="BJ1757" s="5" t="s">
        <v>246</v>
      </c>
      <c r="BK1757" s="4" t="s">
        <v>254</v>
      </c>
      <c r="BL1757" s="4" t="s">
        <v>255</v>
      </c>
      <c r="BM1757" s="4" t="s">
        <v>241</v>
      </c>
      <c r="BN1757" s="6">
        <f>0</f>
        <v>0</v>
      </c>
      <c r="BO1757" s="6">
        <f>0</f>
        <v>0</v>
      </c>
      <c r="BP1757" s="4" t="s">
        <v>256</v>
      </c>
      <c r="BQ1757" s="4" t="s">
        <v>257</v>
      </c>
      <c r="CE1757" s="4" t="s">
        <v>241</v>
      </c>
      <c r="CF1757" s="4" t="s">
        <v>241</v>
      </c>
      <c r="CJ1757" s="4" t="s">
        <v>276</v>
      </c>
      <c r="CK1757" s="4" t="s">
        <v>259</v>
      </c>
      <c r="CL1757" s="4" t="s">
        <v>241</v>
      </c>
      <c r="CO1757" s="5" t="s">
        <v>260</v>
      </c>
      <c r="CP1757" s="4" t="s">
        <v>241</v>
      </c>
      <c r="CQ1757" s="4" t="s">
        <v>261</v>
      </c>
      <c r="CR1757" s="4" t="s">
        <v>241</v>
      </c>
      <c r="CS1757" s="4" t="s">
        <v>241</v>
      </c>
      <c r="CT1757" s="4">
        <v>0</v>
      </c>
      <c r="CU1757" s="4" t="s">
        <v>262</v>
      </c>
      <c r="CV1757" s="4" t="s">
        <v>263</v>
      </c>
      <c r="CW1757" s="4" t="s">
        <v>263</v>
      </c>
      <c r="CX1757" s="4" t="s">
        <v>264</v>
      </c>
      <c r="DA1757" s="6">
        <f>1</f>
        <v>1</v>
      </c>
      <c r="DC1757" s="4" t="s">
        <v>277</v>
      </c>
      <c r="DD1757" s="4" t="s">
        <v>241</v>
      </c>
      <c r="DF1757" s="4" t="s">
        <v>277</v>
      </c>
      <c r="DG1757" s="6">
        <f>304</f>
        <v>304</v>
      </c>
      <c r="DI1757" s="4" t="s">
        <v>241</v>
      </c>
      <c r="DJ1757" s="4" t="s">
        <v>241</v>
      </c>
      <c r="DK1757" s="4" t="s">
        <v>241</v>
      </c>
      <c r="DL1757" s="4" t="s">
        <v>241</v>
      </c>
      <c r="DP1757" s="4" t="s">
        <v>241</v>
      </c>
      <c r="DQ1757" s="4" t="s">
        <v>241</v>
      </c>
      <c r="DR1757" s="4" t="s">
        <v>241</v>
      </c>
      <c r="DS1757" s="4" t="s">
        <v>241</v>
      </c>
      <c r="DV1757" s="4" t="s">
        <v>278</v>
      </c>
      <c r="DW1757" s="4" t="s">
        <v>2020</v>
      </c>
      <c r="HO1757" s="4" t="s">
        <v>267</v>
      </c>
    </row>
    <row r="1758" spans="1:223" ht="19.5" customHeight="1" x14ac:dyDescent="0.4">
      <c r="A1758" s="4">
        <v>1</v>
      </c>
      <c r="B1758" s="4" t="s">
        <v>239</v>
      </c>
      <c r="C1758" s="4">
        <v>3432</v>
      </c>
      <c r="D1758" s="4">
        <v>1</v>
      </c>
      <c r="E1758" s="4">
        <v>1</v>
      </c>
      <c r="F1758" s="4" t="s">
        <v>268</v>
      </c>
      <c r="G1758" s="4" t="s">
        <v>241</v>
      </c>
      <c r="H1758" s="4" t="s">
        <v>241</v>
      </c>
      <c r="I1758" s="4" t="s">
        <v>272</v>
      </c>
      <c r="J1758" s="4" t="s">
        <v>274</v>
      </c>
      <c r="K1758" s="4" t="s">
        <v>251</v>
      </c>
      <c r="L1758" s="4" t="s">
        <v>269</v>
      </c>
      <c r="M1758" s="5" t="s">
        <v>2017</v>
      </c>
      <c r="N1758" s="6">
        <f>70</f>
        <v>70</v>
      </c>
      <c r="O1758" s="4" t="s">
        <v>265</v>
      </c>
      <c r="P1758" s="6">
        <f>1</f>
        <v>1</v>
      </c>
      <c r="Q1758" s="6">
        <f>0</f>
        <v>0</v>
      </c>
      <c r="S1758" s="6">
        <f>0</f>
        <v>0</v>
      </c>
      <c r="T1758" s="6">
        <f>1</f>
        <v>1</v>
      </c>
      <c r="U1758" s="5" t="s">
        <v>245</v>
      </c>
      <c r="V1758" s="4" t="s">
        <v>270</v>
      </c>
      <c r="W1758" s="4" t="s">
        <v>271</v>
      </c>
      <c r="X1758" s="4" t="s">
        <v>273</v>
      </c>
      <c r="Y1758" s="4" t="s">
        <v>241</v>
      </c>
      <c r="AB1758" s="4" t="s">
        <v>241</v>
      </c>
      <c r="AD1758" s="5" t="s">
        <v>241</v>
      </c>
      <c r="AG1758" s="5" t="s">
        <v>246</v>
      </c>
      <c r="AH1758" s="4" t="s">
        <v>241</v>
      </c>
      <c r="AI1758" s="4" t="s">
        <v>247</v>
      </c>
      <c r="AJ1758" s="4" t="s">
        <v>248</v>
      </c>
      <c r="AZ1758" s="4" t="s">
        <v>249</v>
      </c>
      <c r="BA1758" s="4" t="s">
        <v>241</v>
      </c>
      <c r="BB1758" s="4" t="s">
        <v>250</v>
      </c>
      <c r="BC1758" s="4" t="s">
        <v>241</v>
      </c>
      <c r="BD1758" s="4" t="s">
        <v>252</v>
      </c>
      <c r="BE1758" s="4" t="s">
        <v>241</v>
      </c>
      <c r="BI1758" s="4" t="s">
        <v>253</v>
      </c>
      <c r="BJ1758" s="5" t="s">
        <v>246</v>
      </c>
      <c r="BK1758" s="4" t="s">
        <v>254</v>
      </c>
      <c r="BL1758" s="4" t="s">
        <v>255</v>
      </c>
      <c r="BM1758" s="4" t="s">
        <v>241</v>
      </c>
      <c r="BN1758" s="6">
        <f>0</f>
        <v>0</v>
      </c>
      <c r="BO1758" s="6">
        <f>0</f>
        <v>0</v>
      </c>
      <c r="BP1758" s="4" t="s">
        <v>256</v>
      </c>
      <c r="BQ1758" s="4" t="s">
        <v>257</v>
      </c>
      <c r="CE1758" s="4" t="s">
        <v>241</v>
      </c>
      <c r="CF1758" s="4" t="s">
        <v>241</v>
      </c>
      <c r="CJ1758" s="4" t="s">
        <v>276</v>
      </c>
      <c r="CK1758" s="4" t="s">
        <v>259</v>
      </c>
      <c r="CL1758" s="4" t="s">
        <v>241</v>
      </c>
      <c r="CO1758" s="5" t="s">
        <v>260</v>
      </c>
      <c r="CP1758" s="4" t="s">
        <v>241</v>
      </c>
      <c r="CQ1758" s="4" t="s">
        <v>261</v>
      </c>
      <c r="CR1758" s="4" t="s">
        <v>241</v>
      </c>
      <c r="CS1758" s="4" t="s">
        <v>241</v>
      </c>
      <c r="CT1758" s="4">
        <v>0</v>
      </c>
      <c r="CU1758" s="4" t="s">
        <v>262</v>
      </c>
      <c r="CV1758" s="4" t="s">
        <v>263</v>
      </c>
      <c r="CW1758" s="4" t="s">
        <v>263</v>
      </c>
      <c r="CX1758" s="4" t="s">
        <v>264</v>
      </c>
      <c r="DA1758" s="6">
        <f>1</f>
        <v>1</v>
      </c>
      <c r="DC1758" s="4" t="s">
        <v>277</v>
      </c>
      <c r="DD1758" s="4" t="s">
        <v>241</v>
      </c>
      <c r="DF1758" s="4" t="s">
        <v>277</v>
      </c>
      <c r="DG1758" s="6">
        <f>70</f>
        <v>70</v>
      </c>
      <c r="DI1758" s="4" t="s">
        <v>241</v>
      </c>
      <c r="DJ1758" s="4" t="s">
        <v>241</v>
      </c>
      <c r="DK1758" s="4" t="s">
        <v>241</v>
      </c>
      <c r="DL1758" s="4" t="s">
        <v>241</v>
      </c>
      <c r="DP1758" s="4" t="s">
        <v>241</v>
      </c>
      <c r="DQ1758" s="4" t="s">
        <v>241</v>
      </c>
      <c r="DR1758" s="4" t="s">
        <v>241</v>
      </c>
      <c r="DS1758" s="4" t="s">
        <v>241</v>
      </c>
      <c r="DV1758" s="4" t="s">
        <v>278</v>
      </c>
      <c r="DW1758" s="4" t="s">
        <v>2018</v>
      </c>
      <c r="HO1758" s="4" t="s">
        <v>267</v>
      </c>
    </row>
    <row r="1759" spans="1:223" ht="19.5" customHeight="1" x14ac:dyDescent="0.4">
      <c r="A1759" s="4">
        <v>1</v>
      </c>
      <c r="B1759" s="4" t="s">
        <v>239</v>
      </c>
      <c r="C1759" s="4">
        <v>3433</v>
      </c>
      <c r="D1759" s="4">
        <v>1</v>
      </c>
      <c r="E1759" s="4">
        <v>1</v>
      </c>
      <c r="F1759" s="4" t="s">
        <v>268</v>
      </c>
      <c r="G1759" s="4" t="s">
        <v>241</v>
      </c>
      <c r="H1759" s="4" t="s">
        <v>241</v>
      </c>
      <c r="I1759" s="4" t="s">
        <v>272</v>
      </c>
      <c r="J1759" s="4" t="s">
        <v>274</v>
      </c>
      <c r="K1759" s="4" t="s">
        <v>251</v>
      </c>
      <c r="L1759" s="4" t="s">
        <v>269</v>
      </c>
      <c r="M1759" s="5" t="s">
        <v>2015</v>
      </c>
      <c r="N1759" s="6">
        <f>200</f>
        <v>200</v>
      </c>
      <c r="O1759" s="4" t="s">
        <v>265</v>
      </c>
      <c r="P1759" s="6">
        <f>1</f>
        <v>1</v>
      </c>
      <c r="Q1759" s="6">
        <f>0</f>
        <v>0</v>
      </c>
      <c r="S1759" s="6">
        <f>0</f>
        <v>0</v>
      </c>
      <c r="T1759" s="6">
        <f>1</f>
        <v>1</v>
      </c>
      <c r="U1759" s="5" t="s">
        <v>245</v>
      </c>
      <c r="V1759" s="4" t="s">
        <v>270</v>
      </c>
      <c r="W1759" s="4" t="s">
        <v>271</v>
      </c>
      <c r="X1759" s="4" t="s">
        <v>273</v>
      </c>
      <c r="Y1759" s="4" t="s">
        <v>241</v>
      </c>
      <c r="AB1759" s="4" t="s">
        <v>241</v>
      </c>
      <c r="AD1759" s="5" t="s">
        <v>241</v>
      </c>
      <c r="AG1759" s="5" t="s">
        <v>246</v>
      </c>
      <c r="AH1759" s="4" t="s">
        <v>241</v>
      </c>
      <c r="AI1759" s="4" t="s">
        <v>247</v>
      </c>
      <c r="AJ1759" s="4" t="s">
        <v>248</v>
      </c>
      <c r="AZ1759" s="4" t="s">
        <v>249</v>
      </c>
      <c r="BA1759" s="4" t="s">
        <v>241</v>
      </c>
      <c r="BB1759" s="4" t="s">
        <v>250</v>
      </c>
      <c r="BC1759" s="4" t="s">
        <v>241</v>
      </c>
      <c r="BD1759" s="4" t="s">
        <v>252</v>
      </c>
      <c r="BE1759" s="4" t="s">
        <v>241</v>
      </c>
      <c r="BI1759" s="4" t="s">
        <v>253</v>
      </c>
      <c r="BJ1759" s="5" t="s">
        <v>246</v>
      </c>
      <c r="BK1759" s="4" t="s">
        <v>254</v>
      </c>
      <c r="BL1759" s="4" t="s">
        <v>255</v>
      </c>
      <c r="BM1759" s="4" t="s">
        <v>241</v>
      </c>
      <c r="BN1759" s="6">
        <f>0</f>
        <v>0</v>
      </c>
      <c r="BO1759" s="6">
        <f>0</f>
        <v>0</v>
      </c>
      <c r="BP1759" s="4" t="s">
        <v>256</v>
      </c>
      <c r="BQ1759" s="4" t="s">
        <v>257</v>
      </c>
      <c r="CE1759" s="4" t="s">
        <v>241</v>
      </c>
      <c r="CF1759" s="4" t="s">
        <v>241</v>
      </c>
      <c r="CJ1759" s="4" t="s">
        <v>276</v>
      </c>
      <c r="CK1759" s="4" t="s">
        <v>259</v>
      </c>
      <c r="CL1759" s="4" t="s">
        <v>241</v>
      </c>
      <c r="CO1759" s="5" t="s">
        <v>260</v>
      </c>
      <c r="CP1759" s="4" t="s">
        <v>241</v>
      </c>
      <c r="CQ1759" s="4" t="s">
        <v>261</v>
      </c>
      <c r="CR1759" s="4" t="s">
        <v>241</v>
      </c>
      <c r="CS1759" s="4" t="s">
        <v>241</v>
      </c>
      <c r="CT1759" s="4">
        <v>0</v>
      </c>
      <c r="CU1759" s="4" t="s">
        <v>262</v>
      </c>
      <c r="CV1759" s="4" t="s">
        <v>263</v>
      </c>
      <c r="CW1759" s="4" t="s">
        <v>263</v>
      </c>
      <c r="CX1759" s="4" t="s">
        <v>264</v>
      </c>
      <c r="DA1759" s="6">
        <f>1</f>
        <v>1</v>
      </c>
      <c r="DC1759" s="4" t="s">
        <v>277</v>
      </c>
      <c r="DD1759" s="4" t="s">
        <v>241</v>
      </c>
      <c r="DF1759" s="4" t="s">
        <v>277</v>
      </c>
      <c r="DG1759" s="6">
        <f>200</f>
        <v>200</v>
      </c>
      <c r="DI1759" s="4" t="s">
        <v>241</v>
      </c>
      <c r="DJ1759" s="4" t="s">
        <v>241</v>
      </c>
      <c r="DK1759" s="4" t="s">
        <v>241</v>
      </c>
      <c r="DL1759" s="4" t="s">
        <v>241</v>
      </c>
      <c r="DP1759" s="4" t="s">
        <v>241</v>
      </c>
      <c r="DQ1759" s="4" t="s">
        <v>241</v>
      </c>
      <c r="DR1759" s="4" t="s">
        <v>241</v>
      </c>
      <c r="DS1759" s="4" t="s">
        <v>241</v>
      </c>
      <c r="DV1759" s="4" t="s">
        <v>278</v>
      </c>
      <c r="DW1759" s="4" t="s">
        <v>2016</v>
      </c>
      <c r="HO1759" s="4" t="s">
        <v>267</v>
      </c>
    </row>
    <row r="1760" spans="1:223" ht="19.5" customHeight="1" x14ac:dyDescent="0.4">
      <c r="A1760" s="4">
        <v>1</v>
      </c>
      <c r="B1760" s="4" t="s">
        <v>239</v>
      </c>
      <c r="C1760" s="4">
        <v>3434</v>
      </c>
      <c r="D1760" s="4">
        <v>1</v>
      </c>
      <c r="E1760" s="4">
        <v>1</v>
      </c>
      <c r="F1760" s="4" t="s">
        <v>268</v>
      </c>
      <c r="G1760" s="4" t="s">
        <v>241</v>
      </c>
      <c r="H1760" s="4" t="s">
        <v>241</v>
      </c>
      <c r="I1760" s="4" t="s">
        <v>272</v>
      </c>
      <c r="J1760" s="4" t="s">
        <v>274</v>
      </c>
      <c r="K1760" s="4" t="s">
        <v>251</v>
      </c>
      <c r="L1760" s="4" t="s">
        <v>269</v>
      </c>
      <c r="M1760" s="5" t="s">
        <v>2013</v>
      </c>
      <c r="N1760" s="6">
        <f>152</f>
        <v>152</v>
      </c>
      <c r="O1760" s="4" t="s">
        <v>265</v>
      </c>
      <c r="P1760" s="6">
        <f>1</f>
        <v>1</v>
      </c>
      <c r="Q1760" s="6">
        <f>0</f>
        <v>0</v>
      </c>
      <c r="S1760" s="6">
        <f>0</f>
        <v>0</v>
      </c>
      <c r="T1760" s="6">
        <f>1</f>
        <v>1</v>
      </c>
      <c r="U1760" s="5" t="s">
        <v>245</v>
      </c>
      <c r="V1760" s="4" t="s">
        <v>270</v>
      </c>
      <c r="W1760" s="4" t="s">
        <v>271</v>
      </c>
      <c r="X1760" s="4" t="s">
        <v>273</v>
      </c>
      <c r="Y1760" s="4" t="s">
        <v>241</v>
      </c>
      <c r="AB1760" s="4" t="s">
        <v>241</v>
      </c>
      <c r="AD1760" s="5" t="s">
        <v>241</v>
      </c>
      <c r="AG1760" s="5" t="s">
        <v>246</v>
      </c>
      <c r="AH1760" s="4" t="s">
        <v>241</v>
      </c>
      <c r="AI1760" s="4" t="s">
        <v>247</v>
      </c>
      <c r="AJ1760" s="4" t="s">
        <v>248</v>
      </c>
      <c r="AZ1760" s="4" t="s">
        <v>249</v>
      </c>
      <c r="BA1760" s="4" t="s">
        <v>241</v>
      </c>
      <c r="BB1760" s="4" t="s">
        <v>250</v>
      </c>
      <c r="BC1760" s="4" t="s">
        <v>241</v>
      </c>
      <c r="BD1760" s="4" t="s">
        <v>252</v>
      </c>
      <c r="BE1760" s="4" t="s">
        <v>241</v>
      </c>
      <c r="BI1760" s="4" t="s">
        <v>253</v>
      </c>
      <c r="BJ1760" s="5" t="s">
        <v>246</v>
      </c>
      <c r="BK1760" s="4" t="s">
        <v>254</v>
      </c>
      <c r="BL1760" s="4" t="s">
        <v>255</v>
      </c>
      <c r="BM1760" s="4" t="s">
        <v>241</v>
      </c>
      <c r="BN1760" s="6">
        <f>0</f>
        <v>0</v>
      </c>
      <c r="BO1760" s="6">
        <f>0</f>
        <v>0</v>
      </c>
      <c r="BP1760" s="4" t="s">
        <v>256</v>
      </c>
      <c r="BQ1760" s="4" t="s">
        <v>257</v>
      </c>
      <c r="CE1760" s="4" t="s">
        <v>241</v>
      </c>
      <c r="CF1760" s="4" t="s">
        <v>241</v>
      </c>
      <c r="CJ1760" s="4" t="s">
        <v>276</v>
      </c>
      <c r="CK1760" s="4" t="s">
        <v>259</v>
      </c>
      <c r="CL1760" s="4" t="s">
        <v>241</v>
      </c>
      <c r="CO1760" s="5" t="s">
        <v>260</v>
      </c>
      <c r="CP1760" s="4" t="s">
        <v>241</v>
      </c>
      <c r="CQ1760" s="4" t="s">
        <v>261</v>
      </c>
      <c r="CR1760" s="4" t="s">
        <v>241</v>
      </c>
      <c r="CS1760" s="4" t="s">
        <v>241</v>
      </c>
      <c r="CT1760" s="4">
        <v>0</v>
      </c>
      <c r="CU1760" s="4" t="s">
        <v>262</v>
      </c>
      <c r="CV1760" s="4" t="s">
        <v>263</v>
      </c>
      <c r="CW1760" s="4" t="s">
        <v>263</v>
      </c>
      <c r="CX1760" s="4" t="s">
        <v>264</v>
      </c>
      <c r="DA1760" s="6">
        <f>1</f>
        <v>1</v>
      </c>
      <c r="DC1760" s="4" t="s">
        <v>277</v>
      </c>
      <c r="DD1760" s="4" t="s">
        <v>241</v>
      </c>
      <c r="DF1760" s="4" t="s">
        <v>277</v>
      </c>
      <c r="DG1760" s="6">
        <f>152</f>
        <v>152</v>
      </c>
      <c r="DI1760" s="4" t="s">
        <v>241</v>
      </c>
      <c r="DJ1760" s="4" t="s">
        <v>241</v>
      </c>
      <c r="DK1760" s="4" t="s">
        <v>241</v>
      </c>
      <c r="DL1760" s="4" t="s">
        <v>241</v>
      </c>
      <c r="DP1760" s="4" t="s">
        <v>241</v>
      </c>
      <c r="DQ1760" s="4" t="s">
        <v>241</v>
      </c>
      <c r="DR1760" s="4" t="s">
        <v>241</v>
      </c>
      <c r="DS1760" s="4" t="s">
        <v>241</v>
      </c>
      <c r="DV1760" s="4" t="s">
        <v>278</v>
      </c>
      <c r="DW1760" s="4" t="s">
        <v>2014</v>
      </c>
      <c r="HO1760" s="4" t="s">
        <v>267</v>
      </c>
    </row>
    <row r="1761" spans="1:223" ht="19.5" customHeight="1" x14ac:dyDescent="0.4">
      <c r="A1761" s="4">
        <v>1</v>
      </c>
      <c r="B1761" s="4" t="s">
        <v>239</v>
      </c>
      <c r="C1761" s="4">
        <v>3435</v>
      </c>
      <c r="D1761" s="4">
        <v>1</v>
      </c>
      <c r="E1761" s="4">
        <v>1</v>
      </c>
      <c r="F1761" s="4" t="s">
        <v>268</v>
      </c>
      <c r="G1761" s="4" t="s">
        <v>241</v>
      </c>
      <c r="H1761" s="4" t="s">
        <v>241</v>
      </c>
      <c r="I1761" s="4" t="s">
        <v>272</v>
      </c>
      <c r="J1761" s="4" t="s">
        <v>274</v>
      </c>
      <c r="K1761" s="4" t="s">
        <v>251</v>
      </c>
      <c r="L1761" s="4" t="s">
        <v>269</v>
      </c>
      <c r="M1761" s="5" t="s">
        <v>2011</v>
      </c>
      <c r="N1761" s="6">
        <f>7631</f>
        <v>7631</v>
      </c>
      <c r="O1761" s="4" t="s">
        <v>265</v>
      </c>
      <c r="P1761" s="6">
        <f>1</f>
        <v>1</v>
      </c>
      <c r="Q1761" s="6">
        <f>0</f>
        <v>0</v>
      </c>
      <c r="S1761" s="6">
        <f>0</f>
        <v>0</v>
      </c>
      <c r="T1761" s="6">
        <f>1</f>
        <v>1</v>
      </c>
      <c r="U1761" s="5" t="s">
        <v>245</v>
      </c>
      <c r="V1761" s="4" t="s">
        <v>270</v>
      </c>
      <c r="W1761" s="4" t="s">
        <v>271</v>
      </c>
      <c r="X1761" s="4" t="s">
        <v>273</v>
      </c>
      <c r="Y1761" s="4" t="s">
        <v>241</v>
      </c>
      <c r="AB1761" s="4" t="s">
        <v>241</v>
      </c>
      <c r="AD1761" s="5" t="s">
        <v>241</v>
      </c>
      <c r="AG1761" s="5" t="s">
        <v>246</v>
      </c>
      <c r="AH1761" s="4" t="s">
        <v>241</v>
      </c>
      <c r="AI1761" s="4" t="s">
        <v>247</v>
      </c>
      <c r="AJ1761" s="4" t="s">
        <v>248</v>
      </c>
      <c r="AZ1761" s="4" t="s">
        <v>249</v>
      </c>
      <c r="BA1761" s="4" t="s">
        <v>241</v>
      </c>
      <c r="BB1761" s="4" t="s">
        <v>250</v>
      </c>
      <c r="BC1761" s="4" t="s">
        <v>241</v>
      </c>
      <c r="BD1761" s="4" t="s">
        <v>252</v>
      </c>
      <c r="BE1761" s="4" t="s">
        <v>241</v>
      </c>
      <c r="BI1761" s="4" t="s">
        <v>253</v>
      </c>
      <c r="BJ1761" s="5" t="s">
        <v>246</v>
      </c>
      <c r="BK1761" s="4" t="s">
        <v>254</v>
      </c>
      <c r="BL1761" s="4" t="s">
        <v>255</v>
      </c>
      <c r="BM1761" s="4" t="s">
        <v>241</v>
      </c>
      <c r="BN1761" s="6">
        <f>0</f>
        <v>0</v>
      </c>
      <c r="BO1761" s="6">
        <f>0</f>
        <v>0</v>
      </c>
      <c r="BP1761" s="4" t="s">
        <v>256</v>
      </c>
      <c r="BQ1761" s="4" t="s">
        <v>257</v>
      </c>
      <c r="CE1761" s="4" t="s">
        <v>241</v>
      </c>
      <c r="CF1761" s="4" t="s">
        <v>241</v>
      </c>
      <c r="CJ1761" s="4" t="s">
        <v>276</v>
      </c>
      <c r="CK1761" s="4" t="s">
        <v>259</v>
      </c>
      <c r="CL1761" s="4" t="s">
        <v>241</v>
      </c>
      <c r="CO1761" s="5" t="s">
        <v>260</v>
      </c>
      <c r="CP1761" s="4" t="s">
        <v>241</v>
      </c>
      <c r="CQ1761" s="4" t="s">
        <v>261</v>
      </c>
      <c r="CR1761" s="4" t="s">
        <v>241</v>
      </c>
      <c r="CS1761" s="4" t="s">
        <v>241</v>
      </c>
      <c r="CT1761" s="4">
        <v>0</v>
      </c>
      <c r="CU1761" s="4" t="s">
        <v>262</v>
      </c>
      <c r="CV1761" s="4" t="s">
        <v>263</v>
      </c>
      <c r="CW1761" s="4" t="s">
        <v>263</v>
      </c>
      <c r="CX1761" s="4" t="s">
        <v>264</v>
      </c>
      <c r="DA1761" s="6">
        <f>1</f>
        <v>1</v>
      </c>
      <c r="DC1761" s="4" t="s">
        <v>277</v>
      </c>
      <c r="DD1761" s="4" t="s">
        <v>241</v>
      </c>
      <c r="DF1761" s="4" t="s">
        <v>277</v>
      </c>
      <c r="DG1761" s="6">
        <f>7631</f>
        <v>7631</v>
      </c>
      <c r="DI1761" s="4" t="s">
        <v>241</v>
      </c>
      <c r="DJ1761" s="4" t="s">
        <v>241</v>
      </c>
      <c r="DK1761" s="4" t="s">
        <v>241</v>
      </c>
      <c r="DL1761" s="4" t="s">
        <v>241</v>
      </c>
      <c r="DP1761" s="4" t="s">
        <v>241</v>
      </c>
      <c r="DQ1761" s="4" t="s">
        <v>241</v>
      </c>
      <c r="DR1761" s="4" t="s">
        <v>241</v>
      </c>
      <c r="DS1761" s="4" t="s">
        <v>241</v>
      </c>
      <c r="DV1761" s="4" t="s">
        <v>278</v>
      </c>
      <c r="DW1761" s="4" t="s">
        <v>2012</v>
      </c>
      <c r="HO1761" s="4" t="s">
        <v>267</v>
      </c>
    </row>
    <row r="1762" spans="1:223" ht="19.5" customHeight="1" x14ac:dyDescent="0.4">
      <c r="A1762" s="4">
        <v>1</v>
      </c>
      <c r="B1762" s="4" t="s">
        <v>239</v>
      </c>
      <c r="C1762" s="4">
        <v>3436</v>
      </c>
      <c r="D1762" s="4">
        <v>1</v>
      </c>
      <c r="E1762" s="4">
        <v>1</v>
      </c>
      <c r="F1762" s="4" t="s">
        <v>268</v>
      </c>
      <c r="G1762" s="4" t="s">
        <v>241</v>
      </c>
      <c r="H1762" s="4" t="s">
        <v>241</v>
      </c>
      <c r="I1762" s="4" t="s">
        <v>272</v>
      </c>
      <c r="J1762" s="4" t="s">
        <v>274</v>
      </c>
      <c r="K1762" s="4" t="s">
        <v>251</v>
      </c>
      <c r="L1762" s="4" t="s">
        <v>269</v>
      </c>
      <c r="M1762" s="5" t="s">
        <v>2009</v>
      </c>
      <c r="N1762" s="6">
        <f>811</f>
        <v>811</v>
      </c>
      <c r="O1762" s="4" t="s">
        <v>265</v>
      </c>
      <c r="P1762" s="6">
        <f>1</f>
        <v>1</v>
      </c>
      <c r="Q1762" s="6">
        <f>0</f>
        <v>0</v>
      </c>
      <c r="S1762" s="6">
        <f>0</f>
        <v>0</v>
      </c>
      <c r="T1762" s="6">
        <f>1</f>
        <v>1</v>
      </c>
      <c r="U1762" s="5" t="s">
        <v>245</v>
      </c>
      <c r="V1762" s="4" t="s">
        <v>270</v>
      </c>
      <c r="W1762" s="4" t="s">
        <v>271</v>
      </c>
      <c r="X1762" s="4" t="s">
        <v>273</v>
      </c>
      <c r="Y1762" s="4" t="s">
        <v>241</v>
      </c>
      <c r="AB1762" s="4" t="s">
        <v>241</v>
      </c>
      <c r="AD1762" s="5" t="s">
        <v>241</v>
      </c>
      <c r="AG1762" s="5" t="s">
        <v>246</v>
      </c>
      <c r="AH1762" s="4" t="s">
        <v>241</v>
      </c>
      <c r="AI1762" s="4" t="s">
        <v>247</v>
      </c>
      <c r="AJ1762" s="4" t="s">
        <v>248</v>
      </c>
      <c r="AZ1762" s="4" t="s">
        <v>249</v>
      </c>
      <c r="BA1762" s="4" t="s">
        <v>241</v>
      </c>
      <c r="BB1762" s="4" t="s">
        <v>250</v>
      </c>
      <c r="BC1762" s="4" t="s">
        <v>241</v>
      </c>
      <c r="BD1762" s="4" t="s">
        <v>252</v>
      </c>
      <c r="BE1762" s="4" t="s">
        <v>241</v>
      </c>
      <c r="BI1762" s="4" t="s">
        <v>253</v>
      </c>
      <c r="BJ1762" s="5" t="s">
        <v>246</v>
      </c>
      <c r="BK1762" s="4" t="s">
        <v>254</v>
      </c>
      <c r="BL1762" s="4" t="s">
        <v>255</v>
      </c>
      <c r="BM1762" s="4" t="s">
        <v>241</v>
      </c>
      <c r="BN1762" s="6">
        <f>0</f>
        <v>0</v>
      </c>
      <c r="BO1762" s="6">
        <f>0</f>
        <v>0</v>
      </c>
      <c r="BP1762" s="4" t="s">
        <v>256</v>
      </c>
      <c r="BQ1762" s="4" t="s">
        <v>257</v>
      </c>
      <c r="CE1762" s="4" t="s">
        <v>241</v>
      </c>
      <c r="CF1762" s="4" t="s">
        <v>241</v>
      </c>
      <c r="CJ1762" s="4" t="s">
        <v>276</v>
      </c>
      <c r="CK1762" s="4" t="s">
        <v>259</v>
      </c>
      <c r="CL1762" s="4" t="s">
        <v>241</v>
      </c>
      <c r="CO1762" s="5" t="s">
        <v>260</v>
      </c>
      <c r="CP1762" s="4" t="s">
        <v>241</v>
      </c>
      <c r="CQ1762" s="4" t="s">
        <v>261</v>
      </c>
      <c r="CR1762" s="4" t="s">
        <v>241</v>
      </c>
      <c r="CS1762" s="4" t="s">
        <v>241</v>
      </c>
      <c r="CT1762" s="4">
        <v>0</v>
      </c>
      <c r="CU1762" s="4" t="s">
        <v>262</v>
      </c>
      <c r="CV1762" s="4" t="s">
        <v>263</v>
      </c>
      <c r="CW1762" s="4" t="s">
        <v>263</v>
      </c>
      <c r="CX1762" s="4" t="s">
        <v>264</v>
      </c>
      <c r="DA1762" s="6">
        <f>1</f>
        <v>1</v>
      </c>
      <c r="DC1762" s="4" t="s">
        <v>277</v>
      </c>
      <c r="DD1762" s="4" t="s">
        <v>241</v>
      </c>
      <c r="DF1762" s="4" t="s">
        <v>277</v>
      </c>
      <c r="DG1762" s="6">
        <f>811</f>
        <v>811</v>
      </c>
      <c r="DI1762" s="4" t="s">
        <v>241</v>
      </c>
      <c r="DJ1762" s="4" t="s">
        <v>241</v>
      </c>
      <c r="DK1762" s="4" t="s">
        <v>241</v>
      </c>
      <c r="DL1762" s="4" t="s">
        <v>241</v>
      </c>
      <c r="DP1762" s="4" t="s">
        <v>241</v>
      </c>
      <c r="DQ1762" s="4" t="s">
        <v>241</v>
      </c>
      <c r="DR1762" s="4" t="s">
        <v>241</v>
      </c>
      <c r="DS1762" s="4" t="s">
        <v>241</v>
      </c>
      <c r="DV1762" s="4" t="s">
        <v>278</v>
      </c>
      <c r="DW1762" s="4" t="s">
        <v>2010</v>
      </c>
      <c r="HO1762" s="4" t="s">
        <v>267</v>
      </c>
    </row>
    <row r="1763" spans="1:223" ht="19.5" customHeight="1" x14ac:dyDescent="0.4">
      <c r="A1763" s="4">
        <v>1</v>
      </c>
      <c r="B1763" s="4" t="s">
        <v>239</v>
      </c>
      <c r="C1763" s="4">
        <v>3437</v>
      </c>
      <c r="D1763" s="4">
        <v>1</v>
      </c>
      <c r="E1763" s="4">
        <v>1</v>
      </c>
      <c r="F1763" s="4" t="s">
        <v>268</v>
      </c>
      <c r="G1763" s="4" t="s">
        <v>241</v>
      </c>
      <c r="H1763" s="4" t="s">
        <v>241</v>
      </c>
      <c r="I1763" s="4" t="s">
        <v>272</v>
      </c>
      <c r="J1763" s="4" t="s">
        <v>274</v>
      </c>
      <c r="K1763" s="4" t="s">
        <v>251</v>
      </c>
      <c r="L1763" s="4" t="s">
        <v>269</v>
      </c>
      <c r="M1763" s="5" t="s">
        <v>2007</v>
      </c>
      <c r="N1763" s="6">
        <f>921</f>
        <v>921</v>
      </c>
      <c r="O1763" s="4" t="s">
        <v>265</v>
      </c>
      <c r="P1763" s="6">
        <f>1</f>
        <v>1</v>
      </c>
      <c r="Q1763" s="6">
        <f>0</f>
        <v>0</v>
      </c>
      <c r="S1763" s="6">
        <f>0</f>
        <v>0</v>
      </c>
      <c r="T1763" s="6">
        <f>1</f>
        <v>1</v>
      </c>
      <c r="U1763" s="5" t="s">
        <v>245</v>
      </c>
      <c r="V1763" s="4" t="s">
        <v>270</v>
      </c>
      <c r="W1763" s="4" t="s">
        <v>271</v>
      </c>
      <c r="X1763" s="4" t="s">
        <v>273</v>
      </c>
      <c r="Y1763" s="4" t="s">
        <v>241</v>
      </c>
      <c r="AB1763" s="4" t="s">
        <v>241</v>
      </c>
      <c r="AD1763" s="5" t="s">
        <v>241</v>
      </c>
      <c r="AG1763" s="5" t="s">
        <v>246</v>
      </c>
      <c r="AH1763" s="4" t="s">
        <v>241</v>
      </c>
      <c r="AI1763" s="4" t="s">
        <v>247</v>
      </c>
      <c r="AJ1763" s="4" t="s">
        <v>248</v>
      </c>
      <c r="AZ1763" s="4" t="s">
        <v>249</v>
      </c>
      <c r="BA1763" s="4" t="s">
        <v>241</v>
      </c>
      <c r="BB1763" s="4" t="s">
        <v>250</v>
      </c>
      <c r="BC1763" s="4" t="s">
        <v>241</v>
      </c>
      <c r="BD1763" s="4" t="s">
        <v>252</v>
      </c>
      <c r="BE1763" s="4" t="s">
        <v>241</v>
      </c>
      <c r="BI1763" s="4" t="s">
        <v>253</v>
      </c>
      <c r="BJ1763" s="5" t="s">
        <v>246</v>
      </c>
      <c r="BK1763" s="4" t="s">
        <v>254</v>
      </c>
      <c r="BL1763" s="4" t="s">
        <v>255</v>
      </c>
      <c r="BM1763" s="4" t="s">
        <v>241</v>
      </c>
      <c r="BN1763" s="6">
        <f>0</f>
        <v>0</v>
      </c>
      <c r="BO1763" s="6">
        <f>0</f>
        <v>0</v>
      </c>
      <c r="BP1763" s="4" t="s">
        <v>256</v>
      </c>
      <c r="BQ1763" s="4" t="s">
        <v>257</v>
      </c>
      <c r="CE1763" s="4" t="s">
        <v>241</v>
      </c>
      <c r="CF1763" s="4" t="s">
        <v>241</v>
      </c>
      <c r="CJ1763" s="4" t="s">
        <v>276</v>
      </c>
      <c r="CK1763" s="4" t="s">
        <v>259</v>
      </c>
      <c r="CL1763" s="4" t="s">
        <v>241</v>
      </c>
      <c r="CO1763" s="5" t="s">
        <v>260</v>
      </c>
      <c r="CP1763" s="4" t="s">
        <v>241</v>
      </c>
      <c r="CQ1763" s="4" t="s">
        <v>261</v>
      </c>
      <c r="CR1763" s="4" t="s">
        <v>241</v>
      </c>
      <c r="CS1763" s="4" t="s">
        <v>241</v>
      </c>
      <c r="CT1763" s="4">
        <v>0</v>
      </c>
      <c r="CU1763" s="4" t="s">
        <v>262</v>
      </c>
      <c r="CV1763" s="4" t="s">
        <v>263</v>
      </c>
      <c r="CW1763" s="4" t="s">
        <v>263</v>
      </c>
      <c r="CX1763" s="4" t="s">
        <v>264</v>
      </c>
      <c r="DA1763" s="6">
        <f>1</f>
        <v>1</v>
      </c>
      <c r="DC1763" s="4" t="s">
        <v>277</v>
      </c>
      <c r="DD1763" s="4" t="s">
        <v>241</v>
      </c>
      <c r="DF1763" s="4" t="s">
        <v>277</v>
      </c>
      <c r="DG1763" s="6">
        <f>921</f>
        <v>921</v>
      </c>
      <c r="DI1763" s="4" t="s">
        <v>241</v>
      </c>
      <c r="DJ1763" s="4" t="s">
        <v>241</v>
      </c>
      <c r="DK1763" s="4" t="s">
        <v>241</v>
      </c>
      <c r="DL1763" s="4" t="s">
        <v>241</v>
      </c>
      <c r="DP1763" s="4" t="s">
        <v>241</v>
      </c>
      <c r="DQ1763" s="4" t="s">
        <v>241</v>
      </c>
      <c r="DR1763" s="4" t="s">
        <v>241</v>
      </c>
      <c r="DS1763" s="4" t="s">
        <v>241</v>
      </c>
      <c r="DV1763" s="4" t="s">
        <v>278</v>
      </c>
      <c r="DW1763" s="4" t="s">
        <v>2008</v>
      </c>
      <c r="HO1763" s="4" t="s">
        <v>267</v>
      </c>
    </row>
    <row r="1764" spans="1:223" ht="19.5" customHeight="1" x14ac:dyDescent="0.4">
      <c r="A1764" s="4">
        <v>1</v>
      </c>
      <c r="B1764" s="4" t="s">
        <v>239</v>
      </c>
      <c r="C1764" s="4">
        <v>3438</v>
      </c>
      <c r="D1764" s="4">
        <v>1</v>
      </c>
      <c r="E1764" s="4">
        <v>1</v>
      </c>
      <c r="F1764" s="4" t="s">
        <v>268</v>
      </c>
      <c r="G1764" s="4" t="s">
        <v>241</v>
      </c>
      <c r="H1764" s="4" t="s">
        <v>241</v>
      </c>
      <c r="I1764" s="4" t="s">
        <v>272</v>
      </c>
      <c r="J1764" s="4" t="s">
        <v>274</v>
      </c>
      <c r="K1764" s="4" t="s">
        <v>251</v>
      </c>
      <c r="L1764" s="4" t="s">
        <v>269</v>
      </c>
      <c r="M1764" s="5" t="s">
        <v>2005</v>
      </c>
      <c r="N1764" s="6">
        <f>1130</f>
        <v>1130</v>
      </c>
      <c r="O1764" s="4" t="s">
        <v>265</v>
      </c>
      <c r="P1764" s="6">
        <f>1</f>
        <v>1</v>
      </c>
      <c r="Q1764" s="6">
        <f>0</f>
        <v>0</v>
      </c>
      <c r="S1764" s="6">
        <f>0</f>
        <v>0</v>
      </c>
      <c r="T1764" s="6">
        <f>1</f>
        <v>1</v>
      </c>
      <c r="U1764" s="5" t="s">
        <v>245</v>
      </c>
      <c r="V1764" s="4" t="s">
        <v>270</v>
      </c>
      <c r="W1764" s="4" t="s">
        <v>271</v>
      </c>
      <c r="X1764" s="4" t="s">
        <v>273</v>
      </c>
      <c r="Y1764" s="4" t="s">
        <v>241</v>
      </c>
      <c r="AB1764" s="4" t="s">
        <v>241</v>
      </c>
      <c r="AD1764" s="5" t="s">
        <v>241</v>
      </c>
      <c r="AG1764" s="5" t="s">
        <v>246</v>
      </c>
      <c r="AH1764" s="4" t="s">
        <v>241</v>
      </c>
      <c r="AI1764" s="4" t="s">
        <v>247</v>
      </c>
      <c r="AJ1764" s="4" t="s">
        <v>248</v>
      </c>
      <c r="AZ1764" s="4" t="s">
        <v>249</v>
      </c>
      <c r="BA1764" s="4" t="s">
        <v>241</v>
      </c>
      <c r="BB1764" s="4" t="s">
        <v>250</v>
      </c>
      <c r="BC1764" s="4" t="s">
        <v>241</v>
      </c>
      <c r="BD1764" s="4" t="s">
        <v>252</v>
      </c>
      <c r="BE1764" s="4" t="s">
        <v>241</v>
      </c>
      <c r="BI1764" s="4" t="s">
        <v>253</v>
      </c>
      <c r="BJ1764" s="5" t="s">
        <v>246</v>
      </c>
      <c r="BK1764" s="4" t="s">
        <v>254</v>
      </c>
      <c r="BL1764" s="4" t="s">
        <v>255</v>
      </c>
      <c r="BM1764" s="4" t="s">
        <v>241</v>
      </c>
      <c r="BN1764" s="6">
        <f>0</f>
        <v>0</v>
      </c>
      <c r="BO1764" s="6">
        <f>0</f>
        <v>0</v>
      </c>
      <c r="BP1764" s="4" t="s">
        <v>256</v>
      </c>
      <c r="BQ1764" s="4" t="s">
        <v>257</v>
      </c>
      <c r="CE1764" s="4" t="s">
        <v>241</v>
      </c>
      <c r="CF1764" s="4" t="s">
        <v>241</v>
      </c>
      <c r="CJ1764" s="4" t="s">
        <v>276</v>
      </c>
      <c r="CK1764" s="4" t="s">
        <v>259</v>
      </c>
      <c r="CL1764" s="4" t="s">
        <v>241</v>
      </c>
      <c r="CO1764" s="5" t="s">
        <v>260</v>
      </c>
      <c r="CP1764" s="4" t="s">
        <v>241</v>
      </c>
      <c r="CQ1764" s="4" t="s">
        <v>261</v>
      </c>
      <c r="CR1764" s="4" t="s">
        <v>241</v>
      </c>
      <c r="CS1764" s="4" t="s">
        <v>241</v>
      </c>
      <c r="CT1764" s="4">
        <v>0</v>
      </c>
      <c r="CU1764" s="4" t="s">
        <v>262</v>
      </c>
      <c r="CV1764" s="4" t="s">
        <v>263</v>
      </c>
      <c r="CW1764" s="4" t="s">
        <v>263</v>
      </c>
      <c r="CX1764" s="4" t="s">
        <v>264</v>
      </c>
      <c r="DA1764" s="6">
        <f>1</f>
        <v>1</v>
      </c>
      <c r="DC1764" s="4" t="s">
        <v>277</v>
      </c>
      <c r="DD1764" s="4" t="s">
        <v>241</v>
      </c>
      <c r="DF1764" s="4" t="s">
        <v>277</v>
      </c>
      <c r="DG1764" s="6">
        <f>1130</f>
        <v>1130</v>
      </c>
      <c r="DI1764" s="4" t="s">
        <v>241</v>
      </c>
      <c r="DJ1764" s="4" t="s">
        <v>241</v>
      </c>
      <c r="DK1764" s="4" t="s">
        <v>241</v>
      </c>
      <c r="DL1764" s="4" t="s">
        <v>241</v>
      </c>
      <c r="DP1764" s="4" t="s">
        <v>241</v>
      </c>
      <c r="DQ1764" s="4" t="s">
        <v>241</v>
      </c>
      <c r="DR1764" s="4" t="s">
        <v>241</v>
      </c>
      <c r="DS1764" s="4" t="s">
        <v>241</v>
      </c>
      <c r="DV1764" s="4" t="s">
        <v>278</v>
      </c>
      <c r="DW1764" s="4" t="s">
        <v>2006</v>
      </c>
      <c r="HO1764" s="4" t="s">
        <v>267</v>
      </c>
    </row>
    <row r="1765" spans="1:223" ht="19.5" customHeight="1" x14ac:dyDescent="0.4">
      <c r="A1765" s="4">
        <v>1</v>
      </c>
      <c r="B1765" s="4" t="s">
        <v>239</v>
      </c>
      <c r="C1765" s="4">
        <v>3439</v>
      </c>
      <c r="D1765" s="4">
        <v>1</v>
      </c>
      <c r="E1765" s="4">
        <v>1</v>
      </c>
      <c r="F1765" s="4" t="s">
        <v>268</v>
      </c>
      <c r="G1765" s="4" t="s">
        <v>241</v>
      </c>
      <c r="H1765" s="4" t="s">
        <v>241</v>
      </c>
      <c r="I1765" s="4" t="s">
        <v>272</v>
      </c>
      <c r="J1765" s="4" t="s">
        <v>274</v>
      </c>
      <c r="K1765" s="4" t="s">
        <v>251</v>
      </c>
      <c r="L1765" s="4" t="s">
        <v>269</v>
      </c>
      <c r="M1765" s="5" t="s">
        <v>2001</v>
      </c>
      <c r="N1765" s="6">
        <f>708</f>
        <v>708</v>
      </c>
      <c r="O1765" s="4" t="s">
        <v>265</v>
      </c>
      <c r="P1765" s="6">
        <f>1</f>
        <v>1</v>
      </c>
      <c r="Q1765" s="6">
        <f>0</f>
        <v>0</v>
      </c>
      <c r="S1765" s="6">
        <f>0</f>
        <v>0</v>
      </c>
      <c r="T1765" s="6">
        <f>1</f>
        <v>1</v>
      </c>
      <c r="U1765" s="5" t="s">
        <v>245</v>
      </c>
      <c r="V1765" s="4" t="s">
        <v>270</v>
      </c>
      <c r="W1765" s="4" t="s">
        <v>271</v>
      </c>
      <c r="X1765" s="4" t="s">
        <v>273</v>
      </c>
      <c r="Y1765" s="4" t="s">
        <v>241</v>
      </c>
      <c r="AB1765" s="4" t="s">
        <v>241</v>
      </c>
      <c r="AD1765" s="5" t="s">
        <v>241</v>
      </c>
      <c r="AG1765" s="5" t="s">
        <v>246</v>
      </c>
      <c r="AH1765" s="4" t="s">
        <v>241</v>
      </c>
      <c r="AI1765" s="4" t="s">
        <v>247</v>
      </c>
      <c r="AJ1765" s="4" t="s">
        <v>248</v>
      </c>
      <c r="AZ1765" s="4" t="s">
        <v>249</v>
      </c>
      <c r="BA1765" s="4" t="s">
        <v>241</v>
      </c>
      <c r="BB1765" s="4" t="s">
        <v>250</v>
      </c>
      <c r="BC1765" s="4" t="s">
        <v>241</v>
      </c>
      <c r="BD1765" s="4" t="s">
        <v>252</v>
      </c>
      <c r="BE1765" s="4" t="s">
        <v>241</v>
      </c>
      <c r="BI1765" s="4" t="s">
        <v>253</v>
      </c>
      <c r="BJ1765" s="5" t="s">
        <v>246</v>
      </c>
      <c r="BK1765" s="4" t="s">
        <v>254</v>
      </c>
      <c r="BL1765" s="4" t="s">
        <v>255</v>
      </c>
      <c r="BM1765" s="4" t="s">
        <v>241</v>
      </c>
      <c r="BN1765" s="6">
        <f>0</f>
        <v>0</v>
      </c>
      <c r="BO1765" s="6">
        <f>0</f>
        <v>0</v>
      </c>
      <c r="BP1765" s="4" t="s">
        <v>256</v>
      </c>
      <c r="BQ1765" s="4" t="s">
        <v>257</v>
      </c>
      <c r="CE1765" s="4" t="s">
        <v>241</v>
      </c>
      <c r="CF1765" s="4" t="s">
        <v>241</v>
      </c>
      <c r="CJ1765" s="4" t="s">
        <v>276</v>
      </c>
      <c r="CK1765" s="4" t="s">
        <v>259</v>
      </c>
      <c r="CL1765" s="4" t="s">
        <v>241</v>
      </c>
      <c r="CO1765" s="5" t="s">
        <v>260</v>
      </c>
      <c r="CP1765" s="4" t="s">
        <v>241</v>
      </c>
      <c r="CQ1765" s="4" t="s">
        <v>261</v>
      </c>
      <c r="CR1765" s="4" t="s">
        <v>241</v>
      </c>
      <c r="CS1765" s="4" t="s">
        <v>241</v>
      </c>
      <c r="CT1765" s="4">
        <v>0</v>
      </c>
      <c r="CU1765" s="4" t="s">
        <v>262</v>
      </c>
      <c r="CV1765" s="4" t="s">
        <v>263</v>
      </c>
      <c r="CW1765" s="4" t="s">
        <v>263</v>
      </c>
      <c r="CX1765" s="4" t="s">
        <v>264</v>
      </c>
      <c r="DA1765" s="6">
        <f>1</f>
        <v>1</v>
      </c>
      <c r="DC1765" s="4" t="s">
        <v>277</v>
      </c>
      <c r="DD1765" s="4" t="s">
        <v>241</v>
      </c>
      <c r="DF1765" s="4" t="s">
        <v>277</v>
      </c>
      <c r="DG1765" s="6">
        <f>708</f>
        <v>708</v>
      </c>
      <c r="DI1765" s="4" t="s">
        <v>241</v>
      </c>
      <c r="DJ1765" s="4" t="s">
        <v>241</v>
      </c>
      <c r="DK1765" s="4" t="s">
        <v>241</v>
      </c>
      <c r="DL1765" s="4" t="s">
        <v>241</v>
      </c>
      <c r="DP1765" s="4" t="s">
        <v>241</v>
      </c>
      <c r="DQ1765" s="4" t="s">
        <v>241</v>
      </c>
      <c r="DR1765" s="4" t="s">
        <v>241</v>
      </c>
      <c r="DS1765" s="4" t="s">
        <v>241</v>
      </c>
      <c r="DV1765" s="4" t="s">
        <v>278</v>
      </c>
      <c r="DW1765" s="4" t="s">
        <v>2002</v>
      </c>
      <c r="HO1765" s="4" t="s">
        <v>267</v>
      </c>
    </row>
    <row r="1766" spans="1:223" ht="19.5" customHeight="1" x14ac:dyDescent="0.4">
      <c r="A1766" s="4">
        <v>1</v>
      </c>
      <c r="B1766" s="4" t="s">
        <v>239</v>
      </c>
      <c r="C1766" s="4">
        <v>3440</v>
      </c>
      <c r="D1766" s="4">
        <v>1</v>
      </c>
      <c r="E1766" s="4">
        <v>1</v>
      </c>
      <c r="F1766" s="4" t="s">
        <v>268</v>
      </c>
      <c r="G1766" s="4" t="s">
        <v>241</v>
      </c>
      <c r="H1766" s="4" t="s">
        <v>241</v>
      </c>
      <c r="I1766" s="4" t="s">
        <v>272</v>
      </c>
      <c r="J1766" s="4" t="s">
        <v>274</v>
      </c>
      <c r="K1766" s="4" t="s">
        <v>251</v>
      </c>
      <c r="L1766" s="4" t="s">
        <v>269</v>
      </c>
      <c r="M1766" s="5" t="s">
        <v>1999</v>
      </c>
      <c r="N1766" s="6">
        <f>670</f>
        <v>670</v>
      </c>
      <c r="O1766" s="4" t="s">
        <v>265</v>
      </c>
      <c r="P1766" s="6">
        <f>1</f>
        <v>1</v>
      </c>
      <c r="Q1766" s="6">
        <f>0</f>
        <v>0</v>
      </c>
      <c r="S1766" s="6">
        <f>0</f>
        <v>0</v>
      </c>
      <c r="T1766" s="6">
        <f>1</f>
        <v>1</v>
      </c>
      <c r="U1766" s="5" t="s">
        <v>245</v>
      </c>
      <c r="V1766" s="4" t="s">
        <v>270</v>
      </c>
      <c r="W1766" s="4" t="s">
        <v>271</v>
      </c>
      <c r="X1766" s="4" t="s">
        <v>273</v>
      </c>
      <c r="Y1766" s="4" t="s">
        <v>241</v>
      </c>
      <c r="AB1766" s="4" t="s">
        <v>241</v>
      </c>
      <c r="AD1766" s="5" t="s">
        <v>241</v>
      </c>
      <c r="AG1766" s="5" t="s">
        <v>246</v>
      </c>
      <c r="AH1766" s="4" t="s">
        <v>241</v>
      </c>
      <c r="AI1766" s="4" t="s">
        <v>247</v>
      </c>
      <c r="AJ1766" s="4" t="s">
        <v>248</v>
      </c>
      <c r="AZ1766" s="4" t="s">
        <v>249</v>
      </c>
      <c r="BA1766" s="4" t="s">
        <v>241</v>
      </c>
      <c r="BB1766" s="4" t="s">
        <v>250</v>
      </c>
      <c r="BC1766" s="4" t="s">
        <v>241</v>
      </c>
      <c r="BD1766" s="4" t="s">
        <v>252</v>
      </c>
      <c r="BE1766" s="4" t="s">
        <v>241</v>
      </c>
      <c r="BI1766" s="4" t="s">
        <v>253</v>
      </c>
      <c r="BJ1766" s="5" t="s">
        <v>246</v>
      </c>
      <c r="BK1766" s="4" t="s">
        <v>254</v>
      </c>
      <c r="BL1766" s="4" t="s">
        <v>255</v>
      </c>
      <c r="BM1766" s="4" t="s">
        <v>241</v>
      </c>
      <c r="BN1766" s="6">
        <f>0</f>
        <v>0</v>
      </c>
      <c r="BO1766" s="6">
        <f>0</f>
        <v>0</v>
      </c>
      <c r="BP1766" s="4" t="s">
        <v>256</v>
      </c>
      <c r="BQ1766" s="4" t="s">
        <v>257</v>
      </c>
      <c r="CE1766" s="4" t="s">
        <v>241</v>
      </c>
      <c r="CF1766" s="4" t="s">
        <v>241</v>
      </c>
      <c r="CJ1766" s="4" t="s">
        <v>276</v>
      </c>
      <c r="CK1766" s="4" t="s">
        <v>259</v>
      </c>
      <c r="CL1766" s="4" t="s">
        <v>241</v>
      </c>
      <c r="CO1766" s="5" t="s">
        <v>260</v>
      </c>
      <c r="CP1766" s="4" t="s">
        <v>241</v>
      </c>
      <c r="CQ1766" s="4" t="s">
        <v>261</v>
      </c>
      <c r="CR1766" s="4" t="s">
        <v>241</v>
      </c>
      <c r="CS1766" s="4" t="s">
        <v>241</v>
      </c>
      <c r="CT1766" s="4">
        <v>0</v>
      </c>
      <c r="CU1766" s="4" t="s">
        <v>262</v>
      </c>
      <c r="CV1766" s="4" t="s">
        <v>263</v>
      </c>
      <c r="CW1766" s="4" t="s">
        <v>263</v>
      </c>
      <c r="CX1766" s="4" t="s">
        <v>264</v>
      </c>
      <c r="DA1766" s="6">
        <f>1</f>
        <v>1</v>
      </c>
      <c r="DC1766" s="4" t="s">
        <v>277</v>
      </c>
      <c r="DD1766" s="4" t="s">
        <v>241</v>
      </c>
      <c r="DF1766" s="4" t="s">
        <v>277</v>
      </c>
      <c r="DG1766" s="6">
        <f>670</f>
        <v>670</v>
      </c>
      <c r="DI1766" s="4" t="s">
        <v>241</v>
      </c>
      <c r="DJ1766" s="4" t="s">
        <v>241</v>
      </c>
      <c r="DK1766" s="4" t="s">
        <v>241</v>
      </c>
      <c r="DL1766" s="4" t="s">
        <v>241</v>
      </c>
      <c r="DP1766" s="4" t="s">
        <v>241</v>
      </c>
      <c r="DQ1766" s="4" t="s">
        <v>241</v>
      </c>
      <c r="DR1766" s="4" t="s">
        <v>241</v>
      </c>
      <c r="DS1766" s="4" t="s">
        <v>241</v>
      </c>
      <c r="DV1766" s="4" t="s">
        <v>278</v>
      </c>
      <c r="DW1766" s="4" t="s">
        <v>2000</v>
      </c>
      <c r="HO1766" s="4" t="s">
        <v>267</v>
      </c>
    </row>
    <row r="1767" spans="1:223" ht="19.5" customHeight="1" x14ac:dyDescent="0.4">
      <c r="A1767" s="4">
        <v>1</v>
      </c>
      <c r="B1767" s="4" t="s">
        <v>239</v>
      </c>
      <c r="C1767" s="4">
        <v>3441</v>
      </c>
      <c r="D1767" s="4">
        <v>1</v>
      </c>
      <c r="E1767" s="4">
        <v>1</v>
      </c>
      <c r="F1767" s="4" t="s">
        <v>268</v>
      </c>
      <c r="G1767" s="4" t="s">
        <v>241</v>
      </c>
      <c r="H1767" s="4" t="s">
        <v>241</v>
      </c>
      <c r="I1767" s="4" t="s">
        <v>272</v>
      </c>
      <c r="J1767" s="4" t="s">
        <v>274</v>
      </c>
      <c r="K1767" s="4" t="s">
        <v>251</v>
      </c>
      <c r="L1767" s="4" t="s">
        <v>269</v>
      </c>
      <c r="M1767" s="5" t="s">
        <v>1997</v>
      </c>
      <c r="N1767" s="6">
        <f>45</f>
        <v>45</v>
      </c>
      <c r="O1767" s="4" t="s">
        <v>265</v>
      </c>
      <c r="P1767" s="6">
        <f>1</f>
        <v>1</v>
      </c>
      <c r="Q1767" s="6">
        <f>0</f>
        <v>0</v>
      </c>
      <c r="S1767" s="6">
        <f>0</f>
        <v>0</v>
      </c>
      <c r="T1767" s="6">
        <f>1</f>
        <v>1</v>
      </c>
      <c r="U1767" s="5" t="s">
        <v>245</v>
      </c>
      <c r="V1767" s="4" t="s">
        <v>270</v>
      </c>
      <c r="W1767" s="4" t="s">
        <v>271</v>
      </c>
      <c r="X1767" s="4" t="s">
        <v>273</v>
      </c>
      <c r="Y1767" s="4" t="s">
        <v>241</v>
      </c>
      <c r="AB1767" s="4" t="s">
        <v>241</v>
      </c>
      <c r="AD1767" s="5" t="s">
        <v>241</v>
      </c>
      <c r="AG1767" s="5" t="s">
        <v>246</v>
      </c>
      <c r="AH1767" s="4" t="s">
        <v>241</v>
      </c>
      <c r="AI1767" s="4" t="s">
        <v>247</v>
      </c>
      <c r="AJ1767" s="4" t="s">
        <v>248</v>
      </c>
      <c r="AZ1767" s="4" t="s">
        <v>249</v>
      </c>
      <c r="BA1767" s="4" t="s">
        <v>241</v>
      </c>
      <c r="BB1767" s="4" t="s">
        <v>250</v>
      </c>
      <c r="BC1767" s="4" t="s">
        <v>241</v>
      </c>
      <c r="BD1767" s="4" t="s">
        <v>252</v>
      </c>
      <c r="BE1767" s="4" t="s">
        <v>241</v>
      </c>
      <c r="BI1767" s="4" t="s">
        <v>253</v>
      </c>
      <c r="BJ1767" s="5" t="s">
        <v>246</v>
      </c>
      <c r="BK1767" s="4" t="s">
        <v>254</v>
      </c>
      <c r="BL1767" s="4" t="s">
        <v>255</v>
      </c>
      <c r="BM1767" s="4" t="s">
        <v>241</v>
      </c>
      <c r="BN1767" s="6">
        <f>0</f>
        <v>0</v>
      </c>
      <c r="BO1767" s="6">
        <f>0</f>
        <v>0</v>
      </c>
      <c r="BP1767" s="4" t="s">
        <v>256</v>
      </c>
      <c r="BQ1767" s="4" t="s">
        <v>257</v>
      </c>
      <c r="CE1767" s="4" t="s">
        <v>241</v>
      </c>
      <c r="CF1767" s="4" t="s">
        <v>241</v>
      </c>
      <c r="CJ1767" s="4" t="s">
        <v>276</v>
      </c>
      <c r="CK1767" s="4" t="s">
        <v>259</v>
      </c>
      <c r="CL1767" s="4" t="s">
        <v>241</v>
      </c>
      <c r="CO1767" s="5" t="s">
        <v>260</v>
      </c>
      <c r="CP1767" s="4" t="s">
        <v>241</v>
      </c>
      <c r="CQ1767" s="4" t="s">
        <v>261</v>
      </c>
      <c r="CR1767" s="4" t="s">
        <v>241</v>
      </c>
      <c r="CS1767" s="4" t="s">
        <v>241</v>
      </c>
      <c r="CT1767" s="4">
        <v>0</v>
      </c>
      <c r="CU1767" s="4" t="s">
        <v>262</v>
      </c>
      <c r="CV1767" s="4" t="s">
        <v>263</v>
      </c>
      <c r="CW1767" s="4" t="s">
        <v>263</v>
      </c>
      <c r="CX1767" s="4" t="s">
        <v>264</v>
      </c>
      <c r="DA1767" s="6">
        <f>1</f>
        <v>1</v>
      </c>
      <c r="DC1767" s="4" t="s">
        <v>277</v>
      </c>
      <c r="DD1767" s="4" t="s">
        <v>241</v>
      </c>
      <c r="DF1767" s="4" t="s">
        <v>277</v>
      </c>
      <c r="DG1767" s="6">
        <f>45</f>
        <v>45</v>
      </c>
      <c r="DI1767" s="4" t="s">
        <v>241</v>
      </c>
      <c r="DJ1767" s="4" t="s">
        <v>241</v>
      </c>
      <c r="DK1767" s="4" t="s">
        <v>241</v>
      </c>
      <c r="DL1767" s="4" t="s">
        <v>241</v>
      </c>
      <c r="DP1767" s="4" t="s">
        <v>241</v>
      </c>
      <c r="DQ1767" s="4" t="s">
        <v>241</v>
      </c>
      <c r="DR1767" s="4" t="s">
        <v>241</v>
      </c>
      <c r="DS1767" s="4" t="s">
        <v>241</v>
      </c>
      <c r="DV1767" s="4" t="s">
        <v>278</v>
      </c>
      <c r="DW1767" s="4" t="s">
        <v>1998</v>
      </c>
      <c r="HO1767" s="4" t="s">
        <v>267</v>
      </c>
    </row>
    <row r="1768" spans="1:223" ht="19.5" customHeight="1" x14ac:dyDescent="0.4">
      <c r="A1768" s="4">
        <v>1</v>
      </c>
      <c r="B1768" s="4" t="s">
        <v>239</v>
      </c>
      <c r="C1768" s="4">
        <v>3442</v>
      </c>
      <c r="D1768" s="4">
        <v>1</v>
      </c>
      <c r="E1768" s="4">
        <v>1</v>
      </c>
      <c r="F1768" s="4" t="s">
        <v>268</v>
      </c>
      <c r="G1768" s="4" t="s">
        <v>241</v>
      </c>
      <c r="H1768" s="4" t="s">
        <v>241</v>
      </c>
      <c r="I1768" s="4" t="s">
        <v>272</v>
      </c>
      <c r="J1768" s="4" t="s">
        <v>274</v>
      </c>
      <c r="K1768" s="4" t="s">
        <v>251</v>
      </c>
      <c r="L1768" s="4" t="s">
        <v>269</v>
      </c>
      <c r="M1768" s="5" t="s">
        <v>1995</v>
      </c>
      <c r="N1768" s="6">
        <f>1.21</f>
        <v>1.21</v>
      </c>
      <c r="O1768" s="4" t="s">
        <v>265</v>
      </c>
      <c r="P1768" s="6">
        <f>1</f>
        <v>1</v>
      </c>
      <c r="Q1768" s="6">
        <f>0</f>
        <v>0</v>
      </c>
      <c r="S1768" s="6">
        <f>0</f>
        <v>0</v>
      </c>
      <c r="T1768" s="6">
        <f>1</f>
        <v>1</v>
      </c>
      <c r="U1768" s="5" t="s">
        <v>245</v>
      </c>
      <c r="V1768" s="4" t="s">
        <v>270</v>
      </c>
      <c r="W1768" s="4" t="s">
        <v>271</v>
      </c>
      <c r="X1768" s="4" t="s">
        <v>273</v>
      </c>
      <c r="Y1768" s="4" t="s">
        <v>241</v>
      </c>
      <c r="AB1768" s="4" t="s">
        <v>241</v>
      </c>
      <c r="AD1768" s="5" t="s">
        <v>241</v>
      </c>
      <c r="AG1768" s="5" t="s">
        <v>246</v>
      </c>
      <c r="AH1768" s="4" t="s">
        <v>241</v>
      </c>
      <c r="AI1768" s="4" t="s">
        <v>247</v>
      </c>
      <c r="AJ1768" s="4" t="s">
        <v>248</v>
      </c>
      <c r="AZ1768" s="4" t="s">
        <v>249</v>
      </c>
      <c r="BA1768" s="4" t="s">
        <v>241</v>
      </c>
      <c r="BB1768" s="4" t="s">
        <v>250</v>
      </c>
      <c r="BC1768" s="4" t="s">
        <v>241</v>
      </c>
      <c r="BD1768" s="4" t="s">
        <v>252</v>
      </c>
      <c r="BE1768" s="4" t="s">
        <v>241</v>
      </c>
      <c r="BI1768" s="4" t="s">
        <v>253</v>
      </c>
      <c r="BJ1768" s="5" t="s">
        <v>246</v>
      </c>
      <c r="BK1768" s="4" t="s">
        <v>254</v>
      </c>
      <c r="BL1768" s="4" t="s">
        <v>255</v>
      </c>
      <c r="BM1768" s="4" t="s">
        <v>241</v>
      </c>
      <c r="BN1768" s="6">
        <f>0</f>
        <v>0</v>
      </c>
      <c r="BO1768" s="6">
        <f>0</f>
        <v>0</v>
      </c>
      <c r="BP1768" s="4" t="s">
        <v>256</v>
      </c>
      <c r="BQ1768" s="4" t="s">
        <v>257</v>
      </c>
      <c r="CE1768" s="4" t="s">
        <v>241</v>
      </c>
      <c r="CF1768" s="4" t="s">
        <v>241</v>
      </c>
      <c r="CJ1768" s="4" t="s">
        <v>276</v>
      </c>
      <c r="CK1768" s="4" t="s">
        <v>259</v>
      </c>
      <c r="CL1768" s="4" t="s">
        <v>241</v>
      </c>
      <c r="CO1768" s="5" t="s">
        <v>260</v>
      </c>
      <c r="CP1768" s="4" t="s">
        <v>241</v>
      </c>
      <c r="CQ1768" s="4" t="s">
        <v>261</v>
      </c>
      <c r="CR1768" s="4" t="s">
        <v>241</v>
      </c>
      <c r="CS1768" s="4" t="s">
        <v>241</v>
      </c>
      <c r="CT1768" s="4">
        <v>0</v>
      </c>
      <c r="CU1768" s="4" t="s">
        <v>262</v>
      </c>
      <c r="CV1768" s="4" t="s">
        <v>263</v>
      </c>
      <c r="CW1768" s="4" t="s">
        <v>263</v>
      </c>
      <c r="CX1768" s="4" t="s">
        <v>264</v>
      </c>
      <c r="DA1768" s="6">
        <f>1</f>
        <v>1</v>
      </c>
      <c r="DC1768" s="4" t="s">
        <v>277</v>
      </c>
      <c r="DD1768" s="4" t="s">
        <v>241</v>
      </c>
      <c r="DF1768" s="4" t="s">
        <v>277</v>
      </c>
      <c r="DG1768" s="6">
        <f>1.21</f>
        <v>1.21</v>
      </c>
      <c r="DI1768" s="4" t="s">
        <v>241</v>
      </c>
      <c r="DJ1768" s="4" t="s">
        <v>241</v>
      </c>
      <c r="DK1768" s="4" t="s">
        <v>241</v>
      </c>
      <c r="DL1768" s="4" t="s">
        <v>241</v>
      </c>
      <c r="DP1768" s="4" t="s">
        <v>241</v>
      </c>
      <c r="DQ1768" s="4" t="s">
        <v>241</v>
      </c>
      <c r="DR1768" s="4" t="s">
        <v>241</v>
      </c>
      <c r="DS1768" s="4" t="s">
        <v>241</v>
      </c>
      <c r="DV1768" s="4" t="s">
        <v>278</v>
      </c>
      <c r="DW1768" s="4" t="s">
        <v>1996</v>
      </c>
      <c r="HO1768" s="4" t="s">
        <v>267</v>
      </c>
    </row>
    <row r="1769" spans="1:223" ht="19.5" customHeight="1" x14ac:dyDescent="0.4">
      <c r="A1769" s="4">
        <v>1</v>
      </c>
      <c r="B1769" s="4" t="s">
        <v>239</v>
      </c>
      <c r="C1769" s="4">
        <v>3443</v>
      </c>
      <c r="D1769" s="4">
        <v>1</v>
      </c>
      <c r="E1769" s="4">
        <v>1</v>
      </c>
      <c r="F1769" s="4" t="s">
        <v>268</v>
      </c>
      <c r="G1769" s="4" t="s">
        <v>241</v>
      </c>
      <c r="H1769" s="4" t="s">
        <v>241</v>
      </c>
      <c r="I1769" s="4" t="s">
        <v>272</v>
      </c>
      <c r="J1769" s="4" t="s">
        <v>274</v>
      </c>
      <c r="K1769" s="4" t="s">
        <v>251</v>
      </c>
      <c r="L1769" s="4" t="s">
        <v>269</v>
      </c>
      <c r="M1769" s="5" t="s">
        <v>1993</v>
      </c>
      <c r="N1769" s="6">
        <f>201</f>
        <v>201</v>
      </c>
      <c r="O1769" s="4" t="s">
        <v>265</v>
      </c>
      <c r="P1769" s="6">
        <f>1</f>
        <v>1</v>
      </c>
      <c r="Q1769" s="6">
        <f>0</f>
        <v>0</v>
      </c>
      <c r="S1769" s="6">
        <f>0</f>
        <v>0</v>
      </c>
      <c r="T1769" s="6">
        <f>1</f>
        <v>1</v>
      </c>
      <c r="U1769" s="5" t="s">
        <v>245</v>
      </c>
      <c r="V1769" s="4" t="s">
        <v>270</v>
      </c>
      <c r="W1769" s="4" t="s">
        <v>271</v>
      </c>
      <c r="X1769" s="4" t="s">
        <v>273</v>
      </c>
      <c r="Y1769" s="4" t="s">
        <v>241</v>
      </c>
      <c r="AB1769" s="4" t="s">
        <v>241</v>
      </c>
      <c r="AD1769" s="5" t="s">
        <v>241</v>
      </c>
      <c r="AG1769" s="5" t="s">
        <v>246</v>
      </c>
      <c r="AH1769" s="4" t="s">
        <v>241</v>
      </c>
      <c r="AI1769" s="4" t="s">
        <v>247</v>
      </c>
      <c r="AJ1769" s="4" t="s">
        <v>248</v>
      </c>
      <c r="AZ1769" s="4" t="s">
        <v>249</v>
      </c>
      <c r="BA1769" s="4" t="s">
        <v>241</v>
      </c>
      <c r="BB1769" s="4" t="s">
        <v>250</v>
      </c>
      <c r="BC1769" s="4" t="s">
        <v>241</v>
      </c>
      <c r="BD1769" s="4" t="s">
        <v>252</v>
      </c>
      <c r="BE1769" s="4" t="s">
        <v>241</v>
      </c>
      <c r="BI1769" s="4" t="s">
        <v>253</v>
      </c>
      <c r="BJ1769" s="5" t="s">
        <v>246</v>
      </c>
      <c r="BK1769" s="4" t="s">
        <v>254</v>
      </c>
      <c r="BL1769" s="4" t="s">
        <v>255</v>
      </c>
      <c r="BM1769" s="4" t="s">
        <v>241</v>
      </c>
      <c r="BN1769" s="6">
        <f>0</f>
        <v>0</v>
      </c>
      <c r="BO1769" s="6">
        <f>0</f>
        <v>0</v>
      </c>
      <c r="BP1769" s="4" t="s">
        <v>256</v>
      </c>
      <c r="BQ1769" s="4" t="s">
        <v>257</v>
      </c>
      <c r="CE1769" s="4" t="s">
        <v>241</v>
      </c>
      <c r="CF1769" s="4" t="s">
        <v>241</v>
      </c>
      <c r="CJ1769" s="4" t="s">
        <v>276</v>
      </c>
      <c r="CK1769" s="4" t="s">
        <v>259</v>
      </c>
      <c r="CL1769" s="4" t="s">
        <v>241</v>
      </c>
      <c r="CO1769" s="5" t="s">
        <v>260</v>
      </c>
      <c r="CP1769" s="4" t="s">
        <v>241</v>
      </c>
      <c r="CQ1769" s="4" t="s">
        <v>261</v>
      </c>
      <c r="CR1769" s="4" t="s">
        <v>241</v>
      </c>
      <c r="CS1769" s="4" t="s">
        <v>241</v>
      </c>
      <c r="CT1769" s="4">
        <v>0</v>
      </c>
      <c r="CU1769" s="4" t="s">
        <v>262</v>
      </c>
      <c r="CV1769" s="4" t="s">
        <v>263</v>
      </c>
      <c r="CW1769" s="4" t="s">
        <v>263</v>
      </c>
      <c r="CX1769" s="4" t="s">
        <v>264</v>
      </c>
      <c r="DA1769" s="6">
        <f>1</f>
        <v>1</v>
      </c>
      <c r="DC1769" s="4" t="s">
        <v>277</v>
      </c>
      <c r="DD1769" s="4" t="s">
        <v>241</v>
      </c>
      <c r="DF1769" s="4" t="s">
        <v>277</v>
      </c>
      <c r="DG1769" s="6">
        <f>201</f>
        <v>201</v>
      </c>
      <c r="DI1769" s="4" t="s">
        <v>241</v>
      </c>
      <c r="DJ1769" s="4" t="s">
        <v>241</v>
      </c>
      <c r="DK1769" s="4" t="s">
        <v>241</v>
      </c>
      <c r="DL1769" s="4" t="s">
        <v>241</v>
      </c>
      <c r="DP1769" s="4" t="s">
        <v>241</v>
      </c>
      <c r="DQ1769" s="4" t="s">
        <v>241</v>
      </c>
      <c r="DR1769" s="4" t="s">
        <v>241</v>
      </c>
      <c r="DS1769" s="4" t="s">
        <v>241</v>
      </c>
      <c r="DV1769" s="4" t="s">
        <v>278</v>
      </c>
      <c r="DW1769" s="4" t="s">
        <v>1994</v>
      </c>
      <c r="HO1769" s="4" t="s">
        <v>267</v>
      </c>
    </row>
    <row r="1770" spans="1:223" ht="19.5" customHeight="1" x14ac:dyDescent="0.4">
      <c r="A1770" s="4">
        <v>1</v>
      </c>
      <c r="B1770" s="4" t="s">
        <v>239</v>
      </c>
      <c r="C1770" s="4">
        <v>3444</v>
      </c>
      <c r="D1770" s="4">
        <v>1</v>
      </c>
      <c r="E1770" s="4">
        <v>1</v>
      </c>
      <c r="F1770" s="4" t="s">
        <v>268</v>
      </c>
      <c r="G1770" s="4" t="s">
        <v>241</v>
      </c>
      <c r="H1770" s="4" t="s">
        <v>241</v>
      </c>
      <c r="I1770" s="4" t="s">
        <v>272</v>
      </c>
      <c r="J1770" s="4" t="s">
        <v>274</v>
      </c>
      <c r="K1770" s="4" t="s">
        <v>251</v>
      </c>
      <c r="L1770" s="4" t="s">
        <v>269</v>
      </c>
      <c r="M1770" s="5" t="s">
        <v>1991</v>
      </c>
      <c r="N1770" s="6">
        <f>74</f>
        <v>74</v>
      </c>
      <c r="O1770" s="4" t="s">
        <v>265</v>
      </c>
      <c r="P1770" s="6">
        <f>1</f>
        <v>1</v>
      </c>
      <c r="Q1770" s="6">
        <f>0</f>
        <v>0</v>
      </c>
      <c r="S1770" s="6">
        <f>0</f>
        <v>0</v>
      </c>
      <c r="T1770" s="6">
        <f>1</f>
        <v>1</v>
      </c>
      <c r="U1770" s="5" t="s">
        <v>245</v>
      </c>
      <c r="V1770" s="4" t="s">
        <v>270</v>
      </c>
      <c r="W1770" s="4" t="s">
        <v>271</v>
      </c>
      <c r="X1770" s="4" t="s">
        <v>273</v>
      </c>
      <c r="Y1770" s="4" t="s">
        <v>241</v>
      </c>
      <c r="AB1770" s="4" t="s">
        <v>241</v>
      </c>
      <c r="AD1770" s="5" t="s">
        <v>241</v>
      </c>
      <c r="AG1770" s="5" t="s">
        <v>246</v>
      </c>
      <c r="AH1770" s="4" t="s">
        <v>241</v>
      </c>
      <c r="AI1770" s="4" t="s">
        <v>247</v>
      </c>
      <c r="AJ1770" s="4" t="s">
        <v>248</v>
      </c>
      <c r="AZ1770" s="4" t="s">
        <v>249</v>
      </c>
      <c r="BA1770" s="4" t="s">
        <v>241</v>
      </c>
      <c r="BB1770" s="4" t="s">
        <v>250</v>
      </c>
      <c r="BC1770" s="4" t="s">
        <v>241</v>
      </c>
      <c r="BD1770" s="4" t="s">
        <v>252</v>
      </c>
      <c r="BE1770" s="4" t="s">
        <v>241</v>
      </c>
      <c r="BI1770" s="4" t="s">
        <v>253</v>
      </c>
      <c r="BJ1770" s="5" t="s">
        <v>246</v>
      </c>
      <c r="BK1770" s="4" t="s">
        <v>254</v>
      </c>
      <c r="BL1770" s="4" t="s">
        <v>255</v>
      </c>
      <c r="BM1770" s="4" t="s">
        <v>241</v>
      </c>
      <c r="BN1770" s="6">
        <f>0</f>
        <v>0</v>
      </c>
      <c r="BO1770" s="6">
        <f>0</f>
        <v>0</v>
      </c>
      <c r="BP1770" s="4" t="s">
        <v>256</v>
      </c>
      <c r="BQ1770" s="4" t="s">
        <v>257</v>
      </c>
      <c r="CE1770" s="4" t="s">
        <v>241</v>
      </c>
      <c r="CF1770" s="4" t="s">
        <v>241</v>
      </c>
      <c r="CJ1770" s="4" t="s">
        <v>276</v>
      </c>
      <c r="CK1770" s="4" t="s">
        <v>259</v>
      </c>
      <c r="CL1770" s="4" t="s">
        <v>241</v>
      </c>
      <c r="CO1770" s="5" t="s">
        <v>260</v>
      </c>
      <c r="CP1770" s="4" t="s">
        <v>241</v>
      </c>
      <c r="CQ1770" s="4" t="s">
        <v>261</v>
      </c>
      <c r="CR1770" s="4" t="s">
        <v>241</v>
      </c>
      <c r="CS1770" s="4" t="s">
        <v>241</v>
      </c>
      <c r="CT1770" s="4">
        <v>0</v>
      </c>
      <c r="CU1770" s="4" t="s">
        <v>262</v>
      </c>
      <c r="CV1770" s="4" t="s">
        <v>263</v>
      </c>
      <c r="CW1770" s="4" t="s">
        <v>263</v>
      </c>
      <c r="CX1770" s="4" t="s">
        <v>264</v>
      </c>
      <c r="DA1770" s="6">
        <f>1</f>
        <v>1</v>
      </c>
      <c r="DC1770" s="4" t="s">
        <v>277</v>
      </c>
      <c r="DD1770" s="4" t="s">
        <v>241</v>
      </c>
      <c r="DF1770" s="4" t="s">
        <v>277</v>
      </c>
      <c r="DG1770" s="6">
        <f>74</f>
        <v>74</v>
      </c>
      <c r="DI1770" s="4" t="s">
        <v>241</v>
      </c>
      <c r="DJ1770" s="4" t="s">
        <v>241</v>
      </c>
      <c r="DK1770" s="4" t="s">
        <v>241</v>
      </c>
      <c r="DL1770" s="4" t="s">
        <v>241</v>
      </c>
      <c r="DP1770" s="4" t="s">
        <v>241</v>
      </c>
      <c r="DQ1770" s="4" t="s">
        <v>241</v>
      </c>
      <c r="DR1770" s="4" t="s">
        <v>241</v>
      </c>
      <c r="DS1770" s="4" t="s">
        <v>241</v>
      </c>
      <c r="DV1770" s="4" t="s">
        <v>278</v>
      </c>
      <c r="DW1770" s="4" t="s">
        <v>1992</v>
      </c>
      <c r="HO1770" s="4" t="s">
        <v>267</v>
      </c>
    </row>
    <row r="1771" spans="1:223" ht="19.5" customHeight="1" x14ac:dyDescent="0.4">
      <c r="A1771" s="4">
        <v>1</v>
      </c>
      <c r="B1771" s="4" t="s">
        <v>239</v>
      </c>
      <c r="C1771" s="4">
        <v>3445</v>
      </c>
      <c r="D1771" s="4">
        <v>1</v>
      </c>
      <c r="E1771" s="4">
        <v>1</v>
      </c>
      <c r="F1771" s="4" t="s">
        <v>268</v>
      </c>
      <c r="G1771" s="4" t="s">
        <v>241</v>
      </c>
      <c r="H1771" s="4" t="s">
        <v>241</v>
      </c>
      <c r="I1771" s="4" t="s">
        <v>272</v>
      </c>
      <c r="J1771" s="4" t="s">
        <v>274</v>
      </c>
      <c r="K1771" s="4" t="s">
        <v>251</v>
      </c>
      <c r="L1771" s="4" t="s">
        <v>269</v>
      </c>
      <c r="M1771" s="5" t="s">
        <v>1987</v>
      </c>
      <c r="N1771" s="6">
        <f>11</f>
        <v>11</v>
      </c>
      <c r="O1771" s="4" t="s">
        <v>265</v>
      </c>
      <c r="P1771" s="6">
        <f>1</f>
        <v>1</v>
      </c>
      <c r="Q1771" s="6">
        <f>0</f>
        <v>0</v>
      </c>
      <c r="S1771" s="6">
        <f>0</f>
        <v>0</v>
      </c>
      <c r="T1771" s="6">
        <f>1</f>
        <v>1</v>
      </c>
      <c r="U1771" s="5" t="s">
        <v>245</v>
      </c>
      <c r="V1771" s="4" t="s">
        <v>270</v>
      </c>
      <c r="W1771" s="4" t="s">
        <v>271</v>
      </c>
      <c r="X1771" s="4" t="s">
        <v>273</v>
      </c>
      <c r="Y1771" s="4" t="s">
        <v>241</v>
      </c>
      <c r="AB1771" s="4" t="s">
        <v>241</v>
      </c>
      <c r="AD1771" s="5" t="s">
        <v>241</v>
      </c>
      <c r="AG1771" s="5" t="s">
        <v>246</v>
      </c>
      <c r="AH1771" s="4" t="s">
        <v>241</v>
      </c>
      <c r="AI1771" s="4" t="s">
        <v>247</v>
      </c>
      <c r="AJ1771" s="4" t="s">
        <v>248</v>
      </c>
      <c r="AZ1771" s="4" t="s">
        <v>249</v>
      </c>
      <c r="BA1771" s="4" t="s">
        <v>241</v>
      </c>
      <c r="BB1771" s="4" t="s">
        <v>250</v>
      </c>
      <c r="BC1771" s="4" t="s">
        <v>241</v>
      </c>
      <c r="BD1771" s="4" t="s">
        <v>252</v>
      </c>
      <c r="BE1771" s="4" t="s">
        <v>241</v>
      </c>
      <c r="BI1771" s="4" t="s">
        <v>253</v>
      </c>
      <c r="BJ1771" s="5" t="s">
        <v>246</v>
      </c>
      <c r="BK1771" s="4" t="s">
        <v>254</v>
      </c>
      <c r="BL1771" s="4" t="s">
        <v>255</v>
      </c>
      <c r="BM1771" s="4" t="s">
        <v>241</v>
      </c>
      <c r="BN1771" s="6">
        <f>0</f>
        <v>0</v>
      </c>
      <c r="BO1771" s="6">
        <f>0</f>
        <v>0</v>
      </c>
      <c r="BP1771" s="4" t="s">
        <v>256</v>
      </c>
      <c r="BQ1771" s="4" t="s">
        <v>257</v>
      </c>
      <c r="CE1771" s="4" t="s">
        <v>241</v>
      </c>
      <c r="CF1771" s="4" t="s">
        <v>241</v>
      </c>
      <c r="CJ1771" s="4" t="s">
        <v>276</v>
      </c>
      <c r="CK1771" s="4" t="s">
        <v>259</v>
      </c>
      <c r="CL1771" s="4" t="s">
        <v>241</v>
      </c>
      <c r="CO1771" s="5" t="s">
        <v>260</v>
      </c>
      <c r="CP1771" s="4" t="s">
        <v>241</v>
      </c>
      <c r="CQ1771" s="4" t="s">
        <v>261</v>
      </c>
      <c r="CR1771" s="4" t="s">
        <v>241</v>
      </c>
      <c r="CS1771" s="4" t="s">
        <v>241</v>
      </c>
      <c r="CT1771" s="4">
        <v>0</v>
      </c>
      <c r="CU1771" s="4" t="s">
        <v>262</v>
      </c>
      <c r="CV1771" s="4" t="s">
        <v>263</v>
      </c>
      <c r="CW1771" s="4" t="s">
        <v>263</v>
      </c>
      <c r="CX1771" s="4" t="s">
        <v>264</v>
      </c>
      <c r="DA1771" s="6">
        <f>1</f>
        <v>1</v>
      </c>
      <c r="DC1771" s="4" t="s">
        <v>277</v>
      </c>
      <c r="DD1771" s="4" t="s">
        <v>241</v>
      </c>
      <c r="DF1771" s="4" t="s">
        <v>277</v>
      </c>
      <c r="DG1771" s="6">
        <f>11</f>
        <v>11</v>
      </c>
      <c r="DI1771" s="4" t="s">
        <v>241</v>
      </c>
      <c r="DJ1771" s="4" t="s">
        <v>241</v>
      </c>
      <c r="DK1771" s="4" t="s">
        <v>241</v>
      </c>
      <c r="DL1771" s="4" t="s">
        <v>241</v>
      </c>
      <c r="DP1771" s="4" t="s">
        <v>241</v>
      </c>
      <c r="DQ1771" s="4" t="s">
        <v>241</v>
      </c>
      <c r="DR1771" s="4" t="s">
        <v>241</v>
      </c>
      <c r="DS1771" s="4" t="s">
        <v>241</v>
      </c>
      <c r="DV1771" s="4" t="s">
        <v>278</v>
      </c>
      <c r="DW1771" s="4" t="s">
        <v>1988</v>
      </c>
      <c r="HO1771" s="4" t="s">
        <v>267</v>
      </c>
    </row>
    <row r="1772" spans="1:223" ht="19.5" customHeight="1" x14ac:dyDescent="0.4">
      <c r="A1772" s="4">
        <v>1</v>
      </c>
      <c r="B1772" s="4" t="s">
        <v>239</v>
      </c>
      <c r="C1772" s="4">
        <v>3446</v>
      </c>
      <c r="D1772" s="4">
        <v>1</v>
      </c>
      <c r="E1772" s="4">
        <v>1</v>
      </c>
      <c r="F1772" s="4" t="s">
        <v>268</v>
      </c>
      <c r="G1772" s="4" t="s">
        <v>241</v>
      </c>
      <c r="H1772" s="4" t="s">
        <v>241</v>
      </c>
      <c r="I1772" s="4" t="s">
        <v>272</v>
      </c>
      <c r="J1772" s="4" t="s">
        <v>274</v>
      </c>
      <c r="K1772" s="4" t="s">
        <v>251</v>
      </c>
      <c r="L1772" s="4" t="s">
        <v>269</v>
      </c>
      <c r="M1772" s="5" t="s">
        <v>1985</v>
      </c>
      <c r="N1772" s="6">
        <f>1450</f>
        <v>1450</v>
      </c>
      <c r="O1772" s="4" t="s">
        <v>265</v>
      </c>
      <c r="P1772" s="6">
        <f>1</f>
        <v>1</v>
      </c>
      <c r="Q1772" s="6">
        <f>0</f>
        <v>0</v>
      </c>
      <c r="S1772" s="6">
        <f>0</f>
        <v>0</v>
      </c>
      <c r="T1772" s="6">
        <f>1</f>
        <v>1</v>
      </c>
      <c r="U1772" s="5" t="s">
        <v>245</v>
      </c>
      <c r="V1772" s="4" t="s">
        <v>270</v>
      </c>
      <c r="W1772" s="4" t="s">
        <v>271</v>
      </c>
      <c r="X1772" s="4" t="s">
        <v>273</v>
      </c>
      <c r="Y1772" s="4" t="s">
        <v>241</v>
      </c>
      <c r="AB1772" s="4" t="s">
        <v>241</v>
      </c>
      <c r="AD1772" s="5" t="s">
        <v>241</v>
      </c>
      <c r="AG1772" s="5" t="s">
        <v>246</v>
      </c>
      <c r="AH1772" s="4" t="s">
        <v>241</v>
      </c>
      <c r="AI1772" s="4" t="s">
        <v>247</v>
      </c>
      <c r="AJ1772" s="4" t="s">
        <v>248</v>
      </c>
      <c r="AZ1772" s="4" t="s">
        <v>249</v>
      </c>
      <c r="BA1772" s="4" t="s">
        <v>241</v>
      </c>
      <c r="BB1772" s="4" t="s">
        <v>250</v>
      </c>
      <c r="BC1772" s="4" t="s">
        <v>241</v>
      </c>
      <c r="BD1772" s="4" t="s">
        <v>252</v>
      </c>
      <c r="BE1772" s="4" t="s">
        <v>241</v>
      </c>
      <c r="BI1772" s="4" t="s">
        <v>253</v>
      </c>
      <c r="BJ1772" s="5" t="s">
        <v>246</v>
      </c>
      <c r="BK1772" s="4" t="s">
        <v>254</v>
      </c>
      <c r="BL1772" s="4" t="s">
        <v>255</v>
      </c>
      <c r="BM1772" s="4" t="s">
        <v>241</v>
      </c>
      <c r="BN1772" s="6">
        <f>0</f>
        <v>0</v>
      </c>
      <c r="BO1772" s="6">
        <f>0</f>
        <v>0</v>
      </c>
      <c r="BP1772" s="4" t="s">
        <v>256</v>
      </c>
      <c r="BQ1772" s="4" t="s">
        <v>257</v>
      </c>
      <c r="CE1772" s="4" t="s">
        <v>241</v>
      </c>
      <c r="CF1772" s="4" t="s">
        <v>241</v>
      </c>
      <c r="CJ1772" s="4" t="s">
        <v>276</v>
      </c>
      <c r="CK1772" s="4" t="s">
        <v>259</v>
      </c>
      <c r="CL1772" s="4" t="s">
        <v>241</v>
      </c>
      <c r="CO1772" s="5" t="s">
        <v>260</v>
      </c>
      <c r="CP1772" s="4" t="s">
        <v>241</v>
      </c>
      <c r="CQ1772" s="4" t="s">
        <v>261</v>
      </c>
      <c r="CR1772" s="4" t="s">
        <v>241</v>
      </c>
      <c r="CS1772" s="4" t="s">
        <v>241</v>
      </c>
      <c r="CT1772" s="4">
        <v>0</v>
      </c>
      <c r="CU1772" s="4" t="s">
        <v>262</v>
      </c>
      <c r="CV1772" s="4" t="s">
        <v>263</v>
      </c>
      <c r="CW1772" s="4" t="s">
        <v>263</v>
      </c>
      <c r="CX1772" s="4" t="s">
        <v>264</v>
      </c>
      <c r="DA1772" s="6">
        <f>1</f>
        <v>1</v>
      </c>
      <c r="DC1772" s="4" t="s">
        <v>277</v>
      </c>
      <c r="DD1772" s="4" t="s">
        <v>241</v>
      </c>
      <c r="DF1772" s="4" t="s">
        <v>277</v>
      </c>
      <c r="DG1772" s="6">
        <f>1450</f>
        <v>1450</v>
      </c>
      <c r="DI1772" s="4" t="s">
        <v>241</v>
      </c>
      <c r="DJ1772" s="4" t="s">
        <v>241</v>
      </c>
      <c r="DK1772" s="4" t="s">
        <v>241</v>
      </c>
      <c r="DL1772" s="4" t="s">
        <v>241</v>
      </c>
      <c r="DP1772" s="4" t="s">
        <v>241</v>
      </c>
      <c r="DQ1772" s="4" t="s">
        <v>241</v>
      </c>
      <c r="DR1772" s="4" t="s">
        <v>241</v>
      </c>
      <c r="DS1772" s="4" t="s">
        <v>241</v>
      </c>
      <c r="DV1772" s="4" t="s">
        <v>278</v>
      </c>
      <c r="DW1772" s="4" t="s">
        <v>1986</v>
      </c>
      <c r="HO1772" s="4" t="s">
        <v>267</v>
      </c>
    </row>
    <row r="1773" spans="1:223" ht="19.5" customHeight="1" x14ac:dyDescent="0.4">
      <c r="A1773" s="4">
        <v>1</v>
      </c>
      <c r="B1773" s="4" t="s">
        <v>239</v>
      </c>
      <c r="C1773" s="4">
        <v>3447</v>
      </c>
      <c r="D1773" s="4">
        <v>1</v>
      </c>
      <c r="E1773" s="4">
        <v>1</v>
      </c>
      <c r="F1773" s="4" t="s">
        <v>268</v>
      </c>
      <c r="G1773" s="4" t="s">
        <v>241</v>
      </c>
      <c r="H1773" s="4" t="s">
        <v>241</v>
      </c>
      <c r="I1773" s="4" t="s">
        <v>272</v>
      </c>
      <c r="J1773" s="4" t="s">
        <v>274</v>
      </c>
      <c r="K1773" s="4" t="s">
        <v>251</v>
      </c>
      <c r="L1773" s="4" t="s">
        <v>269</v>
      </c>
      <c r="M1773" s="5" t="s">
        <v>1983</v>
      </c>
      <c r="N1773" s="6">
        <f>318</f>
        <v>318</v>
      </c>
      <c r="O1773" s="4" t="s">
        <v>265</v>
      </c>
      <c r="P1773" s="6">
        <f>1</f>
        <v>1</v>
      </c>
      <c r="Q1773" s="6">
        <f>0</f>
        <v>0</v>
      </c>
      <c r="S1773" s="6">
        <f>0</f>
        <v>0</v>
      </c>
      <c r="T1773" s="6">
        <f>1</f>
        <v>1</v>
      </c>
      <c r="U1773" s="5" t="s">
        <v>245</v>
      </c>
      <c r="V1773" s="4" t="s">
        <v>270</v>
      </c>
      <c r="W1773" s="4" t="s">
        <v>271</v>
      </c>
      <c r="X1773" s="4" t="s">
        <v>273</v>
      </c>
      <c r="Y1773" s="4" t="s">
        <v>241</v>
      </c>
      <c r="AB1773" s="4" t="s">
        <v>241</v>
      </c>
      <c r="AD1773" s="5" t="s">
        <v>241</v>
      </c>
      <c r="AG1773" s="5" t="s">
        <v>246</v>
      </c>
      <c r="AH1773" s="4" t="s">
        <v>241</v>
      </c>
      <c r="AI1773" s="4" t="s">
        <v>247</v>
      </c>
      <c r="AJ1773" s="4" t="s">
        <v>248</v>
      </c>
      <c r="AZ1773" s="4" t="s">
        <v>249</v>
      </c>
      <c r="BA1773" s="4" t="s">
        <v>241</v>
      </c>
      <c r="BB1773" s="4" t="s">
        <v>250</v>
      </c>
      <c r="BC1773" s="4" t="s">
        <v>241</v>
      </c>
      <c r="BD1773" s="4" t="s">
        <v>252</v>
      </c>
      <c r="BE1773" s="4" t="s">
        <v>241</v>
      </c>
      <c r="BI1773" s="4" t="s">
        <v>253</v>
      </c>
      <c r="BJ1773" s="5" t="s">
        <v>246</v>
      </c>
      <c r="BK1773" s="4" t="s">
        <v>254</v>
      </c>
      <c r="BL1773" s="4" t="s">
        <v>255</v>
      </c>
      <c r="BM1773" s="4" t="s">
        <v>241</v>
      </c>
      <c r="BN1773" s="6">
        <f>0</f>
        <v>0</v>
      </c>
      <c r="BO1773" s="6">
        <f>0</f>
        <v>0</v>
      </c>
      <c r="BP1773" s="4" t="s">
        <v>256</v>
      </c>
      <c r="BQ1773" s="4" t="s">
        <v>257</v>
      </c>
      <c r="CE1773" s="4" t="s">
        <v>241</v>
      </c>
      <c r="CF1773" s="4" t="s">
        <v>241</v>
      </c>
      <c r="CJ1773" s="4" t="s">
        <v>276</v>
      </c>
      <c r="CK1773" s="4" t="s">
        <v>259</v>
      </c>
      <c r="CL1773" s="4" t="s">
        <v>241</v>
      </c>
      <c r="CO1773" s="5" t="s">
        <v>260</v>
      </c>
      <c r="CP1773" s="4" t="s">
        <v>241</v>
      </c>
      <c r="CQ1773" s="4" t="s">
        <v>261</v>
      </c>
      <c r="CR1773" s="4" t="s">
        <v>241</v>
      </c>
      <c r="CS1773" s="4" t="s">
        <v>241</v>
      </c>
      <c r="CT1773" s="4">
        <v>0</v>
      </c>
      <c r="CU1773" s="4" t="s">
        <v>262</v>
      </c>
      <c r="CV1773" s="4" t="s">
        <v>263</v>
      </c>
      <c r="CW1773" s="4" t="s">
        <v>263</v>
      </c>
      <c r="CX1773" s="4" t="s">
        <v>264</v>
      </c>
      <c r="DA1773" s="6">
        <f>1</f>
        <v>1</v>
      </c>
      <c r="DC1773" s="4" t="s">
        <v>277</v>
      </c>
      <c r="DD1773" s="4" t="s">
        <v>241</v>
      </c>
      <c r="DF1773" s="4" t="s">
        <v>277</v>
      </c>
      <c r="DG1773" s="6">
        <f>318</f>
        <v>318</v>
      </c>
      <c r="DI1773" s="4" t="s">
        <v>241</v>
      </c>
      <c r="DJ1773" s="4" t="s">
        <v>241</v>
      </c>
      <c r="DK1773" s="4" t="s">
        <v>241</v>
      </c>
      <c r="DL1773" s="4" t="s">
        <v>241</v>
      </c>
      <c r="DP1773" s="4" t="s">
        <v>241</v>
      </c>
      <c r="DQ1773" s="4" t="s">
        <v>241</v>
      </c>
      <c r="DR1773" s="4" t="s">
        <v>241</v>
      </c>
      <c r="DS1773" s="4" t="s">
        <v>241</v>
      </c>
      <c r="DV1773" s="4" t="s">
        <v>278</v>
      </c>
      <c r="DW1773" s="4" t="s">
        <v>1984</v>
      </c>
      <c r="HO1773" s="4" t="s">
        <v>267</v>
      </c>
    </row>
    <row r="1774" spans="1:223" ht="19.5" customHeight="1" x14ac:dyDescent="0.4">
      <c r="A1774" s="4">
        <v>1</v>
      </c>
      <c r="B1774" s="4" t="s">
        <v>239</v>
      </c>
      <c r="C1774" s="4">
        <v>3448</v>
      </c>
      <c r="D1774" s="4">
        <v>1</v>
      </c>
      <c r="E1774" s="4">
        <v>1</v>
      </c>
      <c r="F1774" s="4" t="s">
        <v>268</v>
      </c>
      <c r="G1774" s="4" t="s">
        <v>241</v>
      </c>
      <c r="H1774" s="4" t="s">
        <v>241</v>
      </c>
      <c r="I1774" s="4" t="s">
        <v>272</v>
      </c>
      <c r="J1774" s="4" t="s">
        <v>274</v>
      </c>
      <c r="K1774" s="4" t="s">
        <v>251</v>
      </c>
      <c r="L1774" s="4" t="s">
        <v>269</v>
      </c>
      <c r="M1774" s="5" t="s">
        <v>1981</v>
      </c>
      <c r="N1774" s="6">
        <f>3127</f>
        <v>3127</v>
      </c>
      <c r="O1774" s="4" t="s">
        <v>265</v>
      </c>
      <c r="P1774" s="6">
        <f>1</f>
        <v>1</v>
      </c>
      <c r="Q1774" s="6">
        <f>0</f>
        <v>0</v>
      </c>
      <c r="S1774" s="6">
        <f>0</f>
        <v>0</v>
      </c>
      <c r="T1774" s="6">
        <f>1</f>
        <v>1</v>
      </c>
      <c r="U1774" s="5" t="s">
        <v>245</v>
      </c>
      <c r="V1774" s="4" t="s">
        <v>270</v>
      </c>
      <c r="W1774" s="4" t="s">
        <v>271</v>
      </c>
      <c r="X1774" s="4" t="s">
        <v>273</v>
      </c>
      <c r="Y1774" s="4" t="s">
        <v>241</v>
      </c>
      <c r="AB1774" s="4" t="s">
        <v>241</v>
      </c>
      <c r="AD1774" s="5" t="s">
        <v>241</v>
      </c>
      <c r="AG1774" s="5" t="s">
        <v>246</v>
      </c>
      <c r="AH1774" s="4" t="s">
        <v>241</v>
      </c>
      <c r="AI1774" s="4" t="s">
        <v>247</v>
      </c>
      <c r="AJ1774" s="4" t="s">
        <v>248</v>
      </c>
      <c r="AZ1774" s="4" t="s">
        <v>249</v>
      </c>
      <c r="BA1774" s="4" t="s">
        <v>241</v>
      </c>
      <c r="BB1774" s="4" t="s">
        <v>250</v>
      </c>
      <c r="BC1774" s="4" t="s">
        <v>241</v>
      </c>
      <c r="BD1774" s="4" t="s">
        <v>252</v>
      </c>
      <c r="BE1774" s="4" t="s">
        <v>241</v>
      </c>
      <c r="BI1774" s="4" t="s">
        <v>253</v>
      </c>
      <c r="BJ1774" s="5" t="s">
        <v>246</v>
      </c>
      <c r="BK1774" s="4" t="s">
        <v>254</v>
      </c>
      <c r="BL1774" s="4" t="s">
        <v>255</v>
      </c>
      <c r="BM1774" s="4" t="s">
        <v>241</v>
      </c>
      <c r="BN1774" s="6">
        <f>0</f>
        <v>0</v>
      </c>
      <c r="BO1774" s="6">
        <f>0</f>
        <v>0</v>
      </c>
      <c r="BP1774" s="4" t="s">
        <v>256</v>
      </c>
      <c r="BQ1774" s="4" t="s">
        <v>257</v>
      </c>
      <c r="CE1774" s="4" t="s">
        <v>241</v>
      </c>
      <c r="CF1774" s="4" t="s">
        <v>241</v>
      </c>
      <c r="CJ1774" s="4" t="s">
        <v>276</v>
      </c>
      <c r="CK1774" s="4" t="s">
        <v>259</v>
      </c>
      <c r="CL1774" s="4" t="s">
        <v>241</v>
      </c>
      <c r="CO1774" s="5" t="s">
        <v>260</v>
      </c>
      <c r="CP1774" s="4" t="s">
        <v>241</v>
      </c>
      <c r="CQ1774" s="4" t="s">
        <v>261</v>
      </c>
      <c r="CR1774" s="4" t="s">
        <v>241</v>
      </c>
      <c r="CS1774" s="4" t="s">
        <v>241</v>
      </c>
      <c r="CT1774" s="4">
        <v>0</v>
      </c>
      <c r="CU1774" s="4" t="s">
        <v>262</v>
      </c>
      <c r="CV1774" s="4" t="s">
        <v>263</v>
      </c>
      <c r="CW1774" s="4" t="s">
        <v>263</v>
      </c>
      <c r="CX1774" s="4" t="s">
        <v>264</v>
      </c>
      <c r="DA1774" s="6">
        <f>1</f>
        <v>1</v>
      </c>
      <c r="DC1774" s="4" t="s">
        <v>277</v>
      </c>
      <c r="DD1774" s="4" t="s">
        <v>241</v>
      </c>
      <c r="DF1774" s="4" t="s">
        <v>277</v>
      </c>
      <c r="DG1774" s="6">
        <f>3127</f>
        <v>3127</v>
      </c>
      <c r="DI1774" s="4" t="s">
        <v>241</v>
      </c>
      <c r="DJ1774" s="4" t="s">
        <v>241</v>
      </c>
      <c r="DK1774" s="4" t="s">
        <v>241</v>
      </c>
      <c r="DL1774" s="4" t="s">
        <v>241</v>
      </c>
      <c r="DP1774" s="4" t="s">
        <v>241</v>
      </c>
      <c r="DQ1774" s="4" t="s">
        <v>241</v>
      </c>
      <c r="DR1774" s="4" t="s">
        <v>241</v>
      </c>
      <c r="DS1774" s="4" t="s">
        <v>241</v>
      </c>
      <c r="DV1774" s="4" t="s">
        <v>278</v>
      </c>
      <c r="DW1774" s="4" t="s">
        <v>1982</v>
      </c>
      <c r="HO1774" s="4" t="s">
        <v>267</v>
      </c>
    </row>
    <row r="1775" spans="1:223" ht="19.5" customHeight="1" x14ac:dyDescent="0.4">
      <c r="A1775" s="4">
        <v>1</v>
      </c>
      <c r="B1775" s="4" t="s">
        <v>239</v>
      </c>
      <c r="C1775" s="4">
        <v>3449</v>
      </c>
      <c r="D1775" s="4">
        <v>1</v>
      </c>
      <c r="E1775" s="4">
        <v>1</v>
      </c>
      <c r="F1775" s="4" t="s">
        <v>268</v>
      </c>
      <c r="G1775" s="4" t="s">
        <v>241</v>
      </c>
      <c r="H1775" s="4" t="s">
        <v>241</v>
      </c>
      <c r="I1775" s="4" t="s">
        <v>272</v>
      </c>
      <c r="J1775" s="4" t="s">
        <v>274</v>
      </c>
      <c r="K1775" s="4" t="s">
        <v>251</v>
      </c>
      <c r="L1775" s="4" t="s">
        <v>269</v>
      </c>
      <c r="M1775" s="5" t="s">
        <v>1979</v>
      </c>
      <c r="N1775" s="6">
        <f>570</f>
        <v>570</v>
      </c>
      <c r="O1775" s="4" t="s">
        <v>265</v>
      </c>
      <c r="P1775" s="6">
        <f>1</f>
        <v>1</v>
      </c>
      <c r="Q1775" s="6">
        <f>0</f>
        <v>0</v>
      </c>
      <c r="S1775" s="6">
        <f>0</f>
        <v>0</v>
      </c>
      <c r="T1775" s="6">
        <f>1</f>
        <v>1</v>
      </c>
      <c r="U1775" s="5" t="s">
        <v>245</v>
      </c>
      <c r="V1775" s="4" t="s">
        <v>270</v>
      </c>
      <c r="W1775" s="4" t="s">
        <v>271</v>
      </c>
      <c r="X1775" s="4" t="s">
        <v>273</v>
      </c>
      <c r="Y1775" s="4" t="s">
        <v>241</v>
      </c>
      <c r="AB1775" s="4" t="s">
        <v>241</v>
      </c>
      <c r="AD1775" s="5" t="s">
        <v>241</v>
      </c>
      <c r="AG1775" s="5" t="s">
        <v>246</v>
      </c>
      <c r="AH1775" s="4" t="s">
        <v>241</v>
      </c>
      <c r="AI1775" s="4" t="s">
        <v>247</v>
      </c>
      <c r="AJ1775" s="4" t="s">
        <v>248</v>
      </c>
      <c r="AZ1775" s="4" t="s">
        <v>249</v>
      </c>
      <c r="BA1775" s="4" t="s">
        <v>241</v>
      </c>
      <c r="BB1775" s="4" t="s">
        <v>250</v>
      </c>
      <c r="BC1775" s="4" t="s">
        <v>241</v>
      </c>
      <c r="BD1775" s="4" t="s">
        <v>252</v>
      </c>
      <c r="BE1775" s="4" t="s">
        <v>241</v>
      </c>
      <c r="BI1775" s="4" t="s">
        <v>253</v>
      </c>
      <c r="BJ1775" s="5" t="s">
        <v>246</v>
      </c>
      <c r="BK1775" s="4" t="s">
        <v>254</v>
      </c>
      <c r="BL1775" s="4" t="s">
        <v>255</v>
      </c>
      <c r="BM1775" s="4" t="s">
        <v>241</v>
      </c>
      <c r="BN1775" s="6">
        <f>0</f>
        <v>0</v>
      </c>
      <c r="BO1775" s="6">
        <f>0</f>
        <v>0</v>
      </c>
      <c r="BP1775" s="4" t="s">
        <v>256</v>
      </c>
      <c r="BQ1775" s="4" t="s">
        <v>257</v>
      </c>
      <c r="CE1775" s="4" t="s">
        <v>241</v>
      </c>
      <c r="CF1775" s="4" t="s">
        <v>241</v>
      </c>
      <c r="CJ1775" s="4" t="s">
        <v>276</v>
      </c>
      <c r="CK1775" s="4" t="s">
        <v>259</v>
      </c>
      <c r="CL1775" s="4" t="s">
        <v>241</v>
      </c>
      <c r="CO1775" s="5" t="s">
        <v>260</v>
      </c>
      <c r="CP1775" s="4" t="s">
        <v>241</v>
      </c>
      <c r="CQ1775" s="4" t="s">
        <v>261</v>
      </c>
      <c r="CR1775" s="4" t="s">
        <v>241</v>
      </c>
      <c r="CS1775" s="4" t="s">
        <v>241</v>
      </c>
      <c r="CT1775" s="4">
        <v>0</v>
      </c>
      <c r="CU1775" s="4" t="s">
        <v>262</v>
      </c>
      <c r="CV1775" s="4" t="s">
        <v>263</v>
      </c>
      <c r="CW1775" s="4" t="s">
        <v>263</v>
      </c>
      <c r="CX1775" s="4" t="s">
        <v>264</v>
      </c>
      <c r="DA1775" s="6">
        <f>1</f>
        <v>1</v>
      </c>
      <c r="DC1775" s="4" t="s">
        <v>277</v>
      </c>
      <c r="DD1775" s="4" t="s">
        <v>241</v>
      </c>
      <c r="DF1775" s="4" t="s">
        <v>277</v>
      </c>
      <c r="DG1775" s="6">
        <f>570</f>
        <v>570</v>
      </c>
      <c r="DI1775" s="4" t="s">
        <v>241</v>
      </c>
      <c r="DJ1775" s="4" t="s">
        <v>241</v>
      </c>
      <c r="DK1775" s="4" t="s">
        <v>241</v>
      </c>
      <c r="DL1775" s="4" t="s">
        <v>241</v>
      </c>
      <c r="DP1775" s="4" t="s">
        <v>241</v>
      </c>
      <c r="DQ1775" s="4" t="s">
        <v>241</v>
      </c>
      <c r="DR1775" s="4" t="s">
        <v>241</v>
      </c>
      <c r="DS1775" s="4" t="s">
        <v>241</v>
      </c>
      <c r="DV1775" s="4" t="s">
        <v>278</v>
      </c>
      <c r="DW1775" s="4" t="s">
        <v>1980</v>
      </c>
      <c r="HO1775" s="4" t="s">
        <v>267</v>
      </c>
    </row>
    <row r="1776" spans="1:223" ht="19.5" customHeight="1" x14ac:dyDescent="0.4">
      <c r="A1776" s="4">
        <v>1</v>
      </c>
      <c r="B1776" s="4" t="s">
        <v>239</v>
      </c>
      <c r="C1776" s="4">
        <v>3450</v>
      </c>
      <c r="D1776" s="4">
        <v>1</v>
      </c>
      <c r="E1776" s="4">
        <v>1</v>
      </c>
      <c r="F1776" s="4" t="s">
        <v>268</v>
      </c>
      <c r="G1776" s="4" t="s">
        <v>241</v>
      </c>
      <c r="H1776" s="4" t="s">
        <v>241</v>
      </c>
      <c r="I1776" s="4" t="s">
        <v>272</v>
      </c>
      <c r="J1776" s="4" t="s">
        <v>274</v>
      </c>
      <c r="K1776" s="4" t="s">
        <v>251</v>
      </c>
      <c r="L1776" s="4" t="s">
        <v>269</v>
      </c>
      <c r="M1776" s="5" t="s">
        <v>1975</v>
      </c>
      <c r="N1776" s="6">
        <f>2876</f>
        <v>2876</v>
      </c>
      <c r="O1776" s="4" t="s">
        <v>265</v>
      </c>
      <c r="P1776" s="6">
        <f>1</f>
        <v>1</v>
      </c>
      <c r="Q1776" s="6">
        <f>0</f>
        <v>0</v>
      </c>
      <c r="S1776" s="6">
        <f>0</f>
        <v>0</v>
      </c>
      <c r="T1776" s="6">
        <f>1</f>
        <v>1</v>
      </c>
      <c r="U1776" s="5" t="s">
        <v>245</v>
      </c>
      <c r="V1776" s="4" t="s">
        <v>270</v>
      </c>
      <c r="W1776" s="4" t="s">
        <v>271</v>
      </c>
      <c r="X1776" s="4" t="s">
        <v>273</v>
      </c>
      <c r="Y1776" s="4" t="s">
        <v>241</v>
      </c>
      <c r="AB1776" s="4" t="s">
        <v>241</v>
      </c>
      <c r="AD1776" s="5" t="s">
        <v>241</v>
      </c>
      <c r="AG1776" s="5" t="s">
        <v>246</v>
      </c>
      <c r="AH1776" s="4" t="s">
        <v>241</v>
      </c>
      <c r="AI1776" s="4" t="s">
        <v>247</v>
      </c>
      <c r="AJ1776" s="4" t="s">
        <v>248</v>
      </c>
      <c r="AZ1776" s="4" t="s">
        <v>249</v>
      </c>
      <c r="BA1776" s="4" t="s">
        <v>241</v>
      </c>
      <c r="BB1776" s="4" t="s">
        <v>250</v>
      </c>
      <c r="BC1776" s="4" t="s">
        <v>241</v>
      </c>
      <c r="BD1776" s="4" t="s">
        <v>252</v>
      </c>
      <c r="BE1776" s="4" t="s">
        <v>241</v>
      </c>
      <c r="BI1776" s="4" t="s">
        <v>253</v>
      </c>
      <c r="BJ1776" s="5" t="s">
        <v>246</v>
      </c>
      <c r="BK1776" s="4" t="s">
        <v>254</v>
      </c>
      <c r="BL1776" s="4" t="s">
        <v>255</v>
      </c>
      <c r="BM1776" s="4" t="s">
        <v>241</v>
      </c>
      <c r="BN1776" s="6">
        <f>0</f>
        <v>0</v>
      </c>
      <c r="BO1776" s="6">
        <f>0</f>
        <v>0</v>
      </c>
      <c r="BP1776" s="4" t="s">
        <v>256</v>
      </c>
      <c r="BQ1776" s="4" t="s">
        <v>257</v>
      </c>
      <c r="CE1776" s="4" t="s">
        <v>241</v>
      </c>
      <c r="CF1776" s="4" t="s">
        <v>241</v>
      </c>
      <c r="CJ1776" s="4" t="s">
        <v>276</v>
      </c>
      <c r="CK1776" s="4" t="s">
        <v>259</v>
      </c>
      <c r="CL1776" s="4" t="s">
        <v>241</v>
      </c>
      <c r="CO1776" s="5" t="s">
        <v>260</v>
      </c>
      <c r="CP1776" s="4" t="s">
        <v>241</v>
      </c>
      <c r="CQ1776" s="4" t="s">
        <v>261</v>
      </c>
      <c r="CR1776" s="4" t="s">
        <v>241</v>
      </c>
      <c r="CS1776" s="4" t="s">
        <v>241</v>
      </c>
      <c r="CT1776" s="4">
        <v>0</v>
      </c>
      <c r="CU1776" s="4" t="s">
        <v>262</v>
      </c>
      <c r="CV1776" s="4" t="s">
        <v>263</v>
      </c>
      <c r="CW1776" s="4" t="s">
        <v>263</v>
      </c>
      <c r="CX1776" s="4" t="s">
        <v>264</v>
      </c>
      <c r="DA1776" s="6">
        <f>1</f>
        <v>1</v>
      </c>
      <c r="DC1776" s="4" t="s">
        <v>277</v>
      </c>
      <c r="DD1776" s="4" t="s">
        <v>241</v>
      </c>
      <c r="DF1776" s="4" t="s">
        <v>277</v>
      </c>
      <c r="DG1776" s="6">
        <f>2876</f>
        <v>2876</v>
      </c>
      <c r="DI1776" s="4" t="s">
        <v>241</v>
      </c>
      <c r="DJ1776" s="4" t="s">
        <v>241</v>
      </c>
      <c r="DK1776" s="4" t="s">
        <v>241</v>
      </c>
      <c r="DL1776" s="4" t="s">
        <v>241</v>
      </c>
      <c r="DP1776" s="4" t="s">
        <v>241</v>
      </c>
      <c r="DQ1776" s="4" t="s">
        <v>241</v>
      </c>
      <c r="DR1776" s="4" t="s">
        <v>241</v>
      </c>
      <c r="DS1776" s="4" t="s">
        <v>241</v>
      </c>
      <c r="DV1776" s="4" t="s">
        <v>278</v>
      </c>
      <c r="DW1776" s="4" t="s">
        <v>1976</v>
      </c>
      <c r="HO1776" s="4" t="s">
        <v>267</v>
      </c>
    </row>
    <row r="1777" spans="1:223" ht="19.5" customHeight="1" x14ac:dyDescent="0.4">
      <c r="A1777" s="4">
        <v>1</v>
      </c>
      <c r="B1777" s="4" t="s">
        <v>239</v>
      </c>
      <c r="C1777" s="4">
        <v>3451</v>
      </c>
      <c r="D1777" s="4">
        <v>1</v>
      </c>
      <c r="E1777" s="4">
        <v>1</v>
      </c>
      <c r="F1777" s="4" t="s">
        <v>268</v>
      </c>
      <c r="G1777" s="4" t="s">
        <v>241</v>
      </c>
      <c r="H1777" s="4" t="s">
        <v>241</v>
      </c>
      <c r="I1777" s="4" t="s">
        <v>272</v>
      </c>
      <c r="J1777" s="4" t="s">
        <v>274</v>
      </c>
      <c r="K1777" s="4" t="s">
        <v>251</v>
      </c>
      <c r="L1777" s="4" t="s">
        <v>269</v>
      </c>
      <c r="M1777" s="5" t="s">
        <v>1973</v>
      </c>
      <c r="N1777" s="6">
        <f>578</f>
        <v>578</v>
      </c>
      <c r="O1777" s="4" t="s">
        <v>265</v>
      </c>
      <c r="P1777" s="6">
        <f>1</f>
        <v>1</v>
      </c>
      <c r="Q1777" s="6">
        <f>0</f>
        <v>0</v>
      </c>
      <c r="S1777" s="6">
        <f>0</f>
        <v>0</v>
      </c>
      <c r="T1777" s="6">
        <f>1</f>
        <v>1</v>
      </c>
      <c r="U1777" s="5" t="s">
        <v>245</v>
      </c>
      <c r="V1777" s="4" t="s">
        <v>270</v>
      </c>
      <c r="W1777" s="4" t="s">
        <v>271</v>
      </c>
      <c r="X1777" s="4" t="s">
        <v>273</v>
      </c>
      <c r="Y1777" s="4" t="s">
        <v>241</v>
      </c>
      <c r="AB1777" s="4" t="s">
        <v>241</v>
      </c>
      <c r="AD1777" s="5" t="s">
        <v>241</v>
      </c>
      <c r="AG1777" s="5" t="s">
        <v>246</v>
      </c>
      <c r="AH1777" s="4" t="s">
        <v>241</v>
      </c>
      <c r="AI1777" s="4" t="s">
        <v>247</v>
      </c>
      <c r="AJ1777" s="4" t="s">
        <v>248</v>
      </c>
      <c r="AZ1777" s="4" t="s">
        <v>249</v>
      </c>
      <c r="BA1777" s="4" t="s">
        <v>241</v>
      </c>
      <c r="BB1777" s="4" t="s">
        <v>250</v>
      </c>
      <c r="BC1777" s="4" t="s">
        <v>241</v>
      </c>
      <c r="BD1777" s="4" t="s">
        <v>252</v>
      </c>
      <c r="BE1777" s="4" t="s">
        <v>241</v>
      </c>
      <c r="BI1777" s="4" t="s">
        <v>253</v>
      </c>
      <c r="BJ1777" s="5" t="s">
        <v>246</v>
      </c>
      <c r="BK1777" s="4" t="s">
        <v>254</v>
      </c>
      <c r="BL1777" s="4" t="s">
        <v>255</v>
      </c>
      <c r="BM1777" s="4" t="s">
        <v>241</v>
      </c>
      <c r="BN1777" s="6">
        <f>0</f>
        <v>0</v>
      </c>
      <c r="BO1777" s="6">
        <f>0</f>
        <v>0</v>
      </c>
      <c r="BP1777" s="4" t="s">
        <v>256</v>
      </c>
      <c r="BQ1777" s="4" t="s">
        <v>257</v>
      </c>
      <c r="CE1777" s="4" t="s">
        <v>241</v>
      </c>
      <c r="CF1777" s="4" t="s">
        <v>241</v>
      </c>
      <c r="CJ1777" s="4" t="s">
        <v>276</v>
      </c>
      <c r="CK1777" s="4" t="s">
        <v>259</v>
      </c>
      <c r="CL1777" s="4" t="s">
        <v>241</v>
      </c>
      <c r="CO1777" s="5" t="s">
        <v>260</v>
      </c>
      <c r="CP1777" s="4" t="s">
        <v>241</v>
      </c>
      <c r="CQ1777" s="4" t="s">
        <v>261</v>
      </c>
      <c r="CR1777" s="4" t="s">
        <v>241</v>
      </c>
      <c r="CS1777" s="4" t="s">
        <v>241</v>
      </c>
      <c r="CT1777" s="4">
        <v>0</v>
      </c>
      <c r="CU1777" s="4" t="s">
        <v>262</v>
      </c>
      <c r="CV1777" s="4" t="s">
        <v>263</v>
      </c>
      <c r="CW1777" s="4" t="s">
        <v>263</v>
      </c>
      <c r="CX1777" s="4" t="s">
        <v>264</v>
      </c>
      <c r="DA1777" s="6">
        <f>1</f>
        <v>1</v>
      </c>
      <c r="DC1777" s="4" t="s">
        <v>277</v>
      </c>
      <c r="DD1777" s="4" t="s">
        <v>241</v>
      </c>
      <c r="DF1777" s="4" t="s">
        <v>277</v>
      </c>
      <c r="DG1777" s="6">
        <f>578</f>
        <v>578</v>
      </c>
      <c r="DI1777" s="4" t="s">
        <v>241</v>
      </c>
      <c r="DJ1777" s="4" t="s">
        <v>241</v>
      </c>
      <c r="DK1777" s="4" t="s">
        <v>241</v>
      </c>
      <c r="DL1777" s="4" t="s">
        <v>241</v>
      </c>
      <c r="DP1777" s="4" t="s">
        <v>241</v>
      </c>
      <c r="DQ1777" s="4" t="s">
        <v>241</v>
      </c>
      <c r="DR1777" s="4" t="s">
        <v>241</v>
      </c>
      <c r="DS1777" s="4" t="s">
        <v>241</v>
      </c>
      <c r="DV1777" s="4" t="s">
        <v>278</v>
      </c>
      <c r="DW1777" s="4" t="s">
        <v>1974</v>
      </c>
      <c r="HO1777" s="4" t="s">
        <v>267</v>
      </c>
    </row>
    <row r="1778" spans="1:223" ht="19.5" customHeight="1" x14ac:dyDescent="0.4">
      <c r="A1778" s="4">
        <v>1</v>
      </c>
      <c r="B1778" s="4" t="s">
        <v>239</v>
      </c>
      <c r="C1778" s="4">
        <v>3452</v>
      </c>
      <c r="D1778" s="4">
        <v>1</v>
      </c>
      <c r="E1778" s="4">
        <v>1</v>
      </c>
      <c r="F1778" s="4" t="s">
        <v>268</v>
      </c>
      <c r="G1778" s="4" t="s">
        <v>241</v>
      </c>
      <c r="H1778" s="4" t="s">
        <v>241</v>
      </c>
      <c r="I1778" s="4" t="s">
        <v>272</v>
      </c>
      <c r="J1778" s="4" t="s">
        <v>274</v>
      </c>
      <c r="K1778" s="4" t="s">
        <v>251</v>
      </c>
      <c r="L1778" s="4" t="s">
        <v>269</v>
      </c>
      <c r="M1778" s="5" t="s">
        <v>1971</v>
      </c>
      <c r="N1778" s="6">
        <f>6026</f>
        <v>6026</v>
      </c>
      <c r="O1778" s="4" t="s">
        <v>265</v>
      </c>
      <c r="P1778" s="6">
        <f>1</f>
        <v>1</v>
      </c>
      <c r="Q1778" s="6">
        <f>0</f>
        <v>0</v>
      </c>
      <c r="S1778" s="6">
        <f>0</f>
        <v>0</v>
      </c>
      <c r="T1778" s="6">
        <f>1</f>
        <v>1</v>
      </c>
      <c r="U1778" s="5" t="s">
        <v>245</v>
      </c>
      <c r="V1778" s="4" t="s">
        <v>270</v>
      </c>
      <c r="W1778" s="4" t="s">
        <v>271</v>
      </c>
      <c r="X1778" s="4" t="s">
        <v>273</v>
      </c>
      <c r="Y1778" s="4" t="s">
        <v>241</v>
      </c>
      <c r="AB1778" s="4" t="s">
        <v>241</v>
      </c>
      <c r="AD1778" s="5" t="s">
        <v>241</v>
      </c>
      <c r="AG1778" s="5" t="s">
        <v>246</v>
      </c>
      <c r="AH1778" s="4" t="s">
        <v>241</v>
      </c>
      <c r="AI1778" s="4" t="s">
        <v>247</v>
      </c>
      <c r="AJ1778" s="4" t="s">
        <v>248</v>
      </c>
      <c r="AZ1778" s="4" t="s">
        <v>249</v>
      </c>
      <c r="BA1778" s="4" t="s">
        <v>241</v>
      </c>
      <c r="BB1778" s="4" t="s">
        <v>250</v>
      </c>
      <c r="BC1778" s="4" t="s">
        <v>241</v>
      </c>
      <c r="BD1778" s="4" t="s">
        <v>252</v>
      </c>
      <c r="BE1778" s="4" t="s">
        <v>241</v>
      </c>
      <c r="BI1778" s="4" t="s">
        <v>253</v>
      </c>
      <c r="BJ1778" s="5" t="s">
        <v>246</v>
      </c>
      <c r="BK1778" s="4" t="s">
        <v>254</v>
      </c>
      <c r="BL1778" s="4" t="s">
        <v>255</v>
      </c>
      <c r="BM1778" s="4" t="s">
        <v>241</v>
      </c>
      <c r="BN1778" s="6">
        <f>0</f>
        <v>0</v>
      </c>
      <c r="BO1778" s="6">
        <f>0</f>
        <v>0</v>
      </c>
      <c r="BP1778" s="4" t="s">
        <v>256</v>
      </c>
      <c r="BQ1778" s="4" t="s">
        <v>257</v>
      </c>
      <c r="CE1778" s="4" t="s">
        <v>241</v>
      </c>
      <c r="CF1778" s="4" t="s">
        <v>241</v>
      </c>
      <c r="CJ1778" s="4" t="s">
        <v>276</v>
      </c>
      <c r="CK1778" s="4" t="s">
        <v>259</v>
      </c>
      <c r="CL1778" s="4" t="s">
        <v>241</v>
      </c>
      <c r="CO1778" s="5" t="s">
        <v>260</v>
      </c>
      <c r="CP1778" s="4" t="s">
        <v>241</v>
      </c>
      <c r="CQ1778" s="4" t="s">
        <v>261</v>
      </c>
      <c r="CR1778" s="4" t="s">
        <v>241</v>
      </c>
      <c r="CS1778" s="4" t="s">
        <v>241</v>
      </c>
      <c r="CT1778" s="4">
        <v>0</v>
      </c>
      <c r="CU1778" s="4" t="s">
        <v>262</v>
      </c>
      <c r="CV1778" s="4" t="s">
        <v>263</v>
      </c>
      <c r="CW1778" s="4" t="s">
        <v>263</v>
      </c>
      <c r="CX1778" s="4" t="s">
        <v>264</v>
      </c>
      <c r="DA1778" s="6">
        <f>1</f>
        <v>1</v>
      </c>
      <c r="DC1778" s="4" t="s">
        <v>277</v>
      </c>
      <c r="DD1778" s="4" t="s">
        <v>241</v>
      </c>
      <c r="DF1778" s="4" t="s">
        <v>277</v>
      </c>
      <c r="DG1778" s="6">
        <f>6026</f>
        <v>6026</v>
      </c>
      <c r="DI1778" s="4" t="s">
        <v>241</v>
      </c>
      <c r="DJ1778" s="4" t="s">
        <v>241</v>
      </c>
      <c r="DK1778" s="4" t="s">
        <v>241</v>
      </c>
      <c r="DL1778" s="4" t="s">
        <v>241</v>
      </c>
      <c r="DP1778" s="4" t="s">
        <v>241</v>
      </c>
      <c r="DQ1778" s="4" t="s">
        <v>241</v>
      </c>
      <c r="DR1778" s="4" t="s">
        <v>241</v>
      </c>
      <c r="DS1778" s="4" t="s">
        <v>241</v>
      </c>
      <c r="DV1778" s="4" t="s">
        <v>278</v>
      </c>
      <c r="DW1778" s="4" t="s">
        <v>1972</v>
      </c>
      <c r="HO1778" s="4" t="s">
        <v>267</v>
      </c>
    </row>
    <row r="1779" spans="1:223" ht="19.5" customHeight="1" x14ac:dyDescent="0.4">
      <c r="A1779" s="4">
        <v>1</v>
      </c>
      <c r="B1779" s="4" t="s">
        <v>239</v>
      </c>
      <c r="C1779" s="4">
        <v>3453</v>
      </c>
      <c r="D1779" s="4">
        <v>1</v>
      </c>
      <c r="E1779" s="4">
        <v>1</v>
      </c>
      <c r="F1779" s="4" t="s">
        <v>268</v>
      </c>
      <c r="G1779" s="4" t="s">
        <v>241</v>
      </c>
      <c r="H1779" s="4" t="s">
        <v>241</v>
      </c>
      <c r="I1779" s="4" t="s">
        <v>272</v>
      </c>
      <c r="J1779" s="4" t="s">
        <v>274</v>
      </c>
      <c r="K1779" s="4" t="s">
        <v>251</v>
      </c>
      <c r="L1779" s="4" t="s">
        <v>269</v>
      </c>
      <c r="M1779" s="5" t="s">
        <v>1969</v>
      </c>
      <c r="N1779" s="6">
        <f>532</f>
        <v>532</v>
      </c>
      <c r="O1779" s="4" t="s">
        <v>265</v>
      </c>
      <c r="P1779" s="6">
        <f>1</f>
        <v>1</v>
      </c>
      <c r="Q1779" s="6">
        <f>0</f>
        <v>0</v>
      </c>
      <c r="S1779" s="6">
        <f>0</f>
        <v>0</v>
      </c>
      <c r="T1779" s="6">
        <f>1</f>
        <v>1</v>
      </c>
      <c r="U1779" s="5" t="s">
        <v>245</v>
      </c>
      <c r="V1779" s="4" t="s">
        <v>270</v>
      </c>
      <c r="W1779" s="4" t="s">
        <v>271</v>
      </c>
      <c r="X1779" s="4" t="s">
        <v>273</v>
      </c>
      <c r="Y1779" s="4" t="s">
        <v>241</v>
      </c>
      <c r="AB1779" s="4" t="s">
        <v>241</v>
      </c>
      <c r="AD1779" s="5" t="s">
        <v>241</v>
      </c>
      <c r="AG1779" s="5" t="s">
        <v>246</v>
      </c>
      <c r="AH1779" s="4" t="s">
        <v>241</v>
      </c>
      <c r="AI1779" s="4" t="s">
        <v>247</v>
      </c>
      <c r="AJ1779" s="4" t="s">
        <v>248</v>
      </c>
      <c r="AZ1779" s="4" t="s">
        <v>249</v>
      </c>
      <c r="BA1779" s="4" t="s">
        <v>241</v>
      </c>
      <c r="BB1779" s="4" t="s">
        <v>250</v>
      </c>
      <c r="BC1779" s="4" t="s">
        <v>241</v>
      </c>
      <c r="BD1779" s="4" t="s">
        <v>252</v>
      </c>
      <c r="BE1779" s="4" t="s">
        <v>241</v>
      </c>
      <c r="BI1779" s="4" t="s">
        <v>253</v>
      </c>
      <c r="BJ1779" s="5" t="s">
        <v>246</v>
      </c>
      <c r="BK1779" s="4" t="s">
        <v>254</v>
      </c>
      <c r="BL1779" s="4" t="s">
        <v>255</v>
      </c>
      <c r="BM1779" s="4" t="s">
        <v>241</v>
      </c>
      <c r="BN1779" s="6">
        <f>0</f>
        <v>0</v>
      </c>
      <c r="BO1779" s="6">
        <f>0</f>
        <v>0</v>
      </c>
      <c r="BP1779" s="4" t="s">
        <v>256</v>
      </c>
      <c r="BQ1779" s="4" t="s">
        <v>257</v>
      </c>
      <c r="CE1779" s="4" t="s">
        <v>241</v>
      </c>
      <c r="CF1779" s="4" t="s">
        <v>241</v>
      </c>
      <c r="CJ1779" s="4" t="s">
        <v>276</v>
      </c>
      <c r="CK1779" s="4" t="s">
        <v>259</v>
      </c>
      <c r="CL1779" s="4" t="s">
        <v>241</v>
      </c>
      <c r="CO1779" s="5" t="s">
        <v>260</v>
      </c>
      <c r="CP1779" s="4" t="s">
        <v>241</v>
      </c>
      <c r="CQ1779" s="4" t="s">
        <v>261</v>
      </c>
      <c r="CR1779" s="4" t="s">
        <v>241</v>
      </c>
      <c r="CS1779" s="4" t="s">
        <v>241</v>
      </c>
      <c r="CT1779" s="4">
        <v>0</v>
      </c>
      <c r="CU1779" s="4" t="s">
        <v>262</v>
      </c>
      <c r="CV1779" s="4" t="s">
        <v>263</v>
      </c>
      <c r="CW1779" s="4" t="s">
        <v>263</v>
      </c>
      <c r="CX1779" s="4" t="s">
        <v>264</v>
      </c>
      <c r="DA1779" s="6">
        <f>1</f>
        <v>1</v>
      </c>
      <c r="DC1779" s="4" t="s">
        <v>277</v>
      </c>
      <c r="DD1779" s="4" t="s">
        <v>241</v>
      </c>
      <c r="DF1779" s="4" t="s">
        <v>277</v>
      </c>
      <c r="DG1779" s="6">
        <f>532</f>
        <v>532</v>
      </c>
      <c r="DI1779" s="4" t="s">
        <v>241</v>
      </c>
      <c r="DJ1779" s="4" t="s">
        <v>241</v>
      </c>
      <c r="DK1779" s="4" t="s">
        <v>241</v>
      </c>
      <c r="DL1779" s="4" t="s">
        <v>241</v>
      </c>
      <c r="DP1779" s="4" t="s">
        <v>241</v>
      </c>
      <c r="DQ1779" s="4" t="s">
        <v>241</v>
      </c>
      <c r="DR1779" s="4" t="s">
        <v>241</v>
      </c>
      <c r="DS1779" s="4" t="s">
        <v>241</v>
      </c>
      <c r="DV1779" s="4" t="s">
        <v>278</v>
      </c>
      <c r="DW1779" s="4" t="s">
        <v>1970</v>
      </c>
      <c r="HO1779" s="4" t="s">
        <v>267</v>
      </c>
    </row>
    <row r="1780" spans="1:223" ht="19.5" customHeight="1" x14ac:dyDescent="0.4">
      <c r="A1780" s="4">
        <v>1</v>
      </c>
      <c r="B1780" s="4" t="s">
        <v>239</v>
      </c>
      <c r="C1780" s="4">
        <v>3454</v>
      </c>
      <c r="D1780" s="4">
        <v>1</v>
      </c>
      <c r="E1780" s="4">
        <v>1</v>
      </c>
      <c r="F1780" s="4" t="s">
        <v>268</v>
      </c>
      <c r="G1780" s="4" t="s">
        <v>241</v>
      </c>
      <c r="H1780" s="4" t="s">
        <v>241</v>
      </c>
      <c r="I1780" s="4" t="s">
        <v>272</v>
      </c>
      <c r="J1780" s="4" t="s">
        <v>274</v>
      </c>
      <c r="K1780" s="4" t="s">
        <v>251</v>
      </c>
      <c r="L1780" s="4" t="s">
        <v>269</v>
      </c>
      <c r="M1780" s="5" t="s">
        <v>1967</v>
      </c>
      <c r="N1780" s="6">
        <f>1852</f>
        <v>1852</v>
      </c>
      <c r="O1780" s="4" t="s">
        <v>265</v>
      </c>
      <c r="P1780" s="6">
        <f>1</f>
        <v>1</v>
      </c>
      <c r="Q1780" s="6">
        <f>0</f>
        <v>0</v>
      </c>
      <c r="S1780" s="6">
        <f>0</f>
        <v>0</v>
      </c>
      <c r="T1780" s="6">
        <f>1</f>
        <v>1</v>
      </c>
      <c r="U1780" s="5" t="s">
        <v>245</v>
      </c>
      <c r="V1780" s="4" t="s">
        <v>270</v>
      </c>
      <c r="W1780" s="4" t="s">
        <v>271</v>
      </c>
      <c r="X1780" s="4" t="s">
        <v>273</v>
      </c>
      <c r="Y1780" s="4" t="s">
        <v>241</v>
      </c>
      <c r="AB1780" s="4" t="s">
        <v>241</v>
      </c>
      <c r="AD1780" s="5" t="s">
        <v>241</v>
      </c>
      <c r="AG1780" s="5" t="s">
        <v>246</v>
      </c>
      <c r="AH1780" s="4" t="s">
        <v>241</v>
      </c>
      <c r="AI1780" s="4" t="s">
        <v>247</v>
      </c>
      <c r="AJ1780" s="4" t="s">
        <v>248</v>
      </c>
      <c r="AZ1780" s="4" t="s">
        <v>249</v>
      </c>
      <c r="BA1780" s="4" t="s">
        <v>241</v>
      </c>
      <c r="BB1780" s="4" t="s">
        <v>250</v>
      </c>
      <c r="BC1780" s="4" t="s">
        <v>241</v>
      </c>
      <c r="BD1780" s="4" t="s">
        <v>252</v>
      </c>
      <c r="BE1780" s="4" t="s">
        <v>241</v>
      </c>
      <c r="BI1780" s="4" t="s">
        <v>253</v>
      </c>
      <c r="BJ1780" s="5" t="s">
        <v>246</v>
      </c>
      <c r="BK1780" s="4" t="s">
        <v>254</v>
      </c>
      <c r="BL1780" s="4" t="s">
        <v>255</v>
      </c>
      <c r="BM1780" s="4" t="s">
        <v>241</v>
      </c>
      <c r="BN1780" s="6">
        <f>0</f>
        <v>0</v>
      </c>
      <c r="BO1780" s="6">
        <f>0</f>
        <v>0</v>
      </c>
      <c r="BP1780" s="4" t="s">
        <v>256</v>
      </c>
      <c r="BQ1780" s="4" t="s">
        <v>257</v>
      </c>
      <c r="CE1780" s="4" t="s">
        <v>241</v>
      </c>
      <c r="CF1780" s="4" t="s">
        <v>241</v>
      </c>
      <c r="CJ1780" s="4" t="s">
        <v>276</v>
      </c>
      <c r="CK1780" s="4" t="s">
        <v>259</v>
      </c>
      <c r="CL1780" s="4" t="s">
        <v>241</v>
      </c>
      <c r="CO1780" s="5" t="s">
        <v>260</v>
      </c>
      <c r="CP1780" s="4" t="s">
        <v>241</v>
      </c>
      <c r="CQ1780" s="4" t="s">
        <v>261</v>
      </c>
      <c r="CR1780" s="4" t="s">
        <v>241</v>
      </c>
      <c r="CS1780" s="4" t="s">
        <v>241</v>
      </c>
      <c r="CT1780" s="4">
        <v>0</v>
      </c>
      <c r="CU1780" s="4" t="s">
        <v>262</v>
      </c>
      <c r="CV1780" s="4" t="s">
        <v>263</v>
      </c>
      <c r="CW1780" s="4" t="s">
        <v>263</v>
      </c>
      <c r="CX1780" s="4" t="s">
        <v>264</v>
      </c>
      <c r="DA1780" s="6">
        <f>1</f>
        <v>1</v>
      </c>
      <c r="DC1780" s="4" t="s">
        <v>277</v>
      </c>
      <c r="DD1780" s="4" t="s">
        <v>241</v>
      </c>
      <c r="DF1780" s="4" t="s">
        <v>277</v>
      </c>
      <c r="DG1780" s="6">
        <f>1852</f>
        <v>1852</v>
      </c>
      <c r="DI1780" s="4" t="s">
        <v>241</v>
      </c>
      <c r="DJ1780" s="4" t="s">
        <v>241</v>
      </c>
      <c r="DK1780" s="4" t="s">
        <v>241</v>
      </c>
      <c r="DL1780" s="4" t="s">
        <v>241</v>
      </c>
      <c r="DP1780" s="4" t="s">
        <v>241</v>
      </c>
      <c r="DQ1780" s="4" t="s">
        <v>241</v>
      </c>
      <c r="DR1780" s="4" t="s">
        <v>241</v>
      </c>
      <c r="DS1780" s="4" t="s">
        <v>241</v>
      </c>
      <c r="DV1780" s="4" t="s">
        <v>278</v>
      </c>
      <c r="DW1780" s="4" t="s">
        <v>1968</v>
      </c>
      <c r="HO1780" s="4" t="s">
        <v>267</v>
      </c>
    </row>
    <row r="1781" spans="1:223" ht="19.5" customHeight="1" x14ac:dyDescent="0.4">
      <c r="A1781" s="4">
        <v>1</v>
      </c>
      <c r="B1781" s="4" t="s">
        <v>239</v>
      </c>
      <c r="C1781" s="4">
        <v>3455</v>
      </c>
      <c r="D1781" s="4">
        <v>1</v>
      </c>
      <c r="E1781" s="4">
        <v>1</v>
      </c>
      <c r="F1781" s="4" t="s">
        <v>268</v>
      </c>
      <c r="G1781" s="4" t="s">
        <v>241</v>
      </c>
      <c r="H1781" s="4" t="s">
        <v>241</v>
      </c>
      <c r="I1781" s="4" t="s">
        <v>272</v>
      </c>
      <c r="J1781" s="4" t="s">
        <v>274</v>
      </c>
      <c r="K1781" s="4" t="s">
        <v>251</v>
      </c>
      <c r="L1781" s="4" t="s">
        <v>269</v>
      </c>
      <c r="M1781" s="5" t="s">
        <v>1965</v>
      </c>
      <c r="N1781" s="6">
        <f>530</f>
        <v>530</v>
      </c>
      <c r="O1781" s="4" t="s">
        <v>265</v>
      </c>
      <c r="P1781" s="6">
        <f>1</f>
        <v>1</v>
      </c>
      <c r="Q1781" s="6">
        <f>0</f>
        <v>0</v>
      </c>
      <c r="S1781" s="6">
        <f>0</f>
        <v>0</v>
      </c>
      <c r="T1781" s="6">
        <f>1</f>
        <v>1</v>
      </c>
      <c r="U1781" s="5" t="s">
        <v>245</v>
      </c>
      <c r="V1781" s="4" t="s">
        <v>270</v>
      </c>
      <c r="W1781" s="4" t="s">
        <v>271</v>
      </c>
      <c r="X1781" s="4" t="s">
        <v>273</v>
      </c>
      <c r="Y1781" s="4" t="s">
        <v>241</v>
      </c>
      <c r="AB1781" s="4" t="s">
        <v>241</v>
      </c>
      <c r="AD1781" s="5" t="s">
        <v>241</v>
      </c>
      <c r="AG1781" s="5" t="s">
        <v>246</v>
      </c>
      <c r="AH1781" s="4" t="s">
        <v>241</v>
      </c>
      <c r="AI1781" s="4" t="s">
        <v>247</v>
      </c>
      <c r="AJ1781" s="4" t="s">
        <v>248</v>
      </c>
      <c r="AZ1781" s="4" t="s">
        <v>249</v>
      </c>
      <c r="BA1781" s="4" t="s">
        <v>241</v>
      </c>
      <c r="BB1781" s="4" t="s">
        <v>250</v>
      </c>
      <c r="BC1781" s="4" t="s">
        <v>241</v>
      </c>
      <c r="BD1781" s="4" t="s">
        <v>252</v>
      </c>
      <c r="BE1781" s="4" t="s">
        <v>241</v>
      </c>
      <c r="BI1781" s="4" t="s">
        <v>253</v>
      </c>
      <c r="BJ1781" s="5" t="s">
        <v>246</v>
      </c>
      <c r="BK1781" s="4" t="s">
        <v>254</v>
      </c>
      <c r="BL1781" s="4" t="s">
        <v>255</v>
      </c>
      <c r="BM1781" s="4" t="s">
        <v>241</v>
      </c>
      <c r="BN1781" s="6">
        <f>0</f>
        <v>0</v>
      </c>
      <c r="BO1781" s="6">
        <f>0</f>
        <v>0</v>
      </c>
      <c r="BP1781" s="4" t="s">
        <v>256</v>
      </c>
      <c r="BQ1781" s="4" t="s">
        <v>257</v>
      </c>
      <c r="CE1781" s="4" t="s">
        <v>241</v>
      </c>
      <c r="CF1781" s="4" t="s">
        <v>241</v>
      </c>
      <c r="CJ1781" s="4" t="s">
        <v>276</v>
      </c>
      <c r="CK1781" s="4" t="s">
        <v>259</v>
      </c>
      <c r="CL1781" s="4" t="s">
        <v>241</v>
      </c>
      <c r="CO1781" s="5" t="s">
        <v>260</v>
      </c>
      <c r="CP1781" s="4" t="s">
        <v>241</v>
      </c>
      <c r="CQ1781" s="4" t="s">
        <v>261</v>
      </c>
      <c r="CR1781" s="4" t="s">
        <v>241</v>
      </c>
      <c r="CS1781" s="4" t="s">
        <v>241</v>
      </c>
      <c r="CT1781" s="4">
        <v>0</v>
      </c>
      <c r="CU1781" s="4" t="s">
        <v>262</v>
      </c>
      <c r="CV1781" s="4" t="s">
        <v>263</v>
      </c>
      <c r="CW1781" s="4" t="s">
        <v>263</v>
      </c>
      <c r="CX1781" s="4" t="s">
        <v>264</v>
      </c>
      <c r="DA1781" s="6">
        <f>1</f>
        <v>1</v>
      </c>
      <c r="DC1781" s="4" t="s">
        <v>277</v>
      </c>
      <c r="DD1781" s="4" t="s">
        <v>241</v>
      </c>
      <c r="DF1781" s="4" t="s">
        <v>277</v>
      </c>
      <c r="DG1781" s="6">
        <f>530</f>
        <v>530</v>
      </c>
      <c r="DI1781" s="4" t="s">
        <v>241</v>
      </c>
      <c r="DJ1781" s="4" t="s">
        <v>241</v>
      </c>
      <c r="DK1781" s="4" t="s">
        <v>241</v>
      </c>
      <c r="DL1781" s="4" t="s">
        <v>241</v>
      </c>
      <c r="DP1781" s="4" t="s">
        <v>241</v>
      </c>
      <c r="DQ1781" s="4" t="s">
        <v>241</v>
      </c>
      <c r="DR1781" s="4" t="s">
        <v>241</v>
      </c>
      <c r="DS1781" s="4" t="s">
        <v>241</v>
      </c>
      <c r="DV1781" s="4" t="s">
        <v>278</v>
      </c>
      <c r="DW1781" s="4" t="s">
        <v>1966</v>
      </c>
      <c r="HO1781" s="4" t="s">
        <v>267</v>
      </c>
    </row>
    <row r="1782" spans="1:223" ht="19.5" customHeight="1" x14ac:dyDescent="0.4">
      <c r="A1782" s="4">
        <v>1</v>
      </c>
      <c r="B1782" s="4" t="s">
        <v>239</v>
      </c>
      <c r="C1782" s="4">
        <v>3456</v>
      </c>
      <c r="D1782" s="4">
        <v>1</v>
      </c>
      <c r="E1782" s="4">
        <v>1</v>
      </c>
      <c r="F1782" s="4" t="s">
        <v>268</v>
      </c>
      <c r="G1782" s="4" t="s">
        <v>241</v>
      </c>
      <c r="H1782" s="4" t="s">
        <v>241</v>
      </c>
      <c r="I1782" s="4" t="s">
        <v>272</v>
      </c>
      <c r="J1782" s="4" t="s">
        <v>274</v>
      </c>
      <c r="K1782" s="4" t="s">
        <v>251</v>
      </c>
      <c r="L1782" s="4" t="s">
        <v>269</v>
      </c>
      <c r="M1782" s="5" t="s">
        <v>1963</v>
      </c>
      <c r="N1782" s="6">
        <f>679</f>
        <v>679</v>
      </c>
      <c r="O1782" s="4" t="s">
        <v>265</v>
      </c>
      <c r="P1782" s="6">
        <f>1</f>
        <v>1</v>
      </c>
      <c r="Q1782" s="6">
        <f>0</f>
        <v>0</v>
      </c>
      <c r="S1782" s="6">
        <f>0</f>
        <v>0</v>
      </c>
      <c r="T1782" s="6">
        <f>1</f>
        <v>1</v>
      </c>
      <c r="U1782" s="5" t="s">
        <v>245</v>
      </c>
      <c r="V1782" s="4" t="s">
        <v>270</v>
      </c>
      <c r="W1782" s="4" t="s">
        <v>271</v>
      </c>
      <c r="X1782" s="4" t="s">
        <v>273</v>
      </c>
      <c r="Y1782" s="4" t="s">
        <v>241</v>
      </c>
      <c r="AB1782" s="4" t="s">
        <v>241</v>
      </c>
      <c r="AD1782" s="5" t="s">
        <v>241</v>
      </c>
      <c r="AG1782" s="5" t="s">
        <v>246</v>
      </c>
      <c r="AH1782" s="4" t="s">
        <v>241</v>
      </c>
      <c r="AI1782" s="4" t="s">
        <v>247</v>
      </c>
      <c r="AJ1782" s="4" t="s">
        <v>248</v>
      </c>
      <c r="AZ1782" s="4" t="s">
        <v>249</v>
      </c>
      <c r="BA1782" s="4" t="s">
        <v>241</v>
      </c>
      <c r="BB1782" s="4" t="s">
        <v>250</v>
      </c>
      <c r="BC1782" s="4" t="s">
        <v>241</v>
      </c>
      <c r="BD1782" s="4" t="s">
        <v>252</v>
      </c>
      <c r="BE1782" s="4" t="s">
        <v>241</v>
      </c>
      <c r="BI1782" s="4" t="s">
        <v>253</v>
      </c>
      <c r="BJ1782" s="5" t="s">
        <v>246</v>
      </c>
      <c r="BK1782" s="4" t="s">
        <v>254</v>
      </c>
      <c r="BL1782" s="4" t="s">
        <v>255</v>
      </c>
      <c r="BM1782" s="4" t="s">
        <v>241</v>
      </c>
      <c r="BN1782" s="6">
        <f>0</f>
        <v>0</v>
      </c>
      <c r="BO1782" s="6">
        <f>0</f>
        <v>0</v>
      </c>
      <c r="BP1782" s="4" t="s">
        <v>256</v>
      </c>
      <c r="BQ1782" s="4" t="s">
        <v>257</v>
      </c>
      <c r="CE1782" s="4" t="s">
        <v>241</v>
      </c>
      <c r="CF1782" s="4" t="s">
        <v>241</v>
      </c>
      <c r="CJ1782" s="4" t="s">
        <v>276</v>
      </c>
      <c r="CK1782" s="4" t="s">
        <v>259</v>
      </c>
      <c r="CL1782" s="4" t="s">
        <v>241</v>
      </c>
      <c r="CO1782" s="5" t="s">
        <v>260</v>
      </c>
      <c r="CP1782" s="4" t="s">
        <v>241</v>
      </c>
      <c r="CQ1782" s="4" t="s">
        <v>261</v>
      </c>
      <c r="CR1782" s="4" t="s">
        <v>241</v>
      </c>
      <c r="CS1782" s="4" t="s">
        <v>241</v>
      </c>
      <c r="CT1782" s="4">
        <v>0</v>
      </c>
      <c r="CU1782" s="4" t="s">
        <v>262</v>
      </c>
      <c r="CV1782" s="4" t="s">
        <v>263</v>
      </c>
      <c r="CW1782" s="4" t="s">
        <v>263</v>
      </c>
      <c r="CX1782" s="4" t="s">
        <v>264</v>
      </c>
      <c r="DA1782" s="6">
        <f>1</f>
        <v>1</v>
      </c>
      <c r="DC1782" s="4" t="s">
        <v>277</v>
      </c>
      <c r="DD1782" s="4" t="s">
        <v>241</v>
      </c>
      <c r="DF1782" s="4" t="s">
        <v>277</v>
      </c>
      <c r="DG1782" s="6">
        <f>679</f>
        <v>679</v>
      </c>
      <c r="DI1782" s="4" t="s">
        <v>241</v>
      </c>
      <c r="DJ1782" s="4" t="s">
        <v>241</v>
      </c>
      <c r="DK1782" s="4" t="s">
        <v>241</v>
      </c>
      <c r="DL1782" s="4" t="s">
        <v>241</v>
      </c>
      <c r="DP1782" s="4" t="s">
        <v>241</v>
      </c>
      <c r="DQ1782" s="4" t="s">
        <v>241</v>
      </c>
      <c r="DR1782" s="4" t="s">
        <v>241</v>
      </c>
      <c r="DS1782" s="4" t="s">
        <v>241</v>
      </c>
      <c r="DV1782" s="4" t="s">
        <v>278</v>
      </c>
      <c r="DW1782" s="4" t="s">
        <v>1964</v>
      </c>
      <c r="HO1782" s="4" t="s">
        <v>267</v>
      </c>
    </row>
    <row r="1783" spans="1:223" ht="19.5" customHeight="1" x14ac:dyDescent="0.4">
      <c r="A1783" s="4">
        <v>1</v>
      </c>
      <c r="B1783" s="4" t="s">
        <v>239</v>
      </c>
      <c r="C1783" s="4">
        <v>3457</v>
      </c>
      <c r="D1783" s="4">
        <v>1</v>
      </c>
      <c r="E1783" s="4">
        <v>1</v>
      </c>
      <c r="F1783" s="4" t="s">
        <v>268</v>
      </c>
      <c r="G1783" s="4" t="s">
        <v>241</v>
      </c>
      <c r="H1783" s="4" t="s">
        <v>241</v>
      </c>
      <c r="I1783" s="4" t="s">
        <v>272</v>
      </c>
      <c r="J1783" s="4" t="s">
        <v>274</v>
      </c>
      <c r="K1783" s="4" t="s">
        <v>251</v>
      </c>
      <c r="L1783" s="4" t="s">
        <v>269</v>
      </c>
      <c r="M1783" s="5" t="s">
        <v>1960</v>
      </c>
      <c r="N1783" s="6">
        <f>327</f>
        <v>327</v>
      </c>
      <c r="O1783" s="4" t="s">
        <v>265</v>
      </c>
      <c r="P1783" s="6">
        <f>1</f>
        <v>1</v>
      </c>
      <c r="Q1783" s="6">
        <f>0</f>
        <v>0</v>
      </c>
      <c r="S1783" s="6">
        <f>0</f>
        <v>0</v>
      </c>
      <c r="T1783" s="6">
        <f>1</f>
        <v>1</v>
      </c>
      <c r="U1783" s="5" t="s">
        <v>245</v>
      </c>
      <c r="V1783" s="4" t="s">
        <v>270</v>
      </c>
      <c r="W1783" s="4" t="s">
        <v>271</v>
      </c>
      <c r="X1783" s="4" t="s">
        <v>273</v>
      </c>
      <c r="Y1783" s="4" t="s">
        <v>241</v>
      </c>
      <c r="AB1783" s="4" t="s">
        <v>241</v>
      </c>
      <c r="AD1783" s="5" t="s">
        <v>241</v>
      </c>
      <c r="AG1783" s="5" t="s">
        <v>246</v>
      </c>
      <c r="AH1783" s="4" t="s">
        <v>241</v>
      </c>
      <c r="AI1783" s="4" t="s">
        <v>247</v>
      </c>
      <c r="AJ1783" s="4" t="s">
        <v>248</v>
      </c>
      <c r="AZ1783" s="4" t="s">
        <v>249</v>
      </c>
      <c r="BA1783" s="4" t="s">
        <v>241</v>
      </c>
      <c r="BB1783" s="4" t="s">
        <v>250</v>
      </c>
      <c r="BC1783" s="4" t="s">
        <v>241</v>
      </c>
      <c r="BD1783" s="4" t="s">
        <v>252</v>
      </c>
      <c r="BE1783" s="4" t="s">
        <v>241</v>
      </c>
      <c r="BI1783" s="4" t="s">
        <v>253</v>
      </c>
      <c r="BJ1783" s="5" t="s">
        <v>246</v>
      </c>
      <c r="BK1783" s="4" t="s">
        <v>254</v>
      </c>
      <c r="BL1783" s="4" t="s">
        <v>255</v>
      </c>
      <c r="BM1783" s="4" t="s">
        <v>241</v>
      </c>
      <c r="BN1783" s="6">
        <f>0</f>
        <v>0</v>
      </c>
      <c r="BO1783" s="6">
        <f>0</f>
        <v>0</v>
      </c>
      <c r="BP1783" s="4" t="s">
        <v>256</v>
      </c>
      <c r="BQ1783" s="4" t="s">
        <v>257</v>
      </c>
      <c r="CE1783" s="4" t="s">
        <v>241</v>
      </c>
      <c r="CF1783" s="4" t="s">
        <v>241</v>
      </c>
      <c r="CJ1783" s="4" t="s">
        <v>276</v>
      </c>
      <c r="CK1783" s="4" t="s">
        <v>259</v>
      </c>
      <c r="CL1783" s="4" t="s">
        <v>241</v>
      </c>
      <c r="CO1783" s="5" t="s">
        <v>260</v>
      </c>
      <c r="CP1783" s="4" t="s">
        <v>241</v>
      </c>
      <c r="CQ1783" s="4" t="s">
        <v>261</v>
      </c>
      <c r="CR1783" s="4" t="s">
        <v>241</v>
      </c>
      <c r="CS1783" s="4" t="s">
        <v>241</v>
      </c>
      <c r="CT1783" s="4">
        <v>0</v>
      </c>
      <c r="CU1783" s="4" t="s">
        <v>262</v>
      </c>
      <c r="CV1783" s="4" t="s">
        <v>263</v>
      </c>
      <c r="CW1783" s="4" t="s">
        <v>263</v>
      </c>
      <c r="CX1783" s="4" t="s">
        <v>264</v>
      </c>
      <c r="DA1783" s="6">
        <f>1</f>
        <v>1</v>
      </c>
      <c r="DC1783" s="4" t="s">
        <v>277</v>
      </c>
      <c r="DD1783" s="4" t="s">
        <v>241</v>
      </c>
      <c r="DF1783" s="4" t="s">
        <v>277</v>
      </c>
      <c r="DG1783" s="6">
        <f>327</f>
        <v>327</v>
      </c>
      <c r="DI1783" s="4" t="s">
        <v>241</v>
      </c>
      <c r="DJ1783" s="4" t="s">
        <v>241</v>
      </c>
      <c r="DK1783" s="4" t="s">
        <v>241</v>
      </c>
      <c r="DL1783" s="4" t="s">
        <v>241</v>
      </c>
      <c r="DP1783" s="4" t="s">
        <v>241</v>
      </c>
      <c r="DQ1783" s="4" t="s">
        <v>241</v>
      </c>
      <c r="DR1783" s="4" t="s">
        <v>241</v>
      </c>
      <c r="DS1783" s="4" t="s">
        <v>241</v>
      </c>
      <c r="DV1783" s="4" t="s">
        <v>278</v>
      </c>
      <c r="DW1783" s="4" t="s">
        <v>1961</v>
      </c>
      <c r="HO1783" s="4" t="s">
        <v>267</v>
      </c>
    </row>
    <row r="1784" spans="1:223" ht="19.5" customHeight="1" x14ac:dyDescent="0.4">
      <c r="A1784" s="4">
        <v>1</v>
      </c>
      <c r="B1784" s="4" t="s">
        <v>239</v>
      </c>
      <c r="C1784" s="4">
        <v>3480</v>
      </c>
      <c r="D1784" s="4">
        <v>1</v>
      </c>
      <c r="E1784" s="4">
        <v>1</v>
      </c>
      <c r="F1784" s="4" t="s">
        <v>268</v>
      </c>
      <c r="G1784" s="4" t="s">
        <v>241</v>
      </c>
      <c r="H1784" s="4" t="s">
        <v>241</v>
      </c>
      <c r="I1784" s="4" t="s">
        <v>272</v>
      </c>
      <c r="J1784" s="4" t="s">
        <v>274</v>
      </c>
      <c r="K1784" s="4" t="s">
        <v>251</v>
      </c>
      <c r="L1784" s="4" t="s">
        <v>1356</v>
      </c>
      <c r="M1784" s="5" t="s">
        <v>1139</v>
      </c>
      <c r="N1784" s="6">
        <f>138.53</f>
        <v>138.53</v>
      </c>
      <c r="O1784" s="4" t="s">
        <v>265</v>
      </c>
      <c r="P1784" s="6">
        <f>2730121</f>
        <v>2730121</v>
      </c>
      <c r="Q1784" s="6">
        <f>0</f>
        <v>0</v>
      </c>
      <c r="S1784" s="6">
        <f>0</f>
        <v>0</v>
      </c>
      <c r="T1784" s="6">
        <f>2730121</f>
        <v>2730121</v>
      </c>
      <c r="U1784" s="5" t="s">
        <v>1357</v>
      </c>
      <c r="V1784" s="4" t="s">
        <v>270</v>
      </c>
      <c r="W1784" s="4" t="s">
        <v>242</v>
      </c>
      <c r="X1784" s="4" t="s">
        <v>273</v>
      </c>
      <c r="Y1784" s="4" t="s">
        <v>241</v>
      </c>
      <c r="AB1784" s="4" t="s">
        <v>241</v>
      </c>
      <c r="AD1784" s="5" t="s">
        <v>241</v>
      </c>
      <c r="AG1784" s="5" t="s">
        <v>246</v>
      </c>
      <c r="AH1784" s="4" t="s">
        <v>269</v>
      </c>
      <c r="AI1784" s="4" t="s">
        <v>247</v>
      </c>
      <c r="AJ1784" s="4" t="s">
        <v>248</v>
      </c>
      <c r="AZ1784" s="4" t="s">
        <v>249</v>
      </c>
      <c r="BA1784" s="4" t="s">
        <v>241</v>
      </c>
      <c r="BB1784" s="4" t="s">
        <v>250</v>
      </c>
      <c r="BC1784" s="4" t="s">
        <v>241</v>
      </c>
      <c r="BD1784" s="4" t="s">
        <v>252</v>
      </c>
      <c r="BE1784" s="4" t="s">
        <v>241</v>
      </c>
      <c r="BI1784" s="4" t="s">
        <v>253</v>
      </c>
      <c r="BJ1784" s="5" t="s">
        <v>1357</v>
      </c>
      <c r="BK1784" s="4" t="s">
        <v>254</v>
      </c>
      <c r="BL1784" s="4" t="s">
        <v>285</v>
      </c>
      <c r="BM1784" s="4" t="s">
        <v>241</v>
      </c>
      <c r="BN1784" s="6">
        <f>0</f>
        <v>0</v>
      </c>
      <c r="BO1784" s="6">
        <f>0</f>
        <v>0</v>
      </c>
      <c r="BP1784" s="4" t="s">
        <v>256</v>
      </c>
      <c r="BQ1784" s="4" t="s">
        <v>257</v>
      </c>
      <c r="CE1784" s="4" t="s">
        <v>241</v>
      </c>
      <c r="CF1784" s="4" t="s">
        <v>241</v>
      </c>
      <c r="CJ1784" s="4" t="s">
        <v>286</v>
      </c>
      <c r="CK1784" s="4" t="s">
        <v>259</v>
      </c>
      <c r="CL1784" s="4" t="s">
        <v>241</v>
      </c>
      <c r="CO1784" s="5" t="s">
        <v>260</v>
      </c>
      <c r="CP1784" s="4" t="s">
        <v>241</v>
      </c>
      <c r="CQ1784" s="4" t="s">
        <v>261</v>
      </c>
      <c r="CR1784" s="4" t="s">
        <v>241</v>
      </c>
      <c r="CS1784" s="4" t="s">
        <v>241</v>
      </c>
      <c r="CT1784" s="4">
        <v>0</v>
      </c>
      <c r="CU1784" s="4" t="s">
        <v>262</v>
      </c>
      <c r="CV1784" s="4" t="s">
        <v>263</v>
      </c>
      <c r="CW1784" s="4" t="s">
        <v>263</v>
      </c>
      <c r="CX1784" s="4" t="s">
        <v>264</v>
      </c>
      <c r="DA1784" s="6">
        <f>2730121</f>
        <v>2730121</v>
      </c>
      <c r="DC1784" s="4" t="s">
        <v>287</v>
      </c>
      <c r="DD1784" s="4" t="s">
        <v>241</v>
      </c>
      <c r="DF1784" s="4" t="s">
        <v>287</v>
      </c>
      <c r="DG1784" s="6">
        <f>138.53</f>
        <v>138.53</v>
      </c>
      <c r="DI1784" s="4" t="s">
        <v>241</v>
      </c>
      <c r="DJ1784" s="4" t="s">
        <v>241</v>
      </c>
      <c r="DK1784" s="4" t="s">
        <v>241</v>
      </c>
      <c r="DL1784" s="4" t="s">
        <v>241</v>
      </c>
      <c r="DP1784" s="4" t="s">
        <v>241</v>
      </c>
      <c r="DQ1784" s="4" t="s">
        <v>241</v>
      </c>
      <c r="DR1784" s="4" t="s">
        <v>241</v>
      </c>
      <c r="DS1784" s="4" t="s">
        <v>241</v>
      </c>
      <c r="DV1784" s="4" t="s">
        <v>278</v>
      </c>
      <c r="DW1784" s="4" t="s">
        <v>1358</v>
      </c>
      <c r="HO1784" s="4" t="s">
        <v>267</v>
      </c>
    </row>
    <row r="1785" spans="1:223" ht="19.5" customHeight="1" x14ac:dyDescent="0.4">
      <c r="A1785" s="4">
        <v>1</v>
      </c>
      <c r="B1785" s="4" t="s">
        <v>239</v>
      </c>
      <c r="C1785" s="4">
        <v>3481</v>
      </c>
      <c r="D1785" s="4">
        <v>1</v>
      </c>
      <c r="E1785" s="4">
        <v>1</v>
      </c>
      <c r="F1785" s="4" t="s">
        <v>268</v>
      </c>
      <c r="G1785" s="4" t="s">
        <v>241</v>
      </c>
      <c r="H1785" s="4" t="s">
        <v>241</v>
      </c>
      <c r="I1785" s="4" t="s">
        <v>272</v>
      </c>
      <c r="J1785" s="4" t="s">
        <v>274</v>
      </c>
      <c r="K1785" s="4" t="s">
        <v>251</v>
      </c>
      <c r="L1785" s="4" t="s">
        <v>1291</v>
      </c>
      <c r="M1785" s="5" t="s">
        <v>1079</v>
      </c>
      <c r="N1785" s="6">
        <f>144.85</f>
        <v>144.85</v>
      </c>
      <c r="O1785" s="4" t="s">
        <v>265</v>
      </c>
      <c r="P1785" s="6">
        <f>1143000</f>
        <v>1143000</v>
      </c>
      <c r="Q1785" s="6">
        <f>0</f>
        <v>0</v>
      </c>
      <c r="S1785" s="6">
        <f>0</f>
        <v>0</v>
      </c>
      <c r="T1785" s="6">
        <f>1143000</f>
        <v>1143000</v>
      </c>
      <c r="U1785" s="5" t="s">
        <v>1282</v>
      </c>
      <c r="V1785" s="4" t="s">
        <v>270</v>
      </c>
      <c r="W1785" s="4" t="s">
        <v>242</v>
      </c>
      <c r="X1785" s="4" t="s">
        <v>273</v>
      </c>
      <c r="Y1785" s="4" t="s">
        <v>241</v>
      </c>
      <c r="AB1785" s="4" t="s">
        <v>241</v>
      </c>
      <c r="AD1785" s="5" t="s">
        <v>241</v>
      </c>
      <c r="AG1785" s="5" t="s">
        <v>246</v>
      </c>
      <c r="AH1785" s="4" t="s">
        <v>269</v>
      </c>
      <c r="AI1785" s="4" t="s">
        <v>247</v>
      </c>
      <c r="AJ1785" s="4" t="s">
        <v>248</v>
      </c>
      <c r="AZ1785" s="4" t="s">
        <v>249</v>
      </c>
      <c r="BA1785" s="4" t="s">
        <v>241</v>
      </c>
      <c r="BB1785" s="4" t="s">
        <v>250</v>
      </c>
      <c r="BC1785" s="4" t="s">
        <v>241</v>
      </c>
      <c r="BD1785" s="4" t="s">
        <v>252</v>
      </c>
      <c r="BE1785" s="4" t="s">
        <v>241</v>
      </c>
      <c r="BI1785" s="4" t="s">
        <v>253</v>
      </c>
      <c r="BJ1785" s="5" t="s">
        <v>1282</v>
      </c>
      <c r="BK1785" s="4" t="s">
        <v>254</v>
      </c>
      <c r="BL1785" s="4" t="s">
        <v>285</v>
      </c>
      <c r="BM1785" s="4" t="s">
        <v>241</v>
      </c>
      <c r="BN1785" s="6">
        <f>0</f>
        <v>0</v>
      </c>
      <c r="BO1785" s="6">
        <f>0</f>
        <v>0</v>
      </c>
      <c r="BP1785" s="4" t="s">
        <v>256</v>
      </c>
      <c r="BQ1785" s="4" t="s">
        <v>257</v>
      </c>
      <c r="CE1785" s="4" t="s">
        <v>241</v>
      </c>
      <c r="CF1785" s="4" t="s">
        <v>241</v>
      </c>
      <c r="CJ1785" s="4" t="s">
        <v>286</v>
      </c>
      <c r="CK1785" s="4" t="s">
        <v>259</v>
      </c>
      <c r="CL1785" s="4" t="s">
        <v>241</v>
      </c>
      <c r="CO1785" s="5" t="s">
        <v>260</v>
      </c>
      <c r="CP1785" s="4" t="s">
        <v>241</v>
      </c>
      <c r="CQ1785" s="4" t="s">
        <v>261</v>
      </c>
      <c r="CR1785" s="4" t="s">
        <v>241</v>
      </c>
      <c r="CS1785" s="4" t="s">
        <v>241</v>
      </c>
      <c r="CT1785" s="4">
        <v>0</v>
      </c>
      <c r="CU1785" s="4" t="s">
        <v>262</v>
      </c>
      <c r="CV1785" s="4" t="s">
        <v>263</v>
      </c>
      <c r="CW1785" s="4" t="s">
        <v>263</v>
      </c>
      <c r="CX1785" s="4" t="s">
        <v>264</v>
      </c>
      <c r="DA1785" s="6">
        <f>1143000</f>
        <v>1143000</v>
      </c>
      <c r="DC1785" s="4" t="s">
        <v>287</v>
      </c>
      <c r="DD1785" s="4" t="s">
        <v>241</v>
      </c>
      <c r="DF1785" s="4" t="s">
        <v>287</v>
      </c>
      <c r="DG1785" s="6">
        <f>144.85</f>
        <v>144.85</v>
      </c>
      <c r="DI1785" s="4" t="s">
        <v>241</v>
      </c>
      <c r="DJ1785" s="4" t="s">
        <v>241</v>
      </c>
      <c r="DK1785" s="4" t="s">
        <v>241</v>
      </c>
      <c r="DL1785" s="4" t="s">
        <v>241</v>
      </c>
      <c r="DP1785" s="4" t="s">
        <v>241</v>
      </c>
      <c r="DQ1785" s="4" t="s">
        <v>241</v>
      </c>
      <c r="DR1785" s="4" t="s">
        <v>241</v>
      </c>
      <c r="DS1785" s="4" t="s">
        <v>241</v>
      </c>
      <c r="DV1785" s="4" t="s">
        <v>278</v>
      </c>
      <c r="DW1785" s="4" t="s">
        <v>1292</v>
      </c>
      <c r="HO1785" s="4" t="s">
        <v>267</v>
      </c>
    </row>
    <row r="1786" spans="1:223" ht="19.5" customHeight="1" x14ac:dyDescent="0.4">
      <c r="A1786" s="4">
        <v>1</v>
      </c>
      <c r="B1786" s="4" t="s">
        <v>239</v>
      </c>
      <c r="C1786" s="4">
        <v>3482</v>
      </c>
      <c r="D1786" s="4">
        <v>1</v>
      </c>
      <c r="E1786" s="4">
        <v>1</v>
      </c>
      <c r="F1786" s="4" t="s">
        <v>268</v>
      </c>
      <c r="G1786" s="4" t="s">
        <v>241</v>
      </c>
      <c r="H1786" s="4" t="s">
        <v>241</v>
      </c>
      <c r="I1786" s="4" t="s">
        <v>272</v>
      </c>
      <c r="J1786" s="4" t="s">
        <v>274</v>
      </c>
      <c r="K1786" s="4" t="s">
        <v>251</v>
      </c>
      <c r="L1786" s="4" t="s">
        <v>1305</v>
      </c>
      <c r="M1786" s="5" t="s">
        <v>1306</v>
      </c>
      <c r="N1786" s="6">
        <f>503.93</f>
        <v>503.93</v>
      </c>
      <c r="O1786" s="4" t="s">
        <v>265</v>
      </c>
      <c r="P1786" s="6">
        <f>4925510</f>
        <v>4925510</v>
      </c>
      <c r="Q1786" s="6">
        <f>0</f>
        <v>0</v>
      </c>
      <c r="S1786" s="6">
        <f>0</f>
        <v>0</v>
      </c>
      <c r="T1786" s="6">
        <f>4925510</f>
        <v>4925510</v>
      </c>
      <c r="U1786" s="5" t="s">
        <v>1269</v>
      </c>
      <c r="V1786" s="4" t="s">
        <v>270</v>
      </c>
      <c r="W1786" s="4" t="s">
        <v>242</v>
      </c>
      <c r="X1786" s="4" t="s">
        <v>273</v>
      </c>
      <c r="Y1786" s="4" t="s">
        <v>241</v>
      </c>
      <c r="AB1786" s="4" t="s">
        <v>241</v>
      </c>
      <c r="AD1786" s="5" t="s">
        <v>241</v>
      </c>
      <c r="AG1786" s="5" t="s">
        <v>246</v>
      </c>
      <c r="AH1786" s="4" t="s">
        <v>269</v>
      </c>
      <c r="AI1786" s="4" t="s">
        <v>247</v>
      </c>
      <c r="AJ1786" s="4" t="s">
        <v>248</v>
      </c>
      <c r="AZ1786" s="4" t="s">
        <v>249</v>
      </c>
      <c r="BA1786" s="4" t="s">
        <v>241</v>
      </c>
      <c r="BB1786" s="4" t="s">
        <v>250</v>
      </c>
      <c r="BC1786" s="4" t="s">
        <v>241</v>
      </c>
      <c r="BD1786" s="4" t="s">
        <v>252</v>
      </c>
      <c r="BE1786" s="4" t="s">
        <v>241</v>
      </c>
      <c r="BI1786" s="4" t="s">
        <v>253</v>
      </c>
      <c r="BJ1786" s="5" t="s">
        <v>1269</v>
      </c>
      <c r="BK1786" s="4" t="s">
        <v>254</v>
      </c>
      <c r="BL1786" s="4" t="s">
        <v>285</v>
      </c>
      <c r="BM1786" s="4" t="s">
        <v>241</v>
      </c>
      <c r="BN1786" s="6">
        <f>0</f>
        <v>0</v>
      </c>
      <c r="BO1786" s="6">
        <f>0</f>
        <v>0</v>
      </c>
      <c r="BP1786" s="4" t="s">
        <v>256</v>
      </c>
      <c r="BQ1786" s="4" t="s">
        <v>257</v>
      </c>
      <c r="CE1786" s="4" t="s">
        <v>241</v>
      </c>
      <c r="CF1786" s="4" t="s">
        <v>241</v>
      </c>
      <c r="CJ1786" s="4" t="s">
        <v>286</v>
      </c>
      <c r="CK1786" s="4" t="s">
        <v>259</v>
      </c>
      <c r="CL1786" s="4" t="s">
        <v>241</v>
      </c>
      <c r="CO1786" s="5" t="s">
        <v>260</v>
      </c>
      <c r="CP1786" s="4" t="s">
        <v>241</v>
      </c>
      <c r="CQ1786" s="4" t="s">
        <v>261</v>
      </c>
      <c r="CR1786" s="4" t="s">
        <v>241</v>
      </c>
      <c r="CS1786" s="4" t="s">
        <v>241</v>
      </c>
      <c r="CT1786" s="4">
        <v>0</v>
      </c>
      <c r="CU1786" s="4" t="s">
        <v>262</v>
      </c>
      <c r="CV1786" s="4" t="s">
        <v>263</v>
      </c>
      <c r="CW1786" s="4" t="s">
        <v>263</v>
      </c>
      <c r="CX1786" s="4" t="s">
        <v>264</v>
      </c>
      <c r="DA1786" s="6">
        <f>4925510</f>
        <v>4925510</v>
      </c>
      <c r="DC1786" s="4" t="s">
        <v>287</v>
      </c>
      <c r="DD1786" s="4" t="s">
        <v>241</v>
      </c>
      <c r="DF1786" s="4" t="s">
        <v>287</v>
      </c>
      <c r="DG1786" s="6">
        <f>503.93</f>
        <v>503.93</v>
      </c>
      <c r="DI1786" s="4" t="s">
        <v>241</v>
      </c>
      <c r="DJ1786" s="4" t="s">
        <v>241</v>
      </c>
      <c r="DK1786" s="4" t="s">
        <v>241</v>
      </c>
      <c r="DL1786" s="4" t="s">
        <v>241</v>
      </c>
      <c r="DP1786" s="4" t="s">
        <v>241</v>
      </c>
      <c r="DQ1786" s="4" t="s">
        <v>241</v>
      </c>
      <c r="DR1786" s="4" t="s">
        <v>241</v>
      </c>
      <c r="DS1786" s="4" t="s">
        <v>241</v>
      </c>
      <c r="DV1786" s="4" t="s">
        <v>278</v>
      </c>
      <c r="DW1786" s="4" t="s">
        <v>1307</v>
      </c>
      <c r="HO1786" s="4" t="s">
        <v>267</v>
      </c>
    </row>
    <row r="1787" spans="1:223" ht="19.5" customHeight="1" x14ac:dyDescent="0.4">
      <c r="A1787" s="4">
        <v>1</v>
      </c>
      <c r="B1787" s="4" t="s">
        <v>239</v>
      </c>
      <c r="C1787" s="4">
        <v>3483</v>
      </c>
      <c r="D1787" s="4">
        <v>1</v>
      </c>
      <c r="E1787" s="4">
        <v>1</v>
      </c>
      <c r="F1787" s="4" t="s">
        <v>268</v>
      </c>
      <c r="G1787" s="4" t="s">
        <v>241</v>
      </c>
      <c r="H1787" s="4" t="s">
        <v>241</v>
      </c>
      <c r="I1787" s="4" t="s">
        <v>272</v>
      </c>
      <c r="J1787" s="4" t="s">
        <v>274</v>
      </c>
      <c r="K1787" s="4" t="s">
        <v>251</v>
      </c>
      <c r="L1787" s="4" t="s">
        <v>1006</v>
      </c>
      <c r="M1787" s="5" t="s">
        <v>1008</v>
      </c>
      <c r="N1787" s="6">
        <f>52.01</f>
        <v>52.01</v>
      </c>
      <c r="O1787" s="4" t="s">
        <v>265</v>
      </c>
      <c r="P1787" s="6">
        <f>11246035</f>
        <v>11246035</v>
      </c>
      <c r="Q1787" s="6">
        <f>0</f>
        <v>0</v>
      </c>
      <c r="S1787" s="6">
        <f>0</f>
        <v>0</v>
      </c>
      <c r="T1787" s="6">
        <f>11246035</f>
        <v>11246035</v>
      </c>
      <c r="U1787" s="5" t="s">
        <v>1007</v>
      </c>
      <c r="V1787" s="4" t="s">
        <v>270</v>
      </c>
      <c r="W1787" s="4" t="s">
        <v>242</v>
      </c>
      <c r="X1787" s="4" t="s">
        <v>273</v>
      </c>
      <c r="Y1787" s="4" t="s">
        <v>241</v>
      </c>
      <c r="AB1787" s="4" t="s">
        <v>241</v>
      </c>
      <c r="AD1787" s="5" t="s">
        <v>241</v>
      </c>
      <c r="AG1787" s="5" t="s">
        <v>246</v>
      </c>
      <c r="AH1787" s="4" t="s">
        <v>269</v>
      </c>
      <c r="AI1787" s="4" t="s">
        <v>247</v>
      </c>
      <c r="AJ1787" s="4" t="s">
        <v>248</v>
      </c>
      <c r="AZ1787" s="4" t="s">
        <v>249</v>
      </c>
      <c r="BA1787" s="4" t="s">
        <v>241</v>
      </c>
      <c r="BB1787" s="4" t="s">
        <v>250</v>
      </c>
      <c r="BC1787" s="4" t="s">
        <v>241</v>
      </c>
      <c r="BD1787" s="4" t="s">
        <v>252</v>
      </c>
      <c r="BE1787" s="4" t="s">
        <v>241</v>
      </c>
      <c r="BI1787" s="4" t="s">
        <v>253</v>
      </c>
      <c r="BJ1787" s="5" t="s">
        <v>1007</v>
      </c>
      <c r="BK1787" s="4" t="s">
        <v>254</v>
      </c>
      <c r="BL1787" s="4" t="s">
        <v>285</v>
      </c>
      <c r="BM1787" s="4" t="s">
        <v>241</v>
      </c>
      <c r="BN1787" s="6">
        <f>0</f>
        <v>0</v>
      </c>
      <c r="BO1787" s="6">
        <f>0</f>
        <v>0</v>
      </c>
      <c r="BP1787" s="4" t="s">
        <v>256</v>
      </c>
      <c r="BQ1787" s="4" t="s">
        <v>257</v>
      </c>
      <c r="CE1787" s="4" t="s">
        <v>241</v>
      </c>
      <c r="CF1787" s="4" t="s">
        <v>241</v>
      </c>
      <c r="CJ1787" s="4" t="s">
        <v>286</v>
      </c>
      <c r="CK1787" s="4" t="s">
        <v>259</v>
      </c>
      <c r="CL1787" s="4" t="s">
        <v>241</v>
      </c>
      <c r="CO1787" s="5" t="s">
        <v>260</v>
      </c>
      <c r="CP1787" s="4" t="s">
        <v>241</v>
      </c>
      <c r="CQ1787" s="4" t="s">
        <v>261</v>
      </c>
      <c r="CR1787" s="4" t="s">
        <v>241</v>
      </c>
      <c r="CS1787" s="4" t="s">
        <v>241</v>
      </c>
      <c r="CT1787" s="4">
        <v>0</v>
      </c>
      <c r="CU1787" s="4" t="s">
        <v>262</v>
      </c>
      <c r="CV1787" s="4" t="s">
        <v>263</v>
      </c>
      <c r="CW1787" s="4" t="s">
        <v>263</v>
      </c>
      <c r="CX1787" s="4" t="s">
        <v>264</v>
      </c>
      <c r="DA1787" s="6">
        <f>11246035</f>
        <v>11246035</v>
      </c>
      <c r="DC1787" s="4" t="s">
        <v>287</v>
      </c>
      <c r="DD1787" s="4" t="s">
        <v>241</v>
      </c>
      <c r="DF1787" s="4" t="s">
        <v>287</v>
      </c>
      <c r="DG1787" s="6">
        <f>52.01</f>
        <v>52.01</v>
      </c>
      <c r="DI1787" s="4" t="s">
        <v>241</v>
      </c>
      <c r="DJ1787" s="4" t="s">
        <v>241</v>
      </c>
      <c r="DK1787" s="4" t="s">
        <v>241</v>
      </c>
      <c r="DL1787" s="4" t="s">
        <v>241</v>
      </c>
      <c r="DP1787" s="4" t="s">
        <v>241</v>
      </c>
      <c r="DQ1787" s="4" t="s">
        <v>241</v>
      </c>
      <c r="DR1787" s="4" t="s">
        <v>241</v>
      </c>
      <c r="DS1787" s="4" t="s">
        <v>241</v>
      </c>
      <c r="DV1787" s="4" t="s">
        <v>278</v>
      </c>
      <c r="DW1787" s="4" t="s">
        <v>1009</v>
      </c>
      <c r="HO1787" s="4" t="s">
        <v>267</v>
      </c>
    </row>
    <row r="1788" spans="1:223" ht="19.5" customHeight="1" x14ac:dyDescent="0.4">
      <c r="A1788" s="4">
        <v>1</v>
      </c>
      <c r="B1788" s="4" t="s">
        <v>239</v>
      </c>
      <c r="C1788" s="4">
        <v>3484</v>
      </c>
      <c r="D1788" s="4">
        <v>1</v>
      </c>
      <c r="E1788" s="4">
        <v>1</v>
      </c>
      <c r="F1788" s="4" t="s">
        <v>268</v>
      </c>
      <c r="G1788" s="4" t="s">
        <v>241</v>
      </c>
      <c r="H1788" s="4" t="s">
        <v>241</v>
      </c>
      <c r="I1788" s="4" t="s">
        <v>272</v>
      </c>
      <c r="J1788" s="4" t="s">
        <v>274</v>
      </c>
      <c r="K1788" s="4" t="s">
        <v>251</v>
      </c>
      <c r="L1788" s="4" t="s">
        <v>1416</v>
      </c>
      <c r="M1788" s="5" t="s">
        <v>1102</v>
      </c>
      <c r="N1788" s="6">
        <f>71.65</f>
        <v>71.650000000000006</v>
      </c>
      <c r="O1788" s="4" t="s">
        <v>265</v>
      </c>
      <c r="P1788" s="6">
        <f>343100</f>
        <v>343100</v>
      </c>
      <c r="Q1788" s="6">
        <f>0</f>
        <v>0</v>
      </c>
      <c r="S1788" s="6">
        <f>0</f>
        <v>0</v>
      </c>
      <c r="T1788" s="6">
        <f>343100</f>
        <v>343100</v>
      </c>
      <c r="U1788" s="5" t="s">
        <v>982</v>
      </c>
      <c r="V1788" s="4" t="s">
        <v>270</v>
      </c>
      <c r="W1788" s="4" t="s">
        <v>242</v>
      </c>
      <c r="X1788" s="4" t="s">
        <v>273</v>
      </c>
      <c r="Y1788" s="4" t="s">
        <v>241</v>
      </c>
      <c r="AB1788" s="4" t="s">
        <v>241</v>
      </c>
      <c r="AD1788" s="5" t="s">
        <v>241</v>
      </c>
      <c r="AG1788" s="5" t="s">
        <v>246</v>
      </c>
      <c r="AH1788" s="4" t="s">
        <v>269</v>
      </c>
      <c r="AI1788" s="4" t="s">
        <v>247</v>
      </c>
      <c r="AJ1788" s="4" t="s">
        <v>248</v>
      </c>
      <c r="AZ1788" s="4" t="s">
        <v>249</v>
      </c>
      <c r="BA1788" s="4" t="s">
        <v>241</v>
      </c>
      <c r="BB1788" s="4" t="s">
        <v>250</v>
      </c>
      <c r="BC1788" s="4" t="s">
        <v>241</v>
      </c>
      <c r="BD1788" s="4" t="s">
        <v>252</v>
      </c>
      <c r="BE1788" s="4" t="s">
        <v>241</v>
      </c>
      <c r="BI1788" s="4" t="s">
        <v>253</v>
      </c>
      <c r="BJ1788" s="5" t="s">
        <v>982</v>
      </c>
      <c r="BK1788" s="4" t="s">
        <v>254</v>
      </c>
      <c r="BL1788" s="4" t="s">
        <v>285</v>
      </c>
      <c r="BM1788" s="4" t="s">
        <v>241</v>
      </c>
      <c r="BN1788" s="6">
        <f>0</f>
        <v>0</v>
      </c>
      <c r="BO1788" s="6">
        <f>0</f>
        <v>0</v>
      </c>
      <c r="BP1788" s="4" t="s">
        <v>256</v>
      </c>
      <c r="BQ1788" s="4" t="s">
        <v>257</v>
      </c>
      <c r="CE1788" s="4" t="s">
        <v>241</v>
      </c>
      <c r="CF1788" s="4" t="s">
        <v>241</v>
      </c>
      <c r="CJ1788" s="4" t="s">
        <v>286</v>
      </c>
      <c r="CK1788" s="4" t="s">
        <v>259</v>
      </c>
      <c r="CL1788" s="4" t="s">
        <v>241</v>
      </c>
      <c r="CO1788" s="5" t="s">
        <v>260</v>
      </c>
      <c r="CP1788" s="4" t="s">
        <v>241</v>
      </c>
      <c r="CQ1788" s="4" t="s">
        <v>261</v>
      </c>
      <c r="CR1788" s="4" t="s">
        <v>241</v>
      </c>
      <c r="CS1788" s="4" t="s">
        <v>241</v>
      </c>
      <c r="CT1788" s="4">
        <v>0</v>
      </c>
      <c r="CU1788" s="4" t="s">
        <v>262</v>
      </c>
      <c r="CV1788" s="4" t="s">
        <v>263</v>
      </c>
      <c r="CW1788" s="4" t="s">
        <v>263</v>
      </c>
      <c r="CX1788" s="4" t="s">
        <v>264</v>
      </c>
      <c r="DA1788" s="6">
        <f>343100</f>
        <v>343100</v>
      </c>
      <c r="DC1788" s="4" t="s">
        <v>287</v>
      </c>
      <c r="DD1788" s="4" t="s">
        <v>241</v>
      </c>
      <c r="DF1788" s="4" t="s">
        <v>287</v>
      </c>
      <c r="DG1788" s="6">
        <f>71.65</f>
        <v>71.650000000000006</v>
      </c>
      <c r="DI1788" s="4" t="s">
        <v>241</v>
      </c>
      <c r="DJ1788" s="4" t="s">
        <v>241</v>
      </c>
      <c r="DK1788" s="4" t="s">
        <v>241</v>
      </c>
      <c r="DL1788" s="4" t="s">
        <v>241</v>
      </c>
      <c r="DP1788" s="4" t="s">
        <v>241</v>
      </c>
      <c r="DQ1788" s="4" t="s">
        <v>241</v>
      </c>
      <c r="DR1788" s="4" t="s">
        <v>241</v>
      </c>
      <c r="DS1788" s="4" t="s">
        <v>241</v>
      </c>
      <c r="DV1788" s="4" t="s">
        <v>278</v>
      </c>
      <c r="DW1788" s="4" t="s">
        <v>1417</v>
      </c>
      <c r="HO1788" s="4" t="s">
        <v>267</v>
      </c>
    </row>
    <row r="1789" spans="1:223" ht="19.5" customHeight="1" x14ac:dyDescent="0.4">
      <c r="A1789" s="4">
        <v>1</v>
      </c>
      <c r="B1789" s="4" t="s">
        <v>239</v>
      </c>
      <c r="C1789" s="4">
        <v>3486</v>
      </c>
      <c r="D1789" s="4">
        <v>1</v>
      </c>
      <c r="E1789" s="4">
        <v>1</v>
      </c>
      <c r="F1789" s="4" t="s">
        <v>268</v>
      </c>
      <c r="G1789" s="4" t="s">
        <v>241</v>
      </c>
      <c r="H1789" s="4" t="s">
        <v>241</v>
      </c>
      <c r="I1789" s="4" t="s">
        <v>272</v>
      </c>
      <c r="J1789" s="4" t="s">
        <v>274</v>
      </c>
      <c r="K1789" s="4" t="s">
        <v>251</v>
      </c>
      <c r="L1789" s="4" t="s">
        <v>1002</v>
      </c>
      <c r="M1789" s="5" t="s">
        <v>1003</v>
      </c>
      <c r="N1789" s="6">
        <f>1477.89</f>
        <v>1477.89</v>
      </c>
      <c r="O1789" s="4" t="s">
        <v>265</v>
      </c>
      <c r="P1789" s="6">
        <f>12842982</f>
        <v>12842982</v>
      </c>
      <c r="Q1789" s="6">
        <f>0</f>
        <v>0</v>
      </c>
      <c r="S1789" s="6">
        <f>0</f>
        <v>0</v>
      </c>
      <c r="T1789" s="6">
        <f>12842982</f>
        <v>12842982</v>
      </c>
      <c r="U1789" s="5" t="s">
        <v>994</v>
      </c>
      <c r="V1789" s="4" t="s">
        <v>270</v>
      </c>
      <c r="W1789" s="4" t="s">
        <v>242</v>
      </c>
      <c r="X1789" s="4" t="s">
        <v>273</v>
      </c>
      <c r="Y1789" s="4" t="s">
        <v>241</v>
      </c>
      <c r="AB1789" s="4" t="s">
        <v>241</v>
      </c>
      <c r="AD1789" s="5" t="s">
        <v>241</v>
      </c>
      <c r="AG1789" s="5" t="s">
        <v>246</v>
      </c>
      <c r="AH1789" s="4" t="s">
        <v>269</v>
      </c>
      <c r="AI1789" s="4" t="s">
        <v>247</v>
      </c>
      <c r="AJ1789" s="4" t="s">
        <v>248</v>
      </c>
      <c r="AZ1789" s="4" t="s">
        <v>249</v>
      </c>
      <c r="BA1789" s="4" t="s">
        <v>241</v>
      </c>
      <c r="BB1789" s="4" t="s">
        <v>250</v>
      </c>
      <c r="BC1789" s="4" t="s">
        <v>241</v>
      </c>
      <c r="BD1789" s="4" t="s">
        <v>252</v>
      </c>
      <c r="BE1789" s="4" t="s">
        <v>241</v>
      </c>
      <c r="BI1789" s="4" t="s">
        <v>253</v>
      </c>
      <c r="BJ1789" s="5" t="s">
        <v>994</v>
      </c>
      <c r="BK1789" s="4" t="s">
        <v>254</v>
      </c>
      <c r="BL1789" s="4" t="s">
        <v>285</v>
      </c>
      <c r="BM1789" s="4" t="s">
        <v>241</v>
      </c>
      <c r="BN1789" s="6">
        <f>0</f>
        <v>0</v>
      </c>
      <c r="BO1789" s="6">
        <f>0</f>
        <v>0</v>
      </c>
      <c r="BP1789" s="4" t="s">
        <v>256</v>
      </c>
      <c r="BQ1789" s="4" t="s">
        <v>257</v>
      </c>
      <c r="CE1789" s="4" t="s">
        <v>241</v>
      </c>
      <c r="CF1789" s="4" t="s">
        <v>241</v>
      </c>
      <c r="CJ1789" s="4" t="s">
        <v>286</v>
      </c>
      <c r="CK1789" s="4" t="s">
        <v>259</v>
      </c>
      <c r="CL1789" s="4" t="s">
        <v>241</v>
      </c>
      <c r="CO1789" s="5" t="s">
        <v>260</v>
      </c>
      <c r="CP1789" s="4" t="s">
        <v>241</v>
      </c>
      <c r="CQ1789" s="4" t="s">
        <v>261</v>
      </c>
      <c r="CR1789" s="4" t="s">
        <v>241</v>
      </c>
      <c r="CS1789" s="4" t="s">
        <v>241</v>
      </c>
      <c r="CT1789" s="4">
        <v>0</v>
      </c>
      <c r="CU1789" s="4" t="s">
        <v>262</v>
      </c>
      <c r="CV1789" s="4" t="s">
        <v>263</v>
      </c>
      <c r="CW1789" s="4" t="s">
        <v>263</v>
      </c>
      <c r="CX1789" s="4" t="s">
        <v>264</v>
      </c>
      <c r="DA1789" s="6">
        <f>12842982</f>
        <v>12842982</v>
      </c>
      <c r="DC1789" s="4" t="s">
        <v>287</v>
      </c>
      <c r="DD1789" s="4" t="s">
        <v>241</v>
      </c>
      <c r="DF1789" s="4" t="s">
        <v>287</v>
      </c>
      <c r="DG1789" s="6">
        <f>1477.89</f>
        <v>1477.89</v>
      </c>
      <c r="DI1789" s="4" t="s">
        <v>241</v>
      </c>
      <c r="DJ1789" s="4" t="s">
        <v>241</v>
      </c>
      <c r="DK1789" s="4" t="s">
        <v>241</v>
      </c>
      <c r="DL1789" s="4" t="s">
        <v>241</v>
      </c>
      <c r="DP1789" s="4" t="s">
        <v>241</v>
      </c>
      <c r="DQ1789" s="4" t="s">
        <v>241</v>
      </c>
      <c r="DR1789" s="4" t="s">
        <v>241</v>
      </c>
      <c r="DS1789" s="4" t="s">
        <v>241</v>
      </c>
      <c r="DV1789" s="4" t="s">
        <v>278</v>
      </c>
      <c r="DW1789" s="4" t="s">
        <v>1004</v>
      </c>
      <c r="HO1789" s="4" t="s">
        <v>267</v>
      </c>
    </row>
    <row r="1790" spans="1:223" ht="19.5" customHeight="1" x14ac:dyDescent="0.4">
      <c r="A1790" s="4">
        <v>1</v>
      </c>
      <c r="B1790" s="4" t="s">
        <v>239</v>
      </c>
      <c r="C1790" s="4">
        <v>3487</v>
      </c>
      <c r="D1790" s="4">
        <v>1</v>
      </c>
      <c r="E1790" s="4">
        <v>1</v>
      </c>
      <c r="F1790" s="4" t="s">
        <v>268</v>
      </c>
      <c r="G1790" s="4" t="s">
        <v>241</v>
      </c>
      <c r="H1790" s="4" t="s">
        <v>241</v>
      </c>
      <c r="I1790" s="4" t="s">
        <v>272</v>
      </c>
      <c r="J1790" s="4" t="s">
        <v>274</v>
      </c>
      <c r="K1790" s="4" t="s">
        <v>251</v>
      </c>
      <c r="L1790" s="4" t="s">
        <v>4341</v>
      </c>
      <c r="M1790" s="5" t="s">
        <v>1139</v>
      </c>
      <c r="N1790" s="6">
        <f>2314.82</f>
        <v>2314.8200000000002</v>
      </c>
      <c r="O1790" s="4" t="s">
        <v>265</v>
      </c>
      <c r="P1790" s="6">
        <f>14107612</f>
        <v>14107612</v>
      </c>
      <c r="Q1790" s="6">
        <f>0</f>
        <v>0</v>
      </c>
      <c r="S1790" s="6">
        <f>0</f>
        <v>0</v>
      </c>
      <c r="T1790" s="6">
        <f>14107612</f>
        <v>14107612</v>
      </c>
      <c r="U1790" s="5" t="s">
        <v>1053</v>
      </c>
      <c r="V1790" s="4" t="s">
        <v>270</v>
      </c>
      <c r="W1790" s="4" t="s">
        <v>242</v>
      </c>
      <c r="X1790" s="4" t="s">
        <v>273</v>
      </c>
      <c r="Y1790" s="4" t="s">
        <v>241</v>
      </c>
      <c r="AB1790" s="4" t="s">
        <v>241</v>
      </c>
      <c r="AD1790" s="5" t="s">
        <v>241</v>
      </c>
      <c r="AG1790" s="5" t="s">
        <v>246</v>
      </c>
      <c r="AH1790" s="4" t="s">
        <v>269</v>
      </c>
      <c r="AI1790" s="4" t="s">
        <v>247</v>
      </c>
      <c r="AJ1790" s="4" t="s">
        <v>248</v>
      </c>
      <c r="AZ1790" s="4" t="s">
        <v>249</v>
      </c>
      <c r="BA1790" s="4" t="s">
        <v>241</v>
      </c>
      <c r="BB1790" s="4" t="s">
        <v>250</v>
      </c>
      <c r="BC1790" s="4" t="s">
        <v>241</v>
      </c>
      <c r="BD1790" s="4" t="s">
        <v>252</v>
      </c>
      <c r="BE1790" s="4" t="s">
        <v>241</v>
      </c>
      <c r="BI1790" s="4" t="s">
        <v>253</v>
      </c>
      <c r="BJ1790" s="5" t="s">
        <v>1053</v>
      </c>
      <c r="BK1790" s="4" t="s">
        <v>254</v>
      </c>
      <c r="BL1790" s="4" t="s">
        <v>285</v>
      </c>
      <c r="BM1790" s="4" t="s">
        <v>241</v>
      </c>
      <c r="BN1790" s="6">
        <f>0</f>
        <v>0</v>
      </c>
      <c r="BO1790" s="6">
        <f>0</f>
        <v>0</v>
      </c>
      <c r="BP1790" s="4" t="s">
        <v>256</v>
      </c>
      <c r="BQ1790" s="4" t="s">
        <v>257</v>
      </c>
      <c r="CE1790" s="4" t="s">
        <v>241</v>
      </c>
      <c r="CF1790" s="4" t="s">
        <v>241</v>
      </c>
      <c r="CJ1790" s="4" t="s">
        <v>286</v>
      </c>
      <c r="CK1790" s="4" t="s">
        <v>259</v>
      </c>
      <c r="CL1790" s="4" t="s">
        <v>241</v>
      </c>
      <c r="CO1790" s="5" t="s">
        <v>260</v>
      </c>
      <c r="CP1790" s="4" t="s">
        <v>241</v>
      </c>
      <c r="CQ1790" s="4" t="s">
        <v>261</v>
      </c>
      <c r="CR1790" s="4" t="s">
        <v>241</v>
      </c>
      <c r="CS1790" s="4" t="s">
        <v>241</v>
      </c>
      <c r="CT1790" s="4">
        <v>0</v>
      </c>
      <c r="CU1790" s="4" t="s">
        <v>262</v>
      </c>
      <c r="CV1790" s="4" t="s">
        <v>263</v>
      </c>
      <c r="CW1790" s="4" t="s">
        <v>263</v>
      </c>
      <c r="CX1790" s="4" t="s">
        <v>264</v>
      </c>
      <c r="DA1790" s="6">
        <f>14107612</f>
        <v>14107612</v>
      </c>
      <c r="DC1790" s="4" t="s">
        <v>287</v>
      </c>
      <c r="DD1790" s="4" t="s">
        <v>241</v>
      </c>
      <c r="DF1790" s="4" t="s">
        <v>287</v>
      </c>
      <c r="DG1790" s="6">
        <f>2314.82</f>
        <v>2314.8200000000002</v>
      </c>
      <c r="DI1790" s="4" t="s">
        <v>241</v>
      </c>
      <c r="DJ1790" s="4" t="s">
        <v>241</v>
      </c>
      <c r="DK1790" s="4" t="s">
        <v>241</v>
      </c>
      <c r="DL1790" s="4" t="s">
        <v>241</v>
      </c>
      <c r="DP1790" s="4" t="s">
        <v>241</v>
      </c>
      <c r="DQ1790" s="4" t="s">
        <v>241</v>
      </c>
      <c r="DR1790" s="4" t="s">
        <v>241</v>
      </c>
      <c r="DS1790" s="4" t="s">
        <v>241</v>
      </c>
      <c r="DV1790" s="4" t="s">
        <v>278</v>
      </c>
      <c r="DW1790" s="4" t="s">
        <v>3306</v>
      </c>
      <c r="HO1790" s="4" t="s">
        <v>267</v>
      </c>
    </row>
    <row r="1791" spans="1:223" ht="19.5" customHeight="1" x14ac:dyDescent="0.4">
      <c r="A1791" s="4">
        <v>1</v>
      </c>
      <c r="B1791" s="4" t="s">
        <v>239</v>
      </c>
      <c r="C1791" s="4">
        <v>3488</v>
      </c>
      <c r="D1791" s="4">
        <v>1</v>
      </c>
      <c r="E1791" s="4">
        <v>1</v>
      </c>
      <c r="F1791" s="4" t="s">
        <v>268</v>
      </c>
      <c r="G1791" s="4" t="s">
        <v>241</v>
      </c>
      <c r="H1791" s="4" t="s">
        <v>241</v>
      </c>
      <c r="I1791" s="4" t="s">
        <v>272</v>
      </c>
      <c r="J1791" s="4" t="s">
        <v>274</v>
      </c>
      <c r="K1791" s="4" t="s">
        <v>251</v>
      </c>
      <c r="L1791" s="4" t="s">
        <v>997</v>
      </c>
      <c r="M1791" s="5" t="s">
        <v>999</v>
      </c>
      <c r="N1791" s="6">
        <f>12.97</f>
        <v>12.97</v>
      </c>
      <c r="O1791" s="4" t="s">
        <v>265</v>
      </c>
      <c r="P1791" s="6">
        <f>74457</f>
        <v>74457</v>
      </c>
      <c r="Q1791" s="6">
        <f>0</f>
        <v>0</v>
      </c>
      <c r="S1791" s="6">
        <f>0</f>
        <v>0</v>
      </c>
      <c r="T1791" s="6">
        <f>74457</f>
        <v>74457</v>
      </c>
      <c r="U1791" s="5" t="s">
        <v>998</v>
      </c>
      <c r="V1791" s="4" t="s">
        <v>270</v>
      </c>
      <c r="W1791" s="4" t="s">
        <v>242</v>
      </c>
      <c r="X1791" s="4" t="s">
        <v>273</v>
      </c>
      <c r="Y1791" s="4" t="s">
        <v>241</v>
      </c>
      <c r="AB1791" s="4" t="s">
        <v>241</v>
      </c>
      <c r="AD1791" s="5" t="s">
        <v>241</v>
      </c>
      <c r="AG1791" s="5" t="s">
        <v>246</v>
      </c>
      <c r="AH1791" s="4" t="s">
        <v>269</v>
      </c>
      <c r="AI1791" s="4" t="s">
        <v>247</v>
      </c>
      <c r="AJ1791" s="4" t="s">
        <v>248</v>
      </c>
      <c r="AZ1791" s="4" t="s">
        <v>249</v>
      </c>
      <c r="BA1791" s="4" t="s">
        <v>241</v>
      </c>
      <c r="BB1791" s="4" t="s">
        <v>250</v>
      </c>
      <c r="BC1791" s="4" t="s">
        <v>241</v>
      </c>
      <c r="BD1791" s="4" t="s">
        <v>252</v>
      </c>
      <c r="BE1791" s="4" t="s">
        <v>241</v>
      </c>
      <c r="BI1791" s="4" t="s">
        <v>253</v>
      </c>
      <c r="BJ1791" s="5" t="s">
        <v>998</v>
      </c>
      <c r="BK1791" s="4" t="s">
        <v>254</v>
      </c>
      <c r="BL1791" s="4" t="s">
        <v>285</v>
      </c>
      <c r="BM1791" s="4" t="s">
        <v>241</v>
      </c>
      <c r="BN1791" s="6">
        <f>0</f>
        <v>0</v>
      </c>
      <c r="BO1791" s="6">
        <f>0</f>
        <v>0</v>
      </c>
      <c r="BP1791" s="4" t="s">
        <v>256</v>
      </c>
      <c r="BQ1791" s="4" t="s">
        <v>257</v>
      </c>
      <c r="CE1791" s="4" t="s">
        <v>241</v>
      </c>
      <c r="CF1791" s="4" t="s">
        <v>241</v>
      </c>
      <c r="CJ1791" s="4" t="s">
        <v>286</v>
      </c>
      <c r="CK1791" s="4" t="s">
        <v>259</v>
      </c>
      <c r="CL1791" s="4" t="s">
        <v>241</v>
      </c>
      <c r="CO1791" s="5" t="s">
        <v>260</v>
      </c>
      <c r="CP1791" s="4" t="s">
        <v>241</v>
      </c>
      <c r="CQ1791" s="4" t="s">
        <v>261</v>
      </c>
      <c r="CR1791" s="4" t="s">
        <v>241</v>
      </c>
      <c r="CS1791" s="4" t="s">
        <v>241</v>
      </c>
      <c r="CT1791" s="4">
        <v>0</v>
      </c>
      <c r="CU1791" s="4" t="s">
        <v>262</v>
      </c>
      <c r="CV1791" s="4" t="s">
        <v>263</v>
      </c>
      <c r="CW1791" s="4" t="s">
        <v>263</v>
      </c>
      <c r="CX1791" s="4" t="s">
        <v>264</v>
      </c>
      <c r="DA1791" s="6">
        <f>74457</f>
        <v>74457</v>
      </c>
      <c r="DC1791" s="4" t="s">
        <v>287</v>
      </c>
      <c r="DD1791" s="4" t="s">
        <v>241</v>
      </c>
      <c r="DF1791" s="4" t="s">
        <v>287</v>
      </c>
      <c r="DG1791" s="6">
        <f>12.97</f>
        <v>12.97</v>
      </c>
      <c r="DI1791" s="4" t="s">
        <v>241</v>
      </c>
      <c r="DJ1791" s="4" t="s">
        <v>241</v>
      </c>
      <c r="DK1791" s="4" t="s">
        <v>241</v>
      </c>
      <c r="DL1791" s="4" t="s">
        <v>241</v>
      </c>
      <c r="DP1791" s="4" t="s">
        <v>241</v>
      </c>
      <c r="DQ1791" s="4" t="s">
        <v>241</v>
      </c>
      <c r="DR1791" s="4" t="s">
        <v>241</v>
      </c>
      <c r="DS1791" s="4" t="s">
        <v>241</v>
      </c>
      <c r="DV1791" s="4" t="s">
        <v>278</v>
      </c>
      <c r="DW1791" s="4" t="s">
        <v>1000</v>
      </c>
      <c r="HO1791" s="4" t="s">
        <v>267</v>
      </c>
    </row>
    <row r="1792" spans="1:223" ht="19.5" customHeight="1" x14ac:dyDescent="0.4">
      <c r="A1792" s="4">
        <v>1</v>
      </c>
      <c r="B1792" s="4" t="s">
        <v>239</v>
      </c>
      <c r="C1792" s="4">
        <v>3489</v>
      </c>
      <c r="D1792" s="4">
        <v>1</v>
      </c>
      <c r="E1792" s="4">
        <v>1</v>
      </c>
      <c r="F1792" s="4" t="s">
        <v>268</v>
      </c>
      <c r="G1792" s="4" t="s">
        <v>241</v>
      </c>
      <c r="H1792" s="4" t="s">
        <v>241</v>
      </c>
      <c r="I1792" s="4" t="s">
        <v>272</v>
      </c>
      <c r="J1792" s="4" t="s">
        <v>274</v>
      </c>
      <c r="K1792" s="4" t="s">
        <v>251</v>
      </c>
      <c r="L1792" s="4" t="s">
        <v>1038</v>
      </c>
      <c r="M1792" s="5" t="s">
        <v>1040</v>
      </c>
      <c r="N1792" s="6">
        <f>396.43</f>
        <v>396.43</v>
      </c>
      <c r="O1792" s="4" t="s">
        <v>265</v>
      </c>
      <c r="P1792" s="6">
        <f>2509726</f>
        <v>2509726</v>
      </c>
      <c r="Q1792" s="6">
        <f>0</f>
        <v>0</v>
      </c>
      <c r="S1792" s="6">
        <f>0</f>
        <v>0</v>
      </c>
      <c r="T1792" s="6">
        <f>2509726</f>
        <v>2509726</v>
      </c>
      <c r="U1792" s="5" t="s">
        <v>1039</v>
      </c>
      <c r="V1792" s="4" t="s">
        <v>270</v>
      </c>
      <c r="W1792" s="4" t="s">
        <v>242</v>
      </c>
      <c r="X1792" s="4" t="s">
        <v>273</v>
      </c>
      <c r="Y1792" s="4" t="s">
        <v>241</v>
      </c>
      <c r="AB1792" s="4" t="s">
        <v>241</v>
      </c>
      <c r="AD1792" s="5" t="s">
        <v>241</v>
      </c>
      <c r="AG1792" s="5" t="s">
        <v>246</v>
      </c>
      <c r="AH1792" s="4" t="s">
        <v>269</v>
      </c>
      <c r="AI1792" s="4" t="s">
        <v>247</v>
      </c>
      <c r="AJ1792" s="4" t="s">
        <v>248</v>
      </c>
      <c r="AZ1792" s="4" t="s">
        <v>249</v>
      </c>
      <c r="BA1792" s="4" t="s">
        <v>241</v>
      </c>
      <c r="BB1792" s="4" t="s">
        <v>250</v>
      </c>
      <c r="BC1792" s="4" t="s">
        <v>241</v>
      </c>
      <c r="BD1792" s="4" t="s">
        <v>252</v>
      </c>
      <c r="BE1792" s="4" t="s">
        <v>241</v>
      </c>
      <c r="BI1792" s="4" t="s">
        <v>253</v>
      </c>
      <c r="BJ1792" s="5" t="s">
        <v>1039</v>
      </c>
      <c r="BK1792" s="4" t="s">
        <v>254</v>
      </c>
      <c r="BL1792" s="4" t="s">
        <v>285</v>
      </c>
      <c r="BM1792" s="4" t="s">
        <v>241</v>
      </c>
      <c r="BN1792" s="6">
        <f>0</f>
        <v>0</v>
      </c>
      <c r="BO1792" s="6">
        <f>0</f>
        <v>0</v>
      </c>
      <c r="BP1792" s="4" t="s">
        <v>256</v>
      </c>
      <c r="BQ1792" s="4" t="s">
        <v>257</v>
      </c>
      <c r="CE1792" s="4" t="s">
        <v>241</v>
      </c>
      <c r="CF1792" s="4" t="s">
        <v>241</v>
      </c>
      <c r="CJ1792" s="4" t="s">
        <v>286</v>
      </c>
      <c r="CK1792" s="4" t="s">
        <v>259</v>
      </c>
      <c r="CL1792" s="4" t="s">
        <v>241</v>
      </c>
      <c r="CO1792" s="5" t="s">
        <v>260</v>
      </c>
      <c r="CP1792" s="4" t="s">
        <v>241</v>
      </c>
      <c r="CQ1792" s="4" t="s">
        <v>261</v>
      </c>
      <c r="CR1792" s="4" t="s">
        <v>241</v>
      </c>
      <c r="CS1792" s="4" t="s">
        <v>241</v>
      </c>
      <c r="CT1792" s="4">
        <v>0</v>
      </c>
      <c r="CU1792" s="4" t="s">
        <v>262</v>
      </c>
      <c r="CV1792" s="4" t="s">
        <v>263</v>
      </c>
      <c r="CW1792" s="4" t="s">
        <v>263</v>
      </c>
      <c r="CX1792" s="4" t="s">
        <v>264</v>
      </c>
      <c r="DA1792" s="6">
        <f>2509726</f>
        <v>2509726</v>
      </c>
      <c r="DC1792" s="4" t="s">
        <v>287</v>
      </c>
      <c r="DD1792" s="4" t="s">
        <v>241</v>
      </c>
      <c r="DF1792" s="4" t="s">
        <v>287</v>
      </c>
      <c r="DG1792" s="6">
        <f>396.43</f>
        <v>396.43</v>
      </c>
      <c r="DI1792" s="4" t="s">
        <v>241</v>
      </c>
      <c r="DJ1792" s="4" t="s">
        <v>241</v>
      </c>
      <c r="DK1792" s="4" t="s">
        <v>241</v>
      </c>
      <c r="DL1792" s="4" t="s">
        <v>241</v>
      </c>
      <c r="DP1792" s="4" t="s">
        <v>241</v>
      </c>
      <c r="DQ1792" s="4" t="s">
        <v>241</v>
      </c>
      <c r="DR1792" s="4" t="s">
        <v>241</v>
      </c>
      <c r="DS1792" s="4" t="s">
        <v>241</v>
      </c>
      <c r="DV1792" s="4" t="s">
        <v>278</v>
      </c>
      <c r="DW1792" s="4" t="s">
        <v>1041</v>
      </c>
      <c r="HO1792" s="4" t="s">
        <v>267</v>
      </c>
    </row>
    <row r="1793" spans="1:223" ht="19.5" customHeight="1" x14ac:dyDescent="0.4">
      <c r="A1793" s="4">
        <v>1</v>
      </c>
      <c r="B1793" s="4" t="s">
        <v>239</v>
      </c>
      <c r="C1793" s="4">
        <v>3490</v>
      </c>
      <c r="D1793" s="4">
        <v>1</v>
      </c>
      <c r="E1793" s="4">
        <v>1</v>
      </c>
      <c r="F1793" s="4" t="s">
        <v>268</v>
      </c>
      <c r="G1793" s="4" t="s">
        <v>241</v>
      </c>
      <c r="H1793" s="4" t="s">
        <v>241</v>
      </c>
      <c r="I1793" s="4" t="s">
        <v>272</v>
      </c>
      <c r="J1793" s="4" t="s">
        <v>274</v>
      </c>
      <c r="K1793" s="4" t="s">
        <v>251</v>
      </c>
      <c r="L1793" s="4" t="s">
        <v>1119</v>
      </c>
      <c r="M1793" s="5" t="s">
        <v>1094</v>
      </c>
      <c r="N1793" s="6">
        <f>451.93</f>
        <v>451.93</v>
      </c>
      <c r="O1793" s="4" t="s">
        <v>265</v>
      </c>
      <c r="P1793" s="6">
        <f>5165340</f>
        <v>5165340</v>
      </c>
      <c r="Q1793" s="6">
        <f>0</f>
        <v>0</v>
      </c>
      <c r="S1793" s="6">
        <f>0</f>
        <v>0</v>
      </c>
      <c r="T1793" s="6">
        <f>5165340</f>
        <v>5165340</v>
      </c>
      <c r="U1793" s="5" t="s">
        <v>1120</v>
      </c>
      <c r="V1793" s="4" t="s">
        <v>270</v>
      </c>
      <c r="W1793" s="4" t="s">
        <v>242</v>
      </c>
      <c r="X1793" s="4" t="s">
        <v>273</v>
      </c>
      <c r="Y1793" s="4" t="s">
        <v>241</v>
      </c>
      <c r="AB1793" s="4" t="s">
        <v>241</v>
      </c>
      <c r="AD1793" s="5" t="s">
        <v>241</v>
      </c>
      <c r="AG1793" s="5" t="s">
        <v>246</v>
      </c>
      <c r="AH1793" s="4" t="s">
        <v>269</v>
      </c>
      <c r="AI1793" s="4" t="s">
        <v>247</v>
      </c>
      <c r="AJ1793" s="4" t="s">
        <v>248</v>
      </c>
      <c r="AZ1793" s="4" t="s">
        <v>249</v>
      </c>
      <c r="BA1793" s="4" t="s">
        <v>241</v>
      </c>
      <c r="BB1793" s="4" t="s">
        <v>250</v>
      </c>
      <c r="BC1793" s="4" t="s">
        <v>241</v>
      </c>
      <c r="BD1793" s="4" t="s">
        <v>252</v>
      </c>
      <c r="BE1793" s="4" t="s">
        <v>241</v>
      </c>
      <c r="BI1793" s="4" t="s">
        <v>253</v>
      </c>
      <c r="BJ1793" s="5" t="s">
        <v>1120</v>
      </c>
      <c r="BK1793" s="4" t="s">
        <v>254</v>
      </c>
      <c r="BL1793" s="4" t="s">
        <v>285</v>
      </c>
      <c r="BM1793" s="4" t="s">
        <v>241</v>
      </c>
      <c r="BN1793" s="6">
        <f>0</f>
        <v>0</v>
      </c>
      <c r="BO1793" s="6">
        <f>0</f>
        <v>0</v>
      </c>
      <c r="BP1793" s="4" t="s">
        <v>256</v>
      </c>
      <c r="BQ1793" s="4" t="s">
        <v>257</v>
      </c>
      <c r="CE1793" s="4" t="s">
        <v>241</v>
      </c>
      <c r="CF1793" s="4" t="s">
        <v>241</v>
      </c>
      <c r="CJ1793" s="4" t="s">
        <v>286</v>
      </c>
      <c r="CK1793" s="4" t="s">
        <v>259</v>
      </c>
      <c r="CL1793" s="4" t="s">
        <v>241</v>
      </c>
      <c r="CO1793" s="5" t="s">
        <v>260</v>
      </c>
      <c r="CP1793" s="4" t="s">
        <v>241</v>
      </c>
      <c r="CQ1793" s="4" t="s">
        <v>261</v>
      </c>
      <c r="CR1793" s="4" t="s">
        <v>241</v>
      </c>
      <c r="CS1793" s="4" t="s">
        <v>241</v>
      </c>
      <c r="CT1793" s="4">
        <v>0</v>
      </c>
      <c r="CU1793" s="4" t="s">
        <v>262</v>
      </c>
      <c r="CV1793" s="4" t="s">
        <v>263</v>
      </c>
      <c r="CW1793" s="4" t="s">
        <v>263</v>
      </c>
      <c r="CX1793" s="4" t="s">
        <v>264</v>
      </c>
      <c r="DA1793" s="6">
        <f>5165340</f>
        <v>5165340</v>
      </c>
      <c r="DC1793" s="4" t="s">
        <v>287</v>
      </c>
      <c r="DD1793" s="4" t="s">
        <v>241</v>
      </c>
      <c r="DF1793" s="4" t="s">
        <v>287</v>
      </c>
      <c r="DG1793" s="6">
        <f>451.93</f>
        <v>451.93</v>
      </c>
      <c r="DI1793" s="4" t="s">
        <v>241</v>
      </c>
      <c r="DJ1793" s="4" t="s">
        <v>241</v>
      </c>
      <c r="DK1793" s="4" t="s">
        <v>241</v>
      </c>
      <c r="DL1793" s="4" t="s">
        <v>241</v>
      </c>
      <c r="DP1793" s="4" t="s">
        <v>241</v>
      </c>
      <c r="DQ1793" s="4" t="s">
        <v>241</v>
      </c>
      <c r="DR1793" s="4" t="s">
        <v>241</v>
      </c>
      <c r="DS1793" s="4" t="s">
        <v>241</v>
      </c>
      <c r="DV1793" s="4" t="s">
        <v>278</v>
      </c>
      <c r="DW1793" s="4" t="s">
        <v>1121</v>
      </c>
      <c r="HO1793" s="4" t="s">
        <v>267</v>
      </c>
    </row>
    <row r="1794" spans="1:223" ht="19.5" customHeight="1" x14ac:dyDescent="0.4">
      <c r="A1794" s="4">
        <v>1</v>
      </c>
      <c r="B1794" s="4" t="s">
        <v>239</v>
      </c>
      <c r="C1794" s="4">
        <v>3491</v>
      </c>
      <c r="D1794" s="4">
        <v>1</v>
      </c>
      <c r="E1794" s="4">
        <v>1</v>
      </c>
      <c r="F1794" s="4" t="s">
        <v>268</v>
      </c>
      <c r="G1794" s="4" t="s">
        <v>241</v>
      </c>
      <c r="H1794" s="4" t="s">
        <v>241</v>
      </c>
      <c r="I1794" s="4" t="s">
        <v>272</v>
      </c>
      <c r="J1794" s="4" t="s">
        <v>274</v>
      </c>
      <c r="K1794" s="4" t="s">
        <v>251</v>
      </c>
      <c r="L1794" s="4" t="s">
        <v>1411</v>
      </c>
      <c r="M1794" s="5" t="s">
        <v>1412</v>
      </c>
      <c r="N1794" s="6">
        <f>9277.24</f>
        <v>9277.24</v>
      </c>
      <c r="O1794" s="4" t="s">
        <v>265</v>
      </c>
      <c r="P1794" s="6">
        <f>40927658</f>
        <v>40927658</v>
      </c>
      <c r="Q1794" s="6">
        <f>0</f>
        <v>0</v>
      </c>
      <c r="S1794" s="6">
        <f>0</f>
        <v>0</v>
      </c>
      <c r="T1794" s="6">
        <f>40927658</f>
        <v>40927658</v>
      </c>
      <c r="U1794" s="5" t="s">
        <v>1354</v>
      </c>
      <c r="V1794" s="4" t="s">
        <v>270</v>
      </c>
      <c r="W1794" s="4" t="s">
        <v>242</v>
      </c>
      <c r="X1794" s="4" t="s">
        <v>273</v>
      </c>
      <c r="Y1794" s="4" t="s">
        <v>241</v>
      </c>
      <c r="AB1794" s="4" t="s">
        <v>241</v>
      </c>
      <c r="AD1794" s="5" t="s">
        <v>241</v>
      </c>
      <c r="AG1794" s="5" t="s">
        <v>246</v>
      </c>
      <c r="AH1794" s="4" t="s">
        <v>269</v>
      </c>
      <c r="AI1794" s="4" t="s">
        <v>247</v>
      </c>
      <c r="AJ1794" s="4" t="s">
        <v>248</v>
      </c>
      <c r="AZ1794" s="4" t="s">
        <v>249</v>
      </c>
      <c r="BA1794" s="4" t="s">
        <v>241</v>
      </c>
      <c r="BB1794" s="4" t="s">
        <v>250</v>
      </c>
      <c r="BC1794" s="4" t="s">
        <v>241</v>
      </c>
      <c r="BD1794" s="4" t="s">
        <v>252</v>
      </c>
      <c r="BE1794" s="4" t="s">
        <v>241</v>
      </c>
      <c r="BI1794" s="4" t="s">
        <v>253</v>
      </c>
      <c r="BJ1794" s="5" t="s">
        <v>1354</v>
      </c>
      <c r="BK1794" s="4" t="s">
        <v>254</v>
      </c>
      <c r="BL1794" s="4" t="s">
        <v>285</v>
      </c>
      <c r="BM1794" s="4" t="s">
        <v>241</v>
      </c>
      <c r="BN1794" s="6">
        <f>0</f>
        <v>0</v>
      </c>
      <c r="BO1794" s="6">
        <f>0</f>
        <v>0</v>
      </c>
      <c r="BP1794" s="4" t="s">
        <v>256</v>
      </c>
      <c r="BQ1794" s="4" t="s">
        <v>257</v>
      </c>
      <c r="CE1794" s="4" t="s">
        <v>241</v>
      </c>
      <c r="CF1794" s="4" t="s">
        <v>241</v>
      </c>
      <c r="CJ1794" s="4" t="s">
        <v>286</v>
      </c>
      <c r="CK1794" s="4" t="s">
        <v>259</v>
      </c>
      <c r="CL1794" s="4" t="s">
        <v>241</v>
      </c>
      <c r="CO1794" s="5" t="s">
        <v>260</v>
      </c>
      <c r="CP1794" s="4" t="s">
        <v>241</v>
      </c>
      <c r="CQ1794" s="4" t="s">
        <v>261</v>
      </c>
      <c r="CR1794" s="4" t="s">
        <v>241</v>
      </c>
      <c r="CS1794" s="4" t="s">
        <v>241</v>
      </c>
      <c r="CT1794" s="4">
        <v>0</v>
      </c>
      <c r="CU1794" s="4" t="s">
        <v>262</v>
      </c>
      <c r="CV1794" s="4" t="s">
        <v>263</v>
      </c>
      <c r="CW1794" s="4" t="s">
        <v>263</v>
      </c>
      <c r="CX1794" s="4" t="s">
        <v>264</v>
      </c>
      <c r="DA1794" s="6">
        <f>40927658</f>
        <v>40927658</v>
      </c>
      <c r="DC1794" s="4" t="s">
        <v>287</v>
      </c>
      <c r="DD1794" s="4" t="s">
        <v>241</v>
      </c>
      <c r="DF1794" s="4" t="s">
        <v>287</v>
      </c>
      <c r="DG1794" s="6">
        <f>9277.24</f>
        <v>9277.24</v>
      </c>
      <c r="DI1794" s="4" t="s">
        <v>241</v>
      </c>
      <c r="DJ1794" s="4" t="s">
        <v>241</v>
      </c>
      <c r="DK1794" s="4" t="s">
        <v>241</v>
      </c>
      <c r="DL1794" s="4" t="s">
        <v>241</v>
      </c>
      <c r="DP1794" s="4" t="s">
        <v>241</v>
      </c>
      <c r="DQ1794" s="4" t="s">
        <v>241</v>
      </c>
      <c r="DR1794" s="4" t="s">
        <v>241</v>
      </c>
      <c r="DS1794" s="4" t="s">
        <v>241</v>
      </c>
      <c r="DV1794" s="4" t="s">
        <v>278</v>
      </c>
      <c r="DW1794" s="4" t="s">
        <v>1413</v>
      </c>
      <c r="HO1794" s="4" t="s">
        <v>267</v>
      </c>
    </row>
    <row r="1795" spans="1:223" ht="19.5" customHeight="1" x14ac:dyDescent="0.4">
      <c r="A1795" s="4">
        <v>1</v>
      </c>
      <c r="B1795" s="4" t="s">
        <v>239</v>
      </c>
      <c r="C1795" s="4">
        <v>3492</v>
      </c>
      <c r="D1795" s="4">
        <v>1</v>
      </c>
      <c r="E1795" s="4">
        <v>1</v>
      </c>
      <c r="F1795" s="4" t="s">
        <v>268</v>
      </c>
      <c r="G1795" s="4" t="s">
        <v>241</v>
      </c>
      <c r="H1795" s="4" t="s">
        <v>241</v>
      </c>
      <c r="I1795" s="4" t="s">
        <v>272</v>
      </c>
      <c r="J1795" s="4" t="s">
        <v>274</v>
      </c>
      <c r="K1795" s="4" t="s">
        <v>251</v>
      </c>
      <c r="L1795" s="4" t="s">
        <v>1379</v>
      </c>
      <c r="M1795" s="5" t="s">
        <v>1380</v>
      </c>
      <c r="N1795" s="6">
        <f>21.54</f>
        <v>21.54</v>
      </c>
      <c r="O1795" s="4" t="s">
        <v>265</v>
      </c>
      <c r="P1795" s="6">
        <f>480792</f>
        <v>480792</v>
      </c>
      <c r="Q1795" s="6">
        <f>0</f>
        <v>0</v>
      </c>
      <c r="S1795" s="6">
        <f>0</f>
        <v>0</v>
      </c>
      <c r="T1795" s="6">
        <f>480792</f>
        <v>480792</v>
      </c>
      <c r="U1795" s="5" t="s">
        <v>1203</v>
      </c>
      <c r="V1795" s="4" t="s">
        <v>270</v>
      </c>
      <c r="W1795" s="4" t="s">
        <v>242</v>
      </c>
      <c r="X1795" s="4" t="s">
        <v>273</v>
      </c>
      <c r="Y1795" s="4" t="s">
        <v>241</v>
      </c>
      <c r="AB1795" s="4" t="s">
        <v>241</v>
      </c>
      <c r="AD1795" s="5" t="s">
        <v>241</v>
      </c>
      <c r="AG1795" s="5" t="s">
        <v>246</v>
      </c>
      <c r="AH1795" s="4" t="s">
        <v>269</v>
      </c>
      <c r="AI1795" s="4" t="s">
        <v>247</v>
      </c>
      <c r="AJ1795" s="4" t="s">
        <v>248</v>
      </c>
      <c r="AZ1795" s="4" t="s">
        <v>249</v>
      </c>
      <c r="BA1795" s="4" t="s">
        <v>241</v>
      </c>
      <c r="BB1795" s="4" t="s">
        <v>250</v>
      </c>
      <c r="BC1795" s="4" t="s">
        <v>241</v>
      </c>
      <c r="BD1795" s="4" t="s">
        <v>252</v>
      </c>
      <c r="BE1795" s="4" t="s">
        <v>241</v>
      </c>
      <c r="BI1795" s="4" t="s">
        <v>253</v>
      </c>
      <c r="BJ1795" s="5" t="s">
        <v>1203</v>
      </c>
      <c r="BK1795" s="4" t="s">
        <v>254</v>
      </c>
      <c r="BL1795" s="4" t="s">
        <v>285</v>
      </c>
      <c r="BM1795" s="4" t="s">
        <v>241</v>
      </c>
      <c r="BN1795" s="6">
        <f>0</f>
        <v>0</v>
      </c>
      <c r="BO1795" s="6">
        <f>0</f>
        <v>0</v>
      </c>
      <c r="BP1795" s="4" t="s">
        <v>256</v>
      </c>
      <c r="BQ1795" s="4" t="s">
        <v>257</v>
      </c>
      <c r="CE1795" s="4" t="s">
        <v>241</v>
      </c>
      <c r="CF1795" s="4" t="s">
        <v>241</v>
      </c>
      <c r="CJ1795" s="4" t="s">
        <v>286</v>
      </c>
      <c r="CK1795" s="4" t="s">
        <v>259</v>
      </c>
      <c r="CL1795" s="4" t="s">
        <v>241</v>
      </c>
      <c r="CO1795" s="5" t="s">
        <v>260</v>
      </c>
      <c r="CP1795" s="4" t="s">
        <v>241</v>
      </c>
      <c r="CQ1795" s="4" t="s">
        <v>261</v>
      </c>
      <c r="CR1795" s="4" t="s">
        <v>241</v>
      </c>
      <c r="CS1795" s="4" t="s">
        <v>241</v>
      </c>
      <c r="CT1795" s="4">
        <v>0</v>
      </c>
      <c r="CU1795" s="4" t="s">
        <v>262</v>
      </c>
      <c r="CV1795" s="4" t="s">
        <v>263</v>
      </c>
      <c r="CW1795" s="4" t="s">
        <v>263</v>
      </c>
      <c r="CX1795" s="4" t="s">
        <v>264</v>
      </c>
      <c r="DA1795" s="6">
        <f>480792</f>
        <v>480792</v>
      </c>
      <c r="DC1795" s="4" t="s">
        <v>287</v>
      </c>
      <c r="DD1795" s="4" t="s">
        <v>241</v>
      </c>
      <c r="DF1795" s="4" t="s">
        <v>287</v>
      </c>
      <c r="DG1795" s="6">
        <f>21.54</f>
        <v>21.54</v>
      </c>
      <c r="DI1795" s="4" t="s">
        <v>241</v>
      </c>
      <c r="DJ1795" s="4" t="s">
        <v>241</v>
      </c>
      <c r="DK1795" s="4" t="s">
        <v>241</v>
      </c>
      <c r="DL1795" s="4" t="s">
        <v>241</v>
      </c>
      <c r="DP1795" s="4" t="s">
        <v>241</v>
      </c>
      <c r="DQ1795" s="4" t="s">
        <v>241</v>
      </c>
      <c r="DR1795" s="4" t="s">
        <v>241</v>
      </c>
      <c r="DS1795" s="4" t="s">
        <v>241</v>
      </c>
      <c r="DV1795" s="4" t="s">
        <v>278</v>
      </c>
      <c r="DW1795" s="4" t="s">
        <v>1381</v>
      </c>
      <c r="HO1795" s="4" t="s">
        <v>267</v>
      </c>
    </row>
    <row r="1796" spans="1:223" ht="19.5" customHeight="1" x14ac:dyDescent="0.4">
      <c r="A1796" s="4">
        <v>1</v>
      </c>
      <c r="B1796" s="4" t="s">
        <v>239</v>
      </c>
      <c r="C1796" s="4">
        <v>3493</v>
      </c>
      <c r="D1796" s="4">
        <v>1</v>
      </c>
      <c r="E1796" s="4">
        <v>1</v>
      </c>
      <c r="F1796" s="4" t="s">
        <v>268</v>
      </c>
      <c r="G1796" s="4" t="s">
        <v>241</v>
      </c>
      <c r="H1796" s="4" t="s">
        <v>241</v>
      </c>
      <c r="I1796" s="4" t="s">
        <v>272</v>
      </c>
      <c r="J1796" s="4" t="s">
        <v>274</v>
      </c>
      <c r="K1796" s="4" t="s">
        <v>251</v>
      </c>
      <c r="L1796" s="4" t="s">
        <v>1012</v>
      </c>
      <c r="M1796" s="5" t="s">
        <v>1014</v>
      </c>
      <c r="N1796" s="6">
        <f>1006.79</f>
        <v>1006.79</v>
      </c>
      <c r="O1796" s="4" t="s">
        <v>265</v>
      </c>
      <c r="P1796" s="6">
        <f>3588280</f>
        <v>3588280</v>
      </c>
      <c r="Q1796" s="6">
        <f>0</f>
        <v>0</v>
      </c>
      <c r="S1796" s="6">
        <f>0</f>
        <v>0</v>
      </c>
      <c r="T1796" s="6">
        <f>3588280</f>
        <v>3588280</v>
      </c>
      <c r="U1796" s="5" t="s">
        <v>1013</v>
      </c>
      <c r="V1796" s="4" t="s">
        <v>270</v>
      </c>
      <c r="W1796" s="4" t="s">
        <v>242</v>
      </c>
      <c r="X1796" s="4" t="s">
        <v>273</v>
      </c>
      <c r="Y1796" s="4" t="s">
        <v>241</v>
      </c>
      <c r="AB1796" s="4" t="s">
        <v>241</v>
      </c>
      <c r="AD1796" s="5" t="s">
        <v>241</v>
      </c>
      <c r="AG1796" s="5" t="s">
        <v>246</v>
      </c>
      <c r="AH1796" s="4" t="s">
        <v>269</v>
      </c>
      <c r="AI1796" s="4" t="s">
        <v>247</v>
      </c>
      <c r="AJ1796" s="4" t="s">
        <v>248</v>
      </c>
      <c r="AZ1796" s="4" t="s">
        <v>249</v>
      </c>
      <c r="BA1796" s="4" t="s">
        <v>241</v>
      </c>
      <c r="BB1796" s="4" t="s">
        <v>250</v>
      </c>
      <c r="BC1796" s="4" t="s">
        <v>241</v>
      </c>
      <c r="BD1796" s="4" t="s">
        <v>252</v>
      </c>
      <c r="BE1796" s="4" t="s">
        <v>241</v>
      </c>
      <c r="BI1796" s="4" t="s">
        <v>253</v>
      </c>
      <c r="BJ1796" s="5" t="s">
        <v>1013</v>
      </c>
      <c r="BK1796" s="4" t="s">
        <v>254</v>
      </c>
      <c r="BL1796" s="4" t="s">
        <v>285</v>
      </c>
      <c r="BM1796" s="4" t="s">
        <v>241</v>
      </c>
      <c r="BN1796" s="6">
        <f>0</f>
        <v>0</v>
      </c>
      <c r="BO1796" s="6">
        <f>0</f>
        <v>0</v>
      </c>
      <c r="BP1796" s="4" t="s">
        <v>256</v>
      </c>
      <c r="BQ1796" s="4" t="s">
        <v>257</v>
      </c>
      <c r="CE1796" s="4" t="s">
        <v>241</v>
      </c>
      <c r="CF1796" s="4" t="s">
        <v>241</v>
      </c>
      <c r="CJ1796" s="4" t="s">
        <v>286</v>
      </c>
      <c r="CK1796" s="4" t="s">
        <v>259</v>
      </c>
      <c r="CL1796" s="4" t="s">
        <v>241</v>
      </c>
      <c r="CO1796" s="5" t="s">
        <v>260</v>
      </c>
      <c r="CP1796" s="4" t="s">
        <v>241</v>
      </c>
      <c r="CQ1796" s="4" t="s">
        <v>261</v>
      </c>
      <c r="CR1796" s="4" t="s">
        <v>241</v>
      </c>
      <c r="CS1796" s="4" t="s">
        <v>241</v>
      </c>
      <c r="CT1796" s="4">
        <v>0</v>
      </c>
      <c r="CU1796" s="4" t="s">
        <v>262</v>
      </c>
      <c r="CV1796" s="4" t="s">
        <v>263</v>
      </c>
      <c r="CW1796" s="4" t="s">
        <v>263</v>
      </c>
      <c r="CX1796" s="4" t="s">
        <v>264</v>
      </c>
      <c r="DA1796" s="6">
        <f>3588280</f>
        <v>3588280</v>
      </c>
      <c r="DC1796" s="4" t="s">
        <v>287</v>
      </c>
      <c r="DD1796" s="4" t="s">
        <v>241</v>
      </c>
      <c r="DF1796" s="4" t="s">
        <v>287</v>
      </c>
      <c r="DG1796" s="6">
        <f>1006.79</f>
        <v>1006.79</v>
      </c>
      <c r="DI1796" s="4" t="s">
        <v>241</v>
      </c>
      <c r="DJ1796" s="4" t="s">
        <v>241</v>
      </c>
      <c r="DK1796" s="4" t="s">
        <v>241</v>
      </c>
      <c r="DL1796" s="4" t="s">
        <v>241</v>
      </c>
      <c r="DP1796" s="4" t="s">
        <v>241</v>
      </c>
      <c r="DQ1796" s="4" t="s">
        <v>241</v>
      </c>
      <c r="DR1796" s="4" t="s">
        <v>241</v>
      </c>
      <c r="DS1796" s="4" t="s">
        <v>241</v>
      </c>
      <c r="DV1796" s="4" t="s">
        <v>278</v>
      </c>
      <c r="DW1796" s="4" t="s">
        <v>1015</v>
      </c>
      <c r="HO1796" s="4" t="s">
        <v>267</v>
      </c>
    </row>
    <row r="1797" spans="1:223" ht="19.5" customHeight="1" x14ac:dyDescent="0.4">
      <c r="A1797" s="4">
        <v>1</v>
      </c>
      <c r="B1797" s="4" t="s">
        <v>239</v>
      </c>
      <c r="C1797" s="4">
        <v>3494</v>
      </c>
      <c r="D1797" s="4">
        <v>1</v>
      </c>
      <c r="E1797" s="4">
        <v>1</v>
      </c>
      <c r="F1797" s="4" t="s">
        <v>268</v>
      </c>
      <c r="G1797" s="4" t="s">
        <v>241</v>
      </c>
      <c r="H1797" s="4" t="s">
        <v>241</v>
      </c>
      <c r="I1797" s="4" t="s">
        <v>272</v>
      </c>
      <c r="J1797" s="4" t="s">
        <v>274</v>
      </c>
      <c r="K1797" s="4" t="s">
        <v>251</v>
      </c>
      <c r="L1797" s="4" t="s">
        <v>1193</v>
      </c>
      <c r="M1797" s="5" t="s">
        <v>1194</v>
      </c>
      <c r="N1797" s="6">
        <f>1731.99</f>
        <v>1731.99</v>
      </c>
      <c r="O1797" s="4" t="s">
        <v>265</v>
      </c>
      <c r="P1797" s="6">
        <f>8697395</f>
        <v>8697395</v>
      </c>
      <c r="Q1797" s="6">
        <f>0</f>
        <v>0</v>
      </c>
      <c r="S1797" s="6">
        <f>0</f>
        <v>0</v>
      </c>
      <c r="T1797" s="6">
        <f>8697395</f>
        <v>8697395</v>
      </c>
      <c r="U1797" s="5" t="s">
        <v>1075</v>
      </c>
      <c r="V1797" s="4" t="s">
        <v>270</v>
      </c>
      <c r="W1797" s="4" t="s">
        <v>242</v>
      </c>
      <c r="X1797" s="4" t="s">
        <v>273</v>
      </c>
      <c r="Y1797" s="4" t="s">
        <v>241</v>
      </c>
      <c r="AB1797" s="4" t="s">
        <v>241</v>
      </c>
      <c r="AD1797" s="5" t="s">
        <v>241</v>
      </c>
      <c r="AG1797" s="5" t="s">
        <v>246</v>
      </c>
      <c r="AH1797" s="4" t="s">
        <v>269</v>
      </c>
      <c r="AI1797" s="4" t="s">
        <v>247</v>
      </c>
      <c r="AJ1797" s="4" t="s">
        <v>248</v>
      </c>
      <c r="AZ1797" s="4" t="s">
        <v>249</v>
      </c>
      <c r="BA1797" s="4" t="s">
        <v>241</v>
      </c>
      <c r="BB1797" s="4" t="s">
        <v>250</v>
      </c>
      <c r="BC1797" s="4" t="s">
        <v>241</v>
      </c>
      <c r="BD1797" s="4" t="s">
        <v>252</v>
      </c>
      <c r="BE1797" s="4" t="s">
        <v>241</v>
      </c>
      <c r="BI1797" s="4" t="s">
        <v>295</v>
      </c>
      <c r="BJ1797" s="5" t="s">
        <v>1075</v>
      </c>
      <c r="BK1797" s="4" t="s">
        <v>254</v>
      </c>
      <c r="BL1797" s="4" t="s">
        <v>285</v>
      </c>
      <c r="BM1797" s="4" t="s">
        <v>241</v>
      </c>
      <c r="BN1797" s="6">
        <f>0</f>
        <v>0</v>
      </c>
      <c r="BO1797" s="6">
        <f>0</f>
        <v>0</v>
      </c>
      <c r="BP1797" s="4" t="s">
        <v>256</v>
      </c>
      <c r="BQ1797" s="4" t="s">
        <v>257</v>
      </c>
      <c r="CE1797" s="4" t="s">
        <v>241</v>
      </c>
      <c r="CF1797" s="4" t="s">
        <v>241</v>
      </c>
      <c r="CJ1797" s="4" t="s">
        <v>286</v>
      </c>
      <c r="CK1797" s="4" t="s">
        <v>259</v>
      </c>
      <c r="CL1797" s="4" t="s">
        <v>241</v>
      </c>
      <c r="CO1797" s="5" t="s">
        <v>260</v>
      </c>
      <c r="CP1797" s="4" t="s">
        <v>241</v>
      </c>
      <c r="CQ1797" s="4" t="s">
        <v>261</v>
      </c>
      <c r="CR1797" s="4" t="s">
        <v>241</v>
      </c>
      <c r="CS1797" s="4" t="s">
        <v>241</v>
      </c>
      <c r="CT1797" s="4">
        <v>0</v>
      </c>
      <c r="CU1797" s="4" t="s">
        <v>262</v>
      </c>
      <c r="CV1797" s="4" t="s">
        <v>263</v>
      </c>
      <c r="CW1797" s="4" t="s">
        <v>263</v>
      </c>
      <c r="CX1797" s="4" t="s">
        <v>264</v>
      </c>
      <c r="DA1797" s="6">
        <f>8697395</f>
        <v>8697395</v>
      </c>
      <c r="DC1797" s="4" t="s">
        <v>287</v>
      </c>
      <c r="DD1797" s="4" t="s">
        <v>241</v>
      </c>
      <c r="DF1797" s="4" t="s">
        <v>287</v>
      </c>
      <c r="DG1797" s="6">
        <f>1731.99</f>
        <v>1731.99</v>
      </c>
      <c r="DI1797" s="4" t="s">
        <v>241</v>
      </c>
      <c r="DJ1797" s="4" t="s">
        <v>241</v>
      </c>
      <c r="DK1797" s="4" t="s">
        <v>241</v>
      </c>
      <c r="DL1797" s="4" t="s">
        <v>241</v>
      </c>
      <c r="DP1797" s="4" t="s">
        <v>241</v>
      </c>
      <c r="DQ1797" s="4" t="s">
        <v>241</v>
      </c>
      <c r="DR1797" s="4" t="s">
        <v>241</v>
      </c>
      <c r="DS1797" s="4" t="s">
        <v>241</v>
      </c>
      <c r="DV1797" s="4" t="s">
        <v>278</v>
      </c>
      <c r="DW1797" s="4" t="s">
        <v>1195</v>
      </c>
      <c r="HO1797" s="4" t="s">
        <v>267</v>
      </c>
    </row>
    <row r="1798" spans="1:223" ht="19.5" customHeight="1" x14ac:dyDescent="0.4">
      <c r="A1798" s="4">
        <v>1</v>
      </c>
      <c r="B1798" s="4" t="s">
        <v>239</v>
      </c>
      <c r="C1798" s="4">
        <v>3495</v>
      </c>
      <c r="D1798" s="4">
        <v>1</v>
      </c>
      <c r="E1798" s="4">
        <v>1</v>
      </c>
      <c r="F1798" s="4" t="s">
        <v>268</v>
      </c>
      <c r="G1798" s="4" t="s">
        <v>241</v>
      </c>
      <c r="H1798" s="4" t="s">
        <v>241</v>
      </c>
      <c r="I1798" s="4" t="s">
        <v>272</v>
      </c>
      <c r="J1798" s="4" t="s">
        <v>274</v>
      </c>
      <c r="K1798" s="4" t="s">
        <v>251</v>
      </c>
      <c r="L1798" s="4" t="s">
        <v>1348</v>
      </c>
      <c r="M1798" s="5" t="s">
        <v>1349</v>
      </c>
      <c r="N1798" s="6">
        <f>28.54</f>
        <v>28.54</v>
      </c>
      <c r="O1798" s="4" t="s">
        <v>265</v>
      </c>
      <c r="P1798" s="6">
        <f>2695824</f>
        <v>2695824</v>
      </c>
      <c r="Q1798" s="6">
        <f>0</f>
        <v>0</v>
      </c>
      <c r="S1798" s="6">
        <f>0</f>
        <v>0</v>
      </c>
      <c r="T1798" s="6">
        <f>2695824</f>
        <v>2695824</v>
      </c>
      <c r="U1798" s="5" t="s">
        <v>1269</v>
      </c>
      <c r="V1798" s="4" t="s">
        <v>270</v>
      </c>
      <c r="W1798" s="4" t="s">
        <v>242</v>
      </c>
      <c r="X1798" s="4" t="s">
        <v>273</v>
      </c>
      <c r="Y1798" s="4" t="s">
        <v>241</v>
      </c>
      <c r="AB1798" s="4" t="s">
        <v>241</v>
      </c>
      <c r="AD1798" s="5" t="s">
        <v>241</v>
      </c>
      <c r="AG1798" s="5" t="s">
        <v>246</v>
      </c>
      <c r="AH1798" s="4" t="s">
        <v>269</v>
      </c>
      <c r="AI1798" s="4" t="s">
        <v>247</v>
      </c>
      <c r="AJ1798" s="4" t="s">
        <v>248</v>
      </c>
      <c r="AZ1798" s="4" t="s">
        <v>249</v>
      </c>
      <c r="BA1798" s="4" t="s">
        <v>241</v>
      </c>
      <c r="BB1798" s="4" t="s">
        <v>250</v>
      </c>
      <c r="BC1798" s="4" t="s">
        <v>241</v>
      </c>
      <c r="BD1798" s="4" t="s">
        <v>252</v>
      </c>
      <c r="BE1798" s="4" t="s">
        <v>241</v>
      </c>
      <c r="BI1798" s="4" t="s">
        <v>295</v>
      </c>
      <c r="BJ1798" s="5" t="s">
        <v>1269</v>
      </c>
      <c r="BK1798" s="4" t="s">
        <v>254</v>
      </c>
      <c r="BL1798" s="4" t="s">
        <v>285</v>
      </c>
      <c r="BM1798" s="4" t="s">
        <v>241</v>
      </c>
      <c r="BN1798" s="6">
        <f>0</f>
        <v>0</v>
      </c>
      <c r="BO1798" s="6">
        <f>0</f>
        <v>0</v>
      </c>
      <c r="BP1798" s="4" t="s">
        <v>256</v>
      </c>
      <c r="BQ1798" s="4" t="s">
        <v>257</v>
      </c>
      <c r="CE1798" s="4" t="s">
        <v>241</v>
      </c>
      <c r="CF1798" s="4" t="s">
        <v>241</v>
      </c>
      <c r="CJ1798" s="4" t="s">
        <v>286</v>
      </c>
      <c r="CK1798" s="4" t="s">
        <v>259</v>
      </c>
      <c r="CL1798" s="4" t="s">
        <v>241</v>
      </c>
      <c r="CO1798" s="5" t="s">
        <v>260</v>
      </c>
      <c r="CP1798" s="4" t="s">
        <v>241</v>
      </c>
      <c r="CQ1798" s="4" t="s">
        <v>261</v>
      </c>
      <c r="CR1798" s="4" t="s">
        <v>241</v>
      </c>
      <c r="CS1798" s="4" t="s">
        <v>241</v>
      </c>
      <c r="CT1798" s="4">
        <v>0</v>
      </c>
      <c r="CU1798" s="4" t="s">
        <v>262</v>
      </c>
      <c r="CV1798" s="4" t="s">
        <v>263</v>
      </c>
      <c r="CW1798" s="4" t="s">
        <v>263</v>
      </c>
      <c r="CX1798" s="4" t="s">
        <v>264</v>
      </c>
      <c r="DA1798" s="6">
        <f>2695824</f>
        <v>2695824</v>
      </c>
      <c r="DC1798" s="4" t="s">
        <v>287</v>
      </c>
      <c r="DD1798" s="4" t="s">
        <v>241</v>
      </c>
      <c r="DF1798" s="4" t="s">
        <v>287</v>
      </c>
      <c r="DG1798" s="6">
        <f>28.54</f>
        <v>28.54</v>
      </c>
      <c r="DI1798" s="4" t="s">
        <v>241</v>
      </c>
      <c r="DJ1798" s="4" t="s">
        <v>241</v>
      </c>
      <c r="DK1798" s="4" t="s">
        <v>241</v>
      </c>
      <c r="DL1798" s="4" t="s">
        <v>241</v>
      </c>
      <c r="DP1798" s="4" t="s">
        <v>241</v>
      </c>
      <c r="DQ1798" s="4" t="s">
        <v>241</v>
      </c>
      <c r="DR1798" s="4" t="s">
        <v>241</v>
      </c>
      <c r="DS1798" s="4" t="s">
        <v>241</v>
      </c>
      <c r="DV1798" s="4" t="s">
        <v>278</v>
      </c>
      <c r="DW1798" s="4" t="s">
        <v>1350</v>
      </c>
      <c r="HO1798" s="4" t="s">
        <v>267</v>
      </c>
    </row>
    <row r="1799" spans="1:223" ht="19.5" customHeight="1" x14ac:dyDescent="0.4">
      <c r="A1799" s="4">
        <v>1</v>
      </c>
      <c r="B1799" s="4" t="s">
        <v>239</v>
      </c>
      <c r="C1799" s="4">
        <v>3496</v>
      </c>
      <c r="D1799" s="4">
        <v>1</v>
      </c>
      <c r="E1799" s="4">
        <v>1</v>
      </c>
      <c r="F1799" s="4" t="s">
        <v>268</v>
      </c>
      <c r="G1799" s="4" t="s">
        <v>241</v>
      </c>
      <c r="H1799" s="4" t="s">
        <v>241</v>
      </c>
      <c r="I1799" s="4" t="s">
        <v>272</v>
      </c>
      <c r="J1799" s="4" t="s">
        <v>274</v>
      </c>
      <c r="K1799" s="4" t="s">
        <v>251</v>
      </c>
      <c r="L1799" s="4" t="s">
        <v>1436</v>
      </c>
      <c r="M1799" s="5" t="s">
        <v>1437</v>
      </c>
      <c r="N1799" s="6">
        <f>51.74</f>
        <v>51.74</v>
      </c>
      <c r="O1799" s="4" t="s">
        <v>265</v>
      </c>
      <c r="P1799" s="6">
        <f>4027379</f>
        <v>4027379</v>
      </c>
      <c r="Q1799" s="6">
        <f>0</f>
        <v>0</v>
      </c>
      <c r="S1799" s="6">
        <f>0</f>
        <v>0</v>
      </c>
      <c r="T1799" s="6">
        <f>4027379</f>
        <v>4027379</v>
      </c>
      <c r="U1799" s="5" t="s">
        <v>1269</v>
      </c>
      <c r="V1799" s="4" t="s">
        <v>270</v>
      </c>
      <c r="W1799" s="4" t="s">
        <v>242</v>
      </c>
      <c r="X1799" s="4" t="s">
        <v>273</v>
      </c>
      <c r="Y1799" s="4" t="s">
        <v>241</v>
      </c>
      <c r="AB1799" s="4" t="s">
        <v>241</v>
      </c>
      <c r="AD1799" s="5" t="s">
        <v>241</v>
      </c>
      <c r="AG1799" s="5" t="s">
        <v>246</v>
      </c>
      <c r="AH1799" s="4" t="s">
        <v>269</v>
      </c>
      <c r="AI1799" s="4" t="s">
        <v>247</v>
      </c>
      <c r="AJ1799" s="4" t="s">
        <v>248</v>
      </c>
      <c r="AZ1799" s="4" t="s">
        <v>249</v>
      </c>
      <c r="BA1799" s="4" t="s">
        <v>241</v>
      </c>
      <c r="BB1799" s="4" t="s">
        <v>250</v>
      </c>
      <c r="BC1799" s="4" t="s">
        <v>241</v>
      </c>
      <c r="BD1799" s="4" t="s">
        <v>252</v>
      </c>
      <c r="BE1799" s="4" t="s">
        <v>241</v>
      </c>
      <c r="BI1799" s="4" t="s">
        <v>295</v>
      </c>
      <c r="BJ1799" s="5" t="s">
        <v>1269</v>
      </c>
      <c r="BK1799" s="4" t="s">
        <v>254</v>
      </c>
      <c r="BL1799" s="4" t="s">
        <v>285</v>
      </c>
      <c r="BM1799" s="4" t="s">
        <v>241</v>
      </c>
      <c r="BN1799" s="6">
        <f>0</f>
        <v>0</v>
      </c>
      <c r="BO1799" s="6">
        <f>0</f>
        <v>0</v>
      </c>
      <c r="BP1799" s="4" t="s">
        <v>256</v>
      </c>
      <c r="BQ1799" s="4" t="s">
        <v>257</v>
      </c>
      <c r="CE1799" s="4" t="s">
        <v>241</v>
      </c>
      <c r="CF1799" s="4" t="s">
        <v>241</v>
      </c>
      <c r="CJ1799" s="4" t="s">
        <v>286</v>
      </c>
      <c r="CK1799" s="4" t="s">
        <v>259</v>
      </c>
      <c r="CL1799" s="4" t="s">
        <v>241</v>
      </c>
      <c r="CO1799" s="5" t="s">
        <v>260</v>
      </c>
      <c r="CP1799" s="4" t="s">
        <v>241</v>
      </c>
      <c r="CQ1799" s="4" t="s">
        <v>261</v>
      </c>
      <c r="CR1799" s="4" t="s">
        <v>241</v>
      </c>
      <c r="CS1799" s="4" t="s">
        <v>241</v>
      </c>
      <c r="CT1799" s="4">
        <v>0</v>
      </c>
      <c r="CU1799" s="4" t="s">
        <v>262</v>
      </c>
      <c r="CV1799" s="4" t="s">
        <v>263</v>
      </c>
      <c r="CW1799" s="4" t="s">
        <v>263</v>
      </c>
      <c r="CX1799" s="4" t="s">
        <v>264</v>
      </c>
      <c r="DA1799" s="6">
        <f>4027379</f>
        <v>4027379</v>
      </c>
      <c r="DC1799" s="4" t="s">
        <v>287</v>
      </c>
      <c r="DD1799" s="4" t="s">
        <v>241</v>
      </c>
      <c r="DF1799" s="4" t="s">
        <v>287</v>
      </c>
      <c r="DG1799" s="6">
        <f>51.74</f>
        <v>51.74</v>
      </c>
      <c r="DI1799" s="4" t="s">
        <v>241</v>
      </c>
      <c r="DJ1799" s="4" t="s">
        <v>241</v>
      </c>
      <c r="DK1799" s="4" t="s">
        <v>241</v>
      </c>
      <c r="DL1799" s="4" t="s">
        <v>241</v>
      </c>
      <c r="DP1799" s="4" t="s">
        <v>241</v>
      </c>
      <c r="DQ1799" s="4" t="s">
        <v>241</v>
      </c>
      <c r="DR1799" s="4" t="s">
        <v>241</v>
      </c>
      <c r="DS1799" s="4" t="s">
        <v>241</v>
      </c>
      <c r="DV1799" s="4" t="s">
        <v>278</v>
      </c>
      <c r="DW1799" s="4" t="s">
        <v>1438</v>
      </c>
      <c r="HO1799" s="4" t="s">
        <v>267</v>
      </c>
    </row>
    <row r="1800" spans="1:223" ht="19.5" customHeight="1" x14ac:dyDescent="0.4">
      <c r="A1800" s="4">
        <v>1</v>
      </c>
      <c r="B1800" s="4" t="s">
        <v>239</v>
      </c>
      <c r="C1800" s="4">
        <v>3497</v>
      </c>
      <c r="D1800" s="4">
        <v>1</v>
      </c>
      <c r="E1800" s="4">
        <v>1</v>
      </c>
      <c r="F1800" s="4" t="s">
        <v>268</v>
      </c>
      <c r="G1800" s="4" t="s">
        <v>241</v>
      </c>
      <c r="H1800" s="4" t="s">
        <v>241</v>
      </c>
      <c r="I1800" s="4" t="s">
        <v>272</v>
      </c>
      <c r="J1800" s="4" t="s">
        <v>274</v>
      </c>
      <c r="K1800" s="4" t="s">
        <v>251</v>
      </c>
      <c r="L1800" s="4" t="s">
        <v>1030</v>
      </c>
      <c r="M1800" s="5" t="s">
        <v>1031</v>
      </c>
      <c r="N1800" s="6">
        <f>308.53</f>
        <v>308.52999999999997</v>
      </c>
      <c r="O1800" s="4" t="s">
        <v>265</v>
      </c>
      <c r="P1800" s="6">
        <f>6141695</f>
        <v>6141695</v>
      </c>
      <c r="Q1800" s="6">
        <f>0</f>
        <v>0</v>
      </c>
      <c r="S1800" s="6">
        <f>0</f>
        <v>0</v>
      </c>
      <c r="T1800" s="6">
        <f>6141695</f>
        <v>6141695</v>
      </c>
      <c r="U1800" s="5" t="s">
        <v>1013</v>
      </c>
      <c r="V1800" s="4" t="s">
        <v>270</v>
      </c>
      <c r="W1800" s="4" t="s">
        <v>242</v>
      </c>
      <c r="X1800" s="4" t="s">
        <v>273</v>
      </c>
      <c r="Y1800" s="4" t="s">
        <v>241</v>
      </c>
      <c r="AB1800" s="4" t="s">
        <v>241</v>
      </c>
      <c r="AD1800" s="5" t="s">
        <v>241</v>
      </c>
      <c r="AG1800" s="5" t="s">
        <v>246</v>
      </c>
      <c r="AH1800" s="4" t="s">
        <v>269</v>
      </c>
      <c r="AI1800" s="4" t="s">
        <v>247</v>
      </c>
      <c r="AJ1800" s="4" t="s">
        <v>248</v>
      </c>
      <c r="AZ1800" s="4" t="s">
        <v>249</v>
      </c>
      <c r="BA1800" s="4" t="s">
        <v>241</v>
      </c>
      <c r="BB1800" s="4" t="s">
        <v>250</v>
      </c>
      <c r="BC1800" s="4" t="s">
        <v>241</v>
      </c>
      <c r="BD1800" s="4" t="s">
        <v>252</v>
      </c>
      <c r="BE1800" s="4" t="s">
        <v>241</v>
      </c>
      <c r="BI1800" s="4" t="s">
        <v>295</v>
      </c>
      <c r="BJ1800" s="5" t="s">
        <v>1013</v>
      </c>
      <c r="BK1800" s="4" t="s">
        <v>254</v>
      </c>
      <c r="BL1800" s="4" t="s">
        <v>285</v>
      </c>
      <c r="BM1800" s="4" t="s">
        <v>241</v>
      </c>
      <c r="BN1800" s="6">
        <f>0</f>
        <v>0</v>
      </c>
      <c r="BO1800" s="6">
        <f>0</f>
        <v>0</v>
      </c>
      <c r="BP1800" s="4" t="s">
        <v>256</v>
      </c>
      <c r="BQ1800" s="4" t="s">
        <v>257</v>
      </c>
      <c r="CE1800" s="4" t="s">
        <v>241</v>
      </c>
      <c r="CF1800" s="4" t="s">
        <v>241</v>
      </c>
      <c r="CJ1800" s="4" t="s">
        <v>286</v>
      </c>
      <c r="CK1800" s="4" t="s">
        <v>259</v>
      </c>
      <c r="CL1800" s="4" t="s">
        <v>241</v>
      </c>
      <c r="CO1800" s="5" t="s">
        <v>260</v>
      </c>
      <c r="CP1800" s="4" t="s">
        <v>241</v>
      </c>
      <c r="CQ1800" s="4" t="s">
        <v>261</v>
      </c>
      <c r="CR1800" s="4" t="s">
        <v>241</v>
      </c>
      <c r="CS1800" s="4" t="s">
        <v>241</v>
      </c>
      <c r="CT1800" s="4">
        <v>0</v>
      </c>
      <c r="CU1800" s="4" t="s">
        <v>262</v>
      </c>
      <c r="CV1800" s="4" t="s">
        <v>263</v>
      </c>
      <c r="CW1800" s="4" t="s">
        <v>263</v>
      </c>
      <c r="CX1800" s="4" t="s">
        <v>264</v>
      </c>
      <c r="DA1800" s="6">
        <f>6141695</f>
        <v>6141695</v>
      </c>
      <c r="DC1800" s="4" t="s">
        <v>287</v>
      </c>
      <c r="DD1800" s="4" t="s">
        <v>241</v>
      </c>
      <c r="DF1800" s="4" t="s">
        <v>287</v>
      </c>
      <c r="DG1800" s="6">
        <f>308.53</f>
        <v>308.52999999999997</v>
      </c>
      <c r="DI1800" s="4" t="s">
        <v>241</v>
      </c>
      <c r="DJ1800" s="4" t="s">
        <v>241</v>
      </c>
      <c r="DK1800" s="4" t="s">
        <v>241</v>
      </c>
      <c r="DL1800" s="4" t="s">
        <v>241</v>
      </c>
      <c r="DP1800" s="4" t="s">
        <v>241</v>
      </c>
      <c r="DQ1800" s="4" t="s">
        <v>241</v>
      </c>
      <c r="DR1800" s="4" t="s">
        <v>241</v>
      </c>
      <c r="DS1800" s="4" t="s">
        <v>241</v>
      </c>
      <c r="DV1800" s="4" t="s">
        <v>278</v>
      </c>
      <c r="DW1800" s="4" t="s">
        <v>1032</v>
      </c>
      <c r="HO1800" s="4" t="s">
        <v>267</v>
      </c>
    </row>
    <row r="1801" spans="1:223" ht="19.5" customHeight="1" x14ac:dyDescent="0.4">
      <c r="A1801" s="4">
        <v>1</v>
      </c>
      <c r="B1801" s="4" t="s">
        <v>239</v>
      </c>
      <c r="C1801" s="4">
        <v>3498</v>
      </c>
      <c r="D1801" s="4">
        <v>1</v>
      </c>
      <c r="E1801" s="4">
        <v>1</v>
      </c>
      <c r="F1801" s="4" t="s">
        <v>268</v>
      </c>
      <c r="G1801" s="4" t="s">
        <v>241</v>
      </c>
      <c r="H1801" s="4" t="s">
        <v>241</v>
      </c>
      <c r="I1801" s="4" t="s">
        <v>272</v>
      </c>
      <c r="J1801" s="4" t="s">
        <v>274</v>
      </c>
      <c r="K1801" s="4" t="s">
        <v>251</v>
      </c>
      <c r="L1801" s="4" t="s">
        <v>363</v>
      </c>
      <c r="M1801" s="5" t="s">
        <v>365</v>
      </c>
      <c r="N1801" s="6">
        <f>79.01</f>
        <v>79.010000000000005</v>
      </c>
      <c r="O1801" s="4" t="s">
        <v>265</v>
      </c>
      <c r="P1801" s="6">
        <f>767187</f>
        <v>767187</v>
      </c>
      <c r="Q1801" s="6">
        <f>0</f>
        <v>0</v>
      </c>
      <c r="S1801" s="6">
        <f>0</f>
        <v>0</v>
      </c>
      <c r="T1801" s="6">
        <f>767187</f>
        <v>767187</v>
      </c>
      <c r="U1801" s="5" t="s">
        <v>364</v>
      </c>
      <c r="V1801" s="4" t="s">
        <v>270</v>
      </c>
      <c r="W1801" s="4" t="s">
        <v>242</v>
      </c>
      <c r="X1801" s="4" t="s">
        <v>273</v>
      </c>
      <c r="Y1801" s="4" t="s">
        <v>241</v>
      </c>
      <c r="AB1801" s="4" t="s">
        <v>241</v>
      </c>
      <c r="AD1801" s="5" t="s">
        <v>241</v>
      </c>
      <c r="AG1801" s="5" t="s">
        <v>246</v>
      </c>
      <c r="AH1801" s="4" t="s">
        <v>269</v>
      </c>
      <c r="AI1801" s="4" t="s">
        <v>247</v>
      </c>
      <c r="AJ1801" s="4" t="s">
        <v>248</v>
      </c>
      <c r="AZ1801" s="4" t="s">
        <v>249</v>
      </c>
      <c r="BA1801" s="4" t="s">
        <v>241</v>
      </c>
      <c r="BB1801" s="4" t="s">
        <v>250</v>
      </c>
      <c r="BC1801" s="4" t="s">
        <v>241</v>
      </c>
      <c r="BD1801" s="4" t="s">
        <v>252</v>
      </c>
      <c r="BE1801" s="4" t="s">
        <v>241</v>
      </c>
      <c r="BI1801" s="4" t="s">
        <v>295</v>
      </c>
      <c r="BJ1801" s="5" t="s">
        <v>364</v>
      </c>
      <c r="BK1801" s="4" t="s">
        <v>254</v>
      </c>
      <c r="BL1801" s="4" t="s">
        <v>285</v>
      </c>
      <c r="BM1801" s="4" t="s">
        <v>241</v>
      </c>
      <c r="BN1801" s="6">
        <f>0</f>
        <v>0</v>
      </c>
      <c r="BO1801" s="6">
        <f>0</f>
        <v>0</v>
      </c>
      <c r="BP1801" s="4" t="s">
        <v>256</v>
      </c>
      <c r="BQ1801" s="4" t="s">
        <v>257</v>
      </c>
      <c r="CE1801" s="4" t="s">
        <v>241</v>
      </c>
      <c r="CF1801" s="4" t="s">
        <v>241</v>
      </c>
      <c r="CJ1801" s="4" t="s">
        <v>286</v>
      </c>
      <c r="CK1801" s="4" t="s">
        <v>259</v>
      </c>
      <c r="CL1801" s="4" t="s">
        <v>241</v>
      </c>
      <c r="CO1801" s="5" t="s">
        <v>260</v>
      </c>
      <c r="CP1801" s="4" t="s">
        <v>241</v>
      </c>
      <c r="CQ1801" s="4" t="s">
        <v>261</v>
      </c>
      <c r="CR1801" s="4" t="s">
        <v>241</v>
      </c>
      <c r="CS1801" s="4" t="s">
        <v>241</v>
      </c>
      <c r="CT1801" s="4">
        <v>0</v>
      </c>
      <c r="CU1801" s="4" t="s">
        <v>262</v>
      </c>
      <c r="CV1801" s="4" t="s">
        <v>263</v>
      </c>
      <c r="CW1801" s="4" t="s">
        <v>263</v>
      </c>
      <c r="CX1801" s="4" t="s">
        <v>264</v>
      </c>
      <c r="DA1801" s="6">
        <f>767187</f>
        <v>767187</v>
      </c>
      <c r="DC1801" s="4" t="s">
        <v>287</v>
      </c>
      <c r="DD1801" s="4" t="s">
        <v>241</v>
      </c>
      <c r="DF1801" s="4" t="s">
        <v>287</v>
      </c>
      <c r="DG1801" s="6">
        <f>79.01</f>
        <v>79.010000000000005</v>
      </c>
      <c r="DI1801" s="4" t="s">
        <v>241</v>
      </c>
      <c r="DJ1801" s="4" t="s">
        <v>241</v>
      </c>
      <c r="DK1801" s="4" t="s">
        <v>241</v>
      </c>
      <c r="DL1801" s="4" t="s">
        <v>241</v>
      </c>
      <c r="DP1801" s="4" t="s">
        <v>241</v>
      </c>
      <c r="DQ1801" s="4" t="s">
        <v>241</v>
      </c>
      <c r="DR1801" s="4" t="s">
        <v>241</v>
      </c>
      <c r="DS1801" s="4" t="s">
        <v>241</v>
      </c>
      <c r="DV1801" s="4" t="s">
        <v>278</v>
      </c>
      <c r="DW1801" s="4" t="s">
        <v>366</v>
      </c>
      <c r="HO1801" s="4" t="s">
        <v>267</v>
      </c>
    </row>
    <row r="1802" spans="1:223" ht="19.5" customHeight="1" x14ac:dyDescent="0.4">
      <c r="A1802" s="4">
        <v>1</v>
      </c>
      <c r="B1802" s="4" t="s">
        <v>239</v>
      </c>
      <c r="C1802" s="4">
        <v>3499</v>
      </c>
      <c r="D1802" s="4">
        <v>1</v>
      </c>
      <c r="E1802" s="4">
        <v>1</v>
      </c>
      <c r="F1802" s="4" t="s">
        <v>268</v>
      </c>
      <c r="G1802" s="4" t="s">
        <v>241</v>
      </c>
      <c r="H1802" s="4" t="s">
        <v>241</v>
      </c>
      <c r="I1802" s="4" t="s">
        <v>272</v>
      </c>
      <c r="J1802" s="4" t="s">
        <v>274</v>
      </c>
      <c r="K1802" s="4" t="s">
        <v>251</v>
      </c>
      <c r="L1802" s="4" t="s">
        <v>1333</v>
      </c>
      <c r="M1802" s="5" t="s">
        <v>332</v>
      </c>
      <c r="N1802" s="6">
        <f>938.78</f>
        <v>938.78</v>
      </c>
      <c r="O1802" s="4" t="s">
        <v>265</v>
      </c>
      <c r="P1802" s="6">
        <f>18365538</f>
        <v>18365538</v>
      </c>
      <c r="Q1802" s="6">
        <f>0</f>
        <v>0</v>
      </c>
      <c r="S1802" s="6">
        <f>0</f>
        <v>0</v>
      </c>
      <c r="T1802" s="6">
        <f>18365538</f>
        <v>18365538</v>
      </c>
      <c r="U1802" s="5" t="s">
        <v>1312</v>
      </c>
      <c r="V1802" s="4" t="s">
        <v>270</v>
      </c>
      <c r="W1802" s="4" t="s">
        <v>242</v>
      </c>
      <c r="X1802" s="4" t="s">
        <v>273</v>
      </c>
      <c r="Y1802" s="4" t="s">
        <v>241</v>
      </c>
      <c r="AB1802" s="4" t="s">
        <v>241</v>
      </c>
      <c r="AD1802" s="5" t="s">
        <v>241</v>
      </c>
      <c r="AG1802" s="5" t="s">
        <v>246</v>
      </c>
      <c r="AH1802" s="4" t="s">
        <v>269</v>
      </c>
      <c r="AI1802" s="4" t="s">
        <v>247</v>
      </c>
      <c r="AJ1802" s="4" t="s">
        <v>248</v>
      </c>
      <c r="AZ1802" s="4" t="s">
        <v>249</v>
      </c>
      <c r="BA1802" s="4" t="s">
        <v>241</v>
      </c>
      <c r="BB1802" s="4" t="s">
        <v>250</v>
      </c>
      <c r="BC1802" s="4" t="s">
        <v>241</v>
      </c>
      <c r="BD1802" s="4" t="s">
        <v>252</v>
      </c>
      <c r="BE1802" s="4" t="s">
        <v>241</v>
      </c>
      <c r="BI1802" s="4" t="s">
        <v>295</v>
      </c>
      <c r="BJ1802" s="5" t="s">
        <v>1312</v>
      </c>
      <c r="BK1802" s="4" t="s">
        <v>254</v>
      </c>
      <c r="BL1802" s="4" t="s">
        <v>285</v>
      </c>
      <c r="BM1802" s="4" t="s">
        <v>241</v>
      </c>
      <c r="BN1802" s="6">
        <f>0</f>
        <v>0</v>
      </c>
      <c r="BO1802" s="6">
        <f>0</f>
        <v>0</v>
      </c>
      <c r="BP1802" s="4" t="s">
        <v>256</v>
      </c>
      <c r="BQ1802" s="4" t="s">
        <v>257</v>
      </c>
      <c r="CE1802" s="4" t="s">
        <v>241</v>
      </c>
      <c r="CF1802" s="4" t="s">
        <v>241</v>
      </c>
      <c r="CJ1802" s="4" t="s">
        <v>286</v>
      </c>
      <c r="CK1802" s="4" t="s">
        <v>259</v>
      </c>
      <c r="CL1802" s="4" t="s">
        <v>241</v>
      </c>
      <c r="CO1802" s="5" t="s">
        <v>260</v>
      </c>
      <c r="CP1802" s="4" t="s">
        <v>241</v>
      </c>
      <c r="CQ1802" s="4" t="s">
        <v>261</v>
      </c>
      <c r="CR1802" s="4" t="s">
        <v>241</v>
      </c>
      <c r="CS1802" s="4" t="s">
        <v>241</v>
      </c>
      <c r="CT1802" s="4">
        <v>0</v>
      </c>
      <c r="CU1802" s="4" t="s">
        <v>262</v>
      </c>
      <c r="CV1802" s="4" t="s">
        <v>263</v>
      </c>
      <c r="CW1802" s="4" t="s">
        <v>263</v>
      </c>
      <c r="CX1802" s="4" t="s">
        <v>264</v>
      </c>
      <c r="DA1802" s="6">
        <f>18365538</f>
        <v>18365538</v>
      </c>
      <c r="DC1802" s="4" t="s">
        <v>287</v>
      </c>
      <c r="DD1802" s="4" t="s">
        <v>241</v>
      </c>
      <c r="DF1802" s="4" t="s">
        <v>287</v>
      </c>
      <c r="DG1802" s="6">
        <f>938.78</f>
        <v>938.78</v>
      </c>
      <c r="DI1802" s="4" t="s">
        <v>241</v>
      </c>
      <c r="DJ1802" s="4" t="s">
        <v>241</v>
      </c>
      <c r="DK1802" s="4" t="s">
        <v>241</v>
      </c>
      <c r="DL1802" s="4" t="s">
        <v>241</v>
      </c>
      <c r="DP1802" s="4" t="s">
        <v>241</v>
      </c>
      <c r="DQ1802" s="4" t="s">
        <v>241</v>
      </c>
      <c r="DR1802" s="4" t="s">
        <v>241</v>
      </c>
      <c r="DS1802" s="4" t="s">
        <v>241</v>
      </c>
      <c r="DV1802" s="4" t="s">
        <v>278</v>
      </c>
      <c r="DW1802" s="4" t="s">
        <v>1334</v>
      </c>
      <c r="HO1802" s="4" t="s">
        <v>267</v>
      </c>
    </row>
    <row r="1803" spans="1:223" ht="19.5" customHeight="1" x14ac:dyDescent="0.4">
      <c r="A1803" s="4">
        <v>1</v>
      </c>
      <c r="B1803" s="4" t="s">
        <v>239</v>
      </c>
      <c r="C1803" s="4">
        <v>3500</v>
      </c>
      <c r="D1803" s="4">
        <v>1</v>
      </c>
      <c r="E1803" s="4">
        <v>1</v>
      </c>
      <c r="F1803" s="4" t="s">
        <v>268</v>
      </c>
      <c r="G1803" s="4" t="s">
        <v>241</v>
      </c>
      <c r="H1803" s="4" t="s">
        <v>241</v>
      </c>
      <c r="I1803" s="4" t="s">
        <v>272</v>
      </c>
      <c r="J1803" s="4" t="s">
        <v>274</v>
      </c>
      <c r="K1803" s="4" t="s">
        <v>251</v>
      </c>
      <c r="L1803" s="4" t="s">
        <v>1391</v>
      </c>
      <c r="M1803" s="5" t="s">
        <v>1392</v>
      </c>
      <c r="N1803" s="6">
        <f>124.09</f>
        <v>124.09</v>
      </c>
      <c r="O1803" s="4" t="s">
        <v>265</v>
      </c>
      <c r="P1803" s="6">
        <f>173726</f>
        <v>173726</v>
      </c>
      <c r="Q1803" s="6">
        <f>0</f>
        <v>0</v>
      </c>
      <c r="S1803" s="6">
        <f>0</f>
        <v>0</v>
      </c>
      <c r="T1803" s="6">
        <f>173726</f>
        <v>173726</v>
      </c>
      <c r="U1803" s="5" t="s">
        <v>1256</v>
      </c>
      <c r="V1803" s="4" t="s">
        <v>270</v>
      </c>
      <c r="W1803" s="4" t="s">
        <v>242</v>
      </c>
      <c r="X1803" s="4" t="s">
        <v>273</v>
      </c>
      <c r="Y1803" s="4" t="s">
        <v>241</v>
      </c>
      <c r="AB1803" s="4" t="s">
        <v>241</v>
      </c>
      <c r="AD1803" s="5" t="s">
        <v>241</v>
      </c>
      <c r="AG1803" s="5" t="s">
        <v>246</v>
      </c>
      <c r="AH1803" s="4" t="s">
        <v>269</v>
      </c>
      <c r="AI1803" s="4" t="s">
        <v>247</v>
      </c>
      <c r="AJ1803" s="4" t="s">
        <v>248</v>
      </c>
      <c r="AZ1803" s="4" t="s">
        <v>249</v>
      </c>
      <c r="BA1803" s="4" t="s">
        <v>241</v>
      </c>
      <c r="BB1803" s="4" t="s">
        <v>250</v>
      </c>
      <c r="BC1803" s="4" t="s">
        <v>241</v>
      </c>
      <c r="BD1803" s="4" t="s">
        <v>252</v>
      </c>
      <c r="BE1803" s="4" t="s">
        <v>241</v>
      </c>
      <c r="BI1803" s="4" t="s">
        <v>295</v>
      </c>
      <c r="BJ1803" s="5" t="s">
        <v>1256</v>
      </c>
      <c r="BK1803" s="4" t="s">
        <v>254</v>
      </c>
      <c r="BL1803" s="4" t="s">
        <v>285</v>
      </c>
      <c r="BM1803" s="4" t="s">
        <v>241</v>
      </c>
      <c r="BN1803" s="6">
        <f>0</f>
        <v>0</v>
      </c>
      <c r="BO1803" s="6">
        <f>0</f>
        <v>0</v>
      </c>
      <c r="BP1803" s="4" t="s">
        <v>256</v>
      </c>
      <c r="BQ1803" s="4" t="s">
        <v>257</v>
      </c>
      <c r="CE1803" s="4" t="s">
        <v>241</v>
      </c>
      <c r="CF1803" s="4" t="s">
        <v>241</v>
      </c>
      <c r="CJ1803" s="4" t="s">
        <v>286</v>
      </c>
      <c r="CK1803" s="4" t="s">
        <v>259</v>
      </c>
      <c r="CL1803" s="4" t="s">
        <v>241</v>
      </c>
      <c r="CO1803" s="5" t="s">
        <v>260</v>
      </c>
      <c r="CP1803" s="4" t="s">
        <v>241</v>
      </c>
      <c r="CQ1803" s="4" t="s">
        <v>261</v>
      </c>
      <c r="CR1803" s="4" t="s">
        <v>241</v>
      </c>
      <c r="CS1803" s="4" t="s">
        <v>241</v>
      </c>
      <c r="CT1803" s="4">
        <v>0</v>
      </c>
      <c r="CU1803" s="4" t="s">
        <v>262</v>
      </c>
      <c r="CV1803" s="4" t="s">
        <v>263</v>
      </c>
      <c r="CW1803" s="4" t="s">
        <v>263</v>
      </c>
      <c r="CX1803" s="4" t="s">
        <v>264</v>
      </c>
      <c r="DA1803" s="6">
        <f>173726</f>
        <v>173726</v>
      </c>
      <c r="DC1803" s="4" t="s">
        <v>287</v>
      </c>
      <c r="DD1803" s="4" t="s">
        <v>241</v>
      </c>
      <c r="DF1803" s="4" t="s">
        <v>287</v>
      </c>
      <c r="DG1803" s="6">
        <f>124.09</f>
        <v>124.09</v>
      </c>
      <c r="DI1803" s="4" t="s">
        <v>241</v>
      </c>
      <c r="DJ1803" s="4" t="s">
        <v>241</v>
      </c>
      <c r="DK1803" s="4" t="s">
        <v>241</v>
      </c>
      <c r="DL1803" s="4" t="s">
        <v>241</v>
      </c>
      <c r="DP1803" s="4" t="s">
        <v>241</v>
      </c>
      <c r="DQ1803" s="4" t="s">
        <v>241</v>
      </c>
      <c r="DR1803" s="4" t="s">
        <v>241</v>
      </c>
      <c r="DS1803" s="4" t="s">
        <v>241</v>
      </c>
      <c r="DV1803" s="4" t="s">
        <v>278</v>
      </c>
      <c r="DW1803" s="4" t="s">
        <v>1393</v>
      </c>
      <c r="HO1803" s="4" t="s">
        <v>267</v>
      </c>
    </row>
    <row r="1804" spans="1:223" ht="19.5" customHeight="1" x14ac:dyDescent="0.4">
      <c r="A1804" s="4">
        <v>1</v>
      </c>
      <c r="B1804" s="4" t="s">
        <v>239</v>
      </c>
      <c r="C1804" s="4">
        <v>3501</v>
      </c>
      <c r="D1804" s="4">
        <v>1</v>
      </c>
      <c r="E1804" s="4">
        <v>1</v>
      </c>
      <c r="F1804" s="4" t="s">
        <v>268</v>
      </c>
      <c r="G1804" s="4" t="s">
        <v>241</v>
      </c>
      <c r="H1804" s="4" t="s">
        <v>241</v>
      </c>
      <c r="I1804" s="4" t="s">
        <v>272</v>
      </c>
      <c r="J1804" s="4" t="s">
        <v>274</v>
      </c>
      <c r="K1804" s="4" t="s">
        <v>251</v>
      </c>
      <c r="L1804" s="4" t="s">
        <v>1311</v>
      </c>
      <c r="M1804" s="5" t="s">
        <v>1313</v>
      </c>
      <c r="N1804" s="6">
        <f>2323.21</f>
        <v>2323.21</v>
      </c>
      <c r="O1804" s="4" t="s">
        <v>265</v>
      </c>
      <c r="P1804" s="6">
        <f>16096259</f>
        <v>16096259</v>
      </c>
      <c r="Q1804" s="6">
        <f>0</f>
        <v>0</v>
      </c>
      <c r="S1804" s="6">
        <f>0</f>
        <v>0</v>
      </c>
      <c r="T1804" s="6">
        <f>16096259</f>
        <v>16096259</v>
      </c>
      <c r="U1804" s="5" t="s">
        <v>1312</v>
      </c>
      <c r="V1804" s="4" t="s">
        <v>270</v>
      </c>
      <c r="W1804" s="4" t="s">
        <v>242</v>
      </c>
      <c r="X1804" s="4" t="s">
        <v>273</v>
      </c>
      <c r="Y1804" s="4" t="s">
        <v>241</v>
      </c>
      <c r="AB1804" s="4" t="s">
        <v>241</v>
      </c>
      <c r="AD1804" s="5" t="s">
        <v>241</v>
      </c>
      <c r="AG1804" s="5" t="s">
        <v>246</v>
      </c>
      <c r="AH1804" s="4" t="s">
        <v>269</v>
      </c>
      <c r="AI1804" s="4" t="s">
        <v>247</v>
      </c>
      <c r="AJ1804" s="4" t="s">
        <v>248</v>
      </c>
      <c r="AZ1804" s="4" t="s">
        <v>249</v>
      </c>
      <c r="BA1804" s="4" t="s">
        <v>241</v>
      </c>
      <c r="BB1804" s="4" t="s">
        <v>250</v>
      </c>
      <c r="BC1804" s="4" t="s">
        <v>241</v>
      </c>
      <c r="BD1804" s="4" t="s">
        <v>252</v>
      </c>
      <c r="BE1804" s="4" t="s">
        <v>241</v>
      </c>
      <c r="BI1804" s="4" t="s">
        <v>295</v>
      </c>
      <c r="BJ1804" s="5" t="s">
        <v>1312</v>
      </c>
      <c r="BK1804" s="4" t="s">
        <v>254</v>
      </c>
      <c r="BL1804" s="4" t="s">
        <v>285</v>
      </c>
      <c r="BM1804" s="4" t="s">
        <v>241</v>
      </c>
      <c r="BN1804" s="6">
        <f>0</f>
        <v>0</v>
      </c>
      <c r="BO1804" s="6">
        <f>0</f>
        <v>0</v>
      </c>
      <c r="BP1804" s="4" t="s">
        <v>256</v>
      </c>
      <c r="BQ1804" s="4" t="s">
        <v>257</v>
      </c>
      <c r="CE1804" s="4" t="s">
        <v>241</v>
      </c>
      <c r="CF1804" s="4" t="s">
        <v>241</v>
      </c>
      <c r="CJ1804" s="4" t="s">
        <v>286</v>
      </c>
      <c r="CK1804" s="4" t="s">
        <v>259</v>
      </c>
      <c r="CL1804" s="4" t="s">
        <v>241</v>
      </c>
      <c r="CO1804" s="5" t="s">
        <v>260</v>
      </c>
      <c r="CP1804" s="4" t="s">
        <v>241</v>
      </c>
      <c r="CQ1804" s="4" t="s">
        <v>261</v>
      </c>
      <c r="CR1804" s="4" t="s">
        <v>241</v>
      </c>
      <c r="CS1804" s="4" t="s">
        <v>241</v>
      </c>
      <c r="CT1804" s="4">
        <v>0</v>
      </c>
      <c r="CU1804" s="4" t="s">
        <v>262</v>
      </c>
      <c r="CV1804" s="4" t="s">
        <v>263</v>
      </c>
      <c r="CW1804" s="4" t="s">
        <v>263</v>
      </c>
      <c r="CX1804" s="4" t="s">
        <v>264</v>
      </c>
      <c r="DA1804" s="6">
        <f>16096259</f>
        <v>16096259</v>
      </c>
      <c r="DC1804" s="4" t="s">
        <v>287</v>
      </c>
      <c r="DD1804" s="4" t="s">
        <v>241</v>
      </c>
      <c r="DF1804" s="4" t="s">
        <v>287</v>
      </c>
      <c r="DG1804" s="6">
        <f>2323.21</f>
        <v>2323.21</v>
      </c>
      <c r="DI1804" s="4" t="s">
        <v>241</v>
      </c>
      <c r="DJ1804" s="4" t="s">
        <v>241</v>
      </c>
      <c r="DK1804" s="4" t="s">
        <v>241</v>
      </c>
      <c r="DL1804" s="4" t="s">
        <v>241</v>
      </c>
      <c r="DP1804" s="4" t="s">
        <v>241</v>
      </c>
      <c r="DQ1804" s="4" t="s">
        <v>241</v>
      </c>
      <c r="DR1804" s="4" t="s">
        <v>241</v>
      </c>
      <c r="DS1804" s="4" t="s">
        <v>241</v>
      </c>
      <c r="DV1804" s="4" t="s">
        <v>278</v>
      </c>
      <c r="DW1804" s="4" t="s">
        <v>1314</v>
      </c>
      <c r="HO1804" s="4" t="s">
        <v>267</v>
      </c>
    </row>
    <row r="1805" spans="1:223" ht="19.5" customHeight="1" x14ac:dyDescent="0.4">
      <c r="A1805" s="4">
        <v>1</v>
      </c>
      <c r="B1805" s="4" t="s">
        <v>239</v>
      </c>
      <c r="C1805" s="4">
        <v>3502</v>
      </c>
      <c r="D1805" s="4">
        <v>1</v>
      </c>
      <c r="E1805" s="4">
        <v>1</v>
      </c>
      <c r="F1805" s="4" t="s">
        <v>268</v>
      </c>
      <c r="G1805" s="4" t="s">
        <v>241</v>
      </c>
      <c r="H1805" s="4" t="s">
        <v>241</v>
      </c>
      <c r="I1805" s="4" t="s">
        <v>272</v>
      </c>
      <c r="J1805" s="4" t="s">
        <v>274</v>
      </c>
      <c r="K1805" s="4" t="s">
        <v>251</v>
      </c>
      <c r="L1805" s="4" t="s">
        <v>1445</v>
      </c>
      <c r="M1805" s="5" t="s">
        <v>305</v>
      </c>
      <c r="N1805" s="6">
        <f>0</f>
        <v>0</v>
      </c>
      <c r="O1805" s="4" t="s">
        <v>265</v>
      </c>
      <c r="P1805" s="6">
        <f>5031548</f>
        <v>5031548</v>
      </c>
      <c r="Q1805" s="6">
        <f>0</f>
        <v>0</v>
      </c>
      <c r="S1805" s="6">
        <f>0</f>
        <v>0</v>
      </c>
      <c r="T1805" s="6">
        <f>5031548</f>
        <v>5031548</v>
      </c>
      <c r="U1805" s="5" t="s">
        <v>1256</v>
      </c>
      <c r="V1805" s="4" t="s">
        <v>270</v>
      </c>
      <c r="W1805" s="4" t="s">
        <v>242</v>
      </c>
      <c r="X1805" s="4" t="s">
        <v>241</v>
      </c>
      <c r="Y1805" s="4" t="s">
        <v>241</v>
      </c>
      <c r="AB1805" s="4" t="s">
        <v>241</v>
      </c>
      <c r="AD1805" s="5" t="s">
        <v>241</v>
      </c>
      <c r="AG1805" s="5" t="s">
        <v>246</v>
      </c>
      <c r="AH1805" s="4" t="s">
        <v>241</v>
      </c>
      <c r="AI1805" s="4" t="s">
        <v>247</v>
      </c>
      <c r="AJ1805" s="4" t="s">
        <v>264</v>
      </c>
      <c r="AZ1805" s="4" t="s">
        <v>249</v>
      </c>
      <c r="BA1805" s="4" t="s">
        <v>241</v>
      </c>
      <c r="BB1805" s="4" t="s">
        <v>250</v>
      </c>
      <c r="BC1805" s="4" t="s">
        <v>241</v>
      </c>
      <c r="BD1805" s="4" t="s">
        <v>252</v>
      </c>
      <c r="BE1805" s="4" t="s">
        <v>241</v>
      </c>
      <c r="BI1805" s="4" t="s">
        <v>295</v>
      </c>
      <c r="BJ1805" s="5" t="s">
        <v>1256</v>
      </c>
      <c r="BK1805" s="4" t="s">
        <v>254</v>
      </c>
      <c r="BL1805" s="4" t="s">
        <v>285</v>
      </c>
      <c r="BM1805" s="4" t="s">
        <v>241</v>
      </c>
      <c r="BN1805" s="6">
        <f>0</f>
        <v>0</v>
      </c>
      <c r="BO1805" s="6">
        <f>0</f>
        <v>0</v>
      </c>
      <c r="BP1805" s="4" t="s">
        <v>256</v>
      </c>
      <c r="BQ1805" s="4" t="s">
        <v>257</v>
      </c>
      <c r="CE1805" s="4" t="s">
        <v>241</v>
      </c>
      <c r="CF1805" s="4" t="s">
        <v>241</v>
      </c>
      <c r="CJ1805" s="4" t="s">
        <v>286</v>
      </c>
      <c r="CK1805" s="4" t="s">
        <v>259</v>
      </c>
      <c r="CL1805" s="4" t="s">
        <v>241</v>
      </c>
      <c r="CO1805" s="5" t="s">
        <v>260</v>
      </c>
      <c r="CP1805" s="4" t="s">
        <v>241</v>
      </c>
      <c r="CQ1805" s="4" t="s">
        <v>261</v>
      </c>
      <c r="CR1805" s="4" t="s">
        <v>241</v>
      </c>
      <c r="CS1805" s="4" t="s">
        <v>241</v>
      </c>
      <c r="CT1805" s="4">
        <v>0</v>
      </c>
      <c r="CU1805" s="4" t="s">
        <v>262</v>
      </c>
      <c r="CV1805" s="4" t="s">
        <v>263</v>
      </c>
      <c r="CW1805" s="4" t="s">
        <v>263</v>
      </c>
      <c r="CX1805" s="4" t="s">
        <v>264</v>
      </c>
      <c r="DA1805" s="6">
        <f>5031548</f>
        <v>5031548</v>
      </c>
      <c r="DC1805" s="4" t="s">
        <v>287</v>
      </c>
      <c r="DD1805" s="4" t="s">
        <v>241</v>
      </c>
      <c r="DF1805" s="4" t="s">
        <v>287</v>
      </c>
      <c r="DG1805" s="6">
        <f>0</f>
        <v>0</v>
      </c>
      <c r="DI1805" s="4" t="s">
        <v>241</v>
      </c>
      <c r="DJ1805" s="4" t="s">
        <v>241</v>
      </c>
      <c r="DK1805" s="4" t="s">
        <v>241</v>
      </c>
      <c r="DL1805" s="4" t="s">
        <v>241</v>
      </c>
      <c r="DP1805" s="4" t="s">
        <v>241</v>
      </c>
      <c r="DQ1805" s="4" t="s">
        <v>241</v>
      </c>
      <c r="DR1805" s="4" t="s">
        <v>241</v>
      </c>
      <c r="DS1805" s="4" t="s">
        <v>241</v>
      </c>
      <c r="DV1805" s="4" t="s">
        <v>278</v>
      </c>
      <c r="DW1805" s="4" t="s">
        <v>966</v>
      </c>
      <c r="HO1805" s="4" t="s">
        <v>267</v>
      </c>
    </row>
    <row r="1806" spans="1:223" ht="19.5" customHeight="1" x14ac:dyDescent="0.4">
      <c r="A1806" s="4">
        <v>1</v>
      </c>
      <c r="B1806" s="4" t="s">
        <v>239</v>
      </c>
      <c r="C1806" s="4">
        <v>3503</v>
      </c>
      <c r="D1806" s="4">
        <v>1</v>
      </c>
      <c r="E1806" s="4">
        <v>1</v>
      </c>
      <c r="F1806" s="4" t="s">
        <v>268</v>
      </c>
      <c r="G1806" s="4" t="s">
        <v>241</v>
      </c>
      <c r="H1806" s="4" t="s">
        <v>241</v>
      </c>
      <c r="I1806" s="4" t="s">
        <v>272</v>
      </c>
      <c r="J1806" s="4" t="s">
        <v>274</v>
      </c>
      <c r="K1806" s="4" t="s">
        <v>251</v>
      </c>
      <c r="L1806" s="4" t="s">
        <v>1408</v>
      </c>
      <c r="M1806" s="5" t="s">
        <v>1409</v>
      </c>
      <c r="N1806" s="6">
        <f>0</f>
        <v>0</v>
      </c>
      <c r="O1806" s="4" t="s">
        <v>265</v>
      </c>
      <c r="P1806" s="6">
        <f>1155657</f>
        <v>1155657</v>
      </c>
      <c r="Q1806" s="6">
        <f>0</f>
        <v>0</v>
      </c>
      <c r="S1806" s="6">
        <f>0</f>
        <v>0</v>
      </c>
      <c r="T1806" s="6">
        <f>1155657</f>
        <v>1155657</v>
      </c>
      <c r="U1806" s="5" t="s">
        <v>1124</v>
      </c>
      <c r="V1806" s="4" t="s">
        <v>270</v>
      </c>
      <c r="W1806" s="4" t="s">
        <v>242</v>
      </c>
      <c r="X1806" s="4" t="s">
        <v>241</v>
      </c>
      <c r="Y1806" s="4" t="s">
        <v>241</v>
      </c>
      <c r="AB1806" s="4" t="s">
        <v>241</v>
      </c>
      <c r="AD1806" s="5" t="s">
        <v>241</v>
      </c>
      <c r="AG1806" s="5" t="s">
        <v>246</v>
      </c>
      <c r="AH1806" s="4" t="s">
        <v>241</v>
      </c>
      <c r="AI1806" s="4" t="s">
        <v>247</v>
      </c>
      <c r="AJ1806" s="4" t="s">
        <v>264</v>
      </c>
      <c r="AZ1806" s="4" t="s">
        <v>249</v>
      </c>
      <c r="BA1806" s="4" t="s">
        <v>241</v>
      </c>
      <c r="BB1806" s="4" t="s">
        <v>250</v>
      </c>
      <c r="BC1806" s="4" t="s">
        <v>241</v>
      </c>
      <c r="BD1806" s="4" t="s">
        <v>252</v>
      </c>
      <c r="BE1806" s="4" t="s">
        <v>241</v>
      </c>
      <c r="BI1806" s="4" t="s">
        <v>295</v>
      </c>
      <c r="BJ1806" s="5" t="s">
        <v>1124</v>
      </c>
      <c r="BK1806" s="4" t="s">
        <v>254</v>
      </c>
      <c r="BL1806" s="4" t="s">
        <v>285</v>
      </c>
      <c r="BM1806" s="4" t="s">
        <v>241</v>
      </c>
      <c r="BN1806" s="6">
        <f>0</f>
        <v>0</v>
      </c>
      <c r="BO1806" s="6">
        <f>0</f>
        <v>0</v>
      </c>
      <c r="BP1806" s="4" t="s">
        <v>256</v>
      </c>
      <c r="BQ1806" s="4" t="s">
        <v>257</v>
      </c>
      <c r="CE1806" s="4" t="s">
        <v>241</v>
      </c>
      <c r="CF1806" s="4" t="s">
        <v>241</v>
      </c>
      <c r="CJ1806" s="4" t="s">
        <v>286</v>
      </c>
      <c r="CK1806" s="4" t="s">
        <v>259</v>
      </c>
      <c r="CL1806" s="4" t="s">
        <v>241</v>
      </c>
      <c r="CO1806" s="5" t="s">
        <v>260</v>
      </c>
      <c r="CP1806" s="4" t="s">
        <v>241</v>
      </c>
      <c r="CQ1806" s="4" t="s">
        <v>261</v>
      </c>
      <c r="CR1806" s="4" t="s">
        <v>241</v>
      </c>
      <c r="CS1806" s="4" t="s">
        <v>241</v>
      </c>
      <c r="CT1806" s="4">
        <v>0</v>
      </c>
      <c r="CU1806" s="4" t="s">
        <v>262</v>
      </c>
      <c r="CV1806" s="4" t="s">
        <v>263</v>
      </c>
      <c r="CW1806" s="4" t="s">
        <v>263</v>
      </c>
      <c r="CX1806" s="4" t="s">
        <v>264</v>
      </c>
      <c r="DA1806" s="6">
        <f>1155657</f>
        <v>1155657</v>
      </c>
      <c r="DC1806" s="4" t="s">
        <v>287</v>
      </c>
      <c r="DD1806" s="4" t="s">
        <v>241</v>
      </c>
      <c r="DF1806" s="4" t="s">
        <v>287</v>
      </c>
      <c r="DG1806" s="6">
        <f>0</f>
        <v>0</v>
      </c>
      <c r="DI1806" s="4" t="s">
        <v>241</v>
      </c>
      <c r="DJ1806" s="4" t="s">
        <v>241</v>
      </c>
      <c r="DK1806" s="4" t="s">
        <v>241</v>
      </c>
      <c r="DL1806" s="4" t="s">
        <v>241</v>
      </c>
      <c r="DP1806" s="4" t="s">
        <v>241</v>
      </c>
      <c r="DQ1806" s="4" t="s">
        <v>241</v>
      </c>
      <c r="DR1806" s="4" t="s">
        <v>241</v>
      </c>
      <c r="DS1806" s="4" t="s">
        <v>241</v>
      </c>
      <c r="DV1806" s="4" t="s">
        <v>278</v>
      </c>
      <c r="DW1806" s="4" t="s">
        <v>953</v>
      </c>
      <c r="HO1806" s="4" t="s">
        <v>267</v>
      </c>
    </row>
    <row r="1807" spans="1:223" ht="19.5" customHeight="1" x14ac:dyDescent="0.4">
      <c r="A1807" s="4">
        <v>1</v>
      </c>
      <c r="B1807" s="4" t="s">
        <v>239</v>
      </c>
      <c r="C1807" s="4">
        <v>3504</v>
      </c>
      <c r="D1807" s="4">
        <v>1</v>
      </c>
      <c r="E1807" s="4">
        <v>1</v>
      </c>
      <c r="F1807" s="4" t="s">
        <v>268</v>
      </c>
      <c r="G1807" s="4" t="s">
        <v>241</v>
      </c>
      <c r="H1807" s="4" t="s">
        <v>241</v>
      </c>
      <c r="I1807" s="4" t="s">
        <v>272</v>
      </c>
      <c r="J1807" s="4" t="s">
        <v>274</v>
      </c>
      <c r="K1807" s="4" t="s">
        <v>251</v>
      </c>
      <c r="L1807" s="4" t="s">
        <v>1123</v>
      </c>
      <c r="M1807" s="5" t="s">
        <v>1126</v>
      </c>
      <c r="N1807" s="6">
        <f>0</f>
        <v>0</v>
      </c>
      <c r="O1807" s="4" t="s">
        <v>265</v>
      </c>
      <c r="P1807" s="6">
        <f>317534</f>
        <v>317534</v>
      </c>
      <c r="Q1807" s="6">
        <f>0</f>
        <v>0</v>
      </c>
      <c r="S1807" s="6">
        <f>0</f>
        <v>0</v>
      </c>
      <c r="T1807" s="6">
        <f>317534</f>
        <v>317534</v>
      </c>
      <c r="U1807" s="5" t="s">
        <v>1124</v>
      </c>
      <c r="V1807" s="4" t="s">
        <v>270</v>
      </c>
      <c r="W1807" s="4" t="s">
        <v>242</v>
      </c>
      <c r="X1807" s="4" t="s">
        <v>241</v>
      </c>
      <c r="Y1807" s="4" t="s">
        <v>241</v>
      </c>
      <c r="AB1807" s="4" t="s">
        <v>241</v>
      </c>
      <c r="AD1807" s="5" t="s">
        <v>241</v>
      </c>
      <c r="AG1807" s="5" t="s">
        <v>246</v>
      </c>
      <c r="AH1807" s="4" t="s">
        <v>1125</v>
      </c>
      <c r="AI1807" s="4" t="s">
        <v>247</v>
      </c>
      <c r="AJ1807" s="4" t="s">
        <v>248</v>
      </c>
      <c r="AZ1807" s="4" t="s">
        <v>249</v>
      </c>
      <c r="BA1807" s="4" t="s">
        <v>241</v>
      </c>
      <c r="BB1807" s="4" t="s">
        <v>250</v>
      </c>
      <c r="BC1807" s="4" t="s">
        <v>241</v>
      </c>
      <c r="BD1807" s="4" t="s">
        <v>252</v>
      </c>
      <c r="BE1807" s="4" t="s">
        <v>241</v>
      </c>
      <c r="BI1807" s="4" t="s">
        <v>295</v>
      </c>
      <c r="BJ1807" s="5" t="s">
        <v>1124</v>
      </c>
      <c r="BK1807" s="4" t="s">
        <v>254</v>
      </c>
      <c r="BL1807" s="4" t="s">
        <v>285</v>
      </c>
      <c r="BM1807" s="4" t="s">
        <v>241</v>
      </c>
      <c r="BN1807" s="6">
        <f>0</f>
        <v>0</v>
      </c>
      <c r="BO1807" s="6">
        <f>0</f>
        <v>0</v>
      </c>
      <c r="BP1807" s="4" t="s">
        <v>256</v>
      </c>
      <c r="BQ1807" s="4" t="s">
        <v>257</v>
      </c>
      <c r="CE1807" s="4" t="s">
        <v>241</v>
      </c>
      <c r="CF1807" s="4" t="s">
        <v>241</v>
      </c>
      <c r="CJ1807" s="4" t="s">
        <v>286</v>
      </c>
      <c r="CK1807" s="4" t="s">
        <v>259</v>
      </c>
      <c r="CL1807" s="4" t="s">
        <v>241</v>
      </c>
      <c r="CO1807" s="5" t="s">
        <v>260</v>
      </c>
      <c r="CP1807" s="4" t="s">
        <v>241</v>
      </c>
      <c r="CQ1807" s="4" t="s">
        <v>261</v>
      </c>
      <c r="CR1807" s="4" t="s">
        <v>241</v>
      </c>
      <c r="CS1807" s="4" t="s">
        <v>241</v>
      </c>
      <c r="CT1807" s="4">
        <v>0</v>
      </c>
      <c r="CU1807" s="4" t="s">
        <v>262</v>
      </c>
      <c r="CV1807" s="4" t="s">
        <v>263</v>
      </c>
      <c r="CW1807" s="4" t="s">
        <v>263</v>
      </c>
      <c r="CX1807" s="4" t="s">
        <v>264</v>
      </c>
      <c r="DA1807" s="6">
        <f>317534</f>
        <v>317534</v>
      </c>
      <c r="DC1807" s="4" t="s">
        <v>287</v>
      </c>
      <c r="DD1807" s="4" t="s">
        <v>241</v>
      </c>
      <c r="DF1807" s="4" t="s">
        <v>287</v>
      </c>
      <c r="DG1807" s="6">
        <f>0</f>
        <v>0</v>
      </c>
      <c r="DI1807" s="4" t="s">
        <v>241</v>
      </c>
      <c r="DJ1807" s="4" t="s">
        <v>241</v>
      </c>
      <c r="DK1807" s="4" t="s">
        <v>241</v>
      </c>
      <c r="DL1807" s="4" t="s">
        <v>241</v>
      </c>
      <c r="DP1807" s="4" t="s">
        <v>241</v>
      </c>
      <c r="DQ1807" s="4" t="s">
        <v>241</v>
      </c>
      <c r="DR1807" s="4" t="s">
        <v>241</v>
      </c>
      <c r="DS1807" s="4" t="s">
        <v>241</v>
      </c>
      <c r="DV1807" s="4" t="s">
        <v>278</v>
      </c>
      <c r="DW1807" s="4" t="s">
        <v>940</v>
      </c>
      <c r="HO1807" s="4" t="s">
        <v>267</v>
      </c>
    </row>
    <row r="1808" spans="1:223" ht="19.5" customHeight="1" x14ac:dyDescent="0.4">
      <c r="A1808" s="4">
        <v>1</v>
      </c>
      <c r="B1808" s="4" t="s">
        <v>239</v>
      </c>
      <c r="C1808" s="4">
        <v>3505</v>
      </c>
      <c r="D1808" s="4">
        <v>1</v>
      </c>
      <c r="E1808" s="4">
        <v>1</v>
      </c>
      <c r="F1808" s="4" t="s">
        <v>268</v>
      </c>
      <c r="G1808" s="4" t="s">
        <v>241</v>
      </c>
      <c r="H1808" s="4" t="s">
        <v>241</v>
      </c>
      <c r="I1808" s="4" t="s">
        <v>272</v>
      </c>
      <c r="J1808" s="4" t="s">
        <v>274</v>
      </c>
      <c r="K1808" s="4" t="s">
        <v>251</v>
      </c>
      <c r="L1808" s="4" t="s">
        <v>1235</v>
      </c>
      <c r="M1808" s="5" t="s">
        <v>975</v>
      </c>
      <c r="N1808" s="6">
        <f>470.93</f>
        <v>470.93</v>
      </c>
      <c r="O1808" s="4" t="s">
        <v>265</v>
      </c>
      <c r="P1808" s="6">
        <f>891766</f>
        <v>891766</v>
      </c>
      <c r="Q1808" s="6">
        <f>0</f>
        <v>0</v>
      </c>
      <c r="S1808" s="6">
        <f>0</f>
        <v>0</v>
      </c>
      <c r="T1808" s="6">
        <f>891766</f>
        <v>891766</v>
      </c>
      <c r="U1808" s="5" t="s">
        <v>1236</v>
      </c>
      <c r="V1808" s="4" t="s">
        <v>270</v>
      </c>
      <c r="W1808" s="4" t="s">
        <v>242</v>
      </c>
      <c r="X1808" s="4" t="s">
        <v>241</v>
      </c>
      <c r="Y1808" s="4" t="s">
        <v>241</v>
      </c>
      <c r="AB1808" s="4" t="s">
        <v>241</v>
      </c>
      <c r="AD1808" s="5" t="s">
        <v>241</v>
      </c>
      <c r="AG1808" s="5" t="s">
        <v>246</v>
      </c>
      <c r="AH1808" s="4" t="s">
        <v>241</v>
      </c>
      <c r="AI1808" s="4" t="s">
        <v>247</v>
      </c>
      <c r="AJ1808" s="4" t="s">
        <v>264</v>
      </c>
      <c r="AZ1808" s="4" t="s">
        <v>249</v>
      </c>
      <c r="BA1808" s="4" t="s">
        <v>241</v>
      </c>
      <c r="BB1808" s="4" t="s">
        <v>250</v>
      </c>
      <c r="BC1808" s="4" t="s">
        <v>241</v>
      </c>
      <c r="BD1808" s="4" t="s">
        <v>252</v>
      </c>
      <c r="BE1808" s="4" t="s">
        <v>241</v>
      </c>
      <c r="BI1808" s="4" t="s">
        <v>295</v>
      </c>
      <c r="BJ1808" s="5" t="s">
        <v>1236</v>
      </c>
      <c r="BK1808" s="4" t="s">
        <v>254</v>
      </c>
      <c r="BL1808" s="4" t="s">
        <v>285</v>
      </c>
      <c r="BM1808" s="4" t="s">
        <v>241</v>
      </c>
      <c r="BN1808" s="6">
        <f>0</f>
        <v>0</v>
      </c>
      <c r="BO1808" s="6">
        <f>0</f>
        <v>0</v>
      </c>
      <c r="BP1808" s="4" t="s">
        <v>256</v>
      </c>
      <c r="BQ1808" s="4" t="s">
        <v>257</v>
      </c>
      <c r="CE1808" s="4" t="s">
        <v>241</v>
      </c>
      <c r="CF1808" s="4" t="s">
        <v>241</v>
      </c>
      <c r="CJ1808" s="4" t="s">
        <v>286</v>
      </c>
      <c r="CK1808" s="4" t="s">
        <v>259</v>
      </c>
      <c r="CL1808" s="4" t="s">
        <v>241</v>
      </c>
      <c r="CO1808" s="5" t="s">
        <v>260</v>
      </c>
      <c r="CP1808" s="4" t="s">
        <v>241</v>
      </c>
      <c r="CQ1808" s="4" t="s">
        <v>261</v>
      </c>
      <c r="CR1808" s="4" t="s">
        <v>241</v>
      </c>
      <c r="CS1808" s="4" t="s">
        <v>241</v>
      </c>
      <c r="CT1808" s="4">
        <v>0</v>
      </c>
      <c r="CU1808" s="4" t="s">
        <v>262</v>
      </c>
      <c r="CV1808" s="4" t="s">
        <v>263</v>
      </c>
      <c r="CW1808" s="4" t="s">
        <v>263</v>
      </c>
      <c r="CX1808" s="4" t="s">
        <v>264</v>
      </c>
      <c r="DA1808" s="6">
        <f>891766</f>
        <v>891766</v>
      </c>
      <c r="DC1808" s="4" t="s">
        <v>287</v>
      </c>
      <c r="DD1808" s="4" t="s">
        <v>241</v>
      </c>
      <c r="DF1808" s="4" t="s">
        <v>287</v>
      </c>
      <c r="DG1808" s="6">
        <f>470.93</f>
        <v>470.93</v>
      </c>
      <c r="DI1808" s="4" t="s">
        <v>241</v>
      </c>
      <c r="DJ1808" s="4" t="s">
        <v>241</v>
      </c>
      <c r="DK1808" s="4" t="s">
        <v>241</v>
      </c>
      <c r="DL1808" s="4" t="s">
        <v>241</v>
      </c>
      <c r="DP1808" s="4" t="s">
        <v>241</v>
      </c>
      <c r="DQ1808" s="4" t="s">
        <v>241</v>
      </c>
      <c r="DR1808" s="4" t="s">
        <v>241</v>
      </c>
      <c r="DS1808" s="4" t="s">
        <v>241</v>
      </c>
      <c r="DV1808" s="4" t="s">
        <v>278</v>
      </c>
      <c r="DW1808" s="4" t="s">
        <v>928</v>
      </c>
      <c r="HO1808" s="4" t="s">
        <v>267</v>
      </c>
    </row>
    <row r="1809" spans="1:223" ht="19.5" customHeight="1" x14ac:dyDescent="0.4">
      <c r="A1809" s="4">
        <v>1</v>
      </c>
      <c r="B1809" s="4" t="s">
        <v>239</v>
      </c>
      <c r="C1809" s="4">
        <v>3506</v>
      </c>
      <c r="D1809" s="4">
        <v>1</v>
      </c>
      <c r="E1809" s="4">
        <v>1</v>
      </c>
      <c r="F1809" s="4" t="s">
        <v>268</v>
      </c>
      <c r="G1809" s="4" t="s">
        <v>241</v>
      </c>
      <c r="H1809" s="4" t="s">
        <v>241</v>
      </c>
      <c r="I1809" s="4" t="s">
        <v>272</v>
      </c>
      <c r="J1809" s="4" t="s">
        <v>274</v>
      </c>
      <c r="K1809" s="4" t="s">
        <v>251</v>
      </c>
      <c r="L1809" s="4" t="s">
        <v>310</v>
      </c>
      <c r="M1809" s="5" t="s">
        <v>294</v>
      </c>
      <c r="N1809" s="6">
        <f>0</f>
        <v>0</v>
      </c>
      <c r="O1809" s="4" t="s">
        <v>265</v>
      </c>
      <c r="P1809" s="6">
        <f>971421</f>
        <v>971421</v>
      </c>
      <c r="Q1809" s="6">
        <f>0</f>
        <v>0</v>
      </c>
      <c r="S1809" s="6">
        <f>0</f>
        <v>0</v>
      </c>
      <c r="T1809" s="6">
        <f>971421</f>
        <v>971421</v>
      </c>
      <c r="U1809" s="5" t="s">
        <v>311</v>
      </c>
      <c r="V1809" s="4" t="s">
        <v>270</v>
      </c>
      <c r="W1809" s="4" t="s">
        <v>242</v>
      </c>
      <c r="X1809" s="4" t="s">
        <v>241</v>
      </c>
      <c r="Y1809" s="4" t="s">
        <v>241</v>
      </c>
      <c r="AB1809" s="4" t="s">
        <v>241</v>
      </c>
      <c r="AD1809" s="5" t="s">
        <v>241</v>
      </c>
      <c r="AG1809" s="5" t="s">
        <v>246</v>
      </c>
      <c r="AH1809" s="4" t="s">
        <v>312</v>
      </c>
      <c r="AI1809" s="4" t="s">
        <v>247</v>
      </c>
      <c r="AJ1809" s="4" t="s">
        <v>264</v>
      </c>
      <c r="AZ1809" s="4" t="s">
        <v>249</v>
      </c>
      <c r="BA1809" s="4" t="s">
        <v>241</v>
      </c>
      <c r="BB1809" s="4" t="s">
        <v>250</v>
      </c>
      <c r="BC1809" s="4" t="s">
        <v>241</v>
      </c>
      <c r="BD1809" s="4" t="s">
        <v>252</v>
      </c>
      <c r="BE1809" s="4" t="s">
        <v>241</v>
      </c>
      <c r="BI1809" s="4" t="s">
        <v>295</v>
      </c>
      <c r="BJ1809" s="5" t="s">
        <v>311</v>
      </c>
      <c r="BK1809" s="4" t="s">
        <v>254</v>
      </c>
      <c r="BL1809" s="4" t="s">
        <v>285</v>
      </c>
      <c r="BM1809" s="4" t="s">
        <v>241</v>
      </c>
      <c r="BN1809" s="6">
        <f>0</f>
        <v>0</v>
      </c>
      <c r="BO1809" s="6">
        <f>0</f>
        <v>0</v>
      </c>
      <c r="BP1809" s="4" t="s">
        <v>256</v>
      </c>
      <c r="BQ1809" s="4" t="s">
        <v>257</v>
      </c>
      <c r="CE1809" s="4" t="s">
        <v>241</v>
      </c>
      <c r="CF1809" s="4" t="s">
        <v>241</v>
      </c>
      <c r="CJ1809" s="4" t="s">
        <v>286</v>
      </c>
      <c r="CK1809" s="4" t="s">
        <v>259</v>
      </c>
      <c r="CL1809" s="4" t="s">
        <v>241</v>
      </c>
      <c r="CO1809" s="5" t="s">
        <v>260</v>
      </c>
      <c r="CP1809" s="4" t="s">
        <v>241</v>
      </c>
      <c r="CQ1809" s="4" t="s">
        <v>261</v>
      </c>
      <c r="CR1809" s="4" t="s">
        <v>241</v>
      </c>
      <c r="CS1809" s="4" t="s">
        <v>241</v>
      </c>
      <c r="CT1809" s="4">
        <v>0</v>
      </c>
      <c r="CU1809" s="4" t="s">
        <v>262</v>
      </c>
      <c r="CV1809" s="4" t="s">
        <v>263</v>
      </c>
      <c r="CW1809" s="4" t="s">
        <v>263</v>
      </c>
      <c r="CX1809" s="4" t="s">
        <v>264</v>
      </c>
      <c r="DA1809" s="6">
        <f>971421</f>
        <v>971421</v>
      </c>
      <c r="DC1809" s="4" t="s">
        <v>287</v>
      </c>
      <c r="DD1809" s="4" t="s">
        <v>241</v>
      </c>
      <c r="DF1809" s="4" t="s">
        <v>287</v>
      </c>
      <c r="DG1809" s="6">
        <f>0</f>
        <v>0</v>
      </c>
      <c r="DI1809" s="4" t="s">
        <v>241</v>
      </c>
      <c r="DJ1809" s="4" t="s">
        <v>241</v>
      </c>
      <c r="DK1809" s="4" t="s">
        <v>241</v>
      </c>
      <c r="DL1809" s="4" t="s">
        <v>241</v>
      </c>
      <c r="DP1809" s="4" t="s">
        <v>241</v>
      </c>
      <c r="DQ1809" s="4" t="s">
        <v>241</v>
      </c>
      <c r="DR1809" s="4" t="s">
        <v>241</v>
      </c>
      <c r="DS1809" s="4" t="s">
        <v>241</v>
      </c>
      <c r="DV1809" s="4" t="s">
        <v>278</v>
      </c>
      <c r="DW1809" s="4" t="s">
        <v>313</v>
      </c>
      <c r="HO1809" s="4" t="s">
        <v>267</v>
      </c>
    </row>
    <row r="1810" spans="1:223" ht="19.5" customHeight="1" x14ac:dyDescent="0.4">
      <c r="A1810" s="4">
        <v>1</v>
      </c>
      <c r="B1810" s="4" t="s">
        <v>239</v>
      </c>
      <c r="C1810" s="4">
        <v>3507</v>
      </c>
      <c r="D1810" s="4">
        <v>1</v>
      </c>
      <c r="E1810" s="4">
        <v>1</v>
      </c>
      <c r="F1810" s="4" t="s">
        <v>268</v>
      </c>
      <c r="G1810" s="4" t="s">
        <v>241</v>
      </c>
      <c r="H1810" s="4" t="s">
        <v>241</v>
      </c>
      <c r="I1810" s="4" t="s">
        <v>272</v>
      </c>
      <c r="J1810" s="4" t="s">
        <v>274</v>
      </c>
      <c r="K1810" s="4" t="s">
        <v>251</v>
      </c>
      <c r="L1810" s="4" t="s">
        <v>291</v>
      </c>
      <c r="M1810" s="5" t="s">
        <v>294</v>
      </c>
      <c r="N1810" s="6">
        <f>23.73</f>
        <v>23.73</v>
      </c>
      <c r="O1810" s="4" t="s">
        <v>265</v>
      </c>
      <c r="P1810" s="6">
        <f>20170</f>
        <v>20170</v>
      </c>
      <c r="Q1810" s="6">
        <f>0</f>
        <v>0</v>
      </c>
      <c r="S1810" s="6">
        <f>0</f>
        <v>0</v>
      </c>
      <c r="T1810" s="6">
        <f>20170</f>
        <v>20170</v>
      </c>
      <c r="U1810" s="5" t="s">
        <v>292</v>
      </c>
      <c r="V1810" s="4" t="s">
        <v>270</v>
      </c>
      <c r="W1810" s="4" t="s">
        <v>242</v>
      </c>
      <c r="X1810" s="4" t="s">
        <v>241</v>
      </c>
      <c r="Y1810" s="4" t="s">
        <v>241</v>
      </c>
      <c r="AB1810" s="4" t="s">
        <v>241</v>
      </c>
      <c r="AD1810" s="5" t="s">
        <v>241</v>
      </c>
      <c r="AG1810" s="5" t="s">
        <v>246</v>
      </c>
      <c r="AH1810" s="4" t="s">
        <v>293</v>
      </c>
      <c r="AI1810" s="4" t="s">
        <v>247</v>
      </c>
      <c r="AJ1810" s="4" t="s">
        <v>264</v>
      </c>
      <c r="AZ1810" s="4" t="s">
        <v>249</v>
      </c>
      <c r="BA1810" s="4" t="s">
        <v>241</v>
      </c>
      <c r="BB1810" s="4" t="s">
        <v>250</v>
      </c>
      <c r="BC1810" s="4" t="s">
        <v>241</v>
      </c>
      <c r="BD1810" s="4" t="s">
        <v>252</v>
      </c>
      <c r="BE1810" s="4" t="s">
        <v>241</v>
      </c>
      <c r="BI1810" s="4" t="s">
        <v>295</v>
      </c>
      <c r="BJ1810" s="5" t="s">
        <v>292</v>
      </c>
      <c r="BK1810" s="4" t="s">
        <v>254</v>
      </c>
      <c r="BL1810" s="4" t="s">
        <v>285</v>
      </c>
      <c r="BM1810" s="4" t="s">
        <v>241</v>
      </c>
      <c r="BN1810" s="6">
        <f>0</f>
        <v>0</v>
      </c>
      <c r="BO1810" s="6">
        <f>0</f>
        <v>0</v>
      </c>
      <c r="BP1810" s="4" t="s">
        <v>256</v>
      </c>
      <c r="BQ1810" s="4" t="s">
        <v>257</v>
      </c>
      <c r="CE1810" s="4" t="s">
        <v>241</v>
      </c>
      <c r="CF1810" s="4" t="s">
        <v>241</v>
      </c>
      <c r="CJ1810" s="4" t="s">
        <v>286</v>
      </c>
      <c r="CK1810" s="4" t="s">
        <v>259</v>
      </c>
      <c r="CL1810" s="4" t="s">
        <v>241</v>
      </c>
      <c r="CO1810" s="5" t="s">
        <v>260</v>
      </c>
      <c r="CP1810" s="4" t="s">
        <v>241</v>
      </c>
      <c r="CQ1810" s="4" t="s">
        <v>261</v>
      </c>
      <c r="CR1810" s="4" t="s">
        <v>241</v>
      </c>
      <c r="CS1810" s="4" t="s">
        <v>241</v>
      </c>
      <c r="CT1810" s="4">
        <v>0</v>
      </c>
      <c r="CU1810" s="4" t="s">
        <v>262</v>
      </c>
      <c r="CV1810" s="4" t="s">
        <v>263</v>
      </c>
      <c r="CW1810" s="4" t="s">
        <v>263</v>
      </c>
      <c r="CX1810" s="4" t="s">
        <v>264</v>
      </c>
      <c r="DA1810" s="6">
        <f>20170</f>
        <v>20170</v>
      </c>
      <c r="DC1810" s="4" t="s">
        <v>287</v>
      </c>
      <c r="DD1810" s="4" t="s">
        <v>241</v>
      </c>
      <c r="DF1810" s="4" t="s">
        <v>287</v>
      </c>
      <c r="DG1810" s="6">
        <f>23.73</f>
        <v>23.73</v>
      </c>
      <c r="DI1810" s="4" t="s">
        <v>241</v>
      </c>
      <c r="DJ1810" s="4" t="s">
        <v>241</v>
      </c>
      <c r="DK1810" s="4" t="s">
        <v>241</v>
      </c>
      <c r="DL1810" s="4" t="s">
        <v>241</v>
      </c>
      <c r="DP1810" s="4" t="s">
        <v>241</v>
      </c>
      <c r="DQ1810" s="4" t="s">
        <v>241</v>
      </c>
      <c r="DR1810" s="4" t="s">
        <v>241</v>
      </c>
      <c r="DS1810" s="4" t="s">
        <v>241</v>
      </c>
      <c r="DV1810" s="4" t="s">
        <v>278</v>
      </c>
      <c r="DW1810" s="4" t="s">
        <v>296</v>
      </c>
      <c r="HO1810" s="4" t="s">
        <v>267</v>
      </c>
    </row>
    <row r="1811" spans="1:223" ht="19.5" customHeight="1" x14ac:dyDescent="0.4">
      <c r="A1811" s="4">
        <v>1</v>
      </c>
      <c r="B1811" s="4" t="s">
        <v>239</v>
      </c>
      <c r="C1811" s="4">
        <v>3508</v>
      </c>
      <c r="D1811" s="4">
        <v>1</v>
      </c>
      <c r="E1811" s="4">
        <v>1</v>
      </c>
      <c r="F1811" s="4" t="s">
        <v>268</v>
      </c>
      <c r="G1811" s="4" t="s">
        <v>241</v>
      </c>
      <c r="H1811" s="4" t="s">
        <v>241</v>
      </c>
      <c r="I1811" s="4" t="s">
        <v>272</v>
      </c>
      <c r="J1811" s="4" t="s">
        <v>274</v>
      </c>
      <c r="K1811" s="4" t="s">
        <v>251</v>
      </c>
      <c r="L1811" s="4" t="s">
        <v>357</v>
      </c>
      <c r="M1811" s="5" t="s">
        <v>359</v>
      </c>
      <c r="N1811" s="6">
        <f>0</f>
        <v>0</v>
      </c>
      <c r="O1811" s="4" t="s">
        <v>265</v>
      </c>
      <c r="P1811" s="6">
        <f>1226856</f>
        <v>1226856</v>
      </c>
      <c r="Q1811" s="6">
        <f>0</f>
        <v>0</v>
      </c>
      <c r="S1811" s="6">
        <f>0</f>
        <v>0</v>
      </c>
      <c r="T1811" s="6">
        <f>1226856</f>
        <v>1226856</v>
      </c>
      <c r="U1811" s="5" t="s">
        <v>358</v>
      </c>
      <c r="V1811" s="4" t="s">
        <v>270</v>
      </c>
      <c r="W1811" s="4" t="s">
        <v>242</v>
      </c>
      <c r="X1811" s="4" t="s">
        <v>241</v>
      </c>
      <c r="Y1811" s="4" t="s">
        <v>241</v>
      </c>
      <c r="AB1811" s="4" t="s">
        <v>241</v>
      </c>
      <c r="AD1811" s="5" t="s">
        <v>241</v>
      </c>
      <c r="AG1811" s="5" t="s">
        <v>246</v>
      </c>
      <c r="AH1811" s="4" t="s">
        <v>241</v>
      </c>
      <c r="AI1811" s="4" t="s">
        <v>247</v>
      </c>
      <c r="AJ1811" s="4" t="s">
        <v>264</v>
      </c>
      <c r="AZ1811" s="4" t="s">
        <v>249</v>
      </c>
      <c r="BA1811" s="4" t="s">
        <v>241</v>
      </c>
      <c r="BB1811" s="4" t="s">
        <v>250</v>
      </c>
      <c r="BC1811" s="4" t="s">
        <v>241</v>
      </c>
      <c r="BD1811" s="4" t="s">
        <v>252</v>
      </c>
      <c r="BE1811" s="4" t="s">
        <v>241</v>
      </c>
      <c r="BI1811" s="4" t="s">
        <v>295</v>
      </c>
      <c r="BJ1811" s="5" t="s">
        <v>358</v>
      </c>
      <c r="BK1811" s="4" t="s">
        <v>254</v>
      </c>
      <c r="BL1811" s="4" t="s">
        <v>285</v>
      </c>
      <c r="BM1811" s="4" t="s">
        <v>241</v>
      </c>
      <c r="BN1811" s="6">
        <f>0</f>
        <v>0</v>
      </c>
      <c r="BO1811" s="6">
        <f>0</f>
        <v>0</v>
      </c>
      <c r="BP1811" s="4" t="s">
        <v>256</v>
      </c>
      <c r="BQ1811" s="4" t="s">
        <v>257</v>
      </c>
      <c r="CE1811" s="4" t="s">
        <v>241</v>
      </c>
      <c r="CF1811" s="4" t="s">
        <v>241</v>
      </c>
      <c r="CJ1811" s="4" t="s">
        <v>286</v>
      </c>
      <c r="CK1811" s="4" t="s">
        <v>259</v>
      </c>
      <c r="CL1811" s="4" t="s">
        <v>241</v>
      </c>
      <c r="CO1811" s="5" t="s">
        <v>260</v>
      </c>
      <c r="CP1811" s="4" t="s">
        <v>241</v>
      </c>
      <c r="CQ1811" s="4" t="s">
        <v>261</v>
      </c>
      <c r="CR1811" s="4" t="s">
        <v>241</v>
      </c>
      <c r="CS1811" s="4" t="s">
        <v>241</v>
      </c>
      <c r="CT1811" s="4">
        <v>0</v>
      </c>
      <c r="CU1811" s="4" t="s">
        <v>262</v>
      </c>
      <c r="CV1811" s="4" t="s">
        <v>263</v>
      </c>
      <c r="CW1811" s="4" t="s">
        <v>263</v>
      </c>
      <c r="CX1811" s="4" t="s">
        <v>264</v>
      </c>
      <c r="DA1811" s="6">
        <f>1226856</f>
        <v>1226856</v>
      </c>
      <c r="DC1811" s="4" t="s">
        <v>287</v>
      </c>
      <c r="DD1811" s="4" t="s">
        <v>241</v>
      </c>
      <c r="DF1811" s="4" t="s">
        <v>287</v>
      </c>
      <c r="DG1811" s="6">
        <f>0</f>
        <v>0</v>
      </c>
      <c r="DI1811" s="4" t="s">
        <v>241</v>
      </c>
      <c r="DJ1811" s="4" t="s">
        <v>241</v>
      </c>
      <c r="DK1811" s="4" t="s">
        <v>241</v>
      </c>
      <c r="DL1811" s="4" t="s">
        <v>241</v>
      </c>
      <c r="DP1811" s="4" t="s">
        <v>241</v>
      </c>
      <c r="DQ1811" s="4" t="s">
        <v>241</v>
      </c>
      <c r="DR1811" s="4" t="s">
        <v>241</v>
      </c>
      <c r="DS1811" s="4" t="s">
        <v>241</v>
      </c>
      <c r="DV1811" s="4" t="s">
        <v>278</v>
      </c>
      <c r="DW1811" s="4" t="s">
        <v>360</v>
      </c>
      <c r="HO1811" s="4" t="s">
        <v>267</v>
      </c>
    </row>
    <row r="1812" spans="1:223" ht="19.5" customHeight="1" x14ac:dyDescent="0.4">
      <c r="A1812" s="4">
        <v>1</v>
      </c>
      <c r="B1812" s="4" t="s">
        <v>239</v>
      </c>
      <c r="C1812" s="4">
        <v>3509</v>
      </c>
      <c r="D1812" s="4">
        <v>1</v>
      </c>
      <c r="E1812" s="4">
        <v>1</v>
      </c>
      <c r="F1812" s="4" t="s">
        <v>268</v>
      </c>
      <c r="G1812" s="4" t="s">
        <v>241</v>
      </c>
      <c r="H1812" s="4" t="s">
        <v>241</v>
      </c>
      <c r="I1812" s="4" t="s">
        <v>272</v>
      </c>
      <c r="J1812" s="4" t="s">
        <v>274</v>
      </c>
      <c r="K1812" s="4" t="s">
        <v>251</v>
      </c>
      <c r="L1812" s="4" t="s">
        <v>1430</v>
      </c>
      <c r="M1812" s="5" t="s">
        <v>359</v>
      </c>
      <c r="N1812" s="6">
        <f>1463.1</f>
        <v>1463.1</v>
      </c>
      <c r="O1812" s="4" t="s">
        <v>265</v>
      </c>
      <c r="P1812" s="6">
        <f>2857939</f>
        <v>2857939</v>
      </c>
      <c r="Q1812" s="6">
        <f>0</f>
        <v>0</v>
      </c>
      <c r="S1812" s="6">
        <f>0</f>
        <v>0</v>
      </c>
      <c r="T1812" s="6">
        <f>2857939</f>
        <v>2857939</v>
      </c>
      <c r="U1812" s="5" t="s">
        <v>358</v>
      </c>
      <c r="V1812" s="4" t="s">
        <v>270</v>
      </c>
      <c r="W1812" s="4" t="s">
        <v>242</v>
      </c>
      <c r="X1812" s="4" t="s">
        <v>241</v>
      </c>
      <c r="Y1812" s="4" t="s">
        <v>241</v>
      </c>
      <c r="AB1812" s="4" t="s">
        <v>241</v>
      </c>
      <c r="AD1812" s="5" t="s">
        <v>241</v>
      </c>
      <c r="AG1812" s="5" t="s">
        <v>246</v>
      </c>
      <c r="AH1812" s="4" t="s">
        <v>241</v>
      </c>
      <c r="AI1812" s="4" t="s">
        <v>247</v>
      </c>
      <c r="AJ1812" s="4" t="s">
        <v>264</v>
      </c>
      <c r="AZ1812" s="4" t="s">
        <v>249</v>
      </c>
      <c r="BA1812" s="4" t="s">
        <v>241</v>
      </c>
      <c r="BB1812" s="4" t="s">
        <v>250</v>
      </c>
      <c r="BC1812" s="4" t="s">
        <v>241</v>
      </c>
      <c r="BD1812" s="4" t="s">
        <v>252</v>
      </c>
      <c r="BE1812" s="4" t="s">
        <v>241</v>
      </c>
      <c r="BI1812" s="4" t="s">
        <v>295</v>
      </c>
      <c r="BJ1812" s="5" t="s">
        <v>358</v>
      </c>
      <c r="BK1812" s="4" t="s">
        <v>254</v>
      </c>
      <c r="BL1812" s="4" t="s">
        <v>285</v>
      </c>
      <c r="BM1812" s="4" t="s">
        <v>241</v>
      </c>
      <c r="BN1812" s="6">
        <f>0</f>
        <v>0</v>
      </c>
      <c r="BO1812" s="6">
        <f>0</f>
        <v>0</v>
      </c>
      <c r="BP1812" s="4" t="s">
        <v>256</v>
      </c>
      <c r="BQ1812" s="4" t="s">
        <v>257</v>
      </c>
      <c r="CE1812" s="4" t="s">
        <v>241</v>
      </c>
      <c r="CF1812" s="4" t="s">
        <v>241</v>
      </c>
      <c r="CJ1812" s="4" t="s">
        <v>286</v>
      </c>
      <c r="CK1812" s="4" t="s">
        <v>259</v>
      </c>
      <c r="CL1812" s="4" t="s">
        <v>241</v>
      </c>
      <c r="CO1812" s="5" t="s">
        <v>260</v>
      </c>
      <c r="CP1812" s="4" t="s">
        <v>241</v>
      </c>
      <c r="CQ1812" s="4" t="s">
        <v>261</v>
      </c>
      <c r="CR1812" s="4" t="s">
        <v>241</v>
      </c>
      <c r="CS1812" s="4" t="s">
        <v>241</v>
      </c>
      <c r="CT1812" s="4">
        <v>0</v>
      </c>
      <c r="CU1812" s="4" t="s">
        <v>262</v>
      </c>
      <c r="CV1812" s="4" t="s">
        <v>263</v>
      </c>
      <c r="CW1812" s="4" t="s">
        <v>263</v>
      </c>
      <c r="CX1812" s="4" t="s">
        <v>264</v>
      </c>
      <c r="DA1812" s="6">
        <f>2857939</f>
        <v>2857939</v>
      </c>
      <c r="DC1812" s="4" t="s">
        <v>287</v>
      </c>
      <c r="DD1812" s="4" t="s">
        <v>241</v>
      </c>
      <c r="DF1812" s="4" t="s">
        <v>287</v>
      </c>
      <c r="DG1812" s="6">
        <f>1463.1</f>
        <v>1463.1</v>
      </c>
      <c r="DI1812" s="4" t="s">
        <v>241</v>
      </c>
      <c r="DJ1812" s="4" t="s">
        <v>241</v>
      </c>
      <c r="DK1812" s="4" t="s">
        <v>241</v>
      </c>
      <c r="DL1812" s="4" t="s">
        <v>241</v>
      </c>
      <c r="DP1812" s="4" t="s">
        <v>241</v>
      </c>
      <c r="DQ1812" s="4" t="s">
        <v>241</v>
      </c>
      <c r="DR1812" s="4" t="s">
        <v>241</v>
      </c>
      <c r="DS1812" s="4" t="s">
        <v>241</v>
      </c>
      <c r="DV1812" s="4" t="s">
        <v>278</v>
      </c>
      <c r="DW1812" s="4" t="s">
        <v>874</v>
      </c>
      <c r="HO1812" s="4" t="s">
        <v>267</v>
      </c>
    </row>
    <row r="1813" spans="1:223" ht="19.5" customHeight="1" x14ac:dyDescent="0.4">
      <c r="A1813" s="4">
        <v>1</v>
      </c>
      <c r="B1813" s="4" t="s">
        <v>239</v>
      </c>
      <c r="C1813" s="4">
        <v>3510</v>
      </c>
      <c r="D1813" s="4">
        <v>1</v>
      </c>
      <c r="E1813" s="4">
        <v>1</v>
      </c>
      <c r="F1813" s="4" t="s">
        <v>268</v>
      </c>
      <c r="G1813" s="4" t="s">
        <v>241</v>
      </c>
      <c r="H1813" s="4" t="s">
        <v>241</v>
      </c>
      <c r="I1813" s="4" t="s">
        <v>272</v>
      </c>
      <c r="J1813" s="4" t="s">
        <v>274</v>
      </c>
      <c r="K1813" s="4" t="s">
        <v>251</v>
      </c>
      <c r="L1813" s="4" t="s">
        <v>1395</v>
      </c>
      <c r="M1813" s="5" t="s">
        <v>1175</v>
      </c>
      <c r="N1813" s="6">
        <f>0</f>
        <v>0</v>
      </c>
      <c r="O1813" s="4" t="s">
        <v>265</v>
      </c>
      <c r="P1813" s="6">
        <f>852617</f>
        <v>852617</v>
      </c>
      <c r="Q1813" s="6">
        <f>0</f>
        <v>0</v>
      </c>
      <c r="S1813" s="6">
        <f>0</f>
        <v>0</v>
      </c>
      <c r="T1813" s="6">
        <f>852617</f>
        <v>852617</v>
      </c>
      <c r="U1813" s="5" t="s">
        <v>1088</v>
      </c>
      <c r="V1813" s="4" t="s">
        <v>270</v>
      </c>
      <c r="W1813" s="4" t="s">
        <v>242</v>
      </c>
      <c r="X1813" s="4" t="s">
        <v>241</v>
      </c>
      <c r="Y1813" s="4" t="s">
        <v>241</v>
      </c>
      <c r="AB1813" s="4" t="s">
        <v>241</v>
      </c>
      <c r="AD1813" s="5" t="s">
        <v>241</v>
      </c>
      <c r="AG1813" s="5" t="s">
        <v>246</v>
      </c>
      <c r="AH1813" s="4" t="s">
        <v>241</v>
      </c>
      <c r="AI1813" s="4" t="s">
        <v>247</v>
      </c>
      <c r="AJ1813" s="4" t="s">
        <v>264</v>
      </c>
      <c r="AZ1813" s="4" t="s">
        <v>249</v>
      </c>
      <c r="BA1813" s="4" t="s">
        <v>241</v>
      </c>
      <c r="BB1813" s="4" t="s">
        <v>250</v>
      </c>
      <c r="BC1813" s="4" t="s">
        <v>241</v>
      </c>
      <c r="BD1813" s="4" t="s">
        <v>252</v>
      </c>
      <c r="BE1813" s="4" t="s">
        <v>241</v>
      </c>
      <c r="BI1813" s="4" t="s">
        <v>295</v>
      </c>
      <c r="BJ1813" s="5" t="s">
        <v>1088</v>
      </c>
      <c r="BK1813" s="4" t="s">
        <v>254</v>
      </c>
      <c r="BL1813" s="4" t="s">
        <v>285</v>
      </c>
      <c r="BM1813" s="4" t="s">
        <v>241</v>
      </c>
      <c r="BN1813" s="6">
        <f>0</f>
        <v>0</v>
      </c>
      <c r="BO1813" s="6">
        <f>0</f>
        <v>0</v>
      </c>
      <c r="BP1813" s="4" t="s">
        <v>256</v>
      </c>
      <c r="BQ1813" s="4" t="s">
        <v>257</v>
      </c>
      <c r="CE1813" s="4" t="s">
        <v>241</v>
      </c>
      <c r="CF1813" s="4" t="s">
        <v>241</v>
      </c>
      <c r="CJ1813" s="4" t="s">
        <v>286</v>
      </c>
      <c r="CK1813" s="4" t="s">
        <v>259</v>
      </c>
      <c r="CL1813" s="4" t="s">
        <v>241</v>
      </c>
      <c r="CO1813" s="5" t="s">
        <v>260</v>
      </c>
      <c r="CP1813" s="4" t="s">
        <v>241</v>
      </c>
      <c r="CQ1813" s="4" t="s">
        <v>261</v>
      </c>
      <c r="CR1813" s="4" t="s">
        <v>241</v>
      </c>
      <c r="CS1813" s="4" t="s">
        <v>241</v>
      </c>
      <c r="CT1813" s="4">
        <v>0</v>
      </c>
      <c r="CU1813" s="4" t="s">
        <v>262</v>
      </c>
      <c r="CV1813" s="4" t="s">
        <v>263</v>
      </c>
      <c r="CW1813" s="4" t="s">
        <v>263</v>
      </c>
      <c r="CX1813" s="4" t="s">
        <v>264</v>
      </c>
      <c r="DA1813" s="6">
        <f>852617</f>
        <v>852617</v>
      </c>
      <c r="DC1813" s="4" t="s">
        <v>287</v>
      </c>
      <c r="DD1813" s="4" t="s">
        <v>241</v>
      </c>
      <c r="DF1813" s="4" t="s">
        <v>287</v>
      </c>
      <c r="DG1813" s="6">
        <f>0</f>
        <v>0</v>
      </c>
      <c r="DI1813" s="4" t="s">
        <v>241</v>
      </c>
      <c r="DJ1813" s="4" t="s">
        <v>241</v>
      </c>
      <c r="DK1813" s="4" t="s">
        <v>241</v>
      </c>
      <c r="DL1813" s="4" t="s">
        <v>241</v>
      </c>
      <c r="DP1813" s="4" t="s">
        <v>241</v>
      </c>
      <c r="DQ1813" s="4" t="s">
        <v>241</v>
      </c>
      <c r="DR1813" s="4" t="s">
        <v>241</v>
      </c>
      <c r="DS1813" s="4" t="s">
        <v>241</v>
      </c>
      <c r="DV1813" s="4" t="s">
        <v>278</v>
      </c>
      <c r="DW1813" s="4" t="s">
        <v>1396</v>
      </c>
      <c r="HO1813" s="4" t="s">
        <v>267</v>
      </c>
    </row>
    <row r="1814" spans="1:223" ht="19.5" customHeight="1" x14ac:dyDescent="0.4">
      <c r="A1814" s="4">
        <v>1</v>
      </c>
      <c r="B1814" s="4" t="s">
        <v>239</v>
      </c>
      <c r="C1814" s="4">
        <v>3511</v>
      </c>
      <c r="D1814" s="4">
        <v>1</v>
      </c>
      <c r="E1814" s="4">
        <v>1</v>
      </c>
      <c r="F1814" s="4" t="s">
        <v>268</v>
      </c>
      <c r="G1814" s="4" t="s">
        <v>241</v>
      </c>
      <c r="H1814" s="4" t="s">
        <v>241</v>
      </c>
      <c r="I1814" s="4" t="s">
        <v>272</v>
      </c>
      <c r="J1814" s="4" t="s">
        <v>274</v>
      </c>
      <c r="K1814" s="4" t="s">
        <v>251</v>
      </c>
      <c r="L1814" s="4" t="s">
        <v>1174</v>
      </c>
      <c r="M1814" s="5" t="s">
        <v>1175</v>
      </c>
      <c r="N1814" s="6">
        <f>377.72</f>
        <v>377.72</v>
      </c>
      <c r="O1814" s="4" t="s">
        <v>265</v>
      </c>
      <c r="P1814" s="6">
        <f>3083040</f>
        <v>3083040</v>
      </c>
      <c r="Q1814" s="6">
        <f>0</f>
        <v>0</v>
      </c>
      <c r="S1814" s="6">
        <f>0</f>
        <v>0</v>
      </c>
      <c r="T1814" s="6">
        <f>3083040</f>
        <v>3083040</v>
      </c>
      <c r="U1814" s="5" t="s">
        <v>401</v>
      </c>
      <c r="V1814" s="4" t="s">
        <v>270</v>
      </c>
      <c r="W1814" s="4" t="s">
        <v>242</v>
      </c>
      <c r="X1814" s="4" t="s">
        <v>241</v>
      </c>
      <c r="Y1814" s="4" t="s">
        <v>241</v>
      </c>
      <c r="AB1814" s="4" t="s">
        <v>241</v>
      </c>
      <c r="AD1814" s="5" t="s">
        <v>241</v>
      </c>
      <c r="AG1814" s="5" t="s">
        <v>246</v>
      </c>
      <c r="AH1814" s="4" t="s">
        <v>241</v>
      </c>
      <c r="AI1814" s="4" t="s">
        <v>247</v>
      </c>
      <c r="AJ1814" s="4" t="s">
        <v>264</v>
      </c>
      <c r="AZ1814" s="4" t="s">
        <v>249</v>
      </c>
      <c r="BA1814" s="4" t="s">
        <v>241</v>
      </c>
      <c r="BB1814" s="4" t="s">
        <v>250</v>
      </c>
      <c r="BC1814" s="4" t="s">
        <v>241</v>
      </c>
      <c r="BD1814" s="4" t="s">
        <v>252</v>
      </c>
      <c r="BE1814" s="4" t="s">
        <v>241</v>
      </c>
      <c r="BI1814" s="4" t="s">
        <v>295</v>
      </c>
      <c r="BJ1814" s="5" t="s">
        <v>401</v>
      </c>
      <c r="BK1814" s="4" t="s">
        <v>254</v>
      </c>
      <c r="BL1814" s="4" t="s">
        <v>285</v>
      </c>
      <c r="BM1814" s="4" t="s">
        <v>241</v>
      </c>
      <c r="BN1814" s="6">
        <f>0</f>
        <v>0</v>
      </c>
      <c r="BO1814" s="6">
        <f>0</f>
        <v>0</v>
      </c>
      <c r="BP1814" s="4" t="s">
        <v>256</v>
      </c>
      <c r="BQ1814" s="4" t="s">
        <v>257</v>
      </c>
      <c r="CE1814" s="4" t="s">
        <v>241</v>
      </c>
      <c r="CF1814" s="4" t="s">
        <v>241</v>
      </c>
      <c r="CJ1814" s="4" t="s">
        <v>286</v>
      </c>
      <c r="CK1814" s="4" t="s">
        <v>259</v>
      </c>
      <c r="CL1814" s="4" t="s">
        <v>241</v>
      </c>
      <c r="CO1814" s="5" t="s">
        <v>260</v>
      </c>
      <c r="CP1814" s="4" t="s">
        <v>241</v>
      </c>
      <c r="CQ1814" s="4" t="s">
        <v>261</v>
      </c>
      <c r="CR1814" s="4" t="s">
        <v>241</v>
      </c>
      <c r="CS1814" s="4" t="s">
        <v>241</v>
      </c>
      <c r="CT1814" s="4">
        <v>0</v>
      </c>
      <c r="CU1814" s="4" t="s">
        <v>262</v>
      </c>
      <c r="CV1814" s="4" t="s">
        <v>263</v>
      </c>
      <c r="CW1814" s="4" t="s">
        <v>263</v>
      </c>
      <c r="CX1814" s="4" t="s">
        <v>264</v>
      </c>
      <c r="DA1814" s="6">
        <f>3083040</f>
        <v>3083040</v>
      </c>
      <c r="DC1814" s="4" t="s">
        <v>287</v>
      </c>
      <c r="DD1814" s="4" t="s">
        <v>241</v>
      </c>
      <c r="DF1814" s="4" t="s">
        <v>287</v>
      </c>
      <c r="DG1814" s="6">
        <f>377.72</f>
        <v>377.72</v>
      </c>
      <c r="DI1814" s="4" t="s">
        <v>241</v>
      </c>
      <c r="DJ1814" s="4" t="s">
        <v>241</v>
      </c>
      <c r="DK1814" s="4" t="s">
        <v>241</v>
      </c>
      <c r="DL1814" s="4" t="s">
        <v>241</v>
      </c>
      <c r="DP1814" s="4" t="s">
        <v>241</v>
      </c>
      <c r="DQ1814" s="4" t="s">
        <v>241</v>
      </c>
      <c r="DR1814" s="4" t="s">
        <v>241</v>
      </c>
      <c r="DS1814" s="4" t="s">
        <v>241</v>
      </c>
      <c r="DV1814" s="4" t="s">
        <v>278</v>
      </c>
      <c r="DW1814" s="4" t="s">
        <v>856</v>
      </c>
      <c r="HO1814" s="4" t="s">
        <v>267</v>
      </c>
    </row>
    <row r="1815" spans="1:223" ht="19.5" customHeight="1" x14ac:dyDescent="0.4">
      <c r="A1815" s="4">
        <v>1</v>
      </c>
      <c r="B1815" s="4" t="s">
        <v>239</v>
      </c>
      <c r="C1815" s="4">
        <v>3512</v>
      </c>
      <c r="D1815" s="4">
        <v>1</v>
      </c>
      <c r="E1815" s="4">
        <v>1</v>
      </c>
      <c r="F1815" s="4" t="s">
        <v>268</v>
      </c>
      <c r="G1815" s="4" t="s">
        <v>241</v>
      </c>
      <c r="H1815" s="4" t="s">
        <v>241</v>
      </c>
      <c r="I1815" s="4" t="s">
        <v>272</v>
      </c>
      <c r="J1815" s="4" t="s">
        <v>274</v>
      </c>
      <c r="K1815" s="4" t="s">
        <v>251</v>
      </c>
      <c r="L1815" s="4" t="s">
        <v>1087</v>
      </c>
      <c r="M1815" s="5" t="s">
        <v>1089</v>
      </c>
      <c r="N1815" s="6">
        <f>0</f>
        <v>0</v>
      </c>
      <c r="O1815" s="4" t="s">
        <v>265</v>
      </c>
      <c r="P1815" s="6">
        <f>356999</f>
        <v>356999</v>
      </c>
      <c r="Q1815" s="6">
        <f>0</f>
        <v>0</v>
      </c>
      <c r="S1815" s="6">
        <f>0</f>
        <v>0</v>
      </c>
      <c r="T1815" s="6">
        <f>356999</f>
        <v>356999</v>
      </c>
      <c r="U1815" s="5" t="s">
        <v>1088</v>
      </c>
      <c r="V1815" s="4" t="s">
        <v>270</v>
      </c>
      <c r="W1815" s="4" t="s">
        <v>242</v>
      </c>
      <c r="X1815" s="4" t="s">
        <v>241</v>
      </c>
      <c r="Y1815" s="4" t="s">
        <v>241</v>
      </c>
      <c r="AB1815" s="4" t="s">
        <v>241</v>
      </c>
      <c r="AD1815" s="5" t="s">
        <v>241</v>
      </c>
      <c r="AG1815" s="5" t="s">
        <v>246</v>
      </c>
      <c r="AH1815" s="4" t="s">
        <v>241</v>
      </c>
      <c r="AI1815" s="4" t="s">
        <v>247</v>
      </c>
      <c r="AJ1815" s="4" t="s">
        <v>264</v>
      </c>
      <c r="AZ1815" s="4" t="s">
        <v>249</v>
      </c>
      <c r="BA1815" s="4" t="s">
        <v>241</v>
      </c>
      <c r="BB1815" s="4" t="s">
        <v>250</v>
      </c>
      <c r="BC1815" s="4" t="s">
        <v>241</v>
      </c>
      <c r="BD1815" s="4" t="s">
        <v>252</v>
      </c>
      <c r="BE1815" s="4" t="s">
        <v>241</v>
      </c>
      <c r="BI1815" s="4" t="s">
        <v>295</v>
      </c>
      <c r="BJ1815" s="5" t="s">
        <v>1088</v>
      </c>
      <c r="BK1815" s="4" t="s">
        <v>254</v>
      </c>
      <c r="BL1815" s="4" t="s">
        <v>285</v>
      </c>
      <c r="BM1815" s="4" t="s">
        <v>241</v>
      </c>
      <c r="BN1815" s="6">
        <f>0</f>
        <v>0</v>
      </c>
      <c r="BO1815" s="6">
        <f>0</f>
        <v>0</v>
      </c>
      <c r="BP1815" s="4" t="s">
        <v>256</v>
      </c>
      <c r="BQ1815" s="4" t="s">
        <v>257</v>
      </c>
      <c r="CE1815" s="4" t="s">
        <v>241</v>
      </c>
      <c r="CF1815" s="4" t="s">
        <v>241</v>
      </c>
      <c r="CJ1815" s="4" t="s">
        <v>286</v>
      </c>
      <c r="CK1815" s="4" t="s">
        <v>259</v>
      </c>
      <c r="CL1815" s="4" t="s">
        <v>241</v>
      </c>
      <c r="CO1815" s="5" t="s">
        <v>260</v>
      </c>
      <c r="CP1815" s="4" t="s">
        <v>241</v>
      </c>
      <c r="CQ1815" s="4" t="s">
        <v>261</v>
      </c>
      <c r="CR1815" s="4" t="s">
        <v>241</v>
      </c>
      <c r="CS1815" s="4" t="s">
        <v>241</v>
      </c>
      <c r="CT1815" s="4">
        <v>0</v>
      </c>
      <c r="CU1815" s="4" t="s">
        <v>262</v>
      </c>
      <c r="CV1815" s="4" t="s">
        <v>263</v>
      </c>
      <c r="CW1815" s="4" t="s">
        <v>263</v>
      </c>
      <c r="CX1815" s="4" t="s">
        <v>264</v>
      </c>
      <c r="DA1815" s="6">
        <f>356999</f>
        <v>356999</v>
      </c>
      <c r="DC1815" s="4" t="s">
        <v>287</v>
      </c>
      <c r="DD1815" s="4" t="s">
        <v>241</v>
      </c>
      <c r="DF1815" s="4" t="s">
        <v>287</v>
      </c>
      <c r="DG1815" s="6">
        <f>0</f>
        <v>0</v>
      </c>
      <c r="DI1815" s="4" t="s">
        <v>241</v>
      </c>
      <c r="DJ1815" s="4" t="s">
        <v>241</v>
      </c>
      <c r="DK1815" s="4" t="s">
        <v>241</v>
      </c>
      <c r="DL1815" s="4" t="s">
        <v>241</v>
      </c>
      <c r="DP1815" s="4" t="s">
        <v>241</v>
      </c>
      <c r="DQ1815" s="4" t="s">
        <v>241</v>
      </c>
      <c r="DR1815" s="4" t="s">
        <v>241</v>
      </c>
      <c r="DS1815" s="4" t="s">
        <v>241</v>
      </c>
      <c r="DV1815" s="4" t="s">
        <v>278</v>
      </c>
      <c r="DW1815" s="4" t="s">
        <v>1090</v>
      </c>
      <c r="HO1815" s="4" t="s">
        <v>267</v>
      </c>
    </row>
    <row r="1816" spans="1:223" ht="19.5" customHeight="1" x14ac:dyDescent="0.4">
      <c r="A1816" s="4">
        <v>1</v>
      </c>
      <c r="B1816" s="4" t="s">
        <v>239</v>
      </c>
      <c r="C1816" s="4">
        <v>3513</v>
      </c>
      <c r="D1816" s="4">
        <v>1</v>
      </c>
      <c r="E1816" s="4">
        <v>1</v>
      </c>
      <c r="F1816" s="4" t="s">
        <v>268</v>
      </c>
      <c r="G1816" s="4" t="s">
        <v>241</v>
      </c>
      <c r="H1816" s="4" t="s">
        <v>241</v>
      </c>
      <c r="I1816" s="4" t="s">
        <v>272</v>
      </c>
      <c r="J1816" s="4" t="s">
        <v>274</v>
      </c>
      <c r="K1816" s="4" t="s">
        <v>251</v>
      </c>
      <c r="L1816" s="4" t="s">
        <v>1375</v>
      </c>
      <c r="M1816" s="5" t="s">
        <v>1089</v>
      </c>
      <c r="N1816" s="6">
        <f>1274.15</f>
        <v>1274.1500000000001</v>
      </c>
      <c r="O1816" s="4" t="s">
        <v>265</v>
      </c>
      <c r="P1816" s="6">
        <f>6404139</f>
        <v>6404139</v>
      </c>
      <c r="Q1816" s="6">
        <f>0</f>
        <v>0</v>
      </c>
      <c r="S1816" s="6">
        <f>0</f>
        <v>0</v>
      </c>
      <c r="T1816" s="6">
        <f>6404139</f>
        <v>6404139</v>
      </c>
      <c r="U1816" s="5" t="s">
        <v>400</v>
      </c>
      <c r="V1816" s="4" t="s">
        <v>270</v>
      </c>
      <c r="W1816" s="4" t="s">
        <v>242</v>
      </c>
      <c r="X1816" s="4" t="s">
        <v>241</v>
      </c>
      <c r="Y1816" s="4" t="s">
        <v>241</v>
      </c>
      <c r="AB1816" s="4" t="s">
        <v>241</v>
      </c>
      <c r="AD1816" s="5" t="s">
        <v>241</v>
      </c>
      <c r="AG1816" s="5" t="s">
        <v>246</v>
      </c>
      <c r="AH1816" s="4" t="s">
        <v>241</v>
      </c>
      <c r="AI1816" s="4" t="s">
        <v>247</v>
      </c>
      <c r="AJ1816" s="4" t="s">
        <v>264</v>
      </c>
      <c r="AZ1816" s="4" t="s">
        <v>249</v>
      </c>
      <c r="BA1816" s="4" t="s">
        <v>241</v>
      </c>
      <c r="BB1816" s="4" t="s">
        <v>250</v>
      </c>
      <c r="BC1816" s="4" t="s">
        <v>241</v>
      </c>
      <c r="BD1816" s="4" t="s">
        <v>252</v>
      </c>
      <c r="BE1816" s="4" t="s">
        <v>241</v>
      </c>
      <c r="BI1816" s="4" t="s">
        <v>295</v>
      </c>
      <c r="BJ1816" s="5" t="s">
        <v>400</v>
      </c>
      <c r="BK1816" s="4" t="s">
        <v>254</v>
      </c>
      <c r="BL1816" s="4" t="s">
        <v>285</v>
      </c>
      <c r="BM1816" s="4" t="s">
        <v>241</v>
      </c>
      <c r="BN1816" s="6">
        <f>0</f>
        <v>0</v>
      </c>
      <c r="BO1816" s="6">
        <f>0</f>
        <v>0</v>
      </c>
      <c r="BP1816" s="4" t="s">
        <v>256</v>
      </c>
      <c r="BQ1816" s="4" t="s">
        <v>257</v>
      </c>
      <c r="CE1816" s="4" t="s">
        <v>241</v>
      </c>
      <c r="CF1816" s="4" t="s">
        <v>241</v>
      </c>
      <c r="CJ1816" s="4" t="s">
        <v>286</v>
      </c>
      <c r="CK1816" s="4" t="s">
        <v>259</v>
      </c>
      <c r="CL1816" s="4" t="s">
        <v>241</v>
      </c>
      <c r="CO1816" s="5" t="s">
        <v>260</v>
      </c>
      <c r="CP1816" s="4" t="s">
        <v>241</v>
      </c>
      <c r="CQ1816" s="4" t="s">
        <v>261</v>
      </c>
      <c r="CR1816" s="4" t="s">
        <v>241</v>
      </c>
      <c r="CS1816" s="4" t="s">
        <v>241</v>
      </c>
      <c r="CT1816" s="4">
        <v>0</v>
      </c>
      <c r="CU1816" s="4" t="s">
        <v>262</v>
      </c>
      <c r="CV1816" s="4" t="s">
        <v>263</v>
      </c>
      <c r="CW1816" s="4" t="s">
        <v>263</v>
      </c>
      <c r="CX1816" s="4" t="s">
        <v>264</v>
      </c>
      <c r="DA1816" s="6">
        <f>6404139</f>
        <v>6404139</v>
      </c>
      <c r="DC1816" s="4" t="s">
        <v>287</v>
      </c>
      <c r="DD1816" s="4" t="s">
        <v>241</v>
      </c>
      <c r="DF1816" s="4" t="s">
        <v>287</v>
      </c>
      <c r="DG1816" s="6">
        <f>1274.15</f>
        <v>1274.1500000000001</v>
      </c>
      <c r="DI1816" s="4" t="s">
        <v>241</v>
      </c>
      <c r="DJ1816" s="4" t="s">
        <v>241</v>
      </c>
      <c r="DK1816" s="4" t="s">
        <v>241</v>
      </c>
      <c r="DL1816" s="4" t="s">
        <v>241</v>
      </c>
      <c r="DP1816" s="4" t="s">
        <v>241</v>
      </c>
      <c r="DQ1816" s="4" t="s">
        <v>241</v>
      </c>
      <c r="DR1816" s="4" t="s">
        <v>241</v>
      </c>
      <c r="DS1816" s="4" t="s">
        <v>241</v>
      </c>
      <c r="DV1816" s="4" t="s">
        <v>278</v>
      </c>
      <c r="DW1816" s="4" t="s">
        <v>1376</v>
      </c>
      <c r="HO1816" s="4" t="s">
        <v>267</v>
      </c>
    </row>
    <row r="1817" spans="1:223" ht="19.5" customHeight="1" x14ac:dyDescent="0.4">
      <c r="A1817" s="4">
        <v>1</v>
      </c>
      <c r="B1817" s="4" t="s">
        <v>239</v>
      </c>
      <c r="C1817" s="4">
        <v>3514</v>
      </c>
      <c r="D1817" s="4">
        <v>1</v>
      </c>
      <c r="E1817" s="4">
        <v>1</v>
      </c>
      <c r="F1817" s="4" t="s">
        <v>268</v>
      </c>
      <c r="G1817" s="4" t="s">
        <v>241</v>
      </c>
      <c r="H1817" s="4" t="s">
        <v>241</v>
      </c>
      <c r="I1817" s="4" t="s">
        <v>272</v>
      </c>
      <c r="J1817" s="4" t="s">
        <v>274</v>
      </c>
      <c r="K1817" s="4" t="s">
        <v>251</v>
      </c>
      <c r="L1817" s="4" t="s">
        <v>352</v>
      </c>
      <c r="M1817" s="5" t="s">
        <v>344</v>
      </c>
      <c r="N1817" s="6">
        <f>0</f>
        <v>0</v>
      </c>
      <c r="O1817" s="4" t="s">
        <v>265</v>
      </c>
      <c r="P1817" s="6">
        <f>3766520</f>
        <v>3766520</v>
      </c>
      <c r="Q1817" s="6">
        <f>0</f>
        <v>0</v>
      </c>
      <c r="S1817" s="6">
        <f>0</f>
        <v>0</v>
      </c>
      <c r="T1817" s="6">
        <f>3766520</f>
        <v>3766520</v>
      </c>
      <c r="U1817" s="5" t="s">
        <v>353</v>
      </c>
      <c r="V1817" s="4" t="s">
        <v>270</v>
      </c>
      <c r="W1817" s="4" t="s">
        <v>242</v>
      </c>
      <c r="X1817" s="4" t="s">
        <v>241</v>
      </c>
      <c r="Y1817" s="4" t="s">
        <v>241</v>
      </c>
      <c r="AB1817" s="4" t="s">
        <v>241</v>
      </c>
      <c r="AD1817" s="5" t="s">
        <v>241</v>
      </c>
      <c r="AG1817" s="5" t="s">
        <v>246</v>
      </c>
      <c r="AH1817" s="4" t="s">
        <v>241</v>
      </c>
      <c r="AI1817" s="4" t="s">
        <v>247</v>
      </c>
      <c r="AJ1817" s="4" t="s">
        <v>264</v>
      </c>
      <c r="AZ1817" s="4" t="s">
        <v>249</v>
      </c>
      <c r="BA1817" s="4" t="s">
        <v>241</v>
      </c>
      <c r="BB1817" s="4" t="s">
        <v>250</v>
      </c>
      <c r="BC1817" s="4" t="s">
        <v>241</v>
      </c>
      <c r="BD1817" s="4" t="s">
        <v>252</v>
      </c>
      <c r="BE1817" s="4" t="s">
        <v>241</v>
      </c>
      <c r="BI1817" s="4" t="s">
        <v>295</v>
      </c>
      <c r="BJ1817" s="5" t="s">
        <v>353</v>
      </c>
      <c r="BK1817" s="4" t="s">
        <v>254</v>
      </c>
      <c r="BL1817" s="4" t="s">
        <v>285</v>
      </c>
      <c r="BM1817" s="4" t="s">
        <v>241</v>
      </c>
      <c r="BN1817" s="6">
        <f>0</f>
        <v>0</v>
      </c>
      <c r="BO1817" s="6">
        <f>0</f>
        <v>0</v>
      </c>
      <c r="BP1817" s="4" t="s">
        <v>256</v>
      </c>
      <c r="BQ1817" s="4" t="s">
        <v>257</v>
      </c>
      <c r="CE1817" s="4" t="s">
        <v>241</v>
      </c>
      <c r="CF1817" s="4" t="s">
        <v>241</v>
      </c>
      <c r="CJ1817" s="4" t="s">
        <v>286</v>
      </c>
      <c r="CK1817" s="4" t="s">
        <v>259</v>
      </c>
      <c r="CL1817" s="4" t="s">
        <v>241</v>
      </c>
      <c r="CO1817" s="5" t="s">
        <v>260</v>
      </c>
      <c r="CP1817" s="4" t="s">
        <v>241</v>
      </c>
      <c r="CQ1817" s="4" t="s">
        <v>261</v>
      </c>
      <c r="CR1817" s="4" t="s">
        <v>241</v>
      </c>
      <c r="CS1817" s="4" t="s">
        <v>241</v>
      </c>
      <c r="CT1817" s="4">
        <v>0</v>
      </c>
      <c r="CU1817" s="4" t="s">
        <v>262</v>
      </c>
      <c r="CV1817" s="4" t="s">
        <v>263</v>
      </c>
      <c r="CW1817" s="4" t="s">
        <v>263</v>
      </c>
      <c r="CX1817" s="4" t="s">
        <v>264</v>
      </c>
      <c r="DA1817" s="6">
        <f>3766520</f>
        <v>3766520</v>
      </c>
      <c r="DC1817" s="4" t="s">
        <v>287</v>
      </c>
      <c r="DD1817" s="4" t="s">
        <v>241</v>
      </c>
      <c r="DF1817" s="4" t="s">
        <v>287</v>
      </c>
      <c r="DG1817" s="6">
        <f>0</f>
        <v>0</v>
      </c>
      <c r="DI1817" s="4" t="s">
        <v>241</v>
      </c>
      <c r="DJ1817" s="4" t="s">
        <v>241</v>
      </c>
      <c r="DK1817" s="4" t="s">
        <v>241</v>
      </c>
      <c r="DL1817" s="4" t="s">
        <v>241</v>
      </c>
      <c r="DP1817" s="4" t="s">
        <v>241</v>
      </c>
      <c r="DQ1817" s="4" t="s">
        <v>241</v>
      </c>
      <c r="DR1817" s="4" t="s">
        <v>241</v>
      </c>
      <c r="DS1817" s="4" t="s">
        <v>241</v>
      </c>
      <c r="DV1817" s="4" t="s">
        <v>278</v>
      </c>
      <c r="DW1817" s="4" t="s">
        <v>354</v>
      </c>
      <c r="HO1817" s="4" t="s">
        <v>267</v>
      </c>
    </row>
    <row r="1818" spans="1:223" ht="19.5" customHeight="1" x14ac:dyDescent="0.4">
      <c r="A1818" s="4">
        <v>1</v>
      </c>
      <c r="B1818" s="4" t="s">
        <v>239</v>
      </c>
      <c r="C1818" s="4">
        <v>3515</v>
      </c>
      <c r="D1818" s="4">
        <v>1</v>
      </c>
      <c r="E1818" s="4">
        <v>1</v>
      </c>
      <c r="F1818" s="4" t="s">
        <v>268</v>
      </c>
      <c r="G1818" s="4" t="s">
        <v>241</v>
      </c>
      <c r="H1818" s="4" t="s">
        <v>241</v>
      </c>
      <c r="I1818" s="4" t="s">
        <v>272</v>
      </c>
      <c r="J1818" s="4" t="s">
        <v>274</v>
      </c>
      <c r="K1818" s="4" t="s">
        <v>251</v>
      </c>
      <c r="L1818" s="4" t="s">
        <v>343</v>
      </c>
      <c r="M1818" s="5" t="s">
        <v>344</v>
      </c>
      <c r="N1818" s="6">
        <f>1299.25</f>
        <v>1299.25</v>
      </c>
      <c r="O1818" s="4" t="s">
        <v>265</v>
      </c>
      <c r="P1818" s="6">
        <f>2335793</f>
        <v>2335793</v>
      </c>
      <c r="Q1818" s="6">
        <f>0</f>
        <v>0</v>
      </c>
      <c r="S1818" s="6">
        <f>0</f>
        <v>0</v>
      </c>
      <c r="T1818" s="6">
        <f>2335793</f>
        <v>2335793</v>
      </c>
      <c r="U1818" s="5" t="s">
        <v>331</v>
      </c>
      <c r="V1818" s="4" t="s">
        <v>270</v>
      </c>
      <c r="W1818" s="4" t="s">
        <v>242</v>
      </c>
      <c r="X1818" s="4" t="s">
        <v>241</v>
      </c>
      <c r="Y1818" s="4" t="s">
        <v>241</v>
      </c>
      <c r="AB1818" s="4" t="s">
        <v>241</v>
      </c>
      <c r="AD1818" s="5" t="s">
        <v>241</v>
      </c>
      <c r="AG1818" s="5" t="s">
        <v>246</v>
      </c>
      <c r="AH1818" s="4" t="s">
        <v>241</v>
      </c>
      <c r="AI1818" s="4" t="s">
        <v>247</v>
      </c>
      <c r="AJ1818" s="4" t="s">
        <v>264</v>
      </c>
      <c r="AZ1818" s="4" t="s">
        <v>249</v>
      </c>
      <c r="BA1818" s="4" t="s">
        <v>241</v>
      </c>
      <c r="BB1818" s="4" t="s">
        <v>250</v>
      </c>
      <c r="BC1818" s="4" t="s">
        <v>241</v>
      </c>
      <c r="BD1818" s="4" t="s">
        <v>252</v>
      </c>
      <c r="BE1818" s="4" t="s">
        <v>241</v>
      </c>
      <c r="BI1818" s="4" t="s">
        <v>295</v>
      </c>
      <c r="BJ1818" s="5" t="s">
        <v>331</v>
      </c>
      <c r="BK1818" s="4" t="s">
        <v>254</v>
      </c>
      <c r="BL1818" s="4" t="s">
        <v>285</v>
      </c>
      <c r="BM1818" s="4" t="s">
        <v>241</v>
      </c>
      <c r="BN1818" s="6">
        <f>0</f>
        <v>0</v>
      </c>
      <c r="BO1818" s="6">
        <f>0</f>
        <v>0</v>
      </c>
      <c r="BP1818" s="4" t="s">
        <v>256</v>
      </c>
      <c r="BQ1818" s="4" t="s">
        <v>257</v>
      </c>
      <c r="CE1818" s="4" t="s">
        <v>241</v>
      </c>
      <c r="CF1818" s="4" t="s">
        <v>241</v>
      </c>
      <c r="CJ1818" s="4" t="s">
        <v>286</v>
      </c>
      <c r="CK1818" s="4" t="s">
        <v>259</v>
      </c>
      <c r="CL1818" s="4" t="s">
        <v>241</v>
      </c>
      <c r="CO1818" s="5" t="s">
        <v>260</v>
      </c>
      <c r="CP1818" s="4" t="s">
        <v>241</v>
      </c>
      <c r="CQ1818" s="4" t="s">
        <v>261</v>
      </c>
      <c r="CR1818" s="4" t="s">
        <v>241</v>
      </c>
      <c r="CS1818" s="4" t="s">
        <v>241</v>
      </c>
      <c r="CT1818" s="4">
        <v>0</v>
      </c>
      <c r="CU1818" s="4" t="s">
        <v>262</v>
      </c>
      <c r="CV1818" s="4" t="s">
        <v>263</v>
      </c>
      <c r="CW1818" s="4" t="s">
        <v>263</v>
      </c>
      <c r="CX1818" s="4" t="s">
        <v>264</v>
      </c>
      <c r="DA1818" s="6">
        <f>2335793</f>
        <v>2335793</v>
      </c>
      <c r="DC1818" s="4" t="s">
        <v>287</v>
      </c>
      <c r="DD1818" s="4" t="s">
        <v>241</v>
      </c>
      <c r="DF1818" s="4" t="s">
        <v>287</v>
      </c>
      <c r="DG1818" s="6">
        <f>1299.25</f>
        <v>1299.25</v>
      </c>
      <c r="DI1818" s="4" t="s">
        <v>241</v>
      </c>
      <c r="DJ1818" s="4" t="s">
        <v>241</v>
      </c>
      <c r="DK1818" s="4" t="s">
        <v>241</v>
      </c>
      <c r="DL1818" s="4" t="s">
        <v>241</v>
      </c>
      <c r="DP1818" s="4" t="s">
        <v>241</v>
      </c>
      <c r="DQ1818" s="4" t="s">
        <v>241</v>
      </c>
      <c r="DR1818" s="4" t="s">
        <v>241</v>
      </c>
      <c r="DS1818" s="4" t="s">
        <v>241</v>
      </c>
      <c r="DV1818" s="4" t="s">
        <v>278</v>
      </c>
      <c r="DW1818" s="4" t="s">
        <v>345</v>
      </c>
      <c r="HO1818" s="4" t="s">
        <v>267</v>
      </c>
    </row>
    <row r="1819" spans="1:223" ht="19.5" customHeight="1" x14ac:dyDescent="0.4">
      <c r="A1819" s="4">
        <v>1</v>
      </c>
      <c r="B1819" s="4" t="s">
        <v>239</v>
      </c>
      <c r="C1819" s="4">
        <v>3516</v>
      </c>
      <c r="D1819" s="4">
        <v>1</v>
      </c>
      <c r="E1819" s="4">
        <v>1</v>
      </c>
      <c r="F1819" s="4" t="s">
        <v>268</v>
      </c>
      <c r="G1819" s="4" t="s">
        <v>241</v>
      </c>
      <c r="H1819" s="4" t="s">
        <v>241</v>
      </c>
      <c r="I1819" s="4" t="s">
        <v>272</v>
      </c>
      <c r="J1819" s="4" t="s">
        <v>274</v>
      </c>
      <c r="K1819" s="4" t="s">
        <v>251</v>
      </c>
      <c r="L1819" s="4" t="s">
        <v>1422</v>
      </c>
      <c r="M1819" s="5" t="s">
        <v>1283</v>
      </c>
      <c r="N1819" s="6">
        <f>0</f>
        <v>0</v>
      </c>
      <c r="O1819" s="4" t="s">
        <v>265</v>
      </c>
      <c r="P1819" s="6">
        <f>10638425</f>
        <v>10638425</v>
      </c>
      <c r="Q1819" s="6">
        <f>0</f>
        <v>0</v>
      </c>
      <c r="S1819" s="6">
        <f>0</f>
        <v>0</v>
      </c>
      <c r="T1819" s="6">
        <f>10638425</f>
        <v>10638425</v>
      </c>
      <c r="U1819" s="5" t="s">
        <v>1250</v>
      </c>
      <c r="V1819" s="4" t="s">
        <v>270</v>
      </c>
      <c r="W1819" s="4" t="s">
        <v>242</v>
      </c>
      <c r="X1819" s="4" t="s">
        <v>241</v>
      </c>
      <c r="Y1819" s="4" t="s">
        <v>241</v>
      </c>
      <c r="AB1819" s="4" t="s">
        <v>241</v>
      </c>
      <c r="AD1819" s="5" t="s">
        <v>241</v>
      </c>
      <c r="AG1819" s="5" t="s">
        <v>1357</v>
      </c>
      <c r="AH1819" s="4" t="s">
        <v>241</v>
      </c>
      <c r="AI1819" s="4" t="s">
        <v>247</v>
      </c>
      <c r="AJ1819" s="4" t="s">
        <v>264</v>
      </c>
      <c r="AZ1819" s="4" t="s">
        <v>249</v>
      </c>
      <c r="BA1819" s="4" t="s">
        <v>241</v>
      </c>
      <c r="BB1819" s="4" t="s">
        <v>250</v>
      </c>
      <c r="BC1819" s="4" t="s">
        <v>241</v>
      </c>
      <c r="BD1819" s="4" t="s">
        <v>252</v>
      </c>
      <c r="BE1819" s="4" t="s">
        <v>241</v>
      </c>
      <c r="BI1819" s="4" t="s">
        <v>295</v>
      </c>
      <c r="BJ1819" s="5" t="s">
        <v>1250</v>
      </c>
      <c r="BK1819" s="4" t="s">
        <v>254</v>
      </c>
      <c r="BL1819" s="4" t="s">
        <v>285</v>
      </c>
      <c r="BM1819" s="4" t="s">
        <v>241</v>
      </c>
      <c r="BN1819" s="6">
        <f>0</f>
        <v>0</v>
      </c>
      <c r="BO1819" s="6">
        <f>0</f>
        <v>0</v>
      </c>
      <c r="BP1819" s="4" t="s">
        <v>256</v>
      </c>
      <c r="BQ1819" s="4" t="s">
        <v>257</v>
      </c>
      <c r="CE1819" s="4" t="s">
        <v>241</v>
      </c>
      <c r="CF1819" s="4" t="s">
        <v>241</v>
      </c>
      <c r="CJ1819" s="4" t="s">
        <v>286</v>
      </c>
      <c r="CK1819" s="4" t="s">
        <v>259</v>
      </c>
      <c r="CL1819" s="4" t="s">
        <v>241</v>
      </c>
      <c r="CO1819" s="5" t="s">
        <v>260</v>
      </c>
      <c r="CP1819" s="4" t="s">
        <v>241</v>
      </c>
      <c r="CQ1819" s="4" t="s">
        <v>261</v>
      </c>
      <c r="CR1819" s="4" t="s">
        <v>241</v>
      </c>
      <c r="CS1819" s="4" t="s">
        <v>241</v>
      </c>
      <c r="CT1819" s="4">
        <v>0</v>
      </c>
      <c r="CU1819" s="4" t="s">
        <v>262</v>
      </c>
      <c r="CV1819" s="4" t="s">
        <v>263</v>
      </c>
      <c r="CW1819" s="4" t="s">
        <v>263</v>
      </c>
      <c r="CX1819" s="4" t="s">
        <v>264</v>
      </c>
      <c r="DA1819" s="6">
        <f>10638425</f>
        <v>10638425</v>
      </c>
      <c r="DC1819" s="4" t="s">
        <v>287</v>
      </c>
      <c r="DD1819" s="4" t="s">
        <v>241</v>
      </c>
      <c r="DF1819" s="4" t="s">
        <v>287</v>
      </c>
      <c r="DG1819" s="6">
        <f>0</f>
        <v>0</v>
      </c>
      <c r="DI1819" s="4" t="s">
        <v>241</v>
      </c>
      <c r="DJ1819" s="4" t="s">
        <v>241</v>
      </c>
      <c r="DK1819" s="4" t="s">
        <v>241</v>
      </c>
      <c r="DL1819" s="4" t="s">
        <v>241</v>
      </c>
      <c r="DP1819" s="4" t="s">
        <v>241</v>
      </c>
      <c r="DQ1819" s="4" t="s">
        <v>241</v>
      </c>
      <c r="DR1819" s="4" t="s">
        <v>241</v>
      </c>
      <c r="DS1819" s="4" t="s">
        <v>241</v>
      </c>
      <c r="DV1819" s="4" t="s">
        <v>278</v>
      </c>
      <c r="DW1819" s="4" t="s">
        <v>792</v>
      </c>
      <c r="HO1819" s="4" t="s">
        <v>267</v>
      </c>
    </row>
    <row r="1820" spans="1:223" ht="19.5" customHeight="1" x14ac:dyDescent="0.4">
      <c r="A1820" s="4">
        <v>1</v>
      </c>
      <c r="B1820" s="4" t="s">
        <v>239</v>
      </c>
      <c r="C1820" s="4">
        <v>3517</v>
      </c>
      <c r="D1820" s="4">
        <v>1</v>
      </c>
      <c r="E1820" s="4">
        <v>1</v>
      </c>
      <c r="F1820" s="4" t="s">
        <v>268</v>
      </c>
      <c r="G1820" s="4" t="s">
        <v>241</v>
      </c>
      <c r="H1820" s="4" t="s">
        <v>241</v>
      </c>
      <c r="I1820" s="4" t="s">
        <v>272</v>
      </c>
      <c r="J1820" s="4" t="s">
        <v>274</v>
      </c>
      <c r="K1820" s="4" t="s">
        <v>251</v>
      </c>
      <c r="L1820" s="4" t="s">
        <v>1281</v>
      </c>
      <c r="M1820" s="5" t="s">
        <v>1283</v>
      </c>
      <c r="N1820" s="6">
        <f>3429.41</f>
        <v>3429.41</v>
      </c>
      <c r="O1820" s="4" t="s">
        <v>265</v>
      </c>
      <c r="P1820" s="6">
        <f>3066216</f>
        <v>3066216</v>
      </c>
      <c r="Q1820" s="6">
        <f>0</f>
        <v>0</v>
      </c>
      <c r="S1820" s="6">
        <f>0</f>
        <v>0</v>
      </c>
      <c r="T1820" s="6">
        <f>3066216</f>
        <v>3066216</v>
      </c>
      <c r="U1820" s="5" t="s">
        <v>1250</v>
      </c>
      <c r="V1820" s="4" t="s">
        <v>270</v>
      </c>
      <c r="W1820" s="4" t="s">
        <v>242</v>
      </c>
      <c r="X1820" s="4" t="s">
        <v>241</v>
      </c>
      <c r="Y1820" s="4" t="s">
        <v>241</v>
      </c>
      <c r="AB1820" s="4" t="s">
        <v>241</v>
      </c>
      <c r="AD1820" s="5" t="s">
        <v>241</v>
      </c>
      <c r="AG1820" s="5" t="s">
        <v>1282</v>
      </c>
      <c r="AH1820" s="4" t="s">
        <v>241</v>
      </c>
      <c r="AI1820" s="4" t="s">
        <v>247</v>
      </c>
      <c r="AJ1820" s="4" t="s">
        <v>264</v>
      </c>
      <c r="AZ1820" s="4" t="s">
        <v>249</v>
      </c>
      <c r="BA1820" s="4" t="s">
        <v>241</v>
      </c>
      <c r="BB1820" s="4" t="s">
        <v>250</v>
      </c>
      <c r="BC1820" s="4" t="s">
        <v>241</v>
      </c>
      <c r="BD1820" s="4" t="s">
        <v>252</v>
      </c>
      <c r="BE1820" s="4" t="s">
        <v>241</v>
      </c>
      <c r="BI1820" s="4" t="s">
        <v>295</v>
      </c>
      <c r="BJ1820" s="5" t="s">
        <v>1250</v>
      </c>
      <c r="BK1820" s="4" t="s">
        <v>254</v>
      </c>
      <c r="BL1820" s="4" t="s">
        <v>285</v>
      </c>
      <c r="BM1820" s="4" t="s">
        <v>241</v>
      </c>
      <c r="BN1820" s="6">
        <f>0</f>
        <v>0</v>
      </c>
      <c r="BO1820" s="6">
        <f>0</f>
        <v>0</v>
      </c>
      <c r="BP1820" s="4" t="s">
        <v>256</v>
      </c>
      <c r="BQ1820" s="4" t="s">
        <v>257</v>
      </c>
      <c r="CE1820" s="4" t="s">
        <v>241</v>
      </c>
      <c r="CF1820" s="4" t="s">
        <v>241</v>
      </c>
      <c r="CJ1820" s="4" t="s">
        <v>286</v>
      </c>
      <c r="CK1820" s="4" t="s">
        <v>259</v>
      </c>
      <c r="CL1820" s="4" t="s">
        <v>241</v>
      </c>
      <c r="CO1820" s="5" t="s">
        <v>260</v>
      </c>
      <c r="CP1820" s="4" t="s">
        <v>241</v>
      </c>
      <c r="CQ1820" s="4" t="s">
        <v>261</v>
      </c>
      <c r="CR1820" s="4" t="s">
        <v>241</v>
      </c>
      <c r="CS1820" s="4" t="s">
        <v>241</v>
      </c>
      <c r="CT1820" s="4">
        <v>0</v>
      </c>
      <c r="CU1820" s="4" t="s">
        <v>262</v>
      </c>
      <c r="CV1820" s="4" t="s">
        <v>263</v>
      </c>
      <c r="CW1820" s="4" t="s">
        <v>263</v>
      </c>
      <c r="CX1820" s="4" t="s">
        <v>264</v>
      </c>
      <c r="DA1820" s="6">
        <f>3066216</f>
        <v>3066216</v>
      </c>
      <c r="DC1820" s="4" t="s">
        <v>287</v>
      </c>
      <c r="DD1820" s="4" t="s">
        <v>241</v>
      </c>
      <c r="DF1820" s="4" t="s">
        <v>287</v>
      </c>
      <c r="DG1820" s="6">
        <f>3429.41</f>
        <v>3429.41</v>
      </c>
      <c r="DI1820" s="4" t="s">
        <v>241</v>
      </c>
      <c r="DJ1820" s="4" t="s">
        <v>241</v>
      </c>
      <c r="DK1820" s="4" t="s">
        <v>241</v>
      </c>
      <c r="DL1820" s="4" t="s">
        <v>241</v>
      </c>
      <c r="DP1820" s="4" t="s">
        <v>241</v>
      </c>
      <c r="DQ1820" s="4" t="s">
        <v>241</v>
      </c>
      <c r="DR1820" s="4" t="s">
        <v>241</v>
      </c>
      <c r="DS1820" s="4" t="s">
        <v>241</v>
      </c>
      <c r="DV1820" s="4" t="s">
        <v>278</v>
      </c>
      <c r="DW1820" s="4" t="s">
        <v>766</v>
      </c>
      <c r="HO1820" s="4" t="s">
        <v>267</v>
      </c>
    </row>
    <row r="1821" spans="1:223" ht="19.5" customHeight="1" x14ac:dyDescent="0.4">
      <c r="A1821" s="4">
        <v>1</v>
      </c>
      <c r="B1821" s="4" t="s">
        <v>239</v>
      </c>
      <c r="C1821" s="4">
        <v>3518</v>
      </c>
      <c r="D1821" s="4">
        <v>1</v>
      </c>
      <c r="E1821" s="4">
        <v>1</v>
      </c>
      <c r="F1821" s="4" t="s">
        <v>268</v>
      </c>
      <c r="G1821" s="4" t="s">
        <v>241</v>
      </c>
      <c r="H1821" s="4" t="s">
        <v>241</v>
      </c>
      <c r="I1821" s="4" t="s">
        <v>272</v>
      </c>
      <c r="J1821" s="4" t="s">
        <v>274</v>
      </c>
      <c r="K1821" s="4" t="s">
        <v>251</v>
      </c>
      <c r="L1821" s="4" t="s">
        <v>1267</v>
      </c>
      <c r="M1821" s="5" t="s">
        <v>1270</v>
      </c>
      <c r="N1821" s="6">
        <f>0</f>
        <v>0</v>
      </c>
      <c r="O1821" s="4" t="s">
        <v>265</v>
      </c>
      <c r="P1821" s="6">
        <f>237851</f>
        <v>237851</v>
      </c>
      <c r="Q1821" s="6">
        <f>0</f>
        <v>0</v>
      </c>
      <c r="S1821" s="6">
        <f>0</f>
        <v>0</v>
      </c>
      <c r="T1821" s="6">
        <f>237851</f>
        <v>237851</v>
      </c>
      <c r="U1821" s="5" t="s">
        <v>1268</v>
      </c>
      <c r="V1821" s="4" t="s">
        <v>270</v>
      </c>
      <c r="W1821" s="4" t="s">
        <v>242</v>
      </c>
      <c r="X1821" s="4" t="s">
        <v>241</v>
      </c>
      <c r="Y1821" s="4" t="s">
        <v>241</v>
      </c>
      <c r="AB1821" s="4" t="s">
        <v>241</v>
      </c>
      <c r="AD1821" s="5" t="s">
        <v>241</v>
      </c>
      <c r="AG1821" s="5" t="s">
        <v>1269</v>
      </c>
      <c r="AH1821" s="4" t="s">
        <v>241</v>
      </c>
      <c r="AI1821" s="4" t="s">
        <v>247</v>
      </c>
      <c r="AJ1821" s="4" t="s">
        <v>264</v>
      </c>
      <c r="AZ1821" s="4" t="s">
        <v>249</v>
      </c>
      <c r="BA1821" s="4" t="s">
        <v>241</v>
      </c>
      <c r="BB1821" s="4" t="s">
        <v>250</v>
      </c>
      <c r="BC1821" s="4" t="s">
        <v>241</v>
      </c>
      <c r="BD1821" s="4" t="s">
        <v>252</v>
      </c>
      <c r="BE1821" s="4" t="s">
        <v>241</v>
      </c>
      <c r="BI1821" s="4" t="s">
        <v>295</v>
      </c>
      <c r="BJ1821" s="5" t="s">
        <v>1268</v>
      </c>
      <c r="BK1821" s="4" t="s">
        <v>254</v>
      </c>
      <c r="BL1821" s="4" t="s">
        <v>285</v>
      </c>
      <c r="BM1821" s="4" t="s">
        <v>241</v>
      </c>
      <c r="BN1821" s="6">
        <f>0</f>
        <v>0</v>
      </c>
      <c r="BO1821" s="6">
        <f>0</f>
        <v>0</v>
      </c>
      <c r="BP1821" s="4" t="s">
        <v>256</v>
      </c>
      <c r="BQ1821" s="4" t="s">
        <v>257</v>
      </c>
      <c r="CE1821" s="4" t="s">
        <v>241</v>
      </c>
      <c r="CF1821" s="4" t="s">
        <v>241</v>
      </c>
      <c r="CJ1821" s="4" t="s">
        <v>286</v>
      </c>
      <c r="CK1821" s="4" t="s">
        <v>259</v>
      </c>
      <c r="CL1821" s="4" t="s">
        <v>241</v>
      </c>
      <c r="CO1821" s="5" t="s">
        <v>260</v>
      </c>
      <c r="CP1821" s="4" t="s">
        <v>241</v>
      </c>
      <c r="CQ1821" s="4" t="s">
        <v>261</v>
      </c>
      <c r="CR1821" s="4" t="s">
        <v>241</v>
      </c>
      <c r="CS1821" s="4" t="s">
        <v>241</v>
      </c>
      <c r="CT1821" s="4">
        <v>0</v>
      </c>
      <c r="CU1821" s="4" t="s">
        <v>262</v>
      </c>
      <c r="CV1821" s="4" t="s">
        <v>263</v>
      </c>
      <c r="CW1821" s="4" t="s">
        <v>263</v>
      </c>
      <c r="CX1821" s="4" t="s">
        <v>264</v>
      </c>
      <c r="DA1821" s="6">
        <f>237851</f>
        <v>237851</v>
      </c>
      <c r="DC1821" s="4" t="s">
        <v>287</v>
      </c>
      <c r="DD1821" s="4" t="s">
        <v>241</v>
      </c>
      <c r="DF1821" s="4" t="s">
        <v>287</v>
      </c>
      <c r="DG1821" s="6">
        <f>0</f>
        <v>0</v>
      </c>
      <c r="DI1821" s="4" t="s">
        <v>241</v>
      </c>
      <c r="DJ1821" s="4" t="s">
        <v>241</v>
      </c>
      <c r="DK1821" s="4" t="s">
        <v>241</v>
      </c>
      <c r="DL1821" s="4" t="s">
        <v>241</v>
      </c>
      <c r="DP1821" s="4" t="s">
        <v>241</v>
      </c>
      <c r="DQ1821" s="4" t="s">
        <v>241</v>
      </c>
      <c r="DR1821" s="4" t="s">
        <v>241</v>
      </c>
      <c r="DS1821" s="4" t="s">
        <v>241</v>
      </c>
      <c r="DV1821" s="4" t="s">
        <v>278</v>
      </c>
      <c r="DW1821" s="4" t="s">
        <v>733</v>
      </c>
      <c r="HO1821" s="4" t="s">
        <v>267</v>
      </c>
    </row>
    <row r="1822" spans="1:223" ht="19.5" customHeight="1" x14ac:dyDescent="0.4">
      <c r="A1822" s="4">
        <v>1</v>
      </c>
      <c r="B1822" s="4" t="s">
        <v>239</v>
      </c>
      <c r="C1822" s="4">
        <v>3519</v>
      </c>
      <c r="D1822" s="4">
        <v>1</v>
      </c>
      <c r="E1822" s="4">
        <v>1</v>
      </c>
      <c r="F1822" s="4" t="s">
        <v>268</v>
      </c>
      <c r="G1822" s="4" t="s">
        <v>241</v>
      </c>
      <c r="H1822" s="4" t="s">
        <v>241</v>
      </c>
      <c r="I1822" s="4" t="s">
        <v>272</v>
      </c>
      <c r="J1822" s="4" t="s">
        <v>274</v>
      </c>
      <c r="K1822" s="4" t="s">
        <v>251</v>
      </c>
      <c r="L1822" s="4" t="s">
        <v>1419</v>
      </c>
      <c r="M1822" s="5" t="s">
        <v>983</v>
      </c>
      <c r="N1822" s="6">
        <f>0</f>
        <v>0</v>
      </c>
      <c r="O1822" s="4" t="s">
        <v>265</v>
      </c>
      <c r="P1822" s="6">
        <f>61251983</f>
        <v>61251983</v>
      </c>
      <c r="Q1822" s="6">
        <f>0</f>
        <v>0</v>
      </c>
      <c r="S1822" s="6">
        <f>0</f>
        <v>0</v>
      </c>
      <c r="T1822" s="6">
        <f>61251983</f>
        <v>61251983</v>
      </c>
      <c r="U1822" s="5" t="s">
        <v>400</v>
      </c>
      <c r="V1822" s="4" t="s">
        <v>270</v>
      </c>
      <c r="W1822" s="4" t="s">
        <v>242</v>
      </c>
      <c r="X1822" s="4" t="s">
        <v>241</v>
      </c>
      <c r="Y1822" s="4" t="s">
        <v>241</v>
      </c>
      <c r="AB1822" s="4" t="s">
        <v>241</v>
      </c>
      <c r="AD1822" s="5" t="s">
        <v>241</v>
      </c>
      <c r="AG1822" s="5" t="s">
        <v>1007</v>
      </c>
      <c r="AH1822" s="4" t="s">
        <v>241</v>
      </c>
      <c r="AI1822" s="4" t="s">
        <v>247</v>
      </c>
      <c r="AJ1822" s="4" t="s">
        <v>264</v>
      </c>
      <c r="AZ1822" s="4" t="s">
        <v>249</v>
      </c>
      <c r="BA1822" s="4" t="s">
        <v>241</v>
      </c>
      <c r="BB1822" s="4" t="s">
        <v>250</v>
      </c>
      <c r="BC1822" s="4" t="s">
        <v>241</v>
      </c>
      <c r="BD1822" s="4" t="s">
        <v>252</v>
      </c>
      <c r="BE1822" s="4" t="s">
        <v>241</v>
      </c>
      <c r="BI1822" s="4" t="s">
        <v>295</v>
      </c>
      <c r="BJ1822" s="5" t="s">
        <v>400</v>
      </c>
      <c r="BK1822" s="4" t="s">
        <v>254</v>
      </c>
      <c r="BL1822" s="4" t="s">
        <v>285</v>
      </c>
      <c r="BM1822" s="4" t="s">
        <v>241</v>
      </c>
      <c r="BN1822" s="6">
        <f>0</f>
        <v>0</v>
      </c>
      <c r="BO1822" s="6">
        <f>0</f>
        <v>0</v>
      </c>
      <c r="BP1822" s="4" t="s">
        <v>256</v>
      </c>
      <c r="BQ1822" s="4" t="s">
        <v>257</v>
      </c>
      <c r="CE1822" s="4" t="s">
        <v>241</v>
      </c>
      <c r="CF1822" s="4" t="s">
        <v>241</v>
      </c>
      <c r="CJ1822" s="4" t="s">
        <v>286</v>
      </c>
      <c r="CK1822" s="4" t="s">
        <v>259</v>
      </c>
      <c r="CL1822" s="4" t="s">
        <v>241</v>
      </c>
      <c r="CO1822" s="5" t="s">
        <v>260</v>
      </c>
      <c r="CP1822" s="4" t="s">
        <v>241</v>
      </c>
      <c r="CQ1822" s="4" t="s">
        <v>261</v>
      </c>
      <c r="CR1822" s="4" t="s">
        <v>241</v>
      </c>
      <c r="CS1822" s="4" t="s">
        <v>241</v>
      </c>
      <c r="CT1822" s="4">
        <v>0</v>
      </c>
      <c r="CU1822" s="4" t="s">
        <v>262</v>
      </c>
      <c r="CV1822" s="4" t="s">
        <v>263</v>
      </c>
      <c r="CW1822" s="4" t="s">
        <v>263</v>
      </c>
      <c r="CX1822" s="4" t="s">
        <v>264</v>
      </c>
      <c r="DA1822" s="6">
        <f>61251983</f>
        <v>61251983</v>
      </c>
      <c r="DC1822" s="4" t="s">
        <v>287</v>
      </c>
      <c r="DD1822" s="4" t="s">
        <v>241</v>
      </c>
      <c r="DF1822" s="4" t="s">
        <v>287</v>
      </c>
      <c r="DG1822" s="6">
        <f>0</f>
        <v>0</v>
      </c>
      <c r="DI1822" s="4" t="s">
        <v>241</v>
      </c>
      <c r="DJ1822" s="4" t="s">
        <v>241</v>
      </c>
      <c r="DK1822" s="4" t="s">
        <v>241</v>
      </c>
      <c r="DL1822" s="4" t="s">
        <v>241</v>
      </c>
      <c r="DP1822" s="4" t="s">
        <v>241</v>
      </c>
      <c r="DQ1822" s="4" t="s">
        <v>241</v>
      </c>
      <c r="DR1822" s="4" t="s">
        <v>241</v>
      </c>
      <c r="DS1822" s="4" t="s">
        <v>241</v>
      </c>
      <c r="DV1822" s="4" t="s">
        <v>278</v>
      </c>
      <c r="DW1822" s="4" t="s">
        <v>689</v>
      </c>
      <c r="HO1822" s="4" t="s">
        <v>267</v>
      </c>
    </row>
    <row r="1823" spans="1:223" ht="19.5" customHeight="1" x14ac:dyDescent="0.4">
      <c r="A1823" s="4">
        <v>1</v>
      </c>
      <c r="B1823" s="4" t="s">
        <v>239</v>
      </c>
      <c r="C1823" s="4">
        <v>3520</v>
      </c>
      <c r="D1823" s="4">
        <v>1</v>
      </c>
      <c r="E1823" s="4">
        <v>1</v>
      </c>
      <c r="F1823" s="4" t="s">
        <v>268</v>
      </c>
      <c r="G1823" s="4" t="s">
        <v>241</v>
      </c>
      <c r="H1823" s="4" t="s">
        <v>241</v>
      </c>
      <c r="I1823" s="4" t="s">
        <v>272</v>
      </c>
      <c r="J1823" s="4" t="s">
        <v>274</v>
      </c>
      <c r="K1823" s="4" t="s">
        <v>251</v>
      </c>
      <c r="L1823" s="4" t="s">
        <v>980</v>
      </c>
      <c r="M1823" s="5" t="s">
        <v>983</v>
      </c>
      <c r="N1823" s="6">
        <f>1154.23</f>
        <v>1154.23</v>
      </c>
      <c r="O1823" s="4" t="s">
        <v>265</v>
      </c>
      <c r="P1823" s="6">
        <f>1719192</f>
        <v>1719192</v>
      </c>
      <c r="Q1823" s="6">
        <f>0</f>
        <v>0</v>
      </c>
      <c r="S1823" s="6">
        <f>0</f>
        <v>0</v>
      </c>
      <c r="T1823" s="6">
        <f>1719192</f>
        <v>1719192</v>
      </c>
      <c r="U1823" s="5" t="s">
        <v>981</v>
      </c>
      <c r="V1823" s="4" t="s">
        <v>270</v>
      </c>
      <c r="W1823" s="4" t="s">
        <v>242</v>
      </c>
      <c r="X1823" s="4" t="s">
        <v>241</v>
      </c>
      <c r="Y1823" s="4" t="s">
        <v>241</v>
      </c>
      <c r="AB1823" s="4" t="s">
        <v>241</v>
      </c>
      <c r="AD1823" s="5" t="s">
        <v>241</v>
      </c>
      <c r="AG1823" s="5" t="s">
        <v>982</v>
      </c>
      <c r="AH1823" s="4" t="s">
        <v>241</v>
      </c>
      <c r="AI1823" s="4" t="s">
        <v>247</v>
      </c>
      <c r="AJ1823" s="4" t="s">
        <v>264</v>
      </c>
      <c r="AZ1823" s="4" t="s">
        <v>249</v>
      </c>
      <c r="BA1823" s="4" t="s">
        <v>241</v>
      </c>
      <c r="BB1823" s="4" t="s">
        <v>250</v>
      </c>
      <c r="BC1823" s="4" t="s">
        <v>241</v>
      </c>
      <c r="BD1823" s="4" t="s">
        <v>252</v>
      </c>
      <c r="BE1823" s="4" t="s">
        <v>241</v>
      </c>
      <c r="BI1823" s="4" t="s">
        <v>295</v>
      </c>
      <c r="BJ1823" s="5" t="s">
        <v>981</v>
      </c>
      <c r="BK1823" s="4" t="s">
        <v>254</v>
      </c>
      <c r="BL1823" s="4" t="s">
        <v>285</v>
      </c>
      <c r="BM1823" s="4" t="s">
        <v>241</v>
      </c>
      <c r="BN1823" s="6">
        <f>0</f>
        <v>0</v>
      </c>
      <c r="BO1823" s="6">
        <f>0</f>
        <v>0</v>
      </c>
      <c r="BP1823" s="4" t="s">
        <v>256</v>
      </c>
      <c r="BQ1823" s="4" t="s">
        <v>257</v>
      </c>
      <c r="CE1823" s="4" t="s">
        <v>241</v>
      </c>
      <c r="CF1823" s="4" t="s">
        <v>241</v>
      </c>
      <c r="CJ1823" s="4" t="s">
        <v>286</v>
      </c>
      <c r="CK1823" s="4" t="s">
        <v>259</v>
      </c>
      <c r="CL1823" s="4" t="s">
        <v>241</v>
      </c>
      <c r="CO1823" s="5" t="s">
        <v>260</v>
      </c>
      <c r="CP1823" s="4" t="s">
        <v>241</v>
      </c>
      <c r="CQ1823" s="4" t="s">
        <v>261</v>
      </c>
      <c r="CR1823" s="4" t="s">
        <v>241</v>
      </c>
      <c r="CS1823" s="4" t="s">
        <v>241</v>
      </c>
      <c r="CT1823" s="4">
        <v>0</v>
      </c>
      <c r="CU1823" s="4" t="s">
        <v>262</v>
      </c>
      <c r="CV1823" s="4" t="s">
        <v>263</v>
      </c>
      <c r="CW1823" s="4" t="s">
        <v>263</v>
      </c>
      <c r="CX1823" s="4" t="s">
        <v>264</v>
      </c>
      <c r="DA1823" s="6">
        <f>1719192</f>
        <v>1719192</v>
      </c>
      <c r="DC1823" s="4" t="s">
        <v>287</v>
      </c>
      <c r="DD1823" s="4" t="s">
        <v>241</v>
      </c>
      <c r="DF1823" s="4" t="s">
        <v>287</v>
      </c>
      <c r="DG1823" s="6">
        <f>1154.23</f>
        <v>1154.23</v>
      </c>
      <c r="DI1823" s="4" t="s">
        <v>241</v>
      </c>
      <c r="DJ1823" s="4" t="s">
        <v>241</v>
      </c>
      <c r="DK1823" s="4" t="s">
        <v>241</v>
      </c>
      <c r="DL1823" s="4" t="s">
        <v>241</v>
      </c>
      <c r="DP1823" s="4" t="s">
        <v>241</v>
      </c>
      <c r="DQ1823" s="4" t="s">
        <v>241</v>
      </c>
      <c r="DR1823" s="4" t="s">
        <v>241</v>
      </c>
      <c r="DS1823" s="4" t="s">
        <v>241</v>
      </c>
      <c r="DV1823" s="4" t="s">
        <v>278</v>
      </c>
      <c r="DW1823" s="4" t="s">
        <v>984</v>
      </c>
      <c r="HO1823" s="4" t="s">
        <v>267</v>
      </c>
    </row>
    <row r="1824" spans="1:223" ht="19.5" customHeight="1" x14ac:dyDescent="0.4">
      <c r="A1824" s="4">
        <v>1</v>
      </c>
      <c r="B1824" s="4" t="s">
        <v>239</v>
      </c>
      <c r="C1824" s="4">
        <v>3521</v>
      </c>
      <c r="D1824" s="4">
        <v>1</v>
      </c>
      <c r="E1824" s="4">
        <v>1</v>
      </c>
      <c r="F1824" s="4" t="s">
        <v>268</v>
      </c>
      <c r="G1824" s="4" t="s">
        <v>241</v>
      </c>
      <c r="H1824" s="4" t="s">
        <v>241</v>
      </c>
      <c r="I1824" s="4" t="s">
        <v>272</v>
      </c>
      <c r="J1824" s="4" t="s">
        <v>274</v>
      </c>
      <c r="K1824" s="4" t="s">
        <v>251</v>
      </c>
      <c r="L1824" s="4" t="s">
        <v>1403</v>
      </c>
      <c r="M1824" s="5" t="s">
        <v>1405</v>
      </c>
      <c r="N1824" s="6">
        <f>0</f>
        <v>0</v>
      </c>
      <c r="O1824" s="4" t="s">
        <v>265</v>
      </c>
      <c r="P1824" s="6">
        <f>19354681</f>
        <v>19354681</v>
      </c>
      <c r="Q1824" s="6">
        <f>0</f>
        <v>0</v>
      </c>
      <c r="S1824" s="6">
        <f>0</f>
        <v>0</v>
      </c>
      <c r="T1824" s="6">
        <f>19354681</f>
        <v>19354681</v>
      </c>
      <c r="U1824" s="5" t="s">
        <v>1045</v>
      </c>
      <c r="V1824" s="4" t="s">
        <v>270</v>
      </c>
      <c r="W1824" s="4" t="s">
        <v>242</v>
      </c>
      <c r="X1824" s="4" t="s">
        <v>241</v>
      </c>
      <c r="Y1824" s="4" t="s">
        <v>241</v>
      </c>
      <c r="AB1824" s="4" t="s">
        <v>241</v>
      </c>
      <c r="AD1824" s="5" t="s">
        <v>241</v>
      </c>
      <c r="AG1824" s="5" t="s">
        <v>1404</v>
      </c>
      <c r="AH1824" s="4" t="s">
        <v>241</v>
      </c>
      <c r="AI1824" s="4" t="s">
        <v>247</v>
      </c>
      <c r="AJ1824" s="4" t="s">
        <v>264</v>
      </c>
      <c r="AZ1824" s="4" t="s">
        <v>249</v>
      </c>
      <c r="BA1824" s="4" t="s">
        <v>241</v>
      </c>
      <c r="BB1824" s="4" t="s">
        <v>250</v>
      </c>
      <c r="BC1824" s="4" t="s">
        <v>241</v>
      </c>
      <c r="BD1824" s="4" t="s">
        <v>252</v>
      </c>
      <c r="BE1824" s="4" t="s">
        <v>241</v>
      </c>
      <c r="BI1824" s="4" t="s">
        <v>295</v>
      </c>
      <c r="BJ1824" s="5" t="s">
        <v>1045</v>
      </c>
      <c r="BK1824" s="4" t="s">
        <v>254</v>
      </c>
      <c r="BL1824" s="4" t="s">
        <v>285</v>
      </c>
      <c r="BM1824" s="4" t="s">
        <v>241</v>
      </c>
      <c r="BN1824" s="6">
        <f>0</f>
        <v>0</v>
      </c>
      <c r="BO1824" s="6">
        <f>0</f>
        <v>0</v>
      </c>
      <c r="BP1824" s="4" t="s">
        <v>256</v>
      </c>
      <c r="BQ1824" s="4" t="s">
        <v>257</v>
      </c>
      <c r="CE1824" s="4" t="s">
        <v>241</v>
      </c>
      <c r="CF1824" s="4" t="s">
        <v>241</v>
      </c>
      <c r="CJ1824" s="4" t="s">
        <v>286</v>
      </c>
      <c r="CK1824" s="4" t="s">
        <v>259</v>
      </c>
      <c r="CL1824" s="4" t="s">
        <v>241</v>
      </c>
      <c r="CO1824" s="5" t="s">
        <v>260</v>
      </c>
      <c r="CP1824" s="4" t="s">
        <v>241</v>
      </c>
      <c r="CQ1824" s="4" t="s">
        <v>261</v>
      </c>
      <c r="CR1824" s="4" t="s">
        <v>241</v>
      </c>
      <c r="CS1824" s="4" t="s">
        <v>241</v>
      </c>
      <c r="CT1824" s="4">
        <v>0</v>
      </c>
      <c r="CU1824" s="4" t="s">
        <v>262</v>
      </c>
      <c r="CV1824" s="4" t="s">
        <v>263</v>
      </c>
      <c r="CW1824" s="4" t="s">
        <v>263</v>
      </c>
      <c r="CX1824" s="4" t="s">
        <v>264</v>
      </c>
      <c r="DA1824" s="6">
        <f>19354681</f>
        <v>19354681</v>
      </c>
      <c r="DC1824" s="4" t="s">
        <v>287</v>
      </c>
      <c r="DD1824" s="4" t="s">
        <v>241</v>
      </c>
      <c r="DF1824" s="4" t="s">
        <v>287</v>
      </c>
      <c r="DG1824" s="6">
        <f>0</f>
        <v>0</v>
      </c>
      <c r="DI1824" s="4" t="s">
        <v>241</v>
      </c>
      <c r="DJ1824" s="4" t="s">
        <v>241</v>
      </c>
      <c r="DK1824" s="4" t="s">
        <v>241</v>
      </c>
      <c r="DL1824" s="4" t="s">
        <v>241</v>
      </c>
      <c r="DP1824" s="4" t="s">
        <v>241</v>
      </c>
      <c r="DQ1824" s="4" t="s">
        <v>241</v>
      </c>
      <c r="DR1824" s="4" t="s">
        <v>241</v>
      </c>
      <c r="DS1824" s="4" t="s">
        <v>241</v>
      </c>
      <c r="DV1824" s="4" t="s">
        <v>278</v>
      </c>
      <c r="DW1824" s="4" t="s">
        <v>1406</v>
      </c>
      <c r="HO1824" s="4" t="s">
        <v>267</v>
      </c>
    </row>
    <row r="1825" spans="1:223" ht="19.5" customHeight="1" x14ac:dyDescent="0.4">
      <c r="A1825" s="4">
        <v>1</v>
      </c>
      <c r="B1825" s="4" t="s">
        <v>239</v>
      </c>
      <c r="C1825" s="4">
        <v>3522</v>
      </c>
      <c r="D1825" s="4">
        <v>1</v>
      </c>
      <c r="E1825" s="4">
        <v>1</v>
      </c>
      <c r="F1825" s="4" t="s">
        <v>268</v>
      </c>
      <c r="G1825" s="4" t="s">
        <v>241</v>
      </c>
      <c r="H1825" s="4" t="s">
        <v>241</v>
      </c>
      <c r="I1825" s="4" t="s">
        <v>272</v>
      </c>
      <c r="J1825" s="4" t="s">
        <v>274</v>
      </c>
      <c r="K1825" s="4" t="s">
        <v>251</v>
      </c>
      <c r="L1825" s="4" t="s">
        <v>4342</v>
      </c>
      <c r="M1825" s="5" t="s">
        <v>1405</v>
      </c>
      <c r="N1825" s="6">
        <f>1040.9</f>
        <v>1040.9000000000001</v>
      </c>
      <c r="O1825" s="4" t="s">
        <v>265</v>
      </c>
      <c r="P1825" s="6">
        <f>2597302</f>
        <v>2597302</v>
      </c>
      <c r="Q1825" s="6">
        <f>0</f>
        <v>0</v>
      </c>
      <c r="S1825" s="6">
        <f>0</f>
        <v>0</v>
      </c>
      <c r="T1825" s="6">
        <f>2597302</f>
        <v>2597302</v>
      </c>
      <c r="U1825" s="5" t="s">
        <v>1236</v>
      </c>
      <c r="V1825" s="4" t="s">
        <v>270</v>
      </c>
      <c r="W1825" s="4" t="s">
        <v>242</v>
      </c>
      <c r="X1825" s="4" t="s">
        <v>241</v>
      </c>
      <c r="Y1825" s="4" t="s">
        <v>241</v>
      </c>
      <c r="AB1825" s="4" t="s">
        <v>241</v>
      </c>
      <c r="AD1825" s="5" t="s">
        <v>241</v>
      </c>
      <c r="AG1825" s="5" t="s">
        <v>1404</v>
      </c>
      <c r="AH1825" s="4" t="s">
        <v>241</v>
      </c>
      <c r="AI1825" s="4" t="s">
        <v>247</v>
      </c>
      <c r="AJ1825" s="4" t="s">
        <v>264</v>
      </c>
      <c r="AZ1825" s="4" t="s">
        <v>249</v>
      </c>
      <c r="BA1825" s="4" t="s">
        <v>241</v>
      </c>
      <c r="BB1825" s="4" t="s">
        <v>250</v>
      </c>
      <c r="BC1825" s="4" t="s">
        <v>241</v>
      </c>
      <c r="BD1825" s="4" t="s">
        <v>252</v>
      </c>
      <c r="BE1825" s="4" t="s">
        <v>241</v>
      </c>
      <c r="BI1825" s="4" t="s">
        <v>284</v>
      </c>
      <c r="BJ1825" s="5" t="s">
        <v>1236</v>
      </c>
      <c r="BK1825" s="4" t="s">
        <v>254</v>
      </c>
      <c r="BL1825" s="4" t="s">
        <v>285</v>
      </c>
      <c r="BM1825" s="4" t="s">
        <v>241</v>
      </c>
      <c r="BN1825" s="6">
        <f>0</f>
        <v>0</v>
      </c>
      <c r="BO1825" s="6">
        <f>0</f>
        <v>0</v>
      </c>
      <c r="BP1825" s="4" t="s">
        <v>256</v>
      </c>
      <c r="BQ1825" s="4" t="s">
        <v>257</v>
      </c>
      <c r="CE1825" s="4" t="s">
        <v>241</v>
      </c>
      <c r="CF1825" s="4" t="s">
        <v>241</v>
      </c>
      <c r="CJ1825" s="4" t="s">
        <v>286</v>
      </c>
      <c r="CK1825" s="4" t="s">
        <v>259</v>
      </c>
      <c r="CL1825" s="4" t="s">
        <v>241</v>
      </c>
      <c r="CO1825" s="5" t="s">
        <v>260</v>
      </c>
      <c r="CP1825" s="4" t="s">
        <v>241</v>
      </c>
      <c r="CQ1825" s="4" t="s">
        <v>261</v>
      </c>
      <c r="CR1825" s="4" t="s">
        <v>241</v>
      </c>
      <c r="CS1825" s="4" t="s">
        <v>241</v>
      </c>
      <c r="CT1825" s="4">
        <v>0</v>
      </c>
      <c r="CU1825" s="4" t="s">
        <v>262</v>
      </c>
      <c r="CV1825" s="4" t="s">
        <v>263</v>
      </c>
      <c r="CW1825" s="4" t="s">
        <v>263</v>
      </c>
      <c r="CX1825" s="4" t="s">
        <v>264</v>
      </c>
      <c r="DA1825" s="6">
        <f>2597302</f>
        <v>2597302</v>
      </c>
      <c r="DC1825" s="4" t="s">
        <v>287</v>
      </c>
      <c r="DD1825" s="4" t="s">
        <v>241</v>
      </c>
      <c r="DF1825" s="4" t="s">
        <v>287</v>
      </c>
      <c r="DG1825" s="6">
        <f>1040.9</f>
        <v>1040.9000000000001</v>
      </c>
      <c r="DI1825" s="4" t="s">
        <v>241</v>
      </c>
      <c r="DJ1825" s="4" t="s">
        <v>241</v>
      </c>
      <c r="DK1825" s="4" t="s">
        <v>241</v>
      </c>
      <c r="DL1825" s="4" t="s">
        <v>241</v>
      </c>
      <c r="DP1825" s="4" t="s">
        <v>241</v>
      </c>
      <c r="DQ1825" s="4" t="s">
        <v>241</v>
      </c>
      <c r="DR1825" s="4" t="s">
        <v>241</v>
      </c>
      <c r="DS1825" s="4" t="s">
        <v>241</v>
      </c>
      <c r="DV1825" s="4" t="s">
        <v>278</v>
      </c>
      <c r="DW1825" s="4" t="s">
        <v>3600</v>
      </c>
      <c r="HO1825" s="4" t="s">
        <v>267</v>
      </c>
    </row>
    <row r="1826" spans="1:223" ht="19.5" customHeight="1" x14ac:dyDescent="0.4">
      <c r="A1826" s="4">
        <v>1</v>
      </c>
      <c r="B1826" s="4" t="s">
        <v>239</v>
      </c>
      <c r="C1826" s="4">
        <v>3523</v>
      </c>
      <c r="D1826" s="4">
        <v>1</v>
      </c>
      <c r="E1826" s="4">
        <v>1</v>
      </c>
      <c r="F1826" s="4" t="s">
        <v>268</v>
      </c>
      <c r="G1826" s="4" t="s">
        <v>241</v>
      </c>
      <c r="H1826" s="4" t="s">
        <v>241</v>
      </c>
      <c r="I1826" s="4" t="s">
        <v>272</v>
      </c>
      <c r="J1826" s="4" t="s">
        <v>274</v>
      </c>
      <c r="K1826" s="4" t="s">
        <v>251</v>
      </c>
      <c r="L1826" s="4" t="s">
        <v>992</v>
      </c>
      <c r="M1826" s="5" t="s">
        <v>995</v>
      </c>
      <c r="N1826" s="6">
        <f>0</f>
        <v>0</v>
      </c>
      <c r="O1826" s="4" t="s">
        <v>265</v>
      </c>
      <c r="P1826" s="6">
        <f>1552440</f>
        <v>1552440</v>
      </c>
      <c r="Q1826" s="6">
        <f>0</f>
        <v>0</v>
      </c>
      <c r="S1826" s="6">
        <f>0</f>
        <v>0</v>
      </c>
      <c r="T1826" s="6">
        <f>1552440</f>
        <v>1552440</v>
      </c>
      <c r="U1826" s="5" t="s">
        <v>993</v>
      </c>
      <c r="V1826" s="4" t="s">
        <v>270</v>
      </c>
      <c r="W1826" s="4" t="s">
        <v>242</v>
      </c>
      <c r="X1826" s="4" t="s">
        <v>241</v>
      </c>
      <c r="Y1826" s="4" t="s">
        <v>241</v>
      </c>
      <c r="AB1826" s="4" t="s">
        <v>241</v>
      </c>
      <c r="AD1826" s="5" t="s">
        <v>241</v>
      </c>
      <c r="AG1826" s="5" t="s">
        <v>994</v>
      </c>
      <c r="AH1826" s="4" t="s">
        <v>241</v>
      </c>
      <c r="AI1826" s="4" t="s">
        <v>247</v>
      </c>
      <c r="AJ1826" s="4" t="s">
        <v>264</v>
      </c>
      <c r="AZ1826" s="4" t="s">
        <v>249</v>
      </c>
      <c r="BA1826" s="4" t="s">
        <v>241</v>
      </c>
      <c r="BB1826" s="4" t="s">
        <v>250</v>
      </c>
      <c r="BC1826" s="4" t="s">
        <v>241</v>
      </c>
      <c r="BD1826" s="4" t="s">
        <v>252</v>
      </c>
      <c r="BE1826" s="4" t="s">
        <v>241</v>
      </c>
      <c r="BI1826" s="4" t="s">
        <v>295</v>
      </c>
      <c r="BJ1826" s="5" t="s">
        <v>993</v>
      </c>
      <c r="BK1826" s="4" t="s">
        <v>254</v>
      </c>
      <c r="BL1826" s="4" t="s">
        <v>285</v>
      </c>
      <c r="BM1826" s="4" t="s">
        <v>241</v>
      </c>
      <c r="BN1826" s="6">
        <f>0</f>
        <v>0</v>
      </c>
      <c r="BO1826" s="6">
        <f>0</f>
        <v>0</v>
      </c>
      <c r="BP1826" s="4" t="s">
        <v>256</v>
      </c>
      <c r="BQ1826" s="4" t="s">
        <v>257</v>
      </c>
      <c r="CE1826" s="4" t="s">
        <v>241</v>
      </c>
      <c r="CF1826" s="4" t="s">
        <v>241</v>
      </c>
      <c r="CJ1826" s="4" t="s">
        <v>286</v>
      </c>
      <c r="CK1826" s="4" t="s">
        <v>259</v>
      </c>
      <c r="CL1826" s="4" t="s">
        <v>241</v>
      </c>
      <c r="CO1826" s="5" t="s">
        <v>260</v>
      </c>
      <c r="CP1826" s="4" t="s">
        <v>241</v>
      </c>
      <c r="CQ1826" s="4" t="s">
        <v>261</v>
      </c>
      <c r="CR1826" s="4" t="s">
        <v>241</v>
      </c>
      <c r="CS1826" s="4" t="s">
        <v>241</v>
      </c>
      <c r="CT1826" s="4">
        <v>0</v>
      </c>
      <c r="CU1826" s="4" t="s">
        <v>262</v>
      </c>
      <c r="CV1826" s="4" t="s">
        <v>263</v>
      </c>
      <c r="CW1826" s="4" t="s">
        <v>263</v>
      </c>
      <c r="CX1826" s="4" t="s">
        <v>264</v>
      </c>
      <c r="DA1826" s="6">
        <f>1552440</f>
        <v>1552440</v>
      </c>
      <c r="DC1826" s="4" t="s">
        <v>287</v>
      </c>
      <c r="DD1826" s="4" t="s">
        <v>241</v>
      </c>
      <c r="DF1826" s="4" t="s">
        <v>287</v>
      </c>
      <c r="DG1826" s="6">
        <f>0</f>
        <v>0</v>
      </c>
      <c r="DI1826" s="4" t="s">
        <v>241</v>
      </c>
      <c r="DJ1826" s="4" t="s">
        <v>241</v>
      </c>
      <c r="DK1826" s="4" t="s">
        <v>241</v>
      </c>
      <c r="DL1826" s="4" t="s">
        <v>241</v>
      </c>
      <c r="DP1826" s="4" t="s">
        <v>241</v>
      </c>
      <c r="DQ1826" s="4" t="s">
        <v>241</v>
      </c>
      <c r="DR1826" s="4" t="s">
        <v>241</v>
      </c>
      <c r="DS1826" s="4" t="s">
        <v>241</v>
      </c>
      <c r="DV1826" s="4" t="s">
        <v>278</v>
      </c>
      <c r="DW1826" s="4" t="s">
        <v>648</v>
      </c>
      <c r="HO1826" s="4" t="s">
        <v>267</v>
      </c>
    </row>
    <row r="1827" spans="1:223" ht="19.5" customHeight="1" x14ac:dyDescent="0.4">
      <c r="A1827" s="4">
        <v>1</v>
      </c>
      <c r="B1827" s="4" t="s">
        <v>239</v>
      </c>
      <c r="C1827" s="4">
        <v>3524</v>
      </c>
      <c r="D1827" s="4">
        <v>1</v>
      </c>
      <c r="E1827" s="4">
        <v>1</v>
      </c>
      <c r="F1827" s="4" t="s">
        <v>268</v>
      </c>
      <c r="G1827" s="4" t="s">
        <v>241</v>
      </c>
      <c r="H1827" s="4" t="s">
        <v>241</v>
      </c>
      <c r="I1827" s="4" t="s">
        <v>272</v>
      </c>
      <c r="J1827" s="4" t="s">
        <v>274</v>
      </c>
      <c r="K1827" s="4" t="s">
        <v>251</v>
      </c>
      <c r="L1827" s="4" t="s">
        <v>1051</v>
      </c>
      <c r="M1827" s="5" t="s">
        <v>995</v>
      </c>
      <c r="N1827" s="6">
        <f>96.89</f>
        <v>96.89</v>
      </c>
      <c r="O1827" s="4" t="s">
        <v>265</v>
      </c>
      <c r="P1827" s="6">
        <f>315452</f>
        <v>315452</v>
      </c>
      <c r="Q1827" s="6">
        <f>0</f>
        <v>0</v>
      </c>
      <c r="S1827" s="6">
        <f>0</f>
        <v>0</v>
      </c>
      <c r="T1827" s="6">
        <f>315452</f>
        <v>315452</v>
      </c>
      <c r="U1827" s="5" t="s">
        <v>1052</v>
      </c>
      <c r="V1827" s="4" t="s">
        <v>270</v>
      </c>
      <c r="W1827" s="4" t="s">
        <v>242</v>
      </c>
      <c r="X1827" s="4" t="s">
        <v>241</v>
      </c>
      <c r="Y1827" s="4" t="s">
        <v>241</v>
      </c>
      <c r="AB1827" s="4" t="s">
        <v>241</v>
      </c>
      <c r="AD1827" s="5" t="s">
        <v>241</v>
      </c>
      <c r="AG1827" s="5" t="s">
        <v>1053</v>
      </c>
      <c r="AH1827" s="4" t="s">
        <v>241</v>
      </c>
      <c r="AI1827" s="4" t="s">
        <v>247</v>
      </c>
      <c r="AJ1827" s="4" t="s">
        <v>264</v>
      </c>
      <c r="AZ1827" s="4" t="s">
        <v>249</v>
      </c>
      <c r="BA1827" s="4" t="s">
        <v>241</v>
      </c>
      <c r="BB1827" s="4" t="s">
        <v>250</v>
      </c>
      <c r="BC1827" s="4" t="s">
        <v>241</v>
      </c>
      <c r="BD1827" s="4" t="s">
        <v>252</v>
      </c>
      <c r="BE1827" s="4" t="s">
        <v>241</v>
      </c>
      <c r="BI1827" s="4" t="s">
        <v>295</v>
      </c>
      <c r="BJ1827" s="5" t="s">
        <v>1052</v>
      </c>
      <c r="BK1827" s="4" t="s">
        <v>254</v>
      </c>
      <c r="BL1827" s="4" t="s">
        <v>285</v>
      </c>
      <c r="BM1827" s="4" t="s">
        <v>241</v>
      </c>
      <c r="BN1827" s="6">
        <f>0</f>
        <v>0</v>
      </c>
      <c r="BO1827" s="6">
        <f>0</f>
        <v>0</v>
      </c>
      <c r="BP1827" s="4" t="s">
        <v>256</v>
      </c>
      <c r="BQ1827" s="4" t="s">
        <v>257</v>
      </c>
      <c r="CE1827" s="4" t="s">
        <v>241</v>
      </c>
      <c r="CF1827" s="4" t="s">
        <v>241</v>
      </c>
      <c r="CJ1827" s="4" t="s">
        <v>286</v>
      </c>
      <c r="CK1827" s="4" t="s">
        <v>259</v>
      </c>
      <c r="CL1827" s="4" t="s">
        <v>241</v>
      </c>
      <c r="CO1827" s="5" t="s">
        <v>260</v>
      </c>
      <c r="CP1827" s="4" t="s">
        <v>241</v>
      </c>
      <c r="CQ1827" s="4" t="s">
        <v>261</v>
      </c>
      <c r="CR1827" s="4" t="s">
        <v>241</v>
      </c>
      <c r="CS1827" s="4" t="s">
        <v>241</v>
      </c>
      <c r="CT1827" s="4">
        <v>0</v>
      </c>
      <c r="CU1827" s="4" t="s">
        <v>262</v>
      </c>
      <c r="CV1827" s="4" t="s">
        <v>263</v>
      </c>
      <c r="CW1827" s="4" t="s">
        <v>263</v>
      </c>
      <c r="CX1827" s="4" t="s">
        <v>264</v>
      </c>
      <c r="DA1827" s="6">
        <f>315452</f>
        <v>315452</v>
      </c>
      <c r="DC1827" s="4" t="s">
        <v>287</v>
      </c>
      <c r="DD1827" s="4" t="s">
        <v>241</v>
      </c>
      <c r="DF1827" s="4" t="s">
        <v>287</v>
      </c>
      <c r="DG1827" s="6">
        <f>96.89</f>
        <v>96.89</v>
      </c>
      <c r="DI1827" s="4" t="s">
        <v>241</v>
      </c>
      <c r="DJ1827" s="4" t="s">
        <v>241</v>
      </c>
      <c r="DK1827" s="4" t="s">
        <v>241</v>
      </c>
      <c r="DL1827" s="4" t="s">
        <v>241</v>
      </c>
      <c r="DP1827" s="4" t="s">
        <v>241</v>
      </c>
      <c r="DQ1827" s="4" t="s">
        <v>241</v>
      </c>
      <c r="DR1827" s="4" t="s">
        <v>241</v>
      </c>
      <c r="DS1827" s="4" t="s">
        <v>241</v>
      </c>
      <c r="DV1827" s="4" t="s">
        <v>278</v>
      </c>
      <c r="DW1827" s="4" t="s">
        <v>1054</v>
      </c>
      <c r="HO1827" s="4" t="s">
        <v>267</v>
      </c>
    </row>
    <row r="1828" spans="1:223" ht="19.5" customHeight="1" x14ac:dyDescent="0.4">
      <c r="A1828" s="4">
        <v>1</v>
      </c>
      <c r="B1828" s="4" t="s">
        <v>239</v>
      </c>
      <c r="C1828" s="4">
        <v>3525</v>
      </c>
      <c r="D1828" s="4">
        <v>1</v>
      </c>
      <c r="E1828" s="4">
        <v>1</v>
      </c>
      <c r="F1828" s="4" t="s">
        <v>268</v>
      </c>
      <c r="G1828" s="4" t="s">
        <v>241</v>
      </c>
      <c r="H1828" s="4" t="s">
        <v>241</v>
      </c>
      <c r="I1828" s="4" t="s">
        <v>272</v>
      </c>
      <c r="J1828" s="4" t="s">
        <v>274</v>
      </c>
      <c r="K1828" s="4" t="s">
        <v>251</v>
      </c>
      <c r="L1828" s="4" t="s">
        <v>1168</v>
      </c>
      <c r="M1828" s="5" t="s">
        <v>1169</v>
      </c>
      <c r="N1828" s="6">
        <f>14.73</f>
        <v>14.73</v>
      </c>
      <c r="O1828" s="4" t="s">
        <v>265</v>
      </c>
      <c r="P1828" s="6">
        <f>223896</f>
        <v>223896</v>
      </c>
      <c r="Q1828" s="6">
        <f>0</f>
        <v>0</v>
      </c>
      <c r="S1828" s="6">
        <f>0</f>
        <v>0</v>
      </c>
      <c r="T1828" s="6">
        <f>223896</f>
        <v>223896</v>
      </c>
      <c r="U1828" s="5" t="s">
        <v>401</v>
      </c>
      <c r="V1828" s="4" t="s">
        <v>270</v>
      </c>
      <c r="W1828" s="4" t="s">
        <v>242</v>
      </c>
      <c r="X1828" s="4" t="s">
        <v>241</v>
      </c>
      <c r="Y1828" s="4" t="s">
        <v>241</v>
      </c>
      <c r="AB1828" s="4" t="s">
        <v>241</v>
      </c>
      <c r="AD1828" s="5" t="s">
        <v>241</v>
      </c>
      <c r="AG1828" s="5" t="s">
        <v>998</v>
      </c>
      <c r="AH1828" s="4" t="s">
        <v>241</v>
      </c>
      <c r="AI1828" s="4" t="s">
        <v>247</v>
      </c>
      <c r="AJ1828" s="4" t="s">
        <v>264</v>
      </c>
      <c r="AZ1828" s="4" t="s">
        <v>249</v>
      </c>
      <c r="BA1828" s="4" t="s">
        <v>241</v>
      </c>
      <c r="BB1828" s="4" t="s">
        <v>250</v>
      </c>
      <c r="BC1828" s="4" t="s">
        <v>241</v>
      </c>
      <c r="BD1828" s="4" t="s">
        <v>252</v>
      </c>
      <c r="BE1828" s="4" t="s">
        <v>241</v>
      </c>
      <c r="BI1828" s="4" t="s">
        <v>295</v>
      </c>
      <c r="BJ1828" s="5" t="s">
        <v>401</v>
      </c>
      <c r="BK1828" s="4" t="s">
        <v>254</v>
      </c>
      <c r="BL1828" s="4" t="s">
        <v>285</v>
      </c>
      <c r="BM1828" s="4" t="s">
        <v>241</v>
      </c>
      <c r="BN1828" s="6">
        <f>0</f>
        <v>0</v>
      </c>
      <c r="BO1828" s="6">
        <f>0</f>
        <v>0</v>
      </c>
      <c r="BP1828" s="4" t="s">
        <v>256</v>
      </c>
      <c r="BQ1828" s="4" t="s">
        <v>257</v>
      </c>
      <c r="CE1828" s="4" t="s">
        <v>241</v>
      </c>
      <c r="CF1828" s="4" t="s">
        <v>241</v>
      </c>
      <c r="CJ1828" s="4" t="s">
        <v>286</v>
      </c>
      <c r="CK1828" s="4" t="s">
        <v>259</v>
      </c>
      <c r="CL1828" s="4" t="s">
        <v>241</v>
      </c>
      <c r="CO1828" s="5" t="s">
        <v>260</v>
      </c>
      <c r="CP1828" s="4" t="s">
        <v>241</v>
      </c>
      <c r="CQ1828" s="4" t="s">
        <v>261</v>
      </c>
      <c r="CR1828" s="4" t="s">
        <v>241</v>
      </c>
      <c r="CS1828" s="4" t="s">
        <v>241</v>
      </c>
      <c r="CT1828" s="4">
        <v>0</v>
      </c>
      <c r="CU1828" s="4" t="s">
        <v>262</v>
      </c>
      <c r="CV1828" s="4" t="s">
        <v>263</v>
      </c>
      <c r="CW1828" s="4" t="s">
        <v>263</v>
      </c>
      <c r="CX1828" s="4" t="s">
        <v>264</v>
      </c>
      <c r="DA1828" s="6">
        <f>223896</f>
        <v>223896</v>
      </c>
      <c r="DC1828" s="4" t="s">
        <v>287</v>
      </c>
      <c r="DD1828" s="4" t="s">
        <v>241</v>
      </c>
      <c r="DF1828" s="4" t="s">
        <v>287</v>
      </c>
      <c r="DG1828" s="6">
        <f>14.73</f>
        <v>14.73</v>
      </c>
      <c r="DI1828" s="4" t="s">
        <v>241</v>
      </c>
      <c r="DJ1828" s="4" t="s">
        <v>241</v>
      </c>
      <c r="DK1828" s="4" t="s">
        <v>241</v>
      </c>
      <c r="DL1828" s="4" t="s">
        <v>241</v>
      </c>
      <c r="DP1828" s="4" t="s">
        <v>241</v>
      </c>
      <c r="DQ1828" s="4" t="s">
        <v>241</v>
      </c>
      <c r="DR1828" s="4" t="s">
        <v>241</v>
      </c>
      <c r="DS1828" s="4" t="s">
        <v>241</v>
      </c>
      <c r="DV1828" s="4" t="s">
        <v>278</v>
      </c>
      <c r="DW1828" s="4" t="s">
        <v>636</v>
      </c>
      <c r="HO1828" s="4" t="s">
        <v>267</v>
      </c>
    </row>
    <row r="1829" spans="1:223" ht="19.5" customHeight="1" x14ac:dyDescent="0.4">
      <c r="A1829" s="4">
        <v>1</v>
      </c>
      <c r="B1829" s="4" t="s">
        <v>239</v>
      </c>
      <c r="C1829" s="4">
        <v>3526</v>
      </c>
      <c r="D1829" s="4">
        <v>1</v>
      </c>
      <c r="E1829" s="4">
        <v>1</v>
      </c>
      <c r="F1829" s="4" t="s">
        <v>268</v>
      </c>
      <c r="G1829" s="4" t="s">
        <v>241</v>
      </c>
      <c r="H1829" s="4" t="s">
        <v>241</v>
      </c>
      <c r="I1829" s="4" t="s">
        <v>272</v>
      </c>
      <c r="J1829" s="4" t="s">
        <v>274</v>
      </c>
      <c r="K1829" s="4" t="s">
        <v>251</v>
      </c>
      <c r="L1829" s="4" t="s">
        <v>1286</v>
      </c>
      <c r="M1829" s="5" t="s">
        <v>1155</v>
      </c>
      <c r="N1829" s="6">
        <f>0</f>
        <v>0</v>
      </c>
      <c r="O1829" s="4" t="s">
        <v>265</v>
      </c>
      <c r="P1829" s="6">
        <f>511731</f>
        <v>511731</v>
      </c>
      <c r="Q1829" s="6">
        <f>0</f>
        <v>0</v>
      </c>
      <c r="S1829" s="6">
        <f>0</f>
        <v>0</v>
      </c>
      <c r="T1829" s="6">
        <f>511731</f>
        <v>511731</v>
      </c>
      <c r="U1829" s="5" t="s">
        <v>338</v>
      </c>
      <c r="V1829" s="4" t="s">
        <v>270</v>
      </c>
      <c r="W1829" s="4" t="s">
        <v>242</v>
      </c>
      <c r="X1829" s="4" t="s">
        <v>241</v>
      </c>
      <c r="Y1829" s="4" t="s">
        <v>241</v>
      </c>
      <c r="AB1829" s="4" t="s">
        <v>241</v>
      </c>
      <c r="AD1829" s="5" t="s">
        <v>241</v>
      </c>
      <c r="AG1829" s="5" t="s">
        <v>1039</v>
      </c>
      <c r="AH1829" s="4" t="s">
        <v>241</v>
      </c>
      <c r="AI1829" s="4" t="s">
        <v>247</v>
      </c>
      <c r="AJ1829" s="4" t="s">
        <v>264</v>
      </c>
      <c r="AZ1829" s="4" t="s">
        <v>249</v>
      </c>
      <c r="BA1829" s="4" t="s">
        <v>241</v>
      </c>
      <c r="BB1829" s="4" t="s">
        <v>250</v>
      </c>
      <c r="BC1829" s="4" t="s">
        <v>241</v>
      </c>
      <c r="BD1829" s="4" t="s">
        <v>252</v>
      </c>
      <c r="BE1829" s="4" t="s">
        <v>241</v>
      </c>
      <c r="BI1829" s="4" t="s">
        <v>295</v>
      </c>
      <c r="BJ1829" s="5" t="s">
        <v>338</v>
      </c>
      <c r="BK1829" s="4" t="s">
        <v>254</v>
      </c>
      <c r="BL1829" s="4" t="s">
        <v>285</v>
      </c>
      <c r="BM1829" s="4" t="s">
        <v>241</v>
      </c>
      <c r="BN1829" s="6">
        <f>0</f>
        <v>0</v>
      </c>
      <c r="BO1829" s="6">
        <f>0</f>
        <v>0</v>
      </c>
      <c r="BP1829" s="4" t="s">
        <v>256</v>
      </c>
      <c r="BQ1829" s="4" t="s">
        <v>257</v>
      </c>
      <c r="CE1829" s="4" t="s">
        <v>241</v>
      </c>
      <c r="CF1829" s="4" t="s">
        <v>241</v>
      </c>
      <c r="CJ1829" s="4" t="s">
        <v>286</v>
      </c>
      <c r="CK1829" s="4" t="s">
        <v>259</v>
      </c>
      <c r="CL1829" s="4" t="s">
        <v>241</v>
      </c>
      <c r="CO1829" s="5" t="s">
        <v>260</v>
      </c>
      <c r="CP1829" s="4" t="s">
        <v>241</v>
      </c>
      <c r="CQ1829" s="4" t="s">
        <v>261</v>
      </c>
      <c r="CR1829" s="4" t="s">
        <v>241</v>
      </c>
      <c r="CS1829" s="4" t="s">
        <v>241</v>
      </c>
      <c r="CT1829" s="4">
        <v>0</v>
      </c>
      <c r="CU1829" s="4" t="s">
        <v>262</v>
      </c>
      <c r="CV1829" s="4" t="s">
        <v>263</v>
      </c>
      <c r="CW1829" s="4" t="s">
        <v>263</v>
      </c>
      <c r="CX1829" s="4" t="s">
        <v>264</v>
      </c>
      <c r="DA1829" s="6">
        <f>511731</f>
        <v>511731</v>
      </c>
      <c r="DC1829" s="4" t="s">
        <v>287</v>
      </c>
      <c r="DD1829" s="4" t="s">
        <v>241</v>
      </c>
      <c r="DF1829" s="4" t="s">
        <v>287</v>
      </c>
      <c r="DG1829" s="6">
        <f>0</f>
        <v>0</v>
      </c>
      <c r="DI1829" s="4" t="s">
        <v>241</v>
      </c>
      <c r="DJ1829" s="4" t="s">
        <v>241</v>
      </c>
      <c r="DK1829" s="4" t="s">
        <v>241</v>
      </c>
      <c r="DL1829" s="4" t="s">
        <v>241</v>
      </c>
      <c r="DP1829" s="4" t="s">
        <v>241</v>
      </c>
      <c r="DQ1829" s="4" t="s">
        <v>241</v>
      </c>
      <c r="DR1829" s="4" t="s">
        <v>241</v>
      </c>
      <c r="DS1829" s="4" t="s">
        <v>241</v>
      </c>
      <c r="DV1829" s="4" t="s">
        <v>278</v>
      </c>
      <c r="DW1829" s="4" t="s">
        <v>623</v>
      </c>
      <c r="HO1829" s="4" t="s">
        <v>267</v>
      </c>
    </row>
    <row r="1830" spans="1:223" ht="19.5" customHeight="1" x14ac:dyDescent="0.4">
      <c r="A1830" s="4">
        <v>1</v>
      </c>
      <c r="B1830" s="4" t="s">
        <v>239</v>
      </c>
      <c r="C1830" s="4">
        <v>3527</v>
      </c>
      <c r="D1830" s="4">
        <v>1</v>
      </c>
      <c r="E1830" s="4">
        <v>1</v>
      </c>
      <c r="F1830" s="4" t="s">
        <v>268</v>
      </c>
      <c r="G1830" s="4" t="s">
        <v>241</v>
      </c>
      <c r="H1830" s="4" t="s">
        <v>241</v>
      </c>
      <c r="I1830" s="4" t="s">
        <v>272</v>
      </c>
      <c r="J1830" s="4" t="s">
        <v>274</v>
      </c>
      <c r="K1830" s="4" t="s">
        <v>251</v>
      </c>
      <c r="L1830" s="4" t="s">
        <v>1154</v>
      </c>
      <c r="M1830" s="5" t="s">
        <v>1155</v>
      </c>
      <c r="N1830" s="6">
        <f>868.23</f>
        <v>868.23</v>
      </c>
      <c r="O1830" s="4" t="s">
        <v>265</v>
      </c>
      <c r="P1830" s="6">
        <f>3338042</f>
        <v>3338042</v>
      </c>
      <c r="Q1830" s="6">
        <f>0</f>
        <v>0</v>
      </c>
      <c r="S1830" s="6">
        <f>0</f>
        <v>0</v>
      </c>
      <c r="T1830" s="6">
        <f>3338042</f>
        <v>3338042</v>
      </c>
      <c r="U1830" s="5" t="s">
        <v>401</v>
      </c>
      <c r="V1830" s="4" t="s">
        <v>270</v>
      </c>
      <c r="W1830" s="4" t="s">
        <v>242</v>
      </c>
      <c r="X1830" s="4" t="s">
        <v>241</v>
      </c>
      <c r="Y1830" s="4" t="s">
        <v>241</v>
      </c>
      <c r="AB1830" s="4" t="s">
        <v>241</v>
      </c>
      <c r="AD1830" s="5" t="s">
        <v>241</v>
      </c>
      <c r="AG1830" s="5" t="s">
        <v>1120</v>
      </c>
      <c r="AH1830" s="4" t="s">
        <v>241</v>
      </c>
      <c r="AI1830" s="4" t="s">
        <v>247</v>
      </c>
      <c r="AJ1830" s="4" t="s">
        <v>264</v>
      </c>
      <c r="AZ1830" s="4" t="s">
        <v>249</v>
      </c>
      <c r="BA1830" s="4" t="s">
        <v>241</v>
      </c>
      <c r="BB1830" s="4" t="s">
        <v>250</v>
      </c>
      <c r="BC1830" s="4" t="s">
        <v>241</v>
      </c>
      <c r="BD1830" s="4" t="s">
        <v>252</v>
      </c>
      <c r="BE1830" s="4" t="s">
        <v>241</v>
      </c>
      <c r="BI1830" s="4" t="s">
        <v>295</v>
      </c>
      <c r="BJ1830" s="5" t="s">
        <v>401</v>
      </c>
      <c r="BK1830" s="4" t="s">
        <v>254</v>
      </c>
      <c r="BL1830" s="4" t="s">
        <v>285</v>
      </c>
      <c r="BM1830" s="4" t="s">
        <v>241</v>
      </c>
      <c r="BN1830" s="6">
        <f>0</f>
        <v>0</v>
      </c>
      <c r="BO1830" s="6">
        <f>0</f>
        <v>0</v>
      </c>
      <c r="BP1830" s="4" t="s">
        <v>256</v>
      </c>
      <c r="BQ1830" s="4" t="s">
        <v>257</v>
      </c>
      <c r="CE1830" s="4" t="s">
        <v>241</v>
      </c>
      <c r="CF1830" s="4" t="s">
        <v>241</v>
      </c>
      <c r="CJ1830" s="4" t="s">
        <v>286</v>
      </c>
      <c r="CK1830" s="4" t="s">
        <v>259</v>
      </c>
      <c r="CL1830" s="4" t="s">
        <v>241</v>
      </c>
      <c r="CO1830" s="5" t="s">
        <v>260</v>
      </c>
      <c r="CP1830" s="4" t="s">
        <v>241</v>
      </c>
      <c r="CQ1830" s="4" t="s">
        <v>261</v>
      </c>
      <c r="CR1830" s="4" t="s">
        <v>241</v>
      </c>
      <c r="CS1830" s="4" t="s">
        <v>241</v>
      </c>
      <c r="CT1830" s="4">
        <v>0</v>
      </c>
      <c r="CU1830" s="4" t="s">
        <v>262</v>
      </c>
      <c r="CV1830" s="4" t="s">
        <v>263</v>
      </c>
      <c r="CW1830" s="4" t="s">
        <v>263</v>
      </c>
      <c r="CX1830" s="4" t="s">
        <v>264</v>
      </c>
      <c r="DA1830" s="6">
        <f>3338042</f>
        <v>3338042</v>
      </c>
      <c r="DC1830" s="4" t="s">
        <v>287</v>
      </c>
      <c r="DD1830" s="4" t="s">
        <v>241</v>
      </c>
      <c r="DF1830" s="4" t="s">
        <v>287</v>
      </c>
      <c r="DG1830" s="6">
        <f>868.23</f>
        <v>868.23</v>
      </c>
      <c r="DI1830" s="4" t="s">
        <v>241</v>
      </c>
      <c r="DJ1830" s="4" t="s">
        <v>241</v>
      </c>
      <c r="DK1830" s="4" t="s">
        <v>241</v>
      </c>
      <c r="DL1830" s="4" t="s">
        <v>241</v>
      </c>
      <c r="DP1830" s="4" t="s">
        <v>241</v>
      </c>
      <c r="DQ1830" s="4" t="s">
        <v>241</v>
      </c>
      <c r="DR1830" s="4" t="s">
        <v>241</v>
      </c>
      <c r="DS1830" s="4" t="s">
        <v>241</v>
      </c>
      <c r="DV1830" s="4" t="s">
        <v>278</v>
      </c>
      <c r="DW1830" s="4" t="s">
        <v>599</v>
      </c>
      <c r="HO1830" s="4" t="s">
        <v>267</v>
      </c>
    </row>
    <row r="1831" spans="1:223" ht="19.5" customHeight="1" x14ac:dyDescent="0.4">
      <c r="A1831" s="4">
        <v>1</v>
      </c>
      <c r="B1831" s="4" t="s">
        <v>239</v>
      </c>
      <c r="C1831" s="4">
        <v>3528</v>
      </c>
      <c r="D1831" s="4">
        <v>1</v>
      </c>
      <c r="E1831" s="4">
        <v>1</v>
      </c>
      <c r="F1831" s="4" t="s">
        <v>268</v>
      </c>
      <c r="G1831" s="4" t="s">
        <v>241</v>
      </c>
      <c r="H1831" s="4" t="s">
        <v>241</v>
      </c>
      <c r="I1831" s="4" t="s">
        <v>272</v>
      </c>
      <c r="J1831" s="4" t="s">
        <v>274</v>
      </c>
      <c r="K1831" s="4" t="s">
        <v>251</v>
      </c>
      <c r="L1831" s="4" t="s">
        <v>1353</v>
      </c>
      <c r="M1831" s="5" t="s">
        <v>1204</v>
      </c>
      <c r="N1831" s="6">
        <f>0</f>
        <v>0</v>
      </c>
      <c r="O1831" s="4" t="s">
        <v>265</v>
      </c>
      <c r="P1831" s="6">
        <f>6180610</f>
        <v>6180610</v>
      </c>
      <c r="Q1831" s="6">
        <f>0</f>
        <v>0</v>
      </c>
      <c r="S1831" s="6">
        <f>0</f>
        <v>0</v>
      </c>
      <c r="T1831" s="6">
        <f>6180610</f>
        <v>6180610</v>
      </c>
      <c r="U1831" s="5" t="s">
        <v>353</v>
      </c>
      <c r="V1831" s="4" t="s">
        <v>270</v>
      </c>
      <c r="W1831" s="4" t="s">
        <v>242</v>
      </c>
      <c r="X1831" s="4" t="s">
        <v>241</v>
      </c>
      <c r="Y1831" s="4" t="s">
        <v>241</v>
      </c>
      <c r="AB1831" s="4" t="s">
        <v>241</v>
      </c>
      <c r="AD1831" s="5" t="s">
        <v>241</v>
      </c>
      <c r="AG1831" s="5" t="s">
        <v>1354</v>
      </c>
      <c r="AH1831" s="4" t="s">
        <v>241</v>
      </c>
      <c r="AI1831" s="4" t="s">
        <v>247</v>
      </c>
      <c r="AJ1831" s="4" t="s">
        <v>264</v>
      </c>
      <c r="AZ1831" s="4" t="s">
        <v>249</v>
      </c>
      <c r="BA1831" s="4" t="s">
        <v>241</v>
      </c>
      <c r="BB1831" s="4" t="s">
        <v>250</v>
      </c>
      <c r="BC1831" s="4" t="s">
        <v>241</v>
      </c>
      <c r="BD1831" s="4" t="s">
        <v>252</v>
      </c>
      <c r="BE1831" s="4" t="s">
        <v>241</v>
      </c>
      <c r="BI1831" s="4" t="s">
        <v>295</v>
      </c>
      <c r="BJ1831" s="5" t="s">
        <v>353</v>
      </c>
      <c r="BK1831" s="4" t="s">
        <v>254</v>
      </c>
      <c r="BL1831" s="4" t="s">
        <v>285</v>
      </c>
      <c r="BM1831" s="4" t="s">
        <v>241</v>
      </c>
      <c r="BN1831" s="6">
        <f>0</f>
        <v>0</v>
      </c>
      <c r="BO1831" s="6">
        <f>0</f>
        <v>0</v>
      </c>
      <c r="BP1831" s="4" t="s">
        <v>256</v>
      </c>
      <c r="BQ1831" s="4" t="s">
        <v>257</v>
      </c>
      <c r="CE1831" s="4" t="s">
        <v>241</v>
      </c>
      <c r="CF1831" s="4" t="s">
        <v>241</v>
      </c>
      <c r="CJ1831" s="4" t="s">
        <v>286</v>
      </c>
      <c r="CK1831" s="4" t="s">
        <v>259</v>
      </c>
      <c r="CL1831" s="4" t="s">
        <v>241</v>
      </c>
      <c r="CO1831" s="5" t="s">
        <v>260</v>
      </c>
      <c r="CP1831" s="4" t="s">
        <v>241</v>
      </c>
      <c r="CQ1831" s="4" t="s">
        <v>261</v>
      </c>
      <c r="CR1831" s="4" t="s">
        <v>241</v>
      </c>
      <c r="CS1831" s="4" t="s">
        <v>241</v>
      </c>
      <c r="CT1831" s="4">
        <v>0</v>
      </c>
      <c r="CU1831" s="4" t="s">
        <v>262</v>
      </c>
      <c r="CV1831" s="4" t="s">
        <v>263</v>
      </c>
      <c r="CW1831" s="4" t="s">
        <v>263</v>
      </c>
      <c r="CX1831" s="4" t="s">
        <v>264</v>
      </c>
      <c r="DA1831" s="6">
        <f>6180610</f>
        <v>6180610</v>
      </c>
      <c r="DC1831" s="4" t="s">
        <v>287</v>
      </c>
      <c r="DD1831" s="4" t="s">
        <v>241</v>
      </c>
      <c r="DF1831" s="4" t="s">
        <v>287</v>
      </c>
      <c r="DG1831" s="6">
        <f>0</f>
        <v>0</v>
      </c>
      <c r="DI1831" s="4" t="s">
        <v>241</v>
      </c>
      <c r="DJ1831" s="4" t="s">
        <v>241</v>
      </c>
      <c r="DK1831" s="4" t="s">
        <v>241</v>
      </c>
      <c r="DL1831" s="4" t="s">
        <v>241</v>
      </c>
      <c r="DP1831" s="4" t="s">
        <v>241</v>
      </c>
      <c r="DQ1831" s="4" t="s">
        <v>241</v>
      </c>
      <c r="DR1831" s="4" t="s">
        <v>241</v>
      </c>
      <c r="DS1831" s="4" t="s">
        <v>241</v>
      </c>
      <c r="DV1831" s="4" t="s">
        <v>278</v>
      </c>
      <c r="DW1831" s="4" t="s">
        <v>585</v>
      </c>
      <c r="HO1831" s="4" t="s">
        <v>267</v>
      </c>
    </row>
    <row r="1832" spans="1:223" ht="19.5" customHeight="1" x14ac:dyDescent="0.4">
      <c r="A1832" s="4">
        <v>1</v>
      </c>
      <c r="B1832" s="4" t="s">
        <v>239</v>
      </c>
      <c r="C1832" s="4">
        <v>3529</v>
      </c>
      <c r="D1832" s="4">
        <v>1</v>
      </c>
      <c r="E1832" s="4">
        <v>1</v>
      </c>
      <c r="F1832" s="4" t="s">
        <v>268</v>
      </c>
      <c r="G1832" s="4" t="s">
        <v>241</v>
      </c>
      <c r="H1832" s="4" t="s">
        <v>241</v>
      </c>
      <c r="I1832" s="4" t="s">
        <v>272</v>
      </c>
      <c r="J1832" s="4" t="s">
        <v>274</v>
      </c>
      <c r="K1832" s="4" t="s">
        <v>251</v>
      </c>
      <c r="L1832" s="4" t="s">
        <v>1202</v>
      </c>
      <c r="M1832" s="5" t="s">
        <v>1204</v>
      </c>
      <c r="N1832" s="6">
        <f>1144.05</f>
        <v>1144.05</v>
      </c>
      <c r="O1832" s="4" t="s">
        <v>265</v>
      </c>
      <c r="P1832" s="6">
        <f>2288991</f>
        <v>2288991</v>
      </c>
      <c r="Q1832" s="6">
        <f>0</f>
        <v>0</v>
      </c>
      <c r="S1832" s="6">
        <f>0</f>
        <v>0</v>
      </c>
      <c r="T1832" s="6">
        <f>2288991</f>
        <v>2288991</v>
      </c>
      <c r="U1832" s="5" t="s">
        <v>331</v>
      </c>
      <c r="V1832" s="4" t="s">
        <v>270</v>
      </c>
      <c r="W1832" s="4" t="s">
        <v>242</v>
      </c>
      <c r="X1832" s="4" t="s">
        <v>241</v>
      </c>
      <c r="Y1832" s="4" t="s">
        <v>241</v>
      </c>
      <c r="AB1832" s="4" t="s">
        <v>241</v>
      </c>
      <c r="AD1832" s="5" t="s">
        <v>241</v>
      </c>
      <c r="AG1832" s="5" t="s">
        <v>1203</v>
      </c>
      <c r="AH1832" s="4" t="s">
        <v>241</v>
      </c>
      <c r="AI1832" s="4" t="s">
        <v>247</v>
      </c>
      <c r="AJ1832" s="4" t="s">
        <v>264</v>
      </c>
      <c r="AZ1832" s="4" t="s">
        <v>249</v>
      </c>
      <c r="BA1832" s="4" t="s">
        <v>241</v>
      </c>
      <c r="BB1832" s="4" t="s">
        <v>250</v>
      </c>
      <c r="BC1832" s="4" t="s">
        <v>241</v>
      </c>
      <c r="BD1832" s="4" t="s">
        <v>252</v>
      </c>
      <c r="BE1832" s="4" t="s">
        <v>241</v>
      </c>
      <c r="BI1832" s="4" t="s">
        <v>295</v>
      </c>
      <c r="BJ1832" s="5" t="s">
        <v>331</v>
      </c>
      <c r="BK1832" s="4" t="s">
        <v>254</v>
      </c>
      <c r="BL1832" s="4" t="s">
        <v>285</v>
      </c>
      <c r="BM1832" s="4" t="s">
        <v>241</v>
      </c>
      <c r="BN1832" s="6">
        <f>0</f>
        <v>0</v>
      </c>
      <c r="BO1832" s="6">
        <f>0</f>
        <v>0</v>
      </c>
      <c r="BP1832" s="4" t="s">
        <v>256</v>
      </c>
      <c r="BQ1832" s="4" t="s">
        <v>257</v>
      </c>
      <c r="CE1832" s="4" t="s">
        <v>241</v>
      </c>
      <c r="CF1832" s="4" t="s">
        <v>241</v>
      </c>
      <c r="CJ1832" s="4" t="s">
        <v>286</v>
      </c>
      <c r="CK1832" s="4" t="s">
        <v>259</v>
      </c>
      <c r="CL1832" s="4" t="s">
        <v>241</v>
      </c>
      <c r="CO1832" s="5" t="s">
        <v>260</v>
      </c>
      <c r="CP1832" s="4" t="s">
        <v>241</v>
      </c>
      <c r="CQ1832" s="4" t="s">
        <v>261</v>
      </c>
      <c r="CR1832" s="4" t="s">
        <v>241</v>
      </c>
      <c r="CS1832" s="4" t="s">
        <v>241</v>
      </c>
      <c r="CT1832" s="4">
        <v>0</v>
      </c>
      <c r="CU1832" s="4" t="s">
        <v>262</v>
      </c>
      <c r="CV1832" s="4" t="s">
        <v>263</v>
      </c>
      <c r="CW1832" s="4" t="s">
        <v>263</v>
      </c>
      <c r="CX1832" s="4" t="s">
        <v>264</v>
      </c>
      <c r="DA1832" s="6">
        <f>2288991</f>
        <v>2288991</v>
      </c>
      <c r="DC1832" s="4" t="s">
        <v>287</v>
      </c>
      <c r="DD1832" s="4" t="s">
        <v>241</v>
      </c>
      <c r="DF1832" s="4" t="s">
        <v>287</v>
      </c>
      <c r="DG1832" s="6">
        <f>1144.05</f>
        <v>1144.05</v>
      </c>
      <c r="DI1832" s="4" t="s">
        <v>241</v>
      </c>
      <c r="DJ1832" s="4" t="s">
        <v>241</v>
      </c>
      <c r="DK1832" s="4" t="s">
        <v>241</v>
      </c>
      <c r="DL1832" s="4" t="s">
        <v>241</v>
      </c>
      <c r="DP1832" s="4" t="s">
        <v>241</v>
      </c>
      <c r="DQ1832" s="4" t="s">
        <v>241</v>
      </c>
      <c r="DR1832" s="4" t="s">
        <v>241</v>
      </c>
      <c r="DS1832" s="4" t="s">
        <v>241</v>
      </c>
      <c r="DV1832" s="4" t="s">
        <v>278</v>
      </c>
      <c r="DW1832" s="4" t="s">
        <v>573</v>
      </c>
      <c r="HO1832" s="4" t="s">
        <v>267</v>
      </c>
    </row>
    <row r="1833" spans="1:223" ht="19.5" customHeight="1" x14ac:dyDescent="0.4">
      <c r="A1833" s="4">
        <v>1</v>
      </c>
      <c r="B1833" s="4" t="s">
        <v>239</v>
      </c>
      <c r="C1833" s="4">
        <v>3530</v>
      </c>
      <c r="D1833" s="4">
        <v>1</v>
      </c>
      <c r="E1833" s="4">
        <v>1</v>
      </c>
      <c r="F1833" s="4" t="s">
        <v>268</v>
      </c>
      <c r="G1833" s="4" t="s">
        <v>241</v>
      </c>
      <c r="H1833" s="4" t="s">
        <v>241</v>
      </c>
      <c r="I1833" s="4" t="s">
        <v>272</v>
      </c>
      <c r="J1833" s="4" t="s">
        <v>274</v>
      </c>
      <c r="K1833" s="4" t="s">
        <v>251</v>
      </c>
      <c r="L1833" s="4" t="s">
        <v>1387</v>
      </c>
      <c r="M1833" s="5" t="s">
        <v>332</v>
      </c>
      <c r="N1833" s="6">
        <f>0</f>
        <v>0</v>
      </c>
      <c r="O1833" s="4" t="s">
        <v>265</v>
      </c>
      <c r="P1833" s="6">
        <f>6759000</f>
        <v>6759000</v>
      </c>
      <c r="Q1833" s="6">
        <f>0</f>
        <v>0</v>
      </c>
      <c r="S1833" s="6">
        <f>0</f>
        <v>0</v>
      </c>
      <c r="T1833" s="6">
        <f>6759000</f>
        <v>6759000</v>
      </c>
      <c r="U1833" s="5" t="s">
        <v>1388</v>
      </c>
      <c r="V1833" s="4" t="s">
        <v>270</v>
      </c>
      <c r="W1833" s="4" t="s">
        <v>242</v>
      </c>
      <c r="X1833" s="4" t="s">
        <v>241</v>
      </c>
      <c r="Y1833" s="4" t="s">
        <v>241</v>
      </c>
      <c r="AB1833" s="4" t="s">
        <v>241</v>
      </c>
      <c r="AD1833" s="5" t="s">
        <v>241</v>
      </c>
      <c r="AG1833" s="5" t="s">
        <v>1013</v>
      </c>
      <c r="AH1833" s="4" t="s">
        <v>241</v>
      </c>
      <c r="AI1833" s="4" t="s">
        <v>247</v>
      </c>
      <c r="AJ1833" s="4" t="s">
        <v>264</v>
      </c>
      <c r="AZ1833" s="4" t="s">
        <v>249</v>
      </c>
      <c r="BA1833" s="4" t="s">
        <v>241</v>
      </c>
      <c r="BB1833" s="4" t="s">
        <v>250</v>
      </c>
      <c r="BC1833" s="4" t="s">
        <v>241</v>
      </c>
      <c r="BD1833" s="4" t="s">
        <v>252</v>
      </c>
      <c r="BE1833" s="4" t="s">
        <v>241</v>
      </c>
      <c r="BI1833" s="4" t="s">
        <v>295</v>
      </c>
      <c r="BJ1833" s="5" t="s">
        <v>1388</v>
      </c>
      <c r="BK1833" s="4" t="s">
        <v>254</v>
      </c>
      <c r="BL1833" s="4" t="s">
        <v>285</v>
      </c>
      <c r="BM1833" s="4" t="s">
        <v>241</v>
      </c>
      <c r="BN1833" s="6">
        <f>0</f>
        <v>0</v>
      </c>
      <c r="BO1833" s="6">
        <f>0</f>
        <v>0</v>
      </c>
      <c r="BP1833" s="4" t="s">
        <v>256</v>
      </c>
      <c r="BQ1833" s="4" t="s">
        <v>257</v>
      </c>
      <c r="CE1833" s="4" t="s">
        <v>241</v>
      </c>
      <c r="CF1833" s="4" t="s">
        <v>241</v>
      </c>
      <c r="CJ1833" s="4" t="s">
        <v>286</v>
      </c>
      <c r="CK1833" s="4" t="s">
        <v>259</v>
      </c>
      <c r="CL1833" s="4" t="s">
        <v>241</v>
      </c>
      <c r="CO1833" s="5" t="s">
        <v>260</v>
      </c>
      <c r="CP1833" s="4" t="s">
        <v>241</v>
      </c>
      <c r="CQ1833" s="4" t="s">
        <v>261</v>
      </c>
      <c r="CR1833" s="4" t="s">
        <v>241</v>
      </c>
      <c r="CS1833" s="4" t="s">
        <v>241</v>
      </c>
      <c r="CT1833" s="4">
        <v>0</v>
      </c>
      <c r="CU1833" s="4" t="s">
        <v>262</v>
      </c>
      <c r="CV1833" s="4" t="s">
        <v>263</v>
      </c>
      <c r="CW1833" s="4" t="s">
        <v>263</v>
      </c>
      <c r="CX1833" s="4" t="s">
        <v>264</v>
      </c>
      <c r="DA1833" s="6">
        <f>6759000</f>
        <v>6759000</v>
      </c>
      <c r="DC1833" s="4" t="s">
        <v>287</v>
      </c>
      <c r="DD1833" s="4" t="s">
        <v>241</v>
      </c>
      <c r="DF1833" s="4" t="s">
        <v>287</v>
      </c>
      <c r="DG1833" s="6">
        <f>0</f>
        <v>0</v>
      </c>
      <c r="DI1833" s="4" t="s">
        <v>241</v>
      </c>
      <c r="DJ1833" s="4" t="s">
        <v>241</v>
      </c>
      <c r="DK1833" s="4" t="s">
        <v>241</v>
      </c>
      <c r="DL1833" s="4" t="s">
        <v>241</v>
      </c>
      <c r="DP1833" s="4" t="s">
        <v>241</v>
      </c>
      <c r="DQ1833" s="4" t="s">
        <v>241</v>
      </c>
      <c r="DR1833" s="4" t="s">
        <v>241</v>
      </c>
      <c r="DS1833" s="4" t="s">
        <v>241</v>
      </c>
      <c r="DV1833" s="4" t="s">
        <v>278</v>
      </c>
      <c r="DW1833" s="4" t="s">
        <v>561</v>
      </c>
      <c r="HO1833" s="4" t="s">
        <v>267</v>
      </c>
    </row>
    <row r="1834" spans="1:223" ht="19.5" customHeight="1" x14ac:dyDescent="0.4">
      <c r="A1834" s="4">
        <v>1</v>
      </c>
      <c r="B1834" s="4" t="s">
        <v>239</v>
      </c>
      <c r="C1834" s="4">
        <v>3531</v>
      </c>
      <c r="D1834" s="4">
        <v>1</v>
      </c>
      <c r="E1834" s="4">
        <v>1</v>
      </c>
      <c r="F1834" s="4" t="s">
        <v>268</v>
      </c>
      <c r="G1834" s="4" t="s">
        <v>241</v>
      </c>
      <c r="H1834" s="4" t="s">
        <v>241</v>
      </c>
      <c r="I1834" s="4" t="s">
        <v>272</v>
      </c>
      <c r="J1834" s="4" t="s">
        <v>274</v>
      </c>
      <c r="K1834" s="4" t="s">
        <v>251</v>
      </c>
      <c r="L1834" s="4" t="s">
        <v>1073</v>
      </c>
      <c r="M1834" s="5" t="s">
        <v>332</v>
      </c>
      <c r="N1834" s="6">
        <f>798.81</f>
        <v>798.81</v>
      </c>
      <c r="O1834" s="4" t="s">
        <v>265</v>
      </c>
      <c r="P1834" s="6">
        <f>1022000</f>
        <v>1022000</v>
      </c>
      <c r="Q1834" s="6">
        <f>0</f>
        <v>0</v>
      </c>
      <c r="S1834" s="6">
        <f>0</f>
        <v>0</v>
      </c>
      <c r="T1834" s="6">
        <f>1022000</f>
        <v>1022000</v>
      </c>
      <c r="U1834" s="5" t="s">
        <v>1074</v>
      </c>
      <c r="V1834" s="4" t="s">
        <v>270</v>
      </c>
      <c r="W1834" s="4" t="s">
        <v>242</v>
      </c>
      <c r="X1834" s="4" t="s">
        <v>241</v>
      </c>
      <c r="Y1834" s="4" t="s">
        <v>241</v>
      </c>
      <c r="AB1834" s="4" t="s">
        <v>241</v>
      </c>
      <c r="AD1834" s="5" t="s">
        <v>241</v>
      </c>
      <c r="AG1834" s="5" t="s">
        <v>1075</v>
      </c>
      <c r="AH1834" s="4" t="s">
        <v>241</v>
      </c>
      <c r="AI1834" s="4" t="s">
        <v>247</v>
      </c>
      <c r="AJ1834" s="4" t="s">
        <v>264</v>
      </c>
      <c r="AZ1834" s="4" t="s">
        <v>249</v>
      </c>
      <c r="BA1834" s="4" t="s">
        <v>241</v>
      </c>
      <c r="BB1834" s="4" t="s">
        <v>250</v>
      </c>
      <c r="BC1834" s="4" t="s">
        <v>241</v>
      </c>
      <c r="BD1834" s="4" t="s">
        <v>252</v>
      </c>
      <c r="BE1834" s="4" t="s">
        <v>241</v>
      </c>
      <c r="BI1834" s="4" t="s">
        <v>295</v>
      </c>
      <c r="BJ1834" s="5" t="s">
        <v>1074</v>
      </c>
      <c r="BK1834" s="4" t="s">
        <v>254</v>
      </c>
      <c r="BL1834" s="4" t="s">
        <v>285</v>
      </c>
      <c r="BM1834" s="4" t="s">
        <v>241</v>
      </c>
      <c r="BN1834" s="6">
        <f>0</f>
        <v>0</v>
      </c>
      <c r="BO1834" s="6">
        <f>0</f>
        <v>0</v>
      </c>
      <c r="BP1834" s="4" t="s">
        <v>256</v>
      </c>
      <c r="BQ1834" s="4" t="s">
        <v>257</v>
      </c>
      <c r="CE1834" s="4" t="s">
        <v>241</v>
      </c>
      <c r="CF1834" s="4" t="s">
        <v>241</v>
      </c>
      <c r="CJ1834" s="4" t="s">
        <v>286</v>
      </c>
      <c r="CK1834" s="4" t="s">
        <v>259</v>
      </c>
      <c r="CL1834" s="4" t="s">
        <v>241</v>
      </c>
      <c r="CO1834" s="5" t="s">
        <v>260</v>
      </c>
      <c r="CP1834" s="4" t="s">
        <v>241</v>
      </c>
      <c r="CQ1834" s="4" t="s">
        <v>261</v>
      </c>
      <c r="CR1834" s="4" t="s">
        <v>241</v>
      </c>
      <c r="CS1834" s="4" t="s">
        <v>241</v>
      </c>
      <c r="CT1834" s="4">
        <v>0</v>
      </c>
      <c r="CU1834" s="4" t="s">
        <v>262</v>
      </c>
      <c r="CV1834" s="4" t="s">
        <v>263</v>
      </c>
      <c r="CW1834" s="4" t="s">
        <v>263</v>
      </c>
      <c r="CX1834" s="4" t="s">
        <v>264</v>
      </c>
      <c r="DA1834" s="6">
        <f>1022000</f>
        <v>1022000</v>
      </c>
      <c r="DC1834" s="4" t="s">
        <v>287</v>
      </c>
      <c r="DD1834" s="4" t="s">
        <v>241</v>
      </c>
      <c r="DF1834" s="4" t="s">
        <v>287</v>
      </c>
      <c r="DG1834" s="6">
        <f>798.81</f>
        <v>798.81</v>
      </c>
      <c r="DI1834" s="4" t="s">
        <v>241</v>
      </c>
      <c r="DJ1834" s="4" t="s">
        <v>241</v>
      </c>
      <c r="DK1834" s="4" t="s">
        <v>241</v>
      </c>
      <c r="DL1834" s="4" t="s">
        <v>241</v>
      </c>
      <c r="DP1834" s="4" t="s">
        <v>241</v>
      </c>
      <c r="DQ1834" s="4" t="s">
        <v>241</v>
      </c>
      <c r="DR1834" s="4" t="s">
        <v>241</v>
      </c>
      <c r="DS1834" s="4" t="s">
        <v>241</v>
      </c>
      <c r="DV1834" s="4" t="s">
        <v>278</v>
      </c>
      <c r="DW1834" s="4" t="s">
        <v>541</v>
      </c>
      <c r="HO1834" s="4" t="s">
        <v>267</v>
      </c>
    </row>
    <row r="1835" spans="1:223" ht="19.5" customHeight="1" x14ac:dyDescent="0.4">
      <c r="A1835" s="4">
        <v>1</v>
      </c>
      <c r="B1835" s="4" t="s">
        <v>239</v>
      </c>
      <c r="C1835" s="4">
        <v>3532</v>
      </c>
      <c r="D1835" s="4">
        <v>1</v>
      </c>
      <c r="E1835" s="4">
        <v>1</v>
      </c>
      <c r="F1835" s="4" t="s">
        <v>268</v>
      </c>
      <c r="G1835" s="4" t="s">
        <v>241</v>
      </c>
      <c r="H1835" s="4" t="s">
        <v>241</v>
      </c>
      <c r="I1835" s="4" t="s">
        <v>272</v>
      </c>
      <c r="J1835" s="4" t="s">
        <v>274</v>
      </c>
      <c r="K1835" s="4" t="s">
        <v>251</v>
      </c>
      <c r="L1835" s="4" t="s">
        <v>1816</v>
      </c>
      <c r="M1835" s="5" t="s">
        <v>1817</v>
      </c>
      <c r="N1835" s="6">
        <f>1035.24</f>
        <v>1035.24</v>
      </c>
      <c r="O1835" s="4" t="s">
        <v>265</v>
      </c>
      <c r="P1835" s="6">
        <f>2070480</f>
        <v>2070480</v>
      </c>
      <c r="Q1835" s="6">
        <f>0</f>
        <v>0</v>
      </c>
      <c r="S1835" s="6">
        <f>0</f>
        <v>0</v>
      </c>
      <c r="T1835" s="6">
        <f>2070480</f>
        <v>2070480</v>
      </c>
      <c r="U1835" s="5" t="s">
        <v>400</v>
      </c>
      <c r="V1835" s="4" t="s">
        <v>270</v>
      </c>
      <c r="W1835" s="4" t="s">
        <v>242</v>
      </c>
      <c r="X1835" s="4" t="s">
        <v>241</v>
      </c>
      <c r="Y1835" s="4" t="s">
        <v>241</v>
      </c>
      <c r="AB1835" s="4" t="s">
        <v>241</v>
      </c>
      <c r="AD1835" s="5" t="s">
        <v>241</v>
      </c>
      <c r="AG1835" s="5" t="s">
        <v>1269</v>
      </c>
      <c r="AH1835" s="4" t="s">
        <v>241</v>
      </c>
      <c r="AI1835" s="4" t="s">
        <v>247</v>
      </c>
      <c r="AJ1835" s="4" t="s">
        <v>264</v>
      </c>
      <c r="AZ1835" s="4" t="s">
        <v>249</v>
      </c>
      <c r="BA1835" s="4" t="s">
        <v>241</v>
      </c>
      <c r="BB1835" s="4" t="s">
        <v>250</v>
      </c>
      <c r="BC1835" s="4" t="s">
        <v>241</v>
      </c>
      <c r="BD1835" s="4" t="s">
        <v>252</v>
      </c>
      <c r="BE1835" s="4" t="s">
        <v>241</v>
      </c>
      <c r="BI1835" s="4" t="s">
        <v>295</v>
      </c>
      <c r="BJ1835" s="5" t="s">
        <v>400</v>
      </c>
      <c r="BK1835" s="4" t="s">
        <v>254</v>
      </c>
      <c r="BL1835" s="4" t="s">
        <v>285</v>
      </c>
      <c r="BM1835" s="4" t="s">
        <v>241</v>
      </c>
      <c r="BN1835" s="6">
        <f>0</f>
        <v>0</v>
      </c>
      <c r="BO1835" s="6">
        <f>0</f>
        <v>0</v>
      </c>
      <c r="BP1835" s="4" t="s">
        <v>256</v>
      </c>
      <c r="BQ1835" s="4" t="s">
        <v>257</v>
      </c>
      <c r="CE1835" s="4" t="s">
        <v>241</v>
      </c>
      <c r="CF1835" s="4" t="s">
        <v>241</v>
      </c>
      <c r="CJ1835" s="4" t="s">
        <v>286</v>
      </c>
      <c r="CK1835" s="4" t="s">
        <v>259</v>
      </c>
      <c r="CL1835" s="4" t="s">
        <v>241</v>
      </c>
      <c r="CO1835" s="5" t="s">
        <v>260</v>
      </c>
      <c r="CP1835" s="4" t="s">
        <v>241</v>
      </c>
      <c r="CQ1835" s="4" t="s">
        <v>261</v>
      </c>
      <c r="CR1835" s="4" t="s">
        <v>241</v>
      </c>
      <c r="CS1835" s="4" t="s">
        <v>241</v>
      </c>
      <c r="CT1835" s="4">
        <v>0</v>
      </c>
      <c r="CU1835" s="4" t="s">
        <v>262</v>
      </c>
      <c r="CV1835" s="4" t="s">
        <v>263</v>
      </c>
      <c r="CW1835" s="4" t="s">
        <v>263</v>
      </c>
      <c r="CX1835" s="4" t="s">
        <v>264</v>
      </c>
      <c r="DA1835" s="6">
        <f>2070480</f>
        <v>2070480</v>
      </c>
      <c r="DC1835" s="4" t="s">
        <v>287</v>
      </c>
      <c r="DD1835" s="4" t="s">
        <v>241</v>
      </c>
      <c r="DF1835" s="4" t="s">
        <v>287</v>
      </c>
      <c r="DG1835" s="6">
        <f>1035.24</f>
        <v>1035.24</v>
      </c>
      <c r="DI1835" s="4" t="s">
        <v>241</v>
      </c>
      <c r="DJ1835" s="4" t="s">
        <v>241</v>
      </c>
      <c r="DK1835" s="4" t="s">
        <v>241</v>
      </c>
      <c r="DL1835" s="4" t="s">
        <v>241</v>
      </c>
      <c r="DP1835" s="4" t="s">
        <v>241</v>
      </c>
      <c r="DQ1835" s="4" t="s">
        <v>241</v>
      </c>
      <c r="DR1835" s="4" t="s">
        <v>241</v>
      </c>
      <c r="DS1835" s="4" t="s">
        <v>241</v>
      </c>
      <c r="DV1835" s="4" t="s">
        <v>278</v>
      </c>
      <c r="DW1835" s="4" t="s">
        <v>525</v>
      </c>
      <c r="HO1835" s="4" t="s">
        <v>267</v>
      </c>
    </row>
    <row r="1836" spans="1:223" ht="19.5" customHeight="1" x14ac:dyDescent="0.4">
      <c r="A1836" s="4">
        <v>1</v>
      </c>
      <c r="B1836" s="4" t="s">
        <v>239</v>
      </c>
      <c r="C1836" s="4">
        <v>3533</v>
      </c>
      <c r="D1836" s="4">
        <v>1</v>
      </c>
      <c r="E1836" s="4">
        <v>1</v>
      </c>
      <c r="F1836" s="4" t="s">
        <v>268</v>
      </c>
      <c r="G1836" s="4" t="s">
        <v>241</v>
      </c>
      <c r="H1836" s="4" t="s">
        <v>241</v>
      </c>
      <c r="I1836" s="4" t="s">
        <v>272</v>
      </c>
      <c r="J1836" s="4" t="s">
        <v>274</v>
      </c>
      <c r="K1836" s="4" t="s">
        <v>251</v>
      </c>
      <c r="L1836" s="4" t="s">
        <v>1833</v>
      </c>
      <c r="M1836" s="5" t="s">
        <v>1834</v>
      </c>
      <c r="N1836" s="6">
        <f>0</f>
        <v>0</v>
      </c>
      <c r="O1836" s="4" t="s">
        <v>265</v>
      </c>
      <c r="P1836" s="6">
        <f>14405020</f>
        <v>14405020</v>
      </c>
      <c r="Q1836" s="6">
        <f>0</f>
        <v>0</v>
      </c>
      <c r="S1836" s="6">
        <f>0</f>
        <v>0</v>
      </c>
      <c r="T1836" s="6">
        <f>14405020</f>
        <v>14405020</v>
      </c>
      <c r="U1836" s="5" t="s">
        <v>1164</v>
      </c>
      <c r="V1836" s="4" t="s">
        <v>270</v>
      </c>
      <c r="W1836" s="4" t="s">
        <v>242</v>
      </c>
      <c r="X1836" s="4" t="s">
        <v>241</v>
      </c>
      <c r="Y1836" s="4" t="s">
        <v>241</v>
      </c>
      <c r="AB1836" s="4" t="s">
        <v>241</v>
      </c>
      <c r="AD1836" s="5" t="s">
        <v>241</v>
      </c>
      <c r="AG1836" s="5" t="s">
        <v>1269</v>
      </c>
      <c r="AH1836" s="4" t="s">
        <v>241</v>
      </c>
      <c r="AI1836" s="4" t="s">
        <v>247</v>
      </c>
      <c r="AJ1836" s="4" t="s">
        <v>264</v>
      </c>
      <c r="AZ1836" s="4" t="s">
        <v>249</v>
      </c>
      <c r="BA1836" s="4" t="s">
        <v>241</v>
      </c>
      <c r="BB1836" s="4" t="s">
        <v>250</v>
      </c>
      <c r="BC1836" s="4" t="s">
        <v>241</v>
      </c>
      <c r="BD1836" s="4" t="s">
        <v>252</v>
      </c>
      <c r="BE1836" s="4" t="s">
        <v>241</v>
      </c>
      <c r="BI1836" s="4" t="s">
        <v>295</v>
      </c>
      <c r="BJ1836" s="5" t="s">
        <v>1164</v>
      </c>
      <c r="BK1836" s="4" t="s">
        <v>254</v>
      </c>
      <c r="BL1836" s="4" t="s">
        <v>285</v>
      </c>
      <c r="BM1836" s="4" t="s">
        <v>241</v>
      </c>
      <c r="BN1836" s="6">
        <f>0</f>
        <v>0</v>
      </c>
      <c r="BO1836" s="6">
        <f>0</f>
        <v>0</v>
      </c>
      <c r="BP1836" s="4" t="s">
        <v>256</v>
      </c>
      <c r="BQ1836" s="4" t="s">
        <v>257</v>
      </c>
      <c r="CE1836" s="4" t="s">
        <v>241</v>
      </c>
      <c r="CF1836" s="4" t="s">
        <v>241</v>
      </c>
      <c r="CJ1836" s="4" t="s">
        <v>286</v>
      </c>
      <c r="CK1836" s="4" t="s">
        <v>259</v>
      </c>
      <c r="CL1836" s="4" t="s">
        <v>241</v>
      </c>
      <c r="CO1836" s="5" t="s">
        <v>260</v>
      </c>
      <c r="CP1836" s="4" t="s">
        <v>241</v>
      </c>
      <c r="CQ1836" s="4" t="s">
        <v>261</v>
      </c>
      <c r="CR1836" s="4" t="s">
        <v>241</v>
      </c>
      <c r="CS1836" s="4" t="s">
        <v>241</v>
      </c>
      <c r="CT1836" s="4">
        <v>0</v>
      </c>
      <c r="CU1836" s="4" t="s">
        <v>262</v>
      </c>
      <c r="CV1836" s="4" t="s">
        <v>263</v>
      </c>
      <c r="CW1836" s="4" t="s">
        <v>263</v>
      </c>
      <c r="CX1836" s="4" t="s">
        <v>264</v>
      </c>
      <c r="DA1836" s="6">
        <f>14405020</f>
        <v>14405020</v>
      </c>
      <c r="DC1836" s="4" t="s">
        <v>287</v>
      </c>
      <c r="DD1836" s="4" t="s">
        <v>241</v>
      </c>
      <c r="DF1836" s="4" t="s">
        <v>287</v>
      </c>
      <c r="DG1836" s="6">
        <f>0</f>
        <v>0</v>
      </c>
      <c r="DI1836" s="4" t="s">
        <v>241</v>
      </c>
      <c r="DJ1836" s="4" t="s">
        <v>241</v>
      </c>
      <c r="DK1836" s="4" t="s">
        <v>241</v>
      </c>
      <c r="DL1836" s="4" t="s">
        <v>241</v>
      </c>
      <c r="DP1836" s="4" t="s">
        <v>241</v>
      </c>
      <c r="DQ1836" s="4" t="s">
        <v>241</v>
      </c>
      <c r="DR1836" s="4" t="s">
        <v>241</v>
      </c>
      <c r="DS1836" s="4" t="s">
        <v>241</v>
      </c>
      <c r="DV1836" s="4" t="s">
        <v>278</v>
      </c>
      <c r="DW1836" s="4" t="s">
        <v>509</v>
      </c>
      <c r="HO1836" s="4" t="s">
        <v>267</v>
      </c>
    </row>
    <row r="1837" spans="1:223" ht="19.5" customHeight="1" x14ac:dyDescent="0.4">
      <c r="A1837" s="4">
        <v>1</v>
      </c>
      <c r="B1837" s="4" t="s">
        <v>239</v>
      </c>
      <c r="C1837" s="4">
        <v>3534</v>
      </c>
      <c r="D1837" s="4">
        <v>1</v>
      </c>
      <c r="E1837" s="4">
        <v>1</v>
      </c>
      <c r="F1837" s="4" t="s">
        <v>268</v>
      </c>
      <c r="G1837" s="4" t="s">
        <v>241</v>
      </c>
      <c r="H1837" s="4" t="s">
        <v>241</v>
      </c>
      <c r="I1837" s="4" t="s">
        <v>272</v>
      </c>
      <c r="J1837" s="4" t="s">
        <v>274</v>
      </c>
      <c r="K1837" s="4" t="s">
        <v>251</v>
      </c>
      <c r="L1837" s="4" t="s">
        <v>2071</v>
      </c>
      <c r="M1837" s="5" t="s">
        <v>1834</v>
      </c>
      <c r="N1837" s="6">
        <f>90.42</f>
        <v>90.42</v>
      </c>
      <c r="O1837" s="4" t="s">
        <v>265</v>
      </c>
      <c r="P1837" s="6">
        <f>381617</f>
        <v>381617</v>
      </c>
      <c r="Q1837" s="6">
        <f>0</f>
        <v>0</v>
      </c>
      <c r="S1837" s="6">
        <f>0</f>
        <v>0</v>
      </c>
      <c r="T1837" s="6">
        <f>381617</f>
        <v>381617</v>
      </c>
      <c r="U1837" s="5" t="s">
        <v>2072</v>
      </c>
      <c r="V1837" s="4" t="s">
        <v>270</v>
      </c>
      <c r="W1837" s="4" t="s">
        <v>242</v>
      </c>
      <c r="X1837" s="4" t="s">
        <v>241</v>
      </c>
      <c r="Y1837" s="4" t="s">
        <v>241</v>
      </c>
      <c r="AB1837" s="4" t="s">
        <v>241</v>
      </c>
      <c r="AD1837" s="5" t="s">
        <v>241</v>
      </c>
      <c r="AG1837" s="5" t="s">
        <v>1013</v>
      </c>
      <c r="AH1837" s="4" t="s">
        <v>241</v>
      </c>
      <c r="AI1837" s="4" t="s">
        <v>247</v>
      </c>
      <c r="AJ1837" s="4" t="s">
        <v>264</v>
      </c>
      <c r="AZ1837" s="4" t="s">
        <v>249</v>
      </c>
      <c r="BA1837" s="4" t="s">
        <v>241</v>
      </c>
      <c r="BB1837" s="4" t="s">
        <v>250</v>
      </c>
      <c r="BC1837" s="4" t="s">
        <v>241</v>
      </c>
      <c r="BD1837" s="4" t="s">
        <v>252</v>
      </c>
      <c r="BE1837" s="4" t="s">
        <v>241</v>
      </c>
      <c r="BI1837" s="4" t="s">
        <v>295</v>
      </c>
      <c r="BJ1837" s="5" t="s">
        <v>2072</v>
      </c>
      <c r="BK1837" s="4" t="s">
        <v>254</v>
      </c>
      <c r="BL1837" s="4" t="s">
        <v>285</v>
      </c>
      <c r="BM1837" s="4" t="s">
        <v>241</v>
      </c>
      <c r="BN1837" s="6">
        <f>0</f>
        <v>0</v>
      </c>
      <c r="BO1837" s="6">
        <f>0</f>
        <v>0</v>
      </c>
      <c r="BP1837" s="4" t="s">
        <v>256</v>
      </c>
      <c r="BQ1837" s="4" t="s">
        <v>257</v>
      </c>
      <c r="CE1837" s="4" t="s">
        <v>241</v>
      </c>
      <c r="CF1837" s="4" t="s">
        <v>241</v>
      </c>
      <c r="CJ1837" s="4" t="s">
        <v>286</v>
      </c>
      <c r="CK1837" s="4" t="s">
        <v>259</v>
      </c>
      <c r="CL1837" s="4" t="s">
        <v>241</v>
      </c>
      <c r="CO1837" s="5" t="s">
        <v>260</v>
      </c>
      <c r="CP1837" s="4" t="s">
        <v>241</v>
      </c>
      <c r="CQ1837" s="4" t="s">
        <v>261</v>
      </c>
      <c r="CR1837" s="4" t="s">
        <v>241</v>
      </c>
      <c r="CS1837" s="4" t="s">
        <v>241</v>
      </c>
      <c r="CT1837" s="4">
        <v>0</v>
      </c>
      <c r="CU1837" s="4" t="s">
        <v>262</v>
      </c>
      <c r="CV1837" s="4" t="s">
        <v>263</v>
      </c>
      <c r="CW1837" s="4" t="s">
        <v>263</v>
      </c>
      <c r="CX1837" s="4" t="s">
        <v>264</v>
      </c>
      <c r="DA1837" s="6">
        <f>381617</f>
        <v>381617</v>
      </c>
      <c r="DC1837" s="4" t="s">
        <v>287</v>
      </c>
      <c r="DD1837" s="4" t="s">
        <v>241</v>
      </c>
      <c r="DF1837" s="4" t="s">
        <v>287</v>
      </c>
      <c r="DG1837" s="6">
        <f>90.42</f>
        <v>90.42</v>
      </c>
      <c r="DI1837" s="4" t="s">
        <v>241</v>
      </c>
      <c r="DJ1837" s="4" t="s">
        <v>241</v>
      </c>
      <c r="DK1837" s="4" t="s">
        <v>241</v>
      </c>
      <c r="DL1837" s="4" t="s">
        <v>241</v>
      </c>
      <c r="DP1837" s="4" t="s">
        <v>241</v>
      </c>
      <c r="DQ1837" s="4" t="s">
        <v>241</v>
      </c>
      <c r="DR1837" s="4" t="s">
        <v>241</v>
      </c>
      <c r="DS1837" s="4" t="s">
        <v>241</v>
      </c>
      <c r="DV1837" s="4" t="s">
        <v>278</v>
      </c>
      <c r="DW1837" s="4" t="s">
        <v>497</v>
      </c>
      <c r="HO1837" s="4" t="s">
        <v>267</v>
      </c>
    </row>
    <row r="1838" spans="1:223" ht="19.5" customHeight="1" x14ac:dyDescent="0.4">
      <c r="A1838" s="4">
        <v>1</v>
      </c>
      <c r="B1838" s="4" t="s">
        <v>239</v>
      </c>
      <c r="C1838" s="4">
        <v>3535</v>
      </c>
      <c r="D1838" s="4">
        <v>1</v>
      </c>
      <c r="E1838" s="4">
        <v>1</v>
      </c>
      <c r="F1838" s="4" t="s">
        <v>268</v>
      </c>
      <c r="G1838" s="4" t="s">
        <v>241</v>
      </c>
      <c r="H1838" s="4" t="s">
        <v>241</v>
      </c>
      <c r="I1838" s="4" t="s">
        <v>272</v>
      </c>
      <c r="J1838" s="4" t="s">
        <v>274</v>
      </c>
      <c r="K1838" s="4" t="s">
        <v>251</v>
      </c>
      <c r="L1838" s="4" t="s">
        <v>2198</v>
      </c>
      <c r="M1838" s="5" t="s">
        <v>2199</v>
      </c>
      <c r="N1838" s="6">
        <f>0</f>
        <v>0</v>
      </c>
      <c r="O1838" s="4" t="s">
        <v>265</v>
      </c>
      <c r="P1838" s="6">
        <f>3766773</f>
        <v>3766773</v>
      </c>
      <c r="Q1838" s="6">
        <f>0</f>
        <v>0</v>
      </c>
      <c r="S1838" s="6">
        <f>0</f>
        <v>0</v>
      </c>
      <c r="T1838" s="6">
        <f>3766773</f>
        <v>3766773</v>
      </c>
      <c r="U1838" s="5" t="s">
        <v>338</v>
      </c>
      <c r="V1838" s="4" t="s">
        <v>270</v>
      </c>
      <c r="W1838" s="4" t="s">
        <v>242</v>
      </c>
      <c r="X1838" s="4" t="s">
        <v>241</v>
      </c>
      <c r="Y1838" s="4" t="s">
        <v>241</v>
      </c>
      <c r="AB1838" s="4" t="s">
        <v>241</v>
      </c>
      <c r="AD1838" s="5" t="s">
        <v>241</v>
      </c>
      <c r="AG1838" s="5" t="s">
        <v>364</v>
      </c>
      <c r="AH1838" s="4" t="s">
        <v>241</v>
      </c>
      <c r="AI1838" s="4" t="s">
        <v>247</v>
      </c>
      <c r="AJ1838" s="4" t="s">
        <v>264</v>
      </c>
      <c r="AZ1838" s="4" t="s">
        <v>249</v>
      </c>
      <c r="BA1838" s="4" t="s">
        <v>241</v>
      </c>
      <c r="BB1838" s="4" t="s">
        <v>250</v>
      </c>
      <c r="BC1838" s="4" t="s">
        <v>241</v>
      </c>
      <c r="BD1838" s="4" t="s">
        <v>252</v>
      </c>
      <c r="BE1838" s="4" t="s">
        <v>241</v>
      </c>
      <c r="BI1838" s="4" t="s">
        <v>295</v>
      </c>
      <c r="BJ1838" s="5" t="s">
        <v>338</v>
      </c>
      <c r="BK1838" s="4" t="s">
        <v>254</v>
      </c>
      <c r="BL1838" s="4" t="s">
        <v>285</v>
      </c>
      <c r="BM1838" s="4" t="s">
        <v>241</v>
      </c>
      <c r="BN1838" s="6">
        <f>0</f>
        <v>0</v>
      </c>
      <c r="BO1838" s="6">
        <f>0</f>
        <v>0</v>
      </c>
      <c r="BP1838" s="4" t="s">
        <v>256</v>
      </c>
      <c r="BQ1838" s="4" t="s">
        <v>257</v>
      </c>
      <c r="CE1838" s="4" t="s">
        <v>241</v>
      </c>
      <c r="CF1838" s="4" t="s">
        <v>241</v>
      </c>
      <c r="CJ1838" s="4" t="s">
        <v>286</v>
      </c>
      <c r="CK1838" s="4" t="s">
        <v>259</v>
      </c>
      <c r="CL1838" s="4" t="s">
        <v>241</v>
      </c>
      <c r="CO1838" s="5" t="s">
        <v>260</v>
      </c>
      <c r="CP1838" s="4" t="s">
        <v>241</v>
      </c>
      <c r="CQ1838" s="4" t="s">
        <v>261</v>
      </c>
      <c r="CR1838" s="4" t="s">
        <v>241</v>
      </c>
      <c r="CS1838" s="4" t="s">
        <v>241</v>
      </c>
      <c r="CT1838" s="4">
        <v>0</v>
      </c>
      <c r="CU1838" s="4" t="s">
        <v>262</v>
      </c>
      <c r="CV1838" s="4" t="s">
        <v>263</v>
      </c>
      <c r="CW1838" s="4" t="s">
        <v>263</v>
      </c>
      <c r="CX1838" s="4" t="s">
        <v>264</v>
      </c>
      <c r="DA1838" s="6">
        <f>3766773</f>
        <v>3766773</v>
      </c>
      <c r="DC1838" s="4" t="s">
        <v>287</v>
      </c>
      <c r="DD1838" s="4" t="s">
        <v>241</v>
      </c>
      <c r="DF1838" s="4" t="s">
        <v>287</v>
      </c>
      <c r="DG1838" s="6">
        <f>0</f>
        <v>0</v>
      </c>
      <c r="DI1838" s="4" t="s">
        <v>241</v>
      </c>
      <c r="DJ1838" s="4" t="s">
        <v>241</v>
      </c>
      <c r="DK1838" s="4" t="s">
        <v>241</v>
      </c>
      <c r="DL1838" s="4" t="s">
        <v>241</v>
      </c>
      <c r="DP1838" s="4" t="s">
        <v>241</v>
      </c>
      <c r="DQ1838" s="4" t="s">
        <v>241</v>
      </c>
      <c r="DR1838" s="4" t="s">
        <v>241</v>
      </c>
      <c r="DS1838" s="4" t="s">
        <v>241</v>
      </c>
      <c r="DV1838" s="4" t="s">
        <v>278</v>
      </c>
      <c r="DW1838" s="4" t="s">
        <v>480</v>
      </c>
      <c r="HO1838" s="4" t="s">
        <v>267</v>
      </c>
    </row>
    <row r="1839" spans="1:223" ht="19.5" customHeight="1" x14ac:dyDescent="0.4">
      <c r="A1839" s="4">
        <v>1</v>
      </c>
      <c r="B1839" s="4" t="s">
        <v>239</v>
      </c>
      <c r="C1839" s="4">
        <v>3536</v>
      </c>
      <c r="D1839" s="4">
        <v>1</v>
      </c>
      <c r="E1839" s="4">
        <v>1</v>
      </c>
      <c r="F1839" s="4" t="s">
        <v>268</v>
      </c>
      <c r="G1839" s="4" t="s">
        <v>241</v>
      </c>
      <c r="H1839" s="4" t="s">
        <v>241</v>
      </c>
      <c r="I1839" s="4" t="s">
        <v>272</v>
      </c>
      <c r="J1839" s="4" t="s">
        <v>274</v>
      </c>
      <c r="K1839" s="4" t="s">
        <v>251</v>
      </c>
      <c r="L1839" s="4" t="s">
        <v>2408</v>
      </c>
      <c r="M1839" s="5" t="s">
        <v>2199</v>
      </c>
      <c r="N1839" s="6">
        <f>145.56</f>
        <v>145.56</v>
      </c>
      <c r="O1839" s="4" t="s">
        <v>265</v>
      </c>
      <c r="P1839" s="6">
        <f>538572</f>
        <v>538572</v>
      </c>
      <c r="Q1839" s="6">
        <f>0</f>
        <v>0</v>
      </c>
      <c r="S1839" s="6">
        <f>0</f>
        <v>0</v>
      </c>
      <c r="T1839" s="6">
        <f>538572</f>
        <v>538572</v>
      </c>
      <c r="U1839" s="5" t="s">
        <v>989</v>
      </c>
      <c r="V1839" s="4" t="s">
        <v>270</v>
      </c>
      <c r="W1839" s="4" t="s">
        <v>242</v>
      </c>
      <c r="X1839" s="4" t="s">
        <v>241</v>
      </c>
      <c r="Y1839" s="4" t="s">
        <v>241</v>
      </c>
      <c r="AB1839" s="4" t="s">
        <v>241</v>
      </c>
      <c r="AD1839" s="5" t="s">
        <v>241</v>
      </c>
      <c r="AG1839" s="5" t="s">
        <v>1312</v>
      </c>
      <c r="AH1839" s="4" t="s">
        <v>241</v>
      </c>
      <c r="AI1839" s="4" t="s">
        <v>247</v>
      </c>
      <c r="AJ1839" s="4" t="s">
        <v>264</v>
      </c>
      <c r="AZ1839" s="4" t="s">
        <v>249</v>
      </c>
      <c r="BA1839" s="4" t="s">
        <v>241</v>
      </c>
      <c r="BB1839" s="4" t="s">
        <v>250</v>
      </c>
      <c r="BC1839" s="4" t="s">
        <v>241</v>
      </c>
      <c r="BD1839" s="4" t="s">
        <v>252</v>
      </c>
      <c r="BE1839" s="4" t="s">
        <v>241</v>
      </c>
      <c r="BI1839" s="4" t="s">
        <v>295</v>
      </c>
      <c r="BJ1839" s="5" t="s">
        <v>989</v>
      </c>
      <c r="BK1839" s="4" t="s">
        <v>254</v>
      </c>
      <c r="BL1839" s="4" t="s">
        <v>285</v>
      </c>
      <c r="BM1839" s="4" t="s">
        <v>241</v>
      </c>
      <c r="BN1839" s="6">
        <f>0</f>
        <v>0</v>
      </c>
      <c r="BO1839" s="6">
        <f>0</f>
        <v>0</v>
      </c>
      <c r="BP1839" s="4" t="s">
        <v>256</v>
      </c>
      <c r="BQ1839" s="4" t="s">
        <v>257</v>
      </c>
      <c r="CE1839" s="4" t="s">
        <v>241</v>
      </c>
      <c r="CF1839" s="4" t="s">
        <v>241</v>
      </c>
      <c r="CJ1839" s="4" t="s">
        <v>286</v>
      </c>
      <c r="CK1839" s="4" t="s">
        <v>259</v>
      </c>
      <c r="CL1839" s="4" t="s">
        <v>241</v>
      </c>
      <c r="CO1839" s="5" t="s">
        <v>260</v>
      </c>
      <c r="CP1839" s="4" t="s">
        <v>241</v>
      </c>
      <c r="CQ1839" s="4" t="s">
        <v>261</v>
      </c>
      <c r="CR1839" s="4" t="s">
        <v>241</v>
      </c>
      <c r="CS1839" s="4" t="s">
        <v>241</v>
      </c>
      <c r="CT1839" s="4">
        <v>0</v>
      </c>
      <c r="CU1839" s="4" t="s">
        <v>262</v>
      </c>
      <c r="CV1839" s="4" t="s">
        <v>263</v>
      </c>
      <c r="CW1839" s="4" t="s">
        <v>263</v>
      </c>
      <c r="CX1839" s="4" t="s">
        <v>264</v>
      </c>
      <c r="DA1839" s="6">
        <f>538572</f>
        <v>538572</v>
      </c>
      <c r="DC1839" s="4" t="s">
        <v>287</v>
      </c>
      <c r="DD1839" s="4" t="s">
        <v>241</v>
      </c>
      <c r="DF1839" s="4" t="s">
        <v>287</v>
      </c>
      <c r="DG1839" s="6">
        <f>145.56</f>
        <v>145.56</v>
      </c>
      <c r="DI1839" s="4" t="s">
        <v>241</v>
      </c>
      <c r="DJ1839" s="4" t="s">
        <v>241</v>
      </c>
      <c r="DK1839" s="4" t="s">
        <v>241</v>
      </c>
      <c r="DL1839" s="4" t="s">
        <v>241</v>
      </c>
      <c r="DP1839" s="4" t="s">
        <v>241</v>
      </c>
      <c r="DQ1839" s="4" t="s">
        <v>241</v>
      </c>
      <c r="DR1839" s="4" t="s">
        <v>241</v>
      </c>
      <c r="DS1839" s="4" t="s">
        <v>241</v>
      </c>
      <c r="DV1839" s="4" t="s">
        <v>278</v>
      </c>
      <c r="DW1839" s="4" t="s">
        <v>2409</v>
      </c>
      <c r="HO1839" s="4" t="s">
        <v>267</v>
      </c>
    </row>
    <row r="1840" spans="1:223" ht="19.5" customHeight="1" x14ac:dyDescent="0.4">
      <c r="A1840" s="4">
        <v>1</v>
      </c>
      <c r="B1840" s="4" t="s">
        <v>239</v>
      </c>
      <c r="C1840" s="4">
        <v>3537</v>
      </c>
      <c r="D1840" s="4">
        <v>1</v>
      </c>
      <c r="E1840" s="4">
        <v>1</v>
      </c>
      <c r="F1840" s="4" t="s">
        <v>268</v>
      </c>
      <c r="G1840" s="4" t="s">
        <v>241</v>
      </c>
      <c r="H1840" s="4" t="s">
        <v>241</v>
      </c>
      <c r="I1840" s="4" t="s">
        <v>272</v>
      </c>
      <c r="J1840" s="4" t="s">
        <v>274</v>
      </c>
      <c r="K1840" s="4" t="s">
        <v>251</v>
      </c>
      <c r="L1840" s="4" t="s">
        <v>2758</v>
      </c>
      <c r="M1840" s="5" t="s">
        <v>2759</v>
      </c>
      <c r="N1840" s="6">
        <f>1698.09</f>
        <v>1698.09</v>
      </c>
      <c r="O1840" s="4" t="s">
        <v>265</v>
      </c>
      <c r="P1840" s="6">
        <f>9223308</f>
        <v>9223308</v>
      </c>
      <c r="Q1840" s="6">
        <f>0</f>
        <v>0</v>
      </c>
      <c r="S1840" s="6">
        <f>0</f>
        <v>0</v>
      </c>
      <c r="T1840" s="6">
        <f>9223308</f>
        <v>9223308</v>
      </c>
      <c r="U1840" s="5" t="s">
        <v>1084</v>
      </c>
      <c r="V1840" s="4" t="s">
        <v>270</v>
      </c>
      <c r="W1840" s="4" t="s">
        <v>242</v>
      </c>
      <c r="X1840" s="4" t="s">
        <v>273</v>
      </c>
      <c r="Y1840" s="4" t="s">
        <v>241</v>
      </c>
      <c r="AB1840" s="4" t="s">
        <v>241</v>
      </c>
      <c r="AD1840" s="5" t="s">
        <v>241</v>
      </c>
      <c r="AG1840" s="5" t="s">
        <v>1256</v>
      </c>
      <c r="AH1840" s="4" t="s">
        <v>241</v>
      </c>
      <c r="AI1840" s="4" t="s">
        <v>247</v>
      </c>
      <c r="AJ1840" s="4" t="s">
        <v>264</v>
      </c>
      <c r="AZ1840" s="4" t="s">
        <v>249</v>
      </c>
      <c r="BA1840" s="4" t="s">
        <v>241</v>
      </c>
      <c r="BB1840" s="4" t="s">
        <v>250</v>
      </c>
      <c r="BC1840" s="4" t="s">
        <v>241</v>
      </c>
      <c r="BD1840" s="4" t="s">
        <v>252</v>
      </c>
      <c r="BE1840" s="4" t="s">
        <v>241</v>
      </c>
      <c r="BI1840" s="4" t="s">
        <v>295</v>
      </c>
      <c r="BJ1840" s="5" t="s">
        <v>1084</v>
      </c>
      <c r="BK1840" s="4" t="s">
        <v>254</v>
      </c>
      <c r="BL1840" s="4" t="s">
        <v>285</v>
      </c>
      <c r="BM1840" s="4" t="s">
        <v>241</v>
      </c>
      <c r="BN1840" s="6">
        <f>0</f>
        <v>0</v>
      </c>
      <c r="BO1840" s="6">
        <f>0</f>
        <v>0</v>
      </c>
      <c r="BP1840" s="4" t="s">
        <v>256</v>
      </c>
      <c r="BQ1840" s="4" t="s">
        <v>257</v>
      </c>
      <c r="CE1840" s="4" t="s">
        <v>241</v>
      </c>
      <c r="CF1840" s="4" t="s">
        <v>241</v>
      </c>
      <c r="CJ1840" s="4" t="s">
        <v>286</v>
      </c>
      <c r="CK1840" s="4" t="s">
        <v>259</v>
      </c>
      <c r="CL1840" s="4" t="s">
        <v>241</v>
      </c>
      <c r="CO1840" s="5" t="s">
        <v>260</v>
      </c>
      <c r="CP1840" s="4" t="s">
        <v>241</v>
      </c>
      <c r="CQ1840" s="4" t="s">
        <v>261</v>
      </c>
      <c r="CR1840" s="4" t="s">
        <v>241</v>
      </c>
      <c r="CS1840" s="4" t="s">
        <v>241</v>
      </c>
      <c r="CT1840" s="4">
        <v>0</v>
      </c>
      <c r="CU1840" s="4" t="s">
        <v>262</v>
      </c>
      <c r="CV1840" s="4" t="s">
        <v>263</v>
      </c>
      <c r="CW1840" s="4" t="s">
        <v>263</v>
      </c>
      <c r="CX1840" s="4" t="s">
        <v>264</v>
      </c>
      <c r="DA1840" s="6">
        <f>9223308</f>
        <v>9223308</v>
      </c>
      <c r="DC1840" s="4" t="s">
        <v>287</v>
      </c>
      <c r="DD1840" s="4" t="s">
        <v>241</v>
      </c>
      <c r="DF1840" s="4" t="s">
        <v>287</v>
      </c>
      <c r="DG1840" s="6">
        <f>1698.09</f>
        <v>1698.09</v>
      </c>
      <c r="DI1840" s="4" t="s">
        <v>241</v>
      </c>
      <c r="DJ1840" s="4" t="s">
        <v>241</v>
      </c>
      <c r="DK1840" s="4" t="s">
        <v>241</v>
      </c>
      <c r="DL1840" s="4" t="s">
        <v>241</v>
      </c>
      <c r="DP1840" s="4" t="s">
        <v>241</v>
      </c>
      <c r="DQ1840" s="4" t="s">
        <v>241</v>
      </c>
      <c r="DR1840" s="4" t="s">
        <v>241</v>
      </c>
      <c r="DS1840" s="4" t="s">
        <v>241</v>
      </c>
      <c r="DV1840" s="4" t="s">
        <v>278</v>
      </c>
      <c r="DW1840" s="4" t="s">
        <v>452</v>
      </c>
      <c r="HO1840" s="4" t="s">
        <v>267</v>
      </c>
    </row>
    <row r="1841" spans="1:223" ht="19.5" customHeight="1" x14ac:dyDescent="0.4">
      <c r="A1841" s="4">
        <v>1</v>
      </c>
      <c r="B1841" s="4" t="s">
        <v>239</v>
      </c>
      <c r="C1841" s="4">
        <v>3538</v>
      </c>
      <c r="D1841" s="4">
        <v>1</v>
      </c>
      <c r="E1841" s="4">
        <v>1</v>
      </c>
      <c r="F1841" s="4" t="s">
        <v>268</v>
      </c>
      <c r="G1841" s="4" t="s">
        <v>241</v>
      </c>
      <c r="H1841" s="4" t="s">
        <v>241</v>
      </c>
      <c r="I1841" s="4" t="s">
        <v>272</v>
      </c>
      <c r="J1841" s="4" t="s">
        <v>274</v>
      </c>
      <c r="K1841" s="4" t="s">
        <v>251</v>
      </c>
      <c r="L1841" s="4" t="s">
        <v>2804</v>
      </c>
      <c r="M1841" s="5" t="s">
        <v>359</v>
      </c>
      <c r="N1841" s="6">
        <f>0</f>
        <v>0</v>
      </c>
      <c r="O1841" s="4" t="s">
        <v>265</v>
      </c>
      <c r="P1841" s="6">
        <f>954034</f>
        <v>954034</v>
      </c>
      <c r="Q1841" s="6">
        <f>0</f>
        <v>0</v>
      </c>
      <c r="S1841" s="6">
        <f>0</f>
        <v>0</v>
      </c>
      <c r="T1841" s="6">
        <f>954034</f>
        <v>954034</v>
      </c>
      <c r="U1841" s="5" t="s">
        <v>1164</v>
      </c>
      <c r="V1841" s="4" t="s">
        <v>270</v>
      </c>
      <c r="W1841" s="4" t="s">
        <v>242</v>
      </c>
      <c r="X1841" s="4" t="s">
        <v>241</v>
      </c>
      <c r="Y1841" s="4" t="s">
        <v>241</v>
      </c>
      <c r="AB1841" s="4" t="s">
        <v>241</v>
      </c>
      <c r="AD1841" s="5" t="s">
        <v>241</v>
      </c>
      <c r="AG1841" s="5" t="s">
        <v>1312</v>
      </c>
      <c r="AH1841" s="4" t="s">
        <v>241</v>
      </c>
      <c r="AI1841" s="4" t="s">
        <v>247</v>
      </c>
      <c r="AJ1841" s="4" t="s">
        <v>264</v>
      </c>
      <c r="AZ1841" s="4" t="s">
        <v>249</v>
      </c>
      <c r="BA1841" s="4" t="s">
        <v>241</v>
      </c>
      <c r="BB1841" s="4" t="s">
        <v>250</v>
      </c>
      <c r="BC1841" s="4" t="s">
        <v>241</v>
      </c>
      <c r="BD1841" s="4" t="s">
        <v>252</v>
      </c>
      <c r="BE1841" s="4" t="s">
        <v>241</v>
      </c>
      <c r="BI1841" s="4" t="s">
        <v>295</v>
      </c>
      <c r="BJ1841" s="5" t="s">
        <v>1164</v>
      </c>
      <c r="BK1841" s="4" t="s">
        <v>254</v>
      </c>
      <c r="BL1841" s="4" t="s">
        <v>285</v>
      </c>
      <c r="BM1841" s="4" t="s">
        <v>241</v>
      </c>
      <c r="BN1841" s="6">
        <f>0</f>
        <v>0</v>
      </c>
      <c r="BO1841" s="6">
        <f>0</f>
        <v>0</v>
      </c>
      <c r="BP1841" s="4" t="s">
        <v>256</v>
      </c>
      <c r="BQ1841" s="4" t="s">
        <v>257</v>
      </c>
      <c r="CE1841" s="4" t="s">
        <v>241</v>
      </c>
      <c r="CF1841" s="4" t="s">
        <v>241</v>
      </c>
      <c r="CJ1841" s="4" t="s">
        <v>286</v>
      </c>
      <c r="CK1841" s="4" t="s">
        <v>259</v>
      </c>
      <c r="CL1841" s="4" t="s">
        <v>241</v>
      </c>
      <c r="CO1841" s="5" t="s">
        <v>260</v>
      </c>
      <c r="CP1841" s="4" t="s">
        <v>241</v>
      </c>
      <c r="CQ1841" s="4" t="s">
        <v>261</v>
      </c>
      <c r="CR1841" s="4" t="s">
        <v>241</v>
      </c>
      <c r="CS1841" s="4" t="s">
        <v>241</v>
      </c>
      <c r="CT1841" s="4">
        <v>0</v>
      </c>
      <c r="CU1841" s="4" t="s">
        <v>262</v>
      </c>
      <c r="CV1841" s="4" t="s">
        <v>263</v>
      </c>
      <c r="CW1841" s="4" t="s">
        <v>263</v>
      </c>
      <c r="CX1841" s="4" t="s">
        <v>264</v>
      </c>
      <c r="DA1841" s="6">
        <f>954034</f>
        <v>954034</v>
      </c>
      <c r="DC1841" s="4" t="s">
        <v>287</v>
      </c>
      <c r="DD1841" s="4" t="s">
        <v>241</v>
      </c>
      <c r="DF1841" s="4" t="s">
        <v>287</v>
      </c>
      <c r="DG1841" s="6">
        <f>0</f>
        <v>0</v>
      </c>
      <c r="DI1841" s="4" t="s">
        <v>241</v>
      </c>
      <c r="DJ1841" s="4" t="s">
        <v>241</v>
      </c>
      <c r="DK1841" s="4" t="s">
        <v>241</v>
      </c>
      <c r="DL1841" s="4" t="s">
        <v>241</v>
      </c>
      <c r="DP1841" s="4" t="s">
        <v>241</v>
      </c>
      <c r="DQ1841" s="4" t="s">
        <v>241</v>
      </c>
      <c r="DR1841" s="4" t="s">
        <v>241</v>
      </c>
      <c r="DS1841" s="4" t="s">
        <v>241</v>
      </c>
      <c r="DV1841" s="4" t="s">
        <v>278</v>
      </c>
      <c r="DW1841" s="4" t="s">
        <v>439</v>
      </c>
      <c r="HO1841" s="4" t="s">
        <v>267</v>
      </c>
    </row>
    <row r="1842" spans="1:223" ht="19.5" customHeight="1" x14ac:dyDescent="0.4">
      <c r="A1842" s="4">
        <v>1</v>
      </c>
      <c r="B1842" s="4" t="s">
        <v>239</v>
      </c>
      <c r="C1842" s="4">
        <v>3539</v>
      </c>
      <c r="D1842" s="4">
        <v>1</v>
      </c>
      <c r="E1842" s="4">
        <v>1</v>
      </c>
      <c r="F1842" s="4" t="s">
        <v>268</v>
      </c>
      <c r="G1842" s="4" t="s">
        <v>241</v>
      </c>
      <c r="H1842" s="4" t="s">
        <v>241</v>
      </c>
      <c r="I1842" s="4" t="s">
        <v>272</v>
      </c>
      <c r="J1842" s="4" t="s">
        <v>274</v>
      </c>
      <c r="K1842" s="4" t="s">
        <v>251</v>
      </c>
      <c r="L1842" s="4" t="s">
        <v>1255</v>
      </c>
      <c r="M1842" s="5" t="s">
        <v>359</v>
      </c>
      <c r="N1842" s="6">
        <f>723.06</f>
        <v>723.06</v>
      </c>
      <c r="O1842" s="4" t="s">
        <v>265</v>
      </c>
      <c r="P1842" s="6">
        <f>1256708</f>
        <v>1256708</v>
      </c>
      <c r="Q1842" s="6">
        <f>0</f>
        <v>0</v>
      </c>
      <c r="S1842" s="6">
        <f>0</f>
        <v>0</v>
      </c>
      <c r="T1842" s="6">
        <f>1256708</f>
        <v>1256708</v>
      </c>
      <c r="U1842" s="5" t="s">
        <v>401</v>
      </c>
      <c r="V1842" s="4" t="s">
        <v>270</v>
      </c>
      <c r="W1842" s="4" t="s">
        <v>242</v>
      </c>
      <c r="X1842" s="4" t="s">
        <v>241</v>
      </c>
      <c r="Y1842" s="4" t="s">
        <v>241</v>
      </c>
      <c r="AB1842" s="4" t="s">
        <v>241</v>
      </c>
      <c r="AD1842" s="5" t="s">
        <v>241</v>
      </c>
      <c r="AG1842" s="5" t="s">
        <v>1256</v>
      </c>
      <c r="AH1842" s="4" t="s">
        <v>241</v>
      </c>
      <c r="AI1842" s="4" t="s">
        <v>247</v>
      </c>
      <c r="AJ1842" s="4" t="s">
        <v>264</v>
      </c>
      <c r="AZ1842" s="4" t="s">
        <v>249</v>
      </c>
      <c r="BA1842" s="4" t="s">
        <v>241</v>
      </c>
      <c r="BB1842" s="4" t="s">
        <v>250</v>
      </c>
      <c r="BC1842" s="4" t="s">
        <v>241</v>
      </c>
      <c r="BD1842" s="4" t="s">
        <v>252</v>
      </c>
      <c r="BE1842" s="4" t="s">
        <v>241</v>
      </c>
      <c r="BI1842" s="4" t="s">
        <v>295</v>
      </c>
      <c r="BJ1842" s="5" t="s">
        <v>401</v>
      </c>
      <c r="BK1842" s="4" t="s">
        <v>254</v>
      </c>
      <c r="BL1842" s="4" t="s">
        <v>254</v>
      </c>
      <c r="BM1842" s="4" t="s">
        <v>241</v>
      </c>
      <c r="BN1842" s="6">
        <f>0</f>
        <v>0</v>
      </c>
      <c r="BO1842" s="6">
        <f>0</f>
        <v>0</v>
      </c>
      <c r="BP1842" s="4" t="s">
        <v>256</v>
      </c>
      <c r="BQ1842" s="4" t="s">
        <v>257</v>
      </c>
      <c r="CE1842" s="4" t="s">
        <v>241</v>
      </c>
      <c r="CF1842" s="4" t="s">
        <v>241</v>
      </c>
      <c r="CJ1842" s="4" t="s">
        <v>286</v>
      </c>
      <c r="CK1842" s="4" t="s">
        <v>259</v>
      </c>
      <c r="CL1842" s="4" t="s">
        <v>241</v>
      </c>
      <c r="CO1842" s="5" t="s">
        <v>260</v>
      </c>
      <c r="CP1842" s="4" t="s">
        <v>241</v>
      </c>
      <c r="CQ1842" s="4" t="s">
        <v>261</v>
      </c>
      <c r="CR1842" s="4" t="s">
        <v>241</v>
      </c>
      <c r="CS1842" s="4" t="s">
        <v>241</v>
      </c>
      <c r="CT1842" s="4">
        <v>0</v>
      </c>
      <c r="CU1842" s="4" t="s">
        <v>262</v>
      </c>
      <c r="CV1842" s="4" t="s">
        <v>263</v>
      </c>
      <c r="CW1842" s="4" t="s">
        <v>263</v>
      </c>
      <c r="CX1842" s="4" t="s">
        <v>264</v>
      </c>
      <c r="DA1842" s="6">
        <f>1256708</f>
        <v>1256708</v>
      </c>
      <c r="DC1842" s="4" t="s">
        <v>287</v>
      </c>
      <c r="DD1842" s="4" t="s">
        <v>241</v>
      </c>
      <c r="DF1842" s="4" t="s">
        <v>287</v>
      </c>
      <c r="DG1842" s="6">
        <f>723.06</f>
        <v>723.06</v>
      </c>
      <c r="DI1842" s="4" t="s">
        <v>241</v>
      </c>
      <c r="DJ1842" s="4" t="s">
        <v>241</v>
      </c>
      <c r="DK1842" s="4" t="s">
        <v>241</v>
      </c>
      <c r="DL1842" s="4" t="s">
        <v>241</v>
      </c>
      <c r="DP1842" s="4" t="s">
        <v>241</v>
      </c>
      <c r="DQ1842" s="4" t="s">
        <v>241</v>
      </c>
      <c r="DR1842" s="4" t="s">
        <v>241</v>
      </c>
      <c r="DS1842" s="4" t="s">
        <v>241</v>
      </c>
      <c r="DV1842" s="4" t="s">
        <v>278</v>
      </c>
      <c r="DW1842" s="4" t="s">
        <v>1257</v>
      </c>
      <c r="HO1842" s="4" t="s">
        <v>416</v>
      </c>
    </row>
    <row r="1843" spans="1:223" ht="19.5" customHeight="1" x14ac:dyDescent="0.4">
      <c r="A1843" s="4">
        <v>1</v>
      </c>
      <c r="B1843" s="4" t="s">
        <v>239</v>
      </c>
      <c r="C1843" s="4">
        <v>3540</v>
      </c>
      <c r="D1843" s="4">
        <v>1</v>
      </c>
      <c r="E1843" s="4">
        <v>1</v>
      </c>
      <c r="F1843" s="4" t="s">
        <v>268</v>
      </c>
      <c r="G1843" s="4" t="s">
        <v>241</v>
      </c>
      <c r="H1843" s="4" t="s">
        <v>241</v>
      </c>
      <c r="I1843" s="4" t="s">
        <v>272</v>
      </c>
      <c r="J1843" s="4" t="s">
        <v>274</v>
      </c>
      <c r="K1843" s="4" t="s">
        <v>251</v>
      </c>
      <c r="L1843" s="4" t="s">
        <v>2805</v>
      </c>
      <c r="M1843" s="5" t="s">
        <v>2806</v>
      </c>
      <c r="N1843" s="6">
        <f>5435.17</f>
        <v>5435.17</v>
      </c>
      <c r="O1843" s="4" t="s">
        <v>265</v>
      </c>
      <c r="P1843" s="6">
        <f>23371231</f>
        <v>23371231</v>
      </c>
      <c r="Q1843" s="6">
        <f>0</f>
        <v>0</v>
      </c>
      <c r="S1843" s="6">
        <f>0</f>
        <v>0</v>
      </c>
      <c r="T1843" s="6">
        <f>23371231</f>
        <v>23371231</v>
      </c>
      <c r="U1843" s="5" t="s">
        <v>400</v>
      </c>
      <c r="V1843" s="4" t="s">
        <v>270</v>
      </c>
      <c r="W1843" s="4" t="s">
        <v>242</v>
      </c>
      <c r="X1843" s="4" t="s">
        <v>241</v>
      </c>
      <c r="Y1843" s="4" t="s">
        <v>241</v>
      </c>
      <c r="AB1843" s="4" t="s">
        <v>241</v>
      </c>
      <c r="AD1843" s="5" t="s">
        <v>241</v>
      </c>
      <c r="AG1843" s="5" t="s">
        <v>1124</v>
      </c>
      <c r="AH1843" s="4" t="s">
        <v>241</v>
      </c>
      <c r="AI1843" s="4" t="s">
        <v>247</v>
      </c>
      <c r="AJ1843" s="4" t="s">
        <v>264</v>
      </c>
      <c r="AZ1843" s="4" t="s">
        <v>249</v>
      </c>
      <c r="BA1843" s="4" t="s">
        <v>241</v>
      </c>
      <c r="BB1843" s="4" t="s">
        <v>250</v>
      </c>
      <c r="BC1843" s="4" t="s">
        <v>241</v>
      </c>
      <c r="BD1843" s="4" t="s">
        <v>252</v>
      </c>
      <c r="BE1843" s="4" t="s">
        <v>241</v>
      </c>
      <c r="BI1843" s="4" t="s">
        <v>295</v>
      </c>
      <c r="BJ1843" s="5" t="s">
        <v>400</v>
      </c>
      <c r="BK1843" s="4" t="s">
        <v>254</v>
      </c>
      <c r="BL1843" s="4" t="s">
        <v>285</v>
      </c>
      <c r="BM1843" s="4" t="s">
        <v>241</v>
      </c>
      <c r="BN1843" s="6">
        <f>0</f>
        <v>0</v>
      </c>
      <c r="BO1843" s="6">
        <f>0</f>
        <v>0</v>
      </c>
      <c r="BP1843" s="4" t="s">
        <v>256</v>
      </c>
      <c r="BQ1843" s="4" t="s">
        <v>257</v>
      </c>
      <c r="CE1843" s="4" t="s">
        <v>241</v>
      </c>
      <c r="CF1843" s="4" t="s">
        <v>241</v>
      </c>
      <c r="CJ1843" s="4" t="s">
        <v>286</v>
      </c>
      <c r="CK1843" s="4" t="s">
        <v>259</v>
      </c>
      <c r="CL1843" s="4" t="s">
        <v>241</v>
      </c>
      <c r="CO1843" s="5" t="s">
        <v>260</v>
      </c>
      <c r="CP1843" s="4" t="s">
        <v>241</v>
      </c>
      <c r="CQ1843" s="4" t="s">
        <v>261</v>
      </c>
      <c r="CR1843" s="4" t="s">
        <v>241</v>
      </c>
      <c r="CS1843" s="4" t="s">
        <v>241</v>
      </c>
      <c r="CT1843" s="4">
        <v>0</v>
      </c>
      <c r="CU1843" s="4" t="s">
        <v>262</v>
      </c>
      <c r="CV1843" s="4" t="s">
        <v>263</v>
      </c>
      <c r="CW1843" s="4" t="s">
        <v>263</v>
      </c>
      <c r="CX1843" s="4" t="s">
        <v>264</v>
      </c>
      <c r="DA1843" s="6">
        <f>23371231</f>
        <v>23371231</v>
      </c>
      <c r="DC1843" s="4" t="s">
        <v>287</v>
      </c>
      <c r="DD1843" s="4" t="s">
        <v>241</v>
      </c>
      <c r="DF1843" s="4" t="s">
        <v>287</v>
      </c>
      <c r="DG1843" s="6">
        <f>5435.17</f>
        <v>5435.17</v>
      </c>
      <c r="DI1843" s="4" t="s">
        <v>241</v>
      </c>
      <c r="DJ1843" s="4" t="s">
        <v>241</v>
      </c>
      <c r="DK1843" s="4" t="s">
        <v>241</v>
      </c>
      <c r="DL1843" s="4" t="s">
        <v>241</v>
      </c>
      <c r="DP1843" s="4" t="s">
        <v>241</v>
      </c>
      <c r="DQ1843" s="4" t="s">
        <v>241</v>
      </c>
      <c r="DR1843" s="4" t="s">
        <v>241</v>
      </c>
      <c r="DS1843" s="4" t="s">
        <v>241</v>
      </c>
      <c r="DV1843" s="4" t="s">
        <v>278</v>
      </c>
      <c r="DW1843" s="4" t="s">
        <v>2807</v>
      </c>
      <c r="HO1843" s="4" t="s">
        <v>267</v>
      </c>
    </row>
    <row r="1844" spans="1:223" ht="19.5" customHeight="1" x14ac:dyDescent="0.4">
      <c r="A1844" s="4">
        <v>1</v>
      </c>
      <c r="B1844" s="4" t="s">
        <v>239</v>
      </c>
      <c r="C1844" s="4">
        <v>3541</v>
      </c>
      <c r="D1844" s="4">
        <v>1</v>
      </c>
      <c r="E1844" s="4">
        <v>1</v>
      </c>
      <c r="F1844" s="4" t="s">
        <v>268</v>
      </c>
      <c r="G1844" s="4" t="s">
        <v>241</v>
      </c>
      <c r="H1844" s="4" t="s">
        <v>241</v>
      </c>
      <c r="I1844" s="4" t="s">
        <v>272</v>
      </c>
      <c r="J1844" s="4" t="s">
        <v>274</v>
      </c>
      <c r="K1844" s="4" t="s">
        <v>251</v>
      </c>
      <c r="L1844" s="4" t="s">
        <v>1239</v>
      </c>
      <c r="M1844" s="5" t="s">
        <v>403</v>
      </c>
      <c r="N1844" s="6">
        <f>744</f>
        <v>744</v>
      </c>
      <c r="O1844" s="4" t="s">
        <v>265</v>
      </c>
      <c r="P1844" s="6">
        <f>4921632</f>
        <v>4921632</v>
      </c>
      <c r="Q1844" s="6">
        <f>0</f>
        <v>0</v>
      </c>
      <c r="S1844" s="6">
        <f>0</f>
        <v>0</v>
      </c>
      <c r="T1844" s="6">
        <f>4921632</f>
        <v>4921632</v>
      </c>
      <c r="U1844" s="5" t="s">
        <v>1064</v>
      </c>
      <c r="V1844" s="4" t="s">
        <v>270</v>
      </c>
      <c r="W1844" s="4" t="s">
        <v>242</v>
      </c>
      <c r="X1844" s="4" t="s">
        <v>273</v>
      </c>
      <c r="Y1844" s="4" t="s">
        <v>241</v>
      </c>
      <c r="AB1844" s="4" t="s">
        <v>241</v>
      </c>
      <c r="AD1844" s="5" t="s">
        <v>241</v>
      </c>
      <c r="AG1844" s="5" t="s">
        <v>1124</v>
      </c>
      <c r="AH1844" s="4" t="s">
        <v>1065</v>
      </c>
      <c r="AI1844" s="4" t="s">
        <v>247</v>
      </c>
      <c r="AJ1844" s="4" t="s">
        <v>264</v>
      </c>
      <c r="AZ1844" s="4" t="s">
        <v>249</v>
      </c>
      <c r="BA1844" s="4" t="s">
        <v>241</v>
      </c>
      <c r="BB1844" s="4" t="s">
        <v>250</v>
      </c>
      <c r="BC1844" s="4" t="s">
        <v>241</v>
      </c>
      <c r="BD1844" s="4" t="s">
        <v>252</v>
      </c>
      <c r="BE1844" s="4" t="s">
        <v>241</v>
      </c>
      <c r="BI1844" s="4" t="s">
        <v>295</v>
      </c>
      <c r="BJ1844" s="5" t="s">
        <v>1124</v>
      </c>
      <c r="BK1844" s="4" t="s">
        <v>254</v>
      </c>
      <c r="BL1844" s="4" t="s">
        <v>413</v>
      </c>
      <c r="BM1844" s="4" t="s">
        <v>241</v>
      </c>
      <c r="BN1844" s="6">
        <f>0</f>
        <v>0</v>
      </c>
      <c r="BO1844" s="6">
        <f>0</f>
        <v>0</v>
      </c>
      <c r="BP1844" s="4" t="s">
        <v>256</v>
      </c>
      <c r="BQ1844" s="4" t="s">
        <v>257</v>
      </c>
      <c r="CE1844" s="4" t="s">
        <v>241</v>
      </c>
      <c r="CF1844" s="4" t="s">
        <v>241</v>
      </c>
      <c r="CJ1844" s="4" t="s">
        <v>286</v>
      </c>
      <c r="CK1844" s="4" t="s">
        <v>259</v>
      </c>
      <c r="CL1844" s="4" t="s">
        <v>241</v>
      </c>
      <c r="CO1844" s="5" t="s">
        <v>260</v>
      </c>
      <c r="CP1844" s="4" t="s">
        <v>241</v>
      </c>
      <c r="CQ1844" s="4" t="s">
        <v>261</v>
      </c>
      <c r="CR1844" s="4" t="s">
        <v>241</v>
      </c>
      <c r="CS1844" s="4" t="s">
        <v>241</v>
      </c>
      <c r="CT1844" s="4">
        <v>0</v>
      </c>
      <c r="CU1844" s="4" t="s">
        <v>262</v>
      </c>
      <c r="CV1844" s="4" t="s">
        <v>263</v>
      </c>
      <c r="CW1844" s="4" t="s">
        <v>263</v>
      </c>
      <c r="CX1844" s="4" t="s">
        <v>264</v>
      </c>
      <c r="DA1844" s="6">
        <f>4921632</f>
        <v>4921632</v>
      </c>
      <c r="DC1844" s="4" t="s">
        <v>287</v>
      </c>
      <c r="DD1844" s="4" t="s">
        <v>241</v>
      </c>
      <c r="DF1844" s="4" t="s">
        <v>287</v>
      </c>
      <c r="DG1844" s="6">
        <f>744</f>
        <v>744</v>
      </c>
      <c r="DI1844" s="4" t="s">
        <v>241</v>
      </c>
      <c r="DJ1844" s="4" t="s">
        <v>241</v>
      </c>
      <c r="DK1844" s="4" t="s">
        <v>241</v>
      </c>
      <c r="DL1844" s="4" t="s">
        <v>241</v>
      </c>
      <c r="DP1844" s="4" t="s">
        <v>241</v>
      </c>
      <c r="DQ1844" s="4" t="s">
        <v>241</v>
      </c>
      <c r="DR1844" s="4" t="s">
        <v>241</v>
      </c>
      <c r="DS1844" s="4" t="s">
        <v>241</v>
      </c>
      <c r="DV1844" s="4" t="s">
        <v>278</v>
      </c>
      <c r="DW1844" s="4" t="s">
        <v>1240</v>
      </c>
      <c r="HO1844" s="4" t="s">
        <v>267</v>
      </c>
    </row>
    <row r="1845" spans="1:223" ht="19.5" customHeight="1" x14ac:dyDescent="0.4">
      <c r="A1845" s="4">
        <v>1</v>
      </c>
      <c r="B1845" s="4" t="s">
        <v>239</v>
      </c>
      <c r="C1845" s="4">
        <v>3542</v>
      </c>
      <c r="D1845" s="4">
        <v>1</v>
      </c>
      <c r="E1845" s="4">
        <v>1</v>
      </c>
      <c r="F1845" s="4" t="s">
        <v>268</v>
      </c>
      <c r="G1845" s="4" t="s">
        <v>241</v>
      </c>
      <c r="H1845" s="4" t="s">
        <v>241</v>
      </c>
      <c r="I1845" s="4" t="s">
        <v>272</v>
      </c>
      <c r="J1845" s="4" t="s">
        <v>274</v>
      </c>
      <c r="K1845" s="4" t="s">
        <v>251</v>
      </c>
      <c r="L1845" s="4" t="s">
        <v>1327</v>
      </c>
      <c r="M1845" s="5" t="s">
        <v>403</v>
      </c>
      <c r="N1845" s="6">
        <f>1202</f>
        <v>1202</v>
      </c>
      <c r="O1845" s="4" t="s">
        <v>265</v>
      </c>
      <c r="P1845" s="6">
        <f>7951346</f>
        <v>7951346</v>
      </c>
      <c r="Q1845" s="6">
        <f>0</f>
        <v>0</v>
      </c>
      <c r="S1845" s="6">
        <f>0</f>
        <v>0</v>
      </c>
      <c r="T1845" s="6">
        <f>7951346</f>
        <v>7951346</v>
      </c>
      <c r="U1845" s="5" t="s">
        <v>1064</v>
      </c>
      <c r="V1845" s="4" t="s">
        <v>270</v>
      </c>
      <c r="W1845" s="4" t="s">
        <v>242</v>
      </c>
      <c r="X1845" s="4" t="s">
        <v>273</v>
      </c>
      <c r="Y1845" s="4" t="s">
        <v>241</v>
      </c>
      <c r="AB1845" s="4" t="s">
        <v>241</v>
      </c>
      <c r="AD1845" s="5" t="s">
        <v>241</v>
      </c>
      <c r="AG1845" s="5" t="s">
        <v>1236</v>
      </c>
      <c r="AH1845" s="4" t="s">
        <v>1065</v>
      </c>
      <c r="AI1845" s="4" t="s">
        <v>247</v>
      </c>
      <c r="AJ1845" s="4" t="s">
        <v>264</v>
      </c>
      <c r="AZ1845" s="4" t="s">
        <v>249</v>
      </c>
      <c r="BA1845" s="4" t="s">
        <v>241</v>
      </c>
      <c r="BB1845" s="4" t="s">
        <v>250</v>
      </c>
      <c r="BC1845" s="4" t="s">
        <v>241</v>
      </c>
      <c r="BD1845" s="4" t="s">
        <v>252</v>
      </c>
      <c r="BE1845" s="4" t="s">
        <v>241</v>
      </c>
      <c r="BI1845" s="4" t="s">
        <v>284</v>
      </c>
      <c r="BJ1845" s="5" t="s">
        <v>1236</v>
      </c>
      <c r="BK1845" s="4" t="s">
        <v>254</v>
      </c>
      <c r="BL1845" s="4" t="s">
        <v>413</v>
      </c>
      <c r="BM1845" s="4" t="s">
        <v>241</v>
      </c>
      <c r="BN1845" s="6">
        <f>0</f>
        <v>0</v>
      </c>
      <c r="BO1845" s="6">
        <f>0</f>
        <v>0</v>
      </c>
      <c r="BP1845" s="4" t="s">
        <v>256</v>
      </c>
      <c r="BQ1845" s="4" t="s">
        <v>257</v>
      </c>
      <c r="CE1845" s="4" t="s">
        <v>241</v>
      </c>
      <c r="CF1845" s="4" t="s">
        <v>241</v>
      </c>
      <c r="CJ1845" s="4" t="s">
        <v>286</v>
      </c>
      <c r="CK1845" s="4" t="s">
        <v>259</v>
      </c>
      <c r="CL1845" s="4" t="s">
        <v>241</v>
      </c>
      <c r="CO1845" s="5" t="s">
        <v>260</v>
      </c>
      <c r="CP1845" s="4" t="s">
        <v>241</v>
      </c>
      <c r="CQ1845" s="4" t="s">
        <v>261</v>
      </c>
      <c r="CR1845" s="4" t="s">
        <v>241</v>
      </c>
      <c r="CS1845" s="4" t="s">
        <v>241</v>
      </c>
      <c r="CT1845" s="4">
        <v>0</v>
      </c>
      <c r="CU1845" s="4" t="s">
        <v>262</v>
      </c>
      <c r="CV1845" s="4" t="s">
        <v>263</v>
      </c>
      <c r="CW1845" s="4" t="s">
        <v>263</v>
      </c>
      <c r="CX1845" s="4" t="s">
        <v>264</v>
      </c>
      <c r="DA1845" s="6">
        <f>7951346</f>
        <v>7951346</v>
      </c>
      <c r="DC1845" s="4" t="s">
        <v>287</v>
      </c>
      <c r="DD1845" s="4" t="s">
        <v>241</v>
      </c>
      <c r="DF1845" s="4" t="s">
        <v>287</v>
      </c>
      <c r="DG1845" s="6">
        <f>1202</f>
        <v>1202</v>
      </c>
      <c r="DI1845" s="4" t="s">
        <v>241</v>
      </c>
      <c r="DJ1845" s="4" t="s">
        <v>241</v>
      </c>
      <c r="DK1845" s="4" t="s">
        <v>241</v>
      </c>
      <c r="DL1845" s="4" t="s">
        <v>241</v>
      </c>
      <c r="DP1845" s="4" t="s">
        <v>241</v>
      </c>
      <c r="DQ1845" s="4" t="s">
        <v>241</v>
      </c>
      <c r="DR1845" s="4" t="s">
        <v>241</v>
      </c>
      <c r="DS1845" s="4" t="s">
        <v>241</v>
      </c>
      <c r="DV1845" s="4" t="s">
        <v>278</v>
      </c>
      <c r="DW1845" s="4" t="s">
        <v>1328</v>
      </c>
      <c r="HO1845" s="4" t="s">
        <v>267</v>
      </c>
    </row>
    <row r="1846" spans="1:223" ht="19.5" customHeight="1" x14ac:dyDescent="0.4">
      <c r="A1846" s="4">
        <v>1</v>
      </c>
      <c r="B1846" s="4" t="s">
        <v>239</v>
      </c>
      <c r="C1846" s="4">
        <v>3543</v>
      </c>
      <c r="D1846" s="4">
        <v>1</v>
      </c>
      <c r="E1846" s="4">
        <v>1</v>
      </c>
      <c r="F1846" s="4" t="s">
        <v>268</v>
      </c>
      <c r="G1846" s="4" t="s">
        <v>241</v>
      </c>
      <c r="H1846" s="4" t="s">
        <v>241</v>
      </c>
      <c r="I1846" s="4" t="s">
        <v>272</v>
      </c>
      <c r="J1846" s="4" t="s">
        <v>274</v>
      </c>
      <c r="K1846" s="4" t="s">
        <v>251</v>
      </c>
      <c r="L1846" s="4" t="s">
        <v>1063</v>
      </c>
      <c r="M1846" s="5" t="s">
        <v>403</v>
      </c>
      <c r="N1846" s="6">
        <f>188</f>
        <v>188</v>
      </c>
      <c r="O1846" s="4" t="s">
        <v>265</v>
      </c>
      <c r="P1846" s="6">
        <f>1243638</f>
        <v>1243638</v>
      </c>
      <c r="Q1846" s="6">
        <f>0</f>
        <v>0</v>
      </c>
      <c r="S1846" s="6">
        <f>0</f>
        <v>0</v>
      </c>
      <c r="T1846" s="6">
        <f>1243638</f>
        <v>1243638</v>
      </c>
      <c r="U1846" s="5" t="s">
        <v>1064</v>
      </c>
      <c r="V1846" s="4" t="s">
        <v>270</v>
      </c>
      <c r="W1846" s="4" t="s">
        <v>242</v>
      </c>
      <c r="X1846" s="4" t="s">
        <v>273</v>
      </c>
      <c r="Y1846" s="4" t="s">
        <v>241</v>
      </c>
      <c r="AB1846" s="4" t="s">
        <v>241</v>
      </c>
      <c r="AD1846" s="5" t="s">
        <v>241</v>
      </c>
      <c r="AG1846" s="5" t="s">
        <v>311</v>
      </c>
      <c r="AH1846" s="4" t="s">
        <v>1065</v>
      </c>
      <c r="AI1846" s="4" t="s">
        <v>247</v>
      </c>
      <c r="AJ1846" s="4" t="s">
        <v>264</v>
      </c>
      <c r="AZ1846" s="4" t="s">
        <v>249</v>
      </c>
      <c r="BA1846" s="4" t="s">
        <v>241</v>
      </c>
      <c r="BB1846" s="4" t="s">
        <v>250</v>
      </c>
      <c r="BC1846" s="4" t="s">
        <v>241</v>
      </c>
      <c r="BD1846" s="4" t="s">
        <v>252</v>
      </c>
      <c r="BE1846" s="4" t="s">
        <v>241</v>
      </c>
      <c r="BI1846" s="4" t="s">
        <v>284</v>
      </c>
      <c r="BJ1846" s="5" t="s">
        <v>311</v>
      </c>
      <c r="BK1846" s="4" t="s">
        <v>254</v>
      </c>
      <c r="BL1846" s="4" t="s">
        <v>413</v>
      </c>
      <c r="BM1846" s="4" t="s">
        <v>241</v>
      </c>
      <c r="BN1846" s="6">
        <f>0</f>
        <v>0</v>
      </c>
      <c r="BO1846" s="6">
        <f>0</f>
        <v>0</v>
      </c>
      <c r="BP1846" s="4" t="s">
        <v>256</v>
      </c>
      <c r="BQ1846" s="4" t="s">
        <v>257</v>
      </c>
      <c r="CE1846" s="4" t="s">
        <v>241</v>
      </c>
      <c r="CF1846" s="4" t="s">
        <v>241</v>
      </c>
      <c r="CJ1846" s="4" t="s">
        <v>286</v>
      </c>
      <c r="CK1846" s="4" t="s">
        <v>259</v>
      </c>
      <c r="CL1846" s="4" t="s">
        <v>241</v>
      </c>
      <c r="CO1846" s="5" t="s">
        <v>260</v>
      </c>
      <c r="CP1846" s="4" t="s">
        <v>241</v>
      </c>
      <c r="CQ1846" s="4" t="s">
        <v>261</v>
      </c>
      <c r="CR1846" s="4" t="s">
        <v>241</v>
      </c>
      <c r="CS1846" s="4" t="s">
        <v>241</v>
      </c>
      <c r="CT1846" s="4">
        <v>0</v>
      </c>
      <c r="CU1846" s="4" t="s">
        <v>262</v>
      </c>
      <c r="CV1846" s="4" t="s">
        <v>263</v>
      </c>
      <c r="CW1846" s="4" t="s">
        <v>263</v>
      </c>
      <c r="CX1846" s="4" t="s">
        <v>264</v>
      </c>
      <c r="DA1846" s="6">
        <f>1243638</f>
        <v>1243638</v>
      </c>
      <c r="DC1846" s="4" t="s">
        <v>287</v>
      </c>
      <c r="DD1846" s="4" t="s">
        <v>241</v>
      </c>
      <c r="DF1846" s="4" t="s">
        <v>287</v>
      </c>
      <c r="DG1846" s="6">
        <f>188</f>
        <v>188</v>
      </c>
      <c r="DI1846" s="4" t="s">
        <v>241</v>
      </c>
      <c r="DJ1846" s="4" t="s">
        <v>241</v>
      </c>
      <c r="DK1846" s="4" t="s">
        <v>241</v>
      </c>
      <c r="DL1846" s="4" t="s">
        <v>241</v>
      </c>
      <c r="DP1846" s="4" t="s">
        <v>241</v>
      </c>
      <c r="DQ1846" s="4" t="s">
        <v>241</v>
      </c>
      <c r="DR1846" s="4" t="s">
        <v>241</v>
      </c>
      <c r="DS1846" s="4" t="s">
        <v>241</v>
      </c>
      <c r="DV1846" s="4" t="s">
        <v>278</v>
      </c>
      <c r="DW1846" s="4" t="s">
        <v>1066</v>
      </c>
      <c r="HO1846" s="4" t="s">
        <v>267</v>
      </c>
    </row>
    <row r="1847" spans="1:223" ht="19.5" customHeight="1" x14ac:dyDescent="0.4">
      <c r="A1847" s="4">
        <v>1</v>
      </c>
      <c r="B1847" s="4" t="s">
        <v>239</v>
      </c>
      <c r="C1847" s="4">
        <v>3544</v>
      </c>
      <c r="D1847" s="4">
        <v>1</v>
      </c>
      <c r="E1847" s="4">
        <v>1</v>
      </c>
      <c r="F1847" s="4" t="s">
        <v>268</v>
      </c>
      <c r="G1847" s="4" t="s">
        <v>241</v>
      </c>
      <c r="H1847" s="4" t="s">
        <v>241</v>
      </c>
      <c r="I1847" s="4" t="s">
        <v>272</v>
      </c>
      <c r="J1847" s="4" t="s">
        <v>274</v>
      </c>
      <c r="K1847" s="4" t="s">
        <v>251</v>
      </c>
      <c r="L1847" s="4" t="s">
        <v>2808</v>
      </c>
      <c r="M1847" s="5" t="s">
        <v>2809</v>
      </c>
      <c r="N1847" s="6">
        <f>158.11</f>
        <v>158.11000000000001</v>
      </c>
      <c r="O1847" s="4" t="s">
        <v>265</v>
      </c>
      <c r="P1847" s="6">
        <f>163775</f>
        <v>163775</v>
      </c>
      <c r="Q1847" s="6">
        <f>0</f>
        <v>0</v>
      </c>
      <c r="S1847" s="6">
        <f>0</f>
        <v>0</v>
      </c>
      <c r="T1847" s="6">
        <f>163775</f>
        <v>163775</v>
      </c>
      <c r="U1847" s="5" t="s">
        <v>1111</v>
      </c>
      <c r="V1847" s="4" t="s">
        <v>270</v>
      </c>
      <c r="W1847" s="4" t="s">
        <v>242</v>
      </c>
      <c r="X1847" s="4" t="s">
        <v>241</v>
      </c>
      <c r="Y1847" s="4" t="s">
        <v>241</v>
      </c>
      <c r="AB1847" s="4" t="s">
        <v>241</v>
      </c>
      <c r="AD1847" s="5" t="s">
        <v>241</v>
      </c>
      <c r="AG1847" s="5" t="s">
        <v>292</v>
      </c>
      <c r="AH1847" s="4" t="s">
        <v>241</v>
      </c>
      <c r="AI1847" s="4" t="s">
        <v>247</v>
      </c>
      <c r="AJ1847" s="4" t="s">
        <v>264</v>
      </c>
      <c r="AZ1847" s="4" t="s">
        <v>249</v>
      </c>
      <c r="BA1847" s="4" t="s">
        <v>241</v>
      </c>
      <c r="BB1847" s="4" t="s">
        <v>250</v>
      </c>
      <c r="BC1847" s="4" t="s">
        <v>241</v>
      </c>
      <c r="BD1847" s="4" t="s">
        <v>252</v>
      </c>
      <c r="BE1847" s="4" t="s">
        <v>241</v>
      </c>
      <c r="BI1847" s="4" t="s">
        <v>284</v>
      </c>
      <c r="BJ1847" s="5" t="s">
        <v>292</v>
      </c>
      <c r="BK1847" s="4" t="s">
        <v>254</v>
      </c>
      <c r="BL1847" s="4" t="s">
        <v>285</v>
      </c>
      <c r="BM1847" s="4" t="s">
        <v>241</v>
      </c>
      <c r="BN1847" s="6">
        <f>0</f>
        <v>0</v>
      </c>
      <c r="BO1847" s="6">
        <f>0</f>
        <v>0</v>
      </c>
      <c r="BP1847" s="4" t="s">
        <v>256</v>
      </c>
      <c r="BQ1847" s="4" t="s">
        <v>257</v>
      </c>
      <c r="CE1847" s="4" t="s">
        <v>241</v>
      </c>
      <c r="CF1847" s="4" t="s">
        <v>241</v>
      </c>
      <c r="CJ1847" s="4" t="s">
        <v>286</v>
      </c>
      <c r="CK1847" s="4" t="s">
        <v>259</v>
      </c>
      <c r="CL1847" s="4" t="s">
        <v>241</v>
      </c>
      <c r="CO1847" s="5" t="s">
        <v>260</v>
      </c>
      <c r="CP1847" s="4" t="s">
        <v>241</v>
      </c>
      <c r="CQ1847" s="4" t="s">
        <v>261</v>
      </c>
      <c r="CR1847" s="4" t="s">
        <v>241</v>
      </c>
      <c r="CS1847" s="4" t="s">
        <v>241</v>
      </c>
      <c r="CT1847" s="4">
        <v>0</v>
      </c>
      <c r="CU1847" s="4" t="s">
        <v>262</v>
      </c>
      <c r="CV1847" s="4" t="s">
        <v>263</v>
      </c>
      <c r="CW1847" s="4" t="s">
        <v>263</v>
      </c>
      <c r="CX1847" s="4" t="s">
        <v>264</v>
      </c>
      <c r="DA1847" s="6">
        <f>163775</f>
        <v>163775</v>
      </c>
      <c r="DC1847" s="4" t="s">
        <v>287</v>
      </c>
      <c r="DD1847" s="4" t="s">
        <v>241</v>
      </c>
      <c r="DF1847" s="4" t="s">
        <v>287</v>
      </c>
      <c r="DG1847" s="6">
        <f>158.11</f>
        <v>158.11000000000001</v>
      </c>
      <c r="DI1847" s="4" t="s">
        <v>241</v>
      </c>
      <c r="DJ1847" s="4" t="s">
        <v>241</v>
      </c>
      <c r="DK1847" s="4" t="s">
        <v>241</v>
      </c>
      <c r="DL1847" s="4" t="s">
        <v>241</v>
      </c>
      <c r="DP1847" s="4" t="s">
        <v>241</v>
      </c>
      <c r="DQ1847" s="4" t="s">
        <v>241</v>
      </c>
      <c r="DR1847" s="4" t="s">
        <v>241</v>
      </c>
      <c r="DS1847" s="4" t="s">
        <v>241</v>
      </c>
      <c r="DV1847" s="4" t="s">
        <v>278</v>
      </c>
      <c r="DW1847" s="4" t="s">
        <v>2810</v>
      </c>
      <c r="HO1847" s="4" t="s">
        <v>267</v>
      </c>
    </row>
    <row r="1848" spans="1:223" ht="19.5" customHeight="1" x14ac:dyDescent="0.4">
      <c r="A1848" s="4">
        <v>1</v>
      </c>
      <c r="B1848" s="4" t="s">
        <v>239</v>
      </c>
      <c r="C1848" s="4">
        <v>3545</v>
      </c>
      <c r="D1848" s="4">
        <v>1</v>
      </c>
      <c r="E1848" s="4">
        <v>1</v>
      </c>
      <c r="F1848" s="4" t="s">
        <v>268</v>
      </c>
      <c r="G1848" s="4" t="s">
        <v>241</v>
      </c>
      <c r="H1848" s="4" t="s">
        <v>241</v>
      </c>
      <c r="I1848" s="4" t="s">
        <v>272</v>
      </c>
      <c r="J1848" s="4" t="s">
        <v>274</v>
      </c>
      <c r="K1848" s="4" t="s">
        <v>251</v>
      </c>
      <c r="L1848" s="4" t="s">
        <v>1100</v>
      </c>
      <c r="M1848" s="5" t="s">
        <v>1102</v>
      </c>
      <c r="N1848" s="6">
        <f>104.93</f>
        <v>104.93</v>
      </c>
      <c r="O1848" s="4" t="s">
        <v>265</v>
      </c>
      <c r="P1848" s="6">
        <f>452749</f>
        <v>452749</v>
      </c>
      <c r="Q1848" s="6">
        <f>0</f>
        <v>0</v>
      </c>
      <c r="S1848" s="6">
        <f>0</f>
        <v>0</v>
      </c>
      <c r="T1848" s="6">
        <f>452749</f>
        <v>452749</v>
      </c>
      <c r="U1848" s="5" t="s">
        <v>1101</v>
      </c>
      <c r="V1848" s="4" t="s">
        <v>270</v>
      </c>
      <c r="W1848" s="4" t="s">
        <v>242</v>
      </c>
      <c r="X1848" s="4" t="s">
        <v>241</v>
      </c>
      <c r="Y1848" s="4" t="s">
        <v>241</v>
      </c>
      <c r="AB1848" s="4" t="s">
        <v>241</v>
      </c>
      <c r="AD1848" s="5" t="s">
        <v>241</v>
      </c>
      <c r="AG1848" s="5" t="s">
        <v>358</v>
      </c>
      <c r="AH1848" s="4" t="s">
        <v>241</v>
      </c>
      <c r="AI1848" s="4" t="s">
        <v>247</v>
      </c>
      <c r="AJ1848" s="4" t="s">
        <v>264</v>
      </c>
      <c r="AZ1848" s="4" t="s">
        <v>249</v>
      </c>
      <c r="BA1848" s="4" t="s">
        <v>241</v>
      </c>
      <c r="BB1848" s="4" t="s">
        <v>250</v>
      </c>
      <c r="BC1848" s="4" t="s">
        <v>241</v>
      </c>
      <c r="BD1848" s="4" t="s">
        <v>252</v>
      </c>
      <c r="BE1848" s="4" t="s">
        <v>241</v>
      </c>
      <c r="BI1848" s="4" t="s">
        <v>284</v>
      </c>
      <c r="BJ1848" s="5" t="s">
        <v>358</v>
      </c>
      <c r="BK1848" s="4" t="s">
        <v>254</v>
      </c>
      <c r="BL1848" s="4" t="s">
        <v>306</v>
      </c>
      <c r="BM1848" s="4" t="s">
        <v>241</v>
      </c>
      <c r="BN1848" s="6">
        <f>0</f>
        <v>0</v>
      </c>
      <c r="BO1848" s="6">
        <f>0</f>
        <v>0</v>
      </c>
      <c r="BP1848" s="4" t="s">
        <v>256</v>
      </c>
      <c r="BQ1848" s="4" t="s">
        <v>257</v>
      </c>
      <c r="CE1848" s="4" t="s">
        <v>241</v>
      </c>
      <c r="CF1848" s="4" t="s">
        <v>241</v>
      </c>
      <c r="CJ1848" s="4" t="s">
        <v>286</v>
      </c>
      <c r="CK1848" s="4" t="s">
        <v>259</v>
      </c>
      <c r="CL1848" s="4" t="s">
        <v>241</v>
      </c>
      <c r="CO1848" s="5" t="s">
        <v>260</v>
      </c>
      <c r="CP1848" s="4" t="s">
        <v>241</v>
      </c>
      <c r="CQ1848" s="4" t="s">
        <v>261</v>
      </c>
      <c r="CR1848" s="4" t="s">
        <v>241</v>
      </c>
      <c r="CS1848" s="4" t="s">
        <v>241</v>
      </c>
      <c r="CT1848" s="4">
        <v>0</v>
      </c>
      <c r="CU1848" s="4" t="s">
        <v>262</v>
      </c>
      <c r="CV1848" s="4" t="s">
        <v>263</v>
      </c>
      <c r="CW1848" s="4" t="s">
        <v>263</v>
      </c>
      <c r="CX1848" s="4" t="s">
        <v>264</v>
      </c>
      <c r="DA1848" s="6">
        <f>452749</f>
        <v>452749</v>
      </c>
      <c r="DC1848" s="4" t="s">
        <v>287</v>
      </c>
      <c r="DD1848" s="4" t="s">
        <v>241</v>
      </c>
      <c r="DF1848" s="4" t="s">
        <v>287</v>
      </c>
      <c r="DG1848" s="6">
        <f>104.93</f>
        <v>104.93</v>
      </c>
      <c r="DI1848" s="4" t="s">
        <v>241</v>
      </c>
      <c r="DJ1848" s="4" t="s">
        <v>241</v>
      </c>
      <c r="DK1848" s="4" t="s">
        <v>241</v>
      </c>
      <c r="DL1848" s="4" t="s">
        <v>241</v>
      </c>
      <c r="DP1848" s="4" t="s">
        <v>241</v>
      </c>
      <c r="DQ1848" s="4" t="s">
        <v>241</v>
      </c>
      <c r="DR1848" s="4" t="s">
        <v>241</v>
      </c>
      <c r="DS1848" s="4" t="s">
        <v>241</v>
      </c>
      <c r="DV1848" s="4" t="s">
        <v>278</v>
      </c>
      <c r="DW1848" s="4" t="s">
        <v>1103</v>
      </c>
      <c r="HO1848" s="4" t="s">
        <v>267</v>
      </c>
    </row>
    <row r="1849" spans="1:223" ht="19.5" customHeight="1" x14ac:dyDescent="0.4">
      <c r="A1849" s="4">
        <v>1</v>
      </c>
      <c r="B1849" s="4" t="s">
        <v>239</v>
      </c>
      <c r="C1849" s="4">
        <v>3546</v>
      </c>
      <c r="D1849" s="4">
        <v>1</v>
      </c>
      <c r="E1849" s="4">
        <v>1</v>
      </c>
      <c r="F1849" s="4" t="s">
        <v>268</v>
      </c>
      <c r="G1849" s="4" t="s">
        <v>241</v>
      </c>
      <c r="H1849" s="4" t="s">
        <v>241</v>
      </c>
      <c r="I1849" s="4" t="s">
        <v>272</v>
      </c>
      <c r="J1849" s="4" t="s">
        <v>274</v>
      </c>
      <c r="K1849" s="4" t="s">
        <v>251</v>
      </c>
      <c r="L1849" s="4" t="s">
        <v>372</v>
      </c>
      <c r="M1849" s="5" t="s">
        <v>294</v>
      </c>
      <c r="N1849" s="6">
        <f>197.32</f>
        <v>197.32</v>
      </c>
      <c r="O1849" s="4" t="s">
        <v>265</v>
      </c>
      <c r="P1849" s="6">
        <f>579363</f>
        <v>579363</v>
      </c>
      <c r="Q1849" s="6">
        <f>0</f>
        <v>0</v>
      </c>
      <c r="S1849" s="6">
        <f>0</f>
        <v>0</v>
      </c>
      <c r="T1849" s="6">
        <f>579363</f>
        <v>579363</v>
      </c>
      <c r="U1849" s="5" t="s">
        <v>373</v>
      </c>
      <c r="V1849" s="4" t="s">
        <v>270</v>
      </c>
      <c r="W1849" s="4" t="s">
        <v>242</v>
      </c>
      <c r="X1849" s="4" t="s">
        <v>241</v>
      </c>
      <c r="Y1849" s="4" t="s">
        <v>241</v>
      </c>
      <c r="AB1849" s="4" t="s">
        <v>241</v>
      </c>
      <c r="AD1849" s="5" t="s">
        <v>241</v>
      </c>
      <c r="AG1849" s="5" t="s">
        <v>358</v>
      </c>
      <c r="AH1849" s="4" t="s">
        <v>241</v>
      </c>
      <c r="AI1849" s="4" t="s">
        <v>247</v>
      </c>
      <c r="AJ1849" s="4" t="s">
        <v>264</v>
      </c>
      <c r="AZ1849" s="4" t="s">
        <v>249</v>
      </c>
      <c r="BA1849" s="4" t="s">
        <v>241</v>
      </c>
      <c r="BB1849" s="4" t="s">
        <v>250</v>
      </c>
      <c r="BC1849" s="4" t="s">
        <v>241</v>
      </c>
      <c r="BD1849" s="4" t="s">
        <v>252</v>
      </c>
      <c r="BE1849" s="4" t="s">
        <v>241</v>
      </c>
      <c r="BI1849" s="4" t="s">
        <v>284</v>
      </c>
      <c r="BJ1849" s="5" t="s">
        <v>373</v>
      </c>
      <c r="BK1849" s="4" t="s">
        <v>254</v>
      </c>
      <c r="BL1849" s="4" t="s">
        <v>306</v>
      </c>
      <c r="BM1849" s="4" t="s">
        <v>241</v>
      </c>
      <c r="BN1849" s="6">
        <f>0</f>
        <v>0</v>
      </c>
      <c r="BO1849" s="6">
        <f>0</f>
        <v>0</v>
      </c>
      <c r="BP1849" s="4" t="s">
        <v>256</v>
      </c>
      <c r="BQ1849" s="4" t="s">
        <v>257</v>
      </c>
      <c r="CE1849" s="4" t="s">
        <v>241</v>
      </c>
      <c r="CF1849" s="4" t="s">
        <v>241</v>
      </c>
      <c r="CJ1849" s="4" t="s">
        <v>286</v>
      </c>
      <c r="CK1849" s="4" t="s">
        <v>259</v>
      </c>
      <c r="CL1849" s="4" t="s">
        <v>241</v>
      </c>
      <c r="CO1849" s="5" t="s">
        <v>260</v>
      </c>
      <c r="CP1849" s="4" t="s">
        <v>241</v>
      </c>
      <c r="CQ1849" s="4" t="s">
        <v>261</v>
      </c>
      <c r="CR1849" s="4" t="s">
        <v>241</v>
      </c>
      <c r="CS1849" s="4" t="s">
        <v>241</v>
      </c>
      <c r="CT1849" s="4">
        <v>0</v>
      </c>
      <c r="CU1849" s="4" t="s">
        <v>262</v>
      </c>
      <c r="CV1849" s="4" t="s">
        <v>263</v>
      </c>
      <c r="CW1849" s="4" t="s">
        <v>263</v>
      </c>
      <c r="CX1849" s="4" t="s">
        <v>264</v>
      </c>
      <c r="DA1849" s="6">
        <f>579363</f>
        <v>579363</v>
      </c>
      <c r="DC1849" s="4" t="s">
        <v>287</v>
      </c>
      <c r="DD1849" s="4" t="s">
        <v>241</v>
      </c>
      <c r="DF1849" s="4" t="s">
        <v>287</v>
      </c>
      <c r="DG1849" s="6">
        <f>197.32</f>
        <v>197.32</v>
      </c>
      <c r="DI1849" s="4" t="s">
        <v>241</v>
      </c>
      <c r="DJ1849" s="4" t="s">
        <v>241</v>
      </c>
      <c r="DK1849" s="4" t="s">
        <v>241</v>
      </c>
      <c r="DL1849" s="4" t="s">
        <v>241</v>
      </c>
      <c r="DP1849" s="4" t="s">
        <v>241</v>
      </c>
      <c r="DQ1849" s="4" t="s">
        <v>241</v>
      </c>
      <c r="DR1849" s="4" t="s">
        <v>241</v>
      </c>
      <c r="DS1849" s="4" t="s">
        <v>241</v>
      </c>
      <c r="DV1849" s="4" t="s">
        <v>278</v>
      </c>
      <c r="DW1849" s="4" t="s">
        <v>374</v>
      </c>
      <c r="HO1849" s="4" t="s">
        <v>267</v>
      </c>
    </row>
    <row r="1850" spans="1:223" ht="19.5" customHeight="1" x14ac:dyDescent="0.4">
      <c r="A1850" s="4">
        <v>1</v>
      </c>
      <c r="B1850" s="4" t="s">
        <v>239</v>
      </c>
      <c r="C1850" s="4">
        <v>3547</v>
      </c>
      <c r="D1850" s="4">
        <v>1</v>
      </c>
      <c r="E1850" s="4">
        <v>1</v>
      </c>
      <c r="F1850" s="4" t="s">
        <v>268</v>
      </c>
      <c r="G1850" s="4" t="s">
        <v>241</v>
      </c>
      <c r="H1850" s="4" t="s">
        <v>241</v>
      </c>
      <c r="I1850" s="4" t="s">
        <v>272</v>
      </c>
      <c r="J1850" s="4" t="s">
        <v>274</v>
      </c>
      <c r="K1850" s="4" t="s">
        <v>251</v>
      </c>
      <c r="L1850" s="4" t="s">
        <v>1097</v>
      </c>
      <c r="M1850" s="5" t="s">
        <v>294</v>
      </c>
      <c r="N1850" s="6">
        <f>0</f>
        <v>0</v>
      </c>
      <c r="O1850" s="4" t="s">
        <v>265</v>
      </c>
      <c r="P1850" s="6">
        <f>3699005</f>
        <v>3699005</v>
      </c>
      <c r="Q1850" s="6">
        <f>0</f>
        <v>0</v>
      </c>
      <c r="S1850" s="6">
        <f>0</f>
        <v>0</v>
      </c>
      <c r="T1850" s="6">
        <f>3699005</f>
        <v>3699005</v>
      </c>
      <c r="U1850" s="5" t="s">
        <v>373</v>
      </c>
      <c r="V1850" s="4" t="s">
        <v>270</v>
      </c>
      <c r="W1850" s="4" t="s">
        <v>242</v>
      </c>
      <c r="X1850" s="4" t="s">
        <v>241</v>
      </c>
      <c r="Y1850" s="4" t="s">
        <v>241</v>
      </c>
      <c r="AB1850" s="4" t="s">
        <v>241</v>
      </c>
      <c r="AD1850" s="5" t="s">
        <v>241</v>
      </c>
      <c r="AG1850" s="5" t="s">
        <v>1088</v>
      </c>
      <c r="AH1850" s="4" t="s">
        <v>241</v>
      </c>
      <c r="AI1850" s="4" t="s">
        <v>247</v>
      </c>
      <c r="AJ1850" s="4" t="s">
        <v>264</v>
      </c>
      <c r="AZ1850" s="4" t="s">
        <v>249</v>
      </c>
      <c r="BA1850" s="4" t="s">
        <v>241</v>
      </c>
      <c r="BB1850" s="4" t="s">
        <v>250</v>
      </c>
      <c r="BC1850" s="4" t="s">
        <v>241</v>
      </c>
      <c r="BD1850" s="4" t="s">
        <v>252</v>
      </c>
      <c r="BE1850" s="4" t="s">
        <v>241</v>
      </c>
      <c r="BI1850" s="4" t="s">
        <v>284</v>
      </c>
      <c r="BJ1850" s="5" t="s">
        <v>373</v>
      </c>
      <c r="BK1850" s="4" t="s">
        <v>254</v>
      </c>
      <c r="BL1850" s="4" t="s">
        <v>306</v>
      </c>
      <c r="BM1850" s="4" t="s">
        <v>241</v>
      </c>
      <c r="BN1850" s="6">
        <f>0</f>
        <v>0</v>
      </c>
      <c r="BO1850" s="6">
        <f>0</f>
        <v>0</v>
      </c>
      <c r="BP1850" s="4" t="s">
        <v>256</v>
      </c>
      <c r="BQ1850" s="4" t="s">
        <v>257</v>
      </c>
      <c r="CE1850" s="4" t="s">
        <v>241</v>
      </c>
      <c r="CF1850" s="4" t="s">
        <v>241</v>
      </c>
      <c r="CJ1850" s="4" t="s">
        <v>286</v>
      </c>
      <c r="CK1850" s="4" t="s">
        <v>259</v>
      </c>
      <c r="CL1850" s="4" t="s">
        <v>241</v>
      </c>
      <c r="CO1850" s="5" t="s">
        <v>260</v>
      </c>
      <c r="CP1850" s="4" t="s">
        <v>241</v>
      </c>
      <c r="CQ1850" s="4" t="s">
        <v>261</v>
      </c>
      <c r="CR1850" s="4" t="s">
        <v>241</v>
      </c>
      <c r="CS1850" s="4" t="s">
        <v>241</v>
      </c>
      <c r="CT1850" s="4">
        <v>0</v>
      </c>
      <c r="CU1850" s="4" t="s">
        <v>262</v>
      </c>
      <c r="CV1850" s="4" t="s">
        <v>263</v>
      </c>
      <c r="CW1850" s="4" t="s">
        <v>263</v>
      </c>
      <c r="CX1850" s="4" t="s">
        <v>264</v>
      </c>
      <c r="DA1850" s="6">
        <f>3699005</f>
        <v>3699005</v>
      </c>
      <c r="DC1850" s="4" t="s">
        <v>287</v>
      </c>
      <c r="DD1850" s="4" t="s">
        <v>241</v>
      </c>
      <c r="DF1850" s="4" t="s">
        <v>287</v>
      </c>
      <c r="DG1850" s="6">
        <f>0</f>
        <v>0</v>
      </c>
      <c r="DI1850" s="4" t="s">
        <v>241</v>
      </c>
      <c r="DJ1850" s="4" t="s">
        <v>241</v>
      </c>
      <c r="DK1850" s="4" t="s">
        <v>241</v>
      </c>
      <c r="DL1850" s="4" t="s">
        <v>241</v>
      </c>
      <c r="DP1850" s="4" t="s">
        <v>241</v>
      </c>
      <c r="DQ1850" s="4" t="s">
        <v>241</v>
      </c>
      <c r="DR1850" s="4" t="s">
        <v>241</v>
      </c>
      <c r="DS1850" s="4" t="s">
        <v>241</v>
      </c>
      <c r="DV1850" s="4" t="s">
        <v>278</v>
      </c>
      <c r="DW1850" s="4" t="s">
        <v>1098</v>
      </c>
      <c r="HO1850" s="4" t="s">
        <v>267</v>
      </c>
    </row>
    <row r="1851" spans="1:223" ht="19.5" customHeight="1" x14ac:dyDescent="0.4">
      <c r="A1851" s="4">
        <v>1</v>
      </c>
      <c r="B1851" s="4" t="s">
        <v>239</v>
      </c>
      <c r="C1851" s="4">
        <v>3548</v>
      </c>
      <c r="D1851" s="4">
        <v>1</v>
      </c>
      <c r="E1851" s="4">
        <v>1</v>
      </c>
      <c r="F1851" s="4" t="s">
        <v>268</v>
      </c>
      <c r="G1851" s="4" t="s">
        <v>241</v>
      </c>
      <c r="H1851" s="4" t="s">
        <v>241</v>
      </c>
      <c r="I1851" s="4" t="s">
        <v>272</v>
      </c>
      <c r="J1851" s="4" t="s">
        <v>274</v>
      </c>
      <c r="K1851" s="4" t="s">
        <v>251</v>
      </c>
      <c r="L1851" s="4" t="s">
        <v>399</v>
      </c>
      <c r="M1851" s="5" t="s">
        <v>403</v>
      </c>
      <c r="N1851" s="6">
        <f>0</f>
        <v>0</v>
      </c>
      <c r="O1851" s="4" t="s">
        <v>265</v>
      </c>
      <c r="P1851" s="6">
        <f>4612103</f>
        <v>4612103</v>
      </c>
      <c r="Q1851" s="6">
        <f>0</f>
        <v>0</v>
      </c>
      <c r="S1851" s="6">
        <f>0</f>
        <v>0</v>
      </c>
      <c r="T1851" s="6">
        <f>4612103</f>
        <v>4612103</v>
      </c>
      <c r="U1851" s="5" t="s">
        <v>400</v>
      </c>
      <c r="V1851" s="4" t="s">
        <v>270</v>
      </c>
      <c r="W1851" s="4" t="s">
        <v>242</v>
      </c>
      <c r="X1851" s="4" t="s">
        <v>241</v>
      </c>
      <c r="Y1851" s="4" t="s">
        <v>241</v>
      </c>
      <c r="AB1851" s="4" t="s">
        <v>241</v>
      </c>
      <c r="AD1851" s="5" t="s">
        <v>241</v>
      </c>
      <c r="AG1851" s="5" t="s">
        <v>401</v>
      </c>
      <c r="AH1851" s="4" t="s">
        <v>402</v>
      </c>
      <c r="AI1851" s="4" t="s">
        <v>247</v>
      </c>
      <c r="AJ1851" s="4" t="s">
        <v>248</v>
      </c>
      <c r="AZ1851" s="4" t="s">
        <v>249</v>
      </c>
      <c r="BA1851" s="4" t="s">
        <v>241</v>
      </c>
      <c r="BB1851" s="4" t="s">
        <v>250</v>
      </c>
      <c r="BC1851" s="4" t="s">
        <v>241</v>
      </c>
      <c r="BD1851" s="4" t="s">
        <v>252</v>
      </c>
      <c r="BE1851" s="4" t="s">
        <v>241</v>
      </c>
      <c r="BI1851" s="4" t="s">
        <v>284</v>
      </c>
      <c r="BJ1851" s="5" t="s">
        <v>400</v>
      </c>
      <c r="BK1851" s="4" t="s">
        <v>254</v>
      </c>
      <c r="BL1851" s="4" t="s">
        <v>306</v>
      </c>
      <c r="BM1851" s="4" t="s">
        <v>241</v>
      </c>
      <c r="BN1851" s="6">
        <f>0</f>
        <v>0</v>
      </c>
      <c r="BO1851" s="6">
        <f>0</f>
        <v>0</v>
      </c>
      <c r="BP1851" s="4" t="s">
        <v>256</v>
      </c>
      <c r="BQ1851" s="4" t="s">
        <v>257</v>
      </c>
      <c r="CE1851" s="4" t="s">
        <v>241</v>
      </c>
      <c r="CF1851" s="4" t="s">
        <v>241</v>
      </c>
      <c r="CJ1851" s="4" t="s">
        <v>258</v>
      </c>
      <c r="CK1851" s="4" t="s">
        <v>259</v>
      </c>
      <c r="CL1851" s="4" t="s">
        <v>241</v>
      </c>
      <c r="CO1851" s="5" t="s">
        <v>260</v>
      </c>
      <c r="CP1851" s="4" t="s">
        <v>241</v>
      </c>
      <c r="CQ1851" s="4" t="s">
        <v>261</v>
      </c>
      <c r="CR1851" s="4" t="s">
        <v>241</v>
      </c>
      <c r="CS1851" s="4" t="s">
        <v>241</v>
      </c>
      <c r="CT1851" s="4">
        <v>0</v>
      </c>
      <c r="CU1851" s="4" t="s">
        <v>262</v>
      </c>
      <c r="CV1851" s="4" t="s">
        <v>263</v>
      </c>
      <c r="CW1851" s="4" t="s">
        <v>263</v>
      </c>
      <c r="CX1851" s="4" t="s">
        <v>264</v>
      </c>
      <c r="DA1851" s="6">
        <f>4612103</f>
        <v>4612103</v>
      </c>
      <c r="DC1851" s="4" t="s">
        <v>287</v>
      </c>
      <c r="DD1851" s="4" t="s">
        <v>241</v>
      </c>
      <c r="DF1851" s="4" t="s">
        <v>287</v>
      </c>
      <c r="DG1851" s="6">
        <f>0</f>
        <v>0</v>
      </c>
      <c r="DI1851" s="4" t="s">
        <v>241</v>
      </c>
      <c r="DJ1851" s="4" t="s">
        <v>241</v>
      </c>
      <c r="DK1851" s="4" t="s">
        <v>241</v>
      </c>
      <c r="DL1851" s="4" t="s">
        <v>241</v>
      </c>
      <c r="DP1851" s="4" t="s">
        <v>241</v>
      </c>
      <c r="DQ1851" s="4" t="s">
        <v>241</v>
      </c>
      <c r="DR1851" s="4" t="s">
        <v>241</v>
      </c>
      <c r="DS1851" s="4" t="s">
        <v>241</v>
      </c>
      <c r="DV1851" s="4" t="s">
        <v>278</v>
      </c>
      <c r="DW1851" s="4" t="s">
        <v>404</v>
      </c>
      <c r="HO1851" s="4" t="s">
        <v>267</v>
      </c>
    </row>
    <row r="1852" spans="1:223" ht="19.5" customHeight="1" x14ac:dyDescent="0.4">
      <c r="A1852" s="4">
        <v>1</v>
      </c>
      <c r="B1852" s="4" t="s">
        <v>239</v>
      </c>
      <c r="C1852" s="4">
        <v>3549</v>
      </c>
      <c r="D1852" s="4">
        <v>1</v>
      </c>
      <c r="E1852" s="4">
        <v>1</v>
      </c>
      <c r="F1852" s="4" t="s">
        <v>268</v>
      </c>
      <c r="G1852" s="4" t="s">
        <v>241</v>
      </c>
      <c r="H1852" s="4" t="s">
        <v>241</v>
      </c>
      <c r="I1852" s="4" t="s">
        <v>272</v>
      </c>
      <c r="J1852" s="4" t="s">
        <v>274</v>
      </c>
      <c r="K1852" s="4" t="s">
        <v>251</v>
      </c>
      <c r="L1852" s="4" t="s">
        <v>1330</v>
      </c>
      <c r="M1852" s="5" t="s">
        <v>403</v>
      </c>
      <c r="N1852" s="6">
        <f>0</f>
        <v>0</v>
      </c>
      <c r="O1852" s="4" t="s">
        <v>265</v>
      </c>
      <c r="P1852" s="6">
        <f>7451274</f>
        <v>7451274</v>
      </c>
      <c r="Q1852" s="6">
        <f>0</f>
        <v>0</v>
      </c>
      <c r="S1852" s="6">
        <f>0</f>
        <v>0</v>
      </c>
      <c r="T1852" s="6">
        <f>7451274</f>
        <v>7451274</v>
      </c>
      <c r="U1852" s="5" t="s">
        <v>400</v>
      </c>
      <c r="V1852" s="4" t="s">
        <v>270</v>
      </c>
      <c r="W1852" s="4" t="s">
        <v>242</v>
      </c>
      <c r="X1852" s="4" t="s">
        <v>241</v>
      </c>
      <c r="Y1852" s="4" t="s">
        <v>241</v>
      </c>
      <c r="AB1852" s="4" t="s">
        <v>241</v>
      </c>
      <c r="AD1852" s="5" t="s">
        <v>241</v>
      </c>
      <c r="AG1852" s="5" t="s">
        <v>1088</v>
      </c>
      <c r="AH1852" s="4" t="s">
        <v>402</v>
      </c>
      <c r="AI1852" s="4" t="s">
        <v>247</v>
      </c>
      <c r="AJ1852" s="4" t="s">
        <v>248</v>
      </c>
      <c r="AZ1852" s="4" t="s">
        <v>249</v>
      </c>
      <c r="BA1852" s="4" t="s">
        <v>241</v>
      </c>
      <c r="BB1852" s="4" t="s">
        <v>250</v>
      </c>
      <c r="BC1852" s="4" t="s">
        <v>241</v>
      </c>
      <c r="BD1852" s="4" t="s">
        <v>252</v>
      </c>
      <c r="BE1852" s="4" t="s">
        <v>241</v>
      </c>
      <c r="BI1852" s="4" t="s">
        <v>284</v>
      </c>
      <c r="BJ1852" s="5" t="s">
        <v>400</v>
      </c>
      <c r="BK1852" s="4" t="s">
        <v>254</v>
      </c>
      <c r="BL1852" s="4" t="s">
        <v>306</v>
      </c>
      <c r="BM1852" s="4" t="s">
        <v>241</v>
      </c>
      <c r="BN1852" s="6">
        <f>0</f>
        <v>0</v>
      </c>
      <c r="BO1852" s="6">
        <f>0</f>
        <v>0</v>
      </c>
      <c r="BP1852" s="4" t="s">
        <v>256</v>
      </c>
      <c r="BQ1852" s="4" t="s">
        <v>257</v>
      </c>
      <c r="CE1852" s="4" t="s">
        <v>241</v>
      </c>
      <c r="CF1852" s="4" t="s">
        <v>241</v>
      </c>
      <c r="CJ1852" s="4" t="s">
        <v>258</v>
      </c>
      <c r="CK1852" s="4" t="s">
        <v>259</v>
      </c>
      <c r="CL1852" s="4" t="s">
        <v>241</v>
      </c>
      <c r="CO1852" s="5" t="s">
        <v>260</v>
      </c>
      <c r="CP1852" s="4" t="s">
        <v>241</v>
      </c>
      <c r="CQ1852" s="4" t="s">
        <v>261</v>
      </c>
      <c r="CR1852" s="4" t="s">
        <v>241</v>
      </c>
      <c r="CS1852" s="4" t="s">
        <v>241</v>
      </c>
      <c r="CT1852" s="4">
        <v>0</v>
      </c>
      <c r="CU1852" s="4" t="s">
        <v>262</v>
      </c>
      <c r="CV1852" s="4" t="s">
        <v>263</v>
      </c>
      <c r="CW1852" s="4" t="s">
        <v>263</v>
      </c>
      <c r="CX1852" s="4" t="s">
        <v>264</v>
      </c>
      <c r="DA1852" s="6">
        <f>7451274</f>
        <v>7451274</v>
      </c>
      <c r="DC1852" s="4" t="s">
        <v>287</v>
      </c>
      <c r="DD1852" s="4" t="s">
        <v>241</v>
      </c>
      <c r="DF1852" s="4" t="s">
        <v>287</v>
      </c>
      <c r="DG1852" s="6">
        <f>0</f>
        <v>0</v>
      </c>
      <c r="DI1852" s="4" t="s">
        <v>241</v>
      </c>
      <c r="DJ1852" s="4" t="s">
        <v>241</v>
      </c>
      <c r="DK1852" s="4" t="s">
        <v>241</v>
      </c>
      <c r="DL1852" s="4" t="s">
        <v>241</v>
      </c>
      <c r="DP1852" s="4" t="s">
        <v>241</v>
      </c>
      <c r="DQ1852" s="4" t="s">
        <v>241</v>
      </c>
      <c r="DR1852" s="4" t="s">
        <v>241</v>
      </c>
      <c r="DS1852" s="4" t="s">
        <v>241</v>
      </c>
      <c r="DV1852" s="4" t="s">
        <v>278</v>
      </c>
      <c r="DW1852" s="4" t="s">
        <v>1331</v>
      </c>
      <c r="HO1852" s="4" t="s">
        <v>267</v>
      </c>
    </row>
    <row r="1853" spans="1:223" ht="19.5" customHeight="1" x14ac:dyDescent="0.4">
      <c r="A1853" s="4">
        <v>1</v>
      </c>
      <c r="B1853" s="4" t="s">
        <v>239</v>
      </c>
      <c r="C1853" s="4">
        <v>3550</v>
      </c>
      <c r="D1853" s="4">
        <v>1</v>
      </c>
      <c r="E1853" s="4">
        <v>1</v>
      </c>
      <c r="F1853" s="4" t="s">
        <v>268</v>
      </c>
      <c r="G1853" s="4" t="s">
        <v>241</v>
      </c>
      <c r="H1853" s="4" t="s">
        <v>241</v>
      </c>
      <c r="I1853" s="4" t="s">
        <v>272</v>
      </c>
      <c r="J1853" s="4" t="s">
        <v>274</v>
      </c>
      <c r="K1853" s="4" t="s">
        <v>251</v>
      </c>
      <c r="L1853" s="4" t="s">
        <v>1364</v>
      </c>
      <c r="M1853" s="5" t="s">
        <v>403</v>
      </c>
      <c r="N1853" s="6">
        <f>0</f>
        <v>0</v>
      </c>
      <c r="O1853" s="4" t="s">
        <v>265</v>
      </c>
      <c r="P1853" s="6">
        <f>1165424</f>
        <v>1165424</v>
      </c>
      <c r="Q1853" s="6">
        <f>0</f>
        <v>0</v>
      </c>
      <c r="S1853" s="6">
        <f>0</f>
        <v>0</v>
      </c>
      <c r="T1853" s="6">
        <f>1165424</f>
        <v>1165424</v>
      </c>
      <c r="U1853" s="5" t="s">
        <v>400</v>
      </c>
      <c r="V1853" s="4" t="s">
        <v>270</v>
      </c>
      <c r="W1853" s="4" t="s">
        <v>242</v>
      </c>
      <c r="X1853" s="4" t="s">
        <v>241</v>
      </c>
      <c r="Y1853" s="4" t="s">
        <v>241</v>
      </c>
      <c r="AB1853" s="4" t="s">
        <v>241</v>
      </c>
      <c r="AD1853" s="5" t="s">
        <v>241</v>
      </c>
      <c r="AG1853" s="5" t="s">
        <v>400</v>
      </c>
      <c r="AH1853" s="4" t="s">
        <v>402</v>
      </c>
      <c r="AI1853" s="4" t="s">
        <v>247</v>
      </c>
      <c r="AJ1853" s="4" t="s">
        <v>248</v>
      </c>
      <c r="AZ1853" s="4" t="s">
        <v>249</v>
      </c>
      <c r="BA1853" s="4" t="s">
        <v>241</v>
      </c>
      <c r="BB1853" s="4" t="s">
        <v>250</v>
      </c>
      <c r="BC1853" s="4" t="s">
        <v>241</v>
      </c>
      <c r="BD1853" s="4" t="s">
        <v>252</v>
      </c>
      <c r="BE1853" s="4" t="s">
        <v>241</v>
      </c>
      <c r="BI1853" s="4" t="s">
        <v>284</v>
      </c>
      <c r="BJ1853" s="5" t="s">
        <v>400</v>
      </c>
      <c r="BK1853" s="4" t="s">
        <v>254</v>
      </c>
      <c r="BL1853" s="4" t="s">
        <v>306</v>
      </c>
      <c r="BM1853" s="4" t="s">
        <v>241</v>
      </c>
      <c r="BN1853" s="6">
        <f>0</f>
        <v>0</v>
      </c>
      <c r="BO1853" s="6">
        <f>0</f>
        <v>0</v>
      </c>
      <c r="BP1853" s="4" t="s">
        <v>256</v>
      </c>
      <c r="BQ1853" s="4" t="s">
        <v>257</v>
      </c>
      <c r="CE1853" s="4" t="s">
        <v>241</v>
      </c>
      <c r="CF1853" s="4" t="s">
        <v>241</v>
      </c>
      <c r="CJ1853" s="4" t="s">
        <v>258</v>
      </c>
      <c r="CK1853" s="4" t="s">
        <v>259</v>
      </c>
      <c r="CL1853" s="4" t="s">
        <v>241</v>
      </c>
      <c r="CO1853" s="5" t="s">
        <v>260</v>
      </c>
      <c r="CP1853" s="4" t="s">
        <v>241</v>
      </c>
      <c r="CQ1853" s="4" t="s">
        <v>261</v>
      </c>
      <c r="CR1853" s="4" t="s">
        <v>241</v>
      </c>
      <c r="CS1853" s="4" t="s">
        <v>241</v>
      </c>
      <c r="CT1853" s="4">
        <v>0</v>
      </c>
      <c r="CU1853" s="4" t="s">
        <v>262</v>
      </c>
      <c r="CV1853" s="4" t="s">
        <v>263</v>
      </c>
      <c r="CW1853" s="4" t="s">
        <v>263</v>
      </c>
      <c r="CX1853" s="4" t="s">
        <v>264</v>
      </c>
      <c r="DA1853" s="6">
        <f>1165424</f>
        <v>1165424</v>
      </c>
      <c r="DC1853" s="4" t="s">
        <v>287</v>
      </c>
      <c r="DD1853" s="4" t="s">
        <v>241</v>
      </c>
      <c r="DF1853" s="4" t="s">
        <v>287</v>
      </c>
      <c r="DG1853" s="6">
        <f>0</f>
        <v>0</v>
      </c>
      <c r="DI1853" s="4" t="s">
        <v>241</v>
      </c>
      <c r="DJ1853" s="4" t="s">
        <v>241</v>
      </c>
      <c r="DK1853" s="4" t="s">
        <v>241</v>
      </c>
      <c r="DL1853" s="4" t="s">
        <v>241</v>
      </c>
      <c r="DP1853" s="4" t="s">
        <v>241</v>
      </c>
      <c r="DQ1853" s="4" t="s">
        <v>241</v>
      </c>
      <c r="DR1853" s="4" t="s">
        <v>241</v>
      </c>
      <c r="DS1853" s="4" t="s">
        <v>241</v>
      </c>
      <c r="DV1853" s="4" t="s">
        <v>278</v>
      </c>
      <c r="DW1853" s="4" t="s">
        <v>1365</v>
      </c>
      <c r="HO1853" s="4" t="s">
        <v>267</v>
      </c>
    </row>
    <row r="1854" spans="1:223" ht="19.5" customHeight="1" x14ac:dyDescent="0.4">
      <c r="A1854" s="4">
        <v>1</v>
      </c>
      <c r="B1854" s="4" t="s">
        <v>239</v>
      </c>
      <c r="C1854" s="4">
        <v>3551</v>
      </c>
      <c r="D1854" s="4">
        <v>1</v>
      </c>
      <c r="E1854" s="4">
        <v>1</v>
      </c>
      <c r="F1854" s="4" t="s">
        <v>268</v>
      </c>
      <c r="G1854" s="4" t="s">
        <v>241</v>
      </c>
      <c r="H1854" s="4" t="s">
        <v>241</v>
      </c>
      <c r="I1854" s="4" t="s">
        <v>272</v>
      </c>
      <c r="J1854" s="4" t="s">
        <v>274</v>
      </c>
      <c r="K1854" s="4" t="s">
        <v>251</v>
      </c>
      <c r="L1854" s="4" t="s">
        <v>1179</v>
      </c>
      <c r="M1854" s="5" t="s">
        <v>294</v>
      </c>
      <c r="N1854" s="6">
        <f>0</f>
        <v>0</v>
      </c>
      <c r="O1854" s="4" t="s">
        <v>265</v>
      </c>
      <c r="P1854" s="6">
        <f>2278800</f>
        <v>2278800</v>
      </c>
      <c r="Q1854" s="6">
        <f>0</f>
        <v>0</v>
      </c>
      <c r="S1854" s="6">
        <f>0</f>
        <v>0</v>
      </c>
      <c r="T1854" s="6">
        <f>2278800</f>
        <v>2278800</v>
      </c>
      <c r="U1854" s="5" t="s">
        <v>379</v>
      </c>
      <c r="V1854" s="4" t="s">
        <v>270</v>
      </c>
      <c r="W1854" s="4" t="s">
        <v>242</v>
      </c>
      <c r="X1854" s="4" t="s">
        <v>241</v>
      </c>
      <c r="Y1854" s="4" t="s">
        <v>241</v>
      </c>
      <c r="AB1854" s="4" t="s">
        <v>241</v>
      </c>
      <c r="AD1854" s="5" t="s">
        <v>241</v>
      </c>
      <c r="AG1854" s="5" t="s">
        <v>353</v>
      </c>
      <c r="AH1854" s="4" t="s">
        <v>241</v>
      </c>
      <c r="AI1854" s="4" t="s">
        <v>247</v>
      </c>
      <c r="AJ1854" s="4" t="s">
        <v>248</v>
      </c>
      <c r="AZ1854" s="4" t="s">
        <v>249</v>
      </c>
      <c r="BA1854" s="4" t="s">
        <v>241</v>
      </c>
      <c r="BB1854" s="4" t="s">
        <v>250</v>
      </c>
      <c r="BC1854" s="4" t="s">
        <v>241</v>
      </c>
      <c r="BD1854" s="4" t="s">
        <v>252</v>
      </c>
      <c r="BE1854" s="4" t="s">
        <v>241</v>
      </c>
      <c r="BI1854" s="4" t="s">
        <v>284</v>
      </c>
      <c r="BJ1854" s="5" t="s">
        <v>353</v>
      </c>
      <c r="BK1854" s="4" t="s">
        <v>254</v>
      </c>
      <c r="BL1854" s="4" t="s">
        <v>306</v>
      </c>
      <c r="BM1854" s="4" t="s">
        <v>241</v>
      </c>
      <c r="BN1854" s="6">
        <f>0</f>
        <v>0</v>
      </c>
      <c r="BO1854" s="6">
        <f>0</f>
        <v>0</v>
      </c>
      <c r="BP1854" s="4" t="s">
        <v>256</v>
      </c>
      <c r="BQ1854" s="4" t="s">
        <v>257</v>
      </c>
      <c r="CE1854" s="4" t="s">
        <v>241</v>
      </c>
      <c r="CF1854" s="4" t="s">
        <v>241</v>
      </c>
      <c r="CJ1854" s="4" t="s">
        <v>286</v>
      </c>
      <c r="CK1854" s="4" t="s">
        <v>259</v>
      </c>
      <c r="CL1854" s="4" t="s">
        <v>241</v>
      </c>
      <c r="CO1854" s="5" t="s">
        <v>260</v>
      </c>
      <c r="CP1854" s="4" t="s">
        <v>241</v>
      </c>
      <c r="CQ1854" s="4" t="s">
        <v>261</v>
      </c>
      <c r="CR1854" s="4" t="s">
        <v>241</v>
      </c>
      <c r="CS1854" s="4" t="s">
        <v>241</v>
      </c>
      <c r="CT1854" s="4">
        <v>0</v>
      </c>
      <c r="CU1854" s="4" t="s">
        <v>262</v>
      </c>
      <c r="CV1854" s="4" t="s">
        <v>263</v>
      </c>
      <c r="CW1854" s="4" t="s">
        <v>263</v>
      </c>
      <c r="CX1854" s="4" t="s">
        <v>264</v>
      </c>
      <c r="DA1854" s="6">
        <f>2278800</f>
        <v>2278800</v>
      </c>
      <c r="DC1854" s="4" t="s">
        <v>287</v>
      </c>
      <c r="DD1854" s="4" t="s">
        <v>241</v>
      </c>
      <c r="DF1854" s="4" t="s">
        <v>287</v>
      </c>
      <c r="DG1854" s="6">
        <f>0</f>
        <v>0</v>
      </c>
      <c r="DI1854" s="4" t="s">
        <v>241</v>
      </c>
      <c r="DJ1854" s="4" t="s">
        <v>241</v>
      </c>
      <c r="DK1854" s="4" t="s">
        <v>241</v>
      </c>
      <c r="DL1854" s="4" t="s">
        <v>241</v>
      </c>
      <c r="DP1854" s="4" t="s">
        <v>241</v>
      </c>
      <c r="DQ1854" s="4" t="s">
        <v>241</v>
      </c>
      <c r="DR1854" s="4" t="s">
        <v>241</v>
      </c>
      <c r="DS1854" s="4" t="s">
        <v>241</v>
      </c>
      <c r="DV1854" s="4" t="s">
        <v>278</v>
      </c>
      <c r="DW1854" s="4" t="s">
        <v>1180</v>
      </c>
      <c r="HO1854" s="4" t="s">
        <v>267</v>
      </c>
    </row>
    <row r="1855" spans="1:223" ht="19.5" customHeight="1" x14ac:dyDescent="0.4">
      <c r="A1855" s="4">
        <v>1</v>
      </c>
      <c r="B1855" s="4" t="s">
        <v>239</v>
      </c>
      <c r="C1855" s="4">
        <v>3552</v>
      </c>
      <c r="D1855" s="4">
        <v>1</v>
      </c>
      <c r="E1855" s="4">
        <v>1</v>
      </c>
      <c r="F1855" s="4" t="s">
        <v>268</v>
      </c>
      <c r="G1855" s="4" t="s">
        <v>241</v>
      </c>
      <c r="H1855" s="4" t="s">
        <v>241</v>
      </c>
      <c r="I1855" s="4" t="s">
        <v>272</v>
      </c>
      <c r="J1855" s="4" t="s">
        <v>274</v>
      </c>
      <c r="K1855" s="4" t="s">
        <v>251</v>
      </c>
      <c r="L1855" s="4" t="s">
        <v>330</v>
      </c>
      <c r="M1855" s="5" t="s">
        <v>332</v>
      </c>
      <c r="N1855" s="6">
        <f>0</f>
        <v>0</v>
      </c>
      <c r="O1855" s="4" t="s">
        <v>265</v>
      </c>
      <c r="P1855" s="6">
        <f>5923800</f>
        <v>5923800</v>
      </c>
      <c r="Q1855" s="6">
        <f>0</f>
        <v>0</v>
      </c>
      <c r="S1855" s="6">
        <f>0</f>
        <v>0</v>
      </c>
      <c r="T1855" s="6">
        <f>5923800</f>
        <v>5923800</v>
      </c>
      <c r="U1855" s="5" t="s">
        <v>318</v>
      </c>
      <c r="V1855" s="4" t="s">
        <v>270</v>
      </c>
      <c r="W1855" s="4" t="s">
        <v>242</v>
      </c>
      <c r="X1855" s="4" t="s">
        <v>241</v>
      </c>
      <c r="Y1855" s="4" t="s">
        <v>241</v>
      </c>
      <c r="AB1855" s="4" t="s">
        <v>241</v>
      </c>
      <c r="AD1855" s="5" t="s">
        <v>241</v>
      </c>
      <c r="AG1855" s="5" t="s">
        <v>331</v>
      </c>
      <c r="AH1855" s="4" t="s">
        <v>241</v>
      </c>
      <c r="AI1855" s="4" t="s">
        <v>247</v>
      </c>
      <c r="AJ1855" s="4" t="s">
        <v>248</v>
      </c>
      <c r="AZ1855" s="4" t="s">
        <v>249</v>
      </c>
      <c r="BA1855" s="4" t="s">
        <v>241</v>
      </c>
      <c r="BB1855" s="4" t="s">
        <v>250</v>
      </c>
      <c r="BC1855" s="4" t="s">
        <v>241</v>
      </c>
      <c r="BD1855" s="4" t="s">
        <v>252</v>
      </c>
      <c r="BE1855" s="4" t="s">
        <v>241</v>
      </c>
      <c r="BI1855" s="4" t="s">
        <v>284</v>
      </c>
      <c r="BJ1855" s="5" t="s">
        <v>331</v>
      </c>
      <c r="BK1855" s="4" t="s">
        <v>254</v>
      </c>
      <c r="BL1855" s="4" t="s">
        <v>306</v>
      </c>
      <c r="BM1855" s="4" t="s">
        <v>241</v>
      </c>
      <c r="BN1855" s="6">
        <f>0</f>
        <v>0</v>
      </c>
      <c r="BO1855" s="6">
        <f>0</f>
        <v>0</v>
      </c>
      <c r="BP1855" s="4" t="s">
        <v>256</v>
      </c>
      <c r="BQ1855" s="4" t="s">
        <v>257</v>
      </c>
      <c r="CE1855" s="4" t="s">
        <v>241</v>
      </c>
      <c r="CF1855" s="4" t="s">
        <v>241</v>
      </c>
      <c r="CJ1855" s="4" t="s">
        <v>286</v>
      </c>
      <c r="CK1855" s="4" t="s">
        <v>259</v>
      </c>
      <c r="CL1855" s="4" t="s">
        <v>241</v>
      </c>
      <c r="CO1855" s="5" t="s">
        <v>260</v>
      </c>
      <c r="CP1855" s="4" t="s">
        <v>241</v>
      </c>
      <c r="CQ1855" s="4" t="s">
        <v>261</v>
      </c>
      <c r="CR1855" s="4" t="s">
        <v>241</v>
      </c>
      <c r="CS1855" s="4" t="s">
        <v>241</v>
      </c>
      <c r="CT1855" s="4">
        <v>0</v>
      </c>
      <c r="CU1855" s="4" t="s">
        <v>262</v>
      </c>
      <c r="CV1855" s="4" t="s">
        <v>263</v>
      </c>
      <c r="CW1855" s="4" t="s">
        <v>263</v>
      </c>
      <c r="CX1855" s="4" t="s">
        <v>264</v>
      </c>
      <c r="DA1855" s="6">
        <f>5923800</f>
        <v>5923800</v>
      </c>
      <c r="DC1855" s="4" t="s">
        <v>287</v>
      </c>
      <c r="DD1855" s="4" t="s">
        <v>241</v>
      </c>
      <c r="DF1855" s="4" t="s">
        <v>287</v>
      </c>
      <c r="DG1855" s="6">
        <f>0</f>
        <v>0</v>
      </c>
      <c r="DI1855" s="4" t="s">
        <v>241</v>
      </c>
      <c r="DJ1855" s="4" t="s">
        <v>241</v>
      </c>
      <c r="DK1855" s="4" t="s">
        <v>241</v>
      </c>
      <c r="DL1855" s="4" t="s">
        <v>241</v>
      </c>
      <c r="DP1855" s="4" t="s">
        <v>241</v>
      </c>
      <c r="DQ1855" s="4" t="s">
        <v>241</v>
      </c>
      <c r="DR1855" s="4" t="s">
        <v>241</v>
      </c>
      <c r="DS1855" s="4" t="s">
        <v>241</v>
      </c>
      <c r="DV1855" s="4" t="s">
        <v>278</v>
      </c>
      <c r="DW1855" s="4" t="s">
        <v>333</v>
      </c>
      <c r="HO1855" s="4" t="s">
        <v>267</v>
      </c>
    </row>
    <row r="1856" spans="1:223" ht="19.5" customHeight="1" x14ac:dyDescent="0.4">
      <c r="A1856" s="4">
        <v>1</v>
      </c>
      <c r="B1856" s="4" t="s">
        <v>239</v>
      </c>
      <c r="C1856" s="4">
        <v>3553</v>
      </c>
      <c r="D1856" s="4">
        <v>1</v>
      </c>
      <c r="E1856" s="4">
        <v>1</v>
      </c>
      <c r="F1856" s="4" t="s">
        <v>268</v>
      </c>
      <c r="G1856" s="4" t="s">
        <v>241</v>
      </c>
      <c r="H1856" s="4" t="s">
        <v>241</v>
      </c>
      <c r="I1856" s="4" t="s">
        <v>272</v>
      </c>
      <c r="J1856" s="4" t="s">
        <v>274</v>
      </c>
      <c r="K1856" s="4" t="s">
        <v>251</v>
      </c>
      <c r="L1856" s="4" t="s">
        <v>1249</v>
      </c>
      <c r="M1856" s="5" t="s">
        <v>1251</v>
      </c>
      <c r="N1856" s="6">
        <f>58</f>
        <v>58</v>
      </c>
      <c r="O1856" s="4" t="s">
        <v>265</v>
      </c>
      <c r="P1856" s="6">
        <f>128470</f>
        <v>128470</v>
      </c>
      <c r="Q1856" s="6">
        <f>0</f>
        <v>0</v>
      </c>
      <c r="S1856" s="6">
        <f>0</f>
        <v>0</v>
      </c>
      <c r="T1856" s="6">
        <f>128470</f>
        <v>128470</v>
      </c>
      <c r="U1856" s="5" t="s">
        <v>282</v>
      </c>
      <c r="V1856" s="4" t="s">
        <v>270</v>
      </c>
      <c r="W1856" s="4" t="s">
        <v>271</v>
      </c>
      <c r="X1856" s="4" t="s">
        <v>241</v>
      </c>
      <c r="Y1856" s="4" t="s">
        <v>241</v>
      </c>
      <c r="AB1856" s="4" t="s">
        <v>241</v>
      </c>
      <c r="AD1856" s="5" t="s">
        <v>241</v>
      </c>
      <c r="AG1856" s="5" t="s">
        <v>1250</v>
      </c>
      <c r="AH1856" s="4" t="s">
        <v>241</v>
      </c>
      <c r="AI1856" s="4" t="s">
        <v>247</v>
      </c>
      <c r="AJ1856" s="4" t="s">
        <v>248</v>
      </c>
      <c r="AZ1856" s="4" t="s">
        <v>249</v>
      </c>
      <c r="BA1856" s="4" t="s">
        <v>241</v>
      </c>
      <c r="BB1856" s="4" t="s">
        <v>250</v>
      </c>
      <c r="BC1856" s="4" t="s">
        <v>241</v>
      </c>
      <c r="BD1856" s="4" t="s">
        <v>252</v>
      </c>
      <c r="BE1856" s="4" t="s">
        <v>241</v>
      </c>
      <c r="BI1856" s="4" t="s">
        <v>284</v>
      </c>
      <c r="BJ1856" s="5" t="s">
        <v>1250</v>
      </c>
      <c r="BK1856" s="4" t="s">
        <v>254</v>
      </c>
      <c r="BL1856" s="4" t="s">
        <v>413</v>
      </c>
      <c r="BM1856" s="4" t="s">
        <v>241</v>
      </c>
      <c r="BN1856" s="6">
        <f>0</f>
        <v>0</v>
      </c>
      <c r="BO1856" s="6">
        <f>0</f>
        <v>0</v>
      </c>
      <c r="BP1856" s="4" t="s">
        <v>256</v>
      </c>
      <c r="BQ1856" s="4" t="s">
        <v>257</v>
      </c>
      <c r="CE1856" s="4" t="s">
        <v>241</v>
      </c>
      <c r="CF1856" s="4" t="s">
        <v>241</v>
      </c>
      <c r="CJ1856" s="4" t="s">
        <v>258</v>
      </c>
      <c r="CK1856" s="4" t="s">
        <v>259</v>
      </c>
      <c r="CL1856" s="4" t="s">
        <v>241</v>
      </c>
      <c r="CO1856" s="5" t="s">
        <v>260</v>
      </c>
      <c r="CP1856" s="4" t="s">
        <v>241</v>
      </c>
      <c r="CQ1856" s="4" t="s">
        <v>261</v>
      </c>
      <c r="CR1856" s="4" t="s">
        <v>241</v>
      </c>
      <c r="CS1856" s="4" t="s">
        <v>241</v>
      </c>
      <c r="CT1856" s="4">
        <v>0</v>
      </c>
      <c r="CU1856" s="4" t="s">
        <v>262</v>
      </c>
      <c r="CV1856" s="4" t="s">
        <v>263</v>
      </c>
      <c r="CW1856" s="4" t="s">
        <v>263</v>
      </c>
      <c r="CX1856" s="4" t="s">
        <v>264</v>
      </c>
      <c r="DA1856" s="6">
        <f>128470</f>
        <v>128470</v>
      </c>
      <c r="DC1856" s="4" t="s">
        <v>277</v>
      </c>
      <c r="DD1856" s="4" t="s">
        <v>241</v>
      </c>
      <c r="DF1856" s="4" t="s">
        <v>277</v>
      </c>
      <c r="DG1856" s="6">
        <f>58</f>
        <v>58</v>
      </c>
      <c r="DI1856" s="4" t="s">
        <v>241</v>
      </c>
      <c r="DJ1856" s="4" t="s">
        <v>241</v>
      </c>
      <c r="DK1856" s="4" t="s">
        <v>241</v>
      </c>
      <c r="DL1856" s="4" t="s">
        <v>241</v>
      </c>
      <c r="DP1856" s="4" t="s">
        <v>241</v>
      </c>
      <c r="DQ1856" s="4" t="s">
        <v>241</v>
      </c>
      <c r="DR1856" s="4" t="s">
        <v>241</v>
      </c>
      <c r="DS1856" s="4" t="s">
        <v>241</v>
      </c>
      <c r="DV1856" s="4" t="s">
        <v>278</v>
      </c>
      <c r="DW1856" s="4" t="s">
        <v>1252</v>
      </c>
      <c r="HO1856" s="4" t="s">
        <v>267</v>
      </c>
    </row>
    <row r="1857" spans="1:223" ht="19.5" customHeight="1" x14ac:dyDescent="0.4">
      <c r="A1857" s="4">
        <v>1</v>
      </c>
      <c r="B1857" s="4" t="s">
        <v>239</v>
      </c>
      <c r="C1857" s="4">
        <v>3554</v>
      </c>
      <c r="D1857" s="4">
        <v>1</v>
      </c>
      <c r="E1857" s="4">
        <v>1</v>
      </c>
      <c r="F1857" s="4" t="s">
        <v>268</v>
      </c>
      <c r="G1857" s="4" t="s">
        <v>241</v>
      </c>
      <c r="H1857" s="4" t="s">
        <v>241</v>
      </c>
      <c r="I1857" s="4" t="s">
        <v>272</v>
      </c>
      <c r="J1857" s="4" t="s">
        <v>274</v>
      </c>
      <c r="K1857" s="4" t="s">
        <v>251</v>
      </c>
      <c r="L1857" s="4" t="s">
        <v>1295</v>
      </c>
      <c r="M1857" s="5" t="s">
        <v>1297</v>
      </c>
      <c r="N1857" s="6">
        <f>138.38</f>
        <v>138.38</v>
      </c>
      <c r="O1857" s="4" t="s">
        <v>265</v>
      </c>
      <c r="P1857" s="6">
        <f>5779779</f>
        <v>5779779</v>
      </c>
      <c r="Q1857" s="6">
        <f>0</f>
        <v>0</v>
      </c>
      <c r="S1857" s="6">
        <f>0</f>
        <v>0</v>
      </c>
      <c r="T1857" s="6">
        <f>5779779</f>
        <v>5779779</v>
      </c>
      <c r="U1857" s="5" t="s">
        <v>282</v>
      </c>
      <c r="V1857" s="4" t="s">
        <v>270</v>
      </c>
      <c r="W1857" s="4" t="s">
        <v>242</v>
      </c>
      <c r="X1857" s="4" t="s">
        <v>241</v>
      </c>
      <c r="Y1857" s="4" t="s">
        <v>241</v>
      </c>
      <c r="AB1857" s="4" t="s">
        <v>241</v>
      </c>
      <c r="AD1857" s="5" t="s">
        <v>241</v>
      </c>
      <c r="AG1857" s="5" t="s">
        <v>1250</v>
      </c>
      <c r="AH1857" s="4" t="s">
        <v>1296</v>
      </c>
      <c r="AI1857" s="4" t="s">
        <v>247</v>
      </c>
      <c r="AJ1857" s="4" t="s">
        <v>264</v>
      </c>
      <c r="AZ1857" s="4" t="s">
        <v>249</v>
      </c>
      <c r="BA1857" s="4" t="s">
        <v>241</v>
      </c>
      <c r="BB1857" s="4" t="s">
        <v>250</v>
      </c>
      <c r="BC1857" s="4" t="s">
        <v>241</v>
      </c>
      <c r="BD1857" s="4" t="s">
        <v>252</v>
      </c>
      <c r="BE1857" s="4" t="s">
        <v>241</v>
      </c>
      <c r="BI1857" s="4" t="s">
        <v>284</v>
      </c>
      <c r="BJ1857" s="5" t="s">
        <v>1250</v>
      </c>
      <c r="BK1857" s="4" t="s">
        <v>254</v>
      </c>
      <c r="BL1857" s="4" t="s">
        <v>306</v>
      </c>
      <c r="BM1857" s="4" t="s">
        <v>241</v>
      </c>
      <c r="BN1857" s="6">
        <f>0</f>
        <v>0</v>
      </c>
      <c r="BO1857" s="6">
        <f>0</f>
        <v>0</v>
      </c>
      <c r="BP1857" s="4" t="s">
        <v>256</v>
      </c>
      <c r="BQ1857" s="4" t="s">
        <v>257</v>
      </c>
      <c r="CE1857" s="4" t="s">
        <v>241</v>
      </c>
      <c r="CF1857" s="4" t="s">
        <v>241</v>
      </c>
      <c r="CJ1857" s="4" t="s">
        <v>286</v>
      </c>
      <c r="CK1857" s="4" t="s">
        <v>259</v>
      </c>
      <c r="CL1857" s="4" t="s">
        <v>241</v>
      </c>
      <c r="CO1857" s="5" t="s">
        <v>260</v>
      </c>
      <c r="CP1857" s="4" t="s">
        <v>241</v>
      </c>
      <c r="CQ1857" s="4" t="s">
        <v>261</v>
      </c>
      <c r="CR1857" s="4" t="s">
        <v>241</v>
      </c>
      <c r="CS1857" s="4" t="s">
        <v>241</v>
      </c>
      <c r="CT1857" s="4">
        <v>0</v>
      </c>
      <c r="CU1857" s="4" t="s">
        <v>262</v>
      </c>
      <c r="CV1857" s="4" t="s">
        <v>263</v>
      </c>
      <c r="CW1857" s="4" t="s">
        <v>263</v>
      </c>
      <c r="CX1857" s="4" t="s">
        <v>264</v>
      </c>
      <c r="DA1857" s="6">
        <f>5779779</f>
        <v>5779779</v>
      </c>
      <c r="DC1857" s="4" t="s">
        <v>287</v>
      </c>
      <c r="DD1857" s="4" t="s">
        <v>241</v>
      </c>
      <c r="DF1857" s="4" t="s">
        <v>287</v>
      </c>
      <c r="DG1857" s="6">
        <f>138.38</f>
        <v>138.38</v>
      </c>
      <c r="DI1857" s="4" t="s">
        <v>241</v>
      </c>
      <c r="DJ1857" s="4" t="s">
        <v>241</v>
      </c>
      <c r="DK1857" s="4" t="s">
        <v>241</v>
      </c>
      <c r="DL1857" s="4" t="s">
        <v>241</v>
      </c>
      <c r="DP1857" s="4" t="s">
        <v>241</v>
      </c>
      <c r="DQ1857" s="4" t="s">
        <v>241</v>
      </c>
      <c r="DR1857" s="4" t="s">
        <v>241</v>
      </c>
      <c r="DS1857" s="4" t="s">
        <v>241</v>
      </c>
      <c r="DV1857" s="4" t="s">
        <v>278</v>
      </c>
      <c r="DW1857" s="4" t="s">
        <v>1298</v>
      </c>
      <c r="HO1857" s="4" t="s">
        <v>267</v>
      </c>
    </row>
    <row r="1858" spans="1:223" ht="19.5" customHeight="1" x14ac:dyDescent="0.4">
      <c r="A1858" s="4">
        <v>1</v>
      </c>
      <c r="B1858" s="4" t="s">
        <v>239</v>
      </c>
      <c r="C1858" s="4">
        <v>3555</v>
      </c>
      <c r="D1858" s="4">
        <v>1</v>
      </c>
      <c r="E1858" s="4">
        <v>1</v>
      </c>
      <c r="F1858" s="4" t="s">
        <v>268</v>
      </c>
      <c r="G1858" s="4" t="s">
        <v>241</v>
      </c>
      <c r="H1858" s="4" t="s">
        <v>241</v>
      </c>
      <c r="I1858" s="4" t="s">
        <v>272</v>
      </c>
      <c r="J1858" s="4" t="s">
        <v>274</v>
      </c>
      <c r="K1858" s="4" t="s">
        <v>251</v>
      </c>
      <c r="L1858" s="4" t="s">
        <v>1370</v>
      </c>
      <c r="M1858" s="5" t="s">
        <v>1372</v>
      </c>
      <c r="N1858" s="6">
        <f>191.55</f>
        <v>191.55</v>
      </c>
      <c r="O1858" s="4" t="s">
        <v>265</v>
      </c>
      <c r="P1858" s="6">
        <f>2391271</f>
        <v>2391271</v>
      </c>
      <c r="Q1858" s="6">
        <f>0</f>
        <v>0</v>
      </c>
      <c r="S1858" s="6">
        <f>0</f>
        <v>0</v>
      </c>
      <c r="T1858" s="6">
        <f>2391271</f>
        <v>2391271</v>
      </c>
      <c r="U1858" s="5" t="s">
        <v>282</v>
      </c>
      <c r="V1858" s="4" t="s">
        <v>270</v>
      </c>
      <c r="W1858" s="4" t="s">
        <v>242</v>
      </c>
      <c r="X1858" s="4" t="s">
        <v>241</v>
      </c>
      <c r="Y1858" s="4" t="s">
        <v>241</v>
      </c>
      <c r="AB1858" s="4" t="s">
        <v>241</v>
      </c>
      <c r="AD1858" s="5" t="s">
        <v>241</v>
      </c>
      <c r="AG1858" s="5" t="s">
        <v>1268</v>
      </c>
      <c r="AH1858" s="4" t="s">
        <v>1371</v>
      </c>
      <c r="AI1858" s="4" t="s">
        <v>247</v>
      </c>
      <c r="AJ1858" s="4" t="s">
        <v>264</v>
      </c>
      <c r="AZ1858" s="4" t="s">
        <v>249</v>
      </c>
      <c r="BA1858" s="4" t="s">
        <v>241</v>
      </c>
      <c r="BB1858" s="4" t="s">
        <v>250</v>
      </c>
      <c r="BC1858" s="4" t="s">
        <v>241</v>
      </c>
      <c r="BD1858" s="4" t="s">
        <v>252</v>
      </c>
      <c r="BE1858" s="4" t="s">
        <v>241</v>
      </c>
      <c r="BI1858" s="4" t="s">
        <v>284</v>
      </c>
      <c r="BJ1858" s="5" t="s">
        <v>1268</v>
      </c>
      <c r="BK1858" s="4" t="s">
        <v>254</v>
      </c>
      <c r="BL1858" s="4" t="s">
        <v>306</v>
      </c>
      <c r="BM1858" s="4" t="s">
        <v>241</v>
      </c>
      <c r="BN1858" s="6">
        <f>0</f>
        <v>0</v>
      </c>
      <c r="BO1858" s="6">
        <f>0</f>
        <v>0</v>
      </c>
      <c r="BP1858" s="4" t="s">
        <v>256</v>
      </c>
      <c r="BQ1858" s="4" t="s">
        <v>257</v>
      </c>
      <c r="CE1858" s="4" t="s">
        <v>241</v>
      </c>
      <c r="CF1858" s="4" t="s">
        <v>241</v>
      </c>
      <c r="CJ1858" s="4" t="s">
        <v>286</v>
      </c>
      <c r="CK1858" s="4" t="s">
        <v>259</v>
      </c>
      <c r="CL1858" s="4" t="s">
        <v>241</v>
      </c>
      <c r="CO1858" s="5" t="s">
        <v>260</v>
      </c>
      <c r="CP1858" s="4" t="s">
        <v>241</v>
      </c>
      <c r="CQ1858" s="4" t="s">
        <v>261</v>
      </c>
      <c r="CR1858" s="4" t="s">
        <v>241</v>
      </c>
      <c r="CS1858" s="4" t="s">
        <v>241</v>
      </c>
      <c r="CT1858" s="4">
        <v>0</v>
      </c>
      <c r="CU1858" s="4" t="s">
        <v>262</v>
      </c>
      <c r="CV1858" s="4" t="s">
        <v>263</v>
      </c>
      <c r="CW1858" s="4" t="s">
        <v>263</v>
      </c>
      <c r="CX1858" s="4" t="s">
        <v>264</v>
      </c>
      <c r="DA1858" s="6">
        <f>2391271</f>
        <v>2391271</v>
      </c>
      <c r="DC1858" s="4" t="s">
        <v>287</v>
      </c>
      <c r="DD1858" s="4" t="s">
        <v>241</v>
      </c>
      <c r="DF1858" s="4" t="s">
        <v>287</v>
      </c>
      <c r="DG1858" s="6">
        <f>191.55</f>
        <v>191.55</v>
      </c>
      <c r="DI1858" s="4" t="s">
        <v>241</v>
      </c>
      <c r="DJ1858" s="4" t="s">
        <v>241</v>
      </c>
      <c r="DK1858" s="4" t="s">
        <v>241</v>
      </c>
      <c r="DL1858" s="4" t="s">
        <v>241</v>
      </c>
      <c r="DP1858" s="4" t="s">
        <v>241</v>
      </c>
      <c r="DQ1858" s="4" t="s">
        <v>241</v>
      </c>
      <c r="DR1858" s="4" t="s">
        <v>241</v>
      </c>
      <c r="DS1858" s="4" t="s">
        <v>241</v>
      </c>
      <c r="DV1858" s="4" t="s">
        <v>278</v>
      </c>
      <c r="DW1858" s="4" t="s">
        <v>1373</v>
      </c>
      <c r="HO1858" s="4" t="s">
        <v>267</v>
      </c>
    </row>
    <row r="1859" spans="1:223" ht="19.5" customHeight="1" x14ac:dyDescent="0.4">
      <c r="A1859" s="4">
        <v>1</v>
      </c>
      <c r="B1859" s="4" t="s">
        <v>239</v>
      </c>
      <c r="C1859" s="4">
        <v>3556</v>
      </c>
      <c r="D1859" s="4">
        <v>1</v>
      </c>
      <c r="E1859" s="4">
        <v>1</v>
      </c>
      <c r="F1859" s="4" t="s">
        <v>268</v>
      </c>
      <c r="G1859" s="4" t="s">
        <v>241</v>
      </c>
      <c r="H1859" s="4" t="s">
        <v>241</v>
      </c>
      <c r="I1859" s="4" t="s">
        <v>272</v>
      </c>
      <c r="J1859" s="4" t="s">
        <v>274</v>
      </c>
      <c r="K1859" s="4" t="s">
        <v>251</v>
      </c>
      <c r="L1859" s="4" t="s">
        <v>1219</v>
      </c>
      <c r="M1859" s="5" t="s">
        <v>403</v>
      </c>
      <c r="N1859" s="6">
        <f>790.11</f>
        <v>790.11</v>
      </c>
      <c r="O1859" s="4" t="s">
        <v>265</v>
      </c>
      <c r="P1859" s="6">
        <f>6472800</f>
        <v>6472800</v>
      </c>
      <c r="Q1859" s="6">
        <f>0</f>
        <v>0</v>
      </c>
      <c r="S1859" s="6">
        <f>0</f>
        <v>0</v>
      </c>
      <c r="T1859" s="6">
        <f>6472800</f>
        <v>6472800</v>
      </c>
      <c r="U1859" s="5" t="s">
        <v>282</v>
      </c>
      <c r="V1859" s="4" t="s">
        <v>270</v>
      </c>
      <c r="W1859" s="4" t="s">
        <v>242</v>
      </c>
      <c r="X1859" s="4" t="s">
        <v>241</v>
      </c>
      <c r="Y1859" s="4" t="s">
        <v>241</v>
      </c>
      <c r="AB1859" s="4" t="s">
        <v>241</v>
      </c>
      <c r="AD1859" s="5" t="s">
        <v>241</v>
      </c>
      <c r="AG1859" s="5" t="s">
        <v>400</v>
      </c>
      <c r="AH1859" s="4" t="s">
        <v>1220</v>
      </c>
      <c r="AI1859" s="4" t="s">
        <v>247</v>
      </c>
      <c r="AJ1859" s="4" t="s">
        <v>264</v>
      </c>
      <c r="AZ1859" s="4" t="s">
        <v>249</v>
      </c>
      <c r="BA1859" s="4" t="s">
        <v>241</v>
      </c>
      <c r="BB1859" s="4" t="s">
        <v>250</v>
      </c>
      <c r="BC1859" s="4" t="s">
        <v>241</v>
      </c>
      <c r="BD1859" s="4" t="s">
        <v>252</v>
      </c>
      <c r="BE1859" s="4" t="s">
        <v>241</v>
      </c>
      <c r="BI1859" s="4" t="s">
        <v>284</v>
      </c>
      <c r="BJ1859" s="5" t="s">
        <v>400</v>
      </c>
      <c r="BK1859" s="4" t="s">
        <v>254</v>
      </c>
      <c r="BL1859" s="4" t="s">
        <v>306</v>
      </c>
      <c r="BM1859" s="4" t="s">
        <v>241</v>
      </c>
      <c r="BN1859" s="6">
        <f>0</f>
        <v>0</v>
      </c>
      <c r="BO1859" s="6">
        <f>0</f>
        <v>0</v>
      </c>
      <c r="BP1859" s="4" t="s">
        <v>256</v>
      </c>
      <c r="BQ1859" s="4" t="s">
        <v>257</v>
      </c>
      <c r="CE1859" s="4" t="s">
        <v>241</v>
      </c>
      <c r="CF1859" s="4" t="s">
        <v>241</v>
      </c>
      <c r="CJ1859" s="4" t="s">
        <v>286</v>
      </c>
      <c r="CK1859" s="4" t="s">
        <v>259</v>
      </c>
      <c r="CL1859" s="4" t="s">
        <v>241</v>
      </c>
      <c r="CO1859" s="5" t="s">
        <v>260</v>
      </c>
      <c r="CP1859" s="4" t="s">
        <v>241</v>
      </c>
      <c r="CQ1859" s="4" t="s">
        <v>261</v>
      </c>
      <c r="CR1859" s="4" t="s">
        <v>241</v>
      </c>
      <c r="CS1859" s="4" t="s">
        <v>241</v>
      </c>
      <c r="CT1859" s="4">
        <v>0</v>
      </c>
      <c r="CU1859" s="4" t="s">
        <v>262</v>
      </c>
      <c r="CV1859" s="4" t="s">
        <v>263</v>
      </c>
      <c r="CW1859" s="4" t="s">
        <v>263</v>
      </c>
      <c r="CX1859" s="4" t="s">
        <v>264</v>
      </c>
      <c r="DA1859" s="6">
        <f>6472800</f>
        <v>6472800</v>
      </c>
      <c r="DC1859" s="4" t="s">
        <v>287</v>
      </c>
      <c r="DD1859" s="4" t="s">
        <v>241</v>
      </c>
      <c r="DF1859" s="4" t="s">
        <v>287</v>
      </c>
      <c r="DG1859" s="6">
        <f>790.11</f>
        <v>790.11</v>
      </c>
      <c r="DI1859" s="4" t="s">
        <v>241</v>
      </c>
      <c r="DJ1859" s="4" t="s">
        <v>241</v>
      </c>
      <c r="DK1859" s="4" t="s">
        <v>241</v>
      </c>
      <c r="DL1859" s="4" t="s">
        <v>241</v>
      </c>
      <c r="DP1859" s="4" t="s">
        <v>241</v>
      </c>
      <c r="DQ1859" s="4" t="s">
        <v>241</v>
      </c>
      <c r="DR1859" s="4" t="s">
        <v>241</v>
      </c>
      <c r="DS1859" s="4" t="s">
        <v>241</v>
      </c>
      <c r="DV1859" s="4" t="s">
        <v>278</v>
      </c>
      <c r="DW1859" s="4" t="s">
        <v>1221</v>
      </c>
      <c r="HO1859" s="4" t="s">
        <v>267</v>
      </c>
    </row>
    <row r="1860" spans="1:223" ht="19.5" customHeight="1" x14ac:dyDescent="0.4">
      <c r="A1860" s="4">
        <v>1</v>
      </c>
      <c r="B1860" s="4" t="s">
        <v>239</v>
      </c>
      <c r="C1860" s="4">
        <v>3557</v>
      </c>
      <c r="D1860" s="4">
        <v>1</v>
      </c>
      <c r="E1860" s="4">
        <v>1</v>
      </c>
      <c r="F1860" s="4" t="s">
        <v>268</v>
      </c>
      <c r="G1860" s="4" t="s">
        <v>241</v>
      </c>
      <c r="H1860" s="4" t="s">
        <v>241</v>
      </c>
      <c r="I1860" s="4" t="s">
        <v>272</v>
      </c>
      <c r="J1860" s="4" t="s">
        <v>274</v>
      </c>
      <c r="K1860" s="4" t="s">
        <v>251</v>
      </c>
      <c r="L1860" s="4" t="s">
        <v>1137</v>
      </c>
      <c r="M1860" s="5" t="s">
        <v>1139</v>
      </c>
      <c r="N1860" s="6">
        <f>0</f>
        <v>0</v>
      </c>
      <c r="O1860" s="4" t="s">
        <v>265</v>
      </c>
      <c r="P1860" s="6">
        <f>31391230</f>
        <v>31391230</v>
      </c>
      <c r="Q1860" s="6">
        <f>0</f>
        <v>0</v>
      </c>
      <c r="S1860" s="6">
        <f>0</f>
        <v>0</v>
      </c>
      <c r="T1860" s="6">
        <f>31391230</f>
        <v>31391230</v>
      </c>
      <c r="U1860" s="5" t="s">
        <v>282</v>
      </c>
      <c r="V1860" s="4" t="s">
        <v>270</v>
      </c>
      <c r="W1860" s="4" t="s">
        <v>242</v>
      </c>
      <c r="X1860" s="4" t="s">
        <v>241</v>
      </c>
      <c r="Y1860" s="4" t="s">
        <v>241</v>
      </c>
      <c r="AB1860" s="4" t="s">
        <v>241</v>
      </c>
      <c r="AD1860" s="5" t="s">
        <v>241</v>
      </c>
      <c r="AG1860" s="5" t="s">
        <v>981</v>
      </c>
      <c r="AH1860" s="4" t="s">
        <v>1138</v>
      </c>
      <c r="AI1860" s="4" t="s">
        <v>247</v>
      </c>
      <c r="AJ1860" s="4" t="s">
        <v>248</v>
      </c>
      <c r="AZ1860" s="4" t="s">
        <v>249</v>
      </c>
      <c r="BA1860" s="4" t="s">
        <v>241</v>
      </c>
      <c r="BB1860" s="4" t="s">
        <v>250</v>
      </c>
      <c r="BC1860" s="4" t="s">
        <v>241</v>
      </c>
      <c r="BD1860" s="4" t="s">
        <v>252</v>
      </c>
      <c r="BE1860" s="4" t="s">
        <v>241</v>
      </c>
      <c r="BI1860" s="4" t="s">
        <v>284</v>
      </c>
      <c r="BJ1860" s="5" t="s">
        <v>981</v>
      </c>
      <c r="BK1860" s="4" t="s">
        <v>254</v>
      </c>
      <c r="BL1860" s="4" t="s">
        <v>306</v>
      </c>
      <c r="BM1860" s="4" t="s">
        <v>241</v>
      </c>
      <c r="BN1860" s="6">
        <f>0</f>
        <v>0</v>
      </c>
      <c r="BO1860" s="6">
        <f>0</f>
        <v>0</v>
      </c>
      <c r="BP1860" s="4" t="s">
        <v>256</v>
      </c>
      <c r="BQ1860" s="4" t="s">
        <v>257</v>
      </c>
      <c r="CE1860" s="4" t="s">
        <v>241</v>
      </c>
      <c r="CF1860" s="4" t="s">
        <v>241</v>
      </c>
      <c r="CJ1860" s="4" t="s">
        <v>286</v>
      </c>
      <c r="CK1860" s="4" t="s">
        <v>259</v>
      </c>
      <c r="CL1860" s="4" t="s">
        <v>241</v>
      </c>
      <c r="CO1860" s="5" t="s">
        <v>260</v>
      </c>
      <c r="CP1860" s="4" t="s">
        <v>241</v>
      </c>
      <c r="CQ1860" s="4" t="s">
        <v>261</v>
      </c>
      <c r="CR1860" s="4" t="s">
        <v>241</v>
      </c>
      <c r="CS1860" s="4" t="s">
        <v>241</v>
      </c>
      <c r="CT1860" s="4">
        <v>0</v>
      </c>
      <c r="CU1860" s="4" t="s">
        <v>262</v>
      </c>
      <c r="CV1860" s="4" t="s">
        <v>263</v>
      </c>
      <c r="CW1860" s="4" t="s">
        <v>263</v>
      </c>
      <c r="CX1860" s="4" t="s">
        <v>264</v>
      </c>
      <c r="DA1860" s="6">
        <f>31391230</f>
        <v>31391230</v>
      </c>
      <c r="DC1860" s="4" t="s">
        <v>287</v>
      </c>
      <c r="DD1860" s="4" t="s">
        <v>241</v>
      </c>
      <c r="DF1860" s="4" t="s">
        <v>287</v>
      </c>
      <c r="DG1860" s="6">
        <f>0</f>
        <v>0</v>
      </c>
      <c r="DI1860" s="4" t="s">
        <v>241</v>
      </c>
      <c r="DJ1860" s="4" t="s">
        <v>241</v>
      </c>
      <c r="DK1860" s="4" t="s">
        <v>241</v>
      </c>
      <c r="DL1860" s="4" t="s">
        <v>241</v>
      </c>
      <c r="DP1860" s="4" t="s">
        <v>241</v>
      </c>
      <c r="DQ1860" s="4" t="s">
        <v>241</v>
      </c>
      <c r="DR1860" s="4" t="s">
        <v>241</v>
      </c>
      <c r="DS1860" s="4" t="s">
        <v>241</v>
      </c>
      <c r="DV1860" s="4" t="s">
        <v>278</v>
      </c>
      <c r="DW1860" s="4" t="s">
        <v>1140</v>
      </c>
      <c r="HO1860" s="4" t="s">
        <v>267</v>
      </c>
    </row>
    <row r="1861" spans="1:223" ht="19.5" customHeight="1" x14ac:dyDescent="0.4">
      <c r="A1861" s="4">
        <v>1</v>
      </c>
      <c r="B1861" s="4" t="s">
        <v>239</v>
      </c>
      <c r="C1861" s="4">
        <v>3558</v>
      </c>
      <c r="D1861" s="4">
        <v>1</v>
      </c>
      <c r="E1861" s="4">
        <v>1</v>
      </c>
      <c r="F1861" s="4" t="s">
        <v>268</v>
      </c>
      <c r="G1861" s="4" t="s">
        <v>241</v>
      </c>
      <c r="H1861" s="4" t="s">
        <v>241</v>
      </c>
      <c r="I1861" s="4" t="s">
        <v>272</v>
      </c>
      <c r="J1861" s="4" t="s">
        <v>274</v>
      </c>
      <c r="K1861" s="4" t="s">
        <v>251</v>
      </c>
      <c r="L1861" s="4" t="s">
        <v>1044</v>
      </c>
      <c r="M1861" s="5" t="s">
        <v>1047</v>
      </c>
      <c r="N1861" s="6">
        <f>0.98</f>
        <v>0.98</v>
      </c>
      <c r="O1861" s="4" t="s">
        <v>265</v>
      </c>
      <c r="P1861" s="6">
        <f>162833</f>
        <v>162833</v>
      </c>
      <c r="Q1861" s="6">
        <f>0</f>
        <v>0</v>
      </c>
      <c r="S1861" s="6">
        <f>0</f>
        <v>0</v>
      </c>
      <c r="T1861" s="6">
        <f>162833</f>
        <v>162833</v>
      </c>
      <c r="U1861" s="5" t="s">
        <v>282</v>
      </c>
      <c r="V1861" s="4" t="s">
        <v>270</v>
      </c>
      <c r="W1861" s="4" t="s">
        <v>242</v>
      </c>
      <c r="X1861" s="4" t="s">
        <v>241</v>
      </c>
      <c r="Y1861" s="4" t="s">
        <v>241</v>
      </c>
      <c r="AB1861" s="4" t="s">
        <v>241</v>
      </c>
      <c r="AD1861" s="5" t="s">
        <v>241</v>
      </c>
      <c r="AG1861" s="5" t="s">
        <v>1045</v>
      </c>
      <c r="AH1861" s="4" t="s">
        <v>1046</v>
      </c>
      <c r="AI1861" s="4" t="s">
        <v>247</v>
      </c>
      <c r="AJ1861" s="4" t="s">
        <v>248</v>
      </c>
      <c r="AZ1861" s="4" t="s">
        <v>249</v>
      </c>
      <c r="BA1861" s="4" t="s">
        <v>241</v>
      </c>
      <c r="BB1861" s="4" t="s">
        <v>250</v>
      </c>
      <c r="BC1861" s="4" t="s">
        <v>241</v>
      </c>
      <c r="BD1861" s="4" t="s">
        <v>252</v>
      </c>
      <c r="BE1861" s="4" t="s">
        <v>241</v>
      </c>
      <c r="BI1861" s="4" t="s">
        <v>284</v>
      </c>
      <c r="BJ1861" s="5" t="s">
        <v>1045</v>
      </c>
      <c r="BK1861" s="4" t="s">
        <v>254</v>
      </c>
      <c r="BL1861" s="4" t="s">
        <v>306</v>
      </c>
      <c r="BM1861" s="4" t="s">
        <v>241</v>
      </c>
      <c r="BN1861" s="6">
        <f>0</f>
        <v>0</v>
      </c>
      <c r="BO1861" s="6">
        <f>0</f>
        <v>0</v>
      </c>
      <c r="BP1861" s="4" t="s">
        <v>256</v>
      </c>
      <c r="BQ1861" s="4" t="s">
        <v>257</v>
      </c>
      <c r="CE1861" s="4" t="s">
        <v>241</v>
      </c>
      <c r="CF1861" s="4" t="s">
        <v>241</v>
      </c>
      <c r="CJ1861" s="4" t="s">
        <v>286</v>
      </c>
      <c r="CK1861" s="4" t="s">
        <v>259</v>
      </c>
      <c r="CL1861" s="4" t="s">
        <v>241</v>
      </c>
      <c r="CO1861" s="5" t="s">
        <v>260</v>
      </c>
      <c r="CP1861" s="4" t="s">
        <v>241</v>
      </c>
      <c r="CQ1861" s="4" t="s">
        <v>261</v>
      </c>
      <c r="CR1861" s="4" t="s">
        <v>241</v>
      </c>
      <c r="CS1861" s="4" t="s">
        <v>241</v>
      </c>
      <c r="CT1861" s="4">
        <v>0</v>
      </c>
      <c r="CU1861" s="4" t="s">
        <v>262</v>
      </c>
      <c r="CV1861" s="4" t="s">
        <v>263</v>
      </c>
      <c r="CW1861" s="4" t="s">
        <v>263</v>
      </c>
      <c r="CX1861" s="4" t="s">
        <v>264</v>
      </c>
      <c r="DA1861" s="6">
        <f>162833</f>
        <v>162833</v>
      </c>
      <c r="DC1861" s="4" t="s">
        <v>287</v>
      </c>
      <c r="DD1861" s="4" t="s">
        <v>241</v>
      </c>
      <c r="DF1861" s="4" t="s">
        <v>287</v>
      </c>
      <c r="DG1861" s="6">
        <f>0.98</f>
        <v>0.98</v>
      </c>
      <c r="DI1861" s="4" t="s">
        <v>241</v>
      </c>
      <c r="DJ1861" s="4" t="s">
        <v>241</v>
      </c>
      <c r="DK1861" s="4" t="s">
        <v>241</v>
      </c>
      <c r="DL1861" s="4" t="s">
        <v>241</v>
      </c>
      <c r="DP1861" s="4" t="s">
        <v>241</v>
      </c>
      <c r="DQ1861" s="4" t="s">
        <v>241</v>
      </c>
      <c r="DR1861" s="4" t="s">
        <v>241</v>
      </c>
      <c r="DS1861" s="4" t="s">
        <v>241</v>
      </c>
      <c r="DV1861" s="4" t="s">
        <v>278</v>
      </c>
      <c r="DW1861" s="4" t="s">
        <v>1048</v>
      </c>
      <c r="HO1861" s="4" t="s">
        <v>267</v>
      </c>
    </row>
    <row r="1862" spans="1:223" ht="19.5" customHeight="1" x14ac:dyDescent="0.4">
      <c r="A1862" s="4">
        <v>1</v>
      </c>
      <c r="B1862" s="4" t="s">
        <v>239</v>
      </c>
      <c r="C1862" s="4">
        <v>3559</v>
      </c>
      <c r="D1862" s="4">
        <v>1</v>
      </c>
      <c r="E1862" s="4">
        <v>1</v>
      </c>
      <c r="F1862" s="4" t="s">
        <v>268</v>
      </c>
      <c r="G1862" s="4" t="s">
        <v>241</v>
      </c>
      <c r="H1862" s="4" t="s">
        <v>241</v>
      </c>
      <c r="I1862" s="4" t="s">
        <v>272</v>
      </c>
      <c r="J1862" s="4" t="s">
        <v>274</v>
      </c>
      <c r="K1862" s="4" t="s">
        <v>251</v>
      </c>
      <c r="L1862" s="4" t="s">
        <v>269</v>
      </c>
      <c r="M1862" s="5" t="s">
        <v>1302</v>
      </c>
      <c r="N1862" s="6">
        <f>1257.73</f>
        <v>1257.73</v>
      </c>
      <c r="O1862" s="4" t="s">
        <v>265</v>
      </c>
      <c r="P1862" s="6">
        <f>9558748</f>
        <v>9558748</v>
      </c>
      <c r="Q1862" s="6">
        <f>0</f>
        <v>0</v>
      </c>
      <c r="S1862" s="6">
        <f>0</f>
        <v>0</v>
      </c>
      <c r="T1862" s="6">
        <f>9558748</f>
        <v>9558748</v>
      </c>
      <c r="U1862" s="5" t="s">
        <v>1301</v>
      </c>
      <c r="V1862" s="4" t="s">
        <v>270</v>
      </c>
      <c r="W1862" s="4" t="s">
        <v>271</v>
      </c>
      <c r="X1862" s="4" t="s">
        <v>241</v>
      </c>
      <c r="Y1862" s="4" t="s">
        <v>241</v>
      </c>
      <c r="AB1862" s="4" t="s">
        <v>241</v>
      </c>
      <c r="AD1862" s="5" t="s">
        <v>241</v>
      </c>
      <c r="AG1862" s="5" t="s">
        <v>1236</v>
      </c>
      <c r="AH1862" s="4" t="s">
        <v>241</v>
      </c>
      <c r="AI1862" s="4" t="s">
        <v>247</v>
      </c>
      <c r="AJ1862" s="4" t="s">
        <v>248</v>
      </c>
      <c r="AZ1862" s="4" t="s">
        <v>249</v>
      </c>
      <c r="BA1862" s="4" t="s">
        <v>241</v>
      </c>
      <c r="BB1862" s="4" t="s">
        <v>250</v>
      </c>
      <c r="BC1862" s="4" t="s">
        <v>241</v>
      </c>
      <c r="BD1862" s="4" t="s">
        <v>252</v>
      </c>
      <c r="BE1862" s="4" t="s">
        <v>241</v>
      </c>
      <c r="BI1862" s="4" t="s">
        <v>284</v>
      </c>
      <c r="BJ1862" s="5" t="s">
        <v>1301</v>
      </c>
      <c r="BK1862" s="4" t="s">
        <v>254</v>
      </c>
      <c r="BL1862" s="4" t="s">
        <v>413</v>
      </c>
      <c r="BM1862" s="4" t="s">
        <v>241</v>
      </c>
      <c r="BN1862" s="6">
        <f>0</f>
        <v>0</v>
      </c>
      <c r="BO1862" s="6">
        <f>0</f>
        <v>0</v>
      </c>
      <c r="BP1862" s="4" t="s">
        <v>256</v>
      </c>
      <c r="BQ1862" s="4" t="s">
        <v>257</v>
      </c>
      <c r="CE1862" s="4" t="s">
        <v>241</v>
      </c>
      <c r="CF1862" s="4" t="s">
        <v>241</v>
      </c>
      <c r="CJ1862" s="4" t="s">
        <v>258</v>
      </c>
      <c r="CK1862" s="4" t="s">
        <v>259</v>
      </c>
      <c r="CL1862" s="4" t="s">
        <v>241</v>
      </c>
      <c r="CO1862" s="5" t="s">
        <v>260</v>
      </c>
      <c r="CP1862" s="4" t="s">
        <v>241</v>
      </c>
      <c r="CQ1862" s="4" t="s">
        <v>261</v>
      </c>
      <c r="CR1862" s="4" t="s">
        <v>241</v>
      </c>
      <c r="CS1862" s="4" t="s">
        <v>241</v>
      </c>
      <c r="CT1862" s="4">
        <v>0</v>
      </c>
      <c r="CU1862" s="4" t="s">
        <v>262</v>
      </c>
      <c r="CV1862" s="4" t="s">
        <v>263</v>
      </c>
      <c r="CW1862" s="4" t="s">
        <v>263</v>
      </c>
      <c r="CX1862" s="4" t="s">
        <v>264</v>
      </c>
      <c r="DA1862" s="6">
        <f>9558748</f>
        <v>9558748</v>
      </c>
      <c r="DC1862" s="4" t="s">
        <v>277</v>
      </c>
      <c r="DD1862" s="4" t="s">
        <v>241</v>
      </c>
      <c r="DF1862" s="4" t="s">
        <v>266</v>
      </c>
      <c r="DG1862" s="6">
        <f>1257.73</f>
        <v>1257.73</v>
      </c>
      <c r="DI1862" s="4" t="s">
        <v>241</v>
      </c>
      <c r="DJ1862" s="4" t="s">
        <v>241</v>
      </c>
      <c r="DK1862" s="4" t="s">
        <v>241</v>
      </c>
      <c r="DL1862" s="4" t="s">
        <v>241</v>
      </c>
      <c r="DP1862" s="4" t="s">
        <v>241</v>
      </c>
      <c r="DQ1862" s="4" t="s">
        <v>241</v>
      </c>
      <c r="DR1862" s="4" t="s">
        <v>241</v>
      </c>
      <c r="DS1862" s="4" t="s">
        <v>241</v>
      </c>
      <c r="DV1862" s="4" t="s">
        <v>278</v>
      </c>
      <c r="DW1862" s="4" t="s">
        <v>1303</v>
      </c>
      <c r="HO1862" s="4" t="s">
        <v>267</v>
      </c>
    </row>
    <row r="1863" spans="1:223" ht="19.5" customHeight="1" x14ac:dyDescent="0.4">
      <c r="A1863" s="4">
        <v>1</v>
      </c>
      <c r="B1863" s="4" t="s">
        <v>239</v>
      </c>
      <c r="C1863" s="4">
        <v>3560</v>
      </c>
      <c r="D1863" s="4">
        <v>1</v>
      </c>
      <c r="E1863" s="4">
        <v>1</v>
      </c>
      <c r="F1863" s="4" t="s">
        <v>268</v>
      </c>
      <c r="G1863" s="4" t="s">
        <v>241</v>
      </c>
      <c r="H1863" s="4" t="s">
        <v>241</v>
      </c>
      <c r="I1863" s="4" t="s">
        <v>272</v>
      </c>
      <c r="J1863" s="4" t="s">
        <v>274</v>
      </c>
      <c r="K1863" s="4" t="s">
        <v>251</v>
      </c>
      <c r="L1863" s="4" t="s">
        <v>2813</v>
      </c>
      <c r="M1863" s="5" t="s">
        <v>2815</v>
      </c>
      <c r="N1863" s="6">
        <f>42.74</f>
        <v>42.74</v>
      </c>
      <c r="O1863" s="4" t="s">
        <v>265</v>
      </c>
      <c r="P1863" s="6">
        <f>85480</f>
        <v>85480</v>
      </c>
      <c r="Q1863" s="6">
        <f>0</f>
        <v>0</v>
      </c>
      <c r="S1863" s="6">
        <f>0</f>
        <v>0</v>
      </c>
      <c r="T1863" s="6">
        <f>85480</f>
        <v>85480</v>
      </c>
      <c r="U1863" s="5" t="s">
        <v>2814</v>
      </c>
      <c r="V1863" s="4" t="s">
        <v>270</v>
      </c>
      <c r="W1863" s="4" t="s">
        <v>271</v>
      </c>
      <c r="X1863" s="4" t="s">
        <v>241</v>
      </c>
      <c r="Y1863" s="4" t="s">
        <v>241</v>
      </c>
      <c r="AB1863" s="4" t="s">
        <v>241</v>
      </c>
      <c r="AD1863" s="5" t="s">
        <v>241</v>
      </c>
      <c r="AG1863" s="5" t="s">
        <v>993</v>
      </c>
      <c r="AH1863" s="4" t="s">
        <v>241</v>
      </c>
      <c r="AI1863" s="4" t="s">
        <v>247</v>
      </c>
      <c r="AJ1863" s="4" t="s">
        <v>248</v>
      </c>
      <c r="AZ1863" s="4" t="s">
        <v>249</v>
      </c>
      <c r="BA1863" s="4" t="s">
        <v>241</v>
      </c>
      <c r="BB1863" s="4" t="s">
        <v>250</v>
      </c>
      <c r="BC1863" s="4" t="s">
        <v>241</v>
      </c>
      <c r="BD1863" s="4" t="s">
        <v>252</v>
      </c>
      <c r="BE1863" s="4" t="s">
        <v>241</v>
      </c>
      <c r="BI1863" s="4" t="s">
        <v>284</v>
      </c>
      <c r="BJ1863" s="5" t="s">
        <v>2814</v>
      </c>
      <c r="BK1863" s="4" t="s">
        <v>254</v>
      </c>
      <c r="BL1863" s="4" t="s">
        <v>285</v>
      </c>
      <c r="BM1863" s="4" t="s">
        <v>241</v>
      </c>
      <c r="BN1863" s="6">
        <f>0</f>
        <v>0</v>
      </c>
      <c r="BO1863" s="6">
        <f>0</f>
        <v>0</v>
      </c>
      <c r="BP1863" s="4" t="s">
        <v>256</v>
      </c>
      <c r="BQ1863" s="4" t="s">
        <v>257</v>
      </c>
      <c r="CE1863" s="4" t="s">
        <v>241</v>
      </c>
      <c r="CF1863" s="4" t="s">
        <v>241</v>
      </c>
      <c r="CJ1863" s="4" t="s">
        <v>286</v>
      </c>
      <c r="CK1863" s="4" t="s">
        <v>259</v>
      </c>
      <c r="CL1863" s="4" t="s">
        <v>241</v>
      </c>
      <c r="CO1863" s="5" t="s">
        <v>260</v>
      </c>
      <c r="CP1863" s="4" t="s">
        <v>241</v>
      </c>
      <c r="CQ1863" s="4" t="s">
        <v>261</v>
      </c>
      <c r="CR1863" s="4" t="s">
        <v>241</v>
      </c>
      <c r="CS1863" s="4" t="s">
        <v>241</v>
      </c>
      <c r="CT1863" s="4">
        <v>0</v>
      </c>
      <c r="CU1863" s="4" t="s">
        <v>262</v>
      </c>
      <c r="CV1863" s="4" t="s">
        <v>263</v>
      </c>
      <c r="CW1863" s="4" t="s">
        <v>263</v>
      </c>
      <c r="CX1863" s="4" t="s">
        <v>264</v>
      </c>
      <c r="DA1863" s="6">
        <f>85480</f>
        <v>85480</v>
      </c>
      <c r="DC1863" s="4" t="s">
        <v>277</v>
      </c>
      <c r="DD1863" s="4" t="s">
        <v>241</v>
      </c>
      <c r="DF1863" s="4" t="s">
        <v>287</v>
      </c>
      <c r="DG1863" s="6">
        <f>42.74</f>
        <v>42.74</v>
      </c>
      <c r="DI1863" s="4" t="s">
        <v>241</v>
      </c>
      <c r="DJ1863" s="4" t="s">
        <v>241</v>
      </c>
      <c r="DK1863" s="4" t="s">
        <v>241</v>
      </c>
      <c r="DL1863" s="4" t="s">
        <v>241</v>
      </c>
      <c r="DP1863" s="4" t="s">
        <v>241</v>
      </c>
      <c r="DQ1863" s="4" t="s">
        <v>241</v>
      </c>
      <c r="DR1863" s="4" t="s">
        <v>241</v>
      </c>
      <c r="DS1863" s="4" t="s">
        <v>241</v>
      </c>
      <c r="DV1863" s="4" t="s">
        <v>278</v>
      </c>
      <c r="DW1863" s="4" t="s">
        <v>2816</v>
      </c>
      <c r="HO1863" s="4" t="s">
        <v>267</v>
      </c>
    </row>
    <row r="1864" spans="1:223" ht="19.5" customHeight="1" x14ac:dyDescent="0.4">
      <c r="A1864" s="4">
        <v>1</v>
      </c>
      <c r="B1864" s="4" t="s">
        <v>239</v>
      </c>
      <c r="C1864" s="4">
        <v>3561</v>
      </c>
      <c r="D1864" s="4">
        <v>1</v>
      </c>
      <c r="E1864" s="4">
        <v>1</v>
      </c>
      <c r="F1864" s="4" t="s">
        <v>268</v>
      </c>
      <c r="G1864" s="4" t="s">
        <v>241</v>
      </c>
      <c r="H1864" s="4" t="s">
        <v>241</v>
      </c>
      <c r="I1864" s="4" t="s">
        <v>272</v>
      </c>
      <c r="J1864" s="4" t="s">
        <v>274</v>
      </c>
      <c r="K1864" s="4" t="s">
        <v>251</v>
      </c>
      <c r="L1864" s="4" t="s">
        <v>1229</v>
      </c>
      <c r="M1864" s="5" t="s">
        <v>975</v>
      </c>
      <c r="N1864" s="6">
        <f>0</f>
        <v>0</v>
      </c>
      <c r="O1864" s="4" t="s">
        <v>265</v>
      </c>
      <c r="P1864" s="6">
        <f>6496200</f>
        <v>6496200</v>
      </c>
      <c r="Q1864" s="6">
        <f>0</f>
        <v>0</v>
      </c>
      <c r="S1864" s="6">
        <f>0</f>
        <v>0</v>
      </c>
      <c r="T1864" s="6">
        <f>6496200</f>
        <v>6496200</v>
      </c>
      <c r="U1864" s="5" t="s">
        <v>1083</v>
      </c>
      <c r="V1864" s="4" t="s">
        <v>270</v>
      </c>
      <c r="W1864" s="4" t="s">
        <v>242</v>
      </c>
      <c r="X1864" s="4" t="s">
        <v>241</v>
      </c>
      <c r="Y1864" s="4" t="s">
        <v>241</v>
      </c>
      <c r="AB1864" s="4" t="s">
        <v>241</v>
      </c>
      <c r="AD1864" s="5" t="s">
        <v>241</v>
      </c>
      <c r="AG1864" s="5" t="s">
        <v>1052</v>
      </c>
      <c r="AH1864" s="4" t="s">
        <v>241</v>
      </c>
      <c r="AI1864" s="4" t="s">
        <v>247</v>
      </c>
      <c r="AJ1864" s="4" t="s">
        <v>248</v>
      </c>
      <c r="AZ1864" s="4" t="s">
        <v>249</v>
      </c>
      <c r="BA1864" s="4" t="s">
        <v>241</v>
      </c>
      <c r="BB1864" s="4" t="s">
        <v>250</v>
      </c>
      <c r="BC1864" s="4" t="s">
        <v>241</v>
      </c>
      <c r="BD1864" s="4" t="s">
        <v>252</v>
      </c>
      <c r="BE1864" s="4" t="s">
        <v>241</v>
      </c>
      <c r="BI1864" s="4" t="s">
        <v>284</v>
      </c>
      <c r="BJ1864" s="5" t="s">
        <v>1083</v>
      </c>
      <c r="BK1864" s="4" t="s">
        <v>254</v>
      </c>
      <c r="BL1864" s="4" t="s">
        <v>306</v>
      </c>
      <c r="BM1864" s="4" t="s">
        <v>241</v>
      </c>
      <c r="BN1864" s="6">
        <f>0</f>
        <v>0</v>
      </c>
      <c r="BO1864" s="6">
        <f>0</f>
        <v>0</v>
      </c>
      <c r="BP1864" s="4" t="s">
        <v>256</v>
      </c>
      <c r="BQ1864" s="4" t="s">
        <v>257</v>
      </c>
      <c r="CE1864" s="4" t="s">
        <v>241</v>
      </c>
      <c r="CF1864" s="4" t="s">
        <v>241</v>
      </c>
      <c r="CJ1864" s="4" t="s">
        <v>286</v>
      </c>
      <c r="CK1864" s="4" t="s">
        <v>259</v>
      </c>
      <c r="CL1864" s="4" t="s">
        <v>241</v>
      </c>
      <c r="CO1864" s="5" t="s">
        <v>260</v>
      </c>
      <c r="CP1864" s="4" t="s">
        <v>241</v>
      </c>
      <c r="CQ1864" s="4" t="s">
        <v>261</v>
      </c>
      <c r="CR1864" s="4" t="s">
        <v>241</v>
      </c>
      <c r="CS1864" s="4" t="s">
        <v>241</v>
      </c>
      <c r="CT1864" s="4">
        <v>0</v>
      </c>
      <c r="CU1864" s="4" t="s">
        <v>262</v>
      </c>
      <c r="CV1864" s="4" t="s">
        <v>263</v>
      </c>
      <c r="CW1864" s="4" t="s">
        <v>263</v>
      </c>
      <c r="CX1864" s="4" t="s">
        <v>264</v>
      </c>
      <c r="DA1864" s="6">
        <f>6496200</f>
        <v>6496200</v>
      </c>
      <c r="DC1864" s="4" t="s">
        <v>287</v>
      </c>
      <c r="DD1864" s="4" t="s">
        <v>241</v>
      </c>
      <c r="DF1864" s="4" t="s">
        <v>287</v>
      </c>
      <c r="DG1864" s="6">
        <f>0</f>
        <v>0</v>
      </c>
      <c r="DI1864" s="4" t="s">
        <v>241</v>
      </c>
      <c r="DJ1864" s="4" t="s">
        <v>241</v>
      </c>
      <c r="DK1864" s="4" t="s">
        <v>241</v>
      </c>
      <c r="DL1864" s="4" t="s">
        <v>241</v>
      </c>
      <c r="DP1864" s="4" t="s">
        <v>241</v>
      </c>
      <c r="DQ1864" s="4" t="s">
        <v>241</v>
      </c>
      <c r="DR1864" s="4" t="s">
        <v>241</v>
      </c>
      <c r="DS1864" s="4" t="s">
        <v>241</v>
      </c>
      <c r="DV1864" s="4" t="s">
        <v>278</v>
      </c>
      <c r="DW1864" s="4" t="s">
        <v>1230</v>
      </c>
      <c r="HO1864" s="4" t="s">
        <v>267</v>
      </c>
    </row>
    <row r="1865" spans="1:223" ht="19.5" customHeight="1" x14ac:dyDescent="0.4">
      <c r="A1865" s="4">
        <v>1</v>
      </c>
      <c r="B1865" s="4" t="s">
        <v>239</v>
      </c>
      <c r="C1865" s="4">
        <v>3562</v>
      </c>
      <c r="D1865" s="4">
        <v>1</v>
      </c>
      <c r="E1865" s="4">
        <v>1</v>
      </c>
      <c r="F1865" s="4" t="s">
        <v>268</v>
      </c>
      <c r="G1865" s="4" t="s">
        <v>241</v>
      </c>
      <c r="H1865" s="4" t="s">
        <v>241</v>
      </c>
      <c r="I1865" s="4" t="s">
        <v>272</v>
      </c>
      <c r="J1865" s="4" t="s">
        <v>274</v>
      </c>
      <c r="K1865" s="4" t="s">
        <v>251</v>
      </c>
      <c r="L1865" s="4" t="s">
        <v>2565</v>
      </c>
      <c r="M1865" s="5" t="s">
        <v>2567</v>
      </c>
      <c r="N1865" s="6">
        <f>836.32</f>
        <v>836.32</v>
      </c>
      <c r="O1865" s="4" t="s">
        <v>265</v>
      </c>
      <c r="P1865" s="6">
        <f>1672640</f>
        <v>1672640</v>
      </c>
      <c r="Q1865" s="6">
        <f>0</f>
        <v>0</v>
      </c>
      <c r="S1865" s="6">
        <f>0</f>
        <v>0</v>
      </c>
      <c r="T1865" s="6">
        <f>1672640</f>
        <v>1672640</v>
      </c>
      <c r="U1865" s="5" t="s">
        <v>2566</v>
      </c>
      <c r="V1865" s="4" t="s">
        <v>270</v>
      </c>
      <c r="W1865" s="4" t="s">
        <v>242</v>
      </c>
      <c r="X1865" s="4" t="s">
        <v>241</v>
      </c>
      <c r="Y1865" s="4" t="s">
        <v>241</v>
      </c>
      <c r="AB1865" s="4" t="s">
        <v>241</v>
      </c>
      <c r="AD1865" s="5" t="s">
        <v>241</v>
      </c>
      <c r="AG1865" s="5" t="s">
        <v>401</v>
      </c>
      <c r="AH1865" s="4" t="s">
        <v>241</v>
      </c>
      <c r="AI1865" s="4" t="s">
        <v>247</v>
      </c>
      <c r="AJ1865" s="4" t="s">
        <v>248</v>
      </c>
      <c r="AZ1865" s="4" t="s">
        <v>249</v>
      </c>
      <c r="BA1865" s="4" t="s">
        <v>241</v>
      </c>
      <c r="BB1865" s="4" t="s">
        <v>250</v>
      </c>
      <c r="BC1865" s="4" t="s">
        <v>241</v>
      </c>
      <c r="BD1865" s="4" t="s">
        <v>252</v>
      </c>
      <c r="BE1865" s="4" t="s">
        <v>241</v>
      </c>
      <c r="BI1865" s="4" t="s">
        <v>284</v>
      </c>
      <c r="BJ1865" s="5" t="s">
        <v>2566</v>
      </c>
      <c r="BK1865" s="4" t="s">
        <v>254</v>
      </c>
      <c r="BL1865" s="4" t="s">
        <v>285</v>
      </c>
      <c r="BM1865" s="4" t="s">
        <v>241</v>
      </c>
      <c r="BN1865" s="6">
        <f>0</f>
        <v>0</v>
      </c>
      <c r="BO1865" s="6">
        <f>0</f>
        <v>0</v>
      </c>
      <c r="BP1865" s="4" t="s">
        <v>256</v>
      </c>
      <c r="BQ1865" s="4" t="s">
        <v>257</v>
      </c>
      <c r="CE1865" s="4" t="s">
        <v>241</v>
      </c>
      <c r="CF1865" s="4" t="s">
        <v>241</v>
      </c>
      <c r="CJ1865" s="4" t="s">
        <v>286</v>
      </c>
      <c r="CK1865" s="4" t="s">
        <v>259</v>
      </c>
      <c r="CL1865" s="4" t="s">
        <v>241</v>
      </c>
      <c r="CO1865" s="5" t="s">
        <v>260</v>
      </c>
      <c r="CP1865" s="4" t="s">
        <v>241</v>
      </c>
      <c r="CQ1865" s="4" t="s">
        <v>261</v>
      </c>
      <c r="CR1865" s="4" t="s">
        <v>241</v>
      </c>
      <c r="CS1865" s="4" t="s">
        <v>241</v>
      </c>
      <c r="CT1865" s="4">
        <v>0</v>
      </c>
      <c r="CU1865" s="4" t="s">
        <v>262</v>
      </c>
      <c r="CV1865" s="4" t="s">
        <v>263</v>
      </c>
      <c r="CW1865" s="4" t="s">
        <v>263</v>
      </c>
      <c r="CX1865" s="4" t="s">
        <v>264</v>
      </c>
      <c r="DA1865" s="6">
        <f>1672640</f>
        <v>1672640</v>
      </c>
      <c r="DC1865" s="4" t="s">
        <v>287</v>
      </c>
      <c r="DD1865" s="4" t="s">
        <v>241</v>
      </c>
      <c r="DF1865" s="4" t="s">
        <v>287</v>
      </c>
      <c r="DG1865" s="6">
        <f>836.32</f>
        <v>836.32</v>
      </c>
      <c r="DI1865" s="4" t="s">
        <v>241</v>
      </c>
      <c r="DJ1865" s="4" t="s">
        <v>241</v>
      </c>
      <c r="DK1865" s="4" t="s">
        <v>241</v>
      </c>
      <c r="DL1865" s="4" t="s">
        <v>241</v>
      </c>
      <c r="DP1865" s="4" t="s">
        <v>241</v>
      </c>
      <c r="DQ1865" s="4" t="s">
        <v>241</v>
      </c>
      <c r="DR1865" s="4" t="s">
        <v>241</v>
      </c>
      <c r="DS1865" s="4" t="s">
        <v>241</v>
      </c>
      <c r="DV1865" s="4" t="s">
        <v>278</v>
      </c>
      <c r="DW1865" s="4" t="s">
        <v>2568</v>
      </c>
      <c r="HO1865" s="4" t="s">
        <v>267</v>
      </c>
    </row>
    <row r="1866" spans="1:223" ht="19.5" customHeight="1" x14ac:dyDescent="0.4">
      <c r="A1866" s="4">
        <v>1</v>
      </c>
      <c r="B1866" s="4" t="s">
        <v>239</v>
      </c>
      <c r="C1866" s="4">
        <v>3563</v>
      </c>
      <c r="D1866" s="4">
        <v>1</v>
      </c>
      <c r="E1866" s="4">
        <v>1</v>
      </c>
      <c r="F1866" s="4" t="s">
        <v>268</v>
      </c>
      <c r="G1866" s="4" t="s">
        <v>241</v>
      </c>
      <c r="H1866" s="4" t="s">
        <v>241</v>
      </c>
      <c r="I1866" s="4" t="s">
        <v>272</v>
      </c>
      <c r="J1866" s="4" t="s">
        <v>274</v>
      </c>
      <c r="K1866" s="4" t="s">
        <v>251</v>
      </c>
      <c r="L1866" s="4" t="s">
        <v>2578</v>
      </c>
      <c r="M1866" s="5" t="s">
        <v>1133</v>
      </c>
      <c r="N1866" s="6">
        <f>12.67</f>
        <v>12.67</v>
      </c>
      <c r="O1866" s="4" t="s">
        <v>265</v>
      </c>
      <c r="P1866" s="6">
        <f>165977</f>
        <v>165977</v>
      </c>
      <c r="Q1866" s="6">
        <f>0</f>
        <v>0</v>
      </c>
      <c r="S1866" s="6">
        <f>0</f>
        <v>0</v>
      </c>
      <c r="T1866" s="6">
        <f>165977</f>
        <v>165977</v>
      </c>
      <c r="U1866" s="5" t="s">
        <v>2579</v>
      </c>
      <c r="V1866" s="4" t="s">
        <v>270</v>
      </c>
      <c r="W1866" s="4" t="s">
        <v>242</v>
      </c>
      <c r="X1866" s="4" t="s">
        <v>241</v>
      </c>
      <c r="Y1866" s="4" t="s">
        <v>241</v>
      </c>
      <c r="AB1866" s="4" t="s">
        <v>241</v>
      </c>
      <c r="AD1866" s="5" t="s">
        <v>241</v>
      </c>
      <c r="AG1866" s="5" t="s">
        <v>338</v>
      </c>
      <c r="AH1866" s="4" t="s">
        <v>241</v>
      </c>
      <c r="AI1866" s="4" t="s">
        <v>247</v>
      </c>
      <c r="AJ1866" s="4" t="s">
        <v>248</v>
      </c>
      <c r="AZ1866" s="4" t="s">
        <v>249</v>
      </c>
      <c r="BA1866" s="4" t="s">
        <v>241</v>
      </c>
      <c r="BB1866" s="4" t="s">
        <v>250</v>
      </c>
      <c r="BC1866" s="4" t="s">
        <v>241</v>
      </c>
      <c r="BD1866" s="4" t="s">
        <v>252</v>
      </c>
      <c r="BE1866" s="4" t="s">
        <v>241</v>
      </c>
      <c r="BI1866" s="4" t="s">
        <v>284</v>
      </c>
      <c r="BJ1866" s="5" t="s">
        <v>2579</v>
      </c>
      <c r="BK1866" s="4" t="s">
        <v>254</v>
      </c>
      <c r="BL1866" s="4" t="s">
        <v>285</v>
      </c>
      <c r="BM1866" s="4" t="s">
        <v>241</v>
      </c>
      <c r="BN1866" s="6">
        <f>0</f>
        <v>0</v>
      </c>
      <c r="BO1866" s="6">
        <f>0</f>
        <v>0</v>
      </c>
      <c r="BP1866" s="4" t="s">
        <v>256</v>
      </c>
      <c r="BQ1866" s="4" t="s">
        <v>257</v>
      </c>
      <c r="CE1866" s="4" t="s">
        <v>241</v>
      </c>
      <c r="CF1866" s="4" t="s">
        <v>241</v>
      </c>
      <c r="CJ1866" s="4" t="s">
        <v>286</v>
      </c>
      <c r="CK1866" s="4" t="s">
        <v>259</v>
      </c>
      <c r="CL1866" s="4" t="s">
        <v>241</v>
      </c>
      <c r="CO1866" s="5" t="s">
        <v>260</v>
      </c>
      <c r="CP1866" s="4" t="s">
        <v>241</v>
      </c>
      <c r="CQ1866" s="4" t="s">
        <v>261</v>
      </c>
      <c r="CR1866" s="4" t="s">
        <v>241</v>
      </c>
      <c r="CS1866" s="4" t="s">
        <v>241</v>
      </c>
      <c r="CT1866" s="4">
        <v>0</v>
      </c>
      <c r="CU1866" s="4" t="s">
        <v>262</v>
      </c>
      <c r="CV1866" s="4" t="s">
        <v>263</v>
      </c>
      <c r="CW1866" s="4" t="s">
        <v>263</v>
      </c>
      <c r="CX1866" s="4" t="s">
        <v>264</v>
      </c>
      <c r="DA1866" s="6">
        <f>165977</f>
        <v>165977</v>
      </c>
      <c r="DC1866" s="4" t="s">
        <v>287</v>
      </c>
      <c r="DD1866" s="4" t="s">
        <v>241</v>
      </c>
      <c r="DF1866" s="4" t="s">
        <v>287</v>
      </c>
      <c r="DG1866" s="6">
        <f>12.67</f>
        <v>12.67</v>
      </c>
      <c r="DI1866" s="4" t="s">
        <v>241</v>
      </c>
      <c r="DJ1866" s="4" t="s">
        <v>241</v>
      </c>
      <c r="DK1866" s="4" t="s">
        <v>241</v>
      </c>
      <c r="DL1866" s="4" t="s">
        <v>241</v>
      </c>
      <c r="DP1866" s="4" t="s">
        <v>241</v>
      </c>
      <c r="DQ1866" s="4" t="s">
        <v>241</v>
      </c>
      <c r="DR1866" s="4" t="s">
        <v>241</v>
      </c>
      <c r="DS1866" s="4" t="s">
        <v>241</v>
      </c>
      <c r="DV1866" s="4" t="s">
        <v>278</v>
      </c>
      <c r="DW1866" s="4" t="s">
        <v>2580</v>
      </c>
      <c r="HO1866" s="4" t="s">
        <v>267</v>
      </c>
    </row>
    <row r="1867" spans="1:223" ht="19.5" customHeight="1" x14ac:dyDescent="0.4">
      <c r="A1867" s="4">
        <v>1</v>
      </c>
      <c r="B1867" s="4" t="s">
        <v>239</v>
      </c>
      <c r="C1867" s="4">
        <v>3564</v>
      </c>
      <c r="D1867" s="4">
        <v>1</v>
      </c>
      <c r="E1867" s="4">
        <v>1</v>
      </c>
      <c r="F1867" s="4" t="s">
        <v>268</v>
      </c>
      <c r="G1867" s="4" t="s">
        <v>241</v>
      </c>
      <c r="H1867" s="4" t="s">
        <v>241</v>
      </c>
      <c r="I1867" s="4" t="s">
        <v>272</v>
      </c>
      <c r="J1867" s="4" t="s">
        <v>274</v>
      </c>
      <c r="K1867" s="4" t="s">
        <v>251</v>
      </c>
      <c r="L1867" s="4" t="s">
        <v>2818</v>
      </c>
      <c r="M1867" s="5" t="s">
        <v>1133</v>
      </c>
      <c r="N1867" s="6">
        <f>0</f>
        <v>0</v>
      </c>
      <c r="O1867" s="4" t="s">
        <v>265</v>
      </c>
      <c r="P1867" s="6">
        <f>63679</f>
        <v>63679</v>
      </c>
      <c r="Q1867" s="6">
        <f>0</f>
        <v>0</v>
      </c>
      <c r="S1867" s="6">
        <f>0</f>
        <v>0</v>
      </c>
      <c r="T1867" s="6">
        <f>63679</f>
        <v>63679</v>
      </c>
      <c r="U1867" s="5" t="s">
        <v>2819</v>
      </c>
      <c r="V1867" s="4" t="s">
        <v>270</v>
      </c>
      <c r="W1867" s="4" t="s">
        <v>242</v>
      </c>
      <c r="X1867" s="4" t="s">
        <v>241</v>
      </c>
      <c r="Y1867" s="4" t="s">
        <v>241</v>
      </c>
      <c r="AB1867" s="4" t="s">
        <v>241</v>
      </c>
      <c r="AD1867" s="5" t="s">
        <v>241</v>
      </c>
      <c r="AG1867" s="5" t="s">
        <v>401</v>
      </c>
      <c r="AH1867" s="4" t="s">
        <v>241</v>
      </c>
      <c r="AI1867" s="4" t="s">
        <v>247</v>
      </c>
      <c r="AJ1867" s="4" t="s">
        <v>248</v>
      </c>
      <c r="AZ1867" s="4" t="s">
        <v>249</v>
      </c>
      <c r="BA1867" s="4" t="s">
        <v>241</v>
      </c>
      <c r="BB1867" s="4" t="s">
        <v>250</v>
      </c>
      <c r="BC1867" s="4" t="s">
        <v>241</v>
      </c>
      <c r="BD1867" s="4" t="s">
        <v>252</v>
      </c>
      <c r="BE1867" s="4" t="s">
        <v>241</v>
      </c>
      <c r="BI1867" s="4" t="s">
        <v>284</v>
      </c>
      <c r="BJ1867" s="5" t="s">
        <v>2819</v>
      </c>
      <c r="BK1867" s="4" t="s">
        <v>254</v>
      </c>
      <c r="BL1867" s="4" t="s">
        <v>285</v>
      </c>
      <c r="BM1867" s="4" t="s">
        <v>241</v>
      </c>
      <c r="BN1867" s="6">
        <f>0</f>
        <v>0</v>
      </c>
      <c r="BO1867" s="6">
        <f>0</f>
        <v>0</v>
      </c>
      <c r="BP1867" s="4" t="s">
        <v>256</v>
      </c>
      <c r="BQ1867" s="4" t="s">
        <v>257</v>
      </c>
      <c r="CE1867" s="4" t="s">
        <v>241</v>
      </c>
      <c r="CF1867" s="4" t="s">
        <v>241</v>
      </c>
      <c r="CJ1867" s="4" t="s">
        <v>286</v>
      </c>
      <c r="CK1867" s="4" t="s">
        <v>259</v>
      </c>
      <c r="CL1867" s="4" t="s">
        <v>241</v>
      </c>
      <c r="CO1867" s="5" t="s">
        <v>260</v>
      </c>
      <c r="CP1867" s="4" t="s">
        <v>241</v>
      </c>
      <c r="CQ1867" s="4" t="s">
        <v>261</v>
      </c>
      <c r="CR1867" s="4" t="s">
        <v>241</v>
      </c>
      <c r="CS1867" s="4" t="s">
        <v>241</v>
      </c>
      <c r="CT1867" s="4">
        <v>0</v>
      </c>
      <c r="CU1867" s="4" t="s">
        <v>262</v>
      </c>
      <c r="CV1867" s="4" t="s">
        <v>263</v>
      </c>
      <c r="CW1867" s="4" t="s">
        <v>263</v>
      </c>
      <c r="CX1867" s="4" t="s">
        <v>264</v>
      </c>
      <c r="DA1867" s="6">
        <f>63679</f>
        <v>63679</v>
      </c>
      <c r="DC1867" s="4" t="s">
        <v>287</v>
      </c>
      <c r="DD1867" s="4" t="s">
        <v>241</v>
      </c>
      <c r="DF1867" s="4" t="s">
        <v>287</v>
      </c>
      <c r="DG1867" s="6">
        <f>0</f>
        <v>0</v>
      </c>
      <c r="DI1867" s="4" t="s">
        <v>241</v>
      </c>
      <c r="DJ1867" s="4" t="s">
        <v>241</v>
      </c>
      <c r="DK1867" s="4" t="s">
        <v>241</v>
      </c>
      <c r="DL1867" s="4" t="s">
        <v>241</v>
      </c>
      <c r="DP1867" s="4" t="s">
        <v>241</v>
      </c>
      <c r="DQ1867" s="4" t="s">
        <v>241</v>
      </c>
      <c r="DR1867" s="4" t="s">
        <v>241</v>
      </c>
      <c r="DS1867" s="4" t="s">
        <v>241</v>
      </c>
      <c r="DV1867" s="4" t="s">
        <v>278</v>
      </c>
      <c r="DW1867" s="4" t="s">
        <v>2820</v>
      </c>
      <c r="HO1867" s="4" t="s">
        <v>267</v>
      </c>
    </row>
    <row r="1868" spans="1:223" ht="19.5" customHeight="1" x14ac:dyDescent="0.4">
      <c r="A1868" s="4">
        <v>1</v>
      </c>
      <c r="B1868" s="4" t="s">
        <v>239</v>
      </c>
      <c r="C1868" s="4">
        <v>3565</v>
      </c>
      <c r="D1868" s="4">
        <v>1</v>
      </c>
      <c r="E1868" s="4">
        <v>1</v>
      </c>
      <c r="F1868" s="4" t="s">
        <v>268</v>
      </c>
      <c r="G1868" s="4" t="s">
        <v>241</v>
      </c>
      <c r="H1868" s="4" t="s">
        <v>241</v>
      </c>
      <c r="I1868" s="4" t="s">
        <v>272</v>
      </c>
      <c r="J1868" s="4" t="s">
        <v>274</v>
      </c>
      <c r="K1868" s="4" t="s">
        <v>251</v>
      </c>
      <c r="L1868" s="4" t="s">
        <v>2606</v>
      </c>
      <c r="M1868" s="5" t="s">
        <v>2608</v>
      </c>
      <c r="N1868" s="6">
        <f>3.17</f>
        <v>3.17</v>
      </c>
      <c r="O1868" s="4" t="s">
        <v>265</v>
      </c>
      <c r="P1868" s="6">
        <f>78000</f>
        <v>78000</v>
      </c>
      <c r="Q1868" s="6">
        <f>0</f>
        <v>0</v>
      </c>
      <c r="S1868" s="6">
        <f>0</f>
        <v>0</v>
      </c>
      <c r="T1868" s="6">
        <f>78000</f>
        <v>78000</v>
      </c>
      <c r="U1868" s="5" t="s">
        <v>2607</v>
      </c>
      <c r="V1868" s="4" t="s">
        <v>270</v>
      </c>
      <c r="W1868" s="4" t="s">
        <v>242</v>
      </c>
      <c r="X1868" s="4" t="s">
        <v>241</v>
      </c>
      <c r="Y1868" s="4" t="s">
        <v>241</v>
      </c>
      <c r="AB1868" s="4" t="s">
        <v>241</v>
      </c>
      <c r="AD1868" s="5" t="s">
        <v>241</v>
      </c>
      <c r="AG1868" s="5" t="s">
        <v>353</v>
      </c>
      <c r="AH1868" s="4" t="s">
        <v>241</v>
      </c>
      <c r="AI1868" s="4" t="s">
        <v>247</v>
      </c>
      <c r="AJ1868" s="4" t="s">
        <v>248</v>
      </c>
      <c r="AZ1868" s="4" t="s">
        <v>249</v>
      </c>
      <c r="BA1868" s="4" t="s">
        <v>241</v>
      </c>
      <c r="BB1868" s="4" t="s">
        <v>250</v>
      </c>
      <c r="BC1868" s="4" t="s">
        <v>241</v>
      </c>
      <c r="BD1868" s="4" t="s">
        <v>252</v>
      </c>
      <c r="BE1868" s="4" t="s">
        <v>241</v>
      </c>
      <c r="BI1868" s="4" t="s">
        <v>284</v>
      </c>
      <c r="BJ1868" s="5" t="s">
        <v>2607</v>
      </c>
      <c r="BK1868" s="4" t="s">
        <v>254</v>
      </c>
      <c r="BL1868" s="4" t="s">
        <v>285</v>
      </c>
      <c r="BM1868" s="4" t="s">
        <v>241</v>
      </c>
      <c r="BN1868" s="6">
        <f>0</f>
        <v>0</v>
      </c>
      <c r="BO1868" s="6">
        <f>0</f>
        <v>0</v>
      </c>
      <c r="BP1868" s="4" t="s">
        <v>256</v>
      </c>
      <c r="BQ1868" s="4" t="s">
        <v>257</v>
      </c>
      <c r="CE1868" s="4" t="s">
        <v>241</v>
      </c>
      <c r="CF1868" s="4" t="s">
        <v>241</v>
      </c>
      <c r="CJ1868" s="4" t="s">
        <v>286</v>
      </c>
      <c r="CK1868" s="4" t="s">
        <v>259</v>
      </c>
      <c r="CL1868" s="4" t="s">
        <v>241</v>
      </c>
      <c r="CO1868" s="5" t="s">
        <v>260</v>
      </c>
      <c r="CP1868" s="4" t="s">
        <v>241</v>
      </c>
      <c r="CQ1868" s="4" t="s">
        <v>261</v>
      </c>
      <c r="CR1868" s="4" t="s">
        <v>241</v>
      </c>
      <c r="CS1868" s="4" t="s">
        <v>241</v>
      </c>
      <c r="CT1868" s="4">
        <v>0</v>
      </c>
      <c r="CU1868" s="4" t="s">
        <v>262</v>
      </c>
      <c r="CV1868" s="4" t="s">
        <v>263</v>
      </c>
      <c r="CW1868" s="4" t="s">
        <v>263</v>
      </c>
      <c r="CX1868" s="4" t="s">
        <v>264</v>
      </c>
      <c r="DA1868" s="6">
        <f>78000</f>
        <v>78000</v>
      </c>
      <c r="DC1868" s="4" t="s">
        <v>287</v>
      </c>
      <c r="DD1868" s="4" t="s">
        <v>241</v>
      </c>
      <c r="DF1868" s="4" t="s">
        <v>287</v>
      </c>
      <c r="DG1868" s="6">
        <f>3.17</f>
        <v>3.17</v>
      </c>
      <c r="DI1868" s="4" t="s">
        <v>241</v>
      </c>
      <c r="DJ1868" s="4" t="s">
        <v>241</v>
      </c>
      <c r="DK1868" s="4" t="s">
        <v>241</v>
      </c>
      <c r="DL1868" s="4" t="s">
        <v>241</v>
      </c>
      <c r="DP1868" s="4" t="s">
        <v>241</v>
      </c>
      <c r="DQ1868" s="4" t="s">
        <v>241</v>
      </c>
      <c r="DR1868" s="4" t="s">
        <v>241</v>
      </c>
      <c r="DS1868" s="4" t="s">
        <v>241</v>
      </c>
      <c r="DV1868" s="4" t="s">
        <v>278</v>
      </c>
      <c r="DW1868" s="4" t="s">
        <v>2609</v>
      </c>
      <c r="HO1868" s="4" t="s">
        <v>267</v>
      </c>
    </row>
    <row r="1869" spans="1:223" ht="19.5" customHeight="1" x14ac:dyDescent="0.4">
      <c r="A1869" s="4">
        <v>1</v>
      </c>
      <c r="B1869" s="4" t="s">
        <v>239</v>
      </c>
      <c r="C1869" s="4">
        <v>3566</v>
      </c>
      <c r="D1869" s="4">
        <v>1</v>
      </c>
      <c r="E1869" s="4">
        <v>1</v>
      </c>
      <c r="F1869" s="4" t="s">
        <v>268</v>
      </c>
      <c r="G1869" s="4" t="s">
        <v>241</v>
      </c>
      <c r="H1869" s="4" t="s">
        <v>241</v>
      </c>
      <c r="I1869" s="4" t="s">
        <v>272</v>
      </c>
      <c r="J1869" s="4" t="s">
        <v>274</v>
      </c>
      <c r="K1869" s="4" t="s">
        <v>251</v>
      </c>
      <c r="L1869" s="4" t="s">
        <v>2622</v>
      </c>
      <c r="M1869" s="5" t="s">
        <v>2608</v>
      </c>
      <c r="N1869" s="6">
        <f>0</f>
        <v>0</v>
      </c>
      <c r="O1869" s="4" t="s">
        <v>265</v>
      </c>
      <c r="P1869" s="6">
        <f>1143000</f>
        <v>1143000</v>
      </c>
      <c r="Q1869" s="6">
        <f>0</f>
        <v>0</v>
      </c>
      <c r="S1869" s="6">
        <f>0</f>
        <v>0</v>
      </c>
      <c r="T1869" s="6">
        <f>1143000</f>
        <v>1143000</v>
      </c>
      <c r="U1869" s="5" t="s">
        <v>2623</v>
      </c>
      <c r="V1869" s="4" t="s">
        <v>270</v>
      </c>
      <c r="W1869" s="4" t="s">
        <v>242</v>
      </c>
      <c r="X1869" s="4" t="s">
        <v>241</v>
      </c>
      <c r="Y1869" s="4" t="s">
        <v>241</v>
      </c>
      <c r="AB1869" s="4" t="s">
        <v>241</v>
      </c>
      <c r="AD1869" s="5" t="s">
        <v>241</v>
      </c>
      <c r="AG1869" s="5" t="s">
        <v>331</v>
      </c>
      <c r="AH1869" s="4" t="s">
        <v>241</v>
      </c>
      <c r="AI1869" s="4" t="s">
        <v>247</v>
      </c>
      <c r="AJ1869" s="4" t="s">
        <v>248</v>
      </c>
      <c r="AZ1869" s="4" t="s">
        <v>249</v>
      </c>
      <c r="BA1869" s="4" t="s">
        <v>241</v>
      </c>
      <c r="BB1869" s="4" t="s">
        <v>250</v>
      </c>
      <c r="BC1869" s="4" t="s">
        <v>241</v>
      </c>
      <c r="BD1869" s="4" t="s">
        <v>252</v>
      </c>
      <c r="BE1869" s="4" t="s">
        <v>241</v>
      </c>
      <c r="BI1869" s="4" t="s">
        <v>284</v>
      </c>
      <c r="BJ1869" s="5" t="s">
        <v>2623</v>
      </c>
      <c r="BK1869" s="4" t="s">
        <v>254</v>
      </c>
      <c r="BL1869" s="4" t="s">
        <v>285</v>
      </c>
      <c r="BM1869" s="4" t="s">
        <v>241</v>
      </c>
      <c r="BN1869" s="6">
        <f>0</f>
        <v>0</v>
      </c>
      <c r="BO1869" s="6">
        <f>0</f>
        <v>0</v>
      </c>
      <c r="BP1869" s="4" t="s">
        <v>256</v>
      </c>
      <c r="BQ1869" s="4" t="s">
        <v>257</v>
      </c>
      <c r="CE1869" s="4" t="s">
        <v>241</v>
      </c>
      <c r="CF1869" s="4" t="s">
        <v>241</v>
      </c>
      <c r="CJ1869" s="4" t="s">
        <v>286</v>
      </c>
      <c r="CK1869" s="4" t="s">
        <v>259</v>
      </c>
      <c r="CL1869" s="4" t="s">
        <v>241</v>
      </c>
      <c r="CO1869" s="5" t="s">
        <v>260</v>
      </c>
      <c r="CP1869" s="4" t="s">
        <v>241</v>
      </c>
      <c r="CQ1869" s="4" t="s">
        <v>261</v>
      </c>
      <c r="CR1869" s="4" t="s">
        <v>241</v>
      </c>
      <c r="CS1869" s="4" t="s">
        <v>241</v>
      </c>
      <c r="CT1869" s="4">
        <v>0</v>
      </c>
      <c r="CU1869" s="4" t="s">
        <v>262</v>
      </c>
      <c r="CV1869" s="4" t="s">
        <v>263</v>
      </c>
      <c r="CW1869" s="4" t="s">
        <v>263</v>
      </c>
      <c r="CX1869" s="4" t="s">
        <v>264</v>
      </c>
      <c r="DA1869" s="6">
        <f>1143000</f>
        <v>1143000</v>
      </c>
      <c r="DC1869" s="4" t="s">
        <v>287</v>
      </c>
      <c r="DD1869" s="4" t="s">
        <v>241</v>
      </c>
      <c r="DF1869" s="4" t="s">
        <v>287</v>
      </c>
      <c r="DG1869" s="6">
        <f>0</f>
        <v>0</v>
      </c>
      <c r="DI1869" s="4" t="s">
        <v>241</v>
      </c>
      <c r="DJ1869" s="4" t="s">
        <v>241</v>
      </c>
      <c r="DK1869" s="4" t="s">
        <v>241</v>
      </c>
      <c r="DL1869" s="4" t="s">
        <v>241</v>
      </c>
      <c r="DP1869" s="4" t="s">
        <v>241</v>
      </c>
      <c r="DQ1869" s="4" t="s">
        <v>241</v>
      </c>
      <c r="DR1869" s="4" t="s">
        <v>241</v>
      </c>
      <c r="DS1869" s="4" t="s">
        <v>241</v>
      </c>
      <c r="DV1869" s="4" t="s">
        <v>278</v>
      </c>
      <c r="DW1869" s="4" t="s">
        <v>2624</v>
      </c>
      <c r="HO1869" s="4" t="s">
        <v>267</v>
      </c>
    </row>
    <row r="1870" spans="1:223" ht="19.5" customHeight="1" x14ac:dyDescent="0.4">
      <c r="A1870" s="4">
        <v>1</v>
      </c>
      <c r="B1870" s="4" t="s">
        <v>239</v>
      </c>
      <c r="C1870" s="4">
        <v>3567</v>
      </c>
      <c r="D1870" s="4">
        <v>1</v>
      </c>
      <c r="E1870" s="4">
        <v>1</v>
      </c>
      <c r="F1870" s="4" t="s">
        <v>268</v>
      </c>
      <c r="G1870" s="4" t="s">
        <v>241</v>
      </c>
      <c r="H1870" s="4" t="s">
        <v>241</v>
      </c>
      <c r="I1870" s="4" t="s">
        <v>272</v>
      </c>
      <c r="J1870" s="4" t="s">
        <v>274</v>
      </c>
      <c r="K1870" s="4" t="s">
        <v>251</v>
      </c>
      <c r="L1870" s="4" t="s">
        <v>2643</v>
      </c>
      <c r="M1870" s="5" t="s">
        <v>1133</v>
      </c>
      <c r="N1870" s="6">
        <f>277.98</f>
        <v>277.98</v>
      </c>
      <c r="O1870" s="4" t="s">
        <v>265</v>
      </c>
      <c r="P1870" s="6">
        <f>1084122</f>
        <v>1084122</v>
      </c>
      <c r="Q1870" s="6">
        <f>0</f>
        <v>0</v>
      </c>
      <c r="S1870" s="6">
        <f>0</f>
        <v>0</v>
      </c>
      <c r="T1870" s="6">
        <f>1084122</f>
        <v>1084122</v>
      </c>
      <c r="U1870" s="5" t="s">
        <v>1361</v>
      </c>
      <c r="V1870" s="4" t="s">
        <v>270</v>
      </c>
      <c r="W1870" s="4" t="s">
        <v>242</v>
      </c>
      <c r="X1870" s="4" t="s">
        <v>241</v>
      </c>
      <c r="Y1870" s="4" t="s">
        <v>241</v>
      </c>
      <c r="AB1870" s="4" t="s">
        <v>241</v>
      </c>
      <c r="AD1870" s="5" t="s">
        <v>241</v>
      </c>
      <c r="AG1870" s="5" t="s">
        <v>1388</v>
      </c>
      <c r="AH1870" s="4" t="s">
        <v>241</v>
      </c>
      <c r="AI1870" s="4" t="s">
        <v>247</v>
      </c>
      <c r="AJ1870" s="4" t="s">
        <v>248</v>
      </c>
      <c r="AZ1870" s="4" t="s">
        <v>249</v>
      </c>
      <c r="BA1870" s="4" t="s">
        <v>241</v>
      </c>
      <c r="BB1870" s="4" t="s">
        <v>250</v>
      </c>
      <c r="BC1870" s="4" t="s">
        <v>241</v>
      </c>
      <c r="BD1870" s="4" t="s">
        <v>252</v>
      </c>
      <c r="BE1870" s="4" t="s">
        <v>241</v>
      </c>
      <c r="BI1870" s="4" t="s">
        <v>284</v>
      </c>
      <c r="BJ1870" s="5" t="s">
        <v>1361</v>
      </c>
      <c r="BK1870" s="4" t="s">
        <v>254</v>
      </c>
      <c r="BL1870" s="4" t="s">
        <v>285</v>
      </c>
      <c r="BM1870" s="4" t="s">
        <v>241</v>
      </c>
      <c r="BN1870" s="6">
        <f>0</f>
        <v>0</v>
      </c>
      <c r="BO1870" s="6">
        <f>0</f>
        <v>0</v>
      </c>
      <c r="BP1870" s="4" t="s">
        <v>256</v>
      </c>
      <c r="BQ1870" s="4" t="s">
        <v>257</v>
      </c>
      <c r="CE1870" s="4" t="s">
        <v>241</v>
      </c>
      <c r="CF1870" s="4" t="s">
        <v>241</v>
      </c>
      <c r="CJ1870" s="4" t="s">
        <v>286</v>
      </c>
      <c r="CK1870" s="4" t="s">
        <v>259</v>
      </c>
      <c r="CL1870" s="4" t="s">
        <v>241</v>
      </c>
      <c r="CO1870" s="5" t="s">
        <v>260</v>
      </c>
      <c r="CP1870" s="4" t="s">
        <v>241</v>
      </c>
      <c r="CQ1870" s="4" t="s">
        <v>261</v>
      </c>
      <c r="CR1870" s="4" t="s">
        <v>241</v>
      </c>
      <c r="CS1870" s="4" t="s">
        <v>241</v>
      </c>
      <c r="CT1870" s="4">
        <v>0</v>
      </c>
      <c r="CU1870" s="4" t="s">
        <v>262</v>
      </c>
      <c r="CV1870" s="4" t="s">
        <v>263</v>
      </c>
      <c r="CW1870" s="4" t="s">
        <v>263</v>
      </c>
      <c r="CX1870" s="4" t="s">
        <v>264</v>
      </c>
      <c r="DA1870" s="6">
        <f>1084122</f>
        <v>1084122</v>
      </c>
      <c r="DC1870" s="4" t="s">
        <v>287</v>
      </c>
      <c r="DD1870" s="4" t="s">
        <v>241</v>
      </c>
      <c r="DF1870" s="4" t="s">
        <v>287</v>
      </c>
      <c r="DG1870" s="6">
        <f>277.98</f>
        <v>277.98</v>
      </c>
      <c r="DI1870" s="4" t="s">
        <v>241</v>
      </c>
      <c r="DJ1870" s="4" t="s">
        <v>241</v>
      </c>
      <c r="DK1870" s="4" t="s">
        <v>241</v>
      </c>
      <c r="DL1870" s="4" t="s">
        <v>241</v>
      </c>
      <c r="DP1870" s="4" t="s">
        <v>241</v>
      </c>
      <c r="DQ1870" s="4" t="s">
        <v>241</v>
      </c>
      <c r="DR1870" s="4" t="s">
        <v>241</v>
      </c>
      <c r="DS1870" s="4" t="s">
        <v>241</v>
      </c>
      <c r="DV1870" s="4" t="s">
        <v>278</v>
      </c>
      <c r="DW1870" s="4" t="s">
        <v>2644</v>
      </c>
      <c r="HO1870" s="4" t="s">
        <v>267</v>
      </c>
    </row>
    <row r="1871" spans="1:223" ht="19.5" customHeight="1" x14ac:dyDescent="0.4">
      <c r="A1871" s="4">
        <v>1</v>
      </c>
      <c r="B1871" s="4" t="s">
        <v>239</v>
      </c>
      <c r="C1871" s="4">
        <v>3568</v>
      </c>
      <c r="D1871" s="4">
        <v>1</v>
      </c>
      <c r="E1871" s="4">
        <v>1</v>
      </c>
      <c r="F1871" s="4" t="s">
        <v>268</v>
      </c>
      <c r="G1871" s="4" t="s">
        <v>241</v>
      </c>
      <c r="H1871" s="4" t="s">
        <v>241</v>
      </c>
      <c r="I1871" s="4" t="s">
        <v>272</v>
      </c>
      <c r="J1871" s="4" t="s">
        <v>274</v>
      </c>
      <c r="K1871" s="4" t="s">
        <v>251</v>
      </c>
      <c r="L1871" s="4" t="s">
        <v>2659</v>
      </c>
      <c r="M1871" s="5" t="s">
        <v>1133</v>
      </c>
      <c r="N1871" s="6">
        <f>14.22</f>
        <v>14.22</v>
      </c>
      <c r="O1871" s="4" t="s">
        <v>265</v>
      </c>
      <c r="P1871" s="6">
        <f>214722</f>
        <v>214722</v>
      </c>
      <c r="Q1871" s="6">
        <f>0</f>
        <v>0</v>
      </c>
      <c r="S1871" s="6">
        <f>0</f>
        <v>0</v>
      </c>
      <c r="T1871" s="6">
        <f>214722</f>
        <v>214722</v>
      </c>
      <c r="U1871" s="5" t="s">
        <v>2660</v>
      </c>
      <c r="V1871" s="4" t="s">
        <v>270</v>
      </c>
      <c r="W1871" s="4" t="s">
        <v>242</v>
      </c>
      <c r="X1871" s="4" t="s">
        <v>241</v>
      </c>
      <c r="Y1871" s="4" t="s">
        <v>241</v>
      </c>
      <c r="AB1871" s="4" t="s">
        <v>241</v>
      </c>
      <c r="AD1871" s="5" t="s">
        <v>241</v>
      </c>
      <c r="AG1871" s="5" t="s">
        <v>1074</v>
      </c>
      <c r="AH1871" s="4" t="s">
        <v>241</v>
      </c>
      <c r="AI1871" s="4" t="s">
        <v>247</v>
      </c>
      <c r="AJ1871" s="4" t="s">
        <v>248</v>
      </c>
      <c r="AZ1871" s="4" t="s">
        <v>249</v>
      </c>
      <c r="BA1871" s="4" t="s">
        <v>241</v>
      </c>
      <c r="BB1871" s="4" t="s">
        <v>250</v>
      </c>
      <c r="BC1871" s="4" t="s">
        <v>241</v>
      </c>
      <c r="BD1871" s="4" t="s">
        <v>252</v>
      </c>
      <c r="BE1871" s="4" t="s">
        <v>241</v>
      </c>
      <c r="BI1871" s="4" t="s">
        <v>284</v>
      </c>
      <c r="BJ1871" s="5" t="s">
        <v>2660</v>
      </c>
      <c r="BK1871" s="4" t="s">
        <v>254</v>
      </c>
      <c r="BL1871" s="4" t="s">
        <v>285</v>
      </c>
      <c r="BM1871" s="4" t="s">
        <v>241</v>
      </c>
      <c r="BN1871" s="6">
        <f>0</f>
        <v>0</v>
      </c>
      <c r="BO1871" s="6">
        <f>0</f>
        <v>0</v>
      </c>
      <c r="BP1871" s="4" t="s">
        <v>256</v>
      </c>
      <c r="BQ1871" s="4" t="s">
        <v>257</v>
      </c>
      <c r="CE1871" s="4" t="s">
        <v>241</v>
      </c>
      <c r="CF1871" s="4" t="s">
        <v>241</v>
      </c>
      <c r="CJ1871" s="4" t="s">
        <v>286</v>
      </c>
      <c r="CK1871" s="4" t="s">
        <v>259</v>
      </c>
      <c r="CL1871" s="4" t="s">
        <v>241</v>
      </c>
      <c r="CO1871" s="5" t="s">
        <v>260</v>
      </c>
      <c r="CP1871" s="4" t="s">
        <v>241</v>
      </c>
      <c r="CQ1871" s="4" t="s">
        <v>261</v>
      </c>
      <c r="CR1871" s="4" t="s">
        <v>241</v>
      </c>
      <c r="CS1871" s="4" t="s">
        <v>241</v>
      </c>
      <c r="CT1871" s="4">
        <v>0</v>
      </c>
      <c r="CU1871" s="4" t="s">
        <v>262</v>
      </c>
      <c r="CV1871" s="4" t="s">
        <v>263</v>
      </c>
      <c r="CW1871" s="4" t="s">
        <v>263</v>
      </c>
      <c r="CX1871" s="4" t="s">
        <v>264</v>
      </c>
      <c r="DA1871" s="6">
        <f>214722</f>
        <v>214722</v>
      </c>
      <c r="DC1871" s="4" t="s">
        <v>287</v>
      </c>
      <c r="DD1871" s="4" t="s">
        <v>241</v>
      </c>
      <c r="DF1871" s="4" t="s">
        <v>287</v>
      </c>
      <c r="DG1871" s="6">
        <f>14.22</f>
        <v>14.22</v>
      </c>
      <c r="DI1871" s="4" t="s">
        <v>241</v>
      </c>
      <c r="DJ1871" s="4" t="s">
        <v>241</v>
      </c>
      <c r="DK1871" s="4" t="s">
        <v>241</v>
      </c>
      <c r="DL1871" s="4" t="s">
        <v>241</v>
      </c>
      <c r="DP1871" s="4" t="s">
        <v>241</v>
      </c>
      <c r="DQ1871" s="4" t="s">
        <v>241</v>
      </c>
      <c r="DR1871" s="4" t="s">
        <v>241</v>
      </c>
      <c r="DS1871" s="4" t="s">
        <v>241</v>
      </c>
      <c r="DV1871" s="4" t="s">
        <v>278</v>
      </c>
      <c r="DW1871" s="4" t="s">
        <v>2661</v>
      </c>
      <c r="HO1871" s="4" t="s">
        <v>267</v>
      </c>
    </row>
    <row r="1872" spans="1:223" ht="19.5" customHeight="1" x14ac:dyDescent="0.4">
      <c r="A1872" s="4">
        <v>1</v>
      </c>
      <c r="B1872" s="4" t="s">
        <v>239</v>
      </c>
      <c r="C1872" s="4">
        <v>3569</v>
      </c>
      <c r="D1872" s="4">
        <v>1</v>
      </c>
      <c r="E1872" s="4">
        <v>1</v>
      </c>
      <c r="F1872" s="4" t="s">
        <v>268</v>
      </c>
      <c r="G1872" s="4" t="s">
        <v>241</v>
      </c>
      <c r="H1872" s="4" t="s">
        <v>241</v>
      </c>
      <c r="I1872" s="4" t="s">
        <v>272</v>
      </c>
      <c r="J1872" s="4" t="s">
        <v>274</v>
      </c>
      <c r="K1872" s="4" t="s">
        <v>251</v>
      </c>
      <c r="L1872" s="4" t="s">
        <v>2676</v>
      </c>
      <c r="M1872" s="5" t="s">
        <v>1107</v>
      </c>
      <c r="N1872" s="6">
        <f>244.63</f>
        <v>244.63</v>
      </c>
      <c r="O1872" s="4" t="s">
        <v>265</v>
      </c>
      <c r="P1872" s="6">
        <f>445234</f>
        <v>445234</v>
      </c>
      <c r="Q1872" s="6">
        <f>0</f>
        <v>0</v>
      </c>
      <c r="S1872" s="6">
        <f>0</f>
        <v>0</v>
      </c>
      <c r="T1872" s="6">
        <f>445234</f>
        <v>445234</v>
      </c>
      <c r="U1872" s="5" t="s">
        <v>974</v>
      </c>
      <c r="V1872" s="4" t="s">
        <v>270</v>
      </c>
      <c r="W1872" s="4" t="s">
        <v>242</v>
      </c>
      <c r="X1872" s="4" t="s">
        <v>241</v>
      </c>
      <c r="Y1872" s="4" t="s">
        <v>241</v>
      </c>
      <c r="AB1872" s="4" t="s">
        <v>241</v>
      </c>
      <c r="AD1872" s="5" t="s">
        <v>241</v>
      </c>
      <c r="AG1872" s="5" t="s">
        <v>400</v>
      </c>
      <c r="AH1872" s="4" t="s">
        <v>241</v>
      </c>
      <c r="AI1872" s="4" t="s">
        <v>247</v>
      </c>
      <c r="AJ1872" s="4" t="s">
        <v>248</v>
      </c>
      <c r="AZ1872" s="4" t="s">
        <v>249</v>
      </c>
      <c r="BA1872" s="4" t="s">
        <v>241</v>
      </c>
      <c r="BB1872" s="4" t="s">
        <v>250</v>
      </c>
      <c r="BC1872" s="4" t="s">
        <v>241</v>
      </c>
      <c r="BD1872" s="4" t="s">
        <v>252</v>
      </c>
      <c r="BE1872" s="4" t="s">
        <v>241</v>
      </c>
      <c r="BI1872" s="4" t="s">
        <v>284</v>
      </c>
      <c r="BJ1872" s="5" t="s">
        <v>974</v>
      </c>
      <c r="BK1872" s="4" t="s">
        <v>254</v>
      </c>
      <c r="BL1872" s="4" t="s">
        <v>285</v>
      </c>
      <c r="BM1872" s="4" t="s">
        <v>241</v>
      </c>
      <c r="BN1872" s="6">
        <f>0</f>
        <v>0</v>
      </c>
      <c r="BO1872" s="6">
        <f>0</f>
        <v>0</v>
      </c>
      <c r="BP1872" s="4" t="s">
        <v>256</v>
      </c>
      <c r="BQ1872" s="4" t="s">
        <v>257</v>
      </c>
      <c r="CE1872" s="4" t="s">
        <v>241</v>
      </c>
      <c r="CF1872" s="4" t="s">
        <v>241</v>
      </c>
      <c r="CJ1872" s="4" t="s">
        <v>286</v>
      </c>
      <c r="CK1872" s="4" t="s">
        <v>259</v>
      </c>
      <c r="CL1872" s="4" t="s">
        <v>241</v>
      </c>
      <c r="CO1872" s="5" t="s">
        <v>260</v>
      </c>
      <c r="CP1872" s="4" t="s">
        <v>241</v>
      </c>
      <c r="CQ1872" s="4" t="s">
        <v>261</v>
      </c>
      <c r="CR1872" s="4" t="s">
        <v>241</v>
      </c>
      <c r="CS1872" s="4" t="s">
        <v>241</v>
      </c>
      <c r="CT1872" s="4">
        <v>0</v>
      </c>
      <c r="CU1872" s="4" t="s">
        <v>262</v>
      </c>
      <c r="CV1872" s="4" t="s">
        <v>263</v>
      </c>
      <c r="CW1872" s="4" t="s">
        <v>263</v>
      </c>
      <c r="CX1872" s="4" t="s">
        <v>264</v>
      </c>
      <c r="DA1872" s="6">
        <f>445234</f>
        <v>445234</v>
      </c>
      <c r="DC1872" s="4" t="s">
        <v>287</v>
      </c>
      <c r="DD1872" s="4" t="s">
        <v>241</v>
      </c>
      <c r="DF1872" s="4" t="s">
        <v>287</v>
      </c>
      <c r="DG1872" s="6">
        <f>244.63</f>
        <v>244.63</v>
      </c>
      <c r="DI1872" s="4" t="s">
        <v>241</v>
      </c>
      <c r="DJ1872" s="4" t="s">
        <v>241</v>
      </c>
      <c r="DK1872" s="4" t="s">
        <v>241</v>
      </c>
      <c r="DL1872" s="4" t="s">
        <v>241</v>
      </c>
      <c r="DP1872" s="4" t="s">
        <v>241</v>
      </c>
      <c r="DQ1872" s="4" t="s">
        <v>241</v>
      </c>
      <c r="DR1872" s="4" t="s">
        <v>241</v>
      </c>
      <c r="DS1872" s="4" t="s">
        <v>241</v>
      </c>
      <c r="DV1872" s="4" t="s">
        <v>278</v>
      </c>
      <c r="DW1872" s="4" t="s">
        <v>2677</v>
      </c>
      <c r="HO1872" s="4" t="s">
        <v>267</v>
      </c>
    </row>
    <row r="1873" spans="1:223" ht="19.5" customHeight="1" x14ac:dyDescent="0.4">
      <c r="A1873" s="4">
        <v>1</v>
      </c>
      <c r="B1873" s="4" t="s">
        <v>239</v>
      </c>
      <c r="C1873" s="4">
        <v>3570</v>
      </c>
      <c r="D1873" s="4">
        <v>1</v>
      </c>
      <c r="E1873" s="4">
        <v>1</v>
      </c>
      <c r="F1873" s="4" t="s">
        <v>268</v>
      </c>
      <c r="G1873" s="4" t="s">
        <v>241</v>
      </c>
      <c r="H1873" s="4" t="s">
        <v>241</v>
      </c>
      <c r="I1873" s="4" t="s">
        <v>272</v>
      </c>
      <c r="J1873" s="4" t="s">
        <v>274</v>
      </c>
      <c r="K1873" s="4" t="s">
        <v>251</v>
      </c>
      <c r="L1873" s="4" t="s">
        <v>2689</v>
      </c>
      <c r="M1873" s="5" t="s">
        <v>1107</v>
      </c>
      <c r="N1873" s="6">
        <f>0</f>
        <v>0</v>
      </c>
      <c r="O1873" s="4" t="s">
        <v>265</v>
      </c>
      <c r="P1873" s="6">
        <f>6771512</f>
        <v>6771512</v>
      </c>
      <c r="Q1873" s="6">
        <f>0</f>
        <v>0</v>
      </c>
      <c r="S1873" s="6">
        <f>0</f>
        <v>0</v>
      </c>
      <c r="T1873" s="6">
        <f>6771512</f>
        <v>6771512</v>
      </c>
      <c r="U1873" s="5" t="s">
        <v>2690</v>
      </c>
      <c r="V1873" s="4" t="s">
        <v>270</v>
      </c>
      <c r="W1873" s="4" t="s">
        <v>242</v>
      </c>
      <c r="X1873" s="4" t="s">
        <v>241</v>
      </c>
      <c r="Y1873" s="4" t="s">
        <v>241</v>
      </c>
      <c r="AB1873" s="4" t="s">
        <v>241</v>
      </c>
      <c r="AD1873" s="5" t="s">
        <v>241</v>
      </c>
      <c r="AG1873" s="5" t="s">
        <v>1164</v>
      </c>
      <c r="AH1873" s="4" t="s">
        <v>241</v>
      </c>
      <c r="AI1873" s="4" t="s">
        <v>247</v>
      </c>
      <c r="AJ1873" s="4" t="s">
        <v>248</v>
      </c>
      <c r="AZ1873" s="4" t="s">
        <v>249</v>
      </c>
      <c r="BA1873" s="4" t="s">
        <v>241</v>
      </c>
      <c r="BB1873" s="4" t="s">
        <v>250</v>
      </c>
      <c r="BC1873" s="4" t="s">
        <v>241</v>
      </c>
      <c r="BD1873" s="4" t="s">
        <v>252</v>
      </c>
      <c r="BE1873" s="4" t="s">
        <v>241</v>
      </c>
      <c r="BI1873" s="4" t="s">
        <v>284</v>
      </c>
      <c r="BJ1873" s="5" t="s">
        <v>2690</v>
      </c>
      <c r="BK1873" s="4" t="s">
        <v>254</v>
      </c>
      <c r="BL1873" s="4" t="s">
        <v>285</v>
      </c>
      <c r="BM1873" s="4" t="s">
        <v>241</v>
      </c>
      <c r="BN1873" s="6">
        <f>0</f>
        <v>0</v>
      </c>
      <c r="BO1873" s="6">
        <f>0</f>
        <v>0</v>
      </c>
      <c r="BP1873" s="4" t="s">
        <v>256</v>
      </c>
      <c r="BQ1873" s="4" t="s">
        <v>257</v>
      </c>
      <c r="CE1873" s="4" t="s">
        <v>241</v>
      </c>
      <c r="CF1873" s="4" t="s">
        <v>241</v>
      </c>
      <c r="CJ1873" s="4" t="s">
        <v>286</v>
      </c>
      <c r="CK1873" s="4" t="s">
        <v>259</v>
      </c>
      <c r="CL1873" s="4" t="s">
        <v>241</v>
      </c>
      <c r="CO1873" s="5" t="s">
        <v>260</v>
      </c>
      <c r="CP1873" s="4" t="s">
        <v>241</v>
      </c>
      <c r="CQ1873" s="4" t="s">
        <v>261</v>
      </c>
      <c r="CR1873" s="4" t="s">
        <v>241</v>
      </c>
      <c r="CS1873" s="4" t="s">
        <v>241</v>
      </c>
      <c r="CT1873" s="4">
        <v>0</v>
      </c>
      <c r="CU1873" s="4" t="s">
        <v>262</v>
      </c>
      <c r="CV1873" s="4" t="s">
        <v>263</v>
      </c>
      <c r="CW1873" s="4" t="s">
        <v>263</v>
      </c>
      <c r="CX1873" s="4" t="s">
        <v>264</v>
      </c>
      <c r="DA1873" s="6">
        <f>6771512</f>
        <v>6771512</v>
      </c>
      <c r="DC1873" s="4" t="s">
        <v>287</v>
      </c>
      <c r="DD1873" s="4" t="s">
        <v>241</v>
      </c>
      <c r="DF1873" s="4" t="s">
        <v>287</v>
      </c>
      <c r="DG1873" s="6">
        <f>0</f>
        <v>0</v>
      </c>
      <c r="DI1873" s="4" t="s">
        <v>241</v>
      </c>
      <c r="DJ1873" s="4" t="s">
        <v>241</v>
      </c>
      <c r="DK1873" s="4" t="s">
        <v>241</v>
      </c>
      <c r="DL1873" s="4" t="s">
        <v>241</v>
      </c>
      <c r="DP1873" s="4" t="s">
        <v>241</v>
      </c>
      <c r="DQ1873" s="4" t="s">
        <v>241</v>
      </c>
      <c r="DR1873" s="4" t="s">
        <v>241</v>
      </c>
      <c r="DS1873" s="4" t="s">
        <v>241</v>
      </c>
      <c r="DV1873" s="4" t="s">
        <v>278</v>
      </c>
      <c r="DW1873" s="4" t="s">
        <v>2691</v>
      </c>
      <c r="HO1873" s="4" t="s">
        <v>267</v>
      </c>
    </row>
    <row r="1874" spans="1:223" ht="19.5" customHeight="1" x14ac:dyDescent="0.4">
      <c r="A1874" s="4">
        <v>1</v>
      </c>
      <c r="B1874" s="4" t="s">
        <v>239</v>
      </c>
      <c r="C1874" s="4">
        <v>3571</v>
      </c>
      <c r="D1874" s="4">
        <v>1</v>
      </c>
      <c r="E1874" s="4">
        <v>1</v>
      </c>
      <c r="F1874" s="4" t="s">
        <v>268</v>
      </c>
      <c r="G1874" s="4" t="s">
        <v>241</v>
      </c>
      <c r="H1874" s="4" t="s">
        <v>241</v>
      </c>
      <c r="I1874" s="4" t="s">
        <v>272</v>
      </c>
      <c r="J1874" s="4" t="s">
        <v>274</v>
      </c>
      <c r="K1874" s="4" t="s">
        <v>251</v>
      </c>
      <c r="L1874" s="4" t="s">
        <v>2704</v>
      </c>
      <c r="M1874" s="5" t="s">
        <v>339</v>
      </c>
      <c r="N1874" s="6">
        <f>620.79</f>
        <v>620.79</v>
      </c>
      <c r="O1874" s="4" t="s">
        <v>265</v>
      </c>
      <c r="P1874" s="6">
        <f>847887</f>
        <v>847887</v>
      </c>
      <c r="Q1874" s="6">
        <f>0</f>
        <v>0</v>
      </c>
      <c r="S1874" s="6">
        <f>0</f>
        <v>0</v>
      </c>
      <c r="T1874" s="6">
        <f>847887</f>
        <v>847887</v>
      </c>
      <c r="U1874" s="5" t="s">
        <v>974</v>
      </c>
      <c r="V1874" s="4" t="s">
        <v>270</v>
      </c>
      <c r="W1874" s="4" t="s">
        <v>242</v>
      </c>
      <c r="X1874" s="4" t="s">
        <v>241</v>
      </c>
      <c r="Y1874" s="4" t="s">
        <v>241</v>
      </c>
      <c r="AB1874" s="4" t="s">
        <v>241</v>
      </c>
      <c r="AD1874" s="5" t="s">
        <v>241</v>
      </c>
      <c r="AG1874" s="5" t="s">
        <v>2072</v>
      </c>
      <c r="AH1874" s="4" t="s">
        <v>241</v>
      </c>
      <c r="AI1874" s="4" t="s">
        <v>247</v>
      </c>
      <c r="AJ1874" s="4" t="s">
        <v>248</v>
      </c>
      <c r="AZ1874" s="4" t="s">
        <v>249</v>
      </c>
      <c r="BA1874" s="4" t="s">
        <v>241</v>
      </c>
      <c r="BB1874" s="4" t="s">
        <v>250</v>
      </c>
      <c r="BC1874" s="4" t="s">
        <v>241</v>
      </c>
      <c r="BD1874" s="4" t="s">
        <v>252</v>
      </c>
      <c r="BE1874" s="4" t="s">
        <v>241</v>
      </c>
      <c r="BI1874" s="4" t="s">
        <v>284</v>
      </c>
      <c r="BJ1874" s="5" t="s">
        <v>974</v>
      </c>
      <c r="BK1874" s="4" t="s">
        <v>254</v>
      </c>
      <c r="BL1874" s="4" t="s">
        <v>285</v>
      </c>
      <c r="BM1874" s="4" t="s">
        <v>241</v>
      </c>
      <c r="BN1874" s="6">
        <f>0</f>
        <v>0</v>
      </c>
      <c r="BO1874" s="6">
        <f>0</f>
        <v>0</v>
      </c>
      <c r="BP1874" s="4" t="s">
        <v>256</v>
      </c>
      <c r="BQ1874" s="4" t="s">
        <v>257</v>
      </c>
      <c r="CE1874" s="4" t="s">
        <v>241</v>
      </c>
      <c r="CF1874" s="4" t="s">
        <v>241</v>
      </c>
      <c r="CJ1874" s="4" t="s">
        <v>286</v>
      </c>
      <c r="CK1874" s="4" t="s">
        <v>259</v>
      </c>
      <c r="CL1874" s="4" t="s">
        <v>241</v>
      </c>
      <c r="CO1874" s="5" t="s">
        <v>260</v>
      </c>
      <c r="CP1874" s="4" t="s">
        <v>241</v>
      </c>
      <c r="CQ1874" s="4" t="s">
        <v>261</v>
      </c>
      <c r="CR1874" s="4" t="s">
        <v>241</v>
      </c>
      <c r="CS1874" s="4" t="s">
        <v>241</v>
      </c>
      <c r="CT1874" s="4">
        <v>0</v>
      </c>
      <c r="CU1874" s="4" t="s">
        <v>262</v>
      </c>
      <c r="CV1874" s="4" t="s">
        <v>263</v>
      </c>
      <c r="CW1874" s="4" t="s">
        <v>263</v>
      </c>
      <c r="CX1874" s="4" t="s">
        <v>264</v>
      </c>
      <c r="DA1874" s="6">
        <f>847887</f>
        <v>847887</v>
      </c>
      <c r="DC1874" s="4" t="s">
        <v>287</v>
      </c>
      <c r="DD1874" s="4" t="s">
        <v>241</v>
      </c>
      <c r="DF1874" s="4" t="s">
        <v>287</v>
      </c>
      <c r="DG1874" s="6">
        <f>620.79</f>
        <v>620.79</v>
      </c>
      <c r="DI1874" s="4" t="s">
        <v>241</v>
      </c>
      <c r="DJ1874" s="4" t="s">
        <v>241</v>
      </c>
      <c r="DK1874" s="4" t="s">
        <v>241</v>
      </c>
      <c r="DL1874" s="4" t="s">
        <v>241</v>
      </c>
      <c r="DP1874" s="4" t="s">
        <v>241</v>
      </c>
      <c r="DQ1874" s="4" t="s">
        <v>241</v>
      </c>
      <c r="DR1874" s="4" t="s">
        <v>241</v>
      </c>
      <c r="DS1874" s="4" t="s">
        <v>241</v>
      </c>
      <c r="DV1874" s="4" t="s">
        <v>278</v>
      </c>
      <c r="DW1874" s="4" t="s">
        <v>2705</v>
      </c>
      <c r="HO1874" s="4" t="s">
        <v>267</v>
      </c>
    </row>
    <row r="1875" spans="1:223" ht="19.5" customHeight="1" x14ac:dyDescent="0.4">
      <c r="A1875" s="4">
        <v>1</v>
      </c>
      <c r="B1875" s="4" t="s">
        <v>239</v>
      </c>
      <c r="C1875" s="4">
        <v>3572</v>
      </c>
      <c r="D1875" s="4">
        <v>1</v>
      </c>
      <c r="E1875" s="4">
        <v>1</v>
      </c>
      <c r="F1875" s="4" t="s">
        <v>268</v>
      </c>
      <c r="G1875" s="4" t="s">
        <v>241</v>
      </c>
      <c r="H1875" s="4" t="s">
        <v>241</v>
      </c>
      <c r="I1875" s="4" t="s">
        <v>272</v>
      </c>
      <c r="J1875" s="4" t="s">
        <v>274</v>
      </c>
      <c r="K1875" s="4" t="s">
        <v>251</v>
      </c>
      <c r="L1875" s="4" t="s">
        <v>336</v>
      </c>
      <c r="M1875" s="5" t="s">
        <v>339</v>
      </c>
      <c r="N1875" s="6">
        <f>0</f>
        <v>0</v>
      </c>
      <c r="O1875" s="4" t="s">
        <v>265</v>
      </c>
      <c r="P1875" s="6">
        <f>7935096</f>
        <v>7935096</v>
      </c>
      <c r="Q1875" s="6">
        <f>0</f>
        <v>0</v>
      </c>
      <c r="S1875" s="6">
        <f>0</f>
        <v>0</v>
      </c>
      <c r="T1875" s="6">
        <f>7935096</f>
        <v>7935096</v>
      </c>
      <c r="U1875" s="5" t="s">
        <v>337</v>
      </c>
      <c r="V1875" s="4" t="s">
        <v>270</v>
      </c>
      <c r="W1875" s="4" t="s">
        <v>242</v>
      </c>
      <c r="X1875" s="4" t="s">
        <v>241</v>
      </c>
      <c r="Y1875" s="4" t="s">
        <v>241</v>
      </c>
      <c r="AB1875" s="4" t="s">
        <v>241</v>
      </c>
      <c r="AD1875" s="5" t="s">
        <v>241</v>
      </c>
      <c r="AG1875" s="5" t="s">
        <v>338</v>
      </c>
      <c r="AH1875" s="4" t="s">
        <v>241</v>
      </c>
      <c r="AI1875" s="4" t="s">
        <v>247</v>
      </c>
      <c r="AJ1875" s="4" t="s">
        <v>248</v>
      </c>
      <c r="AZ1875" s="4" t="s">
        <v>249</v>
      </c>
      <c r="BA1875" s="4" t="s">
        <v>241</v>
      </c>
      <c r="BB1875" s="4" t="s">
        <v>250</v>
      </c>
      <c r="BC1875" s="4" t="s">
        <v>241</v>
      </c>
      <c r="BD1875" s="4" t="s">
        <v>252</v>
      </c>
      <c r="BE1875" s="4" t="s">
        <v>241</v>
      </c>
      <c r="BI1875" s="4" t="s">
        <v>284</v>
      </c>
      <c r="BJ1875" s="5" t="s">
        <v>337</v>
      </c>
      <c r="BK1875" s="4" t="s">
        <v>254</v>
      </c>
      <c r="BL1875" s="4" t="s">
        <v>285</v>
      </c>
      <c r="BM1875" s="4" t="s">
        <v>241</v>
      </c>
      <c r="BN1875" s="6">
        <f>0</f>
        <v>0</v>
      </c>
      <c r="BO1875" s="6">
        <f>0</f>
        <v>0</v>
      </c>
      <c r="BP1875" s="4" t="s">
        <v>256</v>
      </c>
      <c r="BQ1875" s="4" t="s">
        <v>257</v>
      </c>
      <c r="CE1875" s="4" t="s">
        <v>241</v>
      </c>
      <c r="CF1875" s="4" t="s">
        <v>241</v>
      </c>
      <c r="CJ1875" s="4" t="s">
        <v>286</v>
      </c>
      <c r="CK1875" s="4" t="s">
        <v>259</v>
      </c>
      <c r="CL1875" s="4" t="s">
        <v>241</v>
      </c>
      <c r="CO1875" s="5" t="s">
        <v>260</v>
      </c>
      <c r="CP1875" s="4" t="s">
        <v>241</v>
      </c>
      <c r="CQ1875" s="4" t="s">
        <v>261</v>
      </c>
      <c r="CR1875" s="4" t="s">
        <v>241</v>
      </c>
      <c r="CS1875" s="4" t="s">
        <v>241</v>
      </c>
      <c r="CT1875" s="4">
        <v>0</v>
      </c>
      <c r="CU1875" s="4" t="s">
        <v>262</v>
      </c>
      <c r="CV1875" s="4" t="s">
        <v>263</v>
      </c>
      <c r="CW1875" s="4" t="s">
        <v>263</v>
      </c>
      <c r="CX1875" s="4" t="s">
        <v>264</v>
      </c>
      <c r="DA1875" s="6">
        <f>7935096</f>
        <v>7935096</v>
      </c>
      <c r="DC1875" s="4" t="s">
        <v>287</v>
      </c>
      <c r="DD1875" s="4" t="s">
        <v>241</v>
      </c>
      <c r="DF1875" s="4" t="s">
        <v>287</v>
      </c>
      <c r="DG1875" s="6">
        <f>0</f>
        <v>0</v>
      </c>
      <c r="DI1875" s="4" t="s">
        <v>241</v>
      </c>
      <c r="DJ1875" s="4" t="s">
        <v>241</v>
      </c>
      <c r="DK1875" s="4" t="s">
        <v>241</v>
      </c>
      <c r="DL1875" s="4" t="s">
        <v>241</v>
      </c>
      <c r="DP1875" s="4" t="s">
        <v>241</v>
      </c>
      <c r="DQ1875" s="4" t="s">
        <v>241</v>
      </c>
      <c r="DR1875" s="4" t="s">
        <v>241</v>
      </c>
      <c r="DS1875" s="4" t="s">
        <v>241</v>
      </c>
      <c r="DV1875" s="4" t="s">
        <v>278</v>
      </c>
      <c r="DW1875" s="4" t="s">
        <v>340</v>
      </c>
      <c r="HO1875" s="4" t="s">
        <v>267</v>
      </c>
    </row>
    <row r="1876" spans="1:223" ht="19.5" customHeight="1" x14ac:dyDescent="0.4">
      <c r="A1876" s="4">
        <v>1</v>
      </c>
      <c r="B1876" s="4" t="s">
        <v>239</v>
      </c>
      <c r="C1876" s="4">
        <v>3573</v>
      </c>
      <c r="D1876" s="4">
        <v>1</v>
      </c>
      <c r="E1876" s="4">
        <v>1</v>
      </c>
      <c r="F1876" s="4" t="s">
        <v>268</v>
      </c>
      <c r="G1876" s="4" t="s">
        <v>241</v>
      </c>
      <c r="H1876" s="4" t="s">
        <v>241</v>
      </c>
      <c r="I1876" s="4" t="s">
        <v>272</v>
      </c>
      <c r="J1876" s="4" t="s">
        <v>274</v>
      </c>
      <c r="K1876" s="4" t="s">
        <v>251</v>
      </c>
      <c r="L1876" s="4" t="s">
        <v>987</v>
      </c>
      <c r="M1876" s="5" t="s">
        <v>983</v>
      </c>
      <c r="N1876" s="6">
        <f>0</f>
        <v>0</v>
      </c>
      <c r="O1876" s="4" t="s">
        <v>265</v>
      </c>
      <c r="P1876" s="6">
        <f>635000</f>
        <v>635000</v>
      </c>
      <c r="Q1876" s="6">
        <f>0</f>
        <v>0</v>
      </c>
      <c r="S1876" s="6">
        <f>0</f>
        <v>0</v>
      </c>
      <c r="T1876" s="6">
        <f>635000</f>
        <v>635000</v>
      </c>
      <c r="U1876" s="5" t="s">
        <v>988</v>
      </c>
      <c r="V1876" s="4" t="s">
        <v>270</v>
      </c>
      <c r="W1876" s="4" t="s">
        <v>242</v>
      </c>
      <c r="X1876" s="4" t="s">
        <v>241</v>
      </c>
      <c r="Y1876" s="4" t="s">
        <v>241</v>
      </c>
      <c r="AB1876" s="4" t="s">
        <v>241</v>
      </c>
      <c r="AD1876" s="5" t="s">
        <v>241</v>
      </c>
      <c r="AG1876" s="5" t="s">
        <v>989</v>
      </c>
      <c r="AH1876" s="4" t="s">
        <v>241</v>
      </c>
      <c r="AI1876" s="4" t="s">
        <v>247</v>
      </c>
      <c r="AJ1876" s="4" t="s">
        <v>248</v>
      </c>
      <c r="AZ1876" s="4" t="s">
        <v>249</v>
      </c>
      <c r="BA1876" s="4" t="s">
        <v>241</v>
      </c>
      <c r="BB1876" s="4" t="s">
        <v>250</v>
      </c>
      <c r="BC1876" s="4" t="s">
        <v>241</v>
      </c>
      <c r="BD1876" s="4" t="s">
        <v>252</v>
      </c>
      <c r="BE1876" s="4" t="s">
        <v>241</v>
      </c>
      <c r="BI1876" s="4" t="s">
        <v>284</v>
      </c>
      <c r="BJ1876" s="5" t="s">
        <v>988</v>
      </c>
      <c r="BK1876" s="4" t="s">
        <v>254</v>
      </c>
      <c r="BL1876" s="4" t="s">
        <v>285</v>
      </c>
      <c r="BM1876" s="4" t="s">
        <v>241</v>
      </c>
      <c r="BN1876" s="6">
        <f>0</f>
        <v>0</v>
      </c>
      <c r="BO1876" s="6">
        <f>0</f>
        <v>0</v>
      </c>
      <c r="BP1876" s="4" t="s">
        <v>256</v>
      </c>
      <c r="BQ1876" s="4" t="s">
        <v>257</v>
      </c>
      <c r="CE1876" s="4" t="s">
        <v>241</v>
      </c>
      <c r="CF1876" s="4" t="s">
        <v>241</v>
      </c>
      <c r="CJ1876" s="4" t="s">
        <v>286</v>
      </c>
      <c r="CK1876" s="4" t="s">
        <v>259</v>
      </c>
      <c r="CL1876" s="4" t="s">
        <v>241</v>
      </c>
      <c r="CO1876" s="5" t="s">
        <v>260</v>
      </c>
      <c r="CP1876" s="4" t="s">
        <v>241</v>
      </c>
      <c r="CQ1876" s="4" t="s">
        <v>261</v>
      </c>
      <c r="CR1876" s="4" t="s">
        <v>241</v>
      </c>
      <c r="CS1876" s="4" t="s">
        <v>241</v>
      </c>
      <c r="CT1876" s="4">
        <v>0</v>
      </c>
      <c r="CU1876" s="4" t="s">
        <v>262</v>
      </c>
      <c r="CV1876" s="4" t="s">
        <v>263</v>
      </c>
      <c r="CW1876" s="4" t="s">
        <v>263</v>
      </c>
      <c r="CX1876" s="4" t="s">
        <v>264</v>
      </c>
      <c r="DA1876" s="6">
        <f>635000</f>
        <v>635000</v>
      </c>
      <c r="DC1876" s="4" t="s">
        <v>287</v>
      </c>
      <c r="DD1876" s="4" t="s">
        <v>241</v>
      </c>
      <c r="DF1876" s="4" t="s">
        <v>287</v>
      </c>
      <c r="DG1876" s="6">
        <f>0</f>
        <v>0</v>
      </c>
      <c r="DI1876" s="4" t="s">
        <v>241</v>
      </c>
      <c r="DJ1876" s="4" t="s">
        <v>241</v>
      </c>
      <c r="DK1876" s="4" t="s">
        <v>241</v>
      </c>
      <c r="DL1876" s="4" t="s">
        <v>241</v>
      </c>
      <c r="DP1876" s="4" t="s">
        <v>241</v>
      </c>
      <c r="DQ1876" s="4" t="s">
        <v>241</v>
      </c>
      <c r="DR1876" s="4" t="s">
        <v>241</v>
      </c>
      <c r="DS1876" s="4" t="s">
        <v>241</v>
      </c>
      <c r="DV1876" s="4" t="s">
        <v>278</v>
      </c>
      <c r="DW1876" s="4" t="s">
        <v>990</v>
      </c>
      <c r="HO1876" s="4" t="s">
        <v>267</v>
      </c>
    </row>
    <row r="1877" spans="1:223" ht="19.5" customHeight="1" x14ac:dyDescent="0.4">
      <c r="A1877" s="4">
        <v>1</v>
      </c>
      <c r="B1877" s="4" t="s">
        <v>239</v>
      </c>
      <c r="C1877" s="4">
        <v>3574</v>
      </c>
      <c r="D1877" s="4">
        <v>1</v>
      </c>
      <c r="E1877" s="4">
        <v>1</v>
      </c>
      <c r="F1877" s="4" t="s">
        <v>268</v>
      </c>
      <c r="G1877" s="4" t="s">
        <v>241</v>
      </c>
      <c r="H1877" s="4" t="s">
        <v>241</v>
      </c>
      <c r="I1877" s="4" t="s">
        <v>272</v>
      </c>
      <c r="J1877" s="4" t="s">
        <v>274</v>
      </c>
      <c r="K1877" s="4" t="s">
        <v>251</v>
      </c>
      <c r="L1877" s="4" t="s">
        <v>1082</v>
      </c>
      <c r="M1877" s="5" t="s">
        <v>983</v>
      </c>
      <c r="N1877" s="6">
        <f>0</f>
        <v>0</v>
      </c>
      <c r="O1877" s="4" t="s">
        <v>265</v>
      </c>
      <c r="P1877" s="6">
        <f>26387200</f>
        <v>26387200</v>
      </c>
      <c r="Q1877" s="6">
        <f>0</f>
        <v>0</v>
      </c>
      <c r="S1877" s="6">
        <f>0</f>
        <v>0</v>
      </c>
      <c r="T1877" s="6">
        <f>26387200</f>
        <v>26387200</v>
      </c>
      <c r="U1877" s="5" t="s">
        <v>1083</v>
      </c>
      <c r="V1877" s="4" t="s">
        <v>270</v>
      </c>
      <c r="W1877" s="4" t="s">
        <v>242</v>
      </c>
      <c r="X1877" s="4" t="s">
        <v>241</v>
      </c>
      <c r="Y1877" s="4" t="s">
        <v>241</v>
      </c>
      <c r="AB1877" s="4" t="s">
        <v>241</v>
      </c>
      <c r="AD1877" s="5" t="s">
        <v>241</v>
      </c>
      <c r="AG1877" s="5" t="s">
        <v>1084</v>
      </c>
      <c r="AH1877" s="4" t="s">
        <v>241</v>
      </c>
      <c r="AI1877" s="4" t="s">
        <v>247</v>
      </c>
      <c r="AJ1877" s="4" t="s">
        <v>248</v>
      </c>
      <c r="AZ1877" s="4" t="s">
        <v>249</v>
      </c>
      <c r="BA1877" s="4" t="s">
        <v>241</v>
      </c>
      <c r="BB1877" s="4" t="s">
        <v>250</v>
      </c>
      <c r="BC1877" s="4" t="s">
        <v>241</v>
      </c>
      <c r="BD1877" s="4" t="s">
        <v>252</v>
      </c>
      <c r="BE1877" s="4" t="s">
        <v>241</v>
      </c>
      <c r="BI1877" s="4" t="s">
        <v>284</v>
      </c>
      <c r="BJ1877" s="5" t="s">
        <v>1083</v>
      </c>
      <c r="BK1877" s="4" t="s">
        <v>254</v>
      </c>
      <c r="BL1877" s="4" t="s">
        <v>285</v>
      </c>
      <c r="BM1877" s="4" t="s">
        <v>241</v>
      </c>
      <c r="BN1877" s="6">
        <f>0</f>
        <v>0</v>
      </c>
      <c r="BO1877" s="6">
        <f>0</f>
        <v>0</v>
      </c>
      <c r="BP1877" s="4" t="s">
        <v>256</v>
      </c>
      <c r="BQ1877" s="4" t="s">
        <v>257</v>
      </c>
      <c r="CE1877" s="4" t="s">
        <v>241</v>
      </c>
      <c r="CF1877" s="4" t="s">
        <v>241</v>
      </c>
      <c r="CJ1877" s="4" t="s">
        <v>286</v>
      </c>
      <c r="CK1877" s="4" t="s">
        <v>259</v>
      </c>
      <c r="CL1877" s="4" t="s">
        <v>241</v>
      </c>
      <c r="CO1877" s="5" t="s">
        <v>260</v>
      </c>
      <c r="CP1877" s="4" t="s">
        <v>241</v>
      </c>
      <c r="CQ1877" s="4" t="s">
        <v>261</v>
      </c>
      <c r="CR1877" s="4" t="s">
        <v>241</v>
      </c>
      <c r="CS1877" s="4" t="s">
        <v>241</v>
      </c>
      <c r="CT1877" s="4">
        <v>0</v>
      </c>
      <c r="CU1877" s="4" t="s">
        <v>262</v>
      </c>
      <c r="CV1877" s="4" t="s">
        <v>263</v>
      </c>
      <c r="CW1877" s="4" t="s">
        <v>263</v>
      </c>
      <c r="CX1877" s="4" t="s">
        <v>264</v>
      </c>
      <c r="DA1877" s="6">
        <f>26387200</f>
        <v>26387200</v>
      </c>
      <c r="DC1877" s="4" t="s">
        <v>287</v>
      </c>
      <c r="DD1877" s="4" t="s">
        <v>241</v>
      </c>
      <c r="DF1877" s="4" t="s">
        <v>287</v>
      </c>
      <c r="DG1877" s="6">
        <f>0</f>
        <v>0</v>
      </c>
      <c r="DI1877" s="4" t="s">
        <v>241</v>
      </c>
      <c r="DJ1877" s="4" t="s">
        <v>241</v>
      </c>
      <c r="DK1877" s="4" t="s">
        <v>241</v>
      </c>
      <c r="DL1877" s="4" t="s">
        <v>241</v>
      </c>
      <c r="DP1877" s="4" t="s">
        <v>241</v>
      </c>
      <c r="DQ1877" s="4" t="s">
        <v>241</v>
      </c>
      <c r="DR1877" s="4" t="s">
        <v>241</v>
      </c>
      <c r="DS1877" s="4" t="s">
        <v>241</v>
      </c>
      <c r="DV1877" s="4" t="s">
        <v>278</v>
      </c>
      <c r="DW1877" s="4" t="s">
        <v>1085</v>
      </c>
      <c r="HO1877" s="4" t="s">
        <v>267</v>
      </c>
    </row>
    <row r="1878" spans="1:223" ht="19.5" customHeight="1" x14ac:dyDescent="0.4">
      <c r="A1878" s="4">
        <v>1</v>
      </c>
      <c r="B1878" s="4" t="s">
        <v>239</v>
      </c>
      <c r="C1878" s="4">
        <v>3575</v>
      </c>
      <c r="D1878" s="4">
        <v>1</v>
      </c>
      <c r="E1878" s="4">
        <v>1</v>
      </c>
      <c r="F1878" s="4" t="s">
        <v>268</v>
      </c>
      <c r="G1878" s="4" t="s">
        <v>241</v>
      </c>
      <c r="H1878" s="4" t="s">
        <v>241</v>
      </c>
      <c r="I1878" s="4" t="s">
        <v>272</v>
      </c>
      <c r="J1878" s="4" t="s">
        <v>274</v>
      </c>
      <c r="K1878" s="4" t="s">
        <v>251</v>
      </c>
      <c r="L1878" s="4" t="s">
        <v>1162</v>
      </c>
      <c r="M1878" s="5" t="s">
        <v>1133</v>
      </c>
      <c r="N1878" s="6">
        <f>714.77</f>
        <v>714.77</v>
      </c>
      <c r="O1878" s="4" t="s">
        <v>265</v>
      </c>
      <c r="P1878" s="6">
        <f>1986028</f>
        <v>1986028</v>
      </c>
      <c r="Q1878" s="6">
        <f>0</f>
        <v>0</v>
      </c>
      <c r="S1878" s="6">
        <f>0</f>
        <v>0</v>
      </c>
      <c r="T1878" s="6">
        <f>1986028</f>
        <v>1986028</v>
      </c>
      <c r="U1878" s="5" t="s">
        <v>1163</v>
      </c>
      <c r="V1878" s="4" t="s">
        <v>270</v>
      </c>
      <c r="W1878" s="4" t="s">
        <v>242</v>
      </c>
      <c r="X1878" s="4" t="s">
        <v>241</v>
      </c>
      <c r="Y1878" s="4" t="s">
        <v>241</v>
      </c>
      <c r="AB1878" s="4" t="s">
        <v>241</v>
      </c>
      <c r="AD1878" s="5" t="s">
        <v>241</v>
      </c>
      <c r="AG1878" s="5" t="s">
        <v>1164</v>
      </c>
      <c r="AH1878" s="4" t="s">
        <v>241</v>
      </c>
      <c r="AI1878" s="4" t="s">
        <v>247</v>
      </c>
      <c r="AJ1878" s="4" t="s">
        <v>248</v>
      </c>
      <c r="AZ1878" s="4" t="s">
        <v>249</v>
      </c>
      <c r="BA1878" s="4" t="s">
        <v>241</v>
      </c>
      <c r="BB1878" s="4" t="s">
        <v>250</v>
      </c>
      <c r="BC1878" s="4" t="s">
        <v>241</v>
      </c>
      <c r="BD1878" s="4" t="s">
        <v>252</v>
      </c>
      <c r="BE1878" s="4" t="s">
        <v>241</v>
      </c>
      <c r="BI1878" s="4" t="s">
        <v>284</v>
      </c>
      <c r="BJ1878" s="5" t="s">
        <v>1163</v>
      </c>
      <c r="BK1878" s="4" t="s">
        <v>254</v>
      </c>
      <c r="BL1878" s="4" t="s">
        <v>285</v>
      </c>
      <c r="BM1878" s="4" t="s">
        <v>241</v>
      </c>
      <c r="BN1878" s="6">
        <f>0</f>
        <v>0</v>
      </c>
      <c r="BO1878" s="6">
        <f>0</f>
        <v>0</v>
      </c>
      <c r="BP1878" s="4" t="s">
        <v>256</v>
      </c>
      <c r="BQ1878" s="4" t="s">
        <v>257</v>
      </c>
      <c r="CE1878" s="4" t="s">
        <v>241</v>
      </c>
      <c r="CF1878" s="4" t="s">
        <v>241</v>
      </c>
      <c r="CJ1878" s="4" t="s">
        <v>286</v>
      </c>
      <c r="CK1878" s="4" t="s">
        <v>259</v>
      </c>
      <c r="CL1878" s="4" t="s">
        <v>241</v>
      </c>
      <c r="CO1878" s="5" t="s">
        <v>260</v>
      </c>
      <c r="CP1878" s="4" t="s">
        <v>241</v>
      </c>
      <c r="CQ1878" s="4" t="s">
        <v>261</v>
      </c>
      <c r="CR1878" s="4" t="s">
        <v>241</v>
      </c>
      <c r="CS1878" s="4" t="s">
        <v>241</v>
      </c>
      <c r="CT1878" s="4">
        <v>0</v>
      </c>
      <c r="CU1878" s="4" t="s">
        <v>262</v>
      </c>
      <c r="CV1878" s="4" t="s">
        <v>263</v>
      </c>
      <c r="CW1878" s="4" t="s">
        <v>263</v>
      </c>
      <c r="CX1878" s="4" t="s">
        <v>264</v>
      </c>
      <c r="DA1878" s="6">
        <f>1986028</f>
        <v>1986028</v>
      </c>
      <c r="DC1878" s="4" t="s">
        <v>287</v>
      </c>
      <c r="DD1878" s="4" t="s">
        <v>241</v>
      </c>
      <c r="DF1878" s="4" t="s">
        <v>287</v>
      </c>
      <c r="DG1878" s="6">
        <f>714.77</f>
        <v>714.77</v>
      </c>
      <c r="DI1878" s="4" t="s">
        <v>241</v>
      </c>
      <c r="DJ1878" s="4" t="s">
        <v>241</v>
      </c>
      <c r="DK1878" s="4" t="s">
        <v>241</v>
      </c>
      <c r="DL1878" s="4" t="s">
        <v>241</v>
      </c>
      <c r="DP1878" s="4" t="s">
        <v>241</v>
      </c>
      <c r="DQ1878" s="4" t="s">
        <v>241</v>
      </c>
      <c r="DR1878" s="4" t="s">
        <v>241</v>
      </c>
      <c r="DS1878" s="4" t="s">
        <v>241</v>
      </c>
      <c r="DV1878" s="4" t="s">
        <v>278</v>
      </c>
      <c r="DW1878" s="4" t="s">
        <v>1165</v>
      </c>
      <c r="HO1878" s="4" t="s">
        <v>267</v>
      </c>
    </row>
    <row r="1879" spans="1:223" ht="19.5" customHeight="1" x14ac:dyDescent="0.4">
      <c r="A1879" s="4">
        <v>1</v>
      </c>
      <c r="B1879" s="4" t="s">
        <v>239</v>
      </c>
      <c r="C1879" s="4">
        <v>3576</v>
      </c>
      <c r="D1879" s="4">
        <v>1</v>
      </c>
      <c r="E1879" s="4">
        <v>1</v>
      </c>
      <c r="F1879" s="4" t="s">
        <v>268</v>
      </c>
      <c r="G1879" s="4" t="s">
        <v>241</v>
      </c>
      <c r="H1879" s="4" t="s">
        <v>241</v>
      </c>
      <c r="I1879" s="4" t="s">
        <v>272</v>
      </c>
      <c r="J1879" s="4" t="s">
        <v>274</v>
      </c>
      <c r="K1879" s="4" t="s">
        <v>251</v>
      </c>
      <c r="L1879" s="4" t="s">
        <v>1383</v>
      </c>
      <c r="M1879" s="5" t="s">
        <v>1133</v>
      </c>
      <c r="N1879" s="6">
        <f>0</f>
        <v>0</v>
      </c>
      <c r="O1879" s="4" t="s">
        <v>265</v>
      </c>
      <c r="P1879" s="6">
        <f>24622044</f>
        <v>24622044</v>
      </c>
      <c r="Q1879" s="6">
        <f>0</f>
        <v>0</v>
      </c>
      <c r="S1879" s="6">
        <f>0</f>
        <v>0</v>
      </c>
      <c r="T1879" s="6">
        <f>24622044</f>
        <v>24622044</v>
      </c>
      <c r="U1879" s="5" t="s">
        <v>1384</v>
      </c>
      <c r="V1879" s="4" t="s">
        <v>270</v>
      </c>
      <c r="W1879" s="4" t="s">
        <v>242</v>
      </c>
      <c r="X1879" s="4" t="s">
        <v>241</v>
      </c>
      <c r="Y1879" s="4" t="s">
        <v>241</v>
      </c>
      <c r="AB1879" s="4" t="s">
        <v>241</v>
      </c>
      <c r="AD1879" s="5" t="s">
        <v>241</v>
      </c>
      <c r="AG1879" s="5" t="s">
        <v>401</v>
      </c>
      <c r="AH1879" s="4" t="s">
        <v>241</v>
      </c>
      <c r="AI1879" s="4" t="s">
        <v>247</v>
      </c>
      <c r="AJ1879" s="4" t="s">
        <v>248</v>
      </c>
      <c r="AZ1879" s="4" t="s">
        <v>249</v>
      </c>
      <c r="BA1879" s="4" t="s">
        <v>241</v>
      </c>
      <c r="BB1879" s="4" t="s">
        <v>250</v>
      </c>
      <c r="BC1879" s="4" t="s">
        <v>241</v>
      </c>
      <c r="BD1879" s="4" t="s">
        <v>252</v>
      </c>
      <c r="BE1879" s="4" t="s">
        <v>241</v>
      </c>
      <c r="BI1879" s="4" t="s">
        <v>284</v>
      </c>
      <c r="BJ1879" s="5" t="s">
        <v>1384</v>
      </c>
      <c r="BK1879" s="4" t="s">
        <v>254</v>
      </c>
      <c r="BL1879" s="4" t="s">
        <v>285</v>
      </c>
      <c r="BM1879" s="4" t="s">
        <v>241</v>
      </c>
      <c r="BN1879" s="6">
        <f>0</f>
        <v>0</v>
      </c>
      <c r="BO1879" s="6">
        <f>0</f>
        <v>0</v>
      </c>
      <c r="BP1879" s="4" t="s">
        <v>256</v>
      </c>
      <c r="BQ1879" s="4" t="s">
        <v>257</v>
      </c>
      <c r="CE1879" s="4" t="s">
        <v>241</v>
      </c>
      <c r="CF1879" s="4" t="s">
        <v>241</v>
      </c>
      <c r="CJ1879" s="4" t="s">
        <v>286</v>
      </c>
      <c r="CK1879" s="4" t="s">
        <v>259</v>
      </c>
      <c r="CL1879" s="4" t="s">
        <v>241</v>
      </c>
      <c r="CO1879" s="5" t="s">
        <v>260</v>
      </c>
      <c r="CP1879" s="4" t="s">
        <v>241</v>
      </c>
      <c r="CQ1879" s="4" t="s">
        <v>261</v>
      </c>
      <c r="CR1879" s="4" t="s">
        <v>241</v>
      </c>
      <c r="CS1879" s="4" t="s">
        <v>241</v>
      </c>
      <c r="CT1879" s="4">
        <v>0</v>
      </c>
      <c r="CU1879" s="4" t="s">
        <v>262</v>
      </c>
      <c r="CV1879" s="4" t="s">
        <v>263</v>
      </c>
      <c r="CW1879" s="4" t="s">
        <v>263</v>
      </c>
      <c r="CX1879" s="4" t="s">
        <v>264</v>
      </c>
      <c r="DA1879" s="6">
        <f>24622044</f>
        <v>24622044</v>
      </c>
      <c r="DC1879" s="4" t="s">
        <v>287</v>
      </c>
      <c r="DD1879" s="4" t="s">
        <v>241</v>
      </c>
      <c r="DF1879" s="4" t="s">
        <v>287</v>
      </c>
      <c r="DG1879" s="6">
        <f>0</f>
        <v>0</v>
      </c>
      <c r="DI1879" s="4" t="s">
        <v>241</v>
      </c>
      <c r="DJ1879" s="4" t="s">
        <v>241</v>
      </c>
      <c r="DK1879" s="4" t="s">
        <v>241</v>
      </c>
      <c r="DL1879" s="4" t="s">
        <v>241</v>
      </c>
      <c r="DP1879" s="4" t="s">
        <v>241</v>
      </c>
      <c r="DQ1879" s="4" t="s">
        <v>241</v>
      </c>
      <c r="DR1879" s="4" t="s">
        <v>241</v>
      </c>
      <c r="DS1879" s="4" t="s">
        <v>241</v>
      </c>
      <c r="DV1879" s="4" t="s">
        <v>278</v>
      </c>
      <c r="DW1879" s="4" t="s">
        <v>1385</v>
      </c>
      <c r="HO1879" s="4" t="s">
        <v>267</v>
      </c>
    </row>
    <row r="1880" spans="1:223" ht="19.5" customHeight="1" x14ac:dyDescent="0.4">
      <c r="A1880" s="4">
        <v>1</v>
      </c>
      <c r="B1880" s="4" t="s">
        <v>239</v>
      </c>
      <c r="C1880" s="4">
        <v>3577</v>
      </c>
      <c r="D1880" s="4">
        <v>1</v>
      </c>
      <c r="E1880" s="4">
        <v>1</v>
      </c>
      <c r="F1880" s="4" t="s">
        <v>268</v>
      </c>
      <c r="G1880" s="4" t="s">
        <v>241</v>
      </c>
      <c r="H1880" s="4" t="s">
        <v>241</v>
      </c>
      <c r="I1880" s="4" t="s">
        <v>272</v>
      </c>
      <c r="J1880" s="4" t="s">
        <v>274</v>
      </c>
      <c r="K1880" s="4" t="s">
        <v>251</v>
      </c>
      <c r="L1880" s="4" t="s">
        <v>1360</v>
      </c>
      <c r="M1880" s="5" t="s">
        <v>1133</v>
      </c>
      <c r="N1880" s="6">
        <f>405.69</f>
        <v>405.69</v>
      </c>
      <c r="O1880" s="4" t="s">
        <v>265</v>
      </c>
      <c r="P1880" s="6">
        <f>2158582</f>
        <v>2158582</v>
      </c>
      <c r="Q1880" s="6">
        <f>0</f>
        <v>0</v>
      </c>
      <c r="S1880" s="6">
        <f>0</f>
        <v>0</v>
      </c>
      <c r="T1880" s="6">
        <f>2158582</f>
        <v>2158582</v>
      </c>
      <c r="U1880" s="5" t="s">
        <v>1361</v>
      </c>
      <c r="V1880" s="4" t="s">
        <v>270</v>
      </c>
      <c r="W1880" s="4" t="s">
        <v>242</v>
      </c>
      <c r="X1880" s="4" t="s">
        <v>241</v>
      </c>
      <c r="Y1880" s="4" t="s">
        <v>241</v>
      </c>
      <c r="AB1880" s="4" t="s">
        <v>241</v>
      </c>
      <c r="AD1880" s="5" t="s">
        <v>241</v>
      </c>
      <c r="AG1880" s="5" t="s">
        <v>401</v>
      </c>
      <c r="AH1880" s="4" t="s">
        <v>241</v>
      </c>
      <c r="AI1880" s="4" t="s">
        <v>247</v>
      </c>
      <c r="AJ1880" s="4" t="s">
        <v>248</v>
      </c>
      <c r="AZ1880" s="4" t="s">
        <v>249</v>
      </c>
      <c r="BA1880" s="4" t="s">
        <v>241</v>
      </c>
      <c r="BB1880" s="4" t="s">
        <v>250</v>
      </c>
      <c r="BC1880" s="4" t="s">
        <v>241</v>
      </c>
      <c r="BD1880" s="4" t="s">
        <v>252</v>
      </c>
      <c r="BE1880" s="4" t="s">
        <v>241</v>
      </c>
      <c r="BI1880" s="4" t="s">
        <v>284</v>
      </c>
      <c r="BJ1880" s="5" t="s">
        <v>1361</v>
      </c>
      <c r="BK1880" s="4" t="s">
        <v>254</v>
      </c>
      <c r="BL1880" s="4" t="s">
        <v>285</v>
      </c>
      <c r="BM1880" s="4" t="s">
        <v>241</v>
      </c>
      <c r="BN1880" s="6">
        <f>0</f>
        <v>0</v>
      </c>
      <c r="BO1880" s="6">
        <f>0</f>
        <v>0</v>
      </c>
      <c r="BP1880" s="4" t="s">
        <v>256</v>
      </c>
      <c r="BQ1880" s="4" t="s">
        <v>257</v>
      </c>
      <c r="CE1880" s="4" t="s">
        <v>241</v>
      </c>
      <c r="CF1880" s="4" t="s">
        <v>241</v>
      </c>
      <c r="CJ1880" s="4" t="s">
        <v>286</v>
      </c>
      <c r="CK1880" s="4" t="s">
        <v>259</v>
      </c>
      <c r="CL1880" s="4" t="s">
        <v>241</v>
      </c>
      <c r="CO1880" s="5" t="s">
        <v>260</v>
      </c>
      <c r="CP1880" s="4" t="s">
        <v>241</v>
      </c>
      <c r="CQ1880" s="4" t="s">
        <v>261</v>
      </c>
      <c r="CR1880" s="4" t="s">
        <v>241</v>
      </c>
      <c r="CS1880" s="4" t="s">
        <v>241</v>
      </c>
      <c r="CT1880" s="4">
        <v>0</v>
      </c>
      <c r="CU1880" s="4" t="s">
        <v>262</v>
      </c>
      <c r="CV1880" s="4" t="s">
        <v>263</v>
      </c>
      <c r="CW1880" s="4" t="s">
        <v>263</v>
      </c>
      <c r="CX1880" s="4" t="s">
        <v>264</v>
      </c>
      <c r="DA1880" s="6">
        <f>2158582</f>
        <v>2158582</v>
      </c>
      <c r="DC1880" s="4" t="s">
        <v>287</v>
      </c>
      <c r="DD1880" s="4" t="s">
        <v>241</v>
      </c>
      <c r="DF1880" s="4" t="s">
        <v>287</v>
      </c>
      <c r="DG1880" s="6">
        <f>405.69</f>
        <v>405.69</v>
      </c>
      <c r="DI1880" s="4" t="s">
        <v>241</v>
      </c>
      <c r="DJ1880" s="4" t="s">
        <v>241</v>
      </c>
      <c r="DK1880" s="4" t="s">
        <v>241</v>
      </c>
      <c r="DL1880" s="4" t="s">
        <v>241</v>
      </c>
      <c r="DP1880" s="4" t="s">
        <v>241</v>
      </c>
      <c r="DQ1880" s="4" t="s">
        <v>241</v>
      </c>
      <c r="DR1880" s="4" t="s">
        <v>241</v>
      </c>
      <c r="DS1880" s="4" t="s">
        <v>241</v>
      </c>
      <c r="DV1880" s="4" t="s">
        <v>278</v>
      </c>
      <c r="DW1880" s="4" t="s">
        <v>1362</v>
      </c>
      <c r="HO1880" s="4" t="s">
        <v>267</v>
      </c>
    </row>
    <row r="1881" spans="1:223" ht="19.5" customHeight="1" x14ac:dyDescent="0.4">
      <c r="A1881" s="4">
        <v>1</v>
      </c>
      <c r="B1881" s="4" t="s">
        <v>239</v>
      </c>
      <c r="C1881" s="4">
        <v>3578</v>
      </c>
      <c r="D1881" s="4">
        <v>1</v>
      </c>
      <c r="E1881" s="4">
        <v>1</v>
      </c>
      <c r="F1881" s="4" t="s">
        <v>268</v>
      </c>
      <c r="G1881" s="4" t="s">
        <v>241</v>
      </c>
      <c r="H1881" s="4" t="s">
        <v>241</v>
      </c>
      <c r="I1881" s="4" t="s">
        <v>272</v>
      </c>
      <c r="J1881" s="4" t="s">
        <v>274</v>
      </c>
      <c r="K1881" s="4" t="s">
        <v>251</v>
      </c>
      <c r="L1881" s="4" t="s">
        <v>1183</v>
      </c>
      <c r="M1881" s="5" t="s">
        <v>1133</v>
      </c>
      <c r="N1881" s="6">
        <f>0</f>
        <v>0</v>
      </c>
      <c r="O1881" s="4" t="s">
        <v>265</v>
      </c>
      <c r="P1881" s="6">
        <f>32191445</f>
        <v>32191445</v>
      </c>
      <c r="Q1881" s="6">
        <f>0</f>
        <v>0</v>
      </c>
      <c r="S1881" s="6">
        <f>0</f>
        <v>0</v>
      </c>
      <c r="T1881" s="6">
        <f>32191445</f>
        <v>32191445</v>
      </c>
      <c r="U1881" s="5" t="s">
        <v>1184</v>
      </c>
      <c r="V1881" s="4" t="s">
        <v>270</v>
      </c>
      <c r="W1881" s="4" t="s">
        <v>242</v>
      </c>
      <c r="X1881" s="4" t="s">
        <v>241</v>
      </c>
      <c r="Y1881" s="4" t="s">
        <v>241</v>
      </c>
      <c r="AB1881" s="4" t="s">
        <v>241</v>
      </c>
      <c r="AD1881" s="5" t="s">
        <v>241</v>
      </c>
      <c r="AG1881" s="5" t="s">
        <v>400</v>
      </c>
      <c r="AH1881" s="4" t="s">
        <v>241</v>
      </c>
      <c r="AI1881" s="4" t="s">
        <v>247</v>
      </c>
      <c r="AJ1881" s="4" t="s">
        <v>248</v>
      </c>
      <c r="AZ1881" s="4" t="s">
        <v>249</v>
      </c>
      <c r="BA1881" s="4" t="s">
        <v>241</v>
      </c>
      <c r="BB1881" s="4" t="s">
        <v>250</v>
      </c>
      <c r="BC1881" s="4" t="s">
        <v>241</v>
      </c>
      <c r="BD1881" s="4" t="s">
        <v>252</v>
      </c>
      <c r="BE1881" s="4" t="s">
        <v>241</v>
      </c>
      <c r="BI1881" s="4" t="s">
        <v>284</v>
      </c>
      <c r="BJ1881" s="5" t="s">
        <v>1184</v>
      </c>
      <c r="BK1881" s="4" t="s">
        <v>254</v>
      </c>
      <c r="BL1881" s="4" t="s">
        <v>285</v>
      </c>
      <c r="BM1881" s="4" t="s">
        <v>241</v>
      </c>
      <c r="BN1881" s="6">
        <f>0</f>
        <v>0</v>
      </c>
      <c r="BO1881" s="6">
        <f>0</f>
        <v>0</v>
      </c>
      <c r="BP1881" s="4" t="s">
        <v>256</v>
      </c>
      <c r="BQ1881" s="4" t="s">
        <v>257</v>
      </c>
      <c r="CE1881" s="4" t="s">
        <v>241</v>
      </c>
      <c r="CF1881" s="4" t="s">
        <v>241</v>
      </c>
      <c r="CJ1881" s="4" t="s">
        <v>286</v>
      </c>
      <c r="CK1881" s="4" t="s">
        <v>259</v>
      </c>
      <c r="CL1881" s="4" t="s">
        <v>241</v>
      </c>
      <c r="CO1881" s="5" t="s">
        <v>260</v>
      </c>
      <c r="CP1881" s="4" t="s">
        <v>241</v>
      </c>
      <c r="CQ1881" s="4" t="s">
        <v>261</v>
      </c>
      <c r="CR1881" s="4" t="s">
        <v>241</v>
      </c>
      <c r="CS1881" s="4" t="s">
        <v>241</v>
      </c>
      <c r="CT1881" s="4">
        <v>0</v>
      </c>
      <c r="CU1881" s="4" t="s">
        <v>262</v>
      </c>
      <c r="CV1881" s="4" t="s">
        <v>263</v>
      </c>
      <c r="CW1881" s="4" t="s">
        <v>263</v>
      </c>
      <c r="CX1881" s="4" t="s">
        <v>264</v>
      </c>
      <c r="DA1881" s="6">
        <f>32191445</f>
        <v>32191445</v>
      </c>
      <c r="DC1881" s="4" t="s">
        <v>287</v>
      </c>
      <c r="DD1881" s="4" t="s">
        <v>241</v>
      </c>
      <c r="DF1881" s="4" t="s">
        <v>287</v>
      </c>
      <c r="DG1881" s="6">
        <f>0</f>
        <v>0</v>
      </c>
      <c r="DI1881" s="4" t="s">
        <v>241</v>
      </c>
      <c r="DJ1881" s="4" t="s">
        <v>241</v>
      </c>
      <c r="DK1881" s="4" t="s">
        <v>241</v>
      </c>
      <c r="DL1881" s="4" t="s">
        <v>241</v>
      </c>
      <c r="DP1881" s="4" t="s">
        <v>241</v>
      </c>
      <c r="DQ1881" s="4" t="s">
        <v>241</v>
      </c>
      <c r="DR1881" s="4" t="s">
        <v>241</v>
      </c>
      <c r="DS1881" s="4" t="s">
        <v>241</v>
      </c>
      <c r="DV1881" s="4" t="s">
        <v>278</v>
      </c>
      <c r="DW1881" s="4" t="s">
        <v>1185</v>
      </c>
      <c r="HO1881" s="4" t="s">
        <v>267</v>
      </c>
    </row>
    <row r="1882" spans="1:223" ht="19.5" customHeight="1" x14ac:dyDescent="0.4">
      <c r="A1882" s="4">
        <v>1</v>
      </c>
      <c r="B1882" s="4" t="s">
        <v>239</v>
      </c>
      <c r="C1882" s="4">
        <v>3579</v>
      </c>
      <c r="D1882" s="4">
        <v>1</v>
      </c>
      <c r="E1882" s="4">
        <v>1</v>
      </c>
      <c r="F1882" s="4" t="s">
        <v>268</v>
      </c>
      <c r="G1882" s="4" t="s">
        <v>241</v>
      </c>
      <c r="H1882" s="4" t="s">
        <v>241</v>
      </c>
      <c r="I1882" s="4" t="s">
        <v>272</v>
      </c>
      <c r="J1882" s="4" t="s">
        <v>274</v>
      </c>
      <c r="K1882" s="4" t="s">
        <v>251</v>
      </c>
      <c r="L1882" s="4" t="s">
        <v>1336</v>
      </c>
      <c r="M1882" s="5" t="s">
        <v>1190</v>
      </c>
      <c r="N1882" s="6">
        <f>314.86</f>
        <v>314.86</v>
      </c>
      <c r="O1882" s="4" t="s">
        <v>265</v>
      </c>
      <c r="P1882" s="6">
        <f>625850</f>
        <v>625850</v>
      </c>
      <c r="Q1882" s="6">
        <f>0</f>
        <v>0</v>
      </c>
      <c r="S1882" s="6">
        <f>0</f>
        <v>0</v>
      </c>
      <c r="T1882" s="6">
        <f>625850</f>
        <v>625850</v>
      </c>
      <c r="U1882" s="5" t="s">
        <v>1337</v>
      </c>
      <c r="V1882" s="4" t="s">
        <v>270</v>
      </c>
      <c r="W1882" s="4" t="s">
        <v>242</v>
      </c>
      <c r="X1882" s="4" t="s">
        <v>241</v>
      </c>
      <c r="Y1882" s="4" t="s">
        <v>241</v>
      </c>
      <c r="AB1882" s="4" t="s">
        <v>241</v>
      </c>
      <c r="AD1882" s="5" t="s">
        <v>241</v>
      </c>
      <c r="AG1882" s="5" t="s">
        <v>400</v>
      </c>
      <c r="AH1882" s="4" t="s">
        <v>241</v>
      </c>
      <c r="AI1882" s="4" t="s">
        <v>247</v>
      </c>
      <c r="AJ1882" s="4" t="s">
        <v>248</v>
      </c>
      <c r="AZ1882" s="4" t="s">
        <v>249</v>
      </c>
      <c r="BA1882" s="4" t="s">
        <v>241</v>
      </c>
      <c r="BB1882" s="4" t="s">
        <v>250</v>
      </c>
      <c r="BC1882" s="4" t="s">
        <v>241</v>
      </c>
      <c r="BD1882" s="4" t="s">
        <v>252</v>
      </c>
      <c r="BE1882" s="4" t="s">
        <v>241</v>
      </c>
      <c r="BI1882" s="4" t="s">
        <v>284</v>
      </c>
      <c r="BJ1882" s="5" t="s">
        <v>1337</v>
      </c>
      <c r="BK1882" s="4" t="s">
        <v>254</v>
      </c>
      <c r="BL1882" s="4" t="s">
        <v>285</v>
      </c>
      <c r="BM1882" s="4" t="s">
        <v>241</v>
      </c>
      <c r="BN1882" s="6">
        <f>0</f>
        <v>0</v>
      </c>
      <c r="BO1882" s="6">
        <f>0</f>
        <v>0</v>
      </c>
      <c r="BP1882" s="4" t="s">
        <v>256</v>
      </c>
      <c r="BQ1882" s="4" t="s">
        <v>257</v>
      </c>
      <c r="CE1882" s="4" t="s">
        <v>241</v>
      </c>
      <c r="CF1882" s="4" t="s">
        <v>241</v>
      </c>
      <c r="CJ1882" s="4" t="s">
        <v>286</v>
      </c>
      <c r="CK1882" s="4" t="s">
        <v>259</v>
      </c>
      <c r="CL1882" s="4" t="s">
        <v>241</v>
      </c>
      <c r="CO1882" s="5" t="s">
        <v>260</v>
      </c>
      <c r="CP1882" s="4" t="s">
        <v>241</v>
      </c>
      <c r="CQ1882" s="4" t="s">
        <v>261</v>
      </c>
      <c r="CR1882" s="4" t="s">
        <v>241</v>
      </c>
      <c r="CS1882" s="4" t="s">
        <v>241</v>
      </c>
      <c r="CT1882" s="4">
        <v>0</v>
      </c>
      <c r="CU1882" s="4" t="s">
        <v>262</v>
      </c>
      <c r="CV1882" s="4" t="s">
        <v>263</v>
      </c>
      <c r="CW1882" s="4" t="s">
        <v>263</v>
      </c>
      <c r="CX1882" s="4" t="s">
        <v>264</v>
      </c>
      <c r="DA1882" s="6">
        <f>625850</f>
        <v>625850</v>
      </c>
      <c r="DC1882" s="4" t="s">
        <v>287</v>
      </c>
      <c r="DD1882" s="4" t="s">
        <v>241</v>
      </c>
      <c r="DF1882" s="4" t="s">
        <v>287</v>
      </c>
      <c r="DG1882" s="6">
        <f>314.86</f>
        <v>314.86</v>
      </c>
      <c r="DI1882" s="4" t="s">
        <v>241</v>
      </c>
      <c r="DJ1882" s="4" t="s">
        <v>241</v>
      </c>
      <c r="DK1882" s="4" t="s">
        <v>241</v>
      </c>
      <c r="DL1882" s="4" t="s">
        <v>241</v>
      </c>
      <c r="DP1882" s="4" t="s">
        <v>241</v>
      </c>
      <c r="DQ1882" s="4" t="s">
        <v>241</v>
      </c>
      <c r="DR1882" s="4" t="s">
        <v>241</v>
      </c>
      <c r="DS1882" s="4" t="s">
        <v>241</v>
      </c>
      <c r="DV1882" s="4" t="s">
        <v>278</v>
      </c>
      <c r="DW1882" s="4" t="s">
        <v>1338</v>
      </c>
      <c r="HO1882" s="4" t="s">
        <v>267</v>
      </c>
    </row>
    <row r="1883" spans="1:223" ht="19.5" customHeight="1" x14ac:dyDescent="0.4">
      <c r="A1883" s="4">
        <v>1</v>
      </c>
      <c r="B1883" s="4" t="s">
        <v>239</v>
      </c>
      <c r="C1883" s="4">
        <v>3580</v>
      </c>
      <c r="D1883" s="4">
        <v>1</v>
      </c>
      <c r="E1883" s="4">
        <v>1</v>
      </c>
      <c r="F1883" s="4" t="s">
        <v>268</v>
      </c>
      <c r="G1883" s="4" t="s">
        <v>241</v>
      </c>
      <c r="H1883" s="4" t="s">
        <v>241</v>
      </c>
      <c r="I1883" s="4" t="s">
        <v>272</v>
      </c>
      <c r="J1883" s="4" t="s">
        <v>274</v>
      </c>
      <c r="K1883" s="4" t="s">
        <v>251</v>
      </c>
      <c r="L1883" s="4" t="s">
        <v>1188</v>
      </c>
      <c r="M1883" s="5" t="s">
        <v>1190</v>
      </c>
      <c r="N1883" s="6">
        <f>0</f>
        <v>0</v>
      </c>
      <c r="O1883" s="4" t="s">
        <v>265</v>
      </c>
      <c r="P1883" s="6">
        <f>1989417</f>
        <v>1989417</v>
      </c>
      <c r="Q1883" s="6">
        <f>0</f>
        <v>0</v>
      </c>
      <c r="S1883" s="6">
        <f>0</f>
        <v>0</v>
      </c>
      <c r="T1883" s="6">
        <f>1989417</f>
        <v>1989417</v>
      </c>
      <c r="U1883" s="5" t="s">
        <v>1189</v>
      </c>
      <c r="V1883" s="4" t="s">
        <v>270</v>
      </c>
      <c r="W1883" s="4" t="s">
        <v>242</v>
      </c>
      <c r="X1883" s="4" t="s">
        <v>241</v>
      </c>
      <c r="Y1883" s="4" t="s">
        <v>241</v>
      </c>
      <c r="AB1883" s="4" t="s">
        <v>241</v>
      </c>
      <c r="AD1883" s="5" t="s">
        <v>241</v>
      </c>
      <c r="AG1883" s="5" t="s">
        <v>400</v>
      </c>
      <c r="AH1883" s="4" t="s">
        <v>241</v>
      </c>
      <c r="AI1883" s="4" t="s">
        <v>247</v>
      </c>
      <c r="AJ1883" s="4" t="s">
        <v>248</v>
      </c>
      <c r="AZ1883" s="4" t="s">
        <v>249</v>
      </c>
      <c r="BA1883" s="4" t="s">
        <v>241</v>
      </c>
      <c r="BB1883" s="4" t="s">
        <v>250</v>
      </c>
      <c r="BC1883" s="4" t="s">
        <v>241</v>
      </c>
      <c r="BD1883" s="4" t="s">
        <v>252</v>
      </c>
      <c r="BE1883" s="4" t="s">
        <v>241</v>
      </c>
      <c r="BI1883" s="4" t="s">
        <v>284</v>
      </c>
      <c r="BJ1883" s="5" t="s">
        <v>1189</v>
      </c>
      <c r="BK1883" s="4" t="s">
        <v>254</v>
      </c>
      <c r="BL1883" s="4" t="s">
        <v>285</v>
      </c>
      <c r="BM1883" s="4" t="s">
        <v>241</v>
      </c>
      <c r="BN1883" s="6">
        <f>0</f>
        <v>0</v>
      </c>
      <c r="BO1883" s="6">
        <f>0</f>
        <v>0</v>
      </c>
      <c r="BP1883" s="4" t="s">
        <v>256</v>
      </c>
      <c r="BQ1883" s="4" t="s">
        <v>257</v>
      </c>
      <c r="CE1883" s="4" t="s">
        <v>241</v>
      </c>
      <c r="CF1883" s="4" t="s">
        <v>241</v>
      </c>
      <c r="CJ1883" s="4" t="s">
        <v>286</v>
      </c>
      <c r="CK1883" s="4" t="s">
        <v>259</v>
      </c>
      <c r="CL1883" s="4" t="s">
        <v>241</v>
      </c>
      <c r="CO1883" s="5" t="s">
        <v>260</v>
      </c>
      <c r="CP1883" s="4" t="s">
        <v>241</v>
      </c>
      <c r="CQ1883" s="4" t="s">
        <v>261</v>
      </c>
      <c r="CR1883" s="4" t="s">
        <v>241</v>
      </c>
      <c r="CS1883" s="4" t="s">
        <v>241</v>
      </c>
      <c r="CT1883" s="4">
        <v>0</v>
      </c>
      <c r="CU1883" s="4" t="s">
        <v>262</v>
      </c>
      <c r="CV1883" s="4" t="s">
        <v>263</v>
      </c>
      <c r="CW1883" s="4" t="s">
        <v>263</v>
      </c>
      <c r="CX1883" s="4" t="s">
        <v>264</v>
      </c>
      <c r="DA1883" s="6">
        <f>1989417</f>
        <v>1989417</v>
      </c>
      <c r="DC1883" s="4" t="s">
        <v>287</v>
      </c>
      <c r="DD1883" s="4" t="s">
        <v>241</v>
      </c>
      <c r="DF1883" s="4" t="s">
        <v>287</v>
      </c>
      <c r="DG1883" s="6">
        <f>0</f>
        <v>0</v>
      </c>
      <c r="DI1883" s="4" t="s">
        <v>241</v>
      </c>
      <c r="DJ1883" s="4" t="s">
        <v>241</v>
      </c>
      <c r="DK1883" s="4" t="s">
        <v>241</v>
      </c>
      <c r="DL1883" s="4" t="s">
        <v>241</v>
      </c>
      <c r="DP1883" s="4" t="s">
        <v>241</v>
      </c>
      <c r="DQ1883" s="4" t="s">
        <v>241</v>
      </c>
      <c r="DR1883" s="4" t="s">
        <v>241</v>
      </c>
      <c r="DS1883" s="4" t="s">
        <v>241</v>
      </c>
      <c r="DV1883" s="4" t="s">
        <v>278</v>
      </c>
      <c r="DW1883" s="4" t="s">
        <v>1191</v>
      </c>
      <c r="HO1883" s="4" t="s">
        <v>267</v>
      </c>
    </row>
    <row r="1884" spans="1:223" ht="19.5" customHeight="1" x14ac:dyDescent="0.4">
      <c r="A1884" s="4">
        <v>1</v>
      </c>
      <c r="B1884" s="4" t="s">
        <v>239</v>
      </c>
      <c r="C1884" s="4">
        <v>3581</v>
      </c>
      <c r="D1884" s="4">
        <v>1</v>
      </c>
      <c r="E1884" s="4">
        <v>1</v>
      </c>
      <c r="F1884" s="4" t="s">
        <v>268</v>
      </c>
      <c r="G1884" s="4" t="s">
        <v>241</v>
      </c>
      <c r="H1884" s="4" t="s">
        <v>241</v>
      </c>
      <c r="I1884" s="4" t="s">
        <v>272</v>
      </c>
      <c r="J1884" s="4" t="s">
        <v>274</v>
      </c>
      <c r="K1884" s="4" t="s">
        <v>251</v>
      </c>
      <c r="L1884" s="4" t="s">
        <v>973</v>
      </c>
      <c r="M1884" s="5" t="s">
        <v>975</v>
      </c>
      <c r="N1884" s="6">
        <f>1010.07</f>
        <v>1010.07</v>
      </c>
      <c r="O1884" s="4" t="s">
        <v>265</v>
      </c>
      <c r="P1884" s="6">
        <f>2508165</f>
        <v>2508165</v>
      </c>
      <c r="Q1884" s="6">
        <f>0</f>
        <v>0</v>
      </c>
      <c r="S1884" s="6">
        <f>0</f>
        <v>0</v>
      </c>
      <c r="T1884" s="6">
        <f>2508165</f>
        <v>2508165</v>
      </c>
      <c r="U1884" s="5" t="s">
        <v>974</v>
      </c>
      <c r="V1884" s="4" t="s">
        <v>270</v>
      </c>
      <c r="W1884" s="4" t="s">
        <v>242</v>
      </c>
      <c r="X1884" s="4" t="s">
        <v>241</v>
      </c>
      <c r="Y1884" s="4" t="s">
        <v>241</v>
      </c>
      <c r="AB1884" s="4" t="s">
        <v>241</v>
      </c>
      <c r="AD1884" s="5" t="s">
        <v>241</v>
      </c>
      <c r="AG1884" s="5" t="s">
        <v>400</v>
      </c>
      <c r="AH1884" s="4" t="s">
        <v>241</v>
      </c>
      <c r="AI1884" s="4" t="s">
        <v>247</v>
      </c>
      <c r="AJ1884" s="4" t="s">
        <v>248</v>
      </c>
      <c r="AZ1884" s="4" t="s">
        <v>249</v>
      </c>
      <c r="BA1884" s="4" t="s">
        <v>241</v>
      </c>
      <c r="BB1884" s="4" t="s">
        <v>250</v>
      </c>
      <c r="BC1884" s="4" t="s">
        <v>241</v>
      </c>
      <c r="BD1884" s="4" t="s">
        <v>252</v>
      </c>
      <c r="BE1884" s="4" t="s">
        <v>241</v>
      </c>
      <c r="BI1884" s="4" t="s">
        <v>284</v>
      </c>
      <c r="BJ1884" s="5" t="s">
        <v>974</v>
      </c>
      <c r="BK1884" s="4" t="s">
        <v>254</v>
      </c>
      <c r="BL1884" s="4" t="s">
        <v>285</v>
      </c>
      <c r="BM1884" s="4" t="s">
        <v>241</v>
      </c>
      <c r="BN1884" s="6">
        <f>0</f>
        <v>0</v>
      </c>
      <c r="BO1884" s="6">
        <f>0</f>
        <v>0</v>
      </c>
      <c r="BP1884" s="4" t="s">
        <v>256</v>
      </c>
      <c r="BQ1884" s="4" t="s">
        <v>257</v>
      </c>
      <c r="CE1884" s="4" t="s">
        <v>241</v>
      </c>
      <c r="CF1884" s="4" t="s">
        <v>241</v>
      </c>
      <c r="CJ1884" s="4" t="s">
        <v>286</v>
      </c>
      <c r="CK1884" s="4" t="s">
        <v>259</v>
      </c>
      <c r="CL1884" s="4" t="s">
        <v>241</v>
      </c>
      <c r="CO1884" s="5" t="s">
        <v>260</v>
      </c>
      <c r="CP1884" s="4" t="s">
        <v>241</v>
      </c>
      <c r="CQ1884" s="4" t="s">
        <v>261</v>
      </c>
      <c r="CR1884" s="4" t="s">
        <v>241</v>
      </c>
      <c r="CS1884" s="4" t="s">
        <v>241</v>
      </c>
      <c r="CT1884" s="4">
        <v>0</v>
      </c>
      <c r="CU1884" s="4" t="s">
        <v>262</v>
      </c>
      <c r="CV1884" s="4" t="s">
        <v>263</v>
      </c>
      <c r="CW1884" s="4" t="s">
        <v>263</v>
      </c>
      <c r="CX1884" s="4" t="s">
        <v>264</v>
      </c>
      <c r="DA1884" s="6">
        <f>2508165</f>
        <v>2508165</v>
      </c>
      <c r="DC1884" s="4" t="s">
        <v>287</v>
      </c>
      <c r="DD1884" s="4" t="s">
        <v>241</v>
      </c>
      <c r="DF1884" s="4" t="s">
        <v>287</v>
      </c>
      <c r="DG1884" s="6">
        <f>1010.07</f>
        <v>1010.07</v>
      </c>
      <c r="DI1884" s="4" t="s">
        <v>241</v>
      </c>
      <c r="DJ1884" s="4" t="s">
        <v>241</v>
      </c>
      <c r="DK1884" s="4" t="s">
        <v>241</v>
      </c>
      <c r="DL1884" s="4" t="s">
        <v>241</v>
      </c>
      <c r="DP1884" s="4" t="s">
        <v>241</v>
      </c>
      <c r="DQ1884" s="4" t="s">
        <v>241</v>
      </c>
      <c r="DR1884" s="4" t="s">
        <v>241</v>
      </c>
      <c r="DS1884" s="4" t="s">
        <v>241</v>
      </c>
      <c r="DV1884" s="4" t="s">
        <v>278</v>
      </c>
      <c r="DW1884" s="4" t="s">
        <v>976</v>
      </c>
      <c r="HO1884" s="4" t="s">
        <v>267</v>
      </c>
    </row>
    <row r="1885" spans="1:223" ht="19.5" customHeight="1" x14ac:dyDescent="0.4">
      <c r="A1885" s="4">
        <v>1</v>
      </c>
      <c r="B1885" s="4" t="s">
        <v>239</v>
      </c>
      <c r="C1885" s="4">
        <v>3582</v>
      </c>
      <c r="D1885" s="4">
        <v>1</v>
      </c>
      <c r="E1885" s="4">
        <v>1</v>
      </c>
      <c r="F1885" s="4" t="s">
        <v>268</v>
      </c>
      <c r="G1885" s="4" t="s">
        <v>241</v>
      </c>
      <c r="H1885" s="4" t="s">
        <v>241</v>
      </c>
      <c r="I1885" s="4" t="s">
        <v>272</v>
      </c>
      <c r="J1885" s="4" t="s">
        <v>274</v>
      </c>
      <c r="K1885" s="4" t="s">
        <v>251</v>
      </c>
      <c r="L1885" s="4" t="s">
        <v>1110</v>
      </c>
      <c r="M1885" s="5" t="s">
        <v>975</v>
      </c>
      <c r="N1885" s="6">
        <f>0</f>
        <v>0</v>
      </c>
      <c r="O1885" s="4" t="s">
        <v>265</v>
      </c>
      <c r="P1885" s="6">
        <f>27786362</f>
        <v>27786362</v>
      </c>
      <c r="Q1885" s="6">
        <f>0</f>
        <v>0</v>
      </c>
      <c r="S1885" s="6">
        <f>0</f>
        <v>0</v>
      </c>
      <c r="T1885" s="6">
        <f>27786362</f>
        <v>27786362</v>
      </c>
      <c r="U1885" s="5" t="s">
        <v>988</v>
      </c>
      <c r="V1885" s="4" t="s">
        <v>270</v>
      </c>
      <c r="W1885" s="4" t="s">
        <v>242</v>
      </c>
      <c r="X1885" s="4" t="s">
        <v>241</v>
      </c>
      <c r="Y1885" s="4" t="s">
        <v>241</v>
      </c>
      <c r="AB1885" s="4" t="s">
        <v>241</v>
      </c>
      <c r="AD1885" s="5" t="s">
        <v>241</v>
      </c>
      <c r="AG1885" s="5" t="s">
        <v>1111</v>
      </c>
      <c r="AH1885" s="4" t="s">
        <v>241</v>
      </c>
      <c r="AI1885" s="4" t="s">
        <v>247</v>
      </c>
      <c r="AJ1885" s="4" t="s">
        <v>248</v>
      </c>
      <c r="AZ1885" s="4" t="s">
        <v>249</v>
      </c>
      <c r="BA1885" s="4" t="s">
        <v>241</v>
      </c>
      <c r="BB1885" s="4" t="s">
        <v>250</v>
      </c>
      <c r="BC1885" s="4" t="s">
        <v>241</v>
      </c>
      <c r="BD1885" s="4" t="s">
        <v>252</v>
      </c>
      <c r="BE1885" s="4" t="s">
        <v>241</v>
      </c>
      <c r="BI1885" s="4" t="s">
        <v>284</v>
      </c>
      <c r="BJ1885" s="5" t="s">
        <v>988</v>
      </c>
      <c r="BK1885" s="4" t="s">
        <v>254</v>
      </c>
      <c r="BL1885" s="4" t="s">
        <v>285</v>
      </c>
      <c r="BM1885" s="4" t="s">
        <v>241</v>
      </c>
      <c r="BN1885" s="6">
        <f>0</f>
        <v>0</v>
      </c>
      <c r="BO1885" s="6">
        <f>0</f>
        <v>0</v>
      </c>
      <c r="BP1885" s="4" t="s">
        <v>256</v>
      </c>
      <c r="BQ1885" s="4" t="s">
        <v>257</v>
      </c>
      <c r="CE1885" s="4" t="s">
        <v>241</v>
      </c>
      <c r="CF1885" s="4" t="s">
        <v>241</v>
      </c>
      <c r="CJ1885" s="4" t="s">
        <v>286</v>
      </c>
      <c r="CK1885" s="4" t="s">
        <v>259</v>
      </c>
      <c r="CL1885" s="4" t="s">
        <v>241</v>
      </c>
      <c r="CO1885" s="5" t="s">
        <v>260</v>
      </c>
      <c r="CP1885" s="4" t="s">
        <v>241</v>
      </c>
      <c r="CQ1885" s="4" t="s">
        <v>261</v>
      </c>
      <c r="CR1885" s="4" t="s">
        <v>241</v>
      </c>
      <c r="CS1885" s="4" t="s">
        <v>241</v>
      </c>
      <c r="CT1885" s="4">
        <v>0</v>
      </c>
      <c r="CU1885" s="4" t="s">
        <v>262</v>
      </c>
      <c r="CV1885" s="4" t="s">
        <v>263</v>
      </c>
      <c r="CW1885" s="4" t="s">
        <v>263</v>
      </c>
      <c r="CX1885" s="4" t="s">
        <v>264</v>
      </c>
      <c r="DA1885" s="6">
        <f>27786362</f>
        <v>27786362</v>
      </c>
      <c r="DC1885" s="4" t="s">
        <v>287</v>
      </c>
      <c r="DD1885" s="4" t="s">
        <v>241</v>
      </c>
      <c r="DF1885" s="4" t="s">
        <v>287</v>
      </c>
      <c r="DG1885" s="6">
        <f>0</f>
        <v>0</v>
      </c>
      <c r="DI1885" s="4" t="s">
        <v>241</v>
      </c>
      <c r="DJ1885" s="4" t="s">
        <v>241</v>
      </c>
      <c r="DK1885" s="4" t="s">
        <v>241</v>
      </c>
      <c r="DL1885" s="4" t="s">
        <v>241</v>
      </c>
      <c r="DP1885" s="4" t="s">
        <v>241</v>
      </c>
      <c r="DQ1885" s="4" t="s">
        <v>241</v>
      </c>
      <c r="DR1885" s="4" t="s">
        <v>241</v>
      </c>
      <c r="DS1885" s="4" t="s">
        <v>241</v>
      </c>
      <c r="DV1885" s="4" t="s">
        <v>278</v>
      </c>
      <c r="DW1885" s="4" t="s">
        <v>1112</v>
      </c>
      <c r="HO1885" s="4" t="s">
        <v>267</v>
      </c>
    </row>
    <row r="1886" spans="1:223" ht="19.5" customHeight="1" x14ac:dyDescent="0.4">
      <c r="A1886" s="4">
        <v>1</v>
      </c>
      <c r="B1886" s="4" t="s">
        <v>239</v>
      </c>
      <c r="C1886" s="4">
        <v>3583</v>
      </c>
      <c r="D1886" s="4">
        <v>1</v>
      </c>
      <c r="E1886" s="4">
        <v>1</v>
      </c>
      <c r="F1886" s="4" t="s">
        <v>268</v>
      </c>
      <c r="G1886" s="4" t="s">
        <v>241</v>
      </c>
      <c r="H1886" s="4" t="s">
        <v>241</v>
      </c>
      <c r="I1886" s="4" t="s">
        <v>272</v>
      </c>
      <c r="J1886" s="4" t="s">
        <v>274</v>
      </c>
      <c r="K1886" s="4" t="s">
        <v>251</v>
      </c>
      <c r="L1886" s="4" t="s">
        <v>1316</v>
      </c>
      <c r="M1886" s="5" t="s">
        <v>339</v>
      </c>
      <c r="N1886" s="6">
        <f>219.61</f>
        <v>219.61</v>
      </c>
      <c r="O1886" s="4" t="s">
        <v>265</v>
      </c>
      <c r="P1886" s="6">
        <f>439220</f>
        <v>439220</v>
      </c>
      <c r="Q1886" s="6">
        <f>0</f>
        <v>0</v>
      </c>
      <c r="S1886" s="6">
        <f>0</f>
        <v>0</v>
      </c>
      <c r="T1886" s="6">
        <f>439220</f>
        <v>439220</v>
      </c>
      <c r="U1886" s="5" t="s">
        <v>1317</v>
      </c>
      <c r="V1886" s="4" t="s">
        <v>270</v>
      </c>
      <c r="W1886" s="4" t="s">
        <v>242</v>
      </c>
      <c r="X1886" s="4" t="s">
        <v>241</v>
      </c>
      <c r="Y1886" s="4" t="s">
        <v>241</v>
      </c>
      <c r="AB1886" s="4" t="s">
        <v>241</v>
      </c>
      <c r="AD1886" s="5" t="s">
        <v>241</v>
      </c>
      <c r="AG1886" s="5" t="s">
        <v>1101</v>
      </c>
      <c r="AH1886" s="4" t="s">
        <v>241</v>
      </c>
      <c r="AI1886" s="4" t="s">
        <v>247</v>
      </c>
      <c r="AJ1886" s="4" t="s">
        <v>248</v>
      </c>
      <c r="AZ1886" s="4" t="s">
        <v>249</v>
      </c>
      <c r="BA1886" s="4" t="s">
        <v>241</v>
      </c>
      <c r="BB1886" s="4" t="s">
        <v>250</v>
      </c>
      <c r="BC1886" s="4" t="s">
        <v>241</v>
      </c>
      <c r="BD1886" s="4" t="s">
        <v>252</v>
      </c>
      <c r="BE1886" s="4" t="s">
        <v>241</v>
      </c>
      <c r="BI1886" s="4" t="s">
        <v>284</v>
      </c>
      <c r="BJ1886" s="5" t="s">
        <v>1317</v>
      </c>
      <c r="BK1886" s="4" t="s">
        <v>254</v>
      </c>
      <c r="BL1886" s="4" t="s">
        <v>285</v>
      </c>
      <c r="BM1886" s="4" t="s">
        <v>241</v>
      </c>
      <c r="BN1886" s="6">
        <f>0</f>
        <v>0</v>
      </c>
      <c r="BO1886" s="6">
        <f>0</f>
        <v>0</v>
      </c>
      <c r="BP1886" s="4" t="s">
        <v>256</v>
      </c>
      <c r="BQ1886" s="4" t="s">
        <v>257</v>
      </c>
      <c r="CE1886" s="4" t="s">
        <v>241</v>
      </c>
      <c r="CF1886" s="4" t="s">
        <v>241</v>
      </c>
      <c r="CJ1886" s="4" t="s">
        <v>286</v>
      </c>
      <c r="CK1886" s="4" t="s">
        <v>259</v>
      </c>
      <c r="CL1886" s="4" t="s">
        <v>241</v>
      </c>
      <c r="CO1886" s="5" t="s">
        <v>260</v>
      </c>
      <c r="CP1886" s="4" t="s">
        <v>241</v>
      </c>
      <c r="CQ1886" s="4" t="s">
        <v>261</v>
      </c>
      <c r="CR1886" s="4" t="s">
        <v>241</v>
      </c>
      <c r="CS1886" s="4" t="s">
        <v>241</v>
      </c>
      <c r="CT1886" s="4">
        <v>0</v>
      </c>
      <c r="CU1886" s="4" t="s">
        <v>262</v>
      </c>
      <c r="CV1886" s="4" t="s">
        <v>263</v>
      </c>
      <c r="CW1886" s="4" t="s">
        <v>263</v>
      </c>
      <c r="CX1886" s="4" t="s">
        <v>264</v>
      </c>
      <c r="DA1886" s="6">
        <f>439220</f>
        <v>439220</v>
      </c>
      <c r="DC1886" s="4" t="s">
        <v>287</v>
      </c>
      <c r="DD1886" s="4" t="s">
        <v>241</v>
      </c>
      <c r="DF1886" s="4" t="s">
        <v>287</v>
      </c>
      <c r="DG1886" s="6">
        <f>219.61</f>
        <v>219.61</v>
      </c>
      <c r="DI1886" s="4" t="s">
        <v>241</v>
      </c>
      <c r="DJ1886" s="4" t="s">
        <v>241</v>
      </c>
      <c r="DK1886" s="4" t="s">
        <v>241</v>
      </c>
      <c r="DL1886" s="4" t="s">
        <v>241</v>
      </c>
      <c r="DP1886" s="4" t="s">
        <v>241</v>
      </c>
      <c r="DQ1886" s="4" t="s">
        <v>241</v>
      </c>
      <c r="DR1886" s="4" t="s">
        <v>241</v>
      </c>
      <c r="DS1886" s="4" t="s">
        <v>241</v>
      </c>
      <c r="DV1886" s="4" t="s">
        <v>278</v>
      </c>
      <c r="DW1886" s="4" t="s">
        <v>1318</v>
      </c>
      <c r="HO1886" s="4" t="s">
        <v>267</v>
      </c>
    </row>
    <row r="1887" spans="1:223" ht="19.5" customHeight="1" x14ac:dyDescent="0.4">
      <c r="A1887" s="4">
        <v>1</v>
      </c>
      <c r="B1887" s="4" t="s">
        <v>239</v>
      </c>
      <c r="C1887" s="4">
        <v>3584</v>
      </c>
      <c r="D1887" s="4">
        <v>1</v>
      </c>
      <c r="E1887" s="4">
        <v>1</v>
      </c>
      <c r="F1887" s="4" t="s">
        <v>268</v>
      </c>
      <c r="G1887" s="4" t="s">
        <v>241</v>
      </c>
      <c r="H1887" s="4" t="s">
        <v>241</v>
      </c>
      <c r="I1887" s="4" t="s">
        <v>272</v>
      </c>
      <c r="J1887" s="4" t="s">
        <v>274</v>
      </c>
      <c r="K1887" s="4" t="s">
        <v>251</v>
      </c>
      <c r="L1887" s="4" t="s">
        <v>1243</v>
      </c>
      <c r="M1887" s="5" t="s">
        <v>1245</v>
      </c>
      <c r="N1887" s="6">
        <f>301</f>
        <v>301</v>
      </c>
      <c r="O1887" s="4" t="s">
        <v>265</v>
      </c>
      <c r="P1887" s="6">
        <f>361200</f>
        <v>361200</v>
      </c>
      <c r="Q1887" s="6">
        <f>0</f>
        <v>0</v>
      </c>
      <c r="S1887" s="6">
        <f>0</f>
        <v>0</v>
      </c>
      <c r="T1887" s="6">
        <f>361200</f>
        <v>361200</v>
      </c>
      <c r="U1887" s="5" t="s">
        <v>1244</v>
      </c>
      <c r="V1887" s="4" t="s">
        <v>270</v>
      </c>
      <c r="W1887" s="4" t="s">
        <v>242</v>
      </c>
      <c r="X1887" s="4" t="s">
        <v>241</v>
      </c>
      <c r="Y1887" s="4" t="s">
        <v>241</v>
      </c>
      <c r="AB1887" s="4" t="s">
        <v>241</v>
      </c>
      <c r="AD1887" s="5" t="s">
        <v>241</v>
      </c>
      <c r="AG1887" s="5" t="s">
        <v>373</v>
      </c>
      <c r="AH1887" s="4" t="s">
        <v>241</v>
      </c>
      <c r="AI1887" s="4" t="s">
        <v>247</v>
      </c>
      <c r="AJ1887" s="4" t="s">
        <v>248</v>
      </c>
      <c r="AZ1887" s="4" t="s">
        <v>249</v>
      </c>
      <c r="BA1887" s="4" t="s">
        <v>241</v>
      </c>
      <c r="BB1887" s="4" t="s">
        <v>250</v>
      </c>
      <c r="BC1887" s="4" t="s">
        <v>241</v>
      </c>
      <c r="BD1887" s="4" t="s">
        <v>252</v>
      </c>
      <c r="BE1887" s="4" t="s">
        <v>241</v>
      </c>
      <c r="BI1887" s="4" t="s">
        <v>284</v>
      </c>
      <c r="BJ1887" s="5" t="s">
        <v>1244</v>
      </c>
      <c r="BK1887" s="4" t="s">
        <v>254</v>
      </c>
      <c r="BL1887" s="4" t="s">
        <v>285</v>
      </c>
      <c r="BM1887" s="4" t="s">
        <v>241</v>
      </c>
      <c r="BN1887" s="6">
        <f>0</f>
        <v>0</v>
      </c>
      <c r="BO1887" s="6">
        <f>0</f>
        <v>0</v>
      </c>
      <c r="BP1887" s="4" t="s">
        <v>256</v>
      </c>
      <c r="BQ1887" s="4" t="s">
        <v>257</v>
      </c>
      <c r="CE1887" s="4" t="s">
        <v>241</v>
      </c>
      <c r="CF1887" s="4" t="s">
        <v>241</v>
      </c>
      <c r="CJ1887" s="4" t="s">
        <v>286</v>
      </c>
      <c r="CK1887" s="4" t="s">
        <v>259</v>
      </c>
      <c r="CL1887" s="4" t="s">
        <v>241</v>
      </c>
      <c r="CO1887" s="5" t="s">
        <v>260</v>
      </c>
      <c r="CP1887" s="4" t="s">
        <v>241</v>
      </c>
      <c r="CQ1887" s="4" t="s">
        <v>261</v>
      </c>
      <c r="CR1887" s="4" t="s">
        <v>241</v>
      </c>
      <c r="CS1887" s="4" t="s">
        <v>241</v>
      </c>
      <c r="CT1887" s="4">
        <v>0</v>
      </c>
      <c r="CU1887" s="4" t="s">
        <v>262</v>
      </c>
      <c r="CV1887" s="4" t="s">
        <v>263</v>
      </c>
      <c r="CW1887" s="4" t="s">
        <v>263</v>
      </c>
      <c r="CX1887" s="4" t="s">
        <v>264</v>
      </c>
      <c r="DA1887" s="6">
        <f>361200</f>
        <v>361200</v>
      </c>
      <c r="DC1887" s="4" t="s">
        <v>287</v>
      </c>
      <c r="DD1887" s="4" t="s">
        <v>241</v>
      </c>
      <c r="DF1887" s="4" t="s">
        <v>287</v>
      </c>
      <c r="DG1887" s="6">
        <f>301</f>
        <v>301</v>
      </c>
      <c r="DI1887" s="4" t="s">
        <v>241</v>
      </c>
      <c r="DJ1887" s="4" t="s">
        <v>241</v>
      </c>
      <c r="DK1887" s="4" t="s">
        <v>241</v>
      </c>
      <c r="DL1887" s="4" t="s">
        <v>241</v>
      </c>
      <c r="DP1887" s="4" t="s">
        <v>241</v>
      </c>
      <c r="DQ1887" s="4" t="s">
        <v>241</v>
      </c>
      <c r="DR1887" s="4" t="s">
        <v>241</v>
      </c>
      <c r="DS1887" s="4" t="s">
        <v>241</v>
      </c>
      <c r="DV1887" s="4" t="s">
        <v>278</v>
      </c>
      <c r="DW1887" s="4" t="s">
        <v>1246</v>
      </c>
      <c r="HO1887" s="4" t="s">
        <v>267</v>
      </c>
    </row>
    <row r="1888" spans="1:223" ht="19.5" customHeight="1" x14ac:dyDescent="0.4">
      <c r="A1888" s="4">
        <v>1</v>
      </c>
      <c r="B1888" s="4" t="s">
        <v>239</v>
      </c>
      <c r="C1888" s="4">
        <v>3588</v>
      </c>
      <c r="D1888" s="4">
        <v>1</v>
      </c>
      <c r="E1888" s="4">
        <v>1</v>
      </c>
      <c r="F1888" s="4" t="s">
        <v>268</v>
      </c>
      <c r="G1888" s="4" t="s">
        <v>241</v>
      </c>
      <c r="H1888" s="4" t="s">
        <v>241</v>
      </c>
      <c r="I1888" s="4" t="s">
        <v>272</v>
      </c>
      <c r="J1888" s="4" t="s">
        <v>274</v>
      </c>
      <c r="K1888" s="4" t="s">
        <v>251</v>
      </c>
      <c r="L1888" s="4" t="s">
        <v>269</v>
      </c>
      <c r="M1888" s="5" t="s">
        <v>1129</v>
      </c>
      <c r="N1888" s="6">
        <f>563.36</f>
        <v>563.36</v>
      </c>
      <c r="O1888" s="4" t="s">
        <v>265</v>
      </c>
      <c r="P1888" s="6">
        <f>2704127</f>
        <v>2704127</v>
      </c>
      <c r="Q1888" s="6">
        <f>0</f>
        <v>0</v>
      </c>
      <c r="S1888" s="6">
        <f>0</f>
        <v>0</v>
      </c>
      <c r="T1888" s="6">
        <f>2704127</f>
        <v>2704127</v>
      </c>
      <c r="U1888" s="5" t="s">
        <v>1128</v>
      </c>
      <c r="V1888" s="4" t="s">
        <v>270</v>
      </c>
      <c r="W1888" s="4" t="s">
        <v>242</v>
      </c>
      <c r="X1888" s="4" t="s">
        <v>241</v>
      </c>
      <c r="Y1888" s="4" t="s">
        <v>241</v>
      </c>
      <c r="AB1888" s="4" t="s">
        <v>241</v>
      </c>
      <c r="AD1888" s="5" t="s">
        <v>241</v>
      </c>
      <c r="AG1888" s="5" t="s">
        <v>400</v>
      </c>
      <c r="AH1888" s="4" t="s">
        <v>241</v>
      </c>
      <c r="AI1888" s="4" t="s">
        <v>247</v>
      </c>
      <c r="AJ1888" s="4" t="s">
        <v>248</v>
      </c>
      <c r="AZ1888" s="4" t="s">
        <v>249</v>
      </c>
      <c r="BA1888" s="4" t="s">
        <v>241</v>
      </c>
      <c r="BB1888" s="4" t="s">
        <v>250</v>
      </c>
      <c r="BC1888" s="4" t="s">
        <v>241</v>
      </c>
      <c r="BD1888" s="4" t="s">
        <v>252</v>
      </c>
      <c r="BE1888" s="4" t="s">
        <v>241</v>
      </c>
      <c r="BI1888" s="4" t="s">
        <v>284</v>
      </c>
      <c r="BJ1888" s="5" t="s">
        <v>1128</v>
      </c>
      <c r="BK1888" s="4" t="s">
        <v>254</v>
      </c>
      <c r="BL1888" s="4" t="s">
        <v>413</v>
      </c>
      <c r="BM1888" s="4" t="s">
        <v>241</v>
      </c>
      <c r="BN1888" s="6">
        <f>0</f>
        <v>0</v>
      </c>
      <c r="BO1888" s="6">
        <f>0</f>
        <v>0</v>
      </c>
      <c r="BP1888" s="4" t="s">
        <v>256</v>
      </c>
      <c r="BQ1888" s="4" t="s">
        <v>257</v>
      </c>
      <c r="CE1888" s="4" t="s">
        <v>241</v>
      </c>
      <c r="CF1888" s="4" t="s">
        <v>241</v>
      </c>
      <c r="CJ1888" s="4" t="s">
        <v>258</v>
      </c>
      <c r="CK1888" s="4" t="s">
        <v>259</v>
      </c>
      <c r="CL1888" s="4" t="s">
        <v>241</v>
      </c>
      <c r="CO1888" s="5" t="s">
        <v>260</v>
      </c>
      <c r="CP1888" s="4" t="s">
        <v>241</v>
      </c>
      <c r="CQ1888" s="4" t="s">
        <v>261</v>
      </c>
      <c r="CR1888" s="4" t="s">
        <v>241</v>
      </c>
      <c r="CS1888" s="4" t="s">
        <v>241</v>
      </c>
      <c r="CT1888" s="4">
        <v>0</v>
      </c>
      <c r="CU1888" s="4" t="s">
        <v>262</v>
      </c>
      <c r="CV1888" s="4" t="s">
        <v>263</v>
      </c>
      <c r="CW1888" s="4" t="s">
        <v>263</v>
      </c>
      <c r="CX1888" s="4" t="s">
        <v>264</v>
      </c>
      <c r="DA1888" s="6">
        <f>2704127</f>
        <v>2704127</v>
      </c>
      <c r="DC1888" s="4" t="s">
        <v>287</v>
      </c>
      <c r="DD1888" s="4" t="s">
        <v>241</v>
      </c>
      <c r="DF1888" s="4" t="s">
        <v>287</v>
      </c>
      <c r="DG1888" s="6">
        <f>0</f>
        <v>0</v>
      </c>
      <c r="DI1888" s="4" t="s">
        <v>241</v>
      </c>
      <c r="DJ1888" s="4" t="s">
        <v>241</v>
      </c>
      <c r="DK1888" s="4" t="s">
        <v>241</v>
      </c>
      <c r="DL1888" s="4" t="s">
        <v>241</v>
      </c>
      <c r="DP1888" s="4" t="s">
        <v>241</v>
      </c>
      <c r="DQ1888" s="4" t="s">
        <v>241</v>
      </c>
      <c r="DR1888" s="4" t="s">
        <v>241</v>
      </c>
      <c r="DS1888" s="4" t="s">
        <v>241</v>
      </c>
      <c r="DV1888" s="4" t="s">
        <v>278</v>
      </c>
      <c r="DW1888" s="4" t="s">
        <v>1130</v>
      </c>
      <c r="HO1888" s="4" t="s">
        <v>267</v>
      </c>
    </row>
    <row r="1889" spans="1:223" ht="19.5" customHeight="1" x14ac:dyDescent="0.4">
      <c r="A1889" s="4">
        <v>1</v>
      </c>
      <c r="B1889" s="4" t="s">
        <v>239</v>
      </c>
      <c r="C1889" s="4">
        <v>3589</v>
      </c>
      <c r="D1889" s="4">
        <v>1</v>
      </c>
      <c r="E1889" s="4">
        <v>1</v>
      </c>
      <c r="F1889" s="4" t="s">
        <v>268</v>
      </c>
      <c r="G1889" s="4" t="s">
        <v>241</v>
      </c>
      <c r="H1889" s="4" t="s">
        <v>241</v>
      </c>
      <c r="I1889" s="4" t="s">
        <v>272</v>
      </c>
      <c r="J1889" s="4" t="s">
        <v>274</v>
      </c>
      <c r="K1889" s="4" t="s">
        <v>251</v>
      </c>
      <c r="L1889" s="4" t="s">
        <v>377</v>
      </c>
      <c r="M1889" s="5" t="s">
        <v>380</v>
      </c>
      <c r="N1889" s="6">
        <f>5.41</f>
        <v>5.41</v>
      </c>
      <c r="O1889" s="4" t="s">
        <v>265</v>
      </c>
      <c r="P1889" s="6">
        <f>26509</f>
        <v>26509</v>
      </c>
      <c r="Q1889" s="6">
        <f>0</f>
        <v>0</v>
      </c>
      <c r="S1889" s="6">
        <f>0</f>
        <v>0</v>
      </c>
      <c r="T1889" s="6">
        <f>26509</f>
        <v>26509</v>
      </c>
      <c r="U1889" s="5" t="s">
        <v>378</v>
      </c>
      <c r="V1889" s="4" t="s">
        <v>270</v>
      </c>
      <c r="W1889" s="4" t="s">
        <v>242</v>
      </c>
      <c r="X1889" s="4" t="s">
        <v>241</v>
      </c>
      <c r="Y1889" s="4" t="s">
        <v>241</v>
      </c>
      <c r="AB1889" s="4" t="s">
        <v>241</v>
      </c>
      <c r="AD1889" s="5" t="s">
        <v>241</v>
      </c>
      <c r="AG1889" s="5" t="s">
        <v>379</v>
      </c>
      <c r="AH1889" s="4" t="s">
        <v>241</v>
      </c>
      <c r="AI1889" s="4" t="s">
        <v>247</v>
      </c>
      <c r="AJ1889" s="4" t="s">
        <v>248</v>
      </c>
      <c r="AZ1889" s="4" t="s">
        <v>249</v>
      </c>
      <c r="BA1889" s="4" t="s">
        <v>241</v>
      </c>
      <c r="BB1889" s="4" t="s">
        <v>250</v>
      </c>
      <c r="BC1889" s="4" t="s">
        <v>241</v>
      </c>
      <c r="BD1889" s="4" t="s">
        <v>252</v>
      </c>
      <c r="BE1889" s="4" t="s">
        <v>241</v>
      </c>
      <c r="BI1889" s="4" t="s">
        <v>284</v>
      </c>
      <c r="BJ1889" s="5" t="s">
        <v>378</v>
      </c>
      <c r="BK1889" s="4" t="s">
        <v>254</v>
      </c>
      <c r="BL1889" s="4" t="s">
        <v>285</v>
      </c>
      <c r="BM1889" s="4" t="s">
        <v>241</v>
      </c>
      <c r="BN1889" s="6">
        <f>0</f>
        <v>0</v>
      </c>
      <c r="BO1889" s="6">
        <f>0</f>
        <v>0</v>
      </c>
      <c r="BP1889" s="4" t="s">
        <v>256</v>
      </c>
      <c r="BQ1889" s="4" t="s">
        <v>257</v>
      </c>
      <c r="CE1889" s="4" t="s">
        <v>241</v>
      </c>
      <c r="CF1889" s="4" t="s">
        <v>241</v>
      </c>
      <c r="CJ1889" s="4" t="s">
        <v>286</v>
      </c>
      <c r="CK1889" s="4" t="s">
        <v>259</v>
      </c>
      <c r="CL1889" s="4" t="s">
        <v>241</v>
      </c>
      <c r="CO1889" s="5" t="s">
        <v>260</v>
      </c>
      <c r="CP1889" s="4" t="s">
        <v>241</v>
      </c>
      <c r="CQ1889" s="4" t="s">
        <v>261</v>
      </c>
      <c r="CR1889" s="4" t="s">
        <v>241</v>
      </c>
      <c r="CS1889" s="4" t="s">
        <v>241</v>
      </c>
      <c r="CT1889" s="4">
        <v>0</v>
      </c>
      <c r="CU1889" s="4" t="s">
        <v>262</v>
      </c>
      <c r="CV1889" s="4" t="s">
        <v>263</v>
      </c>
      <c r="CW1889" s="4" t="s">
        <v>263</v>
      </c>
      <c r="CX1889" s="4" t="s">
        <v>264</v>
      </c>
      <c r="DA1889" s="6">
        <f>26509</f>
        <v>26509</v>
      </c>
      <c r="DC1889" s="4" t="s">
        <v>287</v>
      </c>
      <c r="DD1889" s="4" t="s">
        <v>241</v>
      </c>
      <c r="DF1889" s="4" t="s">
        <v>287</v>
      </c>
      <c r="DG1889" s="6">
        <f>5.41</f>
        <v>5.41</v>
      </c>
      <c r="DI1889" s="4" t="s">
        <v>241</v>
      </c>
      <c r="DJ1889" s="4" t="s">
        <v>241</v>
      </c>
      <c r="DK1889" s="4" t="s">
        <v>241</v>
      </c>
      <c r="DL1889" s="4" t="s">
        <v>241</v>
      </c>
      <c r="DP1889" s="4" t="s">
        <v>241</v>
      </c>
      <c r="DQ1889" s="4" t="s">
        <v>241</v>
      </c>
      <c r="DR1889" s="4" t="s">
        <v>241</v>
      </c>
      <c r="DS1889" s="4" t="s">
        <v>241</v>
      </c>
      <c r="DV1889" s="4" t="s">
        <v>278</v>
      </c>
      <c r="DW1889" s="4" t="s">
        <v>381</v>
      </c>
      <c r="HO1889" s="4" t="s">
        <v>267</v>
      </c>
    </row>
    <row r="1890" spans="1:223" ht="19.5" customHeight="1" x14ac:dyDescent="0.4">
      <c r="A1890" s="4">
        <v>1</v>
      </c>
      <c r="B1890" s="4" t="s">
        <v>239</v>
      </c>
      <c r="C1890" s="4">
        <v>3590</v>
      </c>
      <c r="D1890" s="4">
        <v>1</v>
      </c>
      <c r="E1890" s="4">
        <v>1</v>
      </c>
      <c r="F1890" s="4" t="s">
        <v>268</v>
      </c>
      <c r="G1890" s="4" t="s">
        <v>241</v>
      </c>
      <c r="H1890" s="4" t="s">
        <v>241</v>
      </c>
      <c r="I1890" s="4" t="s">
        <v>272</v>
      </c>
      <c r="J1890" s="4" t="s">
        <v>274</v>
      </c>
      <c r="K1890" s="4" t="s">
        <v>251</v>
      </c>
      <c r="L1890" s="4" t="s">
        <v>316</v>
      </c>
      <c r="M1890" s="5" t="s">
        <v>319</v>
      </c>
      <c r="N1890" s="6">
        <f>614</f>
        <v>614</v>
      </c>
      <c r="O1890" s="4" t="s">
        <v>265</v>
      </c>
      <c r="P1890" s="6">
        <f>604550</f>
        <v>604550</v>
      </c>
      <c r="Q1890" s="6">
        <f>0</f>
        <v>0</v>
      </c>
      <c r="S1890" s="6">
        <f>0</f>
        <v>0</v>
      </c>
      <c r="T1890" s="6">
        <f>604550</f>
        <v>604550</v>
      </c>
      <c r="U1890" s="5" t="s">
        <v>317</v>
      </c>
      <c r="V1890" s="4" t="s">
        <v>270</v>
      </c>
      <c r="W1890" s="4" t="s">
        <v>242</v>
      </c>
      <c r="X1890" s="4" t="s">
        <v>241</v>
      </c>
      <c r="Y1890" s="4" t="s">
        <v>241</v>
      </c>
      <c r="AB1890" s="4" t="s">
        <v>241</v>
      </c>
      <c r="AD1890" s="5" t="s">
        <v>241</v>
      </c>
      <c r="AG1890" s="5" t="s">
        <v>318</v>
      </c>
      <c r="AH1890" s="4" t="s">
        <v>241</v>
      </c>
      <c r="AI1890" s="4" t="s">
        <v>247</v>
      </c>
      <c r="AJ1890" s="4" t="s">
        <v>248</v>
      </c>
      <c r="AZ1890" s="4" t="s">
        <v>249</v>
      </c>
      <c r="BA1890" s="4" t="s">
        <v>241</v>
      </c>
      <c r="BB1890" s="4" t="s">
        <v>250</v>
      </c>
      <c r="BC1890" s="4" t="s">
        <v>241</v>
      </c>
      <c r="BD1890" s="4" t="s">
        <v>252</v>
      </c>
      <c r="BE1890" s="4" t="s">
        <v>241</v>
      </c>
      <c r="BI1890" s="4" t="s">
        <v>284</v>
      </c>
      <c r="BJ1890" s="5" t="s">
        <v>317</v>
      </c>
      <c r="BK1890" s="4" t="s">
        <v>254</v>
      </c>
      <c r="BL1890" s="4" t="s">
        <v>285</v>
      </c>
      <c r="BM1890" s="4" t="s">
        <v>241</v>
      </c>
      <c r="BN1890" s="6">
        <f>0</f>
        <v>0</v>
      </c>
      <c r="BO1890" s="6">
        <f>0</f>
        <v>0</v>
      </c>
      <c r="BP1890" s="4" t="s">
        <v>256</v>
      </c>
      <c r="BQ1890" s="4" t="s">
        <v>257</v>
      </c>
      <c r="CE1890" s="4" t="s">
        <v>241</v>
      </c>
      <c r="CF1890" s="4" t="s">
        <v>241</v>
      </c>
      <c r="CJ1890" s="4" t="s">
        <v>286</v>
      </c>
      <c r="CK1890" s="4" t="s">
        <v>259</v>
      </c>
      <c r="CL1890" s="4" t="s">
        <v>241</v>
      </c>
      <c r="CO1890" s="5" t="s">
        <v>260</v>
      </c>
      <c r="CP1890" s="4" t="s">
        <v>241</v>
      </c>
      <c r="CQ1890" s="4" t="s">
        <v>261</v>
      </c>
      <c r="CR1890" s="4" t="s">
        <v>241</v>
      </c>
      <c r="CS1890" s="4" t="s">
        <v>241</v>
      </c>
      <c r="CT1890" s="4">
        <v>0</v>
      </c>
      <c r="CU1890" s="4" t="s">
        <v>262</v>
      </c>
      <c r="CV1890" s="4" t="s">
        <v>263</v>
      </c>
      <c r="CW1890" s="4" t="s">
        <v>263</v>
      </c>
      <c r="CX1890" s="4" t="s">
        <v>264</v>
      </c>
      <c r="DA1890" s="6">
        <f>604550</f>
        <v>604550</v>
      </c>
      <c r="DC1890" s="4" t="s">
        <v>287</v>
      </c>
      <c r="DD1890" s="4" t="s">
        <v>241</v>
      </c>
      <c r="DF1890" s="4" t="s">
        <v>287</v>
      </c>
      <c r="DG1890" s="6">
        <f>614</f>
        <v>614</v>
      </c>
      <c r="DI1890" s="4" t="s">
        <v>241</v>
      </c>
      <c r="DJ1890" s="4" t="s">
        <v>241</v>
      </c>
      <c r="DK1890" s="4" t="s">
        <v>241</v>
      </c>
      <c r="DL1890" s="4" t="s">
        <v>241</v>
      </c>
      <c r="DP1890" s="4" t="s">
        <v>241</v>
      </c>
      <c r="DQ1890" s="4" t="s">
        <v>241</v>
      </c>
      <c r="DR1890" s="4" t="s">
        <v>241</v>
      </c>
      <c r="DS1890" s="4" t="s">
        <v>241</v>
      </c>
      <c r="DV1890" s="4" t="s">
        <v>278</v>
      </c>
      <c r="DW1890" s="4" t="s">
        <v>320</v>
      </c>
      <c r="HO1890" s="4" t="s">
        <v>267</v>
      </c>
    </row>
    <row r="1891" spans="1:223" ht="19.5" customHeight="1" x14ac:dyDescent="0.4">
      <c r="A1891" s="4">
        <v>1</v>
      </c>
      <c r="B1891" s="4" t="s">
        <v>239</v>
      </c>
      <c r="C1891" s="4">
        <v>3591</v>
      </c>
      <c r="D1891" s="4">
        <v>1</v>
      </c>
      <c r="E1891" s="4">
        <v>1</v>
      </c>
      <c r="F1891" s="4" t="s">
        <v>268</v>
      </c>
      <c r="G1891" s="4" t="s">
        <v>241</v>
      </c>
      <c r="H1891" s="4" t="s">
        <v>241</v>
      </c>
      <c r="I1891" s="4" t="s">
        <v>272</v>
      </c>
      <c r="J1891" s="4" t="s">
        <v>274</v>
      </c>
      <c r="K1891" s="4" t="s">
        <v>251</v>
      </c>
      <c r="L1891" s="4" t="s">
        <v>1068</v>
      </c>
      <c r="M1891" s="5" t="s">
        <v>1070</v>
      </c>
      <c r="N1891" s="6">
        <f>169.68</f>
        <v>169.68</v>
      </c>
      <c r="O1891" s="4" t="s">
        <v>265</v>
      </c>
      <c r="P1891" s="6">
        <f>339360</f>
        <v>339360</v>
      </c>
      <c r="Q1891" s="6">
        <f>0</f>
        <v>0</v>
      </c>
      <c r="S1891" s="6">
        <f>0</f>
        <v>0</v>
      </c>
      <c r="T1891" s="6">
        <f>339360</f>
        <v>339360</v>
      </c>
      <c r="U1891" s="5" t="s">
        <v>1069</v>
      </c>
      <c r="V1891" s="4" t="s">
        <v>270</v>
      </c>
      <c r="W1891" s="4" t="s">
        <v>242</v>
      </c>
      <c r="X1891" s="4" t="s">
        <v>241</v>
      </c>
      <c r="Y1891" s="4" t="s">
        <v>241</v>
      </c>
      <c r="AB1891" s="4" t="s">
        <v>241</v>
      </c>
      <c r="AD1891" s="5" t="s">
        <v>241</v>
      </c>
      <c r="AG1891" s="5" t="s">
        <v>282</v>
      </c>
      <c r="AH1891" s="4" t="s">
        <v>241</v>
      </c>
      <c r="AI1891" s="4" t="s">
        <v>247</v>
      </c>
      <c r="AJ1891" s="4" t="s">
        <v>248</v>
      </c>
      <c r="AZ1891" s="4" t="s">
        <v>249</v>
      </c>
      <c r="BA1891" s="4" t="s">
        <v>241</v>
      </c>
      <c r="BB1891" s="4" t="s">
        <v>250</v>
      </c>
      <c r="BC1891" s="4" t="s">
        <v>241</v>
      </c>
      <c r="BD1891" s="4" t="s">
        <v>252</v>
      </c>
      <c r="BE1891" s="4" t="s">
        <v>241</v>
      </c>
      <c r="BI1891" s="4" t="s">
        <v>284</v>
      </c>
      <c r="BJ1891" s="5" t="s">
        <v>1069</v>
      </c>
      <c r="BK1891" s="4" t="s">
        <v>254</v>
      </c>
      <c r="BL1891" s="4" t="s">
        <v>285</v>
      </c>
      <c r="BM1891" s="4" t="s">
        <v>241</v>
      </c>
      <c r="BN1891" s="6">
        <f>0</f>
        <v>0</v>
      </c>
      <c r="BO1891" s="6">
        <f>0</f>
        <v>0</v>
      </c>
      <c r="BP1891" s="4" t="s">
        <v>256</v>
      </c>
      <c r="BQ1891" s="4" t="s">
        <v>257</v>
      </c>
      <c r="CE1891" s="4" t="s">
        <v>241</v>
      </c>
      <c r="CF1891" s="4" t="s">
        <v>241</v>
      </c>
      <c r="CJ1891" s="4" t="s">
        <v>286</v>
      </c>
      <c r="CK1891" s="4" t="s">
        <v>259</v>
      </c>
      <c r="CL1891" s="4" t="s">
        <v>241</v>
      </c>
      <c r="CO1891" s="5" t="s">
        <v>260</v>
      </c>
      <c r="CP1891" s="4" t="s">
        <v>241</v>
      </c>
      <c r="CQ1891" s="4" t="s">
        <v>261</v>
      </c>
      <c r="CR1891" s="4" t="s">
        <v>241</v>
      </c>
      <c r="CS1891" s="4" t="s">
        <v>241</v>
      </c>
      <c r="CT1891" s="4">
        <v>0</v>
      </c>
      <c r="CU1891" s="4" t="s">
        <v>262</v>
      </c>
      <c r="CV1891" s="4" t="s">
        <v>263</v>
      </c>
      <c r="CW1891" s="4" t="s">
        <v>263</v>
      </c>
      <c r="CX1891" s="4" t="s">
        <v>264</v>
      </c>
      <c r="DA1891" s="6">
        <f>339360</f>
        <v>339360</v>
      </c>
      <c r="DC1891" s="4" t="s">
        <v>287</v>
      </c>
      <c r="DD1891" s="4" t="s">
        <v>241</v>
      </c>
      <c r="DF1891" s="4" t="s">
        <v>287</v>
      </c>
      <c r="DG1891" s="6">
        <f>169.68</f>
        <v>169.68</v>
      </c>
      <c r="DI1891" s="4" t="s">
        <v>241</v>
      </c>
      <c r="DJ1891" s="4" t="s">
        <v>241</v>
      </c>
      <c r="DK1891" s="4" t="s">
        <v>241</v>
      </c>
      <c r="DL1891" s="4" t="s">
        <v>241</v>
      </c>
      <c r="DP1891" s="4" t="s">
        <v>241</v>
      </c>
      <c r="DQ1891" s="4" t="s">
        <v>241</v>
      </c>
      <c r="DR1891" s="4" t="s">
        <v>241</v>
      </c>
      <c r="DS1891" s="4" t="s">
        <v>241</v>
      </c>
      <c r="DV1891" s="4" t="s">
        <v>278</v>
      </c>
      <c r="DW1891" s="4" t="s">
        <v>1071</v>
      </c>
      <c r="HO1891" s="4" t="s">
        <v>267</v>
      </c>
    </row>
    <row r="1892" spans="1:223" ht="19.5" customHeight="1" x14ac:dyDescent="0.4">
      <c r="A1892" s="4">
        <v>1</v>
      </c>
      <c r="B1892" s="4" t="s">
        <v>239</v>
      </c>
      <c r="C1892" s="4">
        <v>3592</v>
      </c>
      <c r="D1892" s="4">
        <v>1</v>
      </c>
      <c r="E1892" s="4">
        <v>1</v>
      </c>
      <c r="F1892" s="4" t="s">
        <v>268</v>
      </c>
      <c r="G1892" s="4" t="s">
        <v>241</v>
      </c>
      <c r="H1892" s="4" t="s">
        <v>241</v>
      </c>
      <c r="I1892" s="4" t="s">
        <v>272</v>
      </c>
      <c r="J1892" s="4" t="s">
        <v>274</v>
      </c>
      <c r="K1892" s="4" t="s">
        <v>251</v>
      </c>
      <c r="L1892" s="4" t="s">
        <v>280</v>
      </c>
      <c r="M1892" s="5" t="s">
        <v>283</v>
      </c>
      <c r="N1892" s="6">
        <f>366.94</f>
        <v>366.94</v>
      </c>
      <c r="O1892" s="4" t="s">
        <v>265</v>
      </c>
      <c r="P1892" s="6">
        <f>1651230</f>
        <v>1651230</v>
      </c>
      <c r="Q1892" s="6">
        <f>0</f>
        <v>0</v>
      </c>
      <c r="S1892" s="6">
        <f>0</f>
        <v>0</v>
      </c>
      <c r="T1892" s="6">
        <f>1651230</f>
        <v>1651230</v>
      </c>
      <c r="U1892" s="5" t="s">
        <v>281</v>
      </c>
      <c r="V1892" s="4" t="s">
        <v>270</v>
      </c>
      <c r="W1892" s="4" t="s">
        <v>242</v>
      </c>
      <c r="X1892" s="4" t="s">
        <v>241</v>
      </c>
      <c r="Y1892" s="4" t="s">
        <v>241</v>
      </c>
      <c r="AB1892" s="4" t="s">
        <v>241</v>
      </c>
      <c r="AD1892" s="5" t="s">
        <v>241</v>
      </c>
      <c r="AG1892" s="5" t="s">
        <v>282</v>
      </c>
      <c r="AH1892" s="4" t="s">
        <v>241</v>
      </c>
      <c r="AI1892" s="4" t="s">
        <v>247</v>
      </c>
      <c r="AJ1892" s="4" t="s">
        <v>248</v>
      </c>
      <c r="AZ1892" s="4" t="s">
        <v>249</v>
      </c>
      <c r="BA1892" s="4" t="s">
        <v>241</v>
      </c>
      <c r="BB1892" s="4" t="s">
        <v>250</v>
      </c>
      <c r="BC1892" s="4" t="s">
        <v>241</v>
      </c>
      <c r="BD1892" s="4" t="s">
        <v>252</v>
      </c>
      <c r="BE1892" s="4" t="s">
        <v>241</v>
      </c>
      <c r="BI1892" s="4" t="s">
        <v>284</v>
      </c>
      <c r="BJ1892" s="5" t="s">
        <v>281</v>
      </c>
      <c r="BK1892" s="4" t="s">
        <v>254</v>
      </c>
      <c r="BL1892" s="4" t="s">
        <v>285</v>
      </c>
      <c r="BM1892" s="4" t="s">
        <v>241</v>
      </c>
      <c r="BN1892" s="6">
        <f>0</f>
        <v>0</v>
      </c>
      <c r="BO1892" s="6">
        <f>0</f>
        <v>0</v>
      </c>
      <c r="BP1892" s="4" t="s">
        <v>256</v>
      </c>
      <c r="BQ1892" s="4" t="s">
        <v>257</v>
      </c>
      <c r="CE1892" s="4" t="s">
        <v>241</v>
      </c>
      <c r="CF1892" s="4" t="s">
        <v>241</v>
      </c>
      <c r="CJ1892" s="4" t="s">
        <v>286</v>
      </c>
      <c r="CK1892" s="4" t="s">
        <v>259</v>
      </c>
      <c r="CL1892" s="4" t="s">
        <v>241</v>
      </c>
      <c r="CO1892" s="5" t="s">
        <v>260</v>
      </c>
      <c r="CP1892" s="4" t="s">
        <v>241</v>
      </c>
      <c r="CQ1892" s="4" t="s">
        <v>261</v>
      </c>
      <c r="CR1892" s="4" t="s">
        <v>241</v>
      </c>
      <c r="CS1892" s="4" t="s">
        <v>241</v>
      </c>
      <c r="CT1892" s="4">
        <v>0</v>
      </c>
      <c r="CU1892" s="4" t="s">
        <v>262</v>
      </c>
      <c r="CV1892" s="4" t="s">
        <v>263</v>
      </c>
      <c r="CW1892" s="4" t="s">
        <v>263</v>
      </c>
      <c r="CX1892" s="4" t="s">
        <v>264</v>
      </c>
      <c r="DA1892" s="6">
        <f>1651230</f>
        <v>1651230</v>
      </c>
      <c r="DC1892" s="4" t="s">
        <v>287</v>
      </c>
      <c r="DD1892" s="4" t="s">
        <v>241</v>
      </c>
      <c r="DF1892" s="4" t="s">
        <v>287</v>
      </c>
      <c r="DG1892" s="6">
        <f>366.94</f>
        <v>366.94</v>
      </c>
      <c r="DI1892" s="4" t="s">
        <v>241</v>
      </c>
      <c r="DJ1892" s="4" t="s">
        <v>241</v>
      </c>
      <c r="DK1892" s="4" t="s">
        <v>241</v>
      </c>
      <c r="DL1892" s="4" t="s">
        <v>241</v>
      </c>
      <c r="DP1892" s="4" t="s">
        <v>241</v>
      </c>
      <c r="DQ1892" s="4" t="s">
        <v>241</v>
      </c>
      <c r="DR1892" s="4" t="s">
        <v>241</v>
      </c>
      <c r="DS1892" s="4" t="s">
        <v>241</v>
      </c>
      <c r="DV1892" s="4" t="s">
        <v>278</v>
      </c>
      <c r="DW1892" s="4" t="s">
        <v>288</v>
      </c>
      <c r="HO1892" s="4" t="s">
        <v>267</v>
      </c>
    </row>
    <row r="1893" spans="1:223" ht="19.5" customHeight="1" x14ac:dyDescent="0.4">
      <c r="A1893" s="4">
        <v>1</v>
      </c>
      <c r="B1893" s="4" t="s">
        <v>239</v>
      </c>
      <c r="C1893" s="4">
        <v>3593</v>
      </c>
      <c r="D1893" s="4">
        <v>1</v>
      </c>
      <c r="E1893" s="4">
        <v>1</v>
      </c>
      <c r="F1893" s="4" t="s">
        <v>268</v>
      </c>
      <c r="G1893" s="4" t="s">
        <v>241</v>
      </c>
      <c r="H1893" s="4" t="s">
        <v>241</v>
      </c>
      <c r="I1893" s="4" t="s">
        <v>272</v>
      </c>
      <c r="J1893" s="4" t="s">
        <v>274</v>
      </c>
      <c r="K1893" s="4" t="s">
        <v>251</v>
      </c>
      <c r="L1893" s="4" t="s">
        <v>1114</v>
      </c>
      <c r="M1893" s="5" t="s">
        <v>1116</v>
      </c>
      <c r="N1893" s="6">
        <f>138.74</f>
        <v>138.74</v>
      </c>
      <c r="O1893" s="4" t="s">
        <v>265</v>
      </c>
      <c r="P1893" s="6">
        <f>334286</f>
        <v>334286</v>
      </c>
      <c r="Q1893" s="6">
        <f>0</f>
        <v>0</v>
      </c>
      <c r="S1893" s="6">
        <f>0</f>
        <v>0</v>
      </c>
      <c r="T1893" s="6">
        <f>334286</f>
        <v>334286</v>
      </c>
      <c r="U1893" s="5" t="s">
        <v>1115</v>
      </c>
      <c r="V1893" s="4" t="s">
        <v>270</v>
      </c>
      <c r="W1893" s="4" t="s">
        <v>242</v>
      </c>
      <c r="X1893" s="4" t="s">
        <v>241</v>
      </c>
      <c r="Y1893" s="4" t="s">
        <v>241</v>
      </c>
      <c r="AB1893" s="4" t="s">
        <v>241</v>
      </c>
      <c r="AD1893" s="5" t="s">
        <v>241</v>
      </c>
      <c r="AG1893" s="5" t="s">
        <v>282</v>
      </c>
      <c r="AH1893" s="4" t="s">
        <v>241</v>
      </c>
      <c r="AI1893" s="4" t="s">
        <v>247</v>
      </c>
      <c r="AJ1893" s="4" t="s">
        <v>248</v>
      </c>
      <c r="AZ1893" s="4" t="s">
        <v>249</v>
      </c>
      <c r="BA1893" s="4" t="s">
        <v>241</v>
      </c>
      <c r="BB1893" s="4" t="s">
        <v>250</v>
      </c>
      <c r="BC1893" s="4" t="s">
        <v>241</v>
      </c>
      <c r="BD1893" s="4" t="s">
        <v>252</v>
      </c>
      <c r="BE1893" s="4" t="s">
        <v>241</v>
      </c>
      <c r="BI1893" s="4" t="s">
        <v>284</v>
      </c>
      <c r="BJ1893" s="5" t="s">
        <v>1115</v>
      </c>
      <c r="BK1893" s="4" t="s">
        <v>254</v>
      </c>
      <c r="BL1893" s="4" t="s">
        <v>285</v>
      </c>
      <c r="BM1893" s="4" t="s">
        <v>241</v>
      </c>
      <c r="BN1893" s="6">
        <f>0</f>
        <v>0</v>
      </c>
      <c r="BO1893" s="6">
        <f>0</f>
        <v>0</v>
      </c>
      <c r="BP1893" s="4" t="s">
        <v>256</v>
      </c>
      <c r="BQ1893" s="4" t="s">
        <v>257</v>
      </c>
      <c r="CE1893" s="4" t="s">
        <v>241</v>
      </c>
      <c r="CF1893" s="4" t="s">
        <v>241</v>
      </c>
      <c r="CJ1893" s="4" t="s">
        <v>286</v>
      </c>
      <c r="CK1893" s="4" t="s">
        <v>259</v>
      </c>
      <c r="CL1893" s="4" t="s">
        <v>241</v>
      </c>
      <c r="CO1893" s="5" t="s">
        <v>260</v>
      </c>
      <c r="CP1893" s="4" t="s">
        <v>241</v>
      </c>
      <c r="CQ1893" s="4" t="s">
        <v>261</v>
      </c>
      <c r="CR1893" s="4" t="s">
        <v>241</v>
      </c>
      <c r="CS1893" s="4" t="s">
        <v>241</v>
      </c>
      <c r="CT1893" s="4">
        <v>0</v>
      </c>
      <c r="CU1893" s="4" t="s">
        <v>262</v>
      </c>
      <c r="CV1893" s="4" t="s">
        <v>263</v>
      </c>
      <c r="CW1893" s="4" t="s">
        <v>263</v>
      </c>
      <c r="CX1893" s="4" t="s">
        <v>264</v>
      </c>
      <c r="DA1893" s="6">
        <f>334286</f>
        <v>334286</v>
      </c>
      <c r="DC1893" s="4" t="s">
        <v>287</v>
      </c>
      <c r="DD1893" s="4" t="s">
        <v>241</v>
      </c>
      <c r="DF1893" s="4" t="s">
        <v>287</v>
      </c>
      <c r="DG1893" s="6">
        <f>0</f>
        <v>0</v>
      </c>
      <c r="DI1893" s="4" t="s">
        <v>241</v>
      </c>
      <c r="DJ1893" s="4" t="s">
        <v>241</v>
      </c>
      <c r="DK1893" s="4" t="s">
        <v>241</v>
      </c>
      <c r="DL1893" s="4" t="s">
        <v>241</v>
      </c>
      <c r="DP1893" s="4" t="s">
        <v>241</v>
      </c>
      <c r="DQ1893" s="4" t="s">
        <v>241</v>
      </c>
      <c r="DR1893" s="4" t="s">
        <v>241</v>
      </c>
      <c r="DS1893" s="4" t="s">
        <v>241</v>
      </c>
      <c r="DV1893" s="4" t="s">
        <v>278</v>
      </c>
      <c r="DW1893" s="4" t="s">
        <v>1117</v>
      </c>
      <c r="HO1893" s="4" t="s">
        <v>267</v>
      </c>
    </row>
    <row r="1894" spans="1:223" ht="19.5" customHeight="1" x14ac:dyDescent="0.4">
      <c r="A1894" s="4">
        <v>1</v>
      </c>
      <c r="B1894" s="4" t="s">
        <v>239</v>
      </c>
      <c r="C1894" s="4">
        <v>3594</v>
      </c>
      <c r="D1894" s="4">
        <v>1</v>
      </c>
      <c r="E1894" s="4">
        <v>1</v>
      </c>
      <c r="F1894" s="4" t="s">
        <v>268</v>
      </c>
      <c r="G1894" s="4" t="s">
        <v>241</v>
      </c>
      <c r="H1894" s="4" t="s">
        <v>241</v>
      </c>
      <c r="I1894" s="4" t="s">
        <v>272</v>
      </c>
      <c r="J1894" s="4" t="s">
        <v>274</v>
      </c>
      <c r="K1894" s="4" t="s">
        <v>251</v>
      </c>
      <c r="L1894" s="4" t="s">
        <v>1224</v>
      </c>
      <c r="M1894" s="5" t="s">
        <v>1116</v>
      </c>
      <c r="N1894" s="6">
        <f>0</f>
        <v>0</v>
      </c>
      <c r="O1894" s="4" t="s">
        <v>265</v>
      </c>
      <c r="P1894" s="6">
        <f>1711157</f>
        <v>1711157</v>
      </c>
      <c r="Q1894" s="6">
        <f>0</f>
        <v>0</v>
      </c>
      <c r="S1894" s="6">
        <f>0</f>
        <v>0</v>
      </c>
      <c r="T1894" s="6">
        <f>1711157</f>
        <v>1711157</v>
      </c>
      <c r="U1894" s="5" t="s">
        <v>1225</v>
      </c>
      <c r="V1894" s="4" t="s">
        <v>270</v>
      </c>
      <c r="W1894" s="4" t="s">
        <v>242</v>
      </c>
      <c r="X1894" s="4" t="s">
        <v>241</v>
      </c>
      <c r="Y1894" s="4" t="s">
        <v>241</v>
      </c>
      <c r="AB1894" s="4" t="s">
        <v>241</v>
      </c>
      <c r="AD1894" s="5" t="s">
        <v>241</v>
      </c>
      <c r="AG1894" s="5" t="s">
        <v>282</v>
      </c>
      <c r="AH1894" s="4" t="s">
        <v>241</v>
      </c>
      <c r="AI1894" s="4" t="s">
        <v>247</v>
      </c>
      <c r="AJ1894" s="4" t="s">
        <v>248</v>
      </c>
      <c r="AZ1894" s="4" t="s">
        <v>249</v>
      </c>
      <c r="BA1894" s="4" t="s">
        <v>241</v>
      </c>
      <c r="BB1894" s="4" t="s">
        <v>250</v>
      </c>
      <c r="BC1894" s="4" t="s">
        <v>241</v>
      </c>
      <c r="BD1894" s="4" t="s">
        <v>252</v>
      </c>
      <c r="BE1894" s="4" t="s">
        <v>241</v>
      </c>
      <c r="BI1894" s="4" t="s">
        <v>284</v>
      </c>
      <c r="BJ1894" s="5" t="s">
        <v>1225</v>
      </c>
      <c r="BK1894" s="4" t="s">
        <v>254</v>
      </c>
      <c r="BL1894" s="4" t="s">
        <v>285</v>
      </c>
      <c r="BM1894" s="4" t="s">
        <v>241</v>
      </c>
      <c r="BN1894" s="6">
        <f>0</f>
        <v>0</v>
      </c>
      <c r="BO1894" s="6">
        <f>0</f>
        <v>0</v>
      </c>
      <c r="BP1894" s="4" t="s">
        <v>256</v>
      </c>
      <c r="BQ1894" s="4" t="s">
        <v>257</v>
      </c>
      <c r="CE1894" s="4" t="s">
        <v>241</v>
      </c>
      <c r="CF1894" s="4" t="s">
        <v>241</v>
      </c>
      <c r="CJ1894" s="4" t="s">
        <v>286</v>
      </c>
      <c r="CK1894" s="4" t="s">
        <v>259</v>
      </c>
      <c r="CL1894" s="4" t="s">
        <v>241</v>
      </c>
      <c r="CO1894" s="5" t="s">
        <v>260</v>
      </c>
      <c r="CP1894" s="4" t="s">
        <v>241</v>
      </c>
      <c r="CQ1894" s="4" t="s">
        <v>261</v>
      </c>
      <c r="CR1894" s="4" t="s">
        <v>241</v>
      </c>
      <c r="CS1894" s="4" t="s">
        <v>241</v>
      </c>
      <c r="CT1894" s="4">
        <v>0</v>
      </c>
      <c r="CU1894" s="4" t="s">
        <v>262</v>
      </c>
      <c r="CV1894" s="4" t="s">
        <v>263</v>
      </c>
      <c r="CW1894" s="4" t="s">
        <v>263</v>
      </c>
      <c r="CX1894" s="4" t="s">
        <v>264</v>
      </c>
      <c r="DA1894" s="6">
        <f>1711157</f>
        <v>1711157</v>
      </c>
      <c r="DC1894" s="4" t="s">
        <v>287</v>
      </c>
      <c r="DD1894" s="4" t="s">
        <v>241</v>
      </c>
      <c r="DF1894" s="4" t="s">
        <v>287</v>
      </c>
      <c r="DG1894" s="6">
        <f>0</f>
        <v>0</v>
      </c>
      <c r="DI1894" s="4" t="s">
        <v>241</v>
      </c>
      <c r="DJ1894" s="4" t="s">
        <v>241</v>
      </c>
      <c r="DK1894" s="4" t="s">
        <v>241</v>
      </c>
      <c r="DL1894" s="4" t="s">
        <v>241</v>
      </c>
      <c r="DP1894" s="4" t="s">
        <v>241</v>
      </c>
      <c r="DQ1894" s="4" t="s">
        <v>241</v>
      </c>
      <c r="DR1894" s="4" t="s">
        <v>241</v>
      </c>
      <c r="DS1894" s="4" t="s">
        <v>241</v>
      </c>
      <c r="DV1894" s="4" t="s">
        <v>278</v>
      </c>
      <c r="DW1894" s="4" t="s">
        <v>1226</v>
      </c>
      <c r="HO1894" s="4" t="s">
        <v>267</v>
      </c>
    </row>
    <row r="1895" spans="1:223" ht="19.5" customHeight="1" x14ac:dyDescent="0.4">
      <c r="A1895" s="4">
        <v>1</v>
      </c>
      <c r="B1895" s="4" t="s">
        <v>239</v>
      </c>
      <c r="C1895" s="4">
        <v>3595</v>
      </c>
      <c r="D1895" s="4">
        <v>1</v>
      </c>
      <c r="E1895" s="4">
        <v>1</v>
      </c>
      <c r="F1895" s="4" t="s">
        <v>268</v>
      </c>
      <c r="G1895" s="4" t="s">
        <v>241</v>
      </c>
      <c r="H1895" s="4" t="s">
        <v>241</v>
      </c>
      <c r="I1895" s="4" t="s">
        <v>272</v>
      </c>
      <c r="J1895" s="4" t="s">
        <v>274</v>
      </c>
      <c r="K1895" s="4" t="s">
        <v>251</v>
      </c>
      <c r="L1895" s="4" t="s">
        <v>1367</v>
      </c>
      <c r="M1895" s="5" t="s">
        <v>1262</v>
      </c>
      <c r="N1895" s="6">
        <f>8.14</f>
        <v>8.14</v>
      </c>
      <c r="O1895" s="4" t="s">
        <v>265</v>
      </c>
      <c r="P1895" s="6">
        <f>192918</f>
        <v>192918</v>
      </c>
      <c r="Q1895" s="6">
        <f>0</f>
        <v>0</v>
      </c>
      <c r="S1895" s="6">
        <f>0</f>
        <v>0</v>
      </c>
      <c r="T1895" s="6">
        <f>192918</f>
        <v>192918</v>
      </c>
      <c r="U1895" s="5" t="s">
        <v>1261</v>
      </c>
      <c r="V1895" s="4" t="s">
        <v>270</v>
      </c>
      <c r="W1895" s="4" t="s">
        <v>271</v>
      </c>
      <c r="X1895" s="4" t="s">
        <v>241</v>
      </c>
      <c r="Y1895" s="4" t="s">
        <v>241</v>
      </c>
      <c r="AB1895" s="4" t="s">
        <v>241</v>
      </c>
      <c r="AD1895" s="5" t="s">
        <v>241</v>
      </c>
      <c r="AG1895" s="5" t="s">
        <v>282</v>
      </c>
      <c r="AH1895" s="4" t="s">
        <v>241</v>
      </c>
      <c r="AI1895" s="4" t="s">
        <v>247</v>
      </c>
      <c r="AJ1895" s="4" t="s">
        <v>248</v>
      </c>
      <c r="AZ1895" s="4" t="s">
        <v>249</v>
      </c>
      <c r="BA1895" s="4" t="s">
        <v>241</v>
      </c>
      <c r="BB1895" s="4" t="s">
        <v>250</v>
      </c>
      <c r="BC1895" s="4" t="s">
        <v>241</v>
      </c>
      <c r="BD1895" s="4" t="s">
        <v>252</v>
      </c>
      <c r="BE1895" s="4" t="s">
        <v>241</v>
      </c>
      <c r="BI1895" s="4" t="s">
        <v>284</v>
      </c>
      <c r="BJ1895" s="5" t="s">
        <v>1261</v>
      </c>
      <c r="BK1895" s="4" t="s">
        <v>254</v>
      </c>
      <c r="BL1895" s="4" t="s">
        <v>285</v>
      </c>
      <c r="BM1895" s="4" t="s">
        <v>241</v>
      </c>
      <c r="BN1895" s="6">
        <f>0</f>
        <v>0</v>
      </c>
      <c r="BO1895" s="6">
        <f>0</f>
        <v>0</v>
      </c>
      <c r="BP1895" s="4" t="s">
        <v>256</v>
      </c>
      <c r="BQ1895" s="4" t="s">
        <v>257</v>
      </c>
      <c r="CE1895" s="4" t="s">
        <v>241</v>
      </c>
      <c r="CF1895" s="4" t="s">
        <v>241</v>
      </c>
      <c r="CJ1895" s="4" t="s">
        <v>286</v>
      </c>
      <c r="CK1895" s="4" t="s">
        <v>259</v>
      </c>
      <c r="CL1895" s="4" t="s">
        <v>241</v>
      </c>
      <c r="CO1895" s="5" t="s">
        <v>260</v>
      </c>
      <c r="CP1895" s="4" t="s">
        <v>241</v>
      </c>
      <c r="CQ1895" s="4" t="s">
        <v>261</v>
      </c>
      <c r="CR1895" s="4" t="s">
        <v>241</v>
      </c>
      <c r="CS1895" s="4" t="s">
        <v>241</v>
      </c>
      <c r="CT1895" s="4">
        <v>0</v>
      </c>
      <c r="CU1895" s="4" t="s">
        <v>262</v>
      </c>
      <c r="CV1895" s="4" t="s">
        <v>263</v>
      </c>
      <c r="CW1895" s="4" t="s">
        <v>263</v>
      </c>
      <c r="CX1895" s="4" t="s">
        <v>264</v>
      </c>
      <c r="DA1895" s="6">
        <f>192918</f>
        <v>192918</v>
      </c>
      <c r="DC1895" s="4" t="s">
        <v>277</v>
      </c>
      <c r="DD1895" s="4" t="s">
        <v>241</v>
      </c>
      <c r="DF1895" s="4" t="s">
        <v>266</v>
      </c>
      <c r="DG1895" s="6">
        <f>8.14</f>
        <v>8.14</v>
      </c>
      <c r="DI1895" s="4" t="s">
        <v>241</v>
      </c>
      <c r="DJ1895" s="4" t="s">
        <v>241</v>
      </c>
      <c r="DK1895" s="4" t="s">
        <v>241</v>
      </c>
      <c r="DL1895" s="4" t="s">
        <v>241</v>
      </c>
      <c r="DP1895" s="4" t="s">
        <v>241</v>
      </c>
      <c r="DQ1895" s="4" t="s">
        <v>241</v>
      </c>
      <c r="DR1895" s="4" t="s">
        <v>241</v>
      </c>
      <c r="DS1895" s="4" t="s">
        <v>241</v>
      </c>
      <c r="DV1895" s="4" t="s">
        <v>278</v>
      </c>
      <c r="DW1895" s="4" t="s">
        <v>1368</v>
      </c>
      <c r="HO1895" s="4" t="s">
        <v>267</v>
      </c>
    </row>
    <row r="1896" spans="1:223" ht="19.5" customHeight="1" x14ac:dyDescent="0.4">
      <c r="A1896" s="4">
        <v>1</v>
      </c>
      <c r="B1896" s="4" t="s">
        <v>239</v>
      </c>
      <c r="C1896" s="4">
        <v>3596</v>
      </c>
      <c r="D1896" s="4">
        <v>1</v>
      </c>
      <c r="E1896" s="4">
        <v>1</v>
      </c>
      <c r="F1896" s="4" t="s">
        <v>268</v>
      </c>
      <c r="G1896" s="4" t="s">
        <v>241</v>
      </c>
      <c r="H1896" s="4" t="s">
        <v>241</v>
      </c>
      <c r="I1896" s="4" t="s">
        <v>272</v>
      </c>
      <c r="J1896" s="4" t="s">
        <v>274</v>
      </c>
      <c r="K1896" s="4" t="s">
        <v>251</v>
      </c>
      <c r="L1896" s="4" t="s">
        <v>1278</v>
      </c>
      <c r="M1896" s="5" t="s">
        <v>1094</v>
      </c>
      <c r="N1896" s="6">
        <f>3422.05</f>
        <v>3422.05</v>
      </c>
      <c r="O1896" s="4" t="s">
        <v>265</v>
      </c>
      <c r="P1896" s="6">
        <f>14714815</f>
        <v>14714815</v>
      </c>
      <c r="Q1896" s="6">
        <f>0</f>
        <v>0</v>
      </c>
      <c r="S1896" s="6">
        <f>0</f>
        <v>0</v>
      </c>
      <c r="T1896" s="6">
        <f>14714815</f>
        <v>14714815</v>
      </c>
      <c r="U1896" s="5" t="s">
        <v>1093</v>
      </c>
      <c r="V1896" s="4" t="s">
        <v>270</v>
      </c>
      <c r="W1896" s="4" t="s">
        <v>242</v>
      </c>
      <c r="X1896" s="4" t="s">
        <v>241</v>
      </c>
      <c r="Y1896" s="4" t="s">
        <v>241</v>
      </c>
      <c r="AB1896" s="4" t="s">
        <v>241</v>
      </c>
      <c r="AD1896" s="5" t="s">
        <v>241</v>
      </c>
      <c r="AG1896" s="5" t="s">
        <v>282</v>
      </c>
      <c r="AH1896" s="4" t="s">
        <v>241</v>
      </c>
      <c r="AI1896" s="4" t="s">
        <v>247</v>
      </c>
      <c r="AJ1896" s="4" t="s">
        <v>248</v>
      </c>
      <c r="AZ1896" s="4" t="s">
        <v>249</v>
      </c>
      <c r="BA1896" s="4" t="s">
        <v>241</v>
      </c>
      <c r="BB1896" s="4" t="s">
        <v>250</v>
      </c>
      <c r="BC1896" s="4" t="s">
        <v>241</v>
      </c>
      <c r="BD1896" s="4" t="s">
        <v>252</v>
      </c>
      <c r="BE1896" s="4" t="s">
        <v>241</v>
      </c>
      <c r="BI1896" s="4" t="s">
        <v>284</v>
      </c>
      <c r="BJ1896" s="5" t="s">
        <v>1093</v>
      </c>
      <c r="BK1896" s="4" t="s">
        <v>254</v>
      </c>
      <c r="BL1896" s="4" t="s">
        <v>285</v>
      </c>
      <c r="BM1896" s="4" t="s">
        <v>241</v>
      </c>
      <c r="BN1896" s="6">
        <f>0</f>
        <v>0</v>
      </c>
      <c r="BO1896" s="6">
        <f>0</f>
        <v>0</v>
      </c>
      <c r="BP1896" s="4" t="s">
        <v>256</v>
      </c>
      <c r="BQ1896" s="4" t="s">
        <v>257</v>
      </c>
      <c r="CE1896" s="4" t="s">
        <v>241</v>
      </c>
      <c r="CF1896" s="4" t="s">
        <v>241</v>
      </c>
      <c r="CJ1896" s="4" t="s">
        <v>286</v>
      </c>
      <c r="CK1896" s="4" t="s">
        <v>259</v>
      </c>
      <c r="CL1896" s="4" t="s">
        <v>241</v>
      </c>
      <c r="CO1896" s="5" t="s">
        <v>260</v>
      </c>
      <c r="CP1896" s="4" t="s">
        <v>241</v>
      </c>
      <c r="CQ1896" s="4" t="s">
        <v>261</v>
      </c>
      <c r="CR1896" s="4" t="s">
        <v>241</v>
      </c>
      <c r="CS1896" s="4" t="s">
        <v>241</v>
      </c>
      <c r="CT1896" s="4">
        <v>0</v>
      </c>
      <c r="CU1896" s="4" t="s">
        <v>262</v>
      </c>
      <c r="CV1896" s="4" t="s">
        <v>263</v>
      </c>
      <c r="CW1896" s="4" t="s">
        <v>263</v>
      </c>
      <c r="CX1896" s="4" t="s">
        <v>264</v>
      </c>
      <c r="DA1896" s="6">
        <f>14714815</f>
        <v>14714815</v>
      </c>
      <c r="DC1896" s="4" t="s">
        <v>287</v>
      </c>
      <c r="DD1896" s="4" t="s">
        <v>241</v>
      </c>
      <c r="DF1896" s="4" t="s">
        <v>287</v>
      </c>
      <c r="DG1896" s="6">
        <f>0</f>
        <v>0</v>
      </c>
      <c r="DI1896" s="4" t="s">
        <v>241</v>
      </c>
      <c r="DJ1896" s="4" t="s">
        <v>241</v>
      </c>
      <c r="DK1896" s="4" t="s">
        <v>241</v>
      </c>
      <c r="DL1896" s="4" t="s">
        <v>241</v>
      </c>
      <c r="DP1896" s="4" t="s">
        <v>241</v>
      </c>
      <c r="DQ1896" s="4" t="s">
        <v>241</v>
      </c>
      <c r="DR1896" s="4" t="s">
        <v>241</v>
      </c>
      <c r="DS1896" s="4" t="s">
        <v>241</v>
      </c>
      <c r="DV1896" s="4" t="s">
        <v>278</v>
      </c>
      <c r="DW1896" s="4" t="s">
        <v>1279</v>
      </c>
      <c r="HO1896" s="4" t="s">
        <v>267</v>
      </c>
    </row>
    <row r="1897" spans="1:223" ht="19.5" customHeight="1" x14ac:dyDescent="0.4">
      <c r="A1897" s="4">
        <v>1</v>
      </c>
      <c r="B1897" s="4" t="s">
        <v>239</v>
      </c>
      <c r="C1897" s="4">
        <v>3597</v>
      </c>
      <c r="D1897" s="4">
        <v>1</v>
      </c>
      <c r="E1897" s="4">
        <v>1</v>
      </c>
      <c r="F1897" s="4" t="s">
        <v>268</v>
      </c>
      <c r="G1897" s="4" t="s">
        <v>241</v>
      </c>
      <c r="H1897" s="4" t="s">
        <v>241</v>
      </c>
      <c r="I1897" s="4" t="s">
        <v>272</v>
      </c>
      <c r="J1897" s="4" t="s">
        <v>274</v>
      </c>
      <c r="K1897" s="4" t="s">
        <v>251</v>
      </c>
      <c r="L1897" s="4" t="s">
        <v>1092</v>
      </c>
      <c r="M1897" s="5" t="s">
        <v>1094</v>
      </c>
      <c r="N1897" s="6">
        <f>0</f>
        <v>0</v>
      </c>
      <c r="O1897" s="4" t="s">
        <v>265</v>
      </c>
      <c r="P1897" s="6">
        <f>1087714</f>
        <v>1087714</v>
      </c>
      <c r="Q1897" s="6">
        <f>0</f>
        <v>0</v>
      </c>
      <c r="S1897" s="6">
        <f>0</f>
        <v>0</v>
      </c>
      <c r="T1897" s="6">
        <f>1087714</f>
        <v>1087714</v>
      </c>
      <c r="U1897" s="5" t="s">
        <v>1093</v>
      </c>
      <c r="V1897" s="4" t="s">
        <v>270</v>
      </c>
      <c r="W1897" s="4" t="s">
        <v>242</v>
      </c>
      <c r="X1897" s="4" t="s">
        <v>241</v>
      </c>
      <c r="Y1897" s="4" t="s">
        <v>241</v>
      </c>
      <c r="AB1897" s="4" t="s">
        <v>241</v>
      </c>
      <c r="AD1897" s="5" t="s">
        <v>241</v>
      </c>
      <c r="AG1897" s="5" t="s">
        <v>246</v>
      </c>
      <c r="AH1897" s="4" t="s">
        <v>241</v>
      </c>
      <c r="AI1897" s="4" t="s">
        <v>247</v>
      </c>
      <c r="AJ1897" s="4" t="s">
        <v>248</v>
      </c>
      <c r="AZ1897" s="4" t="s">
        <v>249</v>
      </c>
      <c r="BA1897" s="4" t="s">
        <v>241</v>
      </c>
      <c r="BB1897" s="4" t="s">
        <v>250</v>
      </c>
      <c r="BC1897" s="4" t="s">
        <v>241</v>
      </c>
      <c r="BD1897" s="4" t="s">
        <v>252</v>
      </c>
      <c r="BE1897" s="4" t="s">
        <v>241</v>
      </c>
      <c r="BI1897" s="4" t="s">
        <v>253</v>
      </c>
      <c r="BJ1897" s="5" t="s">
        <v>1093</v>
      </c>
      <c r="BK1897" s="4" t="s">
        <v>254</v>
      </c>
      <c r="BL1897" s="4" t="s">
        <v>285</v>
      </c>
      <c r="BM1897" s="4" t="s">
        <v>241</v>
      </c>
      <c r="BN1897" s="6">
        <f>0</f>
        <v>0</v>
      </c>
      <c r="BO1897" s="6">
        <f>0</f>
        <v>0</v>
      </c>
      <c r="BP1897" s="4" t="s">
        <v>256</v>
      </c>
      <c r="BQ1897" s="4" t="s">
        <v>257</v>
      </c>
      <c r="CE1897" s="4" t="s">
        <v>241</v>
      </c>
      <c r="CF1897" s="4" t="s">
        <v>241</v>
      </c>
      <c r="CJ1897" s="4" t="s">
        <v>286</v>
      </c>
      <c r="CK1897" s="4" t="s">
        <v>259</v>
      </c>
      <c r="CL1897" s="4" t="s">
        <v>241</v>
      </c>
      <c r="CO1897" s="5" t="s">
        <v>260</v>
      </c>
      <c r="CP1897" s="4" t="s">
        <v>241</v>
      </c>
      <c r="CQ1897" s="4" t="s">
        <v>261</v>
      </c>
      <c r="CR1897" s="4" t="s">
        <v>241</v>
      </c>
      <c r="CS1897" s="4" t="s">
        <v>241</v>
      </c>
      <c r="CT1897" s="4">
        <v>0</v>
      </c>
      <c r="CU1897" s="4" t="s">
        <v>262</v>
      </c>
      <c r="CV1897" s="4" t="s">
        <v>263</v>
      </c>
      <c r="CW1897" s="4" t="s">
        <v>263</v>
      </c>
      <c r="CX1897" s="4" t="s">
        <v>264</v>
      </c>
      <c r="DA1897" s="6">
        <f>1087714</f>
        <v>1087714</v>
      </c>
      <c r="DC1897" s="4" t="s">
        <v>287</v>
      </c>
      <c r="DD1897" s="4" t="s">
        <v>241</v>
      </c>
      <c r="DF1897" s="4" t="s">
        <v>287</v>
      </c>
      <c r="DG1897" s="6">
        <f>0</f>
        <v>0</v>
      </c>
      <c r="DI1897" s="4" t="s">
        <v>241</v>
      </c>
      <c r="DJ1897" s="4" t="s">
        <v>241</v>
      </c>
      <c r="DK1897" s="4" t="s">
        <v>241</v>
      </c>
      <c r="DL1897" s="4" t="s">
        <v>241</v>
      </c>
      <c r="DP1897" s="4" t="s">
        <v>241</v>
      </c>
      <c r="DQ1897" s="4" t="s">
        <v>241</v>
      </c>
      <c r="DR1897" s="4" t="s">
        <v>241</v>
      </c>
      <c r="DS1897" s="4" t="s">
        <v>241</v>
      </c>
      <c r="DV1897" s="4" t="s">
        <v>278</v>
      </c>
      <c r="DW1897" s="4" t="s">
        <v>1095</v>
      </c>
      <c r="HO1897" s="4" t="s">
        <v>267</v>
      </c>
    </row>
    <row r="1898" spans="1:223" ht="19.5" customHeight="1" x14ac:dyDescent="0.4">
      <c r="A1898" s="4">
        <v>1</v>
      </c>
      <c r="B1898" s="4" t="s">
        <v>239</v>
      </c>
      <c r="C1898" s="4">
        <v>3598</v>
      </c>
      <c r="D1898" s="4">
        <v>1</v>
      </c>
      <c r="E1898" s="4">
        <v>1</v>
      </c>
      <c r="F1898" s="4" t="s">
        <v>268</v>
      </c>
      <c r="G1898" s="4" t="s">
        <v>241</v>
      </c>
      <c r="H1898" s="4" t="s">
        <v>241</v>
      </c>
      <c r="I1898" s="4" t="s">
        <v>272</v>
      </c>
      <c r="J1898" s="4" t="s">
        <v>274</v>
      </c>
      <c r="K1898" s="4" t="s">
        <v>251</v>
      </c>
      <c r="L1898" s="4" t="s">
        <v>1341</v>
      </c>
      <c r="M1898" s="5" t="s">
        <v>1245</v>
      </c>
      <c r="N1898" s="6">
        <f>0</f>
        <v>0</v>
      </c>
      <c r="O1898" s="4" t="s">
        <v>265</v>
      </c>
      <c r="P1898" s="6">
        <f>5001480</f>
        <v>5001480</v>
      </c>
      <c r="Q1898" s="6">
        <f>0</f>
        <v>0</v>
      </c>
      <c r="S1898" s="6">
        <f>0</f>
        <v>0</v>
      </c>
      <c r="T1898" s="6">
        <f>5001480</f>
        <v>5001480</v>
      </c>
      <c r="U1898" s="5" t="s">
        <v>1342</v>
      </c>
      <c r="V1898" s="4" t="s">
        <v>270</v>
      </c>
      <c r="W1898" s="4" t="s">
        <v>242</v>
      </c>
      <c r="X1898" s="4" t="s">
        <v>241</v>
      </c>
      <c r="Y1898" s="4" t="s">
        <v>241</v>
      </c>
      <c r="AB1898" s="4" t="s">
        <v>241</v>
      </c>
      <c r="AD1898" s="5" t="s">
        <v>241</v>
      </c>
      <c r="AG1898" s="5" t="s">
        <v>246</v>
      </c>
      <c r="AH1898" s="4" t="s">
        <v>241</v>
      </c>
      <c r="AI1898" s="4" t="s">
        <v>247</v>
      </c>
      <c r="AJ1898" s="4" t="s">
        <v>248</v>
      </c>
      <c r="AZ1898" s="4" t="s">
        <v>249</v>
      </c>
      <c r="BA1898" s="4" t="s">
        <v>241</v>
      </c>
      <c r="BB1898" s="4" t="s">
        <v>250</v>
      </c>
      <c r="BC1898" s="4" t="s">
        <v>241</v>
      </c>
      <c r="BD1898" s="4" t="s">
        <v>252</v>
      </c>
      <c r="BE1898" s="4" t="s">
        <v>241</v>
      </c>
      <c r="BI1898" s="4" t="s">
        <v>253</v>
      </c>
      <c r="BJ1898" s="5" t="s">
        <v>1342</v>
      </c>
      <c r="BK1898" s="4" t="s">
        <v>254</v>
      </c>
      <c r="BL1898" s="4" t="s">
        <v>306</v>
      </c>
      <c r="BM1898" s="4" t="s">
        <v>241</v>
      </c>
      <c r="BN1898" s="6">
        <f>0</f>
        <v>0</v>
      </c>
      <c r="BO1898" s="6">
        <f>0</f>
        <v>0</v>
      </c>
      <c r="BP1898" s="4" t="s">
        <v>256</v>
      </c>
      <c r="BQ1898" s="4" t="s">
        <v>257</v>
      </c>
      <c r="CE1898" s="4" t="s">
        <v>241</v>
      </c>
      <c r="CF1898" s="4" t="s">
        <v>241</v>
      </c>
      <c r="CJ1898" s="4" t="s">
        <v>286</v>
      </c>
      <c r="CK1898" s="4" t="s">
        <v>259</v>
      </c>
      <c r="CL1898" s="4" t="s">
        <v>241</v>
      </c>
      <c r="CO1898" s="5" t="s">
        <v>260</v>
      </c>
      <c r="CP1898" s="4" t="s">
        <v>241</v>
      </c>
      <c r="CQ1898" s="4" t="s">
        <v>261</v>
      </c>
      <c r="CR1898" s="4" t="s">
        <v>241</v>
      </c>
      <c r="CS1898" s="4" t="s">
        <v>241</v>
      </c>
      <c r="CT1898" s="4">
        <v>0</v>
      </c>
      <c r="CU1898" s="4" t="s">
        <v>262</v>
      </c>
      <c r="CV1898" s="4" t="s">
        <v>263</v>
      </c>
      <c r="CW1898" s="4" t="s">
        <v>263</v>
      </c>
      <c r="CX1898" s="4" t="s">
        <v>264</v>
      </c>
      <c r="DA1898" s="6">
        <f>5001480</f>
        <v>5001480</v>
      </c>
      <c r="DC1898" s="4" t="s">
        <v>287</v>
      </c>
      <c r="DD1898" s="4" t="s">
        <v>241</v>
      </c>
      <c r="DF1898" s="4" t="s">
        <v>287</v>
      </c>
      <c r="DG1898" s="6">
        <f>0</f>
        <v>0</v>
      </c>
      <c r="DI1898" s="4" t="s">
        <v>241</v>
      </c>
      <c r="DJ1898" s="4" t="s">
        <v>241</v>
      </c>
      <c r="DK1898" s="4" t="s">
        <v>241</v>
      </c>
      <c r="DL1898" s="4" t="s">
        <v>241</v>
      </c>
      <c r="DP1898" s="4" t="s">
        <v>241</v>
      </c>
      <c r="DQ1898" s="4" t="s">
        <v>241</v>
      </c>
      <c r="DR1898" s="4" t="s">
        <v>241</v>
      </c>
      <c r="DS1898" s="4" t="s">
        <v>241</v>
      </c>
      <c r="DV1898" s="4" t="s">
        <v>278</v>
      </c>
      <c r="DW1898" s="4" t="s">
        <v>1343</v>
      </c>
      <c r="HO1898" s="4" t="s">
        <v>267</v>
      </c>
    </row>
    <row r="1899" spans="1:223" ht="19.5" customHeight="1" x14ac:dyDescent="0.4">
      <c r="A1899" s="4">
        <v>1</v>
      </c>
      <c r="B1899" s="4" t="s">
        <v>239</v>
      </c>
      <c r="C1899" s="4">
        <v>3599</v>
      </c>
      <c r="D1899" s="4">
        <v>1</v>
      </c>
      <c r="E1899" s="4">
        <v>1</v>
      </c>
      <c r="F1899" s="4" t="s">
        <v>268</v>
      </c>
      <c r="G1899" s="4" t="s">
        <v>241</v>
      </c>
      <c r="H1899" s="4" t="s">
        <v>241</v>
      </c>
      <c r="I1899" s="4" t="s">
        <v>272</v>
      </c>
      <c r="J1899" s="4" t="s">
        <v>274</v>
      </c>
      <c r="K1899" s="4" t="s">
        <v>251</v>
      </c>
      <c r="L1899" s="4" t="s">
        <v>1060</v>
      </c>
      <c r="M1899" s="5" t="s">
        <v>1040</v>
      </c>
      <c r="N1899" s="6">
        <f>0</f>
        <v>0</v>
      </c>
      <c r="O1899" s="4" t="s">
        <v>265</v>
      </c>
      <c r="P1899" s="6">
        <f>1496700</f>
        <v>1496700</v>
      </c>
      <c r="Q1899" s="6">
        <f>0</f>
        <v>0</v>
      </c>
      <c r="S1899" s="6">
        <f>0</f>
        <v>0</v>
      </c>
      <c r="T1899" s="6">
        <f>1496700</f>
        <v>1496700</v>
      </c>
      <c r="U1899" s="5" t="s">
        <v>1061</v>
      </c>
      <c r="V1899" s="4" t="s">
        <v>270</v>
      </c>
      <c r="W1899" s="4" t="s">
        <v>242</v>
      </c>
      <c r="X1899" s="4" t="s">
        <v>241</v>
      </c>
      <c r="Y1899" s="4" t="s">
        <v>241</v>
      </c>
      <c r="AB1899" s="4" t="s">
        <v>241</v>
      </c>
      <c r="AD1899" s="5" t="s">
        <v>241</v>
      </c>
      <c r="AG1899" s="5" t="s">
        <v>246</v>
      </c>
      <c r="AH1899" s="4" t="s">
        <v>241</v>
      </c>
      <c r="AI1899" s="4" t="s">
        <v>247</v>
      </c>
      <c r="AJ1899" s="4" t="s">
        <v>248</v>
      </c>
      <c r="AZ1899" s="4" t="s">
        <v>249</v>
      </c>
      <c r="BA1899" s="4" t="s">
        <v>241</v>
      </c>
      <c r="BB1899" s="4" t="s">
        <v>250</v>
      </c>
      <c r="BC1899" s="4" t="s">
        <v>241</v>
      </c>
      <c r="BD1899" s="4" t="s">
        <v>252</v>
      </c>
      <c r="BE1899" s="4" t="s">
        <v>241</v>
      </c>
      <c r="BI1899" s="4" t="s">
        <v>253</v>
      </c>
      <c r="BJ1899" s="5" t="s">
        <v>1061</v>
      </c>
      <c r="BK1899" s="4" t="s">
        <v>254</v>
      </c>
      <c r="BL1899" s="4" t="s">
        <v>285</v>
      </c>
      <c r="BM1899" s="4" t="s">
        <v>241</v>
      </c>
      <c r="BN1899" s="6">
        <f>0</f>
        <v>0</v>
      </c>
      <c r="BO1899" s="6">
        <f>0</f>
        <v>0</v>
      </c>
      <c r="BP1899" s="4" t="s">
        <v>256</v>
      </c>
      <c r="BQ1899" s="4" t="s">
        <v>257</v>
      </c>
      <c r="CE1899" s="4" t="s">
        <v>241</v>
      </c>
      <c r="CF1899" s="4" t="s">
        <v>241</v>
      </c>
      <c r="CJ1899" s="4" t="s">
        <v>286</v>
      </c>
      <c r="CK1899" s="4" t="s">
        <v>259</v>
      </c>
      <c r="CL1899" s="4" t="s">
        <v>241</v>
      </c>
      <c r="CO1899" s="5" t="s">
        <v>260</v>
      </c>
      <c r="CP1899" s="4" t="s">
        <v>241</v>
      </c>
      <c r="CQ1899" s="4" t="s">
        <v>261</v>
      </c>
      <c r="CR1899" s="4" t="s">
        <v>241</v>
      </c>
      <c r="CS1899" s="4" t="s">
        <v>241</v>
      </c>
      <c r="CT1899" s="4">
        <v>0</v>
      </c>
      <c r="CU1899" s="4" t="s">
        <v>262</v>
      </c>
      <c r="CV1899" s="4" t="s">
        <v>263</v>
      </c>
      <c r="CW1899" s="4" t="s">
        <v>263</v>
      </c>
      <c r="CX1899" s="4" t="s">
        <v>264</v>
      </c>
      <c r="DA1899" s="6">
        <f>1496700</f>
        <v>1496700</v>
      </c>
      <c r="DC1899" s="4" t="s">
        <v>287</v>
      </c>
      <c r="DD1899" s="4" t="s">
        <v>241</v>
      </c>
      <c r="DF1899" s="4" t="s">
        <v>287</v>
      </c>
      <c r="DG1899" s="6">
        <f>0</f>
        <v>0</v>
      </c>
      <c r="DI1899" s="4" t="s">
        <v>241</v>
      </c>
      <c r="DJ1899" s="4" t="s">
        <v>241</v>
      </c>
      <c r="DK1899" s="4" t="s">
        <v>241</v>
      </c>
      <c r="DL1899" s="4" t="s">
        <v>241</v>
      </c>
      <c r="DP1899" s="4" t="s">
        <v>241</v>
      </c>
      <c r="DQ1899" s="4" t="s">
        <v>241</v>
      </c>
      <c r="DR1899" s="4" t="s">
        <v>241</v>
      </c>
      <c r="DS1899" s="4" t="s">
        <v>241</v>
      </c>
      <c r="DV1899" s="4" t="s">
        <v>278</v>
      </c>
      <c r="DW1899" s="4" t="s">
        <v>1062</v>
      </c>
      <c r="HO1899" s="4" t="s">
        <v>267</v>
      </c>
    </row>
    <row r="1900" spans="1:223" ht="19.5" customHeight="1" x14ac:dyDescent="0.4">
      <c r="A1900" s="4">
        <v>1</v>
      </c>
      <c r="B1900" s="4" t="s">
        <v>239</v>
      </c>
      <c r="C1900" s="4">
        <v>3600</v>
      </c>
      <c r="D1900" s="4">
        <v>1</v>
      </c>
      <c r="E1900" s="4">
        <v>1</v>
      </c>
      <c r="F1900" s="4" t="s">
        <v>268</v>
      </c>
      <c r="G1900" s="4" t="s">
        <v>241</v>
      </c>
      <c r="H1900" s="4" t="s">
        <v>241</v>
      </c>
      <c r="I1900" s="4" t="s">
        <v>272</v>
      </c>
      <c r="J1900" s="4" t="s">
        <v>274</v>
      </c>
      <c r="K1900" s="4" t="s">
        <v>251</v>
      </c>
      <c r="L1900" s="4" t="s">
        <v>1214</v>
      </c>
      <c r="M1900" s="5" t="s">
        <v>1159</v>
      </c>
      <c r="N1900" s="6">
        <f>382.85</f>
        <v>382.85</v>
      </c>
      <c r="O1900" s="4" t="s">
        <v>265</v>
      </c>
      <c r="P1900" s="6">
        <f>721630</f>
        <v>721630</v>
      </c>
      <c r="Q1900" s="6">
        <f>0</f>
        <v>0</v>
      </c>
      <c r="S1900" s="6">
        <f>0</f>
        <v>0</v>
      </c>
      <c r="T1900" s="6">
        <f>721630</f>
        <v>721630</v>
      </c>
      <c r="U1900" s="5" t="s">
        <v>1215</v>
      </c>
      <c r="V1900" s="4" t="s">
        <v>270</v>
      </c>
      <c r="W1900" s="4" t="s">
        <v>242</v>
      </c>
      <c r="X1900" s="4" t="s">
        <v>241</v>
      </c>
      <c r="Y1900" s="4" t="s">
        <v>241</v>
      </c>
      <c r="AB1900" s="4" t="s">
        <v>241</v>
      </c>
      <c r="AD1900" s="5" t="s">
        <v>241</v>
      </c>
      <c r="AG1900" s="5" t="s">
        <v>246</v>
      </c>
      <c r="AH1900" s="4" t="s">
        <v>241</v>
      </c>
      <c r="AI1900" s="4" t="s">
        <v>247</v>
      </c>
      <c r="AJ1900" s="4" t="s">
        <v>248</v>
      </c>
      <c r="AZ1900" s="4" t="s">
        <v>249</v>
      </c>
      <c r="BA1900" s="4" t="s">
        <v>241</v>
      </c>
      <c r="BB1900" s="4" t="s">
        <v>250</v>
      </c>
      <c r="BC1900" s="4" t="s">
        <v>241</v>
      </c>
      <c r="BD1900" s="4" t="s">
        <v>252</v>
      </c>
      <c r="BE1900" s="4" t="s">
        <v>241</v>
      </c>
      <c r="BI1900" s="4" t="s">
        <v>253</v>
      </c>
      <c r="BJ1900" s="5" t="s">
        <v>1215</v>
      </c>
      <c r="BK1900" s="4" t="s">
        <v>254</v>
      </c>
      <c r="BL1900" s="4" t="s">
        <v>285</v>
      </c>
      <c r="BM1900" s="4" t="s">
        <v>241</v>
      </c>
      <c r="BN1900" s="6">
        <f>0</f>
        <v>0</v>
      </c>
      <c r="BO1900" s="6">
        <f>0</f>
        <v>0</v>
      </c>
      <c r="BP1900" s="4" t="s">
        <v>256</v>
      </c>
      <c r="BQ1900" s="4" t="s">
        <v>257</v>
      </c>
      <c r="CE1900" s="4" t="s">
        <v>241</v>
      </c>
      <c r="CF1900" s="4" t="s">
        <v>241</v>
      </c>
      <c r="CJ1900" s="4" t="s">
        <v>286</v>
      </c>
      <c r="CK1900" s="4" t="s">
        <v>259</v>
      </c>
      <c r="CL1900" s="4" t="s">
        <v>241</v>
      </c>
      <c r="CO1900" s="5" t="s">
        <v>260</v>
      </c>
      <c r="CP1900" s="4" t="s">
        <v>241</v>
      </c>
      <c r="CQ1900" s="4" t="s">
        <v>261</v>
      </c>
      <c r="CR1900" s="4" t="s">
        <v>241</v>
      </c>
      <c r="CS1900" s="4" t="s">
        <v>241</v>
      </c>
      <c r="CT1900" s="4">
        <v>0</v>
      </c>
      <c r="CU1900" s="4" t="s">
        <v>262</v>
      </c>
      <c r="CV1900" s="4" t="s">
        <v>263</v>
      </c>
      <c r="CW1900" s="4" t="s">
        <v>263</v>
      </c>
      <c r="CX1900" s="4" t="s">
        <v>264</v>
      </c>
      <c r="DA1900" s="6">
        <f>721630</f>
        <v>721630</v>
      </c>
      <c r="DC1900" s="4" t="s">
        <v>287</v>
      </c>
      <c r="DD1900" s="4" t="s">
        <v>241</v>
      </c>
      <c r="DF1900" s="4" t="s">
        <v>287</v>
      </c>
      <c r="DG1900" s="6">
        <f>0</f>
        <v>0</v>
      </c>
      <c r="DI1900" s="4" t="s">
        <v>241</v>
      </c>
      <c r="DJ1900" s="4" t="s">
        <v>241</v>
      </c>
      <c r="DK1900" s="4" t="s">
        <v>241</v>
      </c>
      <c r="DL1900" s="4" t="s">
        <v>241</v>
      </c>
      <c r="DP1900" s="4" t="s">
        <v>241</v>
      </c>
      <c r="DQ1900" s="4" t="s">
        <v>241</v>
      </c>
      <c r="DR1900" s="4" t="s">
        <v>241</v>
      </c>
      <c r="DS1900" s="4" t="s">
        <v>241</v>
      </c>
      <c r="DV1900" s="4" t="s">
        <v>278</v>
      </c>
      <c r="DW1900" s="4" t="s">
        <v>1216</v>
      </c>
      <c r="HO1900" s="4" t="s">
        <v>267</v>
      </c>
    </row>
    <row r="1901" spans="1:223" ht="19.5" customHeight="1" x14ac:dyDescent="0.4">
      <c r="A1901" s="4">
        <v>1</v>
      </c>
      <c r="B1901" s="4" t="s">
        <v>239</v>
      </c>
      <c r="C1901" s="4">
        <v>3601</v>
      </c>
      <c r="D1901" s="4">
        <v>1</v>
      </c>
      <c r="E1901" s="4">
        <v>1</v>
      </c>
      <c r="F1901" s="4" t="s">
        <v>268</v>
      </c>
      <c r="G1901" s="4" t="s">
        <v>241</v>
      </c>
      <c r="H1901" s="4" t="s">
        <v>241</v>
      </c>
      <c r="I1901" s="4" t="s">
        <v>272</v>
      </c>
      <c r="J1901" s="4" t="s">
        <v>274</v>
      </c>
      <c r="K1901" s="4" t="s">
        <v>251</v>
      </c>
      <c r="L1901" s="4" t="s">
        <v>1158</v>
      </c>
      <c r="M1901" s="5" t="s">
        <v>1159</v>
      </c>
      <c r="N1901" s="6">
        <f>0</f>
        <v>0</v>
      </c>
      <c r="O1901" s="4" t="s">
        <v>265</v>
      </c>
      <c r="P1901" s="6">
        <f>9238173</f>
        <v>9238173</v>
      </c>
      <c r="Q1901" s="6">
        <f>0</f>
        <v>0</v>
      </c>
      <c r="S1901" s="6">
        <f>0</f>
        <v>0</v>
      </c>
      <c r="T1901" s="6">
        <f>9238173</f>
        <v>9238173</v>
      </c>
      <c r="U1901" s="5" t="s">
        <v>317</v>
      </c>
      <c r="V1901" s="4" t="s">
        <v>270</v>
      </c>
      <c r="W1901" s="4" t="s">
        <v>242</v>
      </c>
      <c r="X1901" s="4" t="s">
        <v>241</v>
      </c>
      <c r="Y1901" s="4" t="s">
        <v>241</v>
      </c>
      <c r="AB1901" s="4" t="s">
        <v>241</v>
      </c>
      <c r="AD1901" s="5" t="s">
        <v>241</v>
      </c>
      <c r="AG1901" s="5" t="s">
        <v>246</v>
      </c>
      <c r="AH1901" s="4" t="s">
        <v>241</v>
      </c>
      <c r="AI1901" s="4" t="s">
        <v>247</v>
      </c>
      <c r="AJ1901" s="4" t="s">
        <v>248</v>
      </c>
      <c r="AZ1901" s="4" t="s">
        <v>249</v>
      </c>
      <c r="BA1901" s="4" t="s">
        <v>241</v>
      </c>
      <c r="BB1901" s="4" t="s">
        <v>250</v>
      </c>
      <c r="BC1901" s="4" t="s">
        <v>241</v>
      </c>
      <c r="BD1901" s="4" t="s">
        <v>252</v>
      </c>
      <c r="BE1901" s="4" t="s">
        <v>241</v>
      </c>
      <c r="BI1901" s="4" t="s">
        <v>253</v>
      </c>
      <c r="BJ1901" s="5" t="s">
        <v>317</v>
      </c>
      <c r="BK1901" s="4" t="s">
        <v>254</v>
      </c>
      <c r="BL1901" s="4" t="s">
        <v>285</v>
      </c>
      <c r="BM1901" s="4" t="s">
        <v>241</v>
      </c>
      <c r="BN1901" s="6">
        <f>0</f>
        <v>0</v>
      </c>
      <c r="BO1901" s="6">
        <f>0</f>
        <v>0</v>
      </c>
      <c r="BP1901" s="4" t="s">
        <v>256</v>
      </c>
      <c r="BQ1901" s="4" t="s">
        <v>257</v>
      </c>
      <c r="CE1901" s="4" t="s">
        <v>241</v>
      </c>
      <c r="CF1901" s="4" t="s">
        <v>241</v>
      </c>
      <c r="CJ1901" s="4" t="s">
        <v>286</v>
      </c>
      <c r="CK1901" s="4" t="s">
        <v>259</v>
      </c>
      <c r="CL1901" s="4" t="s">
        <v>241</v>
      </c>
      <c r="CO1901" s="5" t="s">
        <v>260</v>
      </c>
      <c r="CP1901" s="4" t="s">
        <v>241</v>
      </c>
      <c r="CQ1901" s="4" t="s">
        <v>261</v>
      </c>
      <c r="CR1901" s="4" t="s">
        <v>241</v>
      </c>
      <c r="CS1901" s="4" t="s">
        <v>241</v>
      </c>
      <c r="CT1901" s="4">
        <v>0</v>
      </c>
      <c r="CU1901" s="4" t="s">
        <v>262</v>
      </c>
      <c r="CV1901" s="4" t="s">
        <v>263</v>
      </c>
      <c r="CW1901" s="4" t="s">
        <v>263</v>
      </c>
      <c r="CX1901" s="4" t="s">
        <v>264</v>
      </c>
      <c r="DA1901" s="6">
        <f>9238173</f>
        <v>9238173</v>
      </c>
      <c r="DC1901" s="4" t="s">
        <v>287</v>
      </c>
      <c r="DD1901" s="4" t="s">
        <v>241</v>
      </c>
      <c r="DF1901" s="4" t="s">
        <v>287</v>
      </c>
      <c r="DG1901" s="6">
        <f>0</f>
        <v>0</v>
      </c>
      <c r="DI1901" s="4" t="s">
        <v>241</v>
      </c>
      <c r="DJ1901" s="4" t="s">
        <v>241</v>
      </c>
      <c r="DK1901" s="4" t="s">
        <v>241</v>
      </c>
      <c r="DL1901" s="4" t="s">
        <v>241</v>
      </c>
      <c r="DP1901" s="4" t="s">
        <v>241</v>
      </c>
      <c r="DQ1901" s="4" t="s">
        <v>241</v>
      </c>
      <c r="DR1901" s="4" t="s">
        <v>241</v>
      </c>
      <c r="DS1901" s="4" t="s">
        <v>241</v>
      </c>
      <c r="DV1901" s="4" t="s">
        <v>278</v>
      </c>
      <c r="DW1901" s="4" t="s">
        <v>1160</v>
      </c>
      <c r="HO1901" s="4" t="s">
        <v>267</v>
      </c>
    </row>
    <row r="1902" spans="1:223" ht="19.5" customHeight="1" x14ac:dyDescent="0.4">
      <c r="A1902" s="4">
        <v>1</v>
      </c>
      <c r="B1902" s="4" t="s">
        <v>239</v>
      </c>
      <c r="C1902" s="4">
        <v>3602</v>
      </c>
      <c r="D1902" s="4">
        <v>1</v>
      </c>
      <c r="E1902" s="4">
        <v>1</v>
      </c>
      <c r="F1902" s="4" t="s">
        <v>268</v>
      </c>
      <c r="G1902" s="4" t="s">
        <v>241</v>
      </c>
      <c r="H1902" s="4" t="s">
        <v>241</v>
      </c>
      <c r="I1902" s="4" t="s">
        <v>272</v>
      </c>
      <c r="J1902" s="4" t="s">
        <v>274</v>
      </c>
      <c r="K1902" s="4" t="s">
        <v>251</v>
      </c>
      <c r="L1902" s="4" t="s">
        <v>391</v>
      </c>
      <c r="M1902" s="5" t="s">
        <v>392</v>
      </c>
      <c r="N1902" s="6">
        <f>398.42</f>
        <v>398.42</v>
      </c>
      <c r="O1902" s="4" t="s">
        <v>265</v>
      </c>
      <c r="P1902" s="6">
        <f>1903083</f>
        <v>1903083</v>
      </c>
      <c r="Q1902" s="6">
        <f>0</f>
        <v>0</v>
      </c>
      <c r="S1902" s="6">
        <f>0</f>
        <v>0</v>
      </c>
      <c r="T1902" s="6">
        <f>1903083</f>
        <v>1903083</v>
      </c>
      <c r="U1902" s="5" t="s">
        <v>281</v>
      </c>
      <c r="V1902" s="4" t="s">
        <v>270</v>
      </c>
      <c r="W1902" s="4" t="s">
        <v>242</v>
      </c>
      <c r="X1902" s="4" t="s">
        <v>241</v>
      </c>
      <c r="Y1902" s="4" t="s">
        <v>241</v>
      </c>
      <c r="AB1902" s="4" t="s">
        <v>241</v>
      </c>
      <c r="AD1902" s="5" t="s">
        <v>241</v>
      </c>
      <c r="AG1902" s="5" t="s">
        <v>246</v>
      </c>
      <c r="AH1902" s="4" t="s">
        <v>241</v>
      </c>
      <c r="AI1902" s="4" t="s">
        <v>247</v>
      </c>
      <c r="AJ1902" s="4" t="s">
        <v>248</v>
      </c>
      <c r="AZ1902" s="4" t="s">
        <v>249</v>
      </c>
      <c r="BA1902" s="4" t="s">
        <v>241</v>
      </c>
      <c r="BB1902" s="4" t="s">
        <v>250</v>
      </c>
      <c r="BC1902" s="4" t="s">
        <v>241</v>
      </c>
      <c r="BD1902" s="4" t="s">
        <v>252</v>
      </c>
      <c r="BE1902" s="4" t="s">
        <v>241</v>
      </c>
      <c r="BI1902" s="4" t="s">
        <v>253</v>
      </c>
      <c r="BJ1902" s="5" t="s">
        <v>281</v>
      </c>
      <c r="BK1902" s="4" t="s">
        <v>254</v>
      </c>
      <c r="BL1902" s="4" t="s">
        <v>285</v>
      </c>
      <c r="BM1902" s="4" t="s">
        <v>241</v>
      </c>
      <c r="BN1902" s="6">
        <f>0</f>
        <v>0</v>
      </c>
      <c r="BO1902" s="6">
        <f>0</f>
        <v>0</v>
      </c>
      <c r="BP1902" s="4" t="s">
        <v>256</v>
      </c>
      <c r="BQ1902" s="4" t="s">
        <v>257</v>
      </c>
      <c r="CE1902" s="4" t="s">
        <v>241</v>
      </c>
      <c r="CF1902" s="4" t="s">
        <v>241</v>
      </c>
      <c r="CJ1902" s="4" t="s">
        <v>286</v>
      </c>
      <c r="CK1902" s="4" t="s">
        <v>259</v>
      </c>
      <c r="CL1902" s="4" t="s">
        <v>241</v>
      </c>
      <c r="CO1902" s="5" t="s">
        <v>260</v>
      </c>
      <c r="CP1902" s="4" t="s">
        <v>241</v>
      </c>
      <c r="CQ1902" s="4" t="s">
        <v>261</v>
      </c>
      <c r="CR1902" s="4" t="s">
        <v>241</v>
      </c>
      <c r="CS1902" s="4" t="s">
        <v>241</v>
      </c>
      <c r="CT1902" s="4">
        <v>0</v>
      </c>
      <c r="CU1902" s="4" t="s">
        <v>262</v>
      </c>
      <c r="CV1902" s="4" t="s">
        <v>263</v>
      </c>
      <c r="CW1902" s="4" t="s">
        <v>263</v>
      </c>
      <c r="CX1902" s="4" t="s">
        <v>264</v>
      </c>
      <c r="DA1902" s="6">
        <f>1903083</f>
        <v>1903083</v>
      </c>
      <c r="DC1902" s="4" t="s">
        <v>287</v>
      </c>
      <c r="DD1902" s="4" t="s">
        <v>241</v>
      </c>
      <c r="DF1902" s="4" t="s">
        <v>287</v>
      </c>
      <c r="DG1902" s="6">
        <f>0</f>
        <v>0</v>
      </c>
      <c r="DI1902" s="4" t="s">
        <v>241</v>
      </c>
      <c r="DJ1902" s="4" t="s">
        <v>241</v>
      </c>
      <c r="DK1902" s="4" t="s">
        <v>241</v>
      </c>
      <c r="DL1902" s="4" t="s">
        <v>241</v>
      </c>
      <c r="DP1902" s="4" t="s">
        <v>241</v>
      </c>
      <c r="DQ1902" s="4" t="s">
        <v>241</v>
      </c>
      <c r="DR1902" s="4" t="s">
        <v>241</v>
      </c>
      <c r="DS1902" s="4" t="s">
        <v>241</v>
      </c>
      <c r="DV1902" s="4" t="s">
        <v>278</v>
      </c>
      <c r="DW1902" s="4" t="s">
        <v>393</v>
      </c>
      <c r="HO1902" s="4" t="s">
        <v>267</v>
      </c>
    </row>
    <row r="1903" spans="1:223" ht="19.5" customHeight="1" x14ac:dyDescent="0.4">
      <c r="A1903" s="4">
        <v>1</v>
      </c>
      <c r="B1903" s="4" t="s">
        <v>239</v>
      </c>
      <c r="C1903" s="4">
        <v>3603</v>
      </c>
      <c r="D1903" s="4">
        <v>1</v>
      </c>
      <c r="E1903" s="4">
        <v>1</v>
      </c>
      <c r="F1903" s="4" t="s">
        <v>268</v>
      </c>
      <c r="G1903" s="4" t="s">
        <v>241</v>
      </c>
      <c r="H1903" s="4" t="s">
        <v>241</v>
      </c>
      <c r="I1903" s="4" t="s">
        <v>272</v>
      </c>
      <c r="J1903" s="4" t="s">
        <v>274</v>
      </c>
      <c r="K1903" s="4" t="s">
        <v>251</v>
      </c>
      <c r="L1903" s="4" t="s">
        <v>407</v>
      </c>
      <c r="M1903" s="5" t="s">
        <v>392</v>
      </c>
      <c r="N1903" s="6">
        <f>0</f>
        <v>0</v>
      </c>
      <c r="O1903" s="4" t="s">
        <v>265</v>
      </c>
      <c r="P1903" s="6">
        <f>3398158</f>
        <v>3398158</v>
      </c>
      <c r="Q1903" s="6">
        <f>0</f>
        <v>0</v>
      </c>
      <c r="S1903" s="6">
        <f>0</f>
        <v>0</v>
      </c>
      <c r="T1903" s="6">
        <f>3398158</f>
        <v>3398158</v>
      </c>
      <c r="U1903" s="5" t="s">
        <v>408</v>
      </c>
      <c r="V1903" s="4" t="s">
        <v>270</v>
      </c>
      <c r="W1903" s="4" t="s">
        <v>242</v>
      </c>
      <c r="X1903" s="4" t="s">
        <v>241</v>
      </c>
      <c r="Y1903" s="4" t="s">
        <v>241</v>
      </c>
      <c r="AB1903" s="4" t="s">
        <v>241</v>
      </c>
      <c r="AD1903" s="5" t="s">
        <v>241</v>
      </c>
      <c r="AG1903" s="5" t="s">
        <v>246</v>
      </c>
      <c r="AH1903" s="4" t="s">
        <v>241</v>
      </c>
      <c r="AI1903" s="4" t="s">
        <v>247</v>
      </c>
      <c r="AJ1903" s="4" t="s">
        <v>248</v>
      </c>
      <c r="AZ1903" s="4" t="s">
        <v>249</v>
      </c>
      <c r="BA1903" s="4" t="s">
        <v>241</v>
      </c>
      <c r="BB1903" s="4" t="s">
        <v>250</v>
      </c>
      <c r="BC1903" s="4" t="s">
        <v>241</v>
      </c>
      <c r="BD1903" s="4" t="s">
        <v>252</v>
      </c>
      <c r="BE1903" s="4" t="s">
        <v>241</v>
      </c>
      <c r="BI1903" s="4" t="s">
        <v>253</v>
      </c>
      <c r="BJ1903" s="5" t="s">
        <v>408</v>
      </c>
      <c r="BK1903" s="4" t="s">
        <v>254</v>
      </c>
      <c r="BL1903" s="4" t="s">
        <v>285</v>
      </c>
      <c r="BM1903" s="4" t="s">
        <v>241</v>
      </c>
      <c r="BN1903" s="6">
        <f>0</f>
        <v>0</v>
      </c>
      <c r="BO1903" s="6">
        <f>0</f>
        <v>0</v>
      </c>
      <c r="BP1903" s="4" t="s">
        <v>256</v>
      </c>
      <c r="BQ1903" s="4" t="s">
        <v>257</v>
      </c>
      <c r="CE1903" s="4" t="s">
        <v>241</v>
      </c>
      <c r="CF1903" s="4" t="s">
        <v>241</v>
      </c>
      <c r="CJ1903" s="4" t="s">
        <v>286</v>
      </c>
      <c r="CK1903" s="4" t="s">
        <v>259</v>
      </c>
      <c r="CL1903" s="4" t="s">
        <v>241</v>
      </c>
      <c r="CO1903" s="5" t="s">
        <v>260</v>
      </c>
      <c r="CP1903" s="4" t="s">
        <v>241</v>
      </c>
      <c r="CQ1903" s="4" t="s">
        <v>261</v>
      </c>
      <c r="CR1903" s="4" t="s">
        <v>241</v>
      </c>
      <c r="CS1903" s="4" t="s">
        <v>241</v>
      </c>
      <c r="CT1903" s="4">
        <v>0</v>
      </c>
      <c r="CU1903" s="4" t="s">
        <v>262</v>
      </c>
      <c r="CV1903" s="4" t="s">
        <v>263</v>
      </c>
      <c r="CW1903" s="4" t="s">
        <v>263</v>
      </c>
      <c r="CX1903" s="4" t="s">
        <v>264</v>
      </c>
      <c r="DA1903" s="6">
        <f>3398158</f>
        <v>3398158</v>
      </c>
      <c r="DC1903" s="4" t="s">
        <v>287</v>
      </c>
      <c r="DD1903" s="4" t="s">
        <v>241</v>
      </c>
      <c r="DF1903" s="4" t="s">
        <v>287</v>
      </c>
      <c r="DG1903" s="6">
        <f>0</f>
        <v>0</v>
      </c>
      <c r="DI1903" s="4" t="s">
        <v>241</v>
      </c>
      <c r="DJ1903" s="4" t="s">
        <v>241</v>
      </c>
      <c r="DK1903" s="4" t="s">
        <v>241</v>
      </c>
      <c r="DL1903" s="4" t="s">
        <v>241</v>
      </c>
      <c r="DP1903" s="4" t="s">
        <v>241</v>
      </c>
      <c r="DQ1903" s="4" t="s">
        <v>241</v>
      </c>
      <c r="DR1903" s="4" t="s">
        <v>241</v>
      </c>
      <c r="DS1903" s="4" t="s">
        <v>241</v>
      </c>
      <c r="DV1903" s="4" t="s">
        <v>278</v>
      </c>
      <c r="DW1903" s="4" t="s">
        <v>409</v>
      </c>
      <c r="HO1903" s="4" t="s">
        <v>267</v>
      </c>
    </row>
    <row r="1904" spans="1:223" ht="19.5" customHeight="1" x14ac:dyDescent="0.4">
      <c r="A1904" s="4">
        <v>1</v>
      </c>
      <c r="B1904" s="4" t="s">
        <v>239</v>
      </c>
      <c r="C1904" s="4">
        <v>3604</v>
      </c>
      <c r="D1904" s="4">
        <v>1</v>
      </c>
      <c r="E1904" s="4">
        <v>1</v>
      </c>
      <c r="F1904" s="4" t="s">
        <v>268</v>
      </c>
      <c r="G1904" s="4" t="s">
        <v>241</v>
      </c>
      <c r="H1904" s="4" t="s">
        <v>241</v>
      </c>
      <c r="I1904" s="4" t="s">
        <v>272</v>
      </c>
      <c r="J1904" s="4" t="s">
        <v>274</v>
      </c>
      <c r="K1904" s="4" t="s">
        <v>251</v>
      </c>
      <c r="L1904" s="4" t="s">
        <v>1131</v>
      </c>
      <c r="M1904" s="5" t="s">
        <v>1133</v>
      </c>
      <c r="N1904" s="6">
        <f>0</f>
        <v>0</v>
      </c>
      <c r="O1904" s="4" t="s">
        <v>265</v>
      </c>
      <c r="P1904" s="6">
        <f>1436400</f>
        <v>1436400</v>
      </c>
      <c r="Q1904" s="6">
        <f>0</f>
        <v>0</v>
      </c>
      <c r="S1904" s="6">
        <f>0</f>
        <v>0</v>
      </c>
      <c r="T1904" s="6">
        <f>1436400</f>
        <v>1436400</v>
      </c>
      <c r="U1904" s="5" t="s">
        <v>1132</v>
      </c>
      <c r="V1904" s="4" t="s">
        <v>270</v>
      </c>
      <c r="W1904" s="4" t="s">
        <v>242</v>
      </c>
      <c r="X1904" s="4" t="s">
        <v>241</v>
      </c>
      <c r="Y1904" s="4" t="s">
        <v>241</v>
      </c>
      <c r="AB1904" s="4" t="s">
        <v>241</v>
      </c>
      <c r="AD1904" s="5" t="s">
        <v>241</v>
      </c>
      <c r="AG1904" s="5" t="s">
        <v>246</v>
      </c>
      <c r="AH1904" s="4" t="s">
        <v>241</v>
      </c>
      <c r="AI1904" s="4" t="s">
        <v>247</v>
      </c>
      <c r="AJ1904" s="4" t="s">
        <v>248</v>
      </c>
      <c r="AZ1904" s="4" t="s">
        <v>249</v>
      </c>
      <c r="BA1904" s="4" t="s">
        <v>241</v>
      </c>
      <c r="BB1904" s="4" t="s">
        <v>250</v>
      </c>
      <c r="BC1904" s="4" t="s">
        <v>241</v>
      </c>
      <c r="BD1904" s="4" t="s">
        <v>252</v>
      </c>
      <c r="BE1904" s="4" t="s">
        <v>241</v>
      </c>
      <c r="BI1904" s="4" t="s">
        <v>253</v>
      </c>
      <c r="BJ1904" s="5" t="s">
        <v>1132</v>
      </c>
      <c r="BK1904" s="4" t="s">
        <v>254</v>
      </c>
      <c r="BL1904" s="4" t="s">
        <v>306</v>
      </c>
      <c r="BM1904" s="4" t="s">
        <v>241</v>
      </c>
      <c r="BN1904" s="6">
        <f>0</f>
        <v>0</v>
      </c>
      <c r="BO1904" s="6">
        <f>0</f>
        <v>0</v>
      </c>
      <c r="BP1904" s="4" t="s">
        <v>256</v>
      </c>
      <c r="BQ1904" s="4" t="s">
        <v>257</v>
      </c>
      <c r="CE1904" s="4" t="s">
        <v>241</v>
      </c>
      <c r="CF1904" s="4" t="s">
        <v>241</v>
      </c>
      <c r="CJ1904" s="4" t="s">
        <v>286</v>
      </c>
      <c r="CK1904" s="4" t="s">
        <v>259</v>
      </c>
      <c r="CL1904" s="4" t="s">
        <v>241</v>
      </c>
      <c r="CO1904" s="5" t="s">
        <v>260</v>
      </c>
      <c r="CP1904" s="4" t="s">
        <v>241</v>
      </c>
      <c r="CQ1904" s="4" t="s">
        <v>261</v>
      </c>
      <c r="CR1904" s="4" t="s">
        <v>241</v>
      </c>
      <c r="CS1904" s="4" t="s">
        <v>241</v>
      </c>
      <c r="CT1904" s="4">
        <v>0</v>
      </c>
      <c r="CU1904" s="4" t="s">
        <v>262</v>
      </c>
      <c r="CV1904" s="4" t="s">
        <v>263</v>
      </c>
      <c r="CW1904" s="4" t="s">
        <v>263</v>
      </c>
      <c r="CX1904" s="4" t="s">
        <v>264</v>
      </c>
      <c r="DA1904" s="6">
        <f>1436400</f>
        <v>1436400</v>
      </c>
      <c r="DC1904" s="4" t="s">
        <v>287</v>
      </c>
      <c r="DD1904" s="4" t="s">
        <v>241</v>
      </c>
      <c r="DF1904" s="4" t="s">
        <v>287</v>
      </c>
      <c r="DG1904" s="6">
        <f>0</f>
        <v>0</v>
      </c>
      <c r="DI1904" s="4" t="s">
        <v>241</v>
      </c>
      <c r="DJ1904" s="4" t="s">
        <v>241</v>
      </c>
      <c r="DK1904" s="4" t="s">
        <v>241</v>
      </c>
      <c r="DL1904" s="4" t="s">
        <v>241</v>
      </c>
      <c r="DP1904" s="4" t="s">
        <v>241</v>
      </c>
      <c r="DQ1904" s="4" t="s">
        <v>241</v>
      </c>
      <c r="DR1904" s="4" t="s">
        <v>241</v>
      </c>
      <c r="DS1904" s="4" t="s">
        <v>241</v>
      </c>
      <c r="DV1904" s="4" t="s">
        <v>278</v>
      </c>
      <c r="DW1904" s="4" t="s">
        <v>1134</v>
      </c>
      <c r="HO1904" s="4" t="s">
        <v>267</v>
      </c>
    </row>
    <row r="1905" spans="1:223" ht="19.5" customHeight="1" x14ac:dyDescent="0.4">
      <c r="A1905" s="4">
        <v>1</v>
      </c>
      <c r="B1905" s="4" t="s">
        <v>239</v>
      </c>
      <c r="C1905" s="4">
        <v>3605</v>
      </c>
      <c r="D1905" s="4">
        <v>1</v>
      </c>
      <c r="E1905" s="4">
        <v>1</v>
      </c>
      <c r="F1905" s="4" t="s">
        <v>268</v>
      </c>
      <c r="G1905" s="4" t="s">
        <v>241</v>
      </c>
      <c r="H1905" s="4" t="s">
        <v>241</v>
      </c>
      <c r="I1905" s="4" t="s">
        <v>272</v>
      </c>
      <c r="J1905" s="4" t="s">
        <v>274</v>
      </c>
      <c r="K1905" s="4" t="s">
        <v>251</v>
      </c>
      <c r="L1905" s="4" t="s">
        <v>1320</v>
      </c>
      <c r="M1905" s="5" t="s">
        <v>1107</v>
      </c>
      <c r="N1905" s="6">
        <f>721.92</f>
        <v>721.92</v>
      </c>
      <c r="O1905" s="4" t="s">
        <v>265</v>
      </c>
      <c r="P1905" s="6">
        <f>1549106</f>
        <v>1549106</v>
      </c>
      <c r="Q1905" s="6">
        <f>0</f>
        <v>0</v>
      </c>
      <c r="S1905" s="6">
        <f>0</f>
        <v>0</v>
      </c>
      <c r="T1905" s="6">
        <f>1549106</f>
        <v>1549106</v>
      </c>
      <c r="U1905" s="5" t="s">
        <v>1321</v>
      </c>
      <c r="V1905" s="4" t="s">
        <v>270</v>
      </c>
      <c r="W1905" s="4" t="s">
        <v>242</v>
      </c>
      <c r="X1905" s="4" t="s">
        <v>241</v>
      </c>
      <c r="Y1905" s="4" t="s">
        <v>241</v>
      </c>
      <c r="AB1905" s="4" t="s">
        <v>241</v>
      </c>
      <c r="AD1905" s="5" t="s">
        <v>241</v>
      </c>
      <c r="AG1905" s="5" t="s">
        <v>246</v>
      </c>
      <c r="AH1905" s="4" t="s">
        <v>241</v>
      </c>
      <c r="AI1905" s="4" t="s">
        <v>247</v>
      </c>
      <c r="AJ1905" s="4" t="s">
        <v>248</v>
      </c>
      <c r="AZ1905" s="4" t="s">
        <v>249</v>
      </c>
      <c r="BA1905" s="4" t="s">
        <v>241</v>
      </c>
      <c r="BB1905" s="4" t="s">
        <v>250</v>
      </c>
      <c r="BC1905" s="4" t="s">
        <v>241</v>
      </c>
      <c r="BD1905" s="4" t="s">
        <v>252</v>
      </c>
      <c r="BE1905" s="4" t="s">
        <v>241</v>
      </c>
      <c r="BI1905" s="4" t="s">
        <v>253</v>
      </c>
      <c r="BJ1905" s="5" t="s">
        <v>1321</v>
      </c>
      <c r="BK1905" s="4" t="s">
        <v>254</v>
      </c>
      <c r="BL1905" s="4" t="s">
        <v>285</v>
      </c>
      <c r="BM1905" s="4" t="s">
        <v>241</v>
      </c>
      <c r="BN1905" s="6">
        <f>0</f>
        <v>0</v>
      </c>
      <c r="BO1905" s="6">
        <f>0</f>
        <v>0</v>
      </c>
      <c r="BP1905" s="4" t="s">
        <v>256</v>
      </c>
      <c r="BQ1905" s="4" t="s">
        <v>257</v>
      </c>
      <c r="CE1905" s="4" t="s">
        <v>241</v>
      </c>
      <c r="CF1905" s="4" t="s">
        <v>241</v>
      </c>
      <c r="CJ1905" s="4" t="s">
        <v>286</v>
      </c>
      <c r="CK1905" s="4" t="s">
        <v>259</v>
      </c>
      <c r="CL1905" s="4" t="s">
        <v>241</v>
      </c>
      <c r="CO1905" s="5" t="s">
        <v>260</v>
      </c>
      <c r="CP1905" s="4" t="s">
        <v>241</v>
      </c>
      <c r="CQ1905" s="4" t="s">
        <v>261</v>
      </c>
      <c r="CR1905" s="4" t="s">
        <v>241</v>
      </c>
      <c r="CS1905" s="4" t="s">
        <v>241</v>
      </c>
      <c r="CT1905" s="4">
        <v>0</v>
      </c>
      <c r="CU1905" s="4" t="s">
        <v>262</v>
      </c>
      <c r="CV1905" s="4" t="s">
        <v>263</v>
      </c>
      <c r="CW1905" s="4" t="s">
        <v>263</v>
      </c>
      <c r="CX1905" s="4" t="s">
        <v>264</v>
      </c>
      <c r="DA1905" s="6">
        <f>1549106</f>
        <v>1549106</v>
      </c>
      <c r="DC1905" s="4" t="s">
        <v>287</v>
      </c>
      <c r="DD1905" s="4" t="s">
        <v>241</v>
      </c>
      <c r="DF1905" s="4" t="s">
        <v>287</v>
      </c>
      <c r="DG1905" s="6">
        <f>0</f>
        <v>0</v>
      </c>
      <c r="DI1905" s="4" t="s">
        <v>241</v>
      </c>
      <c r="DJ1905" s="4" t="s">
        <v>241</v>
      </c>
      <c r="DK1905" s="4" t="s">
        <v>241</v>
      </c>
      <c r="DL1905" s="4" t="s">
        <v>241</v>
      </c>
      <c r="DP1905" s="4" t="s">
        <v>241</v>
      </c>
      <c r="DQ1905" s="4" t="s">
        <v>241</v>
      </c>
      <c r="DR1905" s="4" t="s">
        <v>241</v>
      </c>
      <c r="DS1905" s="4" t="s">
        <v>241</v>
      </c>
      <c r="DV1905" s="4" t="s">
        <v>278</v>
      </c>
      <c r="DW1905" s="4" t="s">
        <v>1322</v>
      </c>
      <c r="HO1905" s="4" t="s">
        <v>267</v>
      </c>
    </row>
    <row r="1906" spans="1:223" ht="19.5" customHeight="1" x14ac:dyDescent="0.4">
      <c r="A1906" s="4">
        <v>1</v>
      </c>
      <c r="B1906" s="4" t="s">
        <v>239</v>
      </c>
      <c r="C1906" s="4">
        <v>3606</v>
      </c>
      <c r="D1906" s="4">
        <v>1</v>
      </c>
      <c r="E1906" s="4">
        <v>1</v>
      </c>
      <c r="F1906" s="4" t="s">
        <v>268</v>
      </c>
      <c r="G1906" s="4" t="s">
        <v>241</v>
      </c>
      <c r="H1906" s="4" t="s">
        <v>241</v>
      </c>
      <c r="I1906" s="4" t="s">
        <v>272</v>
      </c>
      <c r="J1906" s="4" t="s">
        <v>274</v>
      </c>
      <c r="K1906" s="4" t="s">
        <v>251</v>
      </c>
      <c r="L1906" s="4" t="s">
        <v>1105</v>
      </c>
      <c r="M1906" s="5" t="s">
        <v>1107</v>
      </c>
      <c r="N1906" s="6">
        <f>0</f>
        <v>0</v>
      </c>
      <c r="O1906" s="4" t="s">
        <v>265</v>
      </c>
      <c r="P1906" s="6">
        <f>4756639</f>
        <v>4756639</v>
      </c>
      <c r="Q1906" s="6">
        <f>0</f>
        <v>0</v>
      </c>
      <c r="S1906" s="6">
        <f>0</f>
        <v>0</v>
      </c>
      <c r="T1906" s="6">
        <f>4756639</f>
        <v>4756639</v>
      </c>
      <c r="U1906" s="5" t="s">
        <v>1106</v>
      </c>
      <c r="V1906" s="4" t="s">
        <v>270</v>
      </c>
      <c r="W1906" s="4" t="s">
        <v>242</v>
      </c>
      <c r="X1906" s="4" t="s">
        <v>241</v>
      </c>
      <c r="Y1906" s="4" t="s">
        <v>241</v>
      </c>
      <c r="AB1906" s="4" t="s">
        <v>241</v>
      </c>
      <c r="AD1906" s="5" t="s">
        <v>241</v>
      </c>
      <c r="AG1906" s="5" t="s">
        <v>246</v>
      </c>
      <c r="AH1906" s="4" t="s">
        <v>241</v>
      </c>
      <c r="AI1906" s="4" t="s">
        <v>247</v>
      </c>
      <c r="AJ1906" s="4" t="s">
        <v>248</v>
      </c>
      <c r="AZ1906" s="4" t="s">
        <v>249</v>
      </c>
      <c r="BA1906" s="4" t="s">
        <v>241</v>
      </c>
      <c r="BB1906" s="4" t="s">
        <v>250</v>
      </c>
      <c r="BC1906" s="4" t="s">
        <v>241</v>
      </c>
      <c r="BD1906" s="4" t="s">
        <v>252</v>
      </c>
      <c r="BE1906" s="4" t="s">
        <v>241</v>
      </c>
      <c r="BI1906" s="4" t="s">
        <v>253</v>
      </c>
      <c r="BJ1906" s="5" t="s">
        <v>1106</v>
      </c>
      <c r="BK1906" s="4" t="s">
        <v>254</v>
      </c>
      <c r="BL1906" s="4" t="s">
        <v>285</v>
      </c>
      <c r="BM1906" s="4" t="s">
        <v>241</v>
      </c>
      <c r="BN1906" s="6">
        <f>0</f>
        <v>0</v>
      </c>
      <c r="BO1906" s="6">
        <f>0</f>
        <v>0</v>
      </c>
      <c r="BP1906" s="4" t="s">
        <v>256</v>
      </c>
      <c r="BQ1906" s="4" t="s">
        <v>257</v>
      </c>
      <c r="CE1906" s="4" t="s">
        <v>241</v>
      </c>
      <c r="CF1906" s="4" t="s">
        <v>241</v>
      </c>
      <c r="CJ1906" s="4" t="s">
        <v>286</v>
      </c>
      <c r="CK1906" s="4" t="s">
        <v>259</v>
      </c>
      <c r="CL1906" s="4" t="s">
        <v>241</v>
      </c>
      <c r="CO1906" s="5" t="s">
        <v>260</v>
      </c>
      <c r="CP1906" s="4" t="s">
        <v>241</v>
      </c>
      <c r="CQ1906" s="4" t="s">
        <v>261</v>
      </c>
      <c r="CR1906" s="4" t="s">
        <v>241</v>
      </c>
      <c r="CS1906" s="4" t="s">
        <v>241</v>
      </c>
      <c r="CT1906" s="4">
        <v>0</v>
      </c>
      <c r="CU1906" s="4" t="s">
        <v>262</v>
      </c>
      <c r="CV1906" s="4" t="s">
        <v>263</v>
      </c>
      <c r="CW1906" s="4" t="s">
        <v>263</v>
      </c>
      <c r="CX1906" s="4" t="s">
        <v>264</v>
      </c>
      <c r="DA1906" s="6">
        <f>4756639</f>
        <v>4756639</v>
      </c>
      <c r="DC1906" s="4" t="s">
        <v>287</v>
      </c>
      <c r="DD1906" s="4" t="s">
        <v>241</v>
      </c>
      <c r="DF1906" s="4" t="s">
        <v>287</v>
      </c>
      <c r="DG1906" s="6">
        <f>0</f>
        <v>0</v>
      </c>
      <c r="DI1906" s="4" t="s">
        <v>241</v>
      </c>
      <c r="DJ1906" s="4" t="s">
        <v>241</v>
      </c>
      <c r="DK1906" s="4" t="s">
        <v>241</v>
      </c>
      <c r="DL1906" s="4" t="s">
        <v>241</v>
      </c>
      <c r="DP1906" s="4" t="s">
        <v>241</v>
      </c>
      <c r="DQ1906" s="4" t="s">
        <v>241</v>
      </c>
      <c r="DR1906" s="4" t="s">
        <v>241</v>
      </c>
      <c r="DS1906" s="4" t="s">
        <v>241</v>
      </c>
      <c r="DV1906" s="4" t="s">
        <v>278</v>
      </c>
      <c r="DW1906" s="4" t="s">
        <v>1108</v>
      </c>
      <c r="HO1906" s="4" t="s">
        <v>267</v>
      </c>
    </row>
    <row r="1907" spans="1:223" ht="19.5" customHeight="1" x14ac:dyDescent="0.4">
      <c r="A1907" s="4">
        <v>1</v>
      </c>
      <c r="B1907" s="4" t="s">
        <v>239</v>
      </c>
      <c r="C1907" s="4">
        <v>3607</v>
      </c>
      <c r="D1907" s="4">
        <v>1</v>
      </c>
      <c r="E1907" s="4">
        <v>1</v>
      </c>
      <c r="F1907" s="4" t="s">
        <v>268</v>
      </c>
      <c r="G1907" s="4" t="s">
        <v>241</v>
      </c>
      <c r="H1907" s="4" t="s">
        <v>241</v>
      </c>
      <c r="I1907" s="4" t="s">
        <v>272</v>
      </c>
      <c r="J1907" s="4" t="s">
        <v>274</v>
      </c>
      <c r="K1907" s="4" t="s">
        <v>251</v>
      </c>
      <c r="L1907" s="4" t="s">
        <v>303</v>
      </c>
      <c r="M1907" s="5" t="s">
        <v>305</v>
      </c>
      <c r="N1907" s="6">
        <f>0</f>
        <v>0</v>
      </c>
      <c r="O1907" s="4" t="s">
        <v>265</v>
      </c>
      <c r="P1907" s="6">
        <f>396000</f>
        <v>396000</v>
      </c>
      <c r="Q1907" s="6">
        <f>0</f>
        <v>0</v>
      </c>
      <c r="S1907" s="6">
        <f>0</f>
        <v>0</v>
      </c>
      <c r="T1907" s="6">
        <f>396000</f>
        <v>396000</v>
      </c>
      <c r="U1907" s="5" t="s">
        <v>304</v>
      </c>
      <c r="V1907" s="4" t="s">
        <v>270</v>
      </c>
      <c r="W1907" s="4" t="s">
        <v>242</v>
      </c>
      <c r="X1907" s="4" t="s">
        <v>241</v>
      </c>
      <c r="Y1907" s="4" t="s">
        <v>241</v>
      </c>
      <c r="AB1907" s="4" t="s">
        <v>241</v>
      </c>
      <c r="AD1907" s="5" t="s">
        <v>241</v>
      </c>
      <c r="AG1907" s="5" t="s">
        <v>246</v>
      </c>
      <c r="AH1907" s="4" t="s">
        <v>241</v>
      </c>
      <c r="AI1907" s="4" t="s">
        <v>247</v>
      </c>
      <c r="AJ1907" s="4" t="s">
        <v>248</v>
      </c>
      <c r="AZ1907" s="4" t="s">
        <v>249</v>
      </c>
      <c r="BA1907" s="4" t="s">
        <v>241</v>
      </c>
      <c r="BB1907" s="4" t="s">
        <v>250</v>
      </c>
      <c r="BC1907" s="4" t="s">
        <v>241</v>
      </c>
      <c r="BD1907" s="4" t="s">
        <v>252</v>
      </c>
      <c r="BE1907" s="4" t="s">
        <v>241</v>
      </c>
      <c r="BI1907" s="4" t="s">
        <v>253</v>
      </c>
      <c r="BJ1907" s="5" t="s">
        <v>304</v>
      </c>
      <c r="BK1907" s="4" t="s">
        <v>254</v>
      </c>
      <c r="BL1907" s="4" t="s">
        <v>306</v>
      </c>
      <c r="BM1907" s="4" t="s">
        <v>241</v>
      </c>
      <c r="BN1907" s="6">
        <f>0</f>
        <v>0</v>
      </c>
      <c r="BO1907" s="6">
        <f>0</f>
        <v>0</v>
      </c>
      <c r="BP1907" s="4" t="s">
        <v>256</v>
      </c>
      <c r="BQ1907" s="4" t="s">
        <v>257</v>
      </c>
      <c r="CE1907" s="4" t="s">
        <v>241</v>
      </c>
      <c r="CF1907" s="4" t="s">
        <v>241</v>
      </c>
      <c r="CJ1907" s="4" t="s">
        <v>286</v>
      </c>
      <c r="CK1907" s="4" t="s">
        <v>259</v>
      </c>
      <c r="CL1907" s="4" t="s">
        <v>241</v>
      </c>
      <c r="CO1907" s="5" t="s">
        <v>260</v>
      </c>
      <c r="CP1907" s="4" t="s">
        <v>241</v>
      </c>
      <c r="CQ1907" s="4" t="s">
        <v>261</v>
      </c>
      <c r="CR1907" s="4" t="s">
        <v>241</v>
      </c>
      <c r="CS1907" s="4" t="s">
        <v>241</v>
      </c>
      <c r="CT1907" s="4">
        <v>0</v>
      </c>
      <c r="CU1907" s="4" t="s">
        <v>262</v>
      </c>
      <c r="CV1907" s="4" t="s">
        <v>263</v>
      </c>
      <c r="CW1907" s="4" t="s">
        <v>263</v>
      </c>
      <c r="CX1907" s="4" t="s">
        <v>264</v>
      </c>
      <c r="DA1907" s="6">
        <f>396000</f>
        <v>396000</v>
      </c>
      <c r="DC1907" s="4" t="s">
        <v>287</v>
      </c>
      <c r="DD1907" s="4" t="s">
        <v>241</v>
      </c>
      <c r="DF1907" s="4" t="s">
        <v>287</v>
      </c>
      <c r="DG1907" s="6">
        <f>0</f>
        <v>0</v>
      </c>
      <c r="DI1907" s="4" t="s">
        <v>241</v>
      </c>
      <c r="DJ1907" s="4" t="s">
        <v>241</v>
      </c>
      <c r="DK1907" s="4" t="s">
        <v>241</v>
      </c>
      <c r="DL1907" s="4" t="s">
        <v>241</v>
      </c>
      <c r="DP1907" s="4" t="s">
        <v>241</v>
      </c>
      <c r="DQ1907" s="4" t="s">
        <v>241</v>
      </c>
      <c r="DR1907" s="4" t="s">
        <v>241</v>
      </c>
      <c r="DS1907" s="4" t="s">
        <v>241</v>
      </c>
      <c r="DV1907" s="4" t="s">
        <v>278</v>
      </c>
      <c r="DW1907" s="4" t="s">
        <v>307</v>
      </c>
      <c r="HO1907" s="4" t="s">
        <v>267</v>
      </c>
    </row>
    <row r="1908" spans="1:223" ht="19.5" customHeight="1" x14ac:dyDescent="0.4">
      <c r="A1908" s="4">
        <v>1</v>
      </c>
      <c r="B1908" s="4" t="s">
        <v>239</v>
      </c>
      <c r="C1908" s="4">
        <v>3608</v>
      </c>
      <c r="D1908" s="4">
        <v>1</v>
      </c>
      <c r="E1908" s="4">
        <v>1</v>
      </c>
      <c r="F1908" s="4" t="s">
        <v>268</v>
      </c>
      <c r="G1908" s="4" t="s">
        <v>241</v>
      </c>
      <c r="H1908" s="4" t="s">
        <v>241</v>
      </c>
      <c r="I1908" s="4" t="s">
        <v>272</v>
      </c>
      <c r="J1908" s="4" t="s">
        <v>274</v>
      </c>
      <c r="K1908" s="4" t="s">
        <v>251</v>
      </c>
      <c r="L1908" s="4" t="s">
        <v>1077</v>
      </c>
      <c r="M1908" s="5" t="s">
        <v>1079</v>
      </c>
      <c r="N1908" s="6">
        <f>0</f>
        <v>0</v>
      </c>
      <c r="O1908" s="4" t="s">
        <v>265</v>
      </c>
      <c r="P1908" s="6">
        <f>9558000</f>
        <v>9558000</v>
      </c>
      <c r="Q1908" s="6">
        <f>0</f>
        <v>0</v>
      </c>
      <c r="S1908" s="6">
        <f>0</f>
        <v>0</v>
      </c>
      <c r="T1908" s="6">
        <f>9558000</f>
        <v>9558000</v>
      </c>
      <c r="U1908" s="5" t="s">
        <v>1078</v>
      </c>
      <c r="V1908" s="4" t="s">
        <v>270</v>
      </c>
      <c r="W1908" s="4" t="s">
        <v>242</v>
      </c>
      <c r="X1908" s="4" t="s">
        <v>241</v>
      </c>
      <c r="Y1908" s="4" t="s">
        <v>241</v>
      </c>
      <c r="AB1908" s="4" t="s">
        <v>241</v>
      </c>
      <c r="AD1908" s="5" t="s">
        <v>241</v>
      </c>
      <c r="AG1908" s="5" t="s">
        <v>246</v>
      </c>
      <c r="AH1908" s="4" t="s">
        <v>241</v>
      </c>
      <c r="AI1908" s="4" t="s">
        <v>247</v>
      </c>
      <c r="AJ1908" s="4" t="s">
        <v>248</v>
      </c>
      <c r="AZ1908" s="4" t="s">
        <v>249</v>
      </c>
      <c r="BA1908" s="4" t="s">
        <v>241</v>
      </c>
      <c r="BB1908" s="4" t="s">
        <v>250</v>
      </c>
      <c r="BC1908" s="4" t="s">
        <v>241</v>
      </c>
      <c r="BD1908" s="4" t="s">
        <v>252</v>
      </c>
      <c r="BE1908" s="4" t="s">
        <v>241</v>
      </c>
      <c r="BI1908" s="4" t="s">
        <v>253</v>
      </c>
      <c r="BJ1908" s="5" t="s">
        <v>1078</v>
      </c>
      <c r="BK1908" s="4" t="s">
        <v>254</v>
      </c>
      <c r="BL1908" s="4" t="s">
        <v>306</v>
      </c>
      <c r="BM1908" s="4" t="s">
        <v>241</v>
      </c>
      <c r="BN1908" s="6">
        <f>0</f>
        <v>0</v>
      </c>
      <c r="BO1908" s="6">
        <f>0</f>
        <v>0</v>
      </c>
      <c r="BP1908" s="4" t="s">
        <v>256</v>
      </c>
      <c r="BQ1908" s="4" t="s">
        <v>257</v>
      </c>
      <c r="CE1908" s="4" t="s">
        <v>241</v>
      </c>
      <c r="CF1908" s="4" t="s">
        <v>241</v>
      </c>
      <c r="CJ1908" s="4" t="s">
        <v>286</v>
      </c>
      <c r="CK1908" s="4" t="s">
        <v>259</v>
      </c>
      <c r="CL1908" s="4" t="s">
        <v>241</v>
      </c>
      <c r="CO1908" s="5" t="s">
        <v>260</v>
      </c>
      <c r="CP1908" s="4" t="s">
        <v>241</v>
      </c>
      <c r="CQ1908" s="4" t="s">
        <v>261</v>
      </c>
      <c r="CR1908" s="4" t="s">
        <v>241</v>
      </c>
      <c r="CS1908" s="4" t="s">
        <v>241</v>
      </c>
      <c r="CT1908" s="4">
        <v>0</v>
      </c>
      <c r="CU1908" s="4" t="s">
        <v>262</v>
      </c>
      <c r="CV1908" s="4" t="s">
        <v>263</v>
      </c>
      <c r="CW1908" s="4" t="s">
        <v>263</v>
      </c>
      <c r="CX1908" s="4" t="s">
        <v>264</v>
      </c>
      <c r="DA1908" s="6">
        <f>9558000</f>
        <v>9558000</v>
      </c>
      <c r="DC1908" s="4" t="s">
        <v>287</v>
      </c>
      <c r="DD1908" s="4" t="s">
        <v>241</v>
      </c>
      <c r="DF1908" s="4" t="s">
        <v>287</v>
      </c>
      <c r="DG1908" s="6">
        <f>0</f>
        <v>0</v>
      </c>
      <c r="DI1908" s="4" t="s">
        <v>241</v>
      </c>
      <c r="DJ1908" s="4" t="s">
        <v>241</v>
      </c>
      <c r="DK1908" s="4" t="s">
        <v>241</v>
      </c>
      <c r="DL1908" s="4" t="s">
        <v>241</v>
      </c>
      <c r="DP1908" s="4" t="s">
        <v>241</v>
      </c>
      <c r="DQ1908" s="4" t="s">
        <v>241</v>
      </c>
      <c r="DR1908" s="4" t="s">
        <v>241</v>
      </c>
      <c r="DS1908" s="4" t="s">
        <v>241</v>
      </c>
      <c r="DV1908" s="4" t="s">
        <v>278</v>
      </c>
      <c r="DW1908" s="4" t="s">
        <v>1080</v>
      </c>
      <c r="HO1908" s="4" t="s">
        <v>267</v>
      </c>
    </row>
    <row r="1909" spans="1:223" ht="19.5" customHeight="1" x14ac:dyDescent="0.4">
      <c r="A1909" s="4">
        <v>1</v>
      </c>
      <c r="B1909" s="4" t="s">
        <v>239</v>
      </c>
      <c r="C1909" s="4">
        <v>3609</v>
      </c>
      <c r="D1909" s="4">
        <v>1</v>
      </c>
      <c r="E1909" s="4">
        <v>1</v>
      </c>
      <c r="F1909" s="4" t="s">
        <v>268</v>
      </c>
      <c r="G1909" s="4" t="s">
        <v>241</v>
      </c>
      <c r="H1909" s="4" t="s">
        <v>241</v>
      </c>
      <c r="I1909" s="4" t="s">
        <v>272</v>
      </c>
      <c r="J1909" s="4" t="s">
        <v>274</v>
      </c>
      <c r="K1909" s="4" t="s">
        <v>251</v>
      </c>
      <c r="L1909" s="4" t="s">
        <v>1198</v>
      </c>
      <c r="M1909" s="5" t="s">
        <v>1079</v>
      </c>
      <c r="N1909" s="6">
        <f>1202.49</f>
        <v>1202.49</v>
      </c>
      <c r="O1909" s="4" t="s">
        <v>265</v>
      </c>
      <c r="P1909" s="6">
        <f>3157808</f>
        <v>3157808</v>
      </c>
      <c r="Q1909" s="6">
        <f>0</f>
        <v>0</v>
      </c>
      <c r="S1909" s="6">
        <f>0</f>
        <v>0</v>
      </c>
      <c r="T1909" s="6">
        <f>3157808</f>
        <v>3157808</v>
      </c>
      <c r="U1909" s="5" t="s">
        <v>1078</v>
      </c>
      <c r="V1909" s="4" t="s">
        <v>270</v>
      </c>
      <c r="W1909" s="4" t="s">
        <v>242</v>
      </c>
      <c r="X1909" s="4" t="s">
        <v>241</v>
      </c>
      <c r="Y1909" s="4" t="s">
        <v>241</v>
      </c>
      <c r="AB1909" s="4" t="s">
        <v>241</v>
      </c>
      <c r="AD1909" s="5" t="s">
        <v>241</v>
      </c>
      <c r="AG1909" s="5" t="s">
        <v>246</v>
      </c>
      <c r="AH1909" s="4" t="s">
        <v>241</v>
      </c>
      <c r="AI1909" s="4" t="s">
        <v>247</v>
      </c>
      <c r="AJ1909" s="4" t="s">
        <v>248</v>
      </c>
      <c r="AZ1909" s="4" t="s">
        <v>249</v>
      </c>
      <c r="BA1909" s="4" t="s">
        <v>241</v>
      </c>
      <c r="BB1909" s="4" t="s">
        <v>250</v>
      </c>
      <c r="BC1909" s="4" t="s">
        <v>241</v>
      </c>
      <c r="BD1909" s="4" t="s">
        <v>252</v>
      </c>
      <c r="BE1909" s="4" t="s">
        <v>241</v>
      </c>
      <c r="BI1909" s="4" t="s">
        <v>253</v>
      </c>
      <c r="BJ1909" s="5" t="s">
        <v>1078</v>
      </c>
      <c r="BK1909" s="4" t="s">
        <v>254</v>
      </c>
      <c r="BL1909" s="4" t="s">
        <v>306</v>
      </c>
      <c r="BM1909" s="4" t="s">
        <v>241</v>
      </c>
      <c r="BN1909" s="6">
        <f>0</f>
        <v>0</v>
      </c>
      <c r="BO1909" s="6">
        <f>0</f>
        <v>0</v>
      </c>
      <c r="BP1909" s="4" t="s">
        <v>256</v>
      </c>
      <c r="BQ1909" s="4" t="s">
        <v>257</v>
      </c>
      <c r="CE1909" s="4" t="s">
        <v>241</v>
      </c>
      <c r="CF1909" s="4" t="s">
        <v>241</v>
      </c>
      <c r="CJ1909" s="4" t="s">
        <v>286</v>
      </c>
      <c r="CK1909" s="4" t="s">
        <v>259</v>
      </c>
      <c r="CL1909" s="4" t="s">
        <v>241</v>
      </c>
      <c r="CO1909" s="5" t="s">
        <v>260</v>
      </c>
      <c r="CP1909" s="4" t="s">
        <v>241</v>
      </c>
      <c r="CQ1909" s="4" t="s">
        <v>261</v>
      </c>
      <c r="CR1909" s="4" t="s">
        <v>241</v>
      </c>
      <c r="CS1909" s="4" t="s">
        <v>241</v>
      </c>
      <c r="CT1909" s="4">
        <v>0</v>
      </c>
      <c r="CU1909" s="4" t="s">
        <v>262</v>
      </c>
      <c r="CV1909" s="4" t="s">
        <v>263</v>
      </c>
      <c r="CW1909" s="4" t="s">
        <v>263</v>
      </c>
      <c r="CX1909" s="4" t="s">
        <v>264</v>
      </c>
      <c r="DA1909" s="6">
        <f>3157808</f>
        <v>3157808</v>
      </c>
      <c r="DC1909" s="4" t="s">
        <v>287</v>
      </c>
      <c r="DD1909" s="4" t="s">
        <v>241</v>
      </c>
      <c r="DF1909" s="4" t="s">
        <v>287</v>
      </c>
      <c r="DG1909" s="6">
        <f>0</f>
        <v>0</v>
      </c>
      <c r="DI1909" s="4" t="s">
        <v>241</v>
      </c>
      <c r="DJ1909" s="4" t="s">
        <v>241</v>
      </c>
      <c r="DK1909" s="4" t="s">
        <v>241</v>
      </c>
      <c r="DL1909" s="4" t="s">
        <v>241</v>
      </c>
      <c r="DP1909" s="4" t="s">
        <v>241</v>
      </c>
      <c r="DQ1909" s="4" t="s">
        <v>241</v>
      </c>
      <c r="DR1909" s="4" t="s">
        <v>241</v>
      </c>
      <c r="DS1909" s="4" t="s">
        <v>241</v>
      </c>
      <c r="DV1909" s="4" t="s">
        <v>278</v>
      </c>
      <c r="DW1909" s="4" t="s">
        <v>1199</v>
      </c>
      <c r="HO1909" s="4" t="s">
        <v>267</v>
      </c>
    </row>
    <row r="1910" spans="1:223" ht="19.5" customHeight="1" x14ac:dyDescent="0.4">
      <c r="A1910" s="4">
        <v>1</v>
      </c>
      <c r="B1910" s="4" t="s">
        <v>239</v>
      </c>
      <c r="C1910" s="4">
        <v>3610</v>
      </c>
      <c r="D1910" s="4">
        <v>1</v>
      </c>
      <c r="E1910" s="4">
        <v>1</v>
      </c>
      <c r="F1910" s="4" t="s">
        <v>268</v>
      </c>
      <c r="G1910" s="4" t="s">
        <v>241</v>
      </c>
      <c r="H1910" s="4" t="s">
        <v>241</v>
      </c>
      <c r="I1910" s="4" t="s">
        <v>272</v>
      </c>
      <c r="J1910" s="4" t="s">
        <v>274</v>
      </c>
      <c r="K1910" s="4" t="s">
        <v>251</v>
      </c>
      <c r="L1910" s="4" t="s">
        <v>1427</v>
      </c>
      <c r="M1910" s="5" t="s">
        <v>1079</v>
      </c>
      <c r="N1910" s="6">
        <f>0</f>
        <v>0</v>
      </c>
      <c r="O1910" s="4" t="s">
        <v>265</v>
      </c>
      <c r="P1910" s="6">
        <f>2076374</f>
        <v>2076374</v>
      </c>
      <c r="Q1910" s="6">
        <f>0</f>
        <v>0</v>
      </c>
      <c r="S1910" s="6">
        <f>0</f>
        <v>0</v>
      </c>
      <c r="T1910" s="6">
        <f>2076374</f>
        <v>2076374</v>
      </c>
      <c r="U1910" s="5" t="s">
        <v>1078</v>
      </c>
      <c r="V1910" s="4" t="s">
        <v>270</v>
      </c>
      <c r="W1910" s="4" t="s">
        <v>242</v>
      </c>
      <c r="X1910" s="4" t="s">
        <v>241</v>
      </c>
      <c r="Y1910" s="4" t="s">
        <v>241</v>
      </c>
      <c r="AB1910" s="4" t="s">
        <v>241</v>
      </c>
      <c r="AD1910" s="5" t="s">
        <v>241</v>
      </c>
      <c r="AG1910" s="5" t="s">
        <v>246</v>
      </c>
      <c r="AH1910" s="4" t="s">
        <v>241</v>
      </c>
      <c r="AI1910" s="4" t="s">
        <v>247</v>
      </c>
      <c r="AJ1910" s="4" t="s">
        <v>248</v>
      </c>
      <c r="AZ1910" s="4" t="s">
        <v>249</v>
      </c>
      <c r="BA1910" s="4" t="s">
        <v>241</v>
      </c>
      <c r="BB1910" s="4" t="s">
        <v>250</v>
      </c>
      <c r="BC1910" s="4" t="s">
        <v>241</v>
      </c>
      <c r="BD1910" s="4" t="s">
        <v>252</v>
      </c>
      <c r="BE1910" s="4" t="s">
        <v>241</v>
      </c>
      <c r="BI1910" s="4" t="s">
        <v>253</v>
      </c>
      <c r="BJ1910" s="5" t="s">
        <v>1078</v>
      </c>
      <c r="BK1910" s="4" t="s">
        <v>254</v>
      </c>
      <c r="BL1910" s="4" t="s">
        <v>306</v>
      </c>
      <c r="BM1910" s="4" t="s">
        <v>241</v>
      </c>
      <c r="BN1910" s="6">
        <f>0</f>
        <v>0</v>
      </c>
      <c r="BO1910" s="6">
        <f>0</f>
        <v>0</v>
      </c>
      <c r="BP1910" s="4" t="s">
        <v>256</v>
      </c>
      <c r="BQ1910" s="4" t="s">
        <v>257</v>
      </c>
      <c r="CE1910" s="4" t="s">
        <v>241</v>
      </c>
      <c r="CF1910" s="4" t="s">
        <v>241</v>
      </c>
      <c r="CJ1910" s="4" t="s">
        <v>286</v>
      </c>
      <c r="CK1910" s="4" t="s">
        <v>259</v>
      </c>
      <c r="CL1910" s="4" t="s">
        <v>241</v>
      </c>
      <c r="CO1910" s="5" t="s">
        <v>260</v>
      </c>
      <c r="CP1910" s="4" t="s">
        <v>241</v>
      </c>
      <c r="CQ1910" s="4" t="s">
        <v>261</v>
      </c>
      <c r="CR1910" s="4" t="s">
        <v>241</v>
      </c>
      <c r="CS1910" s="4" t="s">
        <v>241</v>
      </c>
      <c r="CT1910" s="4">
        <v>0</v>
      </c>
      <c r="CU1910" s="4" t="s">
        <v>262</v>
      </c>
      <c r="CV1910" s="4" t="s">
        <v>263</v>
      </c>
      <c r="CW1910" s="4" t="s">
        <v>263</v>
      </c>
      <c r="CX1910" s="4" t="s">
        <v>264</v>
      </c>
      <c r="DA1910" s="6">
        <f>2076374</f>
        <v>2076374</v>
      </c>
      <c r="DC1910" s="4" t="s">
        <v>287</v>
      </c>
      <c r="DD1910" s="4" t="s">
        <v>241</v>
      </c>
      <c r="DF1910" s="4" t="s">
        <v>287</v>
      </c>
      <c r="DG1910" s="6">
        <f>0</f>
        <v>0</v>
      </c>
      <c r="DI1910" s="4" t="s">
        <v>241</v>
      </c>
      <c r="DJ1910" s="4" t="s">
        <v>241</v>
      </c>
      <c r="DK1910" s="4" t="s">
        <v>241</v>
      </c>
      <c r="DL1910" s="4" t="s">
        <v>241</v>
      </c>
      <c r="DP1910" s="4" t="s">
        <v>241</v>
      </c>
      <c r="DQ1910" s="4" t="s">
        <v>241</v>
      </c>
      <c r="DR1910" s="4" t="s">
        <v>241</v>
      </c>
      <c r="DS1910" s="4" t="s">
        <v>241</v>
      </c>
      <c r="DV1910" s="4" t="s">
        <v>278</v>
      </c>
      <c r="DW1910" s="4" t="s">
        <v>1428</v>
      </c>
      <c r="HO1910" s="4" t="s">
        <v>267</v>
      </c>
    </row>
    <row r="1911" spans="1:223" ht="19.5" customHeight="1" x14ac:dyDescent="0.4">
      <c r="A1911" s="4">
        <v>1</v>
      </c>
      <c r="B1911" s="4" t="s">
        <v>239</v>
      </c>
      <c r="C1911" s="4">
        <v>3611</v>
      </c>
      <c r="D1911" s="4">
        <v>1</v>
      </c>
      <c r="E1911" s="4">
        <v>1</v>
      </c>
      <c r="F1911" s="4" t="s">
        <v>268</v>
      </c>
      <c r="G1911" s="4" t="s">
        <v>241</v>
      </c>
      <c r="H1911" s="4" t="s">
        <v>241</v>
      </c>
      <c r="I1911" s="4" t="s">
        <v>272</v>
      </c>
      <c r="J1911" s="4" t="s">
        <v>274</v>
      </c>
      <c r="K1911" s="4" t="s">
        <v>251</v>
      </c>
      <c r="L1911" s="4" t="s">
        <v>1440</v>
      </c>
      <c r="M1911" s="5" t="s">
        <v>339</v>
      </c>
      <c r="N1911" s="6">
        <f>0</f>
        <v>0</v>
      </c>
      <c r="O1911" s="4" t="s">
        <v>265</v>
      </c>
      <c r="P1911" s="6">
        <f>1988800</f>
        <v>1988800</v>
      </c>
      <c r="Q1911" s="6">
        <f>0</f>
        <v>0</v>
      </c>
      <c r="S1911" s="6">
        <f>0</f>
        <v>0</v>
      </c>
      <c r="T1911" s="6">
        <f>1988800</f>
        <v>1988800</v>
      </c>
      <c r="U1911" s="5" t="s">
        <v>1441</v>
      </c>
      <c r="V1911" s="4" t="s">
        <v>270</v>
      </c>
      <c r="W1911" s="4" t="s">
        <v>242</v>
      </c>
      <c r="X1911" s="4" t="s">
        <v>241</v>
      </c>
      <c r="Y1911" s="4" t="s">
        <v>241</v>
      </c>
      <c r="AB1911" s="4" t="s">
        <v>241</v>
      </c>
      <c r="AD1911" s="5" t="s">
        <v>241</v>
      </c>
      <c r="AG1911" s="5" t="s">
        <v>246</v>
      </c>
      <c r="AH1911" s="4" t="s">
        <v>241</v>
      </c>
      <c r="AI1911" s="4" t="s">
        <v>247</v>
      </c>
      <c r="AJ1911" s="4" t="s">
        <v>248</v>
      </c>
      <c r="AZ1911" s="4" t="s">
        <v>249</v>
      </c>
      <c r="BA1911" s="4" t="s">
        <v>241</v>
      </c>
      <c r="BB1911" s="4" t="s">
        <v>250</v>
      </c>
      <c r="BC1911" s="4" t="s">
        <v>241</v>
      </c>
      <c r="BD1911" s="4" t="s">
        <v>252</v>
      </c>
      <c r="BE1911" s="4" t="s">
        <v>241</v>
      </c>
      <c r="BI1911" s="4" t="s">
        <v>253</v>
      </c>
      <c r="BJ1911" s="5" t="s">
        <v>1441</v>
      </c>
      <c r="BK1911" s="4" t="s">
        <v>254</v>
      </c>
      <c r="BL1911" s="4" t="s">
        <v>306</v>
      </c>
      <c r="BM1911" s="4" t="s">
        <v>241</v>
      </c>
      <c r="BN1911" s="6">
        <f>0</f>
        <v>0</v>
      </c>
      <c r="BO1911" s="6">
        <f>0</f>
        <v>0</v>
      </c>
      <c r="BP1911" s="4" t="s">
        <v>256</v>
      </c>
      <c r="BQ1911" s="4" t="s">
        <v>257</v>
      </c>
      <c r="CE1911" s="4" t="s">
        <v>241</v>
      </c>
      <c r="CF1911" s="4" t="s">
        <v>241</v>
      </c>
      <c r="CJ1911" s="4" t="s">
        <v>286</v>
      </c>
      <c r="CK1911" s="4" t="s">
        <v>259</v>
      </c>
      <c r="CL1911" s="4" t="s">
        <v>241</v>
      </c>
      <c r="CO1911" s="5" t="s">
        <v>260</v>
      </c>
      <c r="CP1911" s="4" t="s">
        <v>241</v>
      </c>
      <c r="CQ1911" s="4" t="s">
        <v>261</v>
      </c>
      <c r="CR1911" s="4" t="s">
        <v>241</v>
      </c>
      <c r="CS1911" s="4" t="s">
        <v>241</v>
      </c>
      <c r="CT1911" s="4">
        <v>0</v>
      </c>
      <c r="CU1911" s="4" t="s">
        <v>262</v>
      </c>
      <c r="CV1911" s="4" t="s">
        <v>263</v>
      </c>
      <c r="CW1911" s="4" t="s">
        <v>263</v>
      </c>
      <c r="CX1911" s="4" t="s">
        <v>264</v>
      </c>
      <c r="DA1911" s="6">
        <f>1988800</f>
        <v>1988800</v>
      </c>
      <c r="DC1911" s="4" t="s">
        <v>287</v>
      </c>
      <c r="DD1911" s="4" t="s">
        <v>241</v>
      </c>
      <c r="DF1911" s="4" t="s">
        <v>287</v>
      </c>
      <c r="DG1911" s="6">
        <f>0</f>
        <v>0</v>
      </c>
      <c r="DI1911" s="4" t="s">
        <v>241</v>
      </c>
      <c r="DJ1911" s="4" t="s">
        <v>241</v>
      </c>
      <c r="DK1911" s="4" t="s">
        <v>241</v>
      </c>
      <c r="DL1911" s="4" t="s">
        <v>241</v>
      </c>
      <c r="DP1911" s="4" t="s">
        <v>241</v>
      </c>
      <c r="DQ1911" s="4" t="s">
        <v>241</v>
      </c>
      <c r="DR1911" s="4" t="s">
        <v>241</v>
      </c>
      <c r="DS1911" s="4" t="s">
        <v>241</v>
      </c>
      <c r="DV1911" s="4" t="s">
        <v>278</v>
      </c>
      <c r="DW1911" s="4" t="s">
        <v>1442</v>
      </c>
      <c r="HO1911" s="4" t="s">
        <v>267</v>
      </c>
    </row>
    <row r="1912" spans="1:223" ht="19.5" customHeight="1" x14ac:dyDescent="0.4">
      <c r="A1912" s="4">
        <v>1</v>
      </c>
      <c r="B1912" s="4" t="s">
        <v>239</v>
      </c>
      <c r="C1912" s="4">
        <v>3612</v>
      </c>
      <c r="D1912" s="4">
        <v>1</v>
      </c>
      <c r="E1912" s="4">
        <v>1</v>
      </c>
      <c r="F1912" s="4" t="s">
        <v>268</v>
      </c>
      <c r="G1912" s="4" t="s">
        <v>241</v>
      </c>
      <c r="H1912" s="4" t="s">
        <v>241</v>
      </c>
      <c r="I1912" s="4" t="s">
        <v>272</v>
      </c>
      <c r="J1912" s="4" t="s">
        <v>274</v>
      </c>
      <c r="K1912" s="4" t="s">
        <v>251</v>
      </c>
      <c r="L1912" s="4" t="s">
        <v>1024</v>
      </c>
      <c r="M1912" s="5" t="s">
        <v>1026</v>
      </c>
      <c r="N1912" s="6">
        <f>1226.49</f>
        <v>1226.49</v>
      </c>
      <c r="O1912" s="4" t="s">
        <v>265</v>
      </c>
      <c r="P1912" s="6">
        <f>2452980</f>
        <v>2452980</v>
      </c>
      <c r="Q1912" s="6">
        <f>0</f>
        <v>0</v>
      </c>
      <c r="S1912" s="6">
        <f>0</f>
        <v>0</v>
      </c>
      <c r="T1912" s="6">
        <f>2452980</f>
        <v>2452980</v>
      </c>
      <c r="U1912" s="5" t="s">
        <v>1025</v>
      </c>
      <c r="V1912" s="4" t="s">
        <v>270</v>
      </c>
      <c r="W1912" s="4" t="s">
        <v>242</v>
      </c>
      <c r="X1912" s="4" t="s">
        <v>241</v>
      </c>
      <c r="Y1912" s="4" t="s">
        <v>241</v>
      </c>
      <c r="AB1912" s="4" t="s">
        <v>241</v>
      </c>
      <c r="AD1912" s="5" t="s">
        <v>241</v>
      </c>
      <c r="AG1912" s="5" t="s">
        <v>246</v>
      </c>
      <c r="AH1912" s="4" t="s">
        <v>241</v>
      </c>
      <c r="AI1912" s="4" t="s">
        <v>247</v>
      </c>
      <c r="AJ1912" s="4" t="s">
        <v>248</v>
      </c>
      <c r="AZ1912" s="4" t="s">
        <v>249</v>
      </c>
      <c r="BA1912" s="4" t="s">
        <v>241</v>
      </c>
      <c r="BB1912" s="4" t="s">
        <v>250</v>
      </c>
      <c r="BC1912" s="4" t="s">
        <v>241</v>
      </c>
      <c r="BD1912" s="4" t="s">
        <v>252</v>
      </c>
      <c r="BE1912" s="4" t="s">
        <v>241</v>
      </c>
      <c r="BI1912" s="4" t="s">
        <v>253</v>
      </c>
      <c r="BJ1912" s="5" t="s">
        <v>1025</v>
      </c>
      <c r="BK1912" s="4" t="s">
        <v>254</v>
      </c>
      <c r="BL1912" s="4" t="s">
        <v>285</v>
      </c>
      <c r="BM1912" s="4" t="s">
        <v>241</v>
      </c>
      <c r="BN1912" s="6">
        <f>0</f>
        <v>0</v>
      </c>
      <c r="BO1912" s="6">
        <f>0</f>
        <v>0</v>
      </c>
      <c r="BP1912" s="4" t="s">
        <v>256</v>
      </c>
      <c r="BQ1912" s="4" t="s">
        <v>257</v>
      </c>
      <c r="CE1912" s="4" t="s">
        <v>241</v>
      </c>
      <c r="CF1912" s="4" t="s">
        <v>241</v>
      </c>
      <c r="CJ1912" s="4" t="s">
        <v>286</v>
      </c>
      <c r="CK1912" s="4" t="s">
        <v>259</v>
      </c>
      <c r="CL1912" s="4" t="s">
        <v>241</v>
      </c>
      <c r="CO1912" s="5" t="s">
        <v>260</v>
      </c>
      <c r="CP1912" s="4" t="s">
        <v>241</v>
      </c>
      <c r="CQ1912" s="4" t="s">
        <v>261</v>
      </c>
      <c r="CR1912" s="4" t="s">
        <v>241</v>
      </c>
      <c r="CS1912" s="4" t="s">
        <v>241</v>
      </c>
      <c r="CT1912" s="4">
        <v>0</v>
      </c>
      <c r="CU1912" s="4" t="s">
        <v>262</v>
      </c>
      <c r="CV1912" s="4" t="s">
        <v>263</v>
      </c>
      <c r="CW1912" s="4" t="s">
        <v>263</v>
      </c>
      <c r="CX1912" s="4" t="s">
        <v>264</v>
      </c>
      <c r="DA1912" s="6">
        <f>2452980</f>
        <v>2452980</v>
      </c>
      <c r="DC1912" s="4" t="s">
        <v>287</v>
      </c>
      <c r="DD1912" s="4" t="s">
        <v>241</v>
      </c>
      <c r="DF1912" s="4" t="s">
        <v>287</v>
      </c>
      <c r="DG1912" s="6">
        <f>0</f>
        <v>0</v>
      </c>
      <c r="DI1912" s="4" t="s">
        <v>241</v>
      </c>
      <c r="DJ1912" s="4" t="s">
        <v>241</v>
      </c>
      <c r="DK1912" s="4" t="s">
        <v>241</v>
      </c>
      <c r="DL1912" s="4" t="s">
        <v>241</v>
      </c>
      <c r="DP1912" s="4" t="s">
        <v>241</v>
      </c>
      <c r="DQ1912" s="4" t="s">
        <v>241</v>
      </c>
      <c r="DR1912" s="4" t="s">
        <v>241</v>
      </c>
      <c r="DS1912" s="4" t="s">
        <v>241</v>
      </c>
      <c r="DV1912" s="4" t="s">
        <v>278</v>
      </c>
      <c r="DW1912" s="4" t="s">
        <v>1027</v>
      </c>
      <c r="HO1912" s="4" t="s">
        <v>267</v>
      </c>
    </row>
    <row r="1913" spans="1:223" ht="19.5" customHeight="1" x14ac:dyDescent="0.4">
      <c r="A1913" s="4">
        <v>1</v>
      </c>
      <c r="B1913" s="4" t="s">
        <v>239</v>
      </c>
      <c r="C1913" s="4">
        <v>3613</v>
      </c>
      <c r="D1913" s="4">
        <v>1</v>
      </c>
      <c r="E1913" s="4">
        <v>1</v>
      </c>
      <c r="F1913" s="4" t="s">
        <v>268</v>
      </c>
      <c r="G1913" s="4" t="s">
        <v>241</v>
      </c>
      <c r="H1913" s="4" t="s">
        <v>241</v>
      </c>
      <c r="I1913" s="4" t="s">
        <v>272</v>
      </c>
      <c r="J1913" s="4" t="s">
        <v>274</v>
      </c>
      <c r="K1913" s="4" t="s">
        <v>251</v>
      </c>
      <c r="L1913" s="4" t="s">
        <v>1149</v>
      </c>
      <c r="M1913" s="5" t="s">
        <v>1151</v>
      </c>
      <c r="N1913" s="6">
        <f>89.4</f>
        <v>89.4</v>
      </c>
      <c r="O1913" s="4" t="s">
        <v>265</v>
      </c>
      <c r="P1913" s="6">
        <f>258819</f>
        <v>258819</v>
      </c>
      <c r="Q1913" s="6">
        <f>0</f>
        <v>0</v>
      </c>
      <c r="S1913" s="6">
        <f>0</f>
        <v>0</v>
      </c>
      <c r="T1913" s="6">
        <f>258819</f>
        <v>258819</v>
      </c>
      <c r="U1913" s="5" t="s">
        <v>1150</v>
      </c>
      <c r="V1913" s="4" t="s">
        <v>270</v>
      </c>
      <c r="W1913" s="4" t="s">
        <v>242</v>
      </c>
      <c r="X1913" s="4" t="s">
        <v>241</v>
      </c>
      <c r="Y1913" s="4" t="s">
        <v>241</v>
      </c>
      <c r="AB1913" s="4" t="s">
        <v>241</v>
      </c>
      <c r="AD1913" s="5" t="s">
        <v>241</v>
      </c>
      <c r="AG1913" s="5" t="s">
        <v>246</v>
      </c>
      <c r="AH1913" s="4" t="s">
        <v>241</v>
      </c>
      <c r="AI1913" s="4" t="s">
        <v>247</v>
      </c>
      <c r="AJ1913" s="4" t="s">
        <v>248</v>
      </c>
      <c r="AZ1913" s="4" t="s">
        <v>249</v>
      </c>
      <c r="BA1913" s="4" t="s">
        <v>241</v>
      </c>
      <c r="BB1913" s="4" t="s">
        <v>250</v>
      </c>
      <c r="BC1913" s="4" t="s">
        <v>241</v>
      </c>
      <c r="BD1913" s="4" t="s">
        <v>252</v>
      </c>
      <c r="BE1913" s="4" t="s">
        <v>241</v>
      </c>
      <c r="BI1913" s="4" t="s">
        <v>253</v>
      </c>
      <c r="BJ1913" s="5" t="s">
        <v>1150</v>
      </c>
      <c r="BK1913" s="4" t="s">
        <v>254</v>
      </c>
      <c r="BL1913" s="4" t="s">
        <v>285</v>
      </c>
      <c r="BM1913" s="4" t="s">
        <v>241</v>
      </c>
      <c r="BN1913" s="6">
        <f>0</f>
        <v>0</v>
      </c>
      <c r="BO1913" s="6">
        <f>0</f>
        <v>0</v>
      </c>
      <c r="BP1913" s="4" t="s">
        <v>256</v>
      </c>
      <c r="BQ1913" s="4" t="s">
        <v>257</v>
      </c>
      <c r="CE1913" s="4" t="s">
        <v>241</v>
      </c>
      <c r="CF1913" s="4" t="s">
        <v>241</v>
      </c>
      <c r="CJ1913" s="4" t="s">
        <v>286</v>
      </c>
      <c r="CK1913" s="4" t="s">
        <v>259</v>
      </c>
      <c r="CL1913" s="4" t="s">
        <v>241</v>
      </c>
      <c r="CO1913" s="5" t="s">
        <v>260</v>
      </c>
      <c r="CP1913" s="4" t="s">
        <v>241</v>
      </c>
      <c r="CQ1913" s="4" t="s">
        <v>261</v>
      </c>
      <c r="CR1913" s="4" t="s">
        <v>241</v>
      </c>
      <c r="CS1913" s="4" t="s">
        <v>241</v>
      </c>
      <c r="CT1913" s="4">
        <v>0</v>
      </c>
      <c r="CU1913" s="4" t="s">
        <v>262</v>
      </c>
      <c r="CV1913" s="4" t="s">
        <v>263</v>
      </c>
      <c r="CW1913" s="4" t="s">
        <v>263</v>
      </c>
      <c r="CX1913" s="4" t="s">
        <v>264</v>
      </c>
      <c r="DA1913" s="6">
        <f>258819</f>
        <v>258819</v>
      </c>
      <c r="DC1913" s="4" t="s">
        <v>287</v>
      </c>
      <c r="DD1913" s="4" t="s">
        <v>241</v>
      </c>
      <c r="DF1913" s="4" t="s">
        <v>287</v>
      </c>
      <c r="DG1913" s="6">
        <f>0</f>
        <v>0</v>
      </c>
      <c r="DI1913" s="4" t="s">
        <v>241</v>
      </c>
      <c r="DJ1913" s="4" t="s">
        <v>241</v>
      </c>
      <c r="DK1913" s="4" t="s">
        <v>241</v>
      </c>
      <c r="DL1913" s="4" t="s">
        <v>241</v>
      </c>
      <c r="DP1913" s="4" t="s">
        <v>241</v>
      </c>
      <c r="DQ1913" s="4" t="s">
        <v>241</v>
      </c>
      <c r="DR1913" s="4" t="s">
        <v>241</v>
      </c>
      <c r="DS1913" s="4" t="s">
        <v>241</v>
      </c>
      <c r="DV1913" s="4" t="s">
        <v>278</v>
      </c>
      <c r="DW1913" s="4" t="s">
        <v>1152</v>
      </c>
      <c r="HO1913" s="4" t="s">
        <v>267</v>
      </c>
    </row>
    <row r="1914" spans="1:223" ht="19.5" customHeight="1" x14ac:dyDescent="0.4">
      <c r="A1914" s="4">
        <v>1</v>
      </c>
      <c r="B1914" s="4" t="s">
        <v>239</v>
      </c>
      <c r="C1914" s="4">
        <v>3614</v>
      </c>
      <c r="D1914" s="4">
        <v>1</v>
      </c>
      <c r="E1914" s="4">
        <v>1</v>
      </c>
      <c r="F1914" s="4" t="s">
        <v>268</v>
      </c>
      <c r="G1914" s="4" t="s">
        <v>241</v>
      </c>
      <c r="H1914" s="4" t="s">
        <v>241</v>
      </c>
      <c r="I1914" s="4" t="s">
        <v>272</v>
      </c>
      <c r="J1914" s="4" t="s">
        <v>274</v>
      </c>
      <c r="K1914" s="4" t="s">
        <v>251</v>
      </c>
      <c r="L1914" s="4" t="s">
        <v>1432</v>
      </c>
      <c r="M1914" s="5" t="s">
        <v>1151</v>
      </c>
      <c r="N1914" s="6">
        <f>0</f>
        <v>0</v>
      </c>
      <c r="O1914" s="4" t="s">
        <v>265</v>
      </c>
      <c r="P1914" s="6">
        <f>859937</f>
        <v>859937</v>
      </c>
      <c r="Q1914" s="6">
        <f>0</f>
        <v>0</v>
      </c>
      <c r="S1914" s="6">
        <f>0</f>
        <v>0</v>
      </c>
      <c r="T1914" s="6">
        <f>859937</f>
        <v>859937</v>
      </c>
      <c r="U1914" s="5" t="s">
        <v>1433</v>
      </c>
      <c r="V1914" s="4" t="s">
        <v>270</v>
      </c>
      <c r="W1914" s="4" t="s">
        <v>242</v>
      </c>
      <c r="X1914" s="4" t="s">
        <v>241</v>
      </c>
      <c r="Y1914" s="4" t="s">
        <v>241</v>
      </c>
      <c r="AB1914" s="4" t="s">
        <v>241</v>
      </c>
      <c r="AD1914" s="5" t="s">
        <v>241</v>
      </c>
      <c r="AG1914" s="5" t="s">
        <v>246</v>
      </c>
      <c r="AH1914" s="4" t="s">
        <v>241</v>
      </c>
      <c r="AI1914" s="4" t="s">
        <v>247</v>
      </c>
      <c r="AJ1914" s="4" t="s">
        <v>248</v>
      </c>
      <c r="AZ1914" s="4" t="s">
        <v>249</v>
      </c>
      <c r="BA1914" s="4" t="s">
        <v>241</v>
      </c>
      <c r="BB1914" s="4" t="s">
        <v>250</v>
      </c>
      <c r="BC1914" s="4" t="s">
        <v>241</v>
      </c>
      <c r="BD1914" s="4" t="s">
        <v>252</v>
      </c>
      <c r="BE1914" s="4" t="s">
        <v>241</v>
      </c>
      <c r="BI1914" s="4" t="s">
        <v>253</v>
      </c>
      <c r="BJ1914" s="5" t="s">
        <v>1433</v>
      </c>
      <c r="BK1914" s="4" t="s">
        <v>254</v>
      </c>
      <c r="BL1914" s="4" t="s">
        <v>285</v>
      </c>
      <c r="BM1914" s="4" t="s">
        <v>241</v>
      </c>
      <c r="BN1914" s="6">
        <f>0</f>
        <v>0</v>
      </c>
      <c r="BO1914" s="6">
        <f>0</f>
        <v>0</v>
      </c>
      <c r="BP1914" s="4" t="s">
        <v>256</v>
      </c>
      <c r="BQ1914" s="4" t="s">
        <v>257</v>
      </c>
      <c r="CE1914" s="4" t="s">
        <v>241</v>
      </c>
      <c r="CF1914" s="4" t="s">
        <v>241</v>
      </c>
      <c r="CJ1914" s="4" t="s">
        <v>286</v>
      </c>
      <c r="CK1914" s="4" t="s">
        <v>259</v>
      </c>
      <c r="CL1914" s="4" t="s">
        <v>241</v>
      </c>
      <c r="CO1914" s="5" t="s">
        <v>260</v>
      </c>
      <c r="CP1914" s="4" t="s">
        <v>241</v>
      </c>
      <c r="CQ1914" s="4" t="s">
        <v>261</v>
      </c>
      <c r="CR1914" s="4" t="s">
        <v>241</v>
      </c>
      <c r="CS1914" s="4" t="s">
        <v>241</v>
      </c>
      <c r="CT1914" s="4">
        <v>0</v>
      </c>
      <c r="CU1914" s="4" t="s">
        <v>262</v>
      </c>
      <c r="CV1914" s="4" t="s">
        <v>263</v>
      </c>
      <c r="CW1914" s="4" t="s">
        <v>263</v>
      </c>
      <c r="CX1914" s="4" t="s">
        <v>264</v>
      </c>
      <c r="DA1914" s="6">
        <f>859937</f>
        <v>859937</v>
      </c>
      <c r="DC1914" s="4" t="s">
        <v>287</v>
      </c>
      <c r="DD1914" s="4" t="s">
        <v>241</v>
      </c>
      <c r="DF1914" s="4" t="s">
        <v>287</v>
      </c>
      <c r="DG1914" s="6">
        <f>0</f>
        <v>0</v>
      </c>
      <c r="DI1914" s="4" t="s">
        <v>241</v>
      </c>
      <c r="DJ1914" s="4" t="s">
        <v>241</v>
      </c>
      <c r="DK1914" s="4" t="s">
        <v>241</v>
      </c>
      <c r="DL1914" s="4" t="s">
        <v>241</v>
      </c>
      <c r="DP1914" s="4" t="s">
        <v>241</v>
      </c>
      <c r="DQ1914" s="4" t="s">
        <v>241</v>
      </c>
      <c r="DR1914" s="4" t="s">
        <v>241</v>
      </c>
      <c r="DS1914" s="4" t="s">
        <v>241</v>
      </c>
      <c r="DV1914" s="4" t="s">
        <v>278</v>
      </c>
      <c r="DW1914" s="4" t="s">
        <v>1434</v>
      </c>
      <c r="HO1914" s="4" t="s">
        <v>267</v>
      </c>
    </row>
    <row r="1915" spans="1:223" ht="19.5" customHeight="1" x14ac:dyDescent="0.4">
      <c r="A1915" s="4">
        <v>1</v>
      </c>
      <c r="B1915" s="4" t="s">
        <v>239</v>
      </c>
      <c r="C1915" s="4">
        <v>3615</v>
      </c>
      <c r="D1915" s="4">
        <v>1</v>
      </c>
      <c r="E1915" s="4">
        <v>1</v>
      </c>
      <c r="F1915" s="4" t="s">
        <v>268</v>
      </c>
      <c r="G1915" s="4" t="s">
        <v>241</v>
      </c>
      <c r="H1915" s="4" t="s">
        <v>241</v>
      </c>
      <c r="I1915" s="4" t="s">
        <v>272</v>
      </c>
      <c r="J1915" s="4" t="s">
        <v>274</v>
      </c>
      <c r="K1915" s="4" t="s">
        <v>251</v>
      </c>
      <c r="L1915" s="4" t="s">
        <v>1273</v>
      </c>
      <c r="M1915" s="5" t="s">
        <v>1275</v>
      </c>
      <c r="N1915" s="6">
        <f>122.39</f>
        <v>122.39</v>
      </c>
      <c r="O1915" s="4" t="s">
        <v>265</v>
      </c>
      <c r="P1915" s="6">
        <f>171346</f>
        <v>171346</v>
      </c>
      <c r="Q1915" s="6">
        <f>0</f>
        <v>0</v>
      </c>
      <c r="S1915" s="6">
        <f>0</f>
        <v>0</v>
      </c>
      <c r="T1915" s="6">
        <f>171346</f>
        <v>171346</v>
      </c>
      <c r="U1915" s="5" t="s">
        <v>1274</v>
      </c>
      <c r="V1915" s="4" t="s">
        <v>270</v>
      </c>
      <c r="W1915" s="4" t="s">
        <v>242</v>
      </c>
      <c r="X1915" s="4" t="s">
        <v>241</v>
      </c>
      <c r="Y1915" s="4" t="s">
        <v>241</v>
      </c>
      <c r="AB1915" s="4" t="s">
        <v>241</v>
      </c>
      <c r="AD1915" s="5" t="s">
        <v>241</v>
      </c>
      <c r="AG1915" s="5" t="s">
        <v>246</v>
      </c>
      <c r="AH1915" s="4" t="s">
        <v>241</v>
      </c>
      <c r="AI1915" s="4" t="s">
        <v>247</v>
      </c>
      <c r="AJ1915" s="4" t="s">
        <v>248</v>
      </c>
      <c r="AZ1915" s="4" t="s">
        <v>249</v>
      </c>
      <c r="BA1915" s="4" t="s">
        <v>241</v>
      </c>
      <c r="BB1915" s="4" t="s">
        <v>250</v>
      </c>
      <c r="BC1915" s="4" t="s">
        <v>241</v>
      </c>
      <c r="BD1915" s="4" t="s">
        <v>252</v>
      </c>
      <c r="BE1915" s="4" t="s">
        <v>241</v>
      </c>
      <c r="BI1915" s="4" t="s">
        <v>253</v>
      </c>
      <c r="BJ1915" s="5" t="s">
        <v>1274</v>
      </c>
      <c r="BK1915" s="4" t="s">
        <v>254</v>
      </c>
      <c r="BL1915" s="4" t="s">
        <v>285</v>
      </c>
      <c r="BM1915" s="4" t="s">
        <v>241</v>
      </c>
      <c r="BN1915" s="6">
        <f>0</f>
        <v>0</v>
      </c>
      <c r="BO1915" s="6">
        <f>0</f>
        <v>0</v>
      </c>
      <c r="BP1915" s="4" t="s">
        <v>256</v>
      </c>
      <c r="BQ1915" s="4" t="s">
        <v>257</v>
      </c>
      <c r="CE1915" s="4" t="s">
        <v>241</v>
      </c>
      <c r="CF1915" s="4" t="s">
        <v>241</v>
      </c>
      <c r="CJ1915" s="4" t="s">
        <v>286</v>
      </c>
      <c r="CK1915" s="4" t="s">
        <v>259</v>
      </c>
      <c r="CL1915" s="4" t="s">
        <v>241</v>
      </c>
      <c r="CO1915" s="5" t="s">
        <v>260</v>
      </c>
      <c r="CP1915" s="4" t="s">
        <v>241</v>
      </c>
      <c r="CQ1915" s="4" t="s">
        <v>261</v>
      </c>
      <c r="CR1915" s="4" t="s">
        <v>241</v>
      </c>
      <c r="CS1915" s="4" t="s">
        <v>241</v>
      </c>
      <c r="CT1915" s="4">
        <v>0</v>
      </c>
      <c r="CU1915" s="4" t="s">
        <v>262</v>
      </c>
      <c r="CV1915" s="4" t="s">
        <v>263</v>
      </c>
      <c r="CW1915" s="4" t="s">
        <v>263</v>
      </c>
      <c r="CX1915" s="4" t="s">
        <v>264</v>
      </c>
      <c r="DA1915" s="6">
        <f>171346</f>
        <v>171346</v>
      </c>
      <c r="DC1915" s="4" t="s">
        <v>287</v>
      </c>
      <c r="DD1915" s="4" t="s">
        <v>241</v>
      </c>
      <c r="DF1915" s="4" t="s">
        <v>287</v>
      </c>
      <c r="DG1915" s="6">
        <f>122.39</f>
        <v>122.39</v>
      </c>
      <c r="DI1915" s="4" t="s">
        <v>241</v>
      </c>
      <c r="DJ1915" s="4" t="s">
        <v>241</v>
      </c>
      <c r="DK1915" s="4" t="s">
        <v>241</v>
      </c>
      <c r="DL1915" s="4" t="s">
        <v>241</v>
      </c>
      <c r="DP1915" s="4" t="s">
        <v>241</v>
      </c>
      <c r="DQ1915" s="4" t="s">
        <v>241</v>
      </c>
      <c r="DR1915" s="4" t="s">
        <v>241</v>
      </c>
      <c r="DS1915" s="4" t="s">
        <v>241</v>
      </c>
      <c r="DV1915" s="4" t="s">
        <v>278</v>
      </c>
      <c r="DW1915" s="4" t="s">
        <v>1276</v>
      </c>
      <c r="HO1915" s="4" t="s">
        <v>267</v>
      </c>
    </row>
    <row r="1916" spans="1:223" ht="19.5" customHeight="1" x14ac:dyDescent="0.4">
      <c r="A1916" s="4">
        <v>1</v>
      </c>
      <c r="B1916" s="4" t="s">
        <v>239</v>
      </c>
      <c r="C1916" s="4">
        <v>3616</v>
      </c>
      <c r="D1916" s="4">
        <v>1</v>
      </c>
      <c r="E1916" s="4">
        <v>1</v>
      </c>
      <c r="F1916" s="4" t="s">
        <v>268</v>
      </c>
      <c r="G1916" s="4" t="s">
        <v>241</v>
      </c>
      <c r="H1916" s="4" t="s">
        <v>241</v>
      </c>
      <c r="I1916" s="4" t="s">
        <v>272</v>
      </c>
      <c r="J1916" s="4" t="s">
        <v>274</v>
      </c>
      <c r="K1916" s="4" t="s">
        <v>251</v>
      </c>
      <c r="L1916" s="4" t="s">
        <v>1171</v>
      </c>
      <c r="M1916" s="5" t="s">
        <v>1146</v>
      </c>
      <c r="N1916" s="6">
        <f>456.54</f>
        <v>456.54</v>
      </c>
      <c r="O1916" s="4" t="s">
        <v>265</v>
      </c>
      <c r="P1916" s="6">
        <f>205443</f>
        <v>205443</v>
      </c>
      <c r="Q1916" s="6">
        <f>0</f>
        <v>0</v>
      </c>
      <c r="S1916" s="6">
        <f>0</f>
        <v>0</v>
      </c>
      <c r="T1916" s="6">
        <f>205443</f>
        <v>205443</v>
      </c>
      <c r="U1916" s="5" t="s">
        <v>1115</v>
      </c>
      <c r="V1916" s="4" t="s">
        <v>270</v>
      </c>
      <c r="W1916" s="4" t="s">
        <v>242</v>
      </c>
      <c r="X1916" s="4" t="s">
        <v>241</v>
      </c>
      <c r="Y1916" s="4" t="s">
        <v>241</v>
      </c>
      <c r="AB1916" s="4" t="s">
        <v>241</v>
      </c>
      <c r="AD1916" s="5" t="s">
        <v>241</v>
      </c>
      <c r="AG1916" s="5" t="s">
        <v>246</v>
      </c>
      <c r="AH1916" s="4" t="s">
        <v>241</v>
      </c>
      <c r="AI1916" s="4" t="s">
        <v>247</v>
      </c>
      <c r="AJ1916" s="4" t="s">
        <v>248</v>
      </c>
      <c r="AZ1916" s="4" t="s">
        <v>249</v>
      </c>
      <c r="BA1916" s="4" t="s">
        <v>241</v>
      </c>
      <c r="BB1916" s="4" t="s">
        <v>250</v>
      </c>
      <c r="BC1916" s="4" t="s">
        <v>241</v>
      </c>
      <c r="BD1916" s="4" t="s">
        <v>252</v>
      </c>
      <c r="BE1916" s="4" t="s">
        <v>241</v>
      </c>
      <c r="BI1916" s="4" t="s">
        <v>253</v>
      </c>
      <c r="BJ1916" s="5" t="s">
        <v>1115</v>
      </c>
      <c r="BK1916" s="4" t="s">
        <v>254</v>
      </c>
      <c r="BL1916" s="4" t="s">
        <v>285</v>
      </c>
      <c r="BM1916" s="4" t="s">
        <v>241</v>
      </c>
      <c r="BN1916" s="6">
        <f>0</f>
        <v>0</v>
      </c>
      <c r="BO1916" s="6">
        <f>0</f>
        <v>0</v>
      </c>
      <c r="BP1916" s="4" t="s">
        <v>256</v>
      </c>
      <c r="BQ1916" s="4" t="s">
        <v>257</v>
      </c>
      <c r="CE1916" s="4" t="s">
        <v>241</v>
      </c>
      <c r="CF1916" s="4" t="s">
        <v>241</v>
      </c>
      <c r="CJ1916" s="4" t="s">
        <v>286</v>
      </c>
      <c r="CK1916" s="4" t="s">
        <v>259</v>
      </c>
      <c r="CL1916" s="4" t="s">
        <v>241</v>
      </c>
      <c r="CO1916" s="5" t="s">
        <v>260</v>
      </c>
      <c r="CP1916" s="4" t="s">
        <v>241</v>
      </c>
      <c r="CQ1916" s="4" t="s">
        <v>261</v>
      </c>
      <c r="CR1916" s="4" t="s">
        <v>241</v>
      </c>
      <c r="CS1916" s="4" t="s">
        <v>241</v>
      </c>
      <c r="CT1916" s="4">
        <v>0</v>
      </c>
      <c r="CU1916" s="4" t="s">
        <v>262</v>
      </c>
      <c r="CV1916" s="4" t="s">
        <v>263</v>
      </c>
      <c r="CW1916" s="4" t="s">
        <v>263</v>
      </c>
      <c r="CX1916" s="4" t="s">
        <v>264</v>
      </c>
      <c r="DA1916" s="6">
        <f>205443</f>
        <v>205443</v>
      </c>
      <c r="DC1916" s="4" t="s">
        <v>287</v>
      </c>
      <c r="DD1916" s="4" t="s">
        <v>241</v>
      </c>
      <c r="DF1916" s="4" t="s">
        <v>287</v>
      </c>
      <c r="DG1916" s="6">
        <f>0</f>
        <v>0</v>
      </c>
      <c r="DI1916" s="4" t="s">
        <v>241</v>
      </c>
      <c r="DJ1916" s="4" t="s">
        <v>241</v>
      </c>
      <c r="DK1916" s="4" t="s">
        <v>241</v>
      </c>
      <c r="DL1916" s="4" t="s">
        <v>241</v>
      </c>
      <c r="DP1916" s="4" t="s">
        <v>241</v>
      </c>
      <c r="DQ1916" s="4" t="s">
        <v>241</v>
      </c>
      <c r="DR1916" s="4" t="s">
        <v>241</v>
      </c>
      <c r="DS1916" s="4" t="s">
        <v>241</v>
      </c>
      <c r="DV1916" s="4" t="s">
        <v>278</v>
      </c>
      <c r="DW1916" s="4" t="s">
        <v>1172</v>
      </c>
      <c r="HO1916" s="4" t="s">
        <v>267</v>
      </c>
    </row>
    <row r="1917" spans="1:223" ht="19.5" customHeight="1" x14ac:dyDescent="0.4">
      <c r="A1917" s="4">
        <v>1</v>
      </c>
      <c r="B1917" s="4" t="s">
        <v>239</v>
      </c>
      <c r="C1917" s="4">
        <v>3617</v>
      </c>
      <c r="D1917" s="4">
        <v>1</v>
      </c>
      <c r="E1917" s="4">
        <v>1</v>
      </c>
      <c r="F1917" s="4" t="s">
        <v>268</v>
      </c>
      <c r="G1917" s="4" t="s">
        <v>241</v>
      </c>
      <c r="H1917" s="4" t="s">
        <v>241</v>
      </c>
      <c r="I1917" s="4" t="s">
        <v>272</v>
      </c>
      <c r="J1917" s="4" t="s">
        <v>274</v>
      </c>
      <c r="K1917" s="4" t="s">
        <v>251</v>
      </c>
      <c r="L1917" s="4" t="s">
        <v>1145</v>
      </c>
      <c r="M1917" s="5" t="s">
        <v>1146</v>
      </c>
      <c r="N1917" s="6">
        <f>0</f>
        <v>0</v>
      </c>
      <c r="O1917" s="4" t="s">
        <v>265</v>
      </c>
      <c r="P1917" s="6">
        <f>127432</f>
        <v>127432</v>
      </c>
      <c r="Q1917" s="6">
        <f>0</f>
        <v>0</v>
      </c>
      <c r="S1917" s="6">
        <f>0</f>
        <v>0</v>
      </c>
      <c r="T1917" s="6">
        <f>127432</f>
        <v>127432</v>
      </c>
      <c r="U1917" s="5" t="s">
        <v>1115</v>
      </c>
      <c r="V1917" s="4" t="s">
        <v>270</v>
      </c>
      <c r="W1917" s="4" t="s">
        <v>242</v>
      </c>
      <c r="X1917" s="4" t="s">
        <v>241</v>
      </c>
      <c r="Y1917" s="4" t="s">
        <v>241</v>
      </c>
      <c r="AB1917" s="4" t="s">
        <v>241</v>
      </c>
      <c r="AD1917" s="5" t="s">
        <v>241</v>
      </c>
      <c r="AG1917" s="5" t="s">
        <v>246</v>
      </c>
      <c r="AH1917" s="4" t="s">
        <v>241</v>
      </c>
      <c r="AI1917" s="4" t="s">
        <v>247</v>
      </c>
      <c r="AJ1917" s="4" t="s">
        <v>248</v>
      </c>
      <c r="AZ1917" s="4" t="s">
        <v>249</v>
      </c>
      <c r="BA1917" s="4" t="s">
        <v>241</v>
      </c>
      <c r="BB1917" s="4" t="s">
        <v>250</v>
      </c>
      <c r="BC1917" s="4" t="s">
        <v>241</v>
      </c>
      <c r="BD1917" s="4" t="s">
        <v>252</v>
      </c>
      <c r="BE1917" s="4" t="s">
        <v>241</v>
      </c>
      <c r="BI1917" s="4" t="s">
        <v>253</v>
      </c>
      <c r="BJ1917" s="5" t="s">
        <v>1115</v>
      </c>
      <c r="BK1917" s="4" t="s">
        <v>254</v>
      </c>
      <c r="BL1917" s="4" t="s">
        <v>285</v>
      </c>
      <c r="BM1917" s="4" t="s">
        <v>241</v>
      </c>
      <c r="BN1917" s="6">
        <f>0</f>
        <v>0</v>
      </c>
      <c r="BO1917" s="6">
        <f>0</f>
        <v>0</v>
      </c>
      <c r="BP1917" s="4" t="s">
        <v>256</v>
      </c>
      <c r="BQ1917" s="4" t="s">
        <v>257</v>
      </c>
      <c r="CE1917" s="4" t="s">
        <v>241</v>
      </c>
      <c r="CF1917" s="4" t="s">
        <v>241</v>
      </c>
      <c r="CJ1917" s="4" t="s">
        <v>286</v>
      </c>
      <c r="CK1917" s="4" t="s">
        <v>259</v>
      </c>
      <c r="CL1917" s="4" t="s">
        <v>241</v>
      </c>
      <c r="CO1917" s="5" t="s">
        <v>260</v>
      </c>
      <c r="CP1917" s="4" t="s">
        <v>241</v>
      </c>
      <c r="CQ1917" s="4" t="s">
        <v>261</v>
      </c>
      <c r="CR1917" s="4" t="s">
        <v>241</v>
      </c>
      <c r="CS1917" s="4" t="s">
        <v>241</v>
      </c>
      <c r="CT1917" s="4">
        <v>0</v>
      </c>
      <c r="CU1917" s="4" t="s">
        <v>262</v>
      </c>
      <c r="CV1917" s="4" t="s">
        <v>263</v>
      </c>
      <c r="CW1917" s="4" t="s">
        <v>263</v>
      </c>
      <c r="CX1917" s="4" t="s">
        <v>264</v>
      </c>
      <c r="DA1917" s="6">
        <f>127432</f>
        <v>127432</v>
      </c>
      <c r="DC1917" s="4" t="s">
        <v>287</v>
      </c>
      <c r="DD1917" s="4" t="s">
        <v>241</v>
      </c>
      <c r="DF1917" s="4" t="s">
        <v>287</v>
      </c>
      <c r="DG1917" s="6">
        <f>0</f>
        <v>0</v>
      </c>
      <c r="DI1917" s="4" t="s">
        <v>241</v>
      </c>
      <c r="DJ1917" s="4" t="s">
        <v>241</v>
      </c>
      <c r="DK1917" s="4" t="s">
        <v>241</v>
      </c>
      <c r="DL1917" s="4" t="s">
        <v>241</v>
      </c>
      <c r="DP1917" s="4" t="s">
        <v>241</v>
      </c>
      <c r="DQ1917" s="4" t="s">
        <v>241</v>
      </c>
      <c r="DR1917" s="4" t="s">
        <v>241</v>
      </c>
      <c r="DS1917" s="4" t="s">
        <v>241</v>
      </c>
      <c r="DV1917" s="4" t="s">
        <v>278</v>
      </c>
      <c r="DW1917" s="4" t="s">
        <v>1147</v>
      </c>
      <c r="HO1917" s="4" t="s">
        <v>267</v>
      </c>
    </row>
    <row r="1918" spans="1:223" ht="19.5" customHeight="1" x14ac:dyDescent="0.4">
      <c r="A1918" s="4">
        <v>1</v>
      </c>
      <c r="B1918" s="4" t="s">
        <v>239</v>
      </c>
      <c r="C1918" s="4">
        <v>3621</v>
      </c>
      <c r="D1918" s="4">
        <v>1</v>
      </c>
      <c r="E1918" s="4">
        <v>1</v>
      </c>
      <c r="F1918" s="4" t="s">
        <v>268</v>
      </c>
      <c r="G1918" s="4" t="s">
        <v>241</v>
      </c>
      <c r="H1918" s="4" t="s">
        <v>241</v>
      </c>
      <c r="I1918" s="4" t="s">
        <v>424</v>
      </c>
      <c r="J1918" s="4" t="s">
        <v>274</v>
      </c>
      <c r="K1918" s="4" t="s">
        <v>251</v>
      </c>
      <c r="L1918" s="4" t="s">
        <v>423</v>
      </c>
      <c r="M1918" s="5" t="s">
        <v>3799</v>
      </c>
      <c r="N1918" s="6">
        <f>56</f>
        <v>56</v>
      </c>
      <c r="O1918" s="4" t="s">
        <v>265</v>
      </c>
      <c r="P1918" s="6">
        <f>1</f>
        <v>1</v>
      </c>
      <c r="Q1918" s="6">
        <f>0</f>
        <v>0</v>
      </c>
      <c r="S1918" s="6">
        <f>0</f>
        <v>0</v>
      </c>
      <c r="T1918" s="6">
        <f>1</f>
        <v>1</v>
      </c>
      <c r="U1918" s="5" t="s">
        <v>245</v>
      </c>
      <c r="V1918" s="4" t="s">
        <v>270</v>
      </c>
      <c r="W1918" s="4" t="s">
        <v>271</v>
      </c>
      <c r="X1918" s="4" t="s">
        <v>273</v>
      </c>
      <c r="Y1918" s="4" t="s">
        <v>241</v>
      </c>
      <c r="AB1918" s="4" t="s">
        <v>241</v>
      </c>
      <c r="AD1918" s="5" t="s">
        <v>241</v>
      </c>
      <c r="AG1918" s="5" t="s">
        <v>246</v>
      </c>
      <c r="AH1918" s="4" t="s">
        <v>241</v>
      </c>
      <c r="AI1918" s="4" t="s">
        <v>247</v>
      </c>
      <c r="AJ1918" s="4" t="s">
        <v>248</v>
      </c>
      <c r="AZ1918" s="4" t="s">
        <v>249</v>
      </c>
      <c r="BA1918" s="4" t="s">
        <v>241</v>
      </c>
      <c r="BB1918" s="4" t="s">
        <v>250</v>
      </c>
      <c r="BC1918" s="4" t="s">
        <v>241</v>
      </c>
      <c r="BD1918" s="4" t="s">
        <v>252</v>
      </c>
      <c r="BE1918" s="4" t="s">
        <v>241</v>
      </c>
      <c r="BG1918" s="4" t="s">
        <v>412</v>
      </c>
      <c r="BI1918" s="4" t="s">
        <v>253</v>
      </c>
      <c r="BJ1918" s="5" t="s">
        <v>246</v>
      </c>
      <c r="BK1918" s="4" t="s">
        <v>254</v>
      </c>
      <c r="BL1918" s="4" t="s">
        <v>255</v>
      </c>
      <c r="BM1918" s="4" t="s">
        <v>241</v>
      </c>
      <c r="BN1918" s="6">
        <f>0</f>
        <v>0</v>
      </c>
      <c r="BO1918" s="6">
        <f>0</f>
        <v>0</v>
      </c>
      <c r="BP1918" s="4" t="s">
        <v>256</v>
      </c>
      <c r="BQ1918" s="4" t="s">
        <v>257</v>
      </c>
      <c r="CE1918" s="4" t="s">
        <v>241</v>
      </c>
      <c r="CF1918" s="4" t="s">
        <v>241</v>
      </c>
      <c r="CJ1918" s="4" t="s">
        <v>276</v>
      </c>
      <c r="CK1918" s="4" t="s">
        <v>259</v>
      </c>
      <c r="CL1918" s="4" t="s">
        <v>241</v>
      </c>
      <c r="CO1918" s="5" t="s">
        <v>260</v>
      </c>
      <c r="CP1918" s="4" t="s">
        <v>241</v>
      </c>
      <c r="CQ1918" s="4" t="s">
        <v>261</v>
      </c>
      <c r="CR1918" s="4" t="s">
        <v>241</v>
      </c>
      <c r="CS1918" s="4" t="s">
        <v>241</v>
      </c>
      <c r="CT1918" s="4">
        <v>0</v>
      </c>
      <c r="CU1918" s="4" t="s">
        <v>262</v>
      </c>
      <c r="CV1918" s="4" t="s">
        <v>263</v>
      </c>
      <c r="CW1918" s="4" t="s">
        <v>263</v>
      </c>
      <c r="CX1918" s="4" t="s">
        <v>264</v>
      </c>
      <c r="DA1918" s="6">
        <f>1</f>
        <v>1</v>
      </c>
      <c r="DC1918" s="4" t="s">
        <v>325</v>
      </c>
      <c r="DD1918" s="4" t="s">
        <v>241</v>
      </c>
      <c r="DF1918" s="4" t="s">
        <v>325</v>
      </c>
      <c r="DG1918" s="6">
        <f>56</f>
        <v>56</v>
      </c>
      <c r="DI1918" s="4" t="s">
        <v>241</v>
      </c>
      <c r="DJ1918" s="4" t="s">
        <v>241</v>
      </c>
      <c r="DK1918" s="4" t="s">
        <v>241</v>
      </c>
      <c r="DL1918" s="4" t="s">
        <v>241</v>
      </c>
      <c r="DP1918" s="4" t="s">
        <v>241</v>
      </c>
      <c r="DQ1918" s="4" t="s">
        <v>241</v>
      </c>
      <c r="DR1918" s="4" t="s">
        <v>241</v>
      </c>
      <c r="DS1918" s="4" t="s">
        <v>241</v>
      </c>
      <c r="DV1918" s="4" t="s">
        <v>426</v>
      </c>
      <c r="DW1918" s="4" t="s">
        <v>267</v>
      </c>
      <c r="HO1918" s="4" t="s">
        <v>267</v>
      </c>
    </row>
    <row r="1919" spans="1:223" ht="19.5" customHeight="1" x14ac:dyDescent="0.4">
      <c r="A1919" s="4">
        <v>1</v>
      </c>
      <c r="B1919" s="4" t="s">
        <v>239</v>
      </c>
      <c r="C1919" s="4">
        <v>3622</v>
      </c>
      <c r="D1919" s="4">
        <v>1</v>
      </c>
      <c r="E1919" s="4">
        <v>1</v>
      </c>
      <c r="F1919" s="4" t="s">
        <v>268</v>
      </c>
      <c r="G1919" s="4" t="s">
        <v>241</v>
      </c>
      <c r="H1919" s="4" t="s">
        <v>241</v>
      </c>
      <c r="I1919" s="4" t="s">
        <v>424</v>
      </c>
      <c r="J1919" s="4" t="s">
        <v>274</v>
      </c>
      <c r="K1919" s="4" t="s">
        <v>251</v>
      </c>
      <c r="L1919" s="4" t="s">
        <v>423</v>
      </c>
      <c r="M1919" s="5" t="s">
        <v>3802</v>
      </c>
      <c r="N1919" s="6">
        <f>1925</f>
        <v>1925</v>
      </c>
      <c r="O1919" s="4" t="s">
        <v>265</v>
      </c>
      <c r="P1919" s="6">
        <f>1</f>
        <v>1</v>
      </c>
      <c r="Q1919" s="6">
        <f>0</f>
        <v>0</v>
      </c>
      <c r="S1919" s="6">
        <f>0</f>
        <v>0</v>
      </c>
      <c r="T1919" s="6">
        <f>1</f>
        <v>1</v>
      </c>
      <c r="U1919" s="5" t="s">
        <v>245</v>
      </c>
      <c r="V1919" s="4" t="s">
        <v>270</v>
      </c>
      <c r="W1919" s="4" t="s">
        <v>271</v>
      </c>
      <c r="X1919" s="4" t="s">
        <v>273</v>
      </c>
      <c r="Y1919" s="4" t="s">
        <v>241</v>
      </c>
      <c r="AB1919" s="4" t="s">
        <v>241</v>
      </c>
      <c r="AD1919" s="5" t="s">
        <v>241</v>
      </c>
      <c r="AG1919" s="5" t="s">
        <v>246</v>
      </c>
      <c r="AH1919" s="4" t="s">
        <v>241</v>
      </c>
      <c r="AI1919" s="4" t="s">
        <v>247</v>
      </c>
      <c r="AJ1919" s="4" t="s">
        <v>248</v>
      </c>
      <c r="AZ1919" s="4" t="s">
        <v>249</v>
      </c>
      <c r="BA1919" s="4" t="s">
        <v>241</v>
      </c>
      <c r="BB1919" s="4" t="s">
        <v>250</v>
      </c>
      <c r="BC1919" s="4" t="s">
        <v>241</v>
      </c>
      <c r="BD1919" s="4" t="s">
        <v>252</v>
      </c>
      <c r="BE1919" s="4" t="s">
        <v>241</v>
      </c>
      <c r="BI1919" s="4" t="s">
        <v>253</v>
      </c>
      <c r="BJ1919" s="5" t="s">
        <v>246</v>
      </c>
      <c r="BK1919" s="4" t="s">
        <v>254</v>
      </c>
      <c r="BL1919" s="4" t="s">
        <v>255</v>
      </c>
      <c r="BM1919" s="4" t="s">
        <v>241</v>
      </c>
      <c r="BN1919" s="6">
        <f>0</f>
        <v>0</v>
      </c>
      <c r="BO1919" s="6">
        <f>0</f>
        <v>0</v>
      </c>
      <c r="BP1919" s="4" t="s">
        <v>256</v>
      </c>
      <c r="BQ1919" s="4" t="s">
        <v>257</v>
      </c>
      <c r="CE1919" s="4" t="s">
        <v>241</v>
      </c>
      <c r="CF1919" s="4" t="s">
        <v>241</v>
      </c>
      <c r="CJ1919" s="4" t="s">
        <v>276</v>
      </c>
      <c r="CK1919" s="4" t="s">
        <v>259</v>
      </c>
      <c r="CL1919" s="4" t="s">
        <v>241</v>
      </c>
      <c r="CO1919" s="5" t="s">
        <v>260</v>
      </c>
      <c r="CP1919" s="4" t="s">
        <v>241</v>
      </c>
      <c r="CQ1919" s="4" t="s">
        <v>261</v>
      </c>
      <c r="CR1919" s="4" t="s">
        <v>241</v>
      </c>
      <c r="CS1919" s="4" t="s">
        <v>241</v>
      </c>
      <c r="CT1919" s="4">
        <v>0</v>
      </c>
      <c r="CU1919" s="4" t="s">
        <v>262</v>
      </c>
      <c r="CV1919" s="4" t="s">
        <v>263</v>
      </c>
      <c r="CW1919" s="4" t="s">
        <v>263</v>
      </c>
      <c r="CX1919" s="4" t="s">
        <v>264</v>
      </c>
      <c r="DA1919" s="6">
        <f>1</f>
        <v>1</v>
      </c>
      <c r="DC1919" s="4" t="s">
        <v>325</v>
      </c>
      <c r="DD1919" s="4" t="s">
        <v>241</v>
      </c>
      <c r="DF1919" s="4" t="s">
        <v>325</v>
      </c>
      <c r="DG1919" s="6">
        <f>1925</f>
        <v>1925</v>
      </c>
      <c r="DI1919" s="4" t="s">
        <v>241</v>
      </c>
      <c r="DJ1919" s="4" t="s">
        <v>241</v>
      </c>
      <c r="DK1919" s="4" t="s">
        <v>241</v>
      </c>
      <c r="DL1919" s="4" t="s">
        <v>241</v>
      </c>
      <c r="DP1919" s="4" t="s">
        <v>241</v>
      </c>
      <c r="DQ1919" s="4" t="s">
        <v>241</v>
      </c>
      <c r="DR1919" s="4" t="s">
        <v>241</v>
      </c>
      <c r="DS1919" s="4" t="s">
        <v>241</v>
      </c>
      <c r="DV1919" s="4" t="s">
        <v>426</v>
      </c>
      <c r="DW1919" s="4" t="s">
        <v>416</v>
      </c>
      <c r="HO1919" s="4" t="s">
        <v>267</v>
      </c>
    </row>
    <row r="1920" spans="1:223" ht="19.5" customHeight="1" x14ac:dyDescent="0.4">
      <c r="A1920" s="4">
        <v>1</v>
      </c>
      <c r="B1920" s="4" t="s">
        <v>239</v>
      </c>
      <c r="C1920" s="4">
        <v>3623</v>
      </c>
      <c r="D1920" s="4">
        <v>1</v>
      </c>
      <c r="E1920" s="4">
        <v>1</v>
      </c>
      <c r="F1920" s="4" t="s">
        <v>268</v>
      </c>
      <c r="G1920" s="4" t="s">
        <v>241</v>
      </c>
      <c r="H1920" s="4" t="s">
        <v>241</v>
      </c>
      <c r="I1920" s="4" t="s">
        <v>424</v>
      </c>
      <c r="J1920" s="4" t="s">
        <v>274</v>
      </c>
      <c r="K1920" s="4" t="s">
        <v>251</v>
      </c>
      <c r="L1920" s="4" t="s">
        <v>423</v>
      </c>
      <c r="M1920" s="5" t="s">
        <v>3804</v>
      </c>
      <c r="N1920" s="6">
        <f>1352</f>
        <v>1352</v>
      </c>
      <c r="O1920" s="4" t="s">
        <v>265</v>
      </c>
      <c r="P1920" s="6">
        <f>1</f>
        <v>1</v>
      </c>
      <c r="Q1920" s="6">
        <f>0</f>
        <v>0</v>
      </c>
      <c r="S1920" s="6">
        <f>0</f>
        <v>0</v>
      </c>
      <c r="T1920" s="6">
        <f>1</f>
        <v>1</v>
      </c>
      <c r="U1920" s="5" t="s">
        <v>245</v>
      </c>
      <c r="V1920" s="4" t="s">
        <v>270</v>
      </c>
      <c r="W1920" s="4" t="s">
        <v>271</v>
      </c>
      <c r="X1920" s="4" t="s">
        <v>273</v>
      </c>
      <c r="Y1920" s="4" t="s">
        <v>241</v>
      </c>
      <c r="AB1920" s="4" t="s">
        <v>241</v>
      </c>
      <c r="AD1920" s="5" t="s">
        <v>241</v>
      </c>
      <c r="AG1920" s="5" t="s">
        <v>246</v>
      </c>
      <c r="AH1920" s="4" t="s">
        <v>241</v>
      </c>
      <c r="AI1920" s="4" t="s">
        <v>247</v>
      </c>
      <c r="AJ1920" s="4" t="s">
        <v>248</v>
      </c>
      <c r="AZ1920" s="4" t="s">
        <v>249</v>
      </c>
      <c r="BA1920" s="4" t="s">
        <v>241</v>
      </c>
      <c r="BB1920" s="4" t="s">
        <v>250</v>
      </c>
      <c r="BC1920" s="4" t="s">
        <v>241</v>
      </c>
      <c r="BD1920" s="4" t="s">
        <v>252</v>
      </c>
      <c r="BE1920" s="4" t="s">
        <v>241</v>
      </c>
      <c r="BI1920" s="4" t="s">
        <v>253</v>
      </c>
      <c r="BJ1920" s="5" t="s">
        <v>246</v>
      </c>
      <c r="BK1920" s="4" t="s">
        <v>254</v>
      </c>
      <c r="BL1920" s="4" t="s">
        <v>255</v>
      </c>
      <c r="BM1920" s="4" t="s">
        <v>241</v>
      </c>
      <c r="BN1920" s="6">
        <f>0</f>
        <v>0</v>
      </c>
      <c r="BO1920" s="6">
        <f>0</f>
        <v>0</v>
      </c>
      <c r="BP1920" s="4" t="s">
        <v>256</v>
      </c>
      <c r="BQ1920" s="4" t="s">
        <v>257</v>
      </c>
      <c r="CE1920" s="4" t="s">
        <v>241</v>
      </c>
      <c r="CF1920" s="4" t="s">
        <v>241</v>
      </c>
      <c r="CJ1920" s="4" t="s">
        <v>276</v>
      </c>
      <c r="CK1920" s="4" t="s">
        <v>259</v>
      </c>
      <c r="CL1920" s="4" t="s">
        <v>241</v>
      </c>
      <c r="CO1920" s="5" t="s">
        <v>260</v>
      </c>
      <c r="CP1920" s="4" t="s">
        <v>241</v>
      </c>
      <c r="CQ1920" s="4" t="s">
        <v>261</v>
      </c>
      <c r="CR1920" s="4" t="s">
        <v>241</v>
      </c>
      <c r="CS1920" s="4" t="s">
        <v>241</v>
      </c>
      <c r="CT1920" s="4">
        <v>0</v>
      </c>
      <c r="CU1920" s="4" t="s">
        <v>262</v>
      </c>
      <c r="CV1920" s="4" t="s">
        <v>263</v>
      </c>
      <c r="CW1920" s="4" t="s">
        <v>263</v>
      </c>
      <c r="CX1920" s="4" t="s">
        <v>264</v>
      </c>
      <c r="DA1920" s="6">
        <f>1</f>
        <v>1</v>
      </c>
      <c r="DC1920" s="4" t="s">
        <v>325</v>
      </c>
      <c r="DD1920" s="4" t="s">
        <v>241</v>
      </c>
      <c r="DF1920" s="4" t="s">
        <v>325</v>
      </c>
      <c r="DG1920" s="6">
        <f>1352</f>
        <v>1352</v>
      </c>
      <c r="DI1920" s="4" t="s">
        <v>241</v>
      </c>
      <c r="DJ1920" s="4" t="s">
        <v>241</v>
      </c>
      <c r="DK1920" s="4" t="s">
        <v>241</v>
      </c>
      <c r="DL1920" s="4" t="s">
        <v>241</v>
      </c>
      <c r="DP1920" s="4" t="s">
        <v>241</v>
      </c>
      <c r="DQ1920" s="4" t="s">
        <v>241</v>
      </c>
      <c r="DR1920" s="4" t="s">
        <v>241</v>
      </c>
      <c r="DS1920" s="4" t="s">
        <v>241</v>
      </c>
      <c r="DV1920" s="4" t="s">
        <v>426</v>
      </c>
      <c r="DW1920" s="4" t="s">
        <v>388</v>
      </c>
      <c r="HO1920" s="4" t="s">
        <v>267</v>
      </c>
    </row>
    <row r="1921" spans="1:223" ht="19.5" customHeight="1" x14ac:dyDescent="0.4">
      <c r="A1921" s="4">
        <v>1</v>
      </c>
      <c r="B1921" s="4" t="s">
        <v>239</v>
      </c>
      <c r="C1921" s="4">
        <v>3624</v>
      </c>
      <c r="D1921" s="4">
        <v>1</v>
      </c>
      <c r="E1921" s="4">
        <v>1</v>
      </c>
      <c r="F1921" s="4" t="s">
        <v>268</v>
      </c>
      <c r="G1921" s="4" t="s">
        <v>241</v>
      </c>
      <c r="H1921" s="4" t="s">
        <v>241</v>
      </c>
      <c r="I1921" s="4" t="s">
        <v>424</v>
      </c>
      <c r="J1921" s="4" t="s">
        <v>274</v>
      </c>
      <c r="K1921" s="4" t="s">
        <v>251</v>
      </c>
      <c r="L1921" s="4" t="s">
        <v>423</v>
      </c>
      <c r="M1921" s="5" t="s">
        <v>4879</v>
      </c>
      <c r="N1921" s="6">
        <f>1584</f>
        <v>1584</v>
      </c>
      <c r="O1921" s="4" t="s">
        <v>265</v>
      </c>
      <c r="P1921" s="6">
        <f>1</f>
        <v>1</v>
      </c>
      <c r="Q1921" s="6">
        <f>0</f>
        <v>0</v>
      </c>
      <c r="S1921" s="6">
        <f>0</f>
        <v>0</v>
      </c>
      <c r="T1921" s="6">
        <f>1</f>
        <v>1</v>
      </c>
      <c r="U1921" s="5" t="s">
        <v>245</v>
      </c>
      <c r="V1921" s="4" t="s">
        <v>270</v>
      </c>
      <c r="W1921" s="4" t="s">
        <v>271</v>
      </c>
      <c r="X1921" s="4" t="s">
        <v>273</v>
      </c>
      <c r="Y1921" s="4" t="s">
        <v>241</v>
      </c>
      <c r="AB1921" s="4" t="s">
        <v>241</v>
      </c>
      <c r="AD1921" s="5" t="s">
        <v>241</v>
      </c>
      <c r="AG1921" s="5" t="s">
        <v>246</v>
      </c>
      <c r="AH1921" s="4" t="s">
        <v>241</v>
      </c>
      <c r="AI1921" s="4" t="s">
        <v>247</v>
      </c>
      <c r="AJ1921" s="4" t="s">
        <v>248</v>
      </c>
      <c r="AZ1921" s="4" t="s">
        <v>249</v>
      </c>
      <c r="BA1921" s="4" t="s">
        <v>241</v>
      </c>
      <c r="BB1921" s="4" t="s">
        <v>250</v>
      </c>
      <c r="BC1921" s="4" t="s">
        <v>241</v>
      </c>
      <c r="BD1921" s="4" t="s">
        <v>252</v>
      </c>
      <c r="BE1921" s="4" t="s">
        <v>241</v>
      </c>
      <c r="BI1921" s="4" t="s">
        <v>253</v>
      </c>
      <c r="BJ1921" s="5" t="s">
        <v>246</v>
      </c>
      <c r="BK1921" s="4" t="s">
        <v>254</v>
      </c>
      <c r="BL1921" s="4" t="s">
        <v>255</v>
      </c>
      <c r="BM1921" s="4" t="s">
        <v>241</v>
      </c>
      <c r="BN1921" s="6">
        <f>0</f>
        <v>0</v>
      </c>
      <c r="BO1921" s="6">
        <f>0</f>
        <v>0</v>
      </c>
      <c r="BP1921" s="4" t="s">
        <v>256</v>
      </c>
      <c r="BQ1921" s="4" t="s">
        <v>257</v>
      </c>
      <c r="CE1921" s="4" t="s">
        <v>241</v>
      </c>
      <c r="CF1921" s="4" t="s">
        <v>241</v>
      </c>
      <c r="CJ1921" s="4" t="s">
        <v>276</v>
      </c>
      <c r="CK1921" s="4" t="s">
        <v>259</v>
      </c>
      <c r="CL1921" s="4" t="s">
        <v>241</v>
      </c>
      <c r="CO1921" s="5" t="s">
        <v>260</v>
      </c>
      <c r="CP1921" s="4" t="s">
        <v>241</v>
      </c>
      <c r="CQ1921" s="4" t="s">
        <v>261</v>
      </c>
      <c r="CR1921" s="4" t="s">
        <v>241</v>
      </c>
      <c r="CS1921" s="4" t="s">
        <v>241</v>
      </c>
      <c r="CT1921" s="4">
        <v>0</v>
      </c>
      <c r="CU1921" s="4" t="s">
        <v>262</v>
      </c>
      <c r="CV1921" s="4" t="s">
        <v>263</v>
      </c>
      <c r="CW1921" s="4" t="s">
        <v>263</v>
      </c>
      <c r="CX1921" s="4" t="s">
        <v>264</v>
      </c>
      <c r="DA1921" s="6">
        <f>1</f>
        <v>1</v>
      </c>
      <c r="DC1921" s="4" t="s">
        <v>325</v>
      </c>
      <c r="DD1921" s="4" t="s">
        <v>241</v>
      </c>
      <c r="DF1921" s="4" t="s">
        <v>325</v>
      </c>
      <c r="DG1921" s="6">
        <f>1584</f>
        <v>1584</v>
      </c>
      <c r="DI1921" s="4" t="s">
        <v>241</v>
      </c>
      <c r="DJ1921" s="4" t="s">
        <v>241</v>
      </c>
      <c r="DK1921" s="4" t="s">
        <v>241</v>
      </c>
      <c r="DL1921" s="4" t="s">
        <v>241</v>
      </c>
      <c r="DP1921" s="4" t="s">
        <v>241</v>
      </c>
      <c r="DQ1921" s="4" t="s">
        <v>241</v>
      </c>
      <c r="DR1921" s="4" t="s">
        <v>241</v>
      </c>
      <c r="DS1921" s="4" t="s">
        <v>241</v>
      </c>
      <c r="DV1921" s="4" t="s">
        <v>426</v>
      </c>
      <c r="DW1921" s="4" t="s">
        <v>327</v>
      </c>
      <c r="HO1921" s="4" t="s">
        <v>267</v>
      </c>
    </row>
    <row r="1922" spans="1:223" ht="19.5" customHeight="1" x14ac:dyDescent="0.4">
      <c r="A1922" s="4">
        <v>1</v>
      </c>
      <c r="B1922" s="4" t="s">
        <v>239</v>
      </c>
      <c r="C1922" s="4">
        <v>3625</v>
      </c>
      <c r="D1922" s="4">
        <v>1</v>
      </c>
      <c r="E1922" s="4">
        <v>1</v>
      </c>
      <c r="F1922" s="4" t="s">
        <v>268</v>
      </c>
      <c r="G1922" s="4" t="s">
        <v>241</v>
      </c>
      <c r="H1922" s="4" t="s">
        <v>241</v>
      </c>
      <c r="I1922" s="4" t="s">
        <v>424</v>
      </c>
      <c r="J1922" s="4" t="s">
        <v>274</v>
      </c>
      <c r="K1922" s="4" t="s">
        <v>251</v>
      </c>
      <c r="L1922" s="4" t="s">
        <v>423</v>
      </c>
      <c r="M1922" s="5" t="s">
        <v>3806</v>
      </c>
      <c r="N1922" s="6">
        <f>385</f>
        <v>385</v>
      </c>
      <c r="O1922" s="4" t="s">
        <v>265</v>
      </c>
      <c r="P1922" s="6">
        <f>1</f>
        <v>1</v>
      </c>
      <c r="Q1922" s="6">
        <f>0</f>
        <v>0</v>
      </c>
      <c r="S1922" s="6">
        <f>0</f>
        <v>0</v>
      </c>
      <c r="T1922" s="6">
        <f>1</f>
        <v>1</v>
      </c>
      <c r="U1922" s="5" t="s">
        <v>245</v>
      </c>
      <c r="V1922" s="4" t="s">
        <v>270</v>
      </c>
      <c r="W1922" s="4" t="s">
        <v>271</v>
      </c>
      <c r="X1922" s="4" t="s">
        <v>273</v>
      </c>
      <c r="Y1922" s="4" t="s">
        <v>241</v>
      </c>
      <c r="AB1922" s="4" t="s">
        <v>241</v>
      </c>
      <c r="AD1922" s="5" t="s">
        <v>241</v>
      </c>
      <c r="AG1922" s="5" t="s">
        <v>246</v>
      </c>
      <c r="AH1922" s="4" t="s">
        <v>241</v>
      </c>
      <c r="AI1922" s="4" t="s">
        <v>247</v>
      </c>
      <c r="AJ1922" s="4" t="s">
        <v>248</v>
      </c>
      <c r="AZ1922" s="4" t="s">
        <v>249</v>
      </c>
      <c r="BA1922" s="4" t="s">
        <v>241</v>
      </c>
      <c r="BB1922" s="4" t="s">
        <v>250</v>
      </c>
      <c r="BC1922" s="4" t="s">
        <v>241</v>
      </c>
      <c r="BD1922" s="4" t="s">
        <v>252</v>
      </c>
      <c r="BE1922" s="4" t="s">
        <v>241</v>
      </c>
      <c r="BI1922" s="4" t="s">
        <v>253</v>
      </c>
      <c r="BJ1922" s="5" t="s">
        <v>246</v>
      </c>
      <c r="BK1922" s="4" t="s">
        <v>254</v>
      </c>
      <c r="BL1922" s="4" t="s">
        <v>255</v>
      </c>
      <c r="BM1922" s="4" t="s">
        <v>241</v>
      </c>
      <c r="BN1922" s="6">
        <f>0</f>
        <v>0</v>
      </c>
      <c r="BO1922" s="6">
        <f>0</f>
        <v>0</v>
      </c>
      <c r="BP1922" s="4" t="s">
        <v>256</v>
      </c>
      <c r="BQ1922" s="4" t="s">
        <v>257</v>
      </c>
      <c r="CE1922" s="4" t="s">
        <v>241</v>
      </c>
      <c r="CF1922" s="4" t="s">
        <v>241</v>
      </c>
      <c r="CJ1922" s="4" t="s">
        <v>276</v>
      </c>
      <c r="CK1922" s="4" t="s">
        <v>259</v>
      </c>
      <c r="CL1922" s="4" t="s">
        <v>241</v>
      </c>
      <c r="CO1922" s="5" t="s">
        <v>260</v>
      </c>
      <c r="CP1922" s="4" t="s">
        <v>241</v>
      </c>
      <c r="CQ1922" s="4" t="s">
        <v>261</v>
      </c>
      <c r="CR1922" s="4" t="s">
        <v>241</v>
      </c>
      <c r="CS1922" s="4" t="s">
        <v>241</v>
      </c>
      <c r="CT1922" s="4">
        <v>0</v>
      </c>
      <c r="CU1922" s="4" t="s">
        <v>262</v>
      </c>
      <c r="CV1922" s="4" t="s">
        <v>263</v>
      </c>
      <c r="CW1922" s="4" t="s">
        <v>263</v>
      </c>
      <c r="CX1922" s="4" t="s">
        <v>264</v>
      </c>
      <c r="DA1922" s="6">
        <f>1</f>
        <v>1</v>
      </c>
      <c r="DC1922" s="4" t="s">
        <v>325</v>
      </c>
      <c r="DD1922" s="4" t="s">
        <v>241</v>
      </c>
      <c r="DF1922" s="4" t="s">
        <v>325</v>
      </c>
      <c r="DG1922" s="6">
        <f>385</f>
        <v>385</v>
      </c>
      <c r="DI1922" s="4" t="s">
        <v>241</v>
      </c>
      <c r="DJ1922" s="4" t="s">
        <v>241</v>
      </c>
      <c r="DK1922" s="4" t="s">
        <v>241</v>
      </c>
      <c r="DL1922" s="4" t="s">
        <v>241</v>
      </c>
      <c r="DP1922" s="4" t="s">
        <v>241</v>
      </c>
      <c r="DQ1922" s="4" t="s">
        <v>241</v>
      </c>
      <c r="DR1922" s="4" t="s">
        <v>241</v>
      </c>
      <c r="DS1922" s="4" t="s">
        <v>241</v>
      </c>
      <c r="DV1922" s="4" t="s">
        <v>426</v>
      </c>
      <c r="DW1922" s="4" t="s">
        <v>748</v>
      </c>
      <c r="HO1922" s="4" t="s">
        <v>267</v>
      </c>
    </row>
    <row r="1923" spans="1:223" ht="19.5" customHeight="1" x14ac:dyDescent="0.4">
      <c r="A1923" s="4">
        <v>1</v>
      </c>
      <c r="B1923" s="4" t="s">
        <v>239</v>
      </c>
      <c r="C1923" s="4">
        <v>3626</v>
      </c>
      <c r="D1923" s="4">
        <v>1</v>
      </c>
      <c r="E1923" s="4">
        <v>1</v>
      </c>
      <c r="F1923" s="4" t="s">
        <v>268</v>
      </c>
      <c r="G1923" s="4" t="s">
        <v>241</v>
      </c>
      <c r="H1923" s="4" t="s">
        <v>241</v>
      </c>
      <c r="I1923" s="4" t="s">
        <v>424</v>
      </c>
      <c r="J1923" s="4" t="s">
        <v>274</v>
      </c>
      <c r="K1923" s="4" t="s">
        <v>251</v>
      </c>
      <c r="L1923" s="4" t="s">
        <v>423</v>
      </c>
      <c r="M1923" s="5" t="s">
        <v>3808</v>
      </c>
      <c r="N1923" s="6">
        <f>863</f>
        <v>863</v>
      </c>
      <c r="O1923" s="4" t="s">
        <v>265</v>
      </c>
      <c r="P1923" s="6">
        <f>1</f>
        <v>1</v>
      </c>
      <c r="Q1923" s="6">
        <f>0</f>
        <v>0</v>
      </c>
      <c r="S1923" s="6">
        <f>0</f>
        <v>0</v>
      </c>
      <c r="T1923" s="6">
        <f>1</f>
        <v>1</v>
      </c>
      <c r="U1923" s="5" t="s">
        <v>245</v>
      </c>
      <c r="V1923" s="4" t="s">
        <v>270</v>
      </c>
      <c r="W1923" s="4" t="s">
        <v>271</v>
      </c>
      <c r="X1923" s="4" t="s">
        <v>273</v>
      </c>
      <c r="Y1923" s="4" t="s">
        <v>241</v>
      </c>
      <c r="AB1923" s="4" t="s">
        <v>241</v>
      </c>
      <c r="AD1923" s="5" t="s">
        <v>241</v>
      </c>
      <c r="AG1923" s="5" t="s">
        <v>246</v>
      </c>
      <c r="AH1923" s="4" t="s">
        <v>241</v>
      </c>
      <c r="AI1923" s="4" t="s">
        <v>247</v>
      </c>
      <c r="AJ1923" s="4" t="s">
        <v>248</v>
      </c>
      <c r="AZ1923" s="4" t="s">
        <v>249</v>
      </c>
      <c r="BA1923" s="4" t="s">
        <v>241</v>
      </c>
      <c r="BB1923" s="4" t="s">
        <v>250</v>
      </c>
      <c r="BC1923" s="4" t="s">
        <v>241</v>
      </c>
      <c r="BD1923" s="4" t="s">
        <v>252</v>
      </c>
      <c r="BE1923" s="4" t="s">
        <v>241</v>
      </c>
      <c r="BI1923" s="4" t="s">
        <v>253</v>
      </c>
      <c r="BJ1923" s="5" t="s">
        <v>246</v>
      </c>
      <c r="BK1923" s="4" t="s">
        <v>254</v>
      </c>
      <c r="BL1923" s="4" t="s">
        <v>255</v>
      </c>
      <c r="BM1923" s="4" t="s">
        <v>241</v>
      </c>
      <c r="BN1923" s="6">
        <f>0</f>
        <v>0</v>
      </c>
      <c r="BO1923" s="6">
        <f>0</f>
        <v>0</v>
      </c>
      <c r="BP1923" s="4" t="s">
        <v>256</v>
      </c>
      <c r="BQ1923" s="4" t="s">
        <v>257</v>
      </c>
      <c r="CE1923" s="4" t="s">
        <v>241</v>
      </c>
      <c r="CF1923" s="4" t="s">
        <v>241</v>
      </c>
      <c r="CJ1923" s="4" t="s">
        <v>276</v>
      </c>
      <c r="CK1923" s="4" t="s">
        <v>259</v>
      </c>
      <c r="CL1923" s="4" t="s">
        <v>241</v>
      </c>
      <c r="CO1923" s="5" t="s">
        <v>260</v>
      </c>
      <c r="CP1923" s="4" t="s">
        <v>241</v>
      </c>
      <c r="CQ1923" s="4" t="s">
        <v>261</v>
      </c>
      <c r="CR1923" s="4" t="s">
        <v>241</v>
      </c>
      <c r="CS1923" s="4" t="s">
        <v>241</v>
      </c>
      <c r="CT1923" s="4">
        <v>0</v>
      </c>
      <c r="CU1923" s="4" t="s">
        <v>262</v>
      </c>
      <c r="CV1923" s="4" t="s">
        <v>263</v>
      </c>
      <c r="CW1923" s="4" t="s">
        <v>263</v>
      </c>
      <c r="CX1923" s="4" t="s">
        <v>264</v>
      </c>
      <c r="DA1923" s="6">
        <f>1</f>
        <v>1</v>
      </c>
      <c r="DC1923" s="4" t="s">
        <v>325</v>
      </c>
      <c r="DD1923" s="4" t="s">
        <v>241</v>
      </c>
      <c r="DF1923" s="4" t="s">
        <v>325</v>
      </c>
      <c r="DG1923" s="6">
        <f>863</f>
        <v>863</v>
      </c>
      <c r="DI1923" s="4" t="s">
        <v>241</v>
      </c>
      <c r="DJ1923" s="4" t="s">
        <v>241</v>
      </c>
      <c r="DK1923" s="4" t="s">
        <v>241</v>
      </c>
      <c r="DL1923" s="4" t="s">
        <v>241</v>
      </c>
      <c r="DP1923" s="4" t="s">
        <v>241</v>
      </c>
      <c r="DQ1923" s="4" t="s">
        <v>241</v>
      </c>
      <c r="DR1923" s="4" t="s">
        <v>241</v>
      </c>
      <c r="DS1923" s="4" t="s">
        <v>241</v>
      </c>
      <c r="DV1923" s="4" t="s">
        <v>426</v>
      </c>
      <c r="DW1923" s="4" t="s">
        <v>719</v>
      </c>
      <c r="HO1923" s="4" t="s">
        <v>267</v>
      </c>
    </row>
    <row r="1924" spans="1:223" ht="19.5" customHeight="1" x14ac:dyDescent="0.4">
      <c r="A1924" s="4">
        <v>1</v>
      </c>
      <c r="B1924" s="4" t="s">
        <v>239</v>
      </c>
      <c r="C1924" s="4">
        <v>3627</v>
      </c>
      <c r="D1924" s="4">
        <v>1</v>
      </c>
      <c r="E1924" s="4">
        <v>1</v>
      </c>
      <c r="F1924" s="4" t="s">
        <v>268</v>
      </c>
      <c r="G1924" s="4" t="s">
        <v>241</v>
      </c>
      <c r="H1924" s="4" t="s">
        <v>241</v>
      </c>
      <c r="I1924" s="4" t="s">
        <v>424</v>
      </c>
      <c r="J1924" s="4" t="s">
        <v>274</v>
      </c>
      <c r="K1924" s="4" t="s">
        <v>251</v>
      </c>
      <c r="L1924" s="4" t="s">
        <v>423</v>
      </c>
      <c r="M1924" s="5" t="s">
        <v>3810</v>
      </c>
      <c r="N1924" s="6">
        <f>1780</f>
        <v>1780</v>
      </c>
      <c r="O1924" s="4" t="s">
        <v>265</v>
      </c>
      <c r="P1924" s="6">
        <f>1</f>
        <v>1</v>
      </c>
      <c r="Q1924" s="6">
        <f>0</f>
        <v>0</v>
      </c>
      <c r="S1924" s="6">
        <f>0</f>
        <v>0</v>
      </c>
      <c r="T1924" s="6">
        <f>1</f>
        <v>1</v>
      </c>
      <c r="U1924" s="5" t="s">
        <v>245</v>
      </c>
      <c r="V1924" s="4" t="s">
        <v>270</v>
      </c>
      <c r="W1924" s="4" t="s">
        <v>271</v>
      </c>
      <c r="X1924" s="4" t="s">
        <v>273</v>
      </c>
      <c r="Y1924" s="4" t="s">
        <v>241</v>
      </c>
      <c r="AB1924" s="4" t="s">
        <v>241</v>
      </c>
      <c r="AD1924" s="5" t="s">
        <v>241</v>
      </c>
      <c r="AG1924" s="5" t="s">
        <v>246</v>
      </c>
      <c r="AH1924" s="4" t="s">
        <v>241</v>
      </c>
      <c r="AI1924" s="4" t="s">
        <v>247</v>
      </c>
      <c r="AJ1924" s="4" t="s">
        <v>248</v>
      </c>
      <c r="AZ1924" s="4" t="s">
        <v>249</v>
      </c>
      <c r="BA1924" s="4" t="s">
        <v>241</v>
      </c>
      <c r="BB1924" s="4" t="s">
        <v>250</v>
      </c>
      <c r="BC1924" s="4" t="s">
        <v>241</v>
      </c>
      <c r="BD1924" s="4" t="s">
        <v>252</v>
      </c>
      <c r="BE1924" s="4" t="s">
        <v>241</v>
      </c>
      <c r="BI1924" s="4" t="s">
        <v>253</v>
      </c>
      <c r="BJ1924" s="5" t="s">
        <v>246</v>
      </c>
      <c r="BK1924" s="4" t="s">
        <v>254</v>
      </c>
      <c r="BL1924" s="4" t="s">
        <v>255</v>
      </c>
      <c r="BM1924" s="4" t="s">
        <v>241</v>
      </c>
      <c r="BN1924" s="6">
        <f>0</f>
        <v>0</v>
      </c>
      <c r="BO1924" s="6">
        <f>0</f>
        <v>0</v>
      </c>
      <c r="BP1924" s="4" t="s">
        <v>256</v>
      </c>
      <c r="BQ1924" s="4" t="s">
        <v>257</v>
      </c>
      <c r="CE1924" s="4" t="s">
        <v>241</v>
      </c>
      <c r="CF1924" s="4" t="s">
        <v>241</v>
      </c>
      <c r="CJ1924" s="4" t="s">
        <v>276</v>
      </c>
      <c r="CK1924" s="4" t="s">
        <v>259</v>
      </c>
      <c r="CL1924" s="4" t="s">
        <v>241</v>
      </c>
      <c r="CO1924" s="5" t="s">
        <v>260</v>
      </c>
      <c r="CP1924" s="4" t="s">
        <v>241</v>
      </c>
      <c r="CQ1924" s="4" t="s">
        <v>261</v>
      </c>
      <c r="CR1924" s="4" t="s">
        <v>241</v>
      </c>
      <c r="CS1924" s="4" t="s">
        <v>241</v>
      </c>
      <c r="CT1924" s="4">
        <v>0</v>
      </c>
      <c r="CU1924" s="4" t="s">
        <v>262</v>
      </c>
      <c r="CV1924" s="4" t="s">
        <v>263</v>
      </c>
      <c r="CW1924" s="4" t="s">
        <v>263</v>
      </c>
      <c r="CX1924" s="4" t="s">
        <v>264</v>
      </c>
      <c r="DA1924" s="6">
        <f>1</f>
        <v>1</v>
      </c>
      <c r="DC1924" s="4" t="s">
        <v>325</v>
      </c>
      <c r="DD1924" s="4" t="s">
        <v>241</v>
      </c>
      <c r="DF1924" s="4" t="s">
        <v>325</v>
      </c>
      <c r="DG1924" s="6">
        <f>1780</f>
        <v>1780</v>
      </c>
      <c r="DI1924" s="4" t="s">
        <v>241</v>
      </c>
      <c r="DJ1924" s="4" t="s">
        <v>241</v>
      </c>
      <c r="DK1924" s="4" t="s">
        <v>241</v>
      </c>
      <c r="DL1924" s="4" t="s">
        <v>241</v>
      </c>
      <c r="DP1924" s="4" t="s">
        <v>241</v>
      </c>
      <c r="DQ1924" s="4" t="s">
        <v>241</v>
      </c>
      <c r="DR1924" s="4" t="s">
        <v>241</v>
      </c>
      <c r="DS1924" s="4" t="s">
        <v>241</v>
      </c>
      <c r="DV1924" s="4" t="s">
        <v>426</v>
      </c>
      <c r="DW1924" s="4" t="s">
        <v>690</v>
      </c>
      <c r="HO1924" s="4" t="s">
        <v>267</v>
      </c>
    </row>
    <row r="1925" spans="1:223" ht="19.5" customHeight="1" x14ac:dyDescent="0.4">
      <c r="A1925" s="4">
        <v>1</v>
      </c>
      <c r="B1925" s="4" t="s">
        <v>239</v>
      </c>
      <c r="C1925" s="4">
        <v>3628</v>
      </c>
      <c r="D1925" s="4">
        <v>1</v>
      </c>
      <c r="E1925" s="4">
        <v>1</v>
      </c>
      <c r="F1925" s="4" t="s">
        <v>268</v>
      </c>
      <c r="G1925" s="4" t="s">
        <v>241</v>
      </c>
      <c r="H1925" s="4" t="s">
        <v>241</v>
      </c>
      <c r="I1925" s="4" t="s">
        <v>424</v>
      </c>
      <c r="J1925" s="4" t="s">
        <v>274</v>
      </c>
      <c r="K1925" s="4" t="s">
        <v>251</v>
      </c>
      <c r="L1925" s="4" t="s">
        <v>423</v>
      </c>
      <c r="M1925" s="5" t="s">
        <v>3813</v>
      </c>
      <c r="N1925" s="6">
        <f>496</f>
        <v>496</v>
      </c>
      <c r="O1925" s="4" t="s">
        <v>265</v>
      </c>
      <c r="P1925" s="6">
        <f>1</f>
        <v>1</v>
      </c>
      <c r="Q1925" s="6">
        <f>0</f>
        <v>0</v>
      </c>
      <c r="S1925" s="6">
        <f>0</f>
        <v>0</v>
      </c>
      <c r="T1925" s="6">
        <f>1</f>
        <v>1</v>
      </c>
      <c r="U1925" s="5" t="s">
        <v>245</v>
      </c>
      <c r="V1925" s="4" t="s">
        <v>270</v>
      </c>
      <c r="W1925" s="4" t="s">
        <v>271</v>
      </c>
      <c r="X1925" s="4" t="s">
        <v>273</v>
      </c>
      <c r="Y1925" s="4" t="s">
        <v>241</v>
      </c>
      <c r="AB1925" s="4" t="s">
        <v>241</v>
      </c>
      <c r="AD1925" s="5" t="s">
        <v>241</v>
      </c>
      <c r="AG1925" s="5" t="s">
        <v>246</v>
      </c>
      <c r="AH1925" s="4" t="s">
        <v>241</v>
      </c>
      <c r="AI1925" s="4" t="s">
        <v>247</v>
      </c>
      <c r="AJ1925" s="4" t="s">
        <v>248</v>
      </c>
      <c r="AZ1925" s="4" t="s">
        <v>249</v>
      </c>
      <c r="BA1925" s="4" t="s">
        <v>241</v>
      </c>
      <c r="BB1925" s="4" t="s">
        <v>250</v>
      </c>
      <c r="BC1925" s="4" t="s">
        <v>241</v>
      </c>
      <c r="BD1925" s="4" t="s">
        <v>252</v>
      </c>
      <c r="BE1925" s="4" t="s">
        <v>241</v>
      </c>
      <c r="BI1925" s="4" t="s">
        <v>253</v>
      </c>
      <c r="BJ1925" s="5" t="s">
        <v>246</v>
      </c>
      <c r="BK1925" s="4" t="s">
        <v>254</v>
      </c>
      <c r="BL1925" s="4" t="s">
        <v>255</v>
      </c>
      <c r="BM1925" s="4" t="s">
        <v>241</v>
      </c>
      <c r="BN1925" s="6">
        <f>0</f>
        <v>0</v>
      </c>
      <c r="BO1925" s="6">
        <f>0</f>
        <v>0</v>
      </c>
      <c r="BP1925" s="4" t="s">
        <v>256</v>
      </c>
      <c r="BQ1925" s="4" t="s">
        <v>257</v>
      </c>
      <c r="CE1925" s="4" t="s">
        <v>241</v>
      </c>
      <c r="CF1925" s="4" t="s">
        <v>241</v>
      </c>
      <c r="CJ1925" s="4" t="s">
        <v>276</v>
      </c>
      <c r="CK1925" s="4" t="s">
        <v>259</v>
      </c>
      <c r="CL1925" s="4" t="s">
        <v>241</v>
      </c>
      <c r="CO1925" s="5" t="s">
        <v>260</v>
      </c>
      <c r="CP1925" s="4" t="s">
        <v>241</v>
      </c>
      <c r="CQ1925" s="4" t="s">
        <v>261</v>
      </c>
      <c r="CR1925" s="4" t="s">
        <v>241</v>
      </c>
      <c r="CS1925" s="4" t="s">
        <v>241</v>
      </c>
      <c r="CT1925" s="4">
        <v>0</v>
      </c>
      <c r="CU1925" s="4" t="s">
        <v>262</v>
      </c>
      <c r="CV1925" s="4" t="s">
        <v>263</v>
      </c>
      <c r="CW1925" s="4" t="s">
        <v>263</v>
      </c>
      <c r="CX1925" s="4" t="s">
        <v>264</v>
      </c>
      <c r="DA1925" s="6">
        <f>1</f>
        <v>1</v>
      </c>
      <c r="DC1925" s="4" t="s">
        <v>325</v>
      </c>
      <c r="DD1925" s="4" t="s">
        <v>241</v>
      </c>
      <c r="DF1925" s="4" t="s">
        <v>325</v>
      </c>
      <c r="DG1925" s="6">
        <f>496</f>
        <v>496</v>
      </c>
      <c r="DI1925" s="4" t="s">
        <v>241</v>
      </c>
      <c r="DJ1925" s="4" t="s">
        <v>241</v>
      </c>
      <c r="DK1925" s="4" t="s">
        <v>241</v>
      </c>
      <c r="DL1925" s="4" t="s">
        <v>241</v>
      </c>
      <c r="DP1925" s="4" t="s">
        <v>241</v>
      </c>
      <c r="DQ1925" s="4" t="s">
        <v>241</v>
      </c>
      <c r="DR1925" s="4" t="s">
        <v>241</v>
      </c>
      <c r="DS1925" s="4" t="s">
        <v>241</v>
      </c>
      <c r="DV1925" s="4" t="s">
        <v>426</v>
      </c>
      <c r="DW1925" s="4" t="s">
        <v>628</v>
      </c>
      <c r="HO1925" s="4" t="s">
        <v>267</v>
      </c>
    </row>
    <row r="1926" spans="1:223" ht="19.5" customHeight="1" x14ac:dyDescent="0.4">
      <c r="A1926" s="4">
        <v>1</v>
      </c>
      <c r="B1926" s="4" t="s">
        <v>239</v>
      </c>
      <c r="C1926" s="4">
        <v>3629</v>
      </c>
      <c r="D1926" s="4">
        <v>1</v>
      </c>
      <c r="E1926" s="4">
        <v>1</v>
      </c>
      <c r="F1926" s="4" t="s">
        <v>268</v>
      </c>
      <c r="G1926" s="4" t="s">
        <v>241</v>
      </c>
      <c r="H1926" s="4" t="s">
        <v>241</v>
      </c>
      <c r="I1926" s="4" t="s">
        <v>424</v>
      </c>
      <c r="J1926" s="4" t="s">
        <v>274</v>
      </c>
      <c r="K1926" s="4" t="s">
        <v>251</v>
      </c>
      <c r="L1926" s="4" t="s">
        <v>423</v>
      </c>
      <c r="M1926" s="5" t="s">
        <v>3815</v>
      </c>
      <c r="N1926" s="6">
        <f>1089</f>
        <v>1089</v>
      </c>
      <c r="O1926" s="4" t="s">
        <v>265</v>
      </c>
      <c r="P1926" s="6">
        <f>1</f>
        <v>1</v>
      </c>
      <c r="Q1926" s="6">
        <f>0</f>
        <v>0</v>
      </c>
      <c r="S1926" s="6">
        <f>0</f>
        <v>0</v>
      </c>
      <c r="T1926" s="6">
        <f>1</f>
        <v>1</v>
      </c>
      <c r="U1926" s="5" t="s">
        <v>245</v>
      </c>
      <c r="V1926" s="4" t="s">
        <v>270</v>
      </c>
      <c r="W1926" s="4" t="s">
        <v>271</v>
      </c>
      <c r="X1926" s="4" t="s">
        <v>273</v>
      </c>
      <c r="Y1926" s="4" t="s">
        <v>241</v>
      </c>
      <c r="AB1926" s="4" t="s">
        <v>241</v>
      </c>
      <c r="AD1926" s="5" t="s">
        <v>241</v>
      </c>
      <c r="AG1926" s="5" t="s">
        <v>246</v>
      </c>
      <c r="AH1926" s="4" t="s">
        <v>241</v>
      </c>
      <c r="AI1926" s="4" t="s">
        <v>247</v>
      </c>
      <c r="AJ1926" s="4" t="s">
        <v>248</v>
      </c>
      <c r="AZ1926" s="4" t="s">
        <v>249</v>
      </c>
      <c r="BA1926" s="4" t="s">
        <v>241</v>
      </c>
      <c r="BB1926" s="4" t="s">
        <v>250</v>
      </c>
      <c r="BC1926" s="4" t="s">
        <v>241</v>
      </c>
      <c r="BD1926" s="4" t="s">
        <v>252</v>
      </c>
      <c r="BE1926" s="4" t="s">
        <v>241</v>
      </c>
      <c r="BI1926" s="4" t="s">
        <v>253</v>
      </c>
      <c r="BJ1926" s="5" t="s">
        <v>246</v>
      </c>
      <c r="BK1926" s="4" t="s">
        <v>254</v>
      </c>
      <c r="BL1926" s="4" t="s">
        <v>255</v>
      </c>
      <c r="BM1926" s="4" t="s">
        <v>241</v>
      </c>
      <c r="BN1926" s="6">
        <f>0</f>
        <v>0</v>
      </c>
      <c r="BO1926" s="6">
        <f>0</f>
        <v>0</v>
      </c>
      <c r="BP1926" s="4" t="s">
        <v>256</v>
      </c>
      <c r="BQ1926" s="4" t="s">
        <v>257</v>
      </c>
      <c r="CE1926" s="4" t="s">
        <v>241</v>
      </c>
      <c r="CF1926" s="4" t="s">
        <v>241</v>
      </c>
      <c r="CJ1926" s="4" t="s">
        <v>276</v>
      </c>
      <c r="CK1926" s="4" t="s">
        <v>259</v>
      </c>
      <c r="CL1926" s="4" t="s">
        <v>241</v>
      </c>
      <c r="CO1926" s="5" t="s">
        <v>260</v>
      </c>
      <c r="CP1926" s="4" t="s">
        <v>241</v>
      </c>
      <c r="CQ1926" s="4" t="s">
        <v>261</v>
      </c>
      <c r="CR1926" s="4" t="s">
        <v>241</v>
      </c>
      <c r="CS1926" s="4" t="s">
        <v>241</v>
      </c>
      <c r="CT1926" s="4">
        <v>0</v>
      </c>
      <c r="CU1926" s="4" t="s">
        <v>262</v>
      </c>
      <c r="CV1926" s="4" t="s">
        <v>263</v>
      </c>
      <c r="CW1926" s="4" t="s">
        <v>263</v>
      </c>
      <c r="CX1926" s="4" t="s">
        <v>264</v>
      </c>
      <c r="DA1926" s="6">
        <f>1</f>
        <v>1</v>
      </c>
      <c r="DC1926" s="4" t="s">
        <v>325</v>
      </c>
      <c r="DD1926" s="4" t="s">
        <v>241</v>
      </c>
      <c r="DF1926" s="4" t="s">
        <v>325</v>
      </c>
      <c r="DG1926" s="6">
        <f>1089</f>
        <v>1089</v>
      </c>
      <c r="DI1926" s="4" t="s">
        <v>241</v>
      </c>
      <c r="DJ1926" s="4" t="s">
        <v>241</v>
      </c>
      <c r="DK1926" s="4" t="s">
        <v>241</v>
      </c>
      <c r="DL1926" s="4" t="s">
        <v>241</v>
      </c>
      <c r="DP1926" s="4" t="s">
        <v>241</v>
      </c>
      <c r="DQ1926" s="4" t="s">
        <v>241</v>
      </c>
      <c r="DR1926" s="4" t="s">
        <v>241</v>
      </c>
      <c r="DS1926" s="4" t="s">
        <v>241</v>
      </c>
      <c r="DV1926" s="4" t="s">
        <v>426</v>
      </c>
      <c r="DW1926" s="4" t="s">
        <v>597</v>
      </c>
      <c r="HO1926" s="4" t="s">
        <v>267</v>
      </c>
    </row>
    <row r="1927" spans="1:223" ht="19.5" customHeight="1" x14ac:dyDescent="0.4">
      <c r="A1927" s="4">
        <v>1</v>
      </c>
      <c r="B1927" s="4" t="s">
        <v>239</v>
      </c>
      <c r="C1927" s="4">
        <v>3630</v>
      </c>
      <c r="D1927" s="4">
        <v>1</v>
      </c>
      <c r="E1927" s="4">
        <v>1</v>
      </c>
      <c r="F1927" s="4" t="s">
        <v>268</v>
      </c>
      <c r="G1927" s="4" t="s">
        <v>241</v>
      </c>
      <c r="H1927" s="4" t="s">
        <v>241</v>
      </c>
      <c r="I1927" s="4" t="s">
        <v>424</v>
      </c>
      <c r="J1927" s="4" t="s">
        <v>274</v>
      </c>
      <c r="K1927" s="4" t="s">
        <v>251</v>
      </c>
      <c r="L1927" s="4" t="s">
        <v>423</v>
      </c>
      <c r="M1927" s="5" t="s">
        <v>3817</v>
      </c>
      <c r="N1927" s="6">
        <f>1438</f>
        <v>1438</v>
      </c>
      <c r="O1927" s="4" t="s">
        <v>265</v>
      </c>
      <c r="P1927" s="6">
        <f>1</f>
        <v>1</v>
      </c>
      <c r="Q1927" s="6">
        <f>0</f>
        <v>0</v>
      </c>
      <c r="S1927" s="6">
        <f>0</f>
        <v>0</v>
      </c>
      <c r="T1927" s="6">
        <f>1</f>
        <v>1</v>
      </c>
      <c r="U1927" s="5" t="s">
        <v>245</v>
      </c>
      <c r="V1927" s="4" t="s">
        <v>270</v>
      </c>
      <c r="W1927" s="4" t="s">
        <v>271</v>
      </c>
      <c r="X1927" s="4" t="s">
        <v>273</v>
      </c>
      <c r="Y1927" s="4" t="s">
        <v>241</v>
      </c>
      <c r="AB1927" s="4" t="s">
        <v>241</v>
      </c>
      <c r="AD1927" s="5" t="s">
        <v>241</v>
      </c>
      <c r="AG1927" s="5" t="s">
        <v>246</v>
      </c>
      <c r="AH1927" s="4" t="s">
        <v>241</v>
      </c>
      <c r="AI1927" s="4" t="s">
        <v>247</v>
      </c>
      <c r="AJ1927" s="4" t="s">
        <v>248</v>
      </c>
      <c r="AZ1927" s="4" t="s">
        <v>249</v>
      </c>
      <c r="BA1927" s="4" t="s">
        <v>241</v>
      </c>
      <c r="BB1927" s="4" t="s">
        <v>250</v>
      </c>
      <c r="BC1927" s="4" t="s">
        <v>241</v>
      </c>
      <c r="BD1927" s="4" t="s">
        <v>252</v>
      </c>
      <c r="BE1927" s="4" t="s">
        <v>241</v>
      </c>
      <c r="BI1927" s="4" t="s">
        <v>253</v>
      </c>
      <c r="BJ1927" s="5" t="s">
        <v>246</v>
      </c>
      <c r="BK1927" s="4" t="s">
        <v>254</v>
      </c>
      <c r="BL1927" s="4" t="s">
        <v>255</v>
      </c>
      <c r="BM1927" s="4" t="s">
        <v>241</v>
      </c>
      <c r="BN1927" s="6">
        <f>0</f>
        <v>0</v>
      </c>
      <c r="BO1927" s="6">
        <f>0</f>
        <v>0</v>
      </c>
      <c r="BP1927" s="4" t="s">
        <v>256</v>
      </c>
      <c r="BQ1927" s="4" t="s">
        <v>257</v>
      </c>
      <c r="CE1927" s="4" t="s">
        <v>241</v>
      </c>
      <c r="CF1927" s="4" t="s">
        <v>241</v>
      </c>
      <c r="CJ1927" s="4" t="s">
        <v>276</v>
      </c>
      <c r="CK1927" s="4" t="s">
        <v>259</v>
      </c>
      <c r="CL1927" s="4" t="s">
        <v>241</v>
      </c>
      <c r="CO1927" s="5" t="s">
        <v>260</v>
      </c>
      <c r="CP1927" s="4" t="s">
        <v>241</v>
      </c>
      <c r="CQ1927" s="4" t="s">
        <v>261</v>
      </c>
      <c r="CR1927" s="4" t="s">
        <v>241</v>
      </c>
      <c r="CS1927" s="4" t="s">
        <v>241</v>
      </c>
      <c r="CT1927" s="4">
        <v>0</v>
      </c>
      <c r="CU1927" s="4" t="s">
        <v>262</v>
      </c>
      <c r="CV1927" s="4" t="s">
        <v>263</v>
      </c>
      <c r="CW1927" s="4" t="s">
        <v>263</v>
      </c>
      <c r="CX1927" s="4" t="s">
        <v>264</v>
      </c>
      <c r="DA1927" s="6">
        <f>1</f>
        <v>1</v>
      </c>
      <c r="DC1927" s="4" t="s">
        <v>325</v>
      </c>
      <c r="DD1927" s="4" t="s">
        <v>241</v>
      </c>
      <c r="DF1927" s="4" t="s">
        <v>325</v>
      </c>
      <c r="DG1927" s="6">
        <f>1438</f>
        <v>1438</v>
      </c>
      <c r="DI1927" s="4" t="s">
        <v>241</v>
      </c>
      <c r="DJ1927" s="4" t="s">
        <v>241</v>
      </c>
      <c r="DK1927" s="4" t="s">
        <v>241</v>
      </c>
      <c r="DL1927" s="4" t="s">
        <v>241</v>
      </c>
      <c r="DP1927" s="4" t="s">
        <v>241</v>
      </c>
      <c r="DQ1927" s="4" t="s">
        <v>241</v>
      </c>
      <c r="DR1927" s="4" t="s">
        <v>241</v>
      </c>
      <c r="DS1927" s="4" t="s">
        <v>241</v>
      </c>
      <c r="DV1927" s="4" t="s">
        <v>426</v>
      </c>
      <c r="DW1927" s="4" t="s">
        <v>1792</v>
      </c>
      <c r="HO1927" s="4" t="s">
        <v>267</v>
      </c>
    </row>
    <row r="1928" spans="1:223" ht="19.5" customHeight="1" x14ac:dyDescent="0.4">
      <c r="A1928" s="4">
        <v>1</v>
      </c>
      <c r="B1928" s="4" t="s">
        <v>239</v>
      </c>
      <c r="C1928" s="4">
        <v>3631</v>
      </c>
      <c r="D1928" s="4">
        <v>1</v>
      </c>
      <c r="E1928" s="4">
        <v>1</v>
      </c>
      <c r="F1928" s="4" t="s">
        <v>268</v>
      </c>
      <c r="G1928" s="4" t="s">
        <v>241</v>
      </c>
      <c r="H1928" s="4" t="s">
        <v>241</v>
      </c>
      <c r="I1928" s="4" t="s">
        <v>424</v>
      </c>
      <c r="J1928" s="4" t="s">
        <v>274</v>
      </c>
      <c r="K1928" s="4" t="s">
        <v>251</v>
      </c>
      <c r="L1928" s="4" t="s">
        <v>423</v>
      </c>
      <c r="M1928" s="5" t="s">
        <v>3819</v>
      </c>
      <c r="N1928" s="6">
        <f>499</f>
        <v>499</v>
      </c>
      <c r="O1928" s="4" t="s">
        <v>265</v>
      </c>
      <c r="P1928" s="6">
        <f>1</f>
        <v>1</v>
      </c>
      <c r="Q1928" s="6">
        <f>0</f>
        <v>0</v>
      </c>
      <c r="S1928" s="6">
        <f>0</f>
        <v>0</v>
      </c>
      <c r="T1928" s="6">
        <f>1</f>
        <v>1</v>
      </c>
      <c r="U1928" s="5" t="s">
        <v>245</v>
      </c>
      <c r="V1928" s="4" t="s">
        <v>270</v>
      </c>
      <c r="W1928" s="4" t="s">
        <v>271</v>
      </c>
      <c r="X1928" s="4" t="s">
        <v>273</v>
      </c>
      <c r="Y1928" s="4" t="s">
        <v>241</v>
      </c>
      <c r="AB1928" s="4" t="s">
        <v>241</v>
      </c>
      <c r="AD1928" s="5" t="s">
        <v>241</v>
      </c>
      <c r="AG1928" s="5" t="s">
        <v>246</v>
      </c>
      <c r="AH1928" s="4" t="s">
        <v>241</v>
      </c>
      <c r="AI1928" s="4" t="s">
        <v>247</v>
      </c>
      <c r="AJ1928" s="4" t="s">
        <v>248</v>
      </c>
      <c r="AZ1928" s="4" t="s">
        <v>249</v>
      </c>
      <c r="BA1928" s="4" t="s">
        <v>241</v>
      </c>
      <c r="BB1928" s="4" t="s">
        <v>250</v>
      </c>
      <c r="BC1928" s="4" t="s">
        <v>241</v>
      </c>
      <c r="BD1928" s="4" t="s">
        <v>252</v>
      </c>
      <c r="BE1928" s="4" t="s">
        <v>241</v>
      </c>
      <c r="BI1928" s="4" t="s">
        <v>253</v>
      </c>
      <c r="BJ1928" s="5" t="s">
        <v>246</v>
      </c>
      <c r="BK1928" s="4" t="s">
        <v>254</v>
      </c>
      <c r="BL1928" s="4" t="s">
        <v>255</v>
      </c>
      <c r="BM1928" s="4" t="s">
        <v>241</v>
      </c>
      <c r="BN1928" s="6">
        <f>0</f>
        <v>0</v>
      </c>
      <c r="BO1928" s="6">
        <f>0</f>
        <v>0</v>
      </c>
      <c r="BP1928" s="4" t="s">
        <v>256</v>
      </c>
      <c r="BQ1928" s="4" t="s">
        <v>257</v>
      </c>
      <c r="CE1928" s="4" t="s">
        <v>241</v>
      </c>
      <c r="CF1928" s="4" t="s">
        <v>241</v>
      </c>
      <c r="CJ1928" s="4" t="s">
        <v>276</v>
      </c>
      <c r="CK1928" s="4" t="s">
        <v>259</v>
      </c>
      <c r="CL1928" s="4" t="s">
        <v>241</v>
      </c>
      <c r="CO1928" s="5" t="s">
        <v>260</v>
      </c>
      <c r="CP1928" s="4" t="s">
        <v>241</v>
      </c>
      <c r="CQ1928" s="4" t="s">
        <v>261</v>
      </c>
      <c r="CR1928" s="4" t="s">
        <v>241</v>
      </c>
      <c r="CS1928" s="4" t="s">
        <v>241</v>
      </c>
      <c r="CT1928" s="4">
        <v>0</v>
      </c>
      <c r="CU1928" s="4" t="s">
        <v>262</v>
      </c>
      <c r="CV1928" s="4" t="s">
        <v>263</v>
      </c>
      <c r="CW1928" s="4" t="s">
        <v>263</v>
      </c>
      <c r="CX1928" s="4" t="s">
        <v>264</v>
      </c>
      <c r="DA1928" s="6">
        <f>1</f>
        <v>1</v>
      </c>
      <c r="DC1928" s="4" t="s">
        <v>325</v>
      </c>
      <c r="DD1928" s="4" t="s">
        <v>241</v>
      </c>
      <c r="DF1928" s="4" t="s">
        <v>325</v>
      </c>
      <c r="DG1928" s="6">
        <f>499</f>
        <v>499</v>
      </c>
      <c r="DI1928" s="4" t="s">
        <v>241</v>
      </c>
      <c r="DJ1928" s="4" t="s">
        <v>241</v>
      </c>
      <c r="DK1928" s="4" t="s">
        <v>241</v>
      </c>
      <c r="DL1928" s="4" t="s">
        <v>241</v>
      </c>
      <c r="DP1928" s="4" t="s">
        <v>241</v>
      </c>
      <c r="DQ1928" s="4" t="s">
        <v>241</v>
      </c>
      <c r="DR1928" s="4" t="s">
        <v>241</v>
      </c>
      <c r="DS1928" s="4" t="s">
        <v>241</v>
      </c>
      <c r="DV1928" s="4" t="s">
        <v>426</v>
      </c>
      <c r="DW1928" s="4" t="s">
        <v>1789</v>
      </c>
      <c r="HO1928" s="4" t="s">
        <v>267</v>
      </c>
    </row>
    <row r="1929" spans="1:223" ht="19.5" customHeight="1" x14ac:dyDescent="0.4">
      <c r="A1929" s="4">
        <v>1</v>
      </c>
      <c r="B1929" s="4" t="s">
        <v>239</v>
      </c>
      <c r="C1929" s="4">
        <v>3632</v>
      </c>
      <c r="D1929" s="4">
        <v>1</v>
      </c>
      <c r="E1929" s="4">
        <v>1</v>
      </c>
      <c r="F1929" s="4" t="s">
        <v>268</v>
      </c>
      <c r="G1929" s="4" t="s">
        <v>241</v>
      </c>
      <c r="H1929" s="4" t="s">
        <v>241</v>
      </c>
      <c r="I1929" s="4" t="s">
        <v>424</v>
      </c>
      <c r="J1929" s="4" t="s">
        <v>274</v>
      </c>
      <c r="K1929" s="4" t="s">
        <v>251</v>
      </c>
      <c r="L1929" s="4" t="s">
        <v>423</v>
      </c>
      <c r="M1929" s="5" t="s">
        <v>4890</v>
      </c>
      <c r="N1929" s="6">
        <f>1201</f>
        <v>1201</v>
      </c>
      <c r="O1929" s="4" t="s">
        <v>265</v>
      </c>
      <c r="P1929" s="6">
        <f>1</f>
        <v>1</v>
      </c>
      <c r="Q1929" s="6">
        <f>0</f>
        <v>0</v>
      </c>
      <c r="S1929" s="6">
        <f>0</f>
        <v>0</v>
      </c>
      <c r="T1929" s="6">
        <f>1</f>
        <v>1</v>
      </c>
      <c r="U1929" s="5" t="s">
        <v>245</v>
      </c>
      <c r="V1929" s="4" t="s">
        <v>270</v>
      </c>
      <c r="W1929" s="4" t="s">
        <v>271</v>
      </c>
      <c r="X1929" s="4" t="s">
        <v>273</v>
      </c>
      <c r="Y1929" s="4" t="s">
        <v>241</v>
      </c>
      <c r="AB1929" s="4" t="s">
        <v>241</v>
      </c>
      <c r="AD1929" s="5" t="s">
        <v>241</v>
      </c>
      <c r="AG1929" s="5" t="s">
        <v>246</v>
      </c>
      <c r="AH1929" s="4" t="s">
        <v>241</v>
      </c>
      <c r="AI1929" s="4" t="s">
        <v>247</v>
      </c>
      <c r="AJ1929" s="4" t="s">
        <v>248</v>
      </c>
      <c r="AZ1929" s="4" t="s">
        <v>249</v>
      </c>
      <c r="BA1929" s="4" t="s">
        <v>241</v>
      </c>
      <c r="BB1929" s="4" t="s">
        <v>250</v>
      </c>
      <c r="BC1929" s="4" t="s">
        <v>241</v>
      </c>
      <c r="BD1929" s="4" t="s">
        <v>252</v>
      </c>
      <c r="BE1929" s="4" t="s">
        <v>241</v>
      </c>
      <c r="BI1929" s="4" t="s">
        <v>253</v>
      </c>
      <c r="BJ1929" s="5" t="s">
        <v>246</v>
      </c>
      <c r="BK1929" s="4" t="s">
        <v>254</v>
      </c>
      <c r="BL1929" s="4" t="s">
        <v>255</v>
      </c>
      <c r="BM1929" s="4" t="s">
        <v>241</v>
      </c>
      <c r="BN1929" s="6">
        <f>0</f>
        <v>0</v>
      </c>
      <c r="BO1929" s="6">
        <f>0</f>
        <v>0</v>
      </c>
      <c r="BP1929" s="4" t="s">
        <v>256</v>
      </c>
      <c r="BQ1929" s="4" t="s">
        <v>257</v>
      </c>
      <c r="CE1929" s="4" t="s">
        <v>241</v>
      </c>
      <c r="CF1929" s="4" t="s">
        <v>241</v>
      </c>
      <c r="CJ1929" s="4" t="s">
        <v>276</v>
      </c>
      <c r="CK1929" s="4" t="s">
        <v>259</v>
      </c>
      <c r="CL1929" s="4" t="s">
        <v>241</v>
      </c>
      <c r="CO1929" s="5" t="s">
        <v>260</v>
      </c>
      <c r="CP1929" s="4" t="s">
        <v>241</v>
      </c>
      <c r="CQ1929" s="4" t="s">
        <v>261</v>
      </c>
      <c r="CR1929" s="4" t="s">
        <v>241</v>
      </c>
      <c r="CS1929" s="4" t="s">
        <v>241</v>
      </c>
      <c r="CT1929" s="4">
        <v>0</v>
      </c>
      <c r="CU1929" s="4" t="s">
        <v>262</v>
      </c>
      <c r="CV1929" s="4" t="s">
        <v>263</v>
      </c>
      <c r="CW1929" s="4" t="s">
        <v>263</v>
      </c>
      <c r="CX1929" s="4" t="s">
        <v>264</v>
      </c>
      <c r="DA1929" s="6">
        <f>1</f>
        <v>1</v>
      </c>
      <c r="DC1929" s="4" t="s">
        <v>325</v>
      </c>
      <c r="DD1929" s="4" t="s">
        <v>241</v>
      </c>
      <c r="DF1929" s="4" t="s">
        <v>325</v>
      </c>
      <c r="DG1929" s="6">
        <f>1201</f>
        <v>1201</v>
      </c>
      <c r="DI1929" s="4" t="s">
        <v>241</v>
      </c>
      <c r="DJ1929" s="4" t="s">
        <v>241</v>
      </c>
      <c r="DK1929" s="4" t="s">
        <v>241</v>
      </c>
      <c r="DL1929" s="4" t="s">
        <v>241</v>
      </c>
      <c r="DP1929" s="4" t="s">
        <v>241</v>
      </c>
      <c r="DQ1929" s="4" t="s">
        <v>241</v>
      </c>
      <c r="DR1929" s="4" t="s">
        <v>241</v>
      </c>
      <c r="DS1929" s="4" t="s">
        <v>241</v>
      </c>
      <c r="DV1929" s="4" t="s">
        <v>426</v>
      </c>
      <c r="DW1929" s="4" t="s">
        <v>1787</v>
      </c>
      <c r="HO1929" s="4" t="s">
        <v>267</v>
      </c>
    </row>
    <row r="1930" spans="1:223" ht="19.5" customHeight="1" x14ac:dyDescent="0.4">
      <c r="A1930" s="4">
        <v>1</v>
      </c>
      <c r="B1930" s="4" t="s">
        <v>239</v>
      </c>
      <c r="C1930" s="4">
        <v>3633</v>
      </c>
      <c r="D1930" s="4">
        <v>1</v>
      </c>
      <c r="E1930" s="4">
        <v>1</v>
      </c>
      <c r="F1930" s="4" t="s">
        <v>268</v>
      </c>
      <c r="G1930" s="4" t="s">
        <v>241</v>
      </c>
      <c r="H1930" s="4" t="s">
        <v>241</v>
      </c>
      <c r="I1930" s="4" t="s">
        <v>424</v>
      </c>
      <c r="J1930" s="4" t="s">
        <v>274</v>
      </c>
      <c r="K1930" s="4" t="s">
        <v>251</v>
      </c>
      <c r="L1930" s="4" t="s">
        <v>423</v>
      </c>
      <c r="M1930" s="5" t="s">
        <v>3727</v>
      </c>
      <c r="N1930" s="6">
        <f>1096</f>
        <v>1096</v>
      </c>
      <c r="O1930" s="4" t="s">
        <v>265</v>
      </c>
      <c r="P1930" s="6">
        <f>1</f>
        <v>1</v>
      </c>
      <c r="Q1930" s="6">
        <f>0</f>
        <v>0</v>
      </c>
      <c r="S1930" s="6">
        <f>0</f>
        <v>0</v>
      </c>
      <c r="T1930" s="6">
        <f>1</f>
        <v>1</v>
      </c>
      <c r="U1930" s="5" t="s">
        <v>245</v>
      </c>
      <c r="V1930" s="4" t="s">
        <v>270</v>
      </c>
      <c r="W1930" s="4" t="s">
        <v>271</v>
      </c>
      <c r="X1930" s="4" t="s">
        <v>273</v>
      </c>
      <c r="Y1930" s="4" t="s">
        <v>241</v>
      </c>
      <c r="AB1930" s="4" t="s">
        <v>241</v>
      </c>
      <c r="AD1930" s="5" t="s">
        <v>241</v>
      </c>
      <c r="AG1930" s="5" t="s">
        <v>246</v>
      </c>
      <c r="AH1930" s="4" t="s">
        <v>241</v>
      </c>
      <c r="AI1930" s="4" t="s">
        <v>247</v>
      </c>
      <c r="AJ1930" s="4" t="s">
        <v>248</v>
      </c>
      <c r="AZ1930" s="4" t="s">
        <v>249</v>
      </c>
      <c r="BA1930" s="4" t="s">
        <v>241</v>
      </c>
      <c r="BB1930" s="4" t="s">
        <v>250</v>
      </c>
      <c r="BC1930" s="4" t="s">
        <v>241</v>
      </c>
      <c r="BD1930" s="4" t="s">
        <v>252</v>
      </c>
      <c r="BE1930" s="4" t="s">
        <v>241</v>
      </c>
      <c r="BI1930" s="4" t="s">
        <v>253</v>
      </c>
      <c r="BJ1930" s="5" t="s">
        <v>246</v>
      </c>
      <c r="BK1930" s="4" t="s">
        <v>254</v>
      </c>
      <c r="BL1930" s="4" t="s">
        <v>255</v>
      </c>
      <c r="BM1930" s="4" t="s">
        <v>241</v>
      </c>
      <c r="BN1930" s="6">
        <f>0</f>
        <v>0</v>
      </c>
      <c r="BO1930" s="6">
        <f>0</f>
        <v>0</v>
      </c>
      <c r="BP1930" s="4" t="s">
        <v>256</v>
      </c>
      <c r="BQ1930" s="4" t="s">
        <v>257</v>
      </c>
      <c r="CE1930" s="4" t="s">
        <v>241</v>
      </c>
      <c r="CF1930" s="4" t="s">
        <v>241</v>
      </c>
      <c r="CJ1930" s="4" t="s">
        <v>276</v>
      </c>
      <c r="CK1930" s="4" t="s">
        <v>259</v>
      </c>
      <c r="CL1930" s="4" t="s">
        <v>241</v>
      </c>
      <c r="CO1930" s="5" t="s">
        <v>260</v>
      </c>
      <c r="CP1930" s="4" t="s">
        <v>241</v>
      </c>
      <c r="CQ1930" s="4" t="s">
        <v>261</v>
      </c>
      <c r="CR1930" s="4" t="s">
        <v>241</v>
      </c>
      <c r="CS1930" s="4" t="s">
        <v>241</v>
      </c>
      <c r="CT1930" s="4">
        <v>0</v>
      </c>
      <c r="CU1930" s="4" t="s">
        <v>262</v>
      </c>
      <c r="CV1930" s="4" t="s">
        <v>263</v>
      </c>
      <c r="CW1930" s="4" t="s">
        <v>263</v>
      </c>
      <c r="CX1930" s="4" t="s">
        <v>264</v>
      </c>
      <c r="DA1930" s="6">
        <f>1</f>
        <v>1</v>
      </c>
      <c r="DC1930" s="4" t="s">
        <v>325</v>
      </c>
      <c r="DD1930" s="4" t="s">
        <v>241</v>
      </c>
      <c r="DF1930" s="4" t="s">
        <v>325</v>
      </c>
      <c r="DG1930" s="6">
        <f>1096</f>
        <v>1096</v>
      </c>
      <c r="DI1930" s="4" t="s">
        <v>241</v>
      </c>
      <c r="DJ1930" s="4" t="s">
        <v>241</v>
      </c>
      <c r="DK1930" s="4" t="s">
        <v>241</v>
      </c>
      <c r="DL1930" s="4" t="s">
        <v>241</v>
      </c>
      <c r="DP1930" s="4" t="s">
        <v>241</v>
      </c>
      <c r="DQ1930" s="4" t="s">
        <v>241</v>
      </c>
      <c r="DR1930" s="4" t="s">
        <v>241</v>
      </c>
      <c r="DS1930" s="4" t="s">
        <v>241</v>
      </c>
      <c r="DV1930" s="4" t="s">
        <v>426</v>
      </c>
      <c r="DW1930" s="4" t="s">
        <v>1785</v>
      </c>
      <c r="HO1930" s="4" t="s">
        <v>267</v>
      </c>
    </row>
    <row r="1931" spans="1:223" ht="19.5" customHeight="1" x14ac:dyDescent="0.4">
      <c r="A1931" s="4">
        <v>1</v>
      </c>
      <c r="B1931" s="4" t="s">
        <v>239</v>
      </c>
      <c r="C1931" s="4">
        <v>3634</v>
      </c>
      <c r="D1931" s="4">
        <v>1</v>
      </c>
      <c r="E1931" s="4">
        <v>1</v>
      </c>
      <c r="F1931" s="4" t="s">
        <v>268</v>
      </c>
      <c r="G1931" s="4" t="s">
        <v>241</v>
      </c>
      <c r="H1931" s="4" t="s">
        <v>241</v>
      </c>
      <c r="I1931" s="4" t="s">
        <v>424</v>
      </c>
      <c r="J1931" s="4" t="s">
        <v>274</v>
      </c>
      <c r="K1931" s="4" t="s">
        <v>251</v>
      </c>
      <c r="L1931" s="4" t="s">
        <v>423</v>
      </c>
      <c r="M1931" s="5" t="s">
        <v>3821</v>
      </c>
      <c r="N1931" s="6">
        <f>1154</f>
        <v>1154</v>
      </c>
      <c r="O1931" s="4" t="s">
        <v>265</v>
      </c>
      <c r="P1931" s="6">
        <f>1</f>
        <v>1</v>
      </c>
      <c r="Q1931" s="6">
        <f>0</f>
        <v>0</v>
      </c>
      <c r="S1931" s="6">
        <f>0</f>
        <v>0</v>
      </c>
      <c r="T1931" s="6">
        <f>1</f>
        <v>1</v>
      </c>
      <c r="U1931" s="5" t="s">
        <v>245</v>
      </c>
      <c r="V1931" s="4" t="s">
        <v>270</v>
      </c>
      <c r="W1931" s="4" t="s">
        <v>271</v>
      </c>
      <c r="X1931" s="4" t="s">
        <v>273</v>
      </c>
      <c r="Y1931" s="4" t="s">
        <v>241</v>
      </c>
      <c r="AB1931" s="4" t="s">
        <v>241</v>
      </c>
      <c r="AD1931" s="5" t="s">
        <v>241</v>
      </c>
      <c r="AG1931" s="5" t="s">
        <v>246</v>
      </c>
      <c r="AH1931" s="4" t="s">
        <v>241</v>
      </c>
      <c r="AI1931" s="4" t="s">
        <v>247</v>
      </c>
      <c r="AJ1931" s="4" t="s">
        <v>248</v>
      </c>
      <c r="AZ1931" s="4" t="s">
        <v>249</v>
      </c>
      <c r="BA1931" s="4" t="s">
        <v>241</v>
      </c>
      <c r="BB1931" s="4" t="s">
        <v>250</v>
      </c>
      <c r="BC1931" s="4" t="s">
        <v>241</v>
      </c>
      <c r="BD1931" s="4" t="s">
        <v>252</v>
      </c>
      <c r="BE1931" s="4" t="s">
        <v>241</v>
      </c>
      <c r="BI1931" s="4" t="s">
        <v>253</v>
      </c>
      <c r="BJ1931" s="5" t="s">
        <v>246</v>
      </c>
      <c r="BK1931" s="4" t="s">
        <v>254</v>
      </c>
      <c r="BL1931" s="4" t="s">
        <v>255</v>
      </c>
      <c r="BM1931" s="4" t="s">
        <v>241</v>
      </c>
      <c r="BN1931" s="6">
        <f>0</f>
        <v>0</v>
      </c>
      <c r="BO1931" s="6">
        <f>0</f>
        <v>0</v>
      </c>
      <c r="BP1931" s="4" t="s">
        <v>256</v>
      </c>
      <c r="BQ1931" s="4" t="s">
        <v>257</v>
      </c>
      <c r="CE1931" s="4" t="s">
        <v>241</v>
      </c>
      <c r="CF1931" s="4" t="s">
        <v>241</v>
      </c>
      <c r="CJ1931" s="4" t="s">
        <v>276</v>
      </c>
      <c r="CK1931" s="4" t="s">
        <v>259</v>
      </c>
      <c r="CL1931" s="4" t="s">
        <v>241</v>
      </c>
      <c r="CO1931" s="5" t="s">
        <v>260</v>
      </c>
      <c r="CP1931" s="4" t="s">
        <v>241</v>
      </c>
      <c r="CQ1931" s="4" t="s">
        <v>261</v>
      </c>
      <c r="CR1931" s="4" t="s">
        <v>241</v>
      </c>
      <c r="CS1931" s="4" t="s">
        <v>241</v>
      </c>
      <c r="CT1931" s="4">
        <v>0</v>
      </c>
      <c r="CU1931" s="4" t="s">
        <v>262</v>
      </c>
      <c r="CV1931" s="4" t="s">
        <v>263</v>
      </c>
      <c r="CW1931" s="4" t="s">
        <v>263</v>
      </c>
      <c r="CX1931" s="4" t="s">
        <v>264</v>
      </c>
      <c r="DA1931" s="6">
        <f>1</f>
        <v>1</v>
      </c>
      <c r="DC1931" s="4" t="s">
        <v>325</v>
      </c>
      <c r="DD1931" s="4" t="s">
        <v>241</v>
      </c>
      <c r="DF1931" s="4" t="s">
        <v>325</v>
      </c>
      <c r="DG1931" s="6">
        <f>1154</f>
        <v>1154</v>
      </c>
      <c r="DI1931" s="4" t="s">
        <v>241</v>
      </c>
      <c r="DJ1931" s="4" t="s">
        <v>241</v>
      </c>
      <c r="DK1931" s="4" t="s">
        <v>241</v>
      </c>
      <c r="DL1931" s="4" t="s">
        <v>241</v>
      </c>
      <c r="DP1931" s="4" t="s">
        <v>241</v>
      </c>
      <c r="DQ1931" s="4" t="s">
        <v>241</v>
      </c>
      <c r="DR1931" s="4" t="s">
        <v>241</v>
      </c>
      <c r="DS1931" s="4" t="s">
        <v>241</v>
      </c>
      <c r="DV1931" s="4" t="s">
        <v>426</v>
      </c>
      <c r="DW1931" s="4" t="s">
        <v>1781</v>
      </c>
      <c r="HO1931" s="4" t="s">
        <v>267</v>
      </c>
    </row>
    <row r="1932" spans="1:223" ht="19.5" customHeight="1" x14ac:dyDescent="0.4">
      <c r="A1932" s="4">
        <v>1</v>
      </c>
      <c r="B1932" s="4" t="s">
        <v>239</v>
      </c>
      <c r="C1932" s="4">
        <v>3635</v>
      </c>
      <c r="D1932" s="4">
        <v>1</v>
      </c>
      <c r="E1932" s="4">
        <v>1</v>
      </c>
      <c r="F1932" s="4" t="s">
        <v>268</v>
      </c>
      <c r="G1932" s="4" t="s">
        <v>241</v>
      </c>
      <c r="H1932" s="4" t="s">
        <v>241</v>
      </c>
      <c r="I1932" s="4" t="s">
        <v>424</v>
      </c>
      <c r="J1932" s="4" t="s">
        <v>274</v>
      </c>
      <c r="K1932" s="4" t="s">
        <v>251</v>
      </c>
      <c r="L1932" s="4" t="s">
        <v>423</v>
      </c>
      <c r="M1932" s="5" t="s">
        <v>3823</v>
      </c>
      <c r="N1932" s="6">
        <f>1093</f>
        <v>1093</v>
      </c>
      <c r="O1932" s="4" t="s">
        <v>265</v>
      </c>
      <c r="P1932" s="6">
        <f>1</f>
        <v>1</v>
      </c>
      <c r="Q1932" s="6">
        <f>0</f>
        <v>0</v>
      </c>
      <c r="S1932" s="6">
        <f>0</f>
        <v>0</v>
      </c>
      <c r="T1932" s="6">
        <f>1</f>
        <v>1</v>
      </c>
      <c r="U1932" s="5" t="s">
        <v>245</v>
      </c>
      <c r="V1932" s="4" t="s">
        <v>270</v>
      </c>
      <c r="W1932" s="4" t="s">
        <v>271</v>
      </c>
      <c r="X1932" s="4" t="s">
        <v>273</v>
      </c>
      <c r="Y1932" s="4" t="s">
        <v>241</v>
      </c>
      <c r="AB1932" s="4" t="s">
        <v>241</v>
      </c>
      <c r="AD1932" s="5" t="s">
        <v>241</v>
      </c>
      <c r="AG1932" s="5" t="s">
        <v>246</v>
      </c>
      <c r="AH1932" s="4" t="s">
        <v>241</v>
      </c>
      <c r="AI1932" s="4" t="s">
        <v>247</v>
      </c>
      <c r="AJ1932" s="4" t="s">
        <v>248</v>
      </c>
      <c r="AZ1932" s="4" t="s">
        <v>249</v>
      </c>
      <c r="BA1932" s="4" t="s">
        <v>241</v>
      </c>
      <c r="BB1932" s="4" t="s">
        <v>250</v>
      </c>
      <c r="BC1932" s="4" t="s">
        <v>241</v>
      </c>
      <c r="BD1932" s="4" t="s">
        <v>252</v>
      </c>
      <c r="BE1932" s="4" t="s">
        <v>241</v>
      </c>
      <c r="BI1932" s="4" t="s">
        <v>253</v>
      </c>
      <c r="BJ1932" s="5" t="s">
        <v>246</v>
      </c>
      <c r="BK1932" s="4" t="s">
        <v>254</v>
      </c>
      <c r="BL1932" s="4" t="s">
        <v>255</v>
      </c>
      <c r="BM1932" s="4" t="s">
        <v>241</v>
      </c>
      <c r="BN1932" s="6">
        <f>0</f>
        <v>0</v>
      </c>
      <c r="BO1932" s="6">
        <f>0</f>
        <v>0</v>
      </c>
      <c r="BP1932" s="4" t="s">
        <v>256</v>
      </c>
      <c r="BQ1932" s="4" t="s">
        <v>257</v>
      </c>
      <c r="CE1932" s="4" t="s">
        <v>241</v>
      </c>
      <c r="CF1932" s="4" t="s">
        <v>241</v>
      </c>
      <c r="CJ1932" s="4" t="s">
        <v>276</v>
      </c>
      <c r="CK1932" s="4" t="s">
        <v>259</v>
      </c>
      <c r="CL1932" s="4" t="s">
        <v>241</v>
      </c>
      <c r="CO1932" s="5" t="s">
        <v>260</v>
      </c>
      <c r="CP1932" s="4" t="s">
        <v>241</v>
      </c>
      <c r="CQ1932" s="4" t="s">
        <v>261</v>
      </c>
      <c r="CR1932" s="4" t="s">
        <v>241</v>
      </c>
      <c r="CS1932" s="4" t="s">
        <v>241</v>
      </c>
      <c r="CT1932" s="4">
        <v>0</v>
      </c>
      <c r="CU1932" s="4" t="s">
        <v>262</v>
      </c>
      <c r="CV1932" s="4" t="s">
        <v>263</v>
      </c>
      <c r="CW1932" s="4" t="s">
        <v>263</v>
      </c>
      <c r="CX1932" s="4" t="s">
        <v>264</v>
      </c>
      <c r="DA1932" s="6">
        <f>1</f>
        <v>1</v>
      </c>
      <c r="DC1932" s="4" t="s">
        <v>325</v>
      </c>
      <c r="DD1932" s="4" t="s">
        <v>241</v>
      </c>
      <c r="DF1932" s="4" t="s">
        <v>325</v>
      </c>
      <c r="DG1932" s="6">
        <f>1093</f>
        <v>1093</v>
      </c>
      <c r="DI1932" s="4" t="s">
        <v>241</v>
      </c>
      <c r="DJ1932" s="4" t="s">
        <v>241</v>
      </c>
      <c r="DK1932" s="4" t="s">
        <v>241</v>
      </c>
      <c r="DL1932" s="4" t="s">
        <v>241</v>
      </c>
      <c r="DP1932" s="4" t="s">
        <v>241</v>
      </c>
      <c r="DQ1932" s="4" t="s">
        <v>241</v>
      </c>
      <c r="DR1932" s="4" t="s">
        <v>241</v>
      </c>
      <c r="DS1932" s="4" t="s">
        <v>241</v>
      </c>
      <c r="DV1932" s="4" t="s">
        <v>426</v>
      </c>
      <c r="DW1932" s="4" t="s">
        <v>2564</v>
      </c>
      <c r="HO1932" s="4" t="s">
        <v>267</v>
      </c>
    </row>
    <row r="1933" spans="1:223" ht="19.5" customHeight="1" x14ac:dyDescent="0.4">
      <c r="A1933" s="4">
        <v>1</v>
      </c>
      <c r="B1933" s="4" t="s">
        <v>239</v>
      </c>
      <c r="C1933" s="4">
        <v>3636</v>
      </c>
      <c r="D1933" s="4">
        <v>1</v>
      </c>
      <c r="E1933" s="4">
        <v>1</v>
      </c>
      <c r="F1933" s="4" t="s">
        <v>268</v>
      </c>
      <c r="G1933" s="4" t="s">
        <v>241</v>
      </c>
      <c r="H1933" s="4" t="s">
        <v>241</v>
      </c>
      <c r="I1933" s="4" t="s">
        <v>424</v>
      </c>
      <c r="J1933" s="4" t="s">
        <v>274</v>
      </c>
      <c r="K1933" s="4" t="s">
        <v>251</v>
      </c>
      <c r="L1933" s="4" t="s">
        <v>423</v>
      </c>
      <c r="M1933" s="5" t="s">
        <v>3825</v>
      </c>
      <c r="N1933" s="6">
        <f>2184</f>
        <v>2184</v>
      </c>
      <c r="O1933" s="4" t="s">
        <v>265</v>
      </c>
      <c r="P1933" s="6">
        <f>1</f>
        <v>1</v>
      </c>
      <c r="Q1933" s="6">
        <f>0</f>
        <v>0</v>
      </c>
      <c r="S1933" s="6">
        <f>0</f>
        <v>0</v>
      </c>
      <c r="T1933" s="6">
        <f>1</f>
        <v>1</v>
      </c>
      <c r="U1933" s="5" t="s">
        <v>245</v>
      </c>
      <c r="V1933" s="4" t="s">
        <v>270</v>
      </c>
      <c r="W1933" s="4" t="s">
        <v>271</v>
      </c>
      <c r="X1933" s="4" t="s">
        <v>273</v>
      </c>
      <c r="Y1933" s="4" t="s">
        <v>241</v>
      </c>
      <c r="AB1933" s="4" t="s">
        <v>241</v>
      </c>
      <c r="AD1933" s="5" t="s">
        <v>241</v>
      </c>
      <c r="AG1933" s="5" t="s">
        <v>246</v>
      </c>
      <c r="AH1933" s="4" t="s">
        <v>241</v>
      </c>
      <c r="AI1933" s="4" t="s">
        <v>247</v>
      </c>
      <c r="AJ1933" s="4" t="s">
        <v>248</v>
      </c>
      <c r="AZ1933" s="4" t="s">
        <v>249</v>
      </c>
      <c r="BA1933" s="4" t="s">
        <v>241</v>
      </c>
      <c r="BB1933" s="4" t="s">
        <v>250</v>
      </c>
      <c r="BC1933" s="4" t="s">
        <v>241</v>
      </c>
      <c r="BD1933" s="4" t="s">
        <v>252</v>
      </c>
      <c r="BE1933" s="4" t="s">
        <v>241</v>
      </c>
      <c r="BI1933" s="4" t="s">
        <v>253</v>
      </c>
      <c r="BJ1933" s="5" t="s">
        <v>246</v>
      </c>
      <c r="BK1933" s="4" t="s">
        <v>254</v>
      </c>
      <c r="BL1933" s="4" t="s">
        <v>255</v>
      </c>
      <c r="BM1933" s="4" t="s">
        <v>241</v>
      </c>
      <c r="BN1933" s="6">
        <f>0</f>
        <v>0</v>
      </c>
      <c r="BO1933" s="6">
        <f>0</f>
        <v>0</v>
      </c>
      <c r="BP1933" s="4" t="s">
        <v>256</v>
      </c>
      <c r="BQ1933" s="4" t="s">
        <v>257</v>
      </c>
      <c r="CE1933" s="4" t="s">
        <v>241</v>
      </c>
      <c r="CF1933" s="4" t="s">
        <v>241</v>
      </c>
      <c r="CJ1933" s="4" t="s">
        <v>276</v>
      </c>
      <c r="CK1933" s="4" t="s">
        <v>259</v>
      </c>
      <c r="CL1933" s="4" t="s">
        <v>241</v>
      </c>
      <c r="CO1933" s="5" t="s">
        <v>260</v>
      </c>
      <c r="CP1933" s="4" t="s">
        <v>241</v>
      </c>
      <c r="CQ1933" s="4" t="s">
        <v>261</v>
      </c>
      <c r="CR1933" s="4" t="s">
        <v>241</v>
      </c>
      <c r="CS1933" s="4" t="s">
        <v>241</v>
      </c>
      <c r="CT1933" s="4">
        <v>0</v>
      </c>
      <c r="CU1933" s="4" t="s">
        <v>262</v>
      </c>
      <c r="CV1933" s="4" t="s">
        <v>263</v>
      </c>
      <c r="CW1933" s="4" t="s">
        <v>263</v>
      </c>
      <c r="CX1933" s="4" t="s">
        <v>264</v>
      </c>
      <c r="DA1933" s="6">
        <f>1</f>
        <v>1</v>
      </c>
      <c r="DC1933" s="4" t="s">
        <v>325</v>
      </c>
      <c r="DD1933" s="4" t="s">
        <v>241</v>
      </c>
      <c r="DF1933" s="4" t="s">
        <v>325</v>
      </c>
      <c r="DG1933" s="6">
        <f>2184</f>
        <v>2184</v>
      </c>
      <c r="DI1933" s="4" t="s">
        <v>241</v>
      </c>
      <c r="DJ1933" s="4" t="s">
        <v>241</v>
      </c>
      <c r="DK1933" s="4" t="s">
        <v>241</v>
      </c>
      <c r="DL1933" s="4" t="s">
        <v>241</v>
      </c>
      <c r="DP1933" s="4" t="s">
        <v>241</v>
      </c>
      <c r="DQ1933" s="4" t="s">
        <v>241</v>
      </c>
      <c r="DR1933" s="4" t="s">
        <v>241</v>
      </c>
      <c r="DS1933" s="4" t="s">
        <v>241</v>
      </c>
      <c r="DV1933" s="4" t="s">
        <v>426</v>
      </c>
      <c r="DW1933" s="4" t="s">
        <v>1779</v>
      </c>
      <c r="HO1933" s="4" t="s">
        <v>267</v>
      </c>
    </row>
    <row r="1934" spans="1:223" ht="19.5" customHeight="1" x14ac:dyDescent="0.4">
      <c r="A1934" s="4">
        <v>1</v>
      </c>
      <c r="B1934" s="4" t="s">
        <v>239</v>
      </c>
      <c r="C1934" s="4">
        <v>3637</v>
      </c>
      <c r="D1934" s="4">
        <v>1</v>
      </c>
      <c r="E1934" s="4">
        <v>1</v>
      </c>
      <c r="F1934" s="4" t="s">
        <v>268</v>
      </c>
      <c r="G1934" s="4" t="s">
        <v>241</v>
      </c>
      <c r="H1934" s="4" t="s">
        <v>241</v>
      </c>
      <c r="I1934" s="4" t="s">
        <v>424</v>
      </c>
      <c r="J1934" s="4" t="s">
        <v>274</v>
      </c>
      <c r="K1934" s="4" t="s">
        <v>251</v>
      </c>
      <c r="L1934" s="4" t="s">
        <v>423</v>
      </c>
      <c r="M1934" s="5" t="s">
        <v>3827</v>
      </c>
      <c r="N1934" s="6">
        <f>1398</f>
        <v>1398</v>
      </c>
      <c r="O1934" s="4" t="s">
        <v>265</v>
      </c>
      <c r="P1934" s="6">
        <f>1</f>
        <v>1</v>
      </c>
      <c r="Q1934" s="6">
        <f>0</f>
        <v>0</v>
      </c>
      <c r="S1934" s="6">
        <f>0</f>
        <v>0</v>
      </c>
      <c r="T1934" s="6">
        <f>1</f>
        <v>1</v>
      </c>
      <c r="U1934" s="5" t="s">
        <v>245</v>
      </c>
      <c r="V1934" s="4" t="s">
        <v>270</v>
      </c>
      <c r="W1934" s="4" t="s">
        <v>271</v>
      </c>
      <c r="X1934" s="4" t="s">
        <v>273</v>
      </c>
      <c r="Y1934" s="4" t="s">
        <v>241</v>
      </c>
      <c r="AB1934" s="4" t="s">
        <v>241</v>
      </c>
      <c r="AD1934" s="5" t="s">
        <v>241</v>
      </c>
      <c r="AG1934" s="5" t="s">
        <v>246</v>
      </c>
      <c r="AH1934" s="4" t="s">
        <v>241</v>
      </c>
      <c r="AI1934" s="4" t="s">
        <v>247</v>
      </c>
      <c r="AJ1934" s="4" t="s">
        <v>248</v>
      </c>
      <c r="AZ1934" s="4" t="s">
        <v>249</v>
      </c>
      <c r="BA1934" s="4" t="s">
        <v>241</v>
      </c>
      <c r="BB1934" s="4" t="s">
        <v>250</v>
      </c>
      <c r="BC1934" s="4" t="s">
        <v>241</v>
      </c>
      <c r="BD1934" s="4" t="s">
        <v>252</v>
      </c>
      <c r="BE1934" s="4" t="s">
        <v>241</v>
      </c>
      <c r="BI1934" s="4" t="s">
        <v>253</v>
      </c>
      <c r="BJ1934" s="5" t="s">
        <v>246</v>
      </c>
      <c r="BK1934" s="4" t="s">
        <v>254</v>
      </c>
      <c r="BL1934" s="4" t="s">
        <v>255</v>
      </c>
      <c r="BM1934" s="4" t="s">
        <v>241</v>
      </c>
      <c r="BN1934" s="6">
        <f>0</f>
        <v>0</v>
      </c>
      <c r="BO1934" s="6">
        <f>0</f>
        <v>0</v>
      </c>
      <c r="BP1934" s="4" t="s">
        <v>256</v>
      </c>
      <c r="BQ1934" s="4" t="s">
        <v>257</v>
      </c>
      <c r="CE1934" s="4" t="s">
        <v>241</v>
      </c>
      <c r="CF1934" s="4" t="s">
        <v>241</v>
      </c>
      <c r="CJ1934" s="4" t="s">
        <v>276</v>
      </c>
      <c r="CK1934" s="4" t="s">
        <v>259</v>
      </c>
      <c r="CL1934" s="4" t="s">
        <v>241</v>
      </c>
      <c r="CO1934" s="5" t="s">
        <v>260</v>
      </c>
      <c r="CP1934" s="4" t="s">
        <v>241</v>
      </c>
      <c r="CQ1934" s="4" t="s">
        <v>261</v>
      </c>
      <c r="CR1934" s="4" t="s">
        <v>241</v>
      </c>
      <c r="CS1934" s="4" t="s">
        <v>241</v>
      </c>
      <c r="CT1934" s="4">
        <v>0</v>
      </c>
      <c r="CU1934" s="4" t="s">
        <v>262</v>
      </c>
      <c r="CV1934" s="4" t="s">
        <v>263</v>
      </c>
      <c r="CW1934" s="4" t="s">
        <v>263</v>
      </c>
      <c r="CX1934" s="4" t="s">
        <v>264</v>
      </c>
      <c r="DA1934" s="6">
        <f>1</f>
        <v>1</v>
      </c>
      <c r="DC1934" s="4" t="s">
        <v>325</v>
      </c>
      <c r="DD1934" s="4" t="s">
        <v>241</v>
      </c>
      <c r="DF1934" s="4" t="s">
        <v>325</v>
      </c>
      <c r="DG1934" s="6">
        <f>1398</f>
        <v>1398</v>
      </c>
      <c r="DI1934" s="4" t="s">
        <v>241</v>
      </c>
      <c r="DJ1934" s="4" t="s">
        <v>241</v>
      </c>
      <c r="DK1934" s="4" t="s">
        <v>241</v>
      </c>
      <c r="DL1934" s="4" t="s">
        <v>241</v>
      </c>
      <c r="DP1934" s="4" t="s">
        <v>241</v>
      </c>
      <c r="DQ1934" s="4" t="s">
        <v>241</v>
      </c>
      <c r="DR1934" s="4" t="s">
        <v>241</v>
      </c>
      <c r="DS1934" s="4" t="s">
        <v>241</v>
      </c>
      <c r="DV1934" s="4" t="s">
        <v>426</v>
      </c>
      <c r="DW1934" s="4" t="s">
        <v>1803</v>
      </c>
      <c r="HO1934" s="4" t="s">
        <v>267</v>
      </c>
    </row>
    <row r="1935" spans="1:223" ht="19.5" customHeight="1" x14ac:dyDescent="0.4">
      <c r="A1935" s="4">
        <v>1</v>
      </c>
      <c r="B1935" s="4" t="s">
        <v>239</v>
      </c>
      <c r="C1935" s="4">
        <v>3638</v>
      </c>
      <c r="D1935" s="4">
        <v>1</v>
      </c>
      <c r="E1935" s="4">
        <v>1</v>
      </c>
      <c r="F1935" s="4" t="s">
        <v>268</v>
      </c>
      <c r="G1935" s="4" t="s">
        <v>241</v>
      </c>
      <c r="H1935" s="4" t="s">
        <v>241</v>
      </c>
      <c r="I1935" s="4" t="s">
        <v>424</v>
      </c>
      <c r="J1935" s="4" t="s">
        <v>274</v>
      </c>
      <c r="K1935" s="4" t="s">
        <v>251</v>
      </c>
      <c r="L1935" s="4" t="s">
        <v>423</v>
      </c>
      <c r="M1935" s="5" t="s">
        <v>3829</v>
      </c>
      <c r="N1935" s="6">
        <f>4614</f>
        <v>4614</v>
      </c>
      <c r="O1935" s="4" t="s">
        <v>265</v>
      </c>
      <c r="P1935" s="6">
        <f>1</f>
        <v>1</v>
      </c>
      <c r="Q1935" s="6">
        <f>0</f>
        <v>0</v>
      </c>
      <c r="S1935" s="6">
        <f>0</f>
        <v>0</v>
      </c>
      <c r="T1935" s="6">
        <f>1</f>
        <v>1</v>
      </c>
      <c r="U1935" s="5" t="s">
        <v>245</v>
      </c>
      <c r="V1935" s="4" t="s">
        <v>270</v>
      </c>
      <c r="W1935" s="4" t="s">
        <v>271</v>
      </c>
      <c r="X1935" s="4" t="s">
        <v>273</v>
      </c>
      <c r="Y1935" s="4" t="s">
        <v>241</v>
      </c>
      <c r="AB1935" s="4" t="s">
        <v>241</v>
      </c>
      <c r="AD1935" s="5" t="s">
        <v>241</v>
      </c>
      <c r="AG1935" s="5" t="s">
        <v>246</v>
      </c>
      <c r="AH1935" s="4" t="s">
        <v>241</v>
      </c>
      <c r="AI1935" s="4" t="s">
        <v>247</v>
      </c>
      <c r="AJ1935" s="4" t="s">
        <v>248</v>
      </c>
      <c r="AZ1935" s="4" t="s">
        <v>249</v>
      </c>
      <c r="BA1935" s="4" t="s">
        <v>241</v>
      </c>
      <c r="BB1935" s="4" t="s">
        <v>250</v>
      </c>
      <c r="BC1935" s="4" t="s">
        <v>241</v>
      </c>
      <c r="BD1935" s="4" t="s">
        <v>252</v>
      </c>
      <c r="BE1935" s="4" t="s">
        <v>241</v>
      </c>
      <c r="BI1935" s="4" t="s">
        <v>253</v>
      </c>
      <c r="BJ1935" s="5" t="s">
        <v>246</v>
      </c>
      <c r="BK1935" s="4" t="s">
        <v>254</v>
      </c>
      <c r="BL1935" s="4" t="s">
        <v>255</v>
      </c>
      <c r="BM1935" s="4" t="s">
        <v>241</v>
      </c>
      <c r="BN1935" s="6">
        <f>0</f>
        <v>0</v>
      </c>
      <c r="BO1935" s="6">
        <f>0</f>
        <v>0</v>
      </c>
      <c r="BP1935" s="4" t="s">
        <v>256</v>
      </c>
      <c r="BQ1935" s="4" t="s">
        <v>257</v>
      </c>
      <c r="CE1935" s="4" t="s">
        <v>241</v>
      </c>
      <c r="CF1935" s="4" t="s">
        <v>241</v>
      </c>
      <c r="CJ1935" s="4" t="s">
        <v>276</v>
      </c>
      <c r="CK1935" s="4" t="s">
        <v>259</v>
      </c>
      <c r="CL1935" s="4" t="s">
        <v>241</v>
      </c>
      <c r="CO1935" s="5" t="s">
        <v>260</v>
      </c>
      <c r="CP1935" s="4" t="s">
        <v>241</v>
      </c>
      <c r="CQ1935" s="4" t="s">
        <v>261</v>
      </c>
      <c r="CR1935" s="4" t="s">
        <v>241</v>
      </c>
      <c r="CS1935" s="4" t="s">
        <v>241</v>
      </c>
      <c r="CT1935" s="4">
        <v>0</v>
      </c>
      <c r="CU1935" s="4" t="s">
        <v>262</v>
      </c>
      <c r="CV1935" s="4" t="s">
        <v>263</v>
      </c>
      <c r="CW1935" s="4" t="s">
        <v>263</v>
      </c>
      <c r="CX1935" s="4" t="s">
        <v>264</v>
      </c>
      <c r="DA1935" s="6">
        <f>1</f>
        <v>1</v>
      </c>
      <c r="DC1935" s="4" t="s">
        <v>325</v>
      </c>
      <c r="DD1935" s="4" t="s">
        <v>241</v>
      </c>
      <c r="DF1935" s="4" t="s">
        <v>325</v>
      </c>
      <c r="DG1935" s="6">
        <f>4614</f>
        <v>4614</v>
      </c>
      <c r="DI1935" s="4" t="s">
        <v>241</v>
      </c>
      <c r="DJ1935" s="4" t="s">
        <v>241</v>
      </c>
      <c r="DK1935" s="4" t="s">
        <v>241</v>
      </c>
      <c r="DL1935" s="4" t="s">
        <v>241</v>
      </c>
      <c r="DP1935" s="4" t="s">
        <v>241</v>
      </c>
      <c r="DQ1935" s="4" t="s">
        <v>241</v>
      </c>
      <c r="DR1935" s="4" t="s">
        <v>241</v>
      </c>
      <c r="DS1935" s="4" t="s">
        <v>241</v>
      </c>
      <c r="DV1935" s="4" t="s">
        <v>426</v>
      </c>
      <c r="DW1935" s="4" t="s">
        <v>1777</v>
      </c>
      <c r="HO1935" s="4" t="s">
        <v>267</v>
      </c>
    </row>
    <row r="1936" spans="1:223" ht="19.5" customHeight="1" x14ac:dyDescent="0.4">
      <c r="A1936" s="4">
        <v>1</v>
      </c>
      <c r="B1936" s="4" t="s">
        <v>239</v>
      </c>
      <c r="C1936" s="4">
        <v>3639</v>
      </c>
      <c r="D1936" s="4">
        <v>1</v>
      </c>
      <c r="E1936" s="4">
        <v>1</v>
      </c>
      <c r="F1936" s="4" t="s">
        <v>268</v>
      </c>
      <c r="G1936" s="4" t="s">
        <v>241</v>
      </c>
      <c r="H1936" s="4" t="s">
        <v>241</v>
      </c>
      <c r="I1936" s="4" t="s">
        <v>424</v>
      </c>
      <c r="J1936" s="4" t="s">
        <v>274</v>
      </c>
      <c r="K1936" s="4" t="s">
        <v>251</v>
      </c>
      <c r="L1936" s="4" t="s">
        <v>423</v>
      </c>
      <c r="M1936" s="5" t="s">
        <v>3831</v>
      </c>
      <c r="N1936" s="6">
        <f>1267</f>
        <v>1267</v>
      </c>
      <c r="O1936" s="4" t="s">
        <v>265</v>
      </c>
      <c r="P1936" s="6">
        <f>1</f>
        <v>1</v>
      </c>
      <c r="Q1936" s="6">
        <f>0</f>
        <v>0</v>
      </c>
      <c r="S1936" s="6">
        <f>0</f>
        <v>0</v>
      </c>
      <c r="T1936" s="6">
        <f>1</f>
        <v>1</v>
      </c>
      <c r="U1936" s="5" t="s">
        <v>245</v>
      </c>
      <c r="V1936" s="4" t="s">
        <v>270</v>
      </c>
      <c r="W1936" s="4" t="s">
        <v>271</v>
      </c>
      <c r="X1936" s="4" t="s">
        <v>273</v>
      </c>
      <c r="Y1936" s="4" t="s">
        <v>241</v>
      </c>
      <c r="AB1936" s="4" t="s">
        <v>241</v>
      </c>
      <c r="AD1936" s="5" t="s">
        <v>241</v>
      </c>
      <c r="AG1936" s="5" t="s">
        <v>246</v>
      </c>
      <c r="AH1936" s="4" t="s">
        <v>241</v>
      </c>
      <c r="AI1936" s="4" t="s">
        <v>247</v>
      </c>
      <c r="AJ1936" s="4" t="s">
        <v>248</v>
      </c>
      <c r="AZ1936" s="4" t="s">
        <v>249</v>
      </c>
      <c r="BA1936" s="4" t="s">
        <v>241</v>
      </c>
      <c r="BB1936" s="4" t="s">
        <v>250</v>
      </c>
      <c r="BC1936" s="4" t="s">
        <v>241</v>
      </c>
      <c r="BD1936" s="4" t="s">
        <v>252</v>
      </c>
      <c r="BE1936" s="4" t="s">
        <v>241</v>
      </c>
      <c r="BI1936" s="4" t="s">
        <v>253</v>
      </c>
      <c r="BJ1936" s="5" t="s">
        <v>246</v>
      </c>
      <c r="BK1936" s="4" t="s">
        <v>254</v>
      </c>
      <c r="BL1936" s="4" t="s">
        <v>255</v>
      </c>
      <c r="BM1936" s="4" t="s">
        <v>241</v>
      </c>
      <c r="BN1936" s="6">
        <f>0</f>
        <v>0</v>
      </c>
      <c r="BO1936" s="6">
        <f>0</f>
        <v>0</v>
      </c>
      <c r="BP1936" s="4" t="s">
        <v>256</v>
      </c>
      <c r="BQ1936" s="4" t="s">
        <v>257</v>
      </c>
      <c r="CE1936" s="4" t="s">
        <v>241</v>
      </c>
      <c r="CF1936" s="4" t="s">
        <v>241</v>
      </c>
      <c r="CJ1936" s="4" t="s">
        <v>276</v>
      </c>
      <c r="CK1936" s="4" t="s">
        <v>259</v>
      </c>
      <c r="CL1936" s="4" t="s">
        <v>241</v>
      </c>
      <c r="CO1936" s="5" t="s">
        <v>260</v>
      </c>
      <c r="CP1936" s="4" t="s">
        <v>241</v>
      </c>
      <c r="CQ1936" s="4" t="s">
        <v>261</v>
      </c>
      <c r="CR1936" s="4" t="s">
        <v>241</v>
      </c>
      <c r="CS1936" s="4" t="s">
        <v>241</v>
      </c>
      <c r="CT1936" s="4">
        <v>0</v>
      </c>
      <c r="CU1936" s="4" t="s">
        <v>262</v>
      </c>
      <c r="CV1936" s="4" t="s">
        <v>263</v>
      </c>
      <c r="CW1936" s="4" t="s">
        <v>263</v>
      </c>
      <c r="CX1936" s="4" t="s">
        <v>264</v>
      </c>
      <c r="DA1936" s="6">
        <f>1</f>
        <v>1</v>
      </c>
      <c r="DC1936" s="4" t="s">
        <v>325</v>
      </c>
      <c r="DD1936" s="4" t="s">
        <v>241</v>
      </c>
      <c r="DF1936" s="4" t="s">
        <v>325</v>
      </c>
      <c r="DG1936" s="6">
        <f>1267</f>
        <v>1267</v>
      </c>
      <c r="DI1936" s="4" t="s">
        <v>241</v>
      </c>
      <c r="DJ1936" s="4" t="s">
        <v>241</v>
      </c>
      <c r="DK1936" s="4" t="s">
        <v>241</v>
      </c>
      <c r="DL1936" s="4" t="s">
        <v>241</v>
      </c>
      <c r="DP1936" s="4" t="s">
        <v>241</v>
      </c>
      <c r="DQ1936" s="4" t="s">
        <v>241</v>
      </c>
      <c r="DR1936" s="4" t="s">
        <v>241</v>
      </c>
      <c r="DS1936" s="4" t="s">
        <v>241</v>
      </c>
      <c r="DV1936" s="4" t="s">
        <v>426</v>
      </c>
      <c r="DW1936" s="4" t="s">
        <v>1775</v>
      </c>
      <c r="HO1936" s="4" t="s">
        <v>267</v>
      </c>
    </row>
    <row r="1937" spans="1:223" ht="19.5" customHeight="1" x14ac:dyDescent="0.4">
      <c r="A1937" s="4">
        <v>1</v>
      </c>
      <c r="B1937" s="4" t="s">
        <v>239</v>
      </c>
      <c r="C1937" s="4">
        <v>3640</v>
      </c>
      <c r="D1937" s="4">
        <v>1</v>
      </c>
      <c r="E1937" s="4">
        <v>1</v>
      </c>
      <c r="F1937" s="4" t="s">
        <v>268</v>
      </c>
      <c r="G1937" s="4" t="s">
        <v>241</v>
      </c>
      <c r="H1937" s="4" t="s">
        <v>241</v>
      </c>
      <c r="I1937" s="4" t="s">
        <v>424</v>
      </c>
      <c r="J1937" s="4" t="s">
        <v>274</v>
      </c>
      <c r="K1937" s="4" t="s">
        <v>251</v>
      </c>
      <c r="L1937" s="4" t="s">
        <v>423</v>
      </c>
      <c r="M1937" s="5" t="s">
        <v>3424</v>
      </c>
      <c r="N1937" s="6">
        <f>2284</f>
        <v>2284</v>
      </c>
      <c r="O1937" s="4" t="s">
        <v>265</v>
      </c>
      <c r="P1937" s="6">
        <f>1</f>
        <v>1</v>
      </c>
      <c r="Q1937" s="6">
        <f>0</f>
        <v>0</v>
      </c>
      <c r="S1937" s="6">
        <f>0</f>
        <v>0</v>
      </c>
      <c r="T1937" s="6">
        <f>1</f>
        <v>1</v>
      </c>
      <c r="U1937" s="5" t="s">
        <v>245</v>
      </c>
      <c r="V1937" s="4" t="s">
        <v>270</v>
      </c>
      <c r="W1937" s="4" t="s">
        <v>271</v>
      </c>
      <c r="X1937" s="4" t="s">
        <v>273</v>
      </c>
      <c r="Y1937" s="4" t="s">
        <v>241</v>
      </c>
      <c r="AB1937" s="4" t="s">
        <v>241</v>
      </c>
      <c r="AD1937" s="5" t="s">
        <v>241</v>
      </c>
      <c r="AG1937" s="5" t="s">
        <v>246</v>
      </c>
      <c r="AH1937" s="4" t="s">
        <v>241</v>
      </c>
      <c r="AI1937" s="4" t="s">
        <v>247</v>
      </c>
      <c r="AJ1937" s="4" t="s">
        <v>248</v>
      </c>
      <c r="AZ1937" s="4" t="s">
        <v>249</v>
      </c>
      <c r="BA1937" s="4" t="s">
        <v>241</v>
      </c>
      <c r="BB1937" s="4" t="s">
        <v>250</v>
      </c>
      <c r="BC1937" s="4" t="s">
        <v>241</v>
      </c>
      <c r="BD1937" s="4" t="s">
        <v>252</v>
      </c>
      <c r="BE1937" s="4" t="s">
        <v>241</v>
      </c>
      <c r="BI1937" s="4" t="s">
        <v>253</v>
      </c>
      <c r="BJ1937" s="5" t="s">
        <v>246</v>
      </c>
      <c r="BK1937" s="4" t="s">
        <v>254</v>
      </c>
      <c r="BL1937" s="4" t="s">
        <v>255</v>
      </c>
      <c r="BM1937" s="4" t="s">
        <v>241</v>
      </c>
      <c r="BN1937" s="6">
        <f>0</f>
        <v>0</v>
      </c>
      <c r="BO1937" s="6">
        <f>0</f>
        <v>0</v>
      </c>
      <c r="BP1937" s="4" t="s">
        <v>256</v>
      </c>
      <c r="BQ1937" s="4" t="s">
        <v>257</v>
      </c>
      <c r="CE1937" s="4" t="s">
        <v>241</v>
      </c>
      <c r="CF1937" s="4" t="s">
        <v>241</v>
      </c>
      <c r="CJ1937" s="4" t="s">
        <v>276</v>
      </c>
      <c r="CK1937" s="4" t="s">
        <v>259</v>
      </c>
      <c r="CL1937" s="4" t="s">
        <v>241</v>
      </c>
      <c r="CO1937" s="5" t="s">
        <v>260</v>
      </c>
      <c r="CP1937" s="4" t="s">
        <v>241</v>
      </c>
      <c r="CQ1937" s="4" t="s">
        <v>261</v>
      </c>
      <c r="CR1937" s="4" t="s">
        <v>241</v>
      </c>
      <c r="CS1937" s="4" t="s">
        <v>241</v>
      </c>
      <c r="CT1937" s="4">
        <v>0</v>
      </c>
      <c r="CU1937" s="4" t="s">
        <v>262</v>
      </c>
      <c r="CV1937" s="4" t="s">
        <v>263</v>
      </c>
      <c r="CW1937" s="4" t="s">
        <v>263</v>
      </c>
      <c r="CX1937" s="4" t="s">
        <v>264</v>
      </c>
      <c r="DA1937" s="6">
        <f>1</f>
        <v>1</v>
      </c>
      <c r="DC1937" s="4" t="s">
        <v>325</v>
      </c>
      <c r="DD1937" s="4" t="s">
        <v>241</v>
      </c>
      <c r="DF1937" s="4" t="s">
        <v>325</v>
      </c>
      <c r="DG1937" s="6">
        <f>2284</f>
        <v>2284</v>
      </c>
      <c r="DI1937" s="4" t="s">
        <v>241</v>
      </c>
      <c r="DJ1937" s="4" t="s">
        <v>241</v>
      </c>
      <c r="DK1937" s="4" t="s">
        <v>241</v>
      </c>
      <c r="DL1937" s="4" t="s">
        <v>241</v>
      </c>
      <c r="DP1937" s="4" t="s">
        <v>241</v>
      </c>
      <c r="DQ1937" s="4" t="s">
        <v>241</v>
      </c>
      <c r="DR1937" s="4" t="s">
        <v>241</v>
      </c>
      <c r="DS1937" s="4" t="s">
        <v>241</v>
      </c>
      <c r="DV1937" s="4" t="s">
        <v>426</v>
      </c>
      <c r="DW1937" s="4" t="s">
        <v>1773</v>
      </c>
      <c r="HO1937" s="4" t="s">
        <v>267</v>
      </c>
    </row>
    <row r="1938" spans="1:223" ht="19.5" customHeight="1" x14ac:dyDescent="0.4">
      <c r="A1938" s="4">
        <v>1</v>
      </c>
      <c r="B1938" s="4" t="s">
        <v>239</v>
      </c>
      <c r="C1938" s="4">
        <v>3641</v>
      </c>
      <c r="D1938" s="4">
        <v>1</v>
      </c>
      <c r="E1938" s="4">
        <v>1</v>
      </c>
      <c r="F1938" s="4" t="s">
        <v>268</v>
      </c>
      <c r="G1938" s="4" t="s">
        <v>241</v>
      </c>
      <c r="H1938" s="4" t="s">
        <v>241</v>
      </c>
      <c r="I1938" s="4" t="s">
        <v>424</v>
      </c>
      <c r="J1938" s="4" t="s">
        <v>274</v>
      </c>
      <c r="K1938" s="4" t="s">
        <v>251</v>
      </c>
      <c r="L1938" s="4" t="s">
        <v>423</v>
      </c>
      <c r="M1938" s="5" t="s">
        <v>4831</v>
      </c>
      <c r="N1938" s="6">
        <f>1544</f>
        <v>1544</v>
      </c>
      <c r="O1938" s="4" t="s">
        <v>265</v>
      </c>
      <c r="P1938" s="6">
        <f>1</f>
        <v>1</v>
      </c>
      <c r="Q1938" s="6">
        <f>0</f>
        <v>0</v>
      </c>
      <c r="S1938" s="6">
        <f>0</f>
        <v>0</v>
      </c>
      <c r="T1938" s="6">
        <f>1</f>
        <v>1</v>
      </c>
      <c r="U1938" s="5" t="s">
        <v>245</v>
      </c>
      <c r="V1938" s="4" t="s">
        <v>270</v>
      </c>
      <c r="W1938" s="4" t="s">
        <v>271</v>
      </c>
      <c r="X1938" s="4" t="s">
        <v>273</v>
      </c>
      <c r="Y1938" s="4" t="s">
        <v>241</v>
      </c>
      <c r="AB1938" s="4" t="s">
        <v>241</v>
      </c>
      <c r="AD1938" s="5" t="s">
        <v>241</v>
      </c>
      <c r="AG1938" s="5" t="s">
        <v>246</v>
      </c>
      <c r="AH1938" s="4" t="s">
        <v>241</v>
      </c>
      <c r="AI1938" s="4" t="s">
        <v>247</v>
      </c>
      <c r="AJ1938" s="4" t="s">
        <v>248</v>
      </c>
      <c r="AZ1938" s="4" t="s">
        <v>249</v>
      </c>
      <c r="BA1938" s="4" t="s">
        <v>241</v>
      </c>
      <c r="BB1938" s="4" t="s">
        <v>250</v>
      </c>
      <c r="BC1938" s="4" t="s">
        <v>241</v>
      </c>
      <c r="BD1938" s="4" t="s">
        <v>252</v>
      </c>
      <c r="BE1938" s="4" t="s">
        <v>241</v>
      </c>
      <c r="BI1938" s="4" t="s">
        <v>253</v>
      </c>
      <c r="BJ1938" s="5" t="s">
        <v>246</v>
      </c>
      <c r="BK1938" s="4" t="s">
        <v>254</v>
      </c>
      <c r="BL1938" s="4" t="s">
        <v>255</v>
      </c>
      <c r="BM1938" s="4" t="s">
        <v>241</v>
      </c>
      <c r="BN1938" s="6">
        <f>0</f>
        <v>0</v>
      </c>
      <c r="BO1938" s="6">
        <f>0</f>
        <v>0</v>
      </c>
      <c r="BP1938" s="4" t="s">
        <v>256</v>
      </c>
      <c r="BQ1938" s="4" t="s">
        <v>257</v>
      </c>
      <c r="CE1938" s="4" t="s">
        <v>241</v>
      </c>
      <c r="CF1938" s="4" t="s">
        <v>241</v>
      </c>
      <c r="CJ1938" s="4" t="s">
        <v>276</v>
      </c>
      <c r="CK1938" s="4" t="s">
        <v>259</v>
      </c>
      <c r="CL1938" s="4" t="s">
        <v>241</v>
      </c>
      <c r="CO1938" s="5" t="s">
        <v>260</v>
      </c>
      <c r="CP1938" s="4" t="s">
        <v>241</v>
      </c>
      <c r="CQ1938" s="4" t="s">
        <v>261</v>
      </c>
      <c r="CR1938" s="4" t="s">
        <v>241</v>
      </c>
      <c r="CS1938" s="4" t="s">
        <v>241</v>
      </c>
      <c r="CT1938" s="4">
        <v>0</v>
      </c>
      <c r="CU1938" s="4" t="s">
        <v>262</v>
      </c>
      <c r="CV1938" s="4" t="s">
        <v>263</v>
      </c>
      <c r="CW1938" s="4" t="s">
        <v>263</v>
      </c>
      <c r="CX1938" s="4" t="s">
        <v>264</v>
      </c>
      <c r="DA1938" s="6">
        <f>1</f>
        <v>1</v>
      </c>
      <c r="DC1938" s="4" t="s">
        <v>325</v>
      </c>
      <c r="DD1938" s="4" t="s">
        <v>241</v>
      </c>
      <c r="DF1938" s="4" t="s">
        <v>325</v>
      </c>
      <c r="DG1938" s="6">
        <f>1544</f>
        <v>1544</v>
      </c>
      <c r="DI1938" s="4" t="s">
        <v>241</v>
      </c>
      <c r="DJ1938" s="4" t="s">
        <v>241</v>
      </c>
      <c r="DK1938" s="4" t="s">
        <v>241</v>
      </c>
      <c r="DL1938" s="4" t="s">
        <v>241</v>
      </c>
      <c r="DP1938" s="4" t="s">
        <v>241</v>
      </c>
      <c r="DQ1938" s="4" t="s">
        <v>241</v>
      </c>
      <c r="DR1938" s="4" t="s">
        <v>241</v>
      </c>
      <c r="DS1938" s="4" t="s">
        <v>241</v>
      </c>
      <c r="DV1938" s="4" t="s">
        <v>426</v>
      </c>
      <c r="DW1938" s="4" t="s">
        <v>2076</v>
      </c>
      <c r="HO1938" s="4" t="s">
        <v>267</v>
      </c>
    </row>
    <row r="1939" spans="1:223" ht="19.5" customHeight="1" x14ac:dyDescent="0.4">
      <c r="A1939" s="4">
        <v>1</v>
      </c>
      <c r="B1939" s="4" t="s">
        <v>239</v>
      </c>
      <c r="C1939" s="4">
        <v>3642</v>
      </c>
      <c r="D1939" s="4">
        <v>1</v>
      </c>
      <c r="E1939" s="4">
        <v>1</v>
      </c>
      <c r="F1939" s="4" t="s">
        <v>268</v>
      </c>
      <c r="G1939" s="4" t="s">
        <v>241</v>
      </c>
      <c r="H1939" s="4" t="s">
        <v>241</v>
      </c>
      <c r="I1939" s="4" t="s">
        <v>424</v>
      </c>
      <c r="J1939" s="4" t="s">
        <v>274</v>
      </c>
      <c r="K1939" s="4" t="s">
        <v>251</v>
      </c>
      <c r="L1939" s="4" t="s">
        <v>423</v>
      </c>
      <c r="M1939" s="5" t="s">
        <v>3836</v>
      </c>
      <c r="N1939" s="6">
        <f>2955</f>
        <v>2955</v>
      </c>
      <c r="O1939" s="4" t="s">
        <v>265</v>
      </c>
      <c r="P1939" s="6">
        <f>1</f>
        <v>1</v>
      </c>
      <c r="Q1939" s="6">
        <f>0</f>
        <v>0</v>
      </c>
      <c r="S1939" s="6">
        <f>0</f>
        <v>0</v>
      </c>
      <c r="T1939" s="6">
        <f>1</f>
        <v>1</v>
      </c>
      <c r="U1939" s="5" t="s">
        <v>245</v>
      </c>
      <c r="V1939" s="4" t="s">
        <v>270</v>
      </c>
      <c r="W1939" s="4" t="s">
        <v>271</v>
      </c>
      <c r="X1939" s="4" t="s">
        <v>273</v>
      </c>
      <c r="Y1939" s="4" t="s">
        <v>241</v>
      </c>
      <c r="AB1939" s="4" t="s">
        <v>241</v>
      </c>
      <c r="AD1939" s="5" t="s">
        <v>241</v>
      </c>
      <c r="AG1939" s="5" t="s">
        <v>246</v>
      </c>
      <c r="AH1939" s="4" t="s">
        <v>241</v>
      </c>
      <c r="AI1939" s="4" t="s">
        <v>247</v>
      </c>
      <c r="AJ1939" s="4" t="s">
        <v>248</v>
      </c>
      <c r="AZ1939" s="4" t="s">
        <v>249</v>
      </c>
      <c r="BA1939" s="4" t="s">
        <v>241</v>
      </c>
      <c r="BB1939" s="4" t="s">
        <v>250</v>
      </c>
      <c r="BC1939" s="4" t="s">
        <v>241</v>
      </c>
      <c r="BD1939" s="4" t="s">
        <v>252</v>
      </c>
      <c r="BE1939" s="4" t="s">
        <v>241</v>
      </c>
      <c r="BI1939" s="4" t="s">
        <v>253</v>
      </c>
      <c r="BJ1939" s="5" t="s">
        <v>246</v>
      </c>
      <c r="BK1939" s="4" t="s">
        <v>254</v>
      </c>
      <c r="BL1939" s="4" t="s">
        <v>255</v>
      </c>
      <c r="BM1939" s="4" t="s">
        <v>241</v>
      </c>
      <c r="BN1939" s="6">
        <f>0</f>
        <v>0</v>
      </c>
      <c r="BO1939" s="6">
        <f>0</f>
        <v>0</v>
      </c>
      <c r="BP1939" s="4" t="s">
        <v>256</v>
      </c>
      <c r="BQ1939" s="4" t="s">
        <v>257</v>
      </c>
      <c r="CE1939" s="4" t="s">
        <v>241</v>
      </c>
      <c r="CF1939" s="4" t="s">
        <v>241</v>
      </c>
      <c r="CJ1939" s="4" t="s">
        <v>276</v>
      </c>
      <c r="CK1939" s="4" t="s">
        <v>259</v>
      </c>
      <c r="CL1939" s="4" t="s">
        <v>241</v>
      </c>
      <c r="CO1939" s="5" t="s">
        <v>260</v>
      </c>
      <c r="CP1939" s="4" t="s">
        <v>241</v>
      </c>
      <c r="CQ1939" s="4" t="s">
        <v>261</v>
      </c>
      <c r="CR1939" s="4" t="s">
        <v>241</v>
      </c>
      <c r="CS1939" s="4" t="s">
        <v>241</v>
      </c>
      <c r="CT1939" s="4">
        <v>0</v>
      </c>
      <c r="CU1939" s="4" t="s">
        <v>262</v>
      </c>
      <c r="CV1939" s="4" t="s">
        <v>263</v>
      </c>
      <c r="CW1939" s="4" t="s">
        <v>263</v>
      </c>
      <c r="CX1939" s="4" t="s">
        <v>264</v>
      </c>
      <c r="DA1939" s="6">
        <f>1</f>
        <v>1</v>
      </c>
      <c r="DC1939" s="4" t="s">
        <v>325</v>
      </c>
      <c r="DD1939" s="4" t="s">
        <v>241</v>
      </c>
      <c r="DF1939" s="4" t="s">
        <v>325</v>
      </c>
      <c r="DG1939" s="6">
        <f>2955</f>
        <v>2955</v>
      </c>
      <c r="DI1939" s="4" t="s">
        <v>241</v>
      </c>
      <c r="DJ1939" s="4" t="s">
        <v>241</v>
      </c>
      <c r="DK1939" s="4" t="s">
        <v>241</v>
      </c>
      <c r="DL1939" s="4" t="s">
        <v>241</v>
      </c>
      <c r="DP1939" s="4" t="s">
        <v>241</v>
      </c>
      <c r="DQ1939" s="4" t="s">
        <v>241</v>
      </c>
      <c r="DR1939" s="4" t="s">
        <v>241</v>
      </c>
      <c r="DS1939" s="4" t="s">
        <v>241</v>
      </c>
      <c r="DV1939" s="4" t="s">
        <v>426</v>
      </c>
      <c r="DW1939" s="4" t="s">
        <v>1771</v>
      </c>
      <c r="HO1939" s="4" t="s">
        <v>267</v>
      </c>
    </row>
    <row r="1940" spans="1:223" ht="19.5" customHeight="1" x14ac:dyDescent="0.4">
      <c r="A1940" s="4">
        <v>1</v>
      </c>
      <c r="B1940" s="4" t="s">
        <v>239</v>
      </c>
      <c r="C1940" s="4">
        <v>3643</v>
      </c>
      <c r="D1940" s="4">
        <v>1</v>
      </c>
      <c r="E1940" s="4">
        <v>1</v>
      </c>
      <c r="F1940" s="4" t="s">
        <v>268</v>
      </c>
      <c r="G1940" s="4" t="s">
        <v>241</v>
      </c>
      <c r="H1940" s="4" t="s">
        <v>241</v>
      </c>
      <c r="I1940" s="4" t="s">
        <v>424</v>
      </c>
      <c r="J1940" s="4" t="s">
        <v>274</v>
      </c>
      <c r="K1940" s="4" t="s">
        <v>251</v>
      </c>
      <c r="L1940" s="4" t="s">
        <v>423</v>
      </c>
      <c r="M1940" s="5" t="s">
        <v>3837</v>
      </c>
      <c r="N1940" s="6">
        <f>650</f>
        <v>650</v>
      </c>
      <c r="O1940" s="4" t="s">
        <v>265</v>
      </c>
      <c r="P1940" s="6">
        <f>1</f>
        <v>1</v>
      </c>
      <c r="Q1940" s="6">
        <f>0</f>
        <v>0</v>
      </c>
      <c r="S1940" s="6">
        <f>0</f>
        <v>0</v>
      </c>
      <c r="T1940" s="6">
        <f>1</f>
        <v>1</v>
      </c>
      <c r="U1940" s="5" t="s">
        <v>245</v>
      </c>
      <c r="V1940" s="4" t="s">
        <v>270</v>
      </c>
      <c r="W1940" s="4" t="s">
        <v>271</v>
      </c>
      <c r="X1940" s="4" t="s">
        <v>273</v>
      </c>
      <c r="Y1940" s="4" t="s">
        <v>241</v>
      </c>
      <c r="AB1940" s="4" t="s">
        <v>241</v>
      </c>
      <c r="AD1940" s="5" t="s">
        <v>241</v>
      </c>
      <c r="AG1940" s="5" t="s">
        <v>246</v>
      </c>
      <c r="AH1940" s="4" t="s">
        <v>241</v>
      </c>
      <c r="AI1940" s="4" t="s">
        <v>247</v>
      </c>
      <c r="AJ1940" s="4" t="s">
        <v>248</v>
      </c>
      <c r="AZ1940" s="4" t="s">
        <v>249</v>
      </c>
      <c r="BA1940" s="4" t="s">
        <v>241</v>
      </c>
      <c r="BB1940" s="4" t="s">
        <v>250</v>
      </c>
      <c r="BC1940" s="4" t="s">
        <v>241</v>
      </c>
      <c r="BD1940" s="4" t="s">
        <v>252</v>
      </c>
      <c r="BE1940" s="4" t="s">
        <v>241</v>
      </c>
      <c r="BI1940" s="4" t="s">
        <v>253</v>
      </c>
      <c r="BJ1940" s="5" t="s">
        <v>246</v>
      </c>
      <c r="BK1940" s="4" t="s">
        <v>254</v>
      </c>
      <c r="BL1940" s="4" t="s">
        <v>255</v>
      </c>
      <c r="BM1940" s="4" t="s">
        <v>241</v>
      </c>
      <c r="BN1940" s="6">
        <f>0</f>
        <v>0</v>
      </c>
      <c r="BO1940" s="6">
        <f>0</f>
        <v>0</v>
      </c>
      <c r="BP1940" s="4" t="s">
        <v>256</v>
      </c>
      <c r="BQ1940" s="4" t="s">
        <v>257</v>
      </c>
      <c r="CE1940" s="4" t="s">
        <v>241</v>
      </c>
      <c r="CF1940" s="4" t="s">
        <v>241</v>
      </c>
      <c r="CJ1940" s="4" t="s">
        <v>276</v>
      </c>
      <c r="CK1940" s="4" t="s">
        <v>259</v>
      </c>
      <c r="CL1940" s="4" t="s">
        <v>241</v>
      </c>
      <c r="CO1940" s="5" t="s">
        <v>260</v>
      </c>
      <c r="CP1940" s="4" t="s">
        <v>241</v>
      </c>
      <c r="CQ1940" s="4" t="s">
        <v>261</v>
      </c>
      <c r="CR1940" s="4" t="s">
        <v>241</v>
      </c>
      <c r="CS1940" s="4" t="s">
        <v>241</v>
      </c>
      <c r="CT1940" s="4">
        <v>0</v>
      </c>
      <c r="CU1940" s="4" t="s">
        <v>262</v>
      </c>
      <c r="CV1940" s="4" t="s">
        <v>263</v>
      </c>
      <c r="CW1940" s="4" t="s">
        <v>263</v>
      </c>
      <c r="CX1940" s="4" t="s">
        <v>264</v>
      </c>
      <c r="DA1940" s="6">
        <f>1</f>
        <v>1</v>
      </c>
      <c r="DC1940" s="4" t="s">
        <v>325</v>
      </c>
      <c r="DD1940" s="4" t="s">
        <v>241</v>
      </c>
      <c r="DF1940" s="4" t="s">
        <v>325</v>
      </c>
      <c r="DG1940" s="6">
        <f>650</f>
        <v>650</v>
      </c>
      <c r="DI1940" s="4" t="s">
        <v>241</v>
      </c>
      <c r="DJ1940" s="4" t="s">
        <v>241</v>
      </c>
      <c r="DK1940" s="4" t="s">
        <v>241</v>
      </c>
      <c r="DL1940" s="4" t="s">
        <v>241</v>
      </c>
      <c r="DP1940" s="4" t="s">
        <v>241</v>
      </c>
      <c r="DQ1940" s="4" t="s">
        <v>241</v>
      </c>
      <c r="DR1940" s="4" t="s">
        <v>241</v>
      </c>
      <c r="DS1940" s="4" t="s">
        <v>241</v>
      </c>
      <c r="DV1940" s="4" t="s">
        <v>426</v>
      </c>
      <c r="DW1940" s="4" t="s">
        <v>1769</v>
      </c>
      <c r="HO1940" s="4" t="s">
        <v>267</v>
      </c>
    </row>
    <row r="1941" spans="1:223" ht="19.5" customHeight="1" x14ac:dyDescent="0.4">
      <c r="A1941" s="4">
        <v>1</v>
      </c>
      <c r="B1941" s="4" t="s">
        <v>239</v>
      </c>
      <c r="C1941" s="4">
        <v>3644</v>
      </c>
      <c r="D1941" s="4">
        <v>1</v>
      </c>
      <c r="E1941" s="4">
        <v>1</v>
      </c>
      <c r="F1941" s="4" t="s">
        <v>268</v>
      </c>
      <c r="G1941" s="4" t="s">
        <v>241</v>
      </c>
      <c r="H1941" s="4" t="s">
        <v>241</v>
      </c>
      <c r="I1941" s="4" t="s">
        <v>424</v>
      </c>
      <c r="J1941" s="4" t="s">
        <v>274</v>
      </c>
      <c r="K1941" s="4" t="s">
        <v>251</v>
      </c>
      <c r="L1941" s="4" t="s">
        <v>423</v>
      </c>
      <c r="M1941" s="5" t="s">
        <v>3839</v>
      </c>
      <c r="N1941" s="6">
        <f>188</f>
        <v>188</v>
      </c>
      <c r="O1941" s="4" t="s">
        <v>265</v>
      </c>
      <c r="P1941" s="6">
        <f>1</f>
        <v>1</v>
      </c>
      <c r="Q1941" s="6">
        <f>0</f>
        <v>0</v>
      </c>
      <c r="S1941" s="6">
        <f>0</f>
        <v>0</v>
      </c>
      <c r="T1941" s="6">
        <f>1</f>
        <v>1</v>
      </c>
      <c r="U1941" s="5" t="s">
        <v>245</v>
      </c>
      <c r="V1941" s="4" t="s">
        <v>270</v>
      </c>
      <c r="W1941" s="4" t="s">
        <v>271</v>
      </c>
      <c r="X1941" s="4" t="s">
        <v>273</v>
      </c>
      <c r="Y1941" s="4" t="s">
        <v>241</v>
      </c>
      <c r="AB1941" s="4" t="s">
        <v>241</v>
      </c>
      <c r="AD1941" s="5" t="s">
        <v>241</v>
      </c>
      <c r="AG1941" s="5" t="s">
        <v>246</v>
      </c>
      <c r="AH1941" s="4" t="s">
        <v>241</v>
      </c>
      <c r="AI1941" s="4" t="s">
        <v>247</v>
      </c>
      <c r="AJ1941" s="4" t="s">
        <v>248</v>
      </c>
      <c r="AZ1941" s="4" t="s">
        <v>249</v>
      </c>
      <c r="BA1941" s="4" t="s">
        <v>241</v>
      </c>
      <c r="BB1941" s="4" t="s">
        <v>250</v>
      </c>
      <c r="BC1941" s="4" t="s">
        <v>241</v>
      </c>
      <c r="BD1941" s="4" t="s">
        <v>252</v>
      </c>
      <c r="BE1941" s="4" t="s">
        <v>241</v>
      </c>
      <c r="BI1941" s="4" t="s">
        <v>253</v>
      </c>
      <c r="BJ1941" s="5" t="s">
        <v>246</v>
      </c>
      <c r="BK1941" s="4" t="s">
        <v>254</v>
      </c>
      <c r="BL1941" s="4" t="s">
        <v>255</v>
      </c>
      <c r="BM1941" s="4" t="s">
        <v>241</v>
      </c>
      <c r="BN1941" s="6">
        <f>0</f>
        <v>0</v>
      </c>
      <c r="BO1941" s="6">
        <f>0</f>
        <v>0</v>
      </c>
      <c r="BP1941" s="4" t="s">
        <v>256</v>
      </c>
      <c r="BQ1941" s="4" t="s">
        <v>257</v>
      </c>
      <c r="CE1941" s="4" t="s">
        <v>241</v>
      </c>
      <c r="CF1941" s="4" t="s">
        <v>241</v>
      </c>
      <c r="CJ1941" s="4" t="s">
        <v>276</v>
      </c>
      <c r="CK1941" s="4" t="s">
        <v>259</v>
      </c>
      <c r="CL1941" s="4" t="s">
        <v>241</v>
      </c>
      <c r="CO1941" s="5" t="s">
        <v>260</v>
      </c>
      <c r="CP1941" s="4" t="s">
        <v>241</v>
      </c>
      <c r="CQ1941" s="4" t="s">
        <v>261</v>
      </c>
      <c r="CR1941" s="4" t="s">
        <v>241</v>
      </c>
      <c r="CS1941" s="4" t="s">
        <v>241</v>
      </c>
      <c r="CT1941" s="4">
        <v>0</v>
      </c>
      <c r="CU1941" s="4" t="s">
        <v>262</v>
      </c>
      <c r="CV1941" s="4" t="s">
        <v>263</v>
      </c>
      <c r="CW1941" s="4" t="s">
        <v>263</v>
      </c>
      <c r="CX1941" s="4" t="s">
        <v>264</v>
      </c>
      <c r="DA1941" s="6">
        <f>1</f>
        <v>1</v>
      </c>
      <c r="DC1941" s="4" t="s">
        <v>325</v>
      </c>
      <c r="DD1941" s="4" t="s">
        <v>241</v>
      </c>
      <c r="DF1941" s="4" t="s">
        <v>325</v>
      </c>
      <c r="DG1941" s="6">
        <f>188</f>
        <v>188</v>
      </c>
      <c r="DI1941" s="4" t="s">
        <v>241</v>
      </c>
      <c r="DJ1941" s="4" t="s">
        <v>241</v>
      </c>
      <c r="DK1941" s="4" t="s">
        <v>241</v>
      </c>
      <c r="DL1941" s="4" t="s">
        <v>241</v>
      </c>
      <c r="DP1941" s="4" t="s">
        <v>241</v>
      </c>
      <c r="DQ1941" s="4" t="s">
        <v>241</v>
      </c>
      <c r="DR1941" s="4" t="s">
        <v>241</v>
      </c>
      <c r="DS1941" s="4" t="s">
        <v>241</v>
      </c>
      <c r="DV1941" s="4" t="s">
        <v>426</v>
      </c>
      <c r="DW1941" s="4" t="s">
        <v>1914</v>
      </c>
      <c r="HO1941" s="4" t="s">
        <v>267</v>
      </c>
    </row>
    <row r="1942" spans="1:223" ht="19.5" customHeight="1" x14ac:dyDescent="0.4">
      <c r="A1942" s="4">
        <v>1</v>
      </c>
      <c r="B1942" s="4" t="s">
        <v>239</v>
      </c>
      <c r="C1942" s="4">
        <v>3645</v>
      </c>
      <c r="D1942" s="4">
        <v>1</v>
      </c>
      <c r="E1942" s="4">
        <v>1</v>
      </c>
      <c r="F1942" s="4" t="s">
        <v>268</v>
      </c>
      <c r="G1942" s="4" t="s">
        <v>241</v>
      </c>
      <c r="H1942" s="4" t="s">
        <v>241</v>
      </c>
      <c r="I1942" s="4" t="s">
        <v>424</v>
      </c>
      <c r="J1942" s="4" t="s">
        <v>274</v>
      </c>
      <c r="K1942" s="4" t="s">
        <v>251</v>
      </c>
      <c r="L1942" s="4" t="s">
        <v>423</v>
      </c>
      <c r="M1942" s="5" t="s">
        <v>3426</v>
      </c>
      <c r="N1942" s="6">
        <f>250</f>
        <v>250</v>
      </c>
      <c r="O1942" s="4" t="s">
        <v>265</v>
      </c>
      <c r="P1942" s="6">
        <f>1</f>
        <v>1</v>
      </c>
      <c r="Q1942" s="6">
        <f>0</f>
        <v>0</v>
      </c>
      <c r="S1942" s="6">
        <f>0</f>
        <v>0</v>
      </c>
      <c r="T1942" s="6">
        <f>1</f>
        <v>1</v>
      </c>
      <c r="U1942" s="5" t="s">
        <v>245</v>
      </c>
      <c r="V1942" s="4" t="s">
        <v>270</v>
      </c>
      <c r="W1942" s="4" t="s">
        <v>271</v>
      </c>
      <c r="X1942" s="4" t="s">
        <v>273</v>
      </c>
      <c r="Y1942" s="4" t="s">
        <v>241</v>
      </c>
      <c r="AB1942" s="4" t="s">
        <v>241</v>
      </c>
      <c r="AD1942" s="5" t="s">
        <v>241</v>
      </c>
      <c r="AG1942" s="5" t="s">
        <v>246</v>
      </c>
      <c r="AH1942" s="4" t="s">
        <v>241</v>
      </c>
      <c r="AI1942" s="4" t="s">
        <v>247</v>
      </c>
      <c r="AJ1942" s="4" t="s">
        <v>248</v>
      </c>
      <c r="AZ1942" s="4" t="s">
        <v>249</v>
      </c>
      <c r="BA1942" s="4" t="s">
        <v>241</v>
      </c>
      <c r="BB1942" s="4" t="s">
        <v>250</v>
      </c>
      <c r="BC1942" s="4" t="s">
        <v>241</v>
      </c>
      <c r="BD1942" s="4" t="s">
        <v>252</v>
      </c>
      <c r="BE1942" s="4" t="s">
        <v>241</v>
      </c>
      <c r="BI1942" s="4" t="s">
        <v>253</v>
      </c>
      <c r="BJ1942" s="5" t="s">
        <v>246</v>
      </c>
      <c r="BK1942" s="4" t="s">
        <v>254</v>
      </c>
      <c r="BL1942" s="4" t="s">
        <v>255</v>
      </c>
      <c r="BM1942" s="4" t="s">
        <v>241</v>
      </c>
      <c r="BN1942" s="6">
        <f>0</f>
        <v>0</v>
      </c>
      <c r="BO1942" s="6">
        <f>0</f>
        <v>0</v>
      </c>
      <c r="BP1942" s="4" t="s">
        <v>256</v>
      </c>
      <c r="BQ1942" s="4" t="s">
        <v>257</v>
      </c>
      <c r="CE1942" s="4" t="s">
        <v>241</v>
      </c>
      <c r="CF1942" s="4" t="s">
        <v>241</v>
      </c>
      <c r="CJ1942" s="4" t="s">
        <v>276</v>
      </c>
      <c r="CK1942" s="4" t="s">
        <v>259</v>
      </c>
      <c r="CL1942" s="4" t="s">
        <v>241</v>
      </c>
      <c r="CO1942" s="5" t="s">
        <v>260</v>
      </c>
      <c r="CP1942" s="4" t="s">
        <v>241</v>
      </c>
      <c r="CQ1942" s="4" t="s">
        <v>261</v>
      </c>
      <c r="CR1942" s="4" t="s">
        <v>241</v>
      </c>
      <c r="CS1942" s="4" t="s">
        <v>241</v>
      </c>
      <c r="CT1942" s="4">
        <v>0</v>
      </c>
      <c r="CU1942" s="4" t="s">
        <v>262</v>
      </c>
      <c r="CV1942" s="4" t="s">
        <v>263</v>
      </c>
      <c r="CW1942" s="4" t="s">
        <v>263</v>
      </c>
      <c r="CX1942" s="4" t="s">
        <v>264</v>
      </c>
      <c r="DA1942" s="6">
        <f>1</f>
        <v>1</v>
      </c>
      <c r="DC1942" s="4" t="s">
        <v>325</v>
      </c>
      <c r="DD1942" s="4" t="s">
        <v>241</v>
      </c>
      <c r="DF1942" s="4" t="s">
        <v>325</v>
      </c>
      <c r="DG1942" s="6">
        <f>250</f>
        <v>250</v>
      </c>
      <c r="DI1942" s="4" t="s">
        <v>241</v>
      </c>
      <c r="DJ1942" s="4" t="s">
        <v>241</v>
      </c>
      <c r="DK1942" s="4" t="s">
        <v>241</v>
      </c>
      <c r="DL1942" s="4" t="s">
        <v>241</v>
      </c>
      <c r="DP1942" s="4" t="s">
        <v>241</v>
      </c>
      <c r="DQ1942" s="4" t="s">
        <v>241</v>
      </c>
      <c r="DR1942" s="4" t="s">
        <v>241</v>
      </c>
      <c r="DS1942" s="4" t="s">
        <v>241</v>
      </c>
      <c r="DV1942" s="4" t="s">
        <v>426</v>
      </c>
      <c r="DW1942" s="4" t="s">
        <v>1767</v>
      </c>
      <c r="HO1942" s="4" t="s">
        <v>267</v>
      </c>
    </row>
    <row r="1943" spans="1:223" ht="19.5" customHeight="1" x14ac:dyDescent="0.4">
      <c r="A1943" s="4">
        <v>1</v>
      </c>
      <c r="B1943" s="4" t="s">
        <v>239</v>
      </c>
      <c r="C1943" s="4">
        <v>3646</v>
      </c>
      <c r="D1943" s="4">
        <v>1</v>
      </c>
      <c r="E1943" s="4">
        <v>1</v>
      </c>
      <c r="F1943" s="4" t="s">
        <v>268</v>
      </c>
      <c r="G1943" s="4" t="s">
        <v>241</v>
      </c>
      <c r="H1943" s="4" t="s">
        <v>241</v>
      </c>
      <c r="I1943" s="4" t="s">
        <v>424</v>
      </c>
      <c r="J1943" s="4" t="s">
        <v>274</v>
      </c>
      <c r="K1943" s="4" t="s">
        <v>251</v>
      </c>
      <c r="L1943" s="4" t="s">
        <v>423</v>
      </c>
      <c r="M1943" s="5" t="s">
        <v>3844</v>
      </c>
      <c r="N1943" s="6">
        <f>338</f>
        <v>338</v>
      </c>
      <c r="O1943" s="4" t="s">
        <v>265</v>
      </c>
      <c r="P1943" s="6">
        <f>1</f>
        <v>1</v>
      </c>
      <c r="Q1943" s="6">
        <f>0</f>
        <v>0</v>
      </c>
      <c r="S1943" s="6">
        <f>0</f>
        <v>0</v>
      </c>
      <c r="T1943" s="6">
        <f>1</f>
        <v>1</v>
      </c>
      <c r="U1943" s="5" t="s">
        <v>245</v>
      </c>
      <c r="V1943" s="4" t="s">
        <v>270</v>
      </c>
      <c r="W1943" s="4" t="s">
        <v>271</v>
      </c>
      <c r="X1943" s="4" t="s">
        <v>273</v>
      </c>
      <c r="Y1943" s="4" t="s">
        <v>241</v>
      </c>
      <c r="AB1943" s="4" t="s">
        <v>241</v>
      </c>
      <c r="AD1943" s="5" t="s">
        <v>241</v>
      </c>
      <c r="AG1943" s="5" t="s">
        <v>246</v>
      </c>
      <c r="AH1943" s="4" t="s">
        <v>241</v>
      </c>
      <c r="AI1943" s="4" t="s">
        <v>247</v>
      </c>
      <c r="AJ1943" s="4" t="s">
        <v>248</v>
      </c>
      <c r="AZ1943" s="4" t="s">
        <v>249</v>
      </c>
      <c r="BA1943" s="4" t="s">
        <v>241</v>
      </c>
      <c r="BB1943" s="4" t="s">
        <v>250</v>
      </c>
      <c r="BC1943" s="4" t="s">
        <v>241</v>
      </c>
      <c r="BD1943" s="4" t="s">
        <v>252</v>
      </c>
      <c r="BE1943" s="4" t="s">
        <v>241</v>
      </c>
      <c r="BI1943" s="4" t="s">
        <v>253</v>
      </c>
      <c r="BJ1943" s="5" t="s">
        <v>246</v>
      </c>
      <c r="BK1943" s="4" t="s">
        <v>254</v>
      </c>
      <c r="BL1943" s="4" t="s">
        <v>255</v>
      </c>
      <c r="BM1943" s="4" t="s">
        <v>241</v>
      </c>
      <c r="BN1943" s="6">
        <f>0</f>
        <v>0</v>
      </c>
      <c r="BO1943" s="6">
        <f>0</f>
        <v>0</v>
      </c>
      <c r="BP1943" s="4" t="s">
        <v>256</v>
      </c>
      <c r="BQ1943" s="4" t="s">
        <v>257</v>
      </c>
      <c r="CE1943" s="4" t="s">
        <v>241</v>
      </c>
      <c r="CF1943" s="4" t="s">
        <v>241</v>
      </c>
      <c r="CJ1943" s="4" t="s">
        <v>276</v>
      </c>
      <c r="CK1943" s="4" t="s">
        <v>259</v>
      </c>
      <c r="CL1943" s="4" t="s">
        <v>241</v>
      </c>
      <c r="CO1943" s="5" t="s">
        <v>260</v>
      </c>
      <c r="CP1943" s="4" t="s">
        <v>241</v>
      </c>
      <c r="CQ1943" s="4" t="s">
        <v>261</v>
      </c>
      <c r="CR1943" s="4" t="s">
        <v>241</v>
      </c>
      <c r="CS1943" s="4" t="s">
        <v>241</v>
      </c>
      <c r="CT1943" s="4">
        <v>0</v>
      </c>
      <c r="CU1943" s="4" t="s">
        <v>262</v>
      </c>
      <c r="CV1943" s="4" t="s">
        <v>263</v>
      </c>
      <c r="CW1943" s="4" t="s">
        <v>263</v>
      </c>
      <c r="CX1943" s="4" t="s">
        <v>264</v>
      </c>
      <c r="DA1943" s="6">
        <f>1</f>
        <v>1</v>
      </c>
      <c r="DC1943" s="4" t="s">
        <v>325</v>
      </c>
      <c r="DD1943" s="4" t="s">
        <v>241</v>
      </c>
      <c r="DF1943" s="4" t="s">
        <v>325</v>
      </c>
      <c r="DG1943" s="6">
        <f>338</f>
        <v>338</v>
      </c>
      <c r="DI1943" s="4" t="s">
        <v>241</v>
      </c>
      <c r="DJ1943" s="4" t="s">
        <v>241</v>
      </c>
      <c r="DK1943" s="4" t="s">
        <v>241</v>
      </c>
      <c r="DL1943" s="4" t="s">
        <v>241</v>
      </c>
      <c r="DP1943" s="4" t="s">
        <v>241</v>
      </c>
      <c r="DQ1943" s="4" t="s">
        <v>241</v>
      </c>
      <c r="DR1943" s="4" t="s">
        <v>241</v>
      </c>
      <c r="DS1943" s="4" t="s">
        <v>241</v>
      </c>
      <c r="DV1943" s="4" t="s">
        <v>426</v>
      </c>
      <c r="DW1943" s="4" t="s">
        <v>1764</v>
      </c>
      <c r="HO1943" s="4" t="s">
        <v>267</v>
      </c>
    </row>
    <row r="1944" spans="1:223" ht="19.5" customHeight="1" x14ac:dyDescent="0.4">
      <c r="A1944" s="4">
        <v>1</v>
      </c>
      <c r="B1944" s="4" t="s">
        <v>239</v>
      </c>
      <c r="C1944" s="4">
        <v>3647</v>
      </c>
      <c r="D1944" s="4">
        <v>1</v>
      </c>
      <c r="E1944" s="4">
        <v>1</v>
      </c>
      <c r="F1944" s="4" t="s">
        <v>268</v>
      </c>
      <c r="G1944" s="4" t="s">
        <v>241</v>
      </c>
      <c r="H1944" s="4" t="s">
        <v>241</v>
      </c>
      <c r="I1944" s="4" t="s">
        <v>424</v>
      </c>
      <c r="J1944" s="4" t="s">
        <v>274</v>
      </c>
      <c r="K1944" s="4" t="s">
        <v>251</v>
      </c>
      <c r="L1944" s="4" t="s">
        <v>423</v>
      </c>
      <c r="M1944" s="5" t="s">
        <v>3427</v>
      </c>
      <c r="N1944" s="6">
        <f>1376</f>
        <v>1376</v>
      </c>
      <c r="O1944" s="4" t="s">
        <v>265</v>
      </c>
      <c r="P1944" s="6">
        <f>1</f>
        <v>1</v>
      </c>
      <c r="Q1944" s="6">
        <f>0</f>
        <v>0</v>
      </c>
      <c r="S1944" s="6">
        <f>0</f>
        <v>0</v>
      </c>
      <c r="T1944" s="6">
        <f>1</f>
        <v>1</v>
      </c>
      <c r="U1944" s="5" t="s">
        <v>245</v>
      </c>
      <c r="V1944" s="4" t="s">
        <v>270</v>
      </c>
      <c r="W1944" s="4" t="s">
        <v>271</v>
      </c>
      <c r="X1944" s="4" t="s">
        <v>273</v>
      </c>
      <c r="Y1944" s="4" t="s">
        <v>241</v>
      </c>
      <c r="AB1944" s="4" t="s">
        <v>241</v>
      </c>
      <c r="AD1944" s="5" t="s">
        <v>241</v>
      </c>
      <c r="AG1944" s="5" t="s">
        <v>246</v>
      </c>
      <c r="AH1944" s="4" t="s">
        <v>241</v>
      </c>
      <c r="AI1944" s="4" t="s">
        <v>247</v>
      </c>
      <c r="AJ1944" s="4" t="s">
        <v>248</v>
      </c>
      <c r="AZ1944" s="4" t="s">
        <v>249</v>
      </c>
      <c r="BA1944" s="4" t="s">
        <v>241</v>
      </c>
      <c r="BB1944" s="4" t="s">
        <v>250</v>
      </c>
      <c r="BC1944" s="4" t="s">
        <v>241</v>
      </c>
      <c r="BD1944" s="4" t="s">
        <v>252</v>
      </c>
      <c r="BE1944" s="4" t="s">
        <v>241</v>
      </c>
      <c r="BI1944" s="4" t="s">
        <v>253</v>
      </c>
      <c r="BJ1944" s="5" t="s">
        <v>246</v>
      </c>
      <c r="BK1944" s="4" t="s">
        <v>254</v>
      </c>
      <c r="BL1944" s="4" t="s">
        <v>255</v>
      </c>
      <c r="BM1944" s="4" t="s">
        <v>241</v>
      </c>
      <c r="BN1944" s="6">
        <f>0</f>
        <v>0</v>
      </c>
      <c r="BO1944" s="6">
        <f>0</f>
        <v>0</v>
      </c>
      <c r="BP1944" s="4" t="s">
        <v>256</v>
      </c>
      <c r="BQ1944" s="4" t="s">
        <v>257</v>
      </c>
      <c r="CE1944" s="4" t="s">
        <v>241</v>
      </c>
      <c r="CF1944" s="4" t="s">
        <v>241</v>
      </c>
      <c r="CJ1944" s="4" t="s">
        <v>276</v>
      </c>
      <c r="CK1944" s="4" t="s">
        <v>259</v>
      </c>
      <c r="CL1944" s="4" t="s">
        <v>241</v>
      </c>
      <c r="CO1944" s="5" t="s">
        <v>260</v>
      </c>
      <c r="CP1944" s="4" t="s">
        <v>241</v>
      </c>
      <c r="CQ1944" s="4" t="s">
        <v>261</v>
      </c>
      <c r="CR1944" s="4" t="s">
        <v>241</v>
      </c>
      <c r="CS1944" s="4" t="s">
        <v>241</v>
      </c>
      <c r="CT1944" s="4">
        <v>0</v>
      </c>
      <c r="CU1944" s="4" t="s">
        <v>262</v>
      </c>
      <c r="CV1944" s="4" t="s">
        <v>263</v>
      </c>
      <c r="CW1944" s="4" t="s">
        <v>263</v>
      </c>
      <c r="CX1944" s="4" t="s">
        <v>264</v>
      </c>
      <c r="DA1944" s="6">
        <f>1</f>
        <v>1</v>
      </c>
      <c r="DC1944" s="4" t="s">
        <v>325</v>
      </c>
      <c r="DD1944" s="4" t="s">
        <v>241</v>
      </c>
      <c r="DF1944" s="4" t="s">
        <v>325</v>
      </c>
      <c r="DG1944" s="6">
        <f>1376</f>
        <v>1376</v>
      </c>
      <c r="DI1944" s="4" t="s">
        <v>241</v>
      </c>
      <c r="DJ1944" s="4" t="s">
        <v>241</v>
      </c>
      <c r="DK1944" s="4" t="s">
        <v>241</v>
      </c>
      <c r="DL1944" s="4" t="s">
        <v>241</v>
      </c>
      <c r="DP1944" s="4" t="s">
        <v>241</v>
      </c>
      <c r="DQ1944" s="4" t="s">
        <v>241</v>
      </c>
      <c r="DR1944" s="4" t="s">
        <v>241</v>
      </c>
      <c r="DS1944" s="4" t="s">
        <v>241</v>
      </c>
      <c r="DV1944" s="4" t="s">
        <v>426</v>
      </c>
      <c r="DW1944" s="4" t="s">
        <v>1762</v>
      </c>
      <c r="HO1944" s="4" t="s">
        <v>267</v>
      </c>
    </row>
    <row r="1945" spans="1:223" ht="19.5" customHeight="1" x14ac:dyDescent="0.4">
      <c r="A1945" s="4">
        <v>1</v>
      </c>
      <c r="B1945" s="4" t="s">
        <v>239</v>
      </c>
      <c r="C1945" s="4">
        <v>3648</v>
      </c>
      <c r="D1945" s="4">
        <v>1</v>
      </c>
      <c r="E1945" s="4">
        <v>1</v>
      </c>
      <c r="F1945" s="4" t="s">
        <v>268</v>
      </c>
      <c r="G1945" s="4" t="s">
        <v>241</v>
      </c>
      <c r="H1945" s="4" t="s">
        <v>241</v>
      </c>
      <c r="I1945" s="4" t="s">
        <v>424</v>
      </c>
      <c r="J1945" s="4" t="s">
        <v>274</v>
      </c>
      <c r="K1945" s="4" t="s">
        <v>251</v>
      </c>
      <c r="L1945" s="4" t="s">
        <v>423</v>
      </c>
      <c r="M1945" s="5" t="s">
        <v>3847</v>
      </c>
      <c r="N1945" s="6">
        <f>206</f>
        <v>206</v>
      </c>
      <c r="O1945" s="4" t="s">
        <v>265</v>
      </c>
      <c r="P1945" s="6">
        <f>1</f>
        <v>1</v>
      </c>
      <c r="Q1945" s="6">
        <f>0</f>
        <v>0</v>
      </c>
      <c r="S1945" s="6">
        <f>0</f>
        <v>0</v>
      </c>
      <c r="T1945" s="6">
        <f>1</f>
        <v>1</v>
      </c>
      <c r="U1945" s="5" t="s">
        <v>245</v>
      </c>
      <c r="V1945" s="4" t="s">
        <v>270</v>
      </c>
      <c r="W1945" s="4" t="s">
        <v>271</v>
      </c>
      <c r="X1945" s="4" t="s">
        <v>273</v>
      </c>
      <c r="Y1945" s="4" t="s">
        <v>241</v>
      </c>
      <c r="AB1945" s="4" t="s">
        <v>241</v>
      </c>
      <c r="AD1945" s="5" t="s">
        <v>241</v>
      </c>
      <c r="AG1945" s="5" t="s">
        <v>246</v>
      </c>
      <c r="AH1945" s="4" t="s">
        <v>241</v>
      </c>
      <c r="AI1945" s="4" t="s">
        <v>247</v>
      </c>
      <c r="AJ1945" s="4" t="s">
        <v>248</v>
      </c>
      <c r="AZ1945" s="4" t="s">
        <v>249</v>
      </c>
      <c r="BA1945" s="4" t="s">
        <v>241</v>
      </c>
      <c r="BB1945" s="4" t="s">
        <v>250</v>
      </c>
      <c r="BC1945" s="4" t="s">
        <v>241</v>
      </c>
      <c r="BD1945" s="4" t="s">
        <v>252</v>
      </c>
      <c r="BE1945" s="4" t="s">
        <v>241</v>
      </c>
      <c r="BI1945" s="4" t="s">
        <v>253</v>
      </c>
      <c r="BJ1945" s="5" t="s">
        <v>246</v>
      </c>
      <c r="BK1945" s="4" t="s">
        <v>254</v>
      </c>
      <c r="BL1945" s="4" t="s">
        <v>255</v>
      </c>
      <c r="BM1945" s="4" t="s">
        <v>241</v>
      </c>
      <c r="BN1945" s="6">
        <f>0</f>
        <v>0</v>
      </c>
      <c r="BO1945" s="6">
        <f>0</f>
        <v>0</v>
      </c>
      <c r="BP1945" s="4" t="s">
        <v>256</v>
      </c>
      <c r="BQ1945" s="4" t="s">
        <v>257</v>
      </c>
      <c r="CE1945" s="4" t="s">
        <v>241</v>
      </c>
      <c r="CF1945" s="4" t="s">
        <v>241</v>
      </c>
      <c r="CJ1945" s="4" t="s">
        <v>276</v>
      </c>
      <c r="CK1945" s="4" t="s">
        <v>259</v>
      </c>
      <c r="CL1945" s="4" t="s">
        <v>241</v>
      </c>
      <c r="CO1945" s="5" t="s">
        <v>260</v>
      </c>
      <c r="CP1945" s="4" t="s">
        <v>241</v>
      </c>
      <c r="CQ1945" s="4" t="s">
        <v>261</v>
      </c>
      <c r="CR1945" s="4" t="s">
        <v>241</v>
      </c>
      <c r="CS1945" s="4" t="s">
        <v>241</v>
      </c>
      <c r="CT1945" s="4">
        <v>0</v>
      </c>
      <c r="CU1945" s="4" t="s">
        <v>262</v>
      </c>
      <c r="CV1945" s="4" t="s">
        <v>263</v>
      </c>
      <c r="CW1945" s="4" t="s">
        <v>263</v>
      </c>
      <c r="CX1945" s="4" t="s">
        <v>264</v>
      </c>
      <c r="DA1945" s="6">
        <f>1</f>
        <v>1</v>
      </c>
      <c r="DC1945" s="4" t="s">
        <v>325</v>
      </c>
      <c r="DD1945" s="4" t="s">
        <v>241</v>
      </c>
      <c r="DF1945" s="4" t="s">
        <v>325</v>
      </c>
      <c r="DG1945" s="6">
        <f>206</f>
        <v>206</v>
      </c>
      <c r="DI1945" s="4" t="s">
        <v>241</v>
      </c>
      <c r="DJ1945" s="4" t="s">
        <v>241</v>
      </c>
      <c r="DK1945" s="4" t="s">
        <v>241</v>
      </c>
      <c r="DL1945" s="4" t="s">
        <v>241</v>
      </c>
      <c r="DP1945" s="4" t="s">
        <v>241</v>
      </c>
      <c r="DQ1945" s="4" t="s">
        <v>241</v>
      </c>
      <c r="DR1945" s="4" t="s">
        <v>241</v>
      </c>
      <c r="DS1945" s="4" t="s">
        <v>241</v>
      </c>
      <c r="DV1945" s="4" t="s">
        <v>426</v>
      </c>
      <c r="DW1945" s="4" t="s">
        <v>1759</v>
      </c>
      <c r="HO1945" s="4" t="s">
        <v>267</v>
      </c>
    </row>
    <row r="1946" spans="1:223" ht="19.5" customHeight="1" x14ac:dyDescent="0.4">
      <c r="A1946" s="4">
        <v>1</v>
      </c>
      <c r="B1946" s="4" t="s">
        <v>239</v>
      </c>
      <c r="C1946" s="4">
        <v>3649</v>
      </c>
      <c r="D1946" s="4">
        <v>1</v>
      </c>
      <c r="E1946" s="4">
        <v>1</v>
      </c>
      <c r="F1946" s="4" t="s">
        <v>268</v>
      </c>
      <c r="G1946" s="4" t="s">
        <v>241</v>
      </c>
      <c r="H1946" s="4" t="s">
        <v>241</v>
      </c>
      <c r="I1946" s="4" t="s">
        <v>424</v>
      </c>
      <c r="J1946" s="4" t="s">
        <v>274</v>
      </c>
      <c r="K1946" s="4" t="s">
        <v>251</v>
      </c>
      <c r="L1946" s="4" t="s">
        <v>423</v>
      </c>
      <c r="M1946" s="5" t="s">
        <v>3850</v>
      </c>
      <c r="N1946" s="6">
        <f>978</f>
        <v>978</v>
      </c>
      <c r="O1946" s="4" t="s">
        <v>265</v>
      </c>
      <c r="P1946" s="6">
        <f>1</f>
        <v>1</v>
      </c>
      <c r="Q1946" s="6">
        <f>0</f>
        <v>0</v>
      </c>
      <c r="S1946" s="6">
        <f>0</f>
        <v>0</v>
      </c>
      <c r="T1946" s="6">
        <f>1</f>
        <v>1</v>
      </c>
      <c r="U1946" s="5" t="s">
        <v>245</v>
      </c>
      <c r="V1946" s="4" t="s">
        <v>270</v>
      </c>
      <c r="W1946" s="4" t="s">
        <v>271</v>
      </c>
      <c r="X1946" s="4" t="s">
        <v>273</v>
      </c>
      <c r="Y1946" s="4" t="s">
        <v>241</v>
      </c>
      <c r="AB1946" s="4" t="s">
        <v>241</v>
      </c>
      <c r="AD1946" s="5" t="s">
        <v>241</v>
      </c>
      <c r="AG1946" s="5" t="s">
        <v>246</v>
      </c>
      <c r="AH1946" s="4" t="s">
        <v>241</v>
      </c>
      <c r="AI1946" s="4" t="s">
        <v>247</v>
      </c>
      <c r="AJ1946" s="4" t="s">
        <v>248</v>
      </c>
      <c r="AZ1946" s="4" t="s">
        <v>249</v>
      </c>
      <c r="BA1946" s="4" t="s">
        <v>241</v>
      </c>
      <c r="BB1946" s="4" t="s">
        <v>250</v>
      </c>
      <c r="BC1946" s="4" t="s">
        <v>241</v>
      </c>
      <c r="BD1946" s="4" t="s">
        <v>252</v>
      </c>
      <c r="BE1946" s="4" t="s">
        <v>241</v>
      </c>
      <c r="BI1946" s="4" t="s">
        <v>253</v>
      </c>
      <c r="BJ1946" s="5" t="s">
        <v>246</v>
      </c>
      <c r="BK1946" s="4" t="s">
        <v>254</v>
      </c>
      <c r="BL1946" s="4" t="s">
        <v>255</v>
      </c>
      <c r="BM1946" s="4" t="s">
        <v>241</v>
      </c>
      <c r="BN1946" s="6">
        <f>0</f>
        <v>0</v>
      </c>
      <c r="BO1946" s="6">
        <f>0</f>
        <v>0</v>
      </c>
      <c r="BP1946" s="4" t="s">
        <v>256</v>
      </c>
      <c r="BQ1946" s="4" t="s">
        <v>257</v>
      </c>
      <c r="CE1946" s="4" t="s">
        <v>241</v>
      </c>
      <c r="CF1946" s="4" t="s">
        <v>241</v>
      </c>
      <c r="CJ1946" s="4" t="s">
        <v>276</v>
      </c>
      <c r="CK1946" s="4" t="s">
        <v>259</v>
      </c>
      <c r="CL1946" s="4" t="s">
        <v>241</v>
      </c>
      <c r="CO1946" s="5" t="s">
        <v>260</v>
      </c>
      <c r="CP1946" s="4" t="s">
        <v>241</v>
      </c>
      <c r="CQ1946" s="4" t="s">
        <v>261</v>
      </c>
      <c r="CR1946" s="4" t="s">
        <v>241</v>
      </c>
      <c r="CS1946" s="4" t="s">
        <v>241</v>
      </c>
      <c r="CT1946" s="4">
        <v>0</v>
      </c>
      <c r="CU1946" s="4" t="s">
        <v>262</v>
      </c>
      <c r="CV1946" s="4" t="s">
        <v>263</v>
      </c>
      <c r="CW1946" s="4" t="s">
        <v>263</v>
      </c>
      <c r="CX1946" s="4" t="s">
        <v>264</v>
      </c>
      <c r="DA1946" s="6">
        <f>1</f>
        <v>1</v>
      </c>
      <c r="DC1946" s="4" t="s">
        <v>325</v>
      </c>
      <c r="DD1946" s="4" t="s">
        <v>241</v>
      </c>
      <c r="DF1946" s="4" t="s">
        <v>325</v>
      </c>
      <c r="DG1946" s="6">
        <f>978</f>
        <v>978</v>
      </c>
      <c r="DI1946" s="4" t="s">
        <v>241</v>
      </c>
      <c r="DJ1946" s="4" t="s">
        <v>241</v>
      </c>
      <c r="DK1946" s="4" t="s">
        <v>241</v>
      </c>
      <c r="DL1946" s="4" t="s">
        <v>241</v>
      </c>
      <c r="DP1946" s="4" t="s">
        <v>241</v>
      </c>
      <c r="DQ1946" s="4" t="s">
        <v>241</v>
      </c>
      <c r="DR1946" s="4" t="s">
        <v>241</v>
      </c>
      <c r="DS1946" s="4" t="s">
        <v>241</v>
      </c>
      <c r="DV1946" s="4" t="s">
        <v>426</v>
      </c>
      <c r="DW1946" s="4" t="s">
        <v>1755</v>
      </c>
      <c r="HO1946" s="4" t="s">
        <v>267</v>
      </c>
    </row>
    <row r="1947" spans="1:223" ht="19.5" customHeight="1" x14ac:dyDescent="0.4">
      <c r="A1947" s="4">
        <v>1</v>
      </c>
      <c r="B1947" s="4" t="s">
        <v>239</v>
      </c>
      <c r="C1947" s="4">
        <v>3650</v>
      </c>
      <c r="D1947" s="4">
        <v>1</v>
      </c>
      <c r="E1947" s="4">
        <v>1</v>
      </c>
      <c r="F1947" s="4" t="s">
        <v>268</v>
      </c>
      <c r="G1947" s="4" t="s">
        <v>241</v>
      </c>
      <c r="H1947" s="4" t="s">
        <v>241</v>
      </c>
      <c r="I1947" s="4" t="s">
        <v>424</v>
      </c>
      <c r="J1947" s="4" t="s">
        <v>274</v>
      </c>
      <c r="K1947" s="4" t="s">
        <v>251</v>
      </c>
      <c r="L1947" s="4" t="s">
        <v>423</v>
      </c>
      <c r="M1947" s="5" t="s">
        <v>3851</v>
      </c>
      <c r="N1947" s="6">
        <f>3156</f>
        <v>3156</v>
      </c>
      <c r="O1947" s="4" t="s">
        <v>265</v>
      </c>
      <c r="P1947" s="6">
        <f>1</f>
        <v>1</v>
      </c>
      <c r="Q1947" s="6">
        <f>0</f>
        <v>0</v>
      </c>
      <c r="S1947" s="6">
        <f>0</f>
        <v>0</v>
      </c>
      <c r="T1947" s="6">
        <f>1</f>
        <v>1</v>
      </c>
      <c r="U1947" s="5" t="s">
        <v>245</v>
      </c>
      <c r="V1947" s="4" t="s">
        <v>270</v>
      </c>
      <c r="W1947" s="4" t="s">
        <v>271</v>
      </c>
      <c r="X1947" s="4" t="s">
        <v>273</v>
      </c>
      <c r="Y1947" s="4" t="s">
        <v>241</v>
      </c>
      <c r="AB1947" s="4" t="s">
        <v>241</v>
      </c>
      <c r="AD1947" s="5" t="s">
        <v>241</v>
      </c>
      <c r="AG1947" s="5" t="s">
        <v>246</v>
      </c>
      <c r="AH1947" s="4" t="s">
        <v>241</v>
      </c>
      <c r="AI1947" s="4" t="s">
        <v>247</v>
      </c>
      <c r="AJ1947" s="4" t="s">
        <v>248</v>
      </c>
      <c r="AZ1947" s="4" t="s">
        <v>249</v>
      </c>
      <c r="BA1947" s="4" t="s">
        <v>241</v>
      </c>
      <c r="BB1947" s="4" t="s">
        <v>250</v>
      </c>
      <c r="BC1947" s="4" t="s">
        <v>241</v>
      </c>
      <c r="BD1947" s="4" t="s">
        <v>252</v>
      </c>
      <c r="BE1947" s="4" t="s">
        <v>241</v>
      </c>
      <c r="BI1947" s="4" t="s">
        <v>253</v>
      </c>
      <c r="BJ1947" s="5" t="s">
        <v>246</v>
      </c>
      <c r="BK1947" s="4" t="s">
        <v>254</v>
      </c>
      <c r="BL1947" s="4" t="s">
        <v>255</v>
      </c>
      <c r="BM1947" s="4" t="s">
        <v>241</v>
      </c>
      <c r="BN1947" s="6">
        <f>0</f>
        <v>0</v>
      </c>
      <c r="BO1947" s="6">
        <f>0</f>
        <v>0</v>
      </c>
      <c r="BP1947" s="4" t="s">
        <v>256</v>
      </c>
      <c r="BQ1947" s="4" t="s">
        <v>257</v>
      </c>
      <c r="CE1947" s="4" t="s">
        <v>241</v>
      </c>
      <c r="CF1947" s="4" t="s">
        <v>241</v>
      </c>
      <c r="CJ1947" s="4" t="s">
        <v>276</v>
      </c>
      <c r="CK1947" s="4" t="s">
        <v>259</v>
      </c>
      <c r="CL1947" s="4" t="s">
        <v>241</v>
      </c>
      <c r="CO1947" s="5" t="s">
        <v>260</v>
      </c>
      <c r="CP1947" s="4" t="s">
        <v>241</v>
      </c>
      <c r="CQ1947" s="4" t="s">
        <v>261</v>
      </c>
      <c r="CR1947" s="4" t="s">
        <v>241</v>
      </c>
      <c r="CS1947" s="4" t="s">
        <v>241</v>
      </c>
      <c r="CT1947" s="4">
        <v>0</v>
      </c>
      <c r="CU1947" s="4" t="s">
        <v>262</v>
      </c>
      <c r="CV1947" s="4" t="s">
        <v>263</v>
      </c>
      <c r="CW1947" s="4" t="s">
        <v>263</v>
      </c>
      <c r="CX1947" s="4" t="s">
        <v>264</v>
      </c>
      <c r="DA1947" s="6">
        <f>1</f>
        <v>1</v>
      </c>
      <c r="DC1947" s="4" t="s">
        <v>325</v>
      </c>
      <c r="DD1947" s="4" t="s">
        <v>241</v>
      </c>
      <c r="DF1947" s="4" t="s">
        <v>325</v>
      </c>
      <c r="DG1947" s="6">
        <f>3156</f>
        <v>3156</v>
      </c>
      <c r="DI1947" s="4" t="s">
        <v>241</v>
      </c>
      <c r="DJ1947" s="4" t="s">
        <v>241</v>
      </c>
      <c r="DK1947" s="4" t="s">
        <v>241</v>
      </c>
      <c r="DL1947" s="4" t="s">
        <v>241</v>
      </c>
      <c r="DP1947" s="4" t="s">
        <v>241</v>
      </c>
      <c r="DQ1947" s="4" t="s">
        <v>241</v>
      </c>
      <c r="DR1947" s="4" t="s">
        <v>241</v>
      </c>
      <c r="DS1947" s="4" t="s">
        <v>241</v>
      </c>
      <c r="DV1947" s="4" t="s">
        <v>426</v>
      </c>
      <c r="DW1947" s="4" t="s">
        <v>1752</v>
      </c>
      <c r="HO1947" s="4" t="s">
        <v>267</v>
      </c>
    </row>
    <row r="1948" spans="1:223" ht="19.5" customHeight="1" x14ac:dyDescent="0.4">
      <c r="A1948" s="4">
        <v>1</v>
      </c>
      <c r="B1948" s="4" t="s">
        <v>239</v>
      </c>
      <c r="C1948" s="4">
        <v>3651</v>
      </c>
      <c r="D1948" s="4">
        <v>1</v>
      </c>
      <c r="E1948" s="4">
        <v>1</v>
      </c>
      <c r="F1948" s="4" t="s">
        <v>268</v>
      </c>
      <c r="G1948" s="4" t="s">
        <v>241</v>
      </c>
      <c r="H1948" s="4" t="s">
        <v>241</v>
      </c>
      <c r="I1948" s="4" t="s">
        <v>424</v>
      </c>
      <c r="J1948" s="4" t="s">
        <v>274</v>
      </c>
      <c r="K1948" s="4" t="s">
        <v>251</v>
      </c>
      <c r="L1948" s="4" t="s">
        <v>423</v>
      </c>
      <c r="M1948" s="5" t="s">
        <v>3853</v>
      </c>
      <c r="N1948" s="6">
        <f>825</f>
        <v>825</v>
      </c>
      <c r="O1948" s="4" t="s">
        <v>265</v>
      </c>
      <c r="P1948" s="6">
        <f>1</f>
        <v>1</v>
      </c>
      <c r="Q1948" s="6">
        <f>0</f>
        <v>0</v>
      </c>
      <c r="S1948" s="6">
        <f>0</f>
        <v>0</v>
      </c>
      <c r="T1948" s="6">
        <f>1</f>
        <v>1</v>
      </c>
      <c r="U1948" s="5" t="s">
        <v>245</v>
      </c>
      <c r="V1948" s="4" t="s">
        <v>270</v>
      </c>
      <c r="W1948" s="4" t="s">
        <v>271</v>
      </c>
      <c r="X1948" s="4" t="s">
        <v>273</v>
      </c>
      <c r="Y1948" s="4" t="s">
        <v>241</v>
      </c>
      <c r="AB1948" s="4" t="s">
        <v>241</v>
      </c>
      <c r="AD1948" s="5" t="s">
        <v>241</v>
      </c>
      <c r="AG1948" s="5" t="s">
        <v>246</v>
      </c>
      <c r="AH1948" s="4" t="s">
        <v>241</v>
      </c>
      <c r="AI1948" s="4" t="s">
        <v>247</v>
      </c>
      <c r="AJ1948" s="4" t="s">
        <v>248</v>
      </c>
      <c r="AZ1948" s="4" t="s">
        <v>249</v>
      </c>
      <c r="BA1948" s="4" t="s">
        <v>241</v>
      </c>
      <c r="BB1948" s="4" t="s">
        <v>250</v>
      </c>
      <c r="BC1948" s="4" t="s">
        <v>241</v>
      </c>
      <c r="BD1948" s="4" t="s">
        <v>252</v>
      </c>
      <c r="BE1948" s="4" t="s">
        <v>241</v>
      </c>
      <c r="BI1948" s="4" t="s">
        <v>253</v>
      </c>
      <c r="BJ1948" s="5" t="s">
        <v>246</v>
      </c>
      <c r="BK1948" s="4" t="s">
        <v>254</v>
      </c>
      <c r="BL1948" s="4" t="s">
        <v>255</v>
      </c>
      <c r="BM1948" s="4" t="s">
        <v>241</v>
      </c>
      <c r="BN1948" s="6">
        <f>0</f>
        <v>0</v>
      </c>
      <c r="BO1948" s="6">
        <f>0</f>
        <v>0</v>
      </c>
      <c r="BP1948" s="4" t="s">
        <v>256</v>
      </c>
      <c r="BQ1948" s="4" t="s">
        <v>257</v>
      </c>
      <c r="CE1948" s="4" t="s">
        <v>241</v>
      </c>
      <c r="CF1948" s="4" t="s">
        <v>241</v>
      </c>
      <c r="CJ1948" s="4" t="s">
        <v>276</v>
      </c>
      <c r="CK1948" s="4" t="s">
        <v>259</v>
      </c>
      <c r="CL1948" s="4" t="s">
        <v>241</v>
      </c>
      <c r="CO1948" s="5" t="s">
        <v>260</v>
      </c>
      <c r="CP1948" s="4" t="s">
        <v>241</v>
      </c>
      <c r="CQ1948" s="4" t="s">
        <v>261</v>
      </c>
      <c r="CR1948" s="4" t="s">
        <v>241</v>
      </c>
      <c r="CS1948" s="4" t="s">
        <v>241</v>
      </c>
      <c r="CT1948" s="4">
        <v>0</v>
      </c>
      <c r="CU1948" s="4" t="s">
        <v>262</v>
      </c>
      <c r="CV1948" s="4" t="s">
        <v>263</v>
      </c>
      <c r="CW1948" s="4" t="s">
        <v>263</v>
      </c>
      <c r="CX1948" s="4" t="s">
        <v>264</v>
      </c>
      <c r="DA1948" s="6">
        <f>1</f>
        <v>1</v>
      </c>
      <c r="DC1948" s="4" t="s">
        <v>325</v>
      </c>
      <c r="DD1948" s="4" t="s">
        <v>241</v>
      </c>
      <c r="DF1948" s="4" t="s">
        <v>325</v>
      </c>
      <c r="DG1948" s="6">
        <f>825</f>
        <v>825</v>
      </c>
      <c r="DI1948" s="4" t="s">
        <v>241</v>
      </c>
      <c r="DJ1948" s="4" t="s">
        <v>241</v>
      </c>
      <c r="DK1948" s="4" t="s">
        <v>241</v>
      </c>
      <c r="DL1948" s="4" t="s">
        <v>241</v>
      </c>
      <c r="DP1948" s="4" t="s">
        <v>241</v>
      </c>
      <c r="DQ1948" s="4" t="s">
        <v>241</v>
      </c>
      <c r="DR1948" s="4" t="s">
        <v>241</v>
      </c>
      <c r="DS1948" s="4" t="s">
        <v>241</v>
      </c>
      <c r="DV1948" s="4" t="s">
        <v>426</v>
      </c>
      <c r="DW1948" s="4" t="s">
        <v>1748</v>
      </c>
      <c r="HO1948" s="4" t="s">
        <v>267</v>
      </c>
    </row>
    <row r="1949" spans="1:223" ht="19.5" customHeight="1" x14ac:dyDescent="0.4">
      <c r="A1949" s="4">
        <v>1</v>
      </c>
      <c r="B1949" s="4" t="s">
        <v>239</v>
      </c>
      <c r="C1949" s="4">
        <v>3652</v>
      </c>
      <c r="D1949" s="4">
        <v>1</v>
      </c>
      <c r="E1949" s="4">
        <v>1</v>
      </c>
      <c r="F1949" s="4" t="s">
        <v>268</v>
      </c>
      <c r="G1949" s="4" t="s">
        <v>241</v>
      </c>
      <c r="H1949" s="4" t="s">
        <v>241</v>
      </c>
      <c r="I1949" s="4" t="s">
        <v>424</v>
      </c>
      <c r="J1949" s="4" t="s">
        <v>274</v>
      </c>
      <c r="K1949" s="4" t="s">
        <v>251</v>
      </c>
      <c r="L1949" s="4" t="s">
        <v>423</v>
      </c>
      <c r="M1949" s="5" t="s">
        <v>3854</v>
      </c>
      <c r="N1949" s="6">
        <f>2168</f>
        <v>2168</v>
      </c>
      <c r="O1949" s="4" t="s">
        <v>265</v>
      </c>
      <c r="P1949" s="6">
        <f>1</f>
        <v>1</v>
      </c>
      <c r="Q1949" s="6">
        <f>0</f>
        <v>0</v>
      </c>
      <c r="S1949" s="6">
        <f>0</f>
        <v>0</v>
      </c>
      <c r="T1949" s="6">
        <f>1</f>
        <v>1</v>
      </c>
      <c r="U1949" s="5" t="s">
        <v>245</v>
      </c>
      <c r="V1949" s="4" t="s">
        <v>270</v>
      </c>
      <c r="W1949" s="4" t="s">
        <v>271</v>
      </c>
      <c r="X1949" s="4" t="s">
        <v>273</v>
      </c>
      <c r="Y1949" s="4" t="s">
        <v>241</v>
      </c>
      <c r="AB1949" s="4" t="s">
        <v>241</v>
      </c>
      <c r="AD1949" s="5" t="s">
        <v>241</v>
      </c>
      <c r="AG1949" s="5" t="s">
        <v>246</v>
      </c>
      <c r="AH1949" s="4" t="s">
        <v>241</v>
      </c>
      <c r="AI1949" s="4" t="s">
        <v>247</v>
      </c>
      <c r="AJ1949" s="4" t="s">
        <v>248</v>
      </c>
      <c r="AZ1949" s="4" t="s">
        <v>249</v>
      </c>
      <c r="BA1949" s="4" t="s">
        <v>241</v>
      </c>
      <c r="BB1949" s="4" t="s">
        <v>250</v>
      </c>
      <c r="BC1949" s="4" t="s">
        <v>241</v>
      </c>
      <c r="BD1949" s="4" t="s">
        <v>252</v>
      </c>
      <c r="BE1949" s="4" t="s">
        <v>241</v>
      </c>
      <c r="BI1949" s="4" t="s">
        <v>253</v>
      </c>
      <c r="BJ1949" s="5" t="s">
        <v>246</v>
      </c>
      <c r="BK1949" s="4" t="s">
        <v>254</v>
      </c>
      <c r="BL1949" s="4" t="s">
        <v>255</v>
      </c>
      <c r="BM1949" s="4" t="s">
        <v>241</v>
      </c>
      <c r="BN1949" s="6">
        <f>0</f>
        <v>0</v>
      </c>
      <c r="BO1949" s="6">
        <f>0</f>
        <v>0</v>
      </c>
      <c r="BP1949" s="4" t="s">
        <v>256</v>
      </c>
      <c r="BQ1949" s="4" t="s">
        <v>257</v>
      </c>
      <c r="CE1949" s="4" t="s">
        <v>241</v>
      </c>
      <c r="CF1949" s="4" t="s">
        <v>241</v>
      </c>
      <c r="CJ1949" s="4" t="s">
        <v>276</v>
      </c>
      <c r="CK1949" s="4" t="s">
        <v>259</v>
      </c>
      <c r="CL1949" s="4" t="s">
        <v>241</v>
      </c>
      <c r="CO1949" s="5" t="s">
        <v>260</v>
      </c>
      <c r="CP1949" s="4" t="s">
        <v>241</v>
      </c>
      <c r="CQ1949" s="4" t="s">
        <v>261</v>
      </c>
      <c r="CR1949" s="4" t="s">
        <v>241</v>
      </c>
      <c r="CS1949" s="4" t="s">
        <v>241</v>
      </c>
      <c r="CT1949" s="4">
        <v>0</v>
      </c>
      <c r="CU1949" s="4" t="s">
        <v>262</v>
      </c>
      <c r="CV1949" s="4" t="s">
        <v>263</v>
      </c>
      <c r="CW1949" s="4" t="s">
        <v>263</v>
      </c>
      <c r="CX1949" s="4" t="s">
        <v>264</v>
      </c>
      <c r="DA1949" s="6">
        <f>1</f>
        <v>1</v>
      </c>
      <c r="DC1949" s="4" t="s">
        <v>325</v>
      </c>
      <c r="DD1949" s="4" t="s">
        <v>241</v>
      </c>
      <c r="DF1949" s="4" t="s">
        <v>325</v>
      </c>
      <c r="DG1949" s="6">
        <f>2168</f>
        <v>2168</v>
      </c>
      <c r="DI1949" s="4" t="s">
        <v>241</v>
      </c>
      <c r="DJ1949" s="4" t="s">
        <v>241</v>
      </c>
      <c r="DK1949" s="4" t="s">
        <v>241</v>
      </c>
      <c r="DL1949" s="4" t="s">
        <v>241</v>
      </c>
      <c r="DP1949" s="4" t="s">
        <v>241</v>
      </c>
      <c r="DQ1949" s="4" t="s">
        <v>241</v>
      </c>
      <c r="DR1949" s="4" t="s">
        <v>241</v>
      </c>
      <c r="DS1949" s="4" t="s">
        <v>241</v>
      </c>
      <c r="DV1949" s="4" t="s">
        <v>426</v>
      </c>
      <c r="DW1949" s="4" t="s">
        <v>1746</v>
      </c>
      <c r="HO1949" s="4" t="s">
        <v>267</v>
      </c>
    </row>
    <row r="1950" spans="1:223" ht="19.5" customHeight="1" x14ac:dyDescent="0.4">
      <c r="A1950" s="4">
        <v>1</v>
      </c>
      <c r="B1950" s="4" t="s">
        <v>239</v>
      </c>
      <c r="C1950" s="4">
        <v>3653</v>
      </c>
      <c r="D1950" s="4">
        <v>1</v>
      </c>
      <c r="E1950" s="4">
        <v>1</v>
      </c>
      <c r="F1950" s="4" t="s">
        <v>268</v>
      </c>
      <c r="G1950" s="4" t="s">
        <v>241</v>
      </c>
      <c r="H1950" s="4" t="s">
        <v>241</v>
      </c>
      <c r="I1950" s="4" t="s">
        <v>424</v>
      </c>
      <c r="J1950" s="4" t="s">
        <v>274</v>
      </c>
      <c r="K1950" s="4" t="s">
        <v>251</v>
      </c>
      <c r="L1950" s="4" t="s">
        <v>423</v>
      </c>
      <c r="M1950" s="5" t="s">
        <v>3859</v>
      </c>
      <c r="N1950" s="6">
        <f>2591</f>
        <v>2591</v>
      </c>
      <c r="O1950" s="4" t="s">
        <v>265</v>
      </c>
      <c r="P1950" s="6">
        <f>1</f>
        <v>1</v>
      </c>
      <c r="Q1950" s="6">
        <f>0</f>
        <v>0</v>
      </c>
      <c r="S1950" s="6">
        <f>0</f>
        <v>0</v>
      </c>
      <c r="T1950" s="6">
        <f>1</f>
        <v>1</v>
      </c>
      <c r="U1950" s="5" t="s">
        <v>245</v>
      </c>
      <c r="V1950" s="4" t="s">
        <v>270</v>
      </c>
      <c r="W1950" s="4" t="s">
        <v>271</v>
      </c>
      <c r="X1950" s="4" t="s">
        <v>273</v>
      </c>
      <c r="Y1950" s="4" t="s">
        <v>241</v>
      </c>
      <c r="AB1950" s="4" t="s">
        <v>241</v>
      </c>
      <c r="AD1950" s="5" t="s">
        <v>241</v>
      </c>
      <c r="AG1950" s="5" t="s">
        <v>246</v>
      </c>
      <c r="AH1950" s="4" t="s">
        <v>241</v>
      </c>
      <c r="AI1950" s="4" t="s">
        <v>247</v>
      </c>
      <c r="AJ1950" s="4" t="s">
        <v>248</v>
      </c>
      <c r="AZ1950" s="4" t="s">
        <v>249</v>
      </c>
      <c r="BA1950" s="4" t="s">
        <v>241</v>
      </c>
      <c r="BB1950" s="4" t="s">
        <v>250</v>
      </c>
      <c r="BC1950" s="4" t="s">
        <v>241</v>
      </c>
      <c r="BD1950" s="4" t="s">
        <v>252</v>
      </c>
      <c r="BE1950" s="4" t="s">
        <v>241</v>
      </c>
      <c r="BI1950" s="4" t="s">
        <v>253</v>
      </c>
      <c r="BJ1950" s="5" t="s">
        <v>246</v>
      </c>
      <c r="BK1950" s="4" t="s">
        <v>254</v>
      </c>
      <c r="BL1950" s="4" t="s">
        <v>255</v>
      </c>
      <c r="BM1950" s="4" t="s">
        <v>241</v>
      </c>
      <c r="BN1950" s="6">
        <f>0</f>
        <v>0</v>
      </c>
      <c r="BO1950" s="6">
        <f>0</f>
        <v>0</v>
      </c>
      <c r="BP1950" s="4" t="s">
        <v>256</v>
      </c>
      <c r="BQ1950" s="4" t="s">
        <v>257</v>
      </c>
      <c r="CE1950" s="4" t="s">
        <v>241</v>
      </c>
      <c r="CF1950" s="4" t="s">
        <v>241</v>
      </c>
      <c r="CJ1950" s="4" t="s">
        <v>276</v>
      </c>
      <c r="CK1950" s="4" t="s">
        <v>259</v>
      </c>
      <c r="CL1950" s="4" t="s">
        <v>241</v>
      </c>
      <c r="CO1950" s="5" t="s">
        <v>260</v>
      </c>
      <c r="CP1950" s="4" t="s">
        <v>241</v>
      </c>
      <c r="CQ1950" s="4" t="s">
        <v>261</v>
      </c>
      <c r="CR1950" s="4" t="s">
        <v>241</v>
      </c>
      <c r="CS1950" s="4" t="s">
        <v>241</v>
      </c>
      <c r="CT1950" s="4">
        <v>0</v>
      </c>
      <c r="CU1950" s="4" t="s">
        <v>262</v>
      </c>
      <c r="CV1950" s="4" t="s">
        <v>263</v>
      </c>
      <c r="CW1950" s="4" t="s">
        <v>263</v>
      </c>
      <c r="CX1950" s="4" t="s">
        <v>264</v>
      </c>
      <c r="DA1950" s="6">
        <f>1</f>
        <v>1</v>
      </c>
      <c r="DC1950" s="4" t="s">
        <v>325</v>
      </c>
      <c r="DD1950" s="4" t="s">
        <v>241</v>
      </c>
      <c r="DF1950" s="4" t="s">
        <v>325</v>
      </c>
      <c r="DG1950" s="6">
        <f>2591</f>
        <v>2591</v>
      </c>
      <c r="DI1950" s="4" t="s">
        <v>241</v>
      </c>
      <c r="DJ1950" s="4" t="s">
        <v>241</v>
      </c>
      <c r="DK1950" s="4" t="s">
        <v>241</v>
      </c>
      <c r="DL1950" s="4" t="s">
        <v>241</v>
      </c>
      <c r="DP1950" s="4" t="s">
        <v>241</v>
      </c>
      <c r="DQ1950" s="4" t="s">
        <v>241</v>
      </c>
      <c r="DR1950" s="4" t="s">
        <v>241</v>
      </c>
      <c r="DS1950" s="4" t="s">
        <v>241</v>
      </c>
      <c r="DV1950" s="4" t="s">
        <v>426</v>
      </c>
      <c r="DW1950" s="4" t="s">
        <v>1744</v>
      </c>
      <c r="HO1950" s="4" t="s">
        <v>267</v>
      </c>
    </row>
    <row r="1951" spans="1:223" ht="19.5" customHeight="1" x14ac:dyDescent="0.4">
      <c r="A1951" s="4">
        <v>1</v>
      </c>
      <c r="B1951" s="4" t="s">
        <v>239</v>
      </c>
      <c r="C1951" s="4">
        <v>3654</v>
      </c>
      <c r="D1951" s="4">
        <v>1</v>
      </c>
      <c r="E1951" s="4">
        <v>1</v>
      </c>
      <c r="F1951" s="4" t="s">
        <v>268</v>
      </c>
      <c r="G1951" s="4" t="s">
        <v>241</v>
      </c>
      <c r="H1951" s="4" t="s">
        <v>241</v>
      </c>
      <c r="I1951" s="4" t="s">
        <v>424</v>
      </c>
      <c r="J1951" s="4" t="s">
        <v>274</v>
      </c>
      <c r="K1951" s="4" t="s">
        <v>251</v>
      </c>
      <c r="L1951" s="4" t="s">
        <v>423</v>
      </c>
      <c r="M1951" s="5" t="s">
        <v>3860</v>
      </c>
      <c r="N1951" s="6">
        <f>2942</f>
        <v>2942</v>
      </c>
      <c r="O1951" s="4" t="s">
        <v>265</v>
      </c>
      <c r="P1951" s="6">
        <f>1</f>
        <v>1</v>
      </c>
      <c r="Q1951" s="6">
        <f>0</f>
        <v>0</v>
      </c>
      <c r="S1951" s="6">
        <f>0</f>
        <v>0</v>
      </c>
      <c r="T1951" s="6">
        <f>1</f>
        <v>1</v>
      </c>
      <c r="U1951" s="5" t="s">
        <v>245</v>
      </c>
      <c r="V1951" s="4" t="s">
        <v>270</v>
      </c>
      <c r="W1951" s="4" t="s">
        <v>271</v>
      </c>
      <c r="X1951" s="4" t="s">
        <v>273</v>
      </c>
      <c r="Y1951" s="4" t="s">
        <v>241</v>
      </c>
      <c r="AB1951" s="4" t="s">
        <v>241</v>
      </c>
      <c r="AD1951" s="5" t="s">
        <v>241</v>
      </c>
      <c r="AG1951" s="5" t="s">
        <v>246</v>
      </c>
      <c r="AH1951" s="4" t="s">
        <v>241</v>
      </c>
      <c r="AI1951" s="4" t="s">
        <v>247</v>
      </c>
      <c r="AJ1951" s="4" t="s">
        <v>248</v>
      </c>
      <c r="AZ1951" s="4" t="s">
        <v>249</v>
      </c>
      <c r="BA1951" s="4" t="s">
        <v>241</v>
      </c>
      <c r="BB1951" s="4" t="s">
        <v>250</v>
      </c>
      <c r="BC1951" s="4" t="s">
        <v>241</v>
      </c>
      <c r="BD1951" s="4" t="s">
        <v>252</v>
      </c>
      <c r="BE1951" s="4" t="s">
        <v>241</v>
      </c>
      <c r="BI1951" s="4" t="s">
        <v>253</v>
      </c>
      <c r="BJ1951" s="5" t="s">
        <v>246</v>
      </c>
      <c r="BK1951" s="4" t="s">
        <v>254</v>
      </c>
      <c r="BL1951" s="4" t="s">
        <v>255</v>
      </c>
      <c r="BM1951" s="4" t="s">
        <v>241</v>
      </c>
      <c r="BN1951" s="6">
        <f>0</f>
        <v>0</v>
      </c>
      <c r="BO1951" s="6">
        <f>0</f>
        <v>0</v>
      </c>
      <c r="BP1951" s="4" t="s">
        <v>256</v>
      </c>
      <c r="BQ1951" s="4" t="s">
        <v>257</v>
      </c>
      <c r="CE1951" s="4" t="s">
        <v>241</v>
      </c>
      <c r="CF1951" s="4" t="s">
        <v>241</v>
      </c>
      <c r="CJ1951" s="4" t="s">
        <v>276</v>
      </c>
      <c r="CK1951" s="4" t="s">
        <v>259</v>
      </c>
      <c r="CL1951" s="4" t="s">
        <v>241</v>
      </c>
      <c r="CO1951" s="5" t="s">
        <v>260</v>
      </c>
      <c r="CP1951" s="4" t="s">
        <v>241</v>
      </c>
      <c r="CQ1951" s="4" t="s">
        <v>261</v>
      </c>
      <c r="CR1951" s="4" t="s">
        <v>241</v>
      </c>
      <c r="CS1951" s="4" t="s">
        <v>241</v>
      </c>
      <c r="CT1951" s="4">
        <v>0</v>
      </c>
      <c r="CU1951" s="4" t="s">
        <v>262</v>
      </c>
      <c r="CV1951" s="4" t="s">
        <v>263</v>
      </c>
      <c r="CW1951" s="4" t="s">
        <v>263</v>
      </c>
      <c r="CX1951" s="4" t="s">
        <v>264</v>
      </c>
      <c r="DA1951" s="6">
        <f>1</f>
        <v>1</v>
      </c>
      <c r="DC1951" s="4" t="s">
        <v>325</v>
      </c>
      <c r="DD1951" s="4" t="s">
        <v>241</v>
      </c>
      <c r="DF1951" s="4" t="s">
        <v>325</v>
      </c>
      <c r="DG1951" s="6">
        <f>2942</f>
        <v>2942</v>
      </c>
      <c r="DI1951" s="4" t="s">
        <v>241</v>
      </c>
      <c r="DJ1951" s="4" t="s">
        <v>241</v>
      </c>
      <c r="DK1951" s="4" t="s">
        <v>241</v>
      </c>
      <c r="DL1951" s="4" t="s">
        <v>241</v>
      </c>
      <c r="DP1951" s="4" t="s">
        <v>241</v>
      </c>
      <c r="DQ1951" s="4" t="s">
        <v>241</v>
      </c>
      <c r="DR1951" s="4" t="s">
        <v>241</v>
      </c>
      <c r="DS1951" s="4" t="s">
        <v>241</v>
      </c>
      <c r="DV1951" s="4" t="s">
        <v>426</v>
      </c>
      <c r="DW1951" s="4" t="s">
        <v>1742</v>
      </c>
      <c r="HO1951" s="4" t="s">
        <v>267</v>
      </c>
    </row>
    <row r="1952" spans="1:223" ht="19.5" customHeight="1" x14ac:dyDescent="0.4">
      <c r="A1952" s="4">
        <v>1</v>
      </c>
      <c r="B1952" s="4" t="s">
        <v>239</v>
      </c>
      <c r="C1952" s="4">
        <v>3655</v>
      </c>
      <c r="D1952" s="4">
        <v>1</v>
      </c>
      <c r="E1952" s="4">
        <v>1</v>
      </c>
      <c r="F1952" s="4" t="s">
        <v>268</v>
      </c>
      <c r="G1952" s="4" t="s">
        <v>241</v>
      </c>
      <c r="H1952" s="4" t="s">
        <v>241</v>
      </c>
      <c r="I1952" s="4" t="s">
        <v>424</v>
      </c>
      <c r="J1952" s="4" t="s">
        <v>274</v>
      </c>
      <c r="K1952" s="4" t="s">
        <v>251</v>
      </c>
      <c r="L1952" s="4" t="s">
        <v>423</v>
      </c>
      <c r="M1952" s="5" t="s">
        <v>3862</v>
      </c>
      <c r="N1952" s="6">
        <f>1967</f>
        <v>1967</v>
      </c>
      <c r="O1952" s="4" t="s">
        <v>265</v>
      </c>
      <c r="P1952" s="6">
        <f>1</f>
        <v>1</v>
      </c>
      <c r="Q1952" s="6">
        <f>0</f>
        <v>0</v>
      </c>
      <c r="S1952" s="6">
        <f>0</f>
        <v>0</v>
      </c>
      <c r="T1952" s="6">
        <f>1</f>
        <v>1</v>
      </c>
      <c r="U1952" s="5" t="s">
        <v>245</v>
      </c>
      <c r="V1952" s="4" t="s">
        <v>270</v>
      </c>
      <c r="W1952" s="4" t="s">
        <v>271</v>
      </c>
      <c r="X1952" s="4" t="s">
        <v>273</v>
      </c>
      <c r="Y1952" s="4" t="s">
        <v>241</v>
      </c>
      <c r="AB1952" s="4" t="s">
        <v>241</v>
      </c>
      <c r="AD1952" s="5" t="s">
        <v>241</v>
      </c>
      <c r="AG1952" s="5" t="s">
        <v>246</v>
      </c>
      <c r="AH1952" s="4" t="s">
        <v>241</v>
      </c>
      <c r="AI1952" s="4" t="s">
        <v>247</v>
      </c>
      <c r="AJ1952" s="4" t="s">
        <v>248</v>
      </c>
      <c r="AZ1952" s="4" t="s">
        <v>249</v>
      </c>
      <c r="BA1952" s="4" t="s">
        <v>241</v>
      </c>
      <c r="BB1952" s="4" t="s">
        <v>250</v>
      </c>
      <c r="BC1952" s="4" t="s">
        <v>241</v>
      </c>
      <c r="BD1952" s="4" t="s">
        <v>252</v>
      </c>
      <c r="BE1952" s="4" t="s">
        <v>241</v>
      </c>
      <c r="BI1952" s="4" t="s">
        <v>253</v>
      </c>
      <c r="BJ1952" s="5" t="s">
        <v>246</v>
      </c>
      <c r="BK1952" s="4" t="s">
        <v>254</v>
      </c>
      <c r="BL1952" s="4" t="s">
        <v>255</v>
      </c>
      <c r="BM1952" s="4" t="s">
        <v>241</v>
      </c>
      <c r="BN1952" s="6">
        <f>0</f>
        <v>0</v>
      </c>
      <c r="BO1952" s="6">
        <f>0</f>
        <v>0</v>
      </c>
      <c r="BP1952" s="4" t="s">
        <v>256</v>
      </c>
      <c r="BQ1952" s="4" t="s">
        <v>257</v>
      </c>
      <c r="CE1952" s="4" t="s">
        <v>241</v>
      </c>
      <c r="CF1952" s="4" t="s">
        <v>241</v>
      </c>
      <c r="CJ1952" s="4" t="s">
        <v>276</v>
      </c>
      <c r="CK1952" s="4" t="s">
        <v>259</v>
      </c>
      <c r="CL1952" s="4" t="s">
        <v>241</v>
      </c>
      <c r="CO1952" s="5" t="s">
        <v>260</v>
      </c>
      <c r="CP1952" s="4" t="s">
        <v>241</v>
      </c>
      <c r="CQ1952" s="4" t="s">
        <v>261</v>
      </c>
      <c r="CR1952" s="4" t="s">
        <v>241</v>
      </c>
      <c r="CS1952" s="4" t="s">
        <v>241</v>
      </c>
      <c r="CT1952" s="4">
        <v>0</v>
      </c>
      <c r="CU1952" s="4" t="s">
        <v>262</v>
      </c>
      <c r="CV1952" s="4" t="s">
        <v>263</v>
      </c>
      <c r="CW1952" s="4" t="s">
        <v>263</v>
      </c>
      <c r="CX1952" s="4" t="s">
        <v>264</v>
      </c>
      <c r="DA1952" s="6">
        <f>1</f>
        <v>1</v>
      </c>
      <c r="DC1952" s="4" t="s">
        <v>325</v>
      </c>
      <c r="DD1952" s="4" t="s">
        <v>241</v>
      </c>
      <c r="DF1952" s="4" t="s">
        <v>325</v>
      </c>
      <c r="DG1952" s="6">
        <f>1967</f>
        <v>1967</v>
      </c>
      <c r="DI1952" s="4" t="s">
        <v>241</v>
      </c>
      <c r="DJ1952" s="4" t="s">
        <v>241</v>
      </c>
      <c r="DK1952" s="4" t="s">
        <v>241</v>
      </c>
      <c r="DL1952" s="4" t="s">
        <v>241</v>
      </c>
      <c r="DP1952" s="4" t="s">
        <v>241</v>
      </c>
      <c r="DQ1952" s="4" t="s">
        <v>241</v>
      </c>
      <c r="DR1952" s="4" t="s">
        <v>241</v>
      </c>
      <c r="DS1952" s="4" t="s">
        <v>241</v>
      </c>
      <c r="DV1952" s="4" t="s">
        <v>426</v>
      </c>
      <c r="DW1952" s="4" t="s">
        <v>1740</v>
      </c>
      <c r="HO1952" s="4" t="s">
        <v>267</v>
      </c>
    </row>
    <row r="1953" spans="1:223" ht="19.5" customHeight="1" x14ac:dyDescent="0.4">
      <c r="A1953" s="4">
        <v>1</v>
      </c>
      <c r="B1953" s="4" t="s">
        <v>239</v>
      </c>
      <c r="C1953" s="4">
        <v>3656</v>
      </c>
      <c r="D1953" s="4">
        <v>1</v>
      </c>
      <c r="E1953" s="4">
        <v>1</v>
      </c>
      <c r="F1953" s="4" t="s">
        <v>268</v>
      </c>
      <c r="G1953" s="4" t="s">
        <v>241</v>
      </c>
      <c r="H1953" s="4" t="s">
        <v>241</v>
      </c>
      <c r="I1953" s="4" t="s">
        <v>424</v>
      </c>
      <c r="J1953" s="4" t="s">
        <v>274</v>
      </c>
      <c r="K1953" s="4" t="s">
        <v>251</v>
      </c>
      <c r="L1953" s="4" t="s">
        <v>423</v>
      </c>
      <c r="M1953" s="5" t="s">
        <v>3863</v>
      </c>
      <c r="N1953" s="6">
        <f>15897</f>
        <v>15897</v>
      </c>
      <c r="O1953" s="4" t="s">
        <v>265</v>
      </c>
      <c r="P1953" s="6">
        <f>1</f>
        <v>1</v>
      </c>
      <c r="Q1953" s="6">
        <f>0</f>
        <v>0</v>
      </c>
      <c r="S1953" s="6">
        <f>0</f>
        <v>0</v>
      </c>
      <c r="T1953" s="6">
        <f>1</f>
        <v>1</v>
      </c>
      <c r="U1953" s="5" t="s">
        <v>245</v>
      </c>
      <c r="V1953" s="4" t="s">
        <v>270</v>
      </c>
      <c r="W1953" s="4" t="s">
        <v>271</v>
      </c>
      <c r="X1953" s="4" t="s">
        <v>273</v>
      </c>
      <c r="Y1953" s="4" t="s">
        <v>241</v>
      </c>
      <c r="AB1953" s="4" t="s">
        <v>241</v>
      </c>
      <c r="AD1953" s="5" t="s">
        <v>241</v>
      </c>
      <c r="AG1953" s="5" t="s">
        <v>246</v>
      </c>
      <c r="AH1953" s="4" t="s">
        <v>241</v>
      </c>
      <c r="AI1953" s="4" t="s">
        <v>247</v>
      </c>
      <c r="AJ1953" s="4" t="s">
        <v>248</v>
      </c>
      <c r="AZ1953" s="4" t="s">
        <v>249</v>
      </c>
      <c r="BA1953" s="4" t="s">
        <v>241</v>
      </c>
      <c r="BB1953" s="4" t="s">
        <v>250</v>
      </c>
      <c r="BC1953" s="4" t="s">
        <v>241</v>
      </c>
      <c r="BD1953" s="4" t="s">
        <v>252</v>
      </c>
      <c r="BE1953" s="4" t="s">
        <v>241</v>
      </c>
      <c r="BI1953" s="4" t="s">
        <v>253</v>
      </c>
      <c r="BJ1953" s="5" t="s">
        <v>246</v>
      </c>
      <c r="BK1953" s="4" t="s">
        <v>254</v>
      </c>
      <c r="BL1953" s="4" t="s">
        <v>255</v>
      </c>
      <c r="BM1953" s="4" t="s">
        <v>241</v>
      </c>
      <c r="BN1953" s="6">
        <f>0</f>
        <v>0</v>
      </c>
      <c r="BO1953" s="6">
        <f>0</f>
        <v>0</v>
      </c>
      <c r="BP1953" s="4" t="s">
        <v>256</v>
      </c>
      <c r="BQ1953" s="4" t="s">
        <v>257</v>
      </c>
      <c r="CE1953" s="4" t="s">
        <v>241</v>
      </c>
      <c r="CF1953" s="4" t="s">
        <v>241</v>
      </c>
      <c r="CJ1953" s="4" t="s">
        <v>276</v>
      </c>
      <c r="CK1953" s="4" t="s">
        <v>259</v>
      </c>
      <c r="CL1953" s="4" t="s">
        <v>241</v>
      </c>
      <c r="CO1953" s="5" t="s">
        <v>260</v>
      </c>
      <c r="CP1953" s="4" t="s">
        <v>241</v>
      </c>
      <c r="CQ1953" s="4" t="s">
        <v>261</v>
      </c>
      <c r="CR1953" s="4" t="s">
        <v>241</v>
      </c>
      <c r="CS1953" s="4" t="s">
        <v>241</v>
      </c>
      <c r="CT1953" s="4">
        <v>0</v>
      </c>
      <c r="CU1953" s="4" t="s">
        <v>262</v>
      </c>
      <c r="CV1953" s="4" t="s">
        <v>263</v>
      </c>
      <c r="CW1953" s="4" t="s">
        <v>263</v>
      </c>
      <c r="CX1953" s="4" t="s">
        <v>264</v>
      </c>
      <c r="DA1953" s="6">
        <f>1</f>
        <v>1</v>
      </c>
      <c r="DC1953" s="4" t="s">
        <v>325</v>
      </c>
      <c r="DD1953" s="4" t="s">
        <v>241</v>
      </c>
      <c r="DF1953" s="4" t="s">
        <v>325</v>
      </c>
      <c r="DG1953" s="6">
        <f>15897</f>
        <v>15897</v>
      </c>
      <c r="DI1953" s="4" t="s">
        <v>241</v>
      </c>
      <c r="DJ1953" s="4" t="s">
        <v>241</v>
      </c>
      <c r="DK1953" s="4" t="s">
        <v>241</v>
      </c>
      <c r="DL1953" s="4" t="s">
        <v>241</v>
      </c>
      <c r="DP1953" s="4" t="s">
        <v>241</v>
      </c>
      <c r="DQ1953" s="4" t="s">
        <v>241</v>
      </c>
      <c r="DR1953" s="4" t="s">
        <v>241</v>
      </c>
      <c r="DS1953" s="4" t="s">
        <v>241</v>
      </c>
      <c r="DV1953" s="4" t="s">
        <v>426</v>
      </c>
      <c r="DW1953" s="4" t="s">
        <v>1738</v>
      </c>
      <c r="HO1953" s="4" t="s">
        <v>267</v>
      </c>
    </row>
    <row r="1954" spans="1:223" ht="19.5" customHeight="1" x14ac:dyDescent="0.4">
      <c r="A1954" s="4">
        <v>1</v>
      </c>
      <c r="B1954" s="4" t="s">
        <v>239</v>
      </c>
      <c r="C1954" s="4">
        <v>3657</v>
      </c>
      <c r="D1954" s="4">
        <v>1</v>
      </c>
      <c r="E1954" s="4">
        <v>1</v>
      </c>
      <c r="F1954" s="4" t="s">
        <v>268</v>
      </c>
      <c r="G1954" s="4" t="s">
        <v>241</v>
      </c>
      <c r="H1954" s="4" t="s">
        <v>241</v>
      </c>
      <c r="I1954" s="4" t="s">
        <v>424</v>
      </c>
      <c r="J1954" s="4" t="s">
        <v>274</v>
      </c>
      <c r="K1954" s="4" t="s">
        <v>251</v>
      </c>
      <c r="L1954" s="4" t="s">
        <v>423</v>
      </c>
      <c r="M1954" s="5" t="s">
        <v>3329</v>
      </c>
      <c r="N1954" s="6">
        <f>7104</f>
        <v>7104</v>
      </c>
      <c r="O1954" s="4" t="s">
        <v>265</v>
      </c>
      <c r="P1954" s="6">
        <f>1</f>
        <v>1</v>
      </c>
      <c r="Q1954" s="6">
        <f>0</f>
        <v>0</v>
      </c>
      <c r="S1954" s="6">
        <f>0</f>
        <v>0</v>
      </c>
      <c r="T1954" s="6">
        <f>1</f>
        <v>1</v>
      </c>
      <c r="U1954" s="5" t="s">
        <v>245</v>
      </c>
      <c r="V1954" s="4" t="s">
        <v>270</v>
      </c>
      <c r="W1954" s="4" t="s">
        <v>271</v>
      </c>
      <c r="X1954" s="4" t="s">
        <v>273</v>
      </c>
      <c r="Y1954" s="4" t="s">
        <v>241</v>
      </c>
      <c r="AB1954" s="4" t="s">
        <v>241</v>
      </c>
      <c r="AD1954" s="5" t="s">
        <v>241</v>
      </c>
      <c r="AG1954" s="5" t="s">
        <v>246</v>
      </c>
      <c r="AH1954" s="4" t="s">
        <v>241</v>
      </c>
      <c r="AI1954" s="4" t="s">
        <v>247</v>
      </c>
      <c r="AJ1954" s="4" t="s">
        <v>248</v>
      </c>
      <c r="AZ1954" s="4" t="s">
        <v>249</v>
      </c>
      <c r="BA1954" s="4" t="s">
        <v>241</v>
      </c>
      <c r="BB1954" s="4" t="s">
        <v>250</v>
      </c>
      <c r="BC1954" s="4" t="s">
        <v>241</v>
      </c>
      <c r="BD1954" s="4" t="s">
        <v>252</v>
      </c>
      <c r="BE1954" s="4" t="s">
        <v>241</v>
      </c>
      <c r="BI1954" s="4" t="s">
        <v>253</v>
      </c>
      <c r="BJ1954" s="5" t="s">
        <v>246</v>
      </c>
      <c r="BK1954" s="4" t="s">
        <v>254</v>
      </c>
      <c r="BL1954" s="4" t="s">
        <v>255</v>
      </c>
      <c r="BM1954" s="4" t="s">
        <v>241</v>
      </c>
      <c r="BN1954" s="6">
        <f>0</f>
        <v>0</v>
      </c>
      <c r="BO1954" s="6">
        <f>0</f>
        <v>0</v>
      </c>
      <c r="BP1954" s="4" t="s">
        <v>256</v>
      </c>
      <c r="BQ1954" s="4" t="s">
        <v>257</v>
      </c>
      <c r="CE1954" s="4" t="s">
        <v>241</v>
      </c>
      <c r="CF1954" s="4" t="s">
        <v>241</v>
      </c>
      <c r="CJ1954" s="4" t="s">
        <v>276</v>
      </c>
      <c r="CK1954" s="4" t="s">
        <v>259</v>
      </c>
      <c r="CL1954" s="4" t="s">
        <v>241</v>
      </c>
      <c r="CO1954" s="5" t="s">
        <v>260</v>
      </c>
      <c r="CP1954" s="4" t="s">
        <v>241</v>
      </c>
      <c r="CQ1954" s="4" t="s">
        <v>261</v>
      </c>
      <c r="CR1954" s="4" t="s">
        <v>241</v>
      </c>
      <c r="CS1954" s="4" t="s">
        <v>241</v>
      </c>
      <c r="CT1954" s="4">
        <v>0</v>
      </c>
      <c r="CU1954" s="4" t="s">
        <v>262</v>
      </c>
      <c r="CV1954" s="4" t="s">
        <v>263</v>
      </c>
      <c r="CW1954" s="4" t="s">
        <v>263</v>
      </c>
      <c r="CX1954" s="4" t="s">
        <v>264</v>
      </c>
      <c r="DA1954" s="6">
        <f>1</f>
        <v>1</v>
      </c>
      <c r="DC1954" s="4" t="s">
        <v>325</v>
      </c>
      <c r="DD1954" s="4" t="s">
        <v>241</v>
      </c>
      <c r="DF1954" s="4" t="s">
        <v>325</v>
      </c>
      <c r="DG1954" s="6">
        <f>7104</f>
        <v>7104</v>
      </c>
      <c r="DI1954" s="4" t="s">
        <v>241</v>
      </c>
      <c r="DJ1954" s="4" t="s">
        <v>241</v>
      </c>
      <c r="DK1954" s="4" t="s">
        <v>241</v>
      </c>
      <c r="DL1954" s="4" t="s">
        <v>241</v>
      </c>
      <c r="DP1954" s="4" t="s">
        <v>241</v>
      </c>
      <c r="DQ1954" s="4" t="s">
        <v>241</v>
      </c>
      <c r="DR1954" s="4" t="s">
        <v>241</v>
      </c>
      <c r="DS1954" s="4" t="s">
        <v>241</v>
      </c>
      <c r="DV1954" s="4" t="s">
        <v>426</v>
      </c>
      <c r="DW1954" s="4" t="s">
        <v>1736</v>
      </c>
      <c r="HO1954" s="4" t="s">
        <v>267</v>
      </c>
    </row>
    <row r="1955" spans="1:223" ht="19.5" customHeight="1" x14ac:dyDescent="0.4">
      <c r="A1955" s="4">
        <v>1</v>
      </c>
      <c r="B1955" s="4" t="s">
        <v>239</v>
      </c>
      <c r="C1955" s="4">
        <v>3658</v>
      </c>
      <c r="D1955" s="4">
        <v>1</v>
      </c>
      <c r="E1955" s="4">
        <v>1</v>
      </c>
      <c r="F1955" s="4" t="s">
        <v>268</v>
      </c>
      <c r="G1955" s="4" t="s">
        <v>241</v>
      </c>
      <c r="H1955" s="4" t="s">
        <v>241</v>
      </c>
      <c r="I1955" s="4" t="s">
        <v>424</v>
      </c>
      <c r="J1955" s="4" t="s">
        <v>274</v>
      </c>
      <c r="K1955" s="4" t="s">
        <v>251</v>
      </c>
      <c r="L1955" s="4" t="s">
        <v>423</v>
      </c>
      <c r="M1955" s="5" t="s">
        <v>604</v>
      </c>
      <c r="N1955" s="6">
        <f>487</f>
        <v>487</v>
      </c>
      <c r="O1955" s="4" t="s">
        <v>265</v>
      </c>
      <c r="P1955" s="6">
        <f>1</f>
        <v>1</v>
      </c>
      <c r="Q1955" s="6">
        <f>0</f>
        <v>0</v>
      </c>
      <c r="S1955" s="6">
        <f>0</f>
        <v>0</v>
      </c>
      <c r="T1955" s="6">
        <f>1</f>
        <v>1</v>
      </c>
      <c r="U1955" s="5" t="s">
        <v>245</v>
      </c>
      <c r="V1955" s="4" t="s">
        <v>270</v>
      </c>
      <c r="W1955" s="4" t="s">
        <v>271</v>
      </c>
      <c r="X1955" s="4" t="s">
        <v>273</v>
      </c>
      <c r="Y1955" s="4" t="s">
        <v>241</v>
      </c>
      <c r="AB1955" s="4" t="s">
        <v>241</v>
      </c>
      <c r="AD1955" s="5" t="s">
        <v>241</v>
      </c>
      <c r="AG1955" s="5" t="s">
        <v>246</v>
      </c>
      <c r="AH1955" s="4" t="s">
        <v>241</v>
      </c>
      <c r="AI1955" s="4" t="s">
        <v>247</v>
      </c>
      <c r="AJ1955" s="4" t="s">
        <v>248</v>
      </c>
      <c r="AZ1955" s="4" t="s">
        <v>249</v>
      </c>
      <c r="BA1955" s="4" t="s">
        <v>241</v>
      </c>
      <c r="BB1955" s="4" t="s">
        <v>250</v>
      </c>
      <c r="BC1955" s="4" t="s">
        <v>241</v>
      </c>
      <c r="BD1955" s="4" t="s">
        <v>252</v>
      </c>
      <c r="BE1955" s="4" t="s">
        <v>241</v>
      </c>
      <c r="BI1955" s="4" t="s">
        <v>253</v>
      </c>
      <c r="BJ1955" s="5" t="s">
        <v>246</v>
      </c>
      <c r="BK1955" s="4" t="s">
        <v>254</v>
      </c>
      <c r="BL1955" s="4" t="s">
        <v>255</v>
      </c>
      <c r="BM1955" s="4" t="s">
        <v>241</v>
      </c>
      <c r="BN1955" s="6">
        <f>0</f>
        <v>0</v>
      </c>
      <c r="BO1955" s="6">
        <f>0</f>
        <v>0</v>
      </c>
      <c r="BP1955" s="4" t="s">
        <v>256</v>
      </c>
      <c r="BQ1955" s="4" t="s">
        <v>257</v>
      </c>
      <c r="CE1955" s="4" t="s">
        <v>241</v>
      </c>
      <c r="CF1955" s="4" t="s">
        <v>241</v>
      </c>
      <c r="CJ1955" s="4" t="s">
        <v>276</v>
      </c>
      <c r="CK1955" s="4" t="s">
        <v>259</v>
      </c>
      <c r="CL1955" s="4" t="s">
        <v>241</v>
      </c>
      <c r="CO1955" s="5" t="s">
        <v>260</v>
      </c>
      <c r="CP1955" s="4" t="s">
        <v>241</v>
      </c>
      <c r="CQ1955" s="4" t="s">
        <v>261</v>
      </c>
      <c r="CR1955" s="4" t="s">
        <v>241</v>
      </c>
      <c r="CS1955" s="4" t="s">
        <v>241</v>
      </c>
      <c r="CT1955" s="4">
        <v>0</v>
      </c>
      <c r="CU1955" s="4" t="s">
        <v>262</v>
      </c>
      <c r="CV1955" s="4" t="s">
        <v>263</v>
      </c>
      <c r="CW1955" s="4" t="s">
        <v>263</v>
      </c>
      <c r="CX1955" s="4" t="s">
        <v>264</v>
      </c>
      <c r="DA1955" s="6">
        <f>1</f>
        <v>1</v>
      </c>
      <c r="DC1955" s="4" t="s">
        <v>325</v>
      </c>
      <c r="DD1955" s="4" t="s">
        <v>241</v>
      </c>
      <c r="DF1955" s="4" t="s">
        <v>325</v>
      </c>
      <c r="DG1955" s="6">
        <f>487</f>
        <v>487</v>
      </c>
      <c r="DI1955" s="4" t="s">
        <v>241</v>
      </c>
      <c r="DJ1955" s="4" t="s">
        <v>241</v>
      </c>
      <c r="DK1955" s="4" t="s">
        <v>241</v>
      </c>
      <c r="DL1955" s="4" t="s">
        <v>241</v>
      </c>
      <c r="DP1955" s="4" t="s">
        <v>241</v>
      </c>
      <c r="DQ1955" s="4" t="s">
        <v>241</v>
      </c>
      <c r="DR1955" s="4" t="s">
        <v>241</v>
      </c>
      <c r="DS1955" s="4" t="s">
        <v>241</v>
      </c>
      <c r="DV1955" s="4" t="s">
        <v>426</v>
      </c>
      <c r="DW1955" s="4" t="s">
        <v>605</v>
      </c>
      <c r="HO1955" s="4" t="s">
        <v>267</v>
      </c>
    </row>
    <row r="1956" spans="1:223" ht="19.5" customHeight="1" x14ac:dyDescent="0.4">
      <c r="A1956" s="4">
        <v>1</v>
      </c>
      <c r="B1956" s="4" t="s">
        <v>239</v>
      </c>
      <c r="C1956" s="4">
        <v>3659</v>
      </c>
      <c r="D1956" s="4">
        <v>1</v>
      </c>
      <c r="E1956" s="4">
        <v>1</v>
      </c>
      <c r="F1956" s="4" t="s">
        <v>268</v>
      </c>
      <c r="G1956" s="4" t="s">
        <v>241</v>
      </c>
      <c r="H1956" s="4" t="s">
        <v>241</v>
      </c>
      <c r="I1956" s="4" t="s">
        <v>424</v>
      </c>
      <c r="J1956" s="4" t="s">
        <v>274</v>
      </c>
      <c r="K1956" s="4" t="s">
        <v>251</v>
      </c>
      <c r="L1956" s="4" t="s">
        <v>423</v>
      </c>
      <c r="M1956" s="5" t="s">
        <v>3871</v>
      </c>
      <c r="N1956" s="6">
        <f>3001</f>
        <v>3001</v>
      </c>
      <c r="O1956" s="4" t="s">
        <v>265</v>
      </c>
      <c r="P1956" s="6">
        <f>1</f>
        <v>1</v>
      </c>
      <c r="Q1956" s="6">
        <f>0</f>
        <v>0</v>
      </c>
      <c r="S1956" s="6">
        <f>0</f>
        <v>0</v>
      </c>
      <c r="T1956" s="6">
        <f>1</f>
        <v>1</v>
      </c>
      <c r="U1956" s="5" t="s">
        <v>245</v>
      </c>
      <c r="V1956" s="4" t="s">
        <v>270</v>
      </c>
      <c r="W1956" s="4" t="s">
        <v>271</v>
      </c>
      <c r="X1956" s="4" t="s">
        <v>273</v>
      </c>
      <c r="Y1956" s="4" t="s">
        <v>241</v>
      </c>
      <c r="AB1956" s="4" t="s">
        <v>241</v>
      </c>
      <c r="AD1956" s="5" t="s">
        <v>241</v>
      </c>
      <c r="AG1956" s="5" t="s">
        <v>246</v>
      </c>
      <c r="AH1956" s="4" t="s">
        <v>241</v>
      </c>
      <c r="AI1956" s="4" t="s">
        <v>247</v>
      </c>
      <c r="AJ1956" s="4" t="s">
        <v>248</v>
      </c>
      <c r="AZ1956" s="4" t="s">
        <v>249</v>
      </c>
      <c r="BA1956" s="4" t="s">
        <v>241</v>
      </c>
      <c r="BB1956" s="4" t="s">
        <v>250</v>
      </c>
      <c r="BC1956" s="4" t="s">
        <v>241</v>
      </c>
      <c r="BD1956" s="4" t="s">
        <v>252</v>
      </c>
      <c r="BE1956" s="4" t="s">
        <v>241</v>
      </c>
      <c r="BI1956" s="4" t="s">
        <v>253</v>
      </c>
      <c r="BJ1956" s="5" t="s">
        <v>246</v>
      </c>
      <c r="BK1956" s="4" t="s">
        <v>254</v>
      </c>
      <c r="BL1956" s="4" t="s">
        <v>255</v>
      </c>
      <c r="BM1956" s="4" t="s">
        <v>241</v>
      </c>
      <c r="BN1956" s="6">
        <f>0</f>
        <v>0</v>
      </c>
      <c r="BO1956" s="6">
        <f>0</f>
        <v>0</v>
      </c>
      <c r="BP1956" s="4" t="s">
        <v>256</v>
      </c>
      <c r="BQ1956" s="4" t="s">
        <v>257</v>
      </c>
      <c r="CE1956" s="4" t="s">
        <v>241</v>
      </c>
      <c r="CF1956" s="4" t="s">
        <v>241</v>
      </c>
      <c r="CJ1956" s="4" t="s">
        <v>276</v>
      </c>
      <c r="CK1956" s="4" t="s">
        <v>259</v>
      </c>
      <c r="CL1956" s="4" t="s">
        <v>241</v>
      </c>
      <c r="CO1956" s="5" t="s">
        <v>260</v>
      </c>
      <c r="CP1956" s="4" t="s">
        <v>241</v>
      </c>
      <c r="CQ1956" s="4" t="s">
        <v>261</v>
      </c>
      <c r="CR1956" s="4" t="s">
        <v>241</v>
      </c>
      <c r="CS1956" s="4" t="s">
        <v>241</v>
      </c>
      <c r="CT1956" s="4">
        <v>0</v>
      </c>
      <c r="CU1956" s="4" t="s">
        <v>262</v>
      </c>
      <c r="CV1956" s="4" t="s">
        <v>263</v>
      </c>
      <c r="CW1956" s="4" t="s">
        <v>263</v>
      </c>
      <c r="CX1956" s="4" t="s">
        <v>264</v>
      </c>
      <c r="DA1956" s="6">
        <f>1</f>
        <v>1</v>
      </c>
      <c r="DC1956" s="4" t="s">
        <v>325</v>
      </c>
      <c r="DD1956" s="4" t="s">
        <v>241</v>
      </c>
      <c r="DF1956" s="4" t="s">
        <v>325</v>
      </c>
      <c r="DG1956" s="6">
        <f>3001</f>
        <v>3001</v>
      </c>
      <c r="DI1956" s="4" t="s">
        <v>241</v>
      </c>
      <c r="DJ1956" s="4" t="s">
        <v>241</v>
      </c>
      <c r="DK1956" s="4" t="s">
        <v>241</v>
      </c>
      <c r="DL1956" s="4" t="s">
        <v>241</v>
      </c>
      <c r="DP1956" s="4" t="s">
        <v>241</v>
      </c>
      <c r="DQ1956" s="4" t="s">
        <v>241</v>
      </c>
      <c r="DR1956" s="4" t="s">
        <v>241</v>
      </c>
      <c r="DS1956" s="4" t="s">
        <v>241</v>
      </c>
      <c r="DV1956" s="4" t="s">
        <v>426</v>
      </c>
      <c r="DW1956" s="4" t="s">
        <v>349</v>
      </c>
      <c r="HO1956" s="4" t="s">
        <v>267</v>
      </c>
    </row>
    <row r="1957" spans="1:223" ht="19.5" customHeight="1" x14ac:dyDescent="0.4">
      <c r="A1957" s="4">
        <v>1</v>
      </c>
      <c r="B1957" s="4" t="s">
        <v>239</v>
      </c>
      <c r="C1957" s="4">
        <v>3660</v>
      </c>
      <c r="D1957" s="4">
        <v>1</v>
      </c>
      <c r="E1957" s="4">
        <v>1</v>
      </c>
      <c r="F1957" s="4" t="s">
        <v>268</v>
      </c>
      <c r="G1957" s="4" t="s">
        <v>241</v>
      </c>
      <c r="H1957" s="4" t="s">
        <v>241</v>
      </c>
      <c r="I1957" s="4" t="s">
        <v>424</v>
      </c>
      <c r="J1957" s="4" t="s">
        <v>274</v>
      </c>
      <c r="K1957" s="4" t="s">
        <v>251</v>
      </c>
      <c r="L1957" s="4" t="s">
        <v>423</v>
      </c>
      <c r="M1957" s="5" t="s">
        <v>3872</v>
      </c>
      <c r="N1957" s="6">
        <f>2096</f>
        <v>2096</v>
      </c>
      <c r="O1957" s="4" t="s">
        <v>265</v>
      </c>
      <c r="P1957" s="6">
        <f>1</f>
        <v>1</v>
      </c>
      <c r="Q1957" s="6">
        <f>0</f>
        <v>0</v>
      </c>
      <c r="S1957" s="6">
        <f>0</f>
        <v>0</v>
      </c>
      <c r="T1957" s="6">
        <f>1</f>
        <v>1</v>
      </c>
      <c r="U1957" s="5" t="s">
        <v>245</v>
      </c>
      <c r="V1957" s="4" t="s">
        <v>270</v>
      </c>
      <c r="W1957" s="4" t="s">
        <v>271</v>
      </c>
      <c r="X1957" s="4" t="s">
        <v>273</v>
      </c>
      <c r="Y1957" s="4" t="s">
        <v>241</v>
      </c>
      <c r="AB1957" s="4" t="s">
        <v>241</v>
      </c>
      <c r="AD1957" s="5" t="s">
        <v>241</v>
      </c>
      <c r="AG1957" s="5" t="s">
        <v>246</v>
      </c>
      <c r="AH1957" s="4" t="s">
        <v>241</v>
      </c>
      <c r="AI1957" s="4" t="s">
        <v>247</v>
      </c>
      <c r="AJ1957" s="4" t="s">
        <v>248</v>
      </c>
      <c r="AZ1957" s="4" t="s">
        <v>249</v>
      </c>
      <c r="BA1957" s="4" t="s">
        <v>241</v>
      </c>
      <c r="BB1957" s="4" t="s">
        <v>250</v>
      </c>
      <c r="BC1957" s="4" t="s">
        <v>241</v>
      </c>
      <c r="BD1957" s="4" t="s">
        <v>252</v>
      </c>
      <c r="BE1957" s="4" t="s">
        <v>241</v>
      </c>
      <c r="BI1957" s="4" t="s">
        <v>253</v>
      </c>
      <c r="BJ1957" s="5" t="s">
        <v>246</v>
      </c>
      <c r="BK1957" s="4" t="s">
        <v>254</v>
      </c>
      <c r="BL1957" s="4" t="s">
        <v>255</v>
      </c>
      <c r="BM1957" s="4" t="s">
        <v>241</v>
      </c>
      <c r="BN1957" s="6">
        <f>0</f>
        <v>0</v>
      </c>
      <c r="BO1957" s="6">
        <f>0</f>
        <v>0</v>
      </c>
      <c r="BP1957" s="4" t="s">
        <v>256</v>
      </c>
      <c r="BQ1957" s="4" t="s">
        <v>257</v>
      </c>
      <c r="CE1957" s="4" t="s">
        <v>241</v>
      </c>
      <c r="CF1957" s="4" t="s">
        <v>241</v>
      </c>
      <c r="CJ1957" s="4" t="s">
        <v>276</v>
      </c>
      <c r="CK1957" s="4" t="s">
        <v>259</v>
      </c>
      <c r="CL1957" s="4" t="s">
        <v>241</v>
      </c>
      <c r="CO1957" s="5" t="s">
        <v>260</v>
      </c>
      <c r="CP1957" s="4" t="s">
        <v>241</v>
      </c>
      <c r="CQ1957" s="4" t="s">
        <v>261</v>
      </c>
      <c r="CR1957" s="4" t="s">
        <v>241</v>
      </c>
      <c r="CS1957" s="4" t="s">
        <v>241</v>
      </c>
      <c r="CT1957" s="4">
        <v>0</v>
      </c>
      <c r="CU1957" s="4" t="s">
        <v>262</v>
      </c>
      <c r="CV1957" s="4" t="s">
        <v>263</v>
      </c>
      <c r="CW1957" s="4" t="s">
        <v>263</v>
      </c>
      <c r="CX1957" s="4" t="s">
        <v>264</v>
      </c>
      <c r="DA1957" s="6">
        <f>1</f>
        <v>1</v>
      </c>
      <c r="DC1957" s="4" t="s">
        <v>325</v>
      </c>
      <c r="DD1957" s="4" t="s">
        <v>241</v>
      </c>
      <c r="DF1957" s="4" t="s">
        <v>325</v>
      </c>
      <c r="DG1957" s="6">
        <f>2096</f>
        <v>2096</v>
      </c>
      <c r="DI1957" s="4" t="s">
        <v>241</v>
      </c>
      <c r="DJ1957" s="4" t="s">
        <v>241</v>
      </c>
      <c r="DK1957" s="4" t="s">
        <v>241</v>
      </c>
      <c r="DL1957" s="4" t="s">
        <v>241</v>
      </c>
      <c r="DP1957" s="4" t="s">
        <v>241</v>
      </c>
      <c r="DQ1957" s="4" t="s">
        <v>241</v>
      </c>
      <c r="DR1957" s="4" t="s">
        <v>241</v>
      </c>
      <c r="DS1957" s="4" t="s">
        <v>241</v>
      </c>
      <c r="DV1957" s="4" t="s">
        <v>426</v>
      </c>
      <c r="DW1957" s="4" t="s">
        <v>420</v>
      </c>
      <c r="HO1957" s="4" t="s">
        <v>267</v>
      </c>
    </row>
    <row r="1958" spans="1:223" ht="19.5" customHeight="1" x14ac:dyDescent="0.4">
      <c r="A1958" s="4">
        <v>1</v>
      </c>
      <c r="B1958" s="4" t="s">
        <v>239</v>
      </c>
      <c r="C1958" s="4">
        <v>3661</v>
      </c>
      <c r="D1958" s="4">
        <v>1</v>
      </c>
      <c r="E1958" s="4">
        <v>1</v>
      </c>
      <c r="F1958" s="4" t="s">
        <v>268</v>
      </c>
      <c r="G1958" s="4" t="s">
        <v>241</v>
      </c>
      <c r="H1958" s="4" t="s">
        <v>241</v>
      </c>
      <c r="I1958" s="4" t="s">
        <v>424</v>
      </c>
      <c r="J1958" s="4" t="s">
        <v>274</v>
      </c>
      <c r="K1958" s="4" t="s">
        <v>251</v>
      </c>
      <c r="L1958" s="4" t="s">
        <v>423</v>
      </c>
      <c r="M1958" s="5" t="s">
        <v>3431</v>
      </c>
      <c r="N1958" s="6">
        <f>5674</f>
        <v>5674</v>
      </c>
      <c r="O1958" s="4" t="s">
        <v>265</v>
      </c>
      <c r="P1958" s="6">
        <f>1</f>
        <v>1</v>
      </c>
      <c r="Q1958" s="6">
        <f>0</f>
        <v>0</v>
      </c>
      <c r="S1958" s="6">
        <f>0</f>
        <v>0</v>
      </c>
      <c r="T1958" s="6">
        <f>1</f>
        <v>1</v>
      </c>
      <c r="U1958" s="5" t="s">
        <v>245</v>
      </c>
      <c r="V1958" s="4" t="s">
        <v>270</v>
      </c>
      <c r="W1958" s="4" t="s">
        <v>271</v>
      </c>
      <c r="X1958" s="4" t="s">
        <v>273</v>
      </c>
      <c r="Y1958" s="4" t="s">
        <v>241</v>
      </c>
      <c r="AB1958" s="4" t="s">
        <v>241</v>
      </c>
      <c r="AD1958" s="5" t="s">
        <v>241</v>
      </c>
      <c r="AG1958" s="5" t="s">
        <v>246</v>
      </c>
      <c r="AH1958" s="4" t="s">
        <v>241</v>
      </c>
      <c r="AI1958" s="4" t="s">
        <v>247</v>
      </c>
      <c r="AJ1958" s="4" t="s">
        <v>248</v>
      </c>
      <c r="AZ1958" s="4" t="s">
        <v>249</v>
      </c>
      <c r="BA1958" s="4" t="s">
        <v>241</v>
      </c>
      <c r="BB1958" s="4" t="s">
        <v>250</v>
      </c>
      <c r="BC1958" s="4" t="s">
        <v>241</v>
      </c>
      <c r="BD1958" s="4" t="s">
        <v>252</v>
      </c>
      <c r="BE1958" s="4" t="s">
        <v>241</v>
      </c>
      <c r="BI1958" s="4" t="s">
        <v>253</v>
      </c>
      <c r="BJ1958" s="5" t="s">
        <v>246</v>
      </c>
      <c r="BK1958" s="4" t="s">
        <v>254</v>
      </c>
      <c r="BL1958" s="4" t="s">
        <v>255</v>
      </c>
      <c r="BM1958" s="4" t="s">
        <v>241</v>
      </c>
      <c r="BN1958" s="6">
        <f>0</f>
        <v>0</v>
      </c>
      <c r="BO1958" s="6">
        <f>0</f>
        <v>0</v>
      </c>
      <c r="BP1958" s="4" t="s">
        <v>256</v>
      </c>
      <c r="BQ1958" s="4" t="s">
        <v>257</v>
      </c>
      <c r="CE1958" s="4" t="s">
        <v>241</v>
      </c>
      <c r="CF1958" s="4" t="s">
        <v>241</v>
      </c>
      <c r="CJ1958" s="4" t="s">
        <v>276</v>
      </c>
      <c r="CK1958" s="4" t="s">
        <v>259</v>
      </c>
      <c r="CL1958" s="4" t="s">
        <v>241</v>
      </c>
      <c r="CO1958" s="5" t="s">
        <v>260</v>
      </c>
      <c r="CP1958" s="4" t="s">
        <v>241</v>
      </c>
      <c r="CQ1958" s="4" t="s">
        <v>261</v>
      </c>
      <c r="CR1958" s="4" t="s">
        <v>241</v>
      </c>
      <c r="CS1958" s="4" t="s">
        <v>241</v>
      </c>
      <c r="CT1958" s="4">
        <v>0</v>
      </c>
      <c r="CU1958" s="4" t="s">
        <v>262</v>
      </c>
      <c r="CV1958" s="4" t="s">
        <v>263</v>
      </c>
      <c r="CW1958" s="4" t="s">
        <v>263</v>
      </c>
      <c r="CX1958" s="4" t="s">
        <v>264</v>
      </c>
      <c r="DA1958" s="6">
        <f>1</f>
        <v>1</v>
      </c>
      <c r="DC1958" s="4" t="s">
        <v>325</v>
      </c>
      <c r="DD1958" s="4" t="s">
        <v>241</v>
      </c>
      <c r="DF1958" s="4" t="s">
        <v>325</v>
      </c>
      <c r="DG1958" s="6">
        <f>5674</f>
        <v>5674</v>
      </c>
      <c r="DI1958" s="4" t="s">
        <v>241</v>
      </c>
      <c r="DJ1958" s="4" t="s">
        <v>241</v>
      </c>
      <c r="DK1958" s="4" t="s">
        <v>241</v>
      </c>
      <c r="DL1958" s="4" t="s">
        <v>241</v>
      </c>
      <c r="DP1958" s="4" t="s">
        <v>241</v>
      </c>
      <c r="DQ1958" s="4" t="s">
        <v>241</v>
      </c>
      <c r="DR1958" s="4" t="s">
        <v>241</v>
      </c>
      <c r="DS1958" s="4" t="s">
        <v>241</v>
      </c>
      <c r="DV1958" s="4" t="s">
        <v>426</v>
      </c>
      <c r="DW1958" s="4" t="s">
        <v>1732</v>
      </c>
      <c r="HO1958" s="4" t="s">
        <v>267</v>
      </c>
    </row>
    <row r="1959" spans="1:223" ht="19.5" customHeight="1" x14ac:dyDescent="0.4">
      <c r="A1959" s="4">
        <v>1</v>
      </c>
      <c r="B1959" s="4" t="s">
        <v>239</v>
      </c>
      <c r="C1959" s="4">
        <v>3662</v>
      </c>
      <c r="D1959" s="4">
        <v>1</v>
      </c>
      <c r="E1959" s="4">
        <v>1</v>
      </c>
      <c r="F1959" s="4" t="s">
        <v>268</v>
      </c>
      <c r="G1959" s="4" t="s">
        <v>241</v>
      </c>
      <c r="H1959" s="4" t="s">
        <v>241</v>
      </c>
      <c r="I1959" s="4" t="s">
        <v>424</v>
      </c>
      <c r="J1959" s="4" t="s">
        <v>274</v>
      </c>
      <c r="K1959" s="4" t="s">
        <v>251</v>
      </c>
      <c r="L1959" s="4" t="s">
        <v>423</v>
      </c>
      <c r="M1959" s="5" t="s">
        <v>3876</v>
      </c>
      <c r="N1959" s="6">
        <f>1029</f>
        <v>1029</v>
      </c>
      <c r="O1959" s="4" t="s">
        <v>265</v>
      </c>
      <c r="P1959" s="6">
        <f>1</f>
        <v>1</v>
      </c>
      <c r="Q1959" s="6">
        <f>0</f>
        <v>0</v>
      </c>
      <c r="S1959" s="6">
        <f>0</f>
        <v>0</v>
      </c>
      <c r="T1959" s="6">
        <f>1</f>
        <v>1</v>
      </c>
      <c r="U1959" s="5" t="s">
        <v>245</v>
      </c>
      <c r="V1959" s="4" t="s">
        <v>270</v>
      </c>
      <c r="W1959" s="4" t="s">
        <v>271</v>
      </c>
      <c r="X1959" s="4" t="s">
        <v>273</v>
      </c>
      <c r="Y1959" s="4" t="s">
        <v>241</v>
      </c>
      <c r="AB1959" s="4" t="s">
        <v>241</v>
      </c>
      <c r="AD1959" s="5" t="s">
        <v>241</v>
      </c>
      <c r="AG1959" s="5" t="s">
        <v>246</v>
      </c>
      <c r="AH1959" s="4" t="s">
        <v>241</v>
      </c>
      <c r="AI1959" s="4" t="s">
        <v>247</v>
      </c>
      <c r="AJ1959" s="4" t="s">
        <v>248</v>
      </c>
      <c r="AZ1959" s="4" t="s">
        <v>249</v>
      </c>
      <c r="BA1959" s="4" t="s">
        <v>241</v>
      </c>
      <c r="BB1959" s="4" t="s">
        <v>250</v>
      </c>
      <c r="BC1959" s="4" t="s">
        <v>241</v>
      </c>
      <c r="BD1959" s="4" t="s">
        <v>252</v>
      </c>
      <c r="BE1959" s="4" t="s">
        <v>241</v>
      </c>
      <c r="BI1959" s="4" t="s">
        <v>253</v>
      </c>
      <c r="BJ1959" s="5" t="s">
        <v>246</v>
      </c>
      <c r="BK1959" s="4" t="s">
        <v>254</v>
      </c>
      <c r="BL1959" s="4" t="s">
        <v>255</v>
      </c>
      <c r="BM1959" s="4" t="s">
        <v>241</v>
      </c>
      <c r="BN1959" s="6">
        <f>0</f>
        <v>0</v>
      </c>
      <c r="BO1959" s="6">
        <f>0</f>
        <v>0</v>
      </c>
      <c r="BP1959" s="4" t="s">
        <v>256</v>
      </c>
      <c r="BQ1959" s="4" t="s">
        <v>257</v>
      </c>
      <c r="CE1959" s="4" t="s">
        <v>241</v>
      </c>
      <c r="CF1959" s="4" t="s">
        <v>241</v>
      </c>
      <c r="CJ1959" s="4" t="s">
        <v>276</v>
      </c>
      <c r="CK1959" s="4" t="s">
        <v>259</v>
      </c>
      <c r="CL1959" s="4" t="s">
        <v>241</v>
      </c>
      <c r="CO1959" s="5" t="s">
        <v>260</v>
      </c>
      <c r="CP1959" s="4" t="s">
        <v>241</v>
      </c>
      <c r="CQ1959" s="4" t="s">
        <v>261</v>
      </c>
      <c r="CR1959" s="4" t="s">
        <v>241</v>
      </c>
      <c r="CS1959" s="4" t="s">
        <v>241</v>
      </c>
      <c r="CT1959" s="4">
        <v>0</v>
      </c>
      <c r="CU1959" s="4" t="s">
        <v>262</v>
      </c>
      <c r="CV1959" s="4" t="s">
        <v>263</v>
      </c>
      <c r="CW1959" s="4" t="s">
        <v>263</v>
      </c>
      <c r="CX1959" s="4" t="s">
        <v>264</v>
      </c>
      <c r="DA1959" s="6">
        <f>1</f>
        <v>1</v>
      </c>
      <c r="DC1959" s="4" t="s">
        <v>325</v>
      </c>
      <c r="DD1959" s="4" t="s">
        <v>241</v>
      </c>
      <c r="DF1959" s="4" t="s">
        <v>325</v>
      </c>
      <c r="DG1959" s="6">
        <f>1029</f>
        <v>1029</v>
      </c>
      <c r="DI1959" s="4" t="s">
        <v>241</v>
      </c>
      <c r="DJ1959" s="4" t="s">
        <v>241</v>
      </c>
      <c r="DK1959" s="4" t="s">
        <v>241</v>
      </c>
      <c r="DL1959" s="4" t="s">
        <v>241</v>
      </c>
      <c r="DP1959" s="4" t="s">
        <v>241</v>
      </c>
      <c r="DQ1959" s="4" t="s">
        <v>241</v>
      </c>
      <c r="DR1959" s="4" t="s">
        <v>241</v>
      </c>
      <c r="DS1959" s="4" t="s">
        <v>241</v>
      </c>
      <c r="DV1959" s="4" t="s">
        <v>426</v>
      </c>
      <c r="DW1959" s="4" t="s">
        <v>1730</v>
      </c>
      <c r="HO1959" s="4" t="s">
        <v>267</v>
      </c>
    </row>
    <row r="1960" spans="1:223" ht="19.5" customHeight="1" x14ac:dyDescent="0.4">
      <c r="A1960" s="4">
        <v>1</v>
      </c>
      <c r="B1960" s="4" t="s">
        <v>239</v>
      </c>
      <c r="C1960" s="4">
        <v>3663</v>
      </c>
      <c r="D1960" s="4">
        <v>1</v>
      </c>
      <c r="E1960" s="4">
        <v>1</v>
      </c>
      <c r="F1960" s="4" t="s">
        <v>268</v>
      </c>
      <c r="G1960" s="4" t="s">
        <v>241</v>
      </c>
      <c r="H1960" s="4" t="s">
        <v>241</v>
      </c>
      <c r="I1960" s="4" t="s">
        <v>424</v>
      </c>
      <c r="J1960" s="4" t="s">
        <v>274</v>
      </c>
      <c r="K1960" s="4" t="s">
        <v>251</v>
      </c>
      <c r="L1960" s="4" t="s">
        <v>423</v>
      </c>
      <c r="M1960" s="5" t="s">
        <v>3877</v>
      </c>
      <c r="N1960" s="6">
        <f>1596</f>
        <v>1596</v>
      </c>
      <c r="O1960" s="4" t="s">
        <v>265</v>
      </c>
      <c r="P1960" s="6">
        <f>1</f>
        <v>1</v>
      </c>
      <c r="Q1960" s="6">
        <f>0</f>
        <v>0</v>
      </c>
      <c r="S1960" s="6">
        <f>0</f>
        <v>0</v>
      </c>
      <c r="T1960" s="6">
        <f>1</f>
        <v>1</v>
      </c>
      <c r="U1960" s="5" t="s">
        <v>245</v>
      </c>
      <c r="V1960" s="4" t="s">
        <v>270</v>
      </c>
      <c r="W1960" s="4" t="s">
        <v>271</v>
      </c>
      <c r="X1960" s="4" t="s">
        <v>273</v>
      </c>
      <c r="Y1960" s="4" t="s">
        <v>241</v>
      </c>
      <c r="AB1960" s="4" t="s">
        <v>241</v>
      </c>
      <c r="AD1960" s="5" t="s">
        <v>241</v>
      </c>
      <c r="AG1960" s="5" t="s">
        <v>246</v>
      </c>
      <c r="AH1960" s="4" t="s">
        <v>241</v>
      </c>
      <c r="AI1960" s="4" t="s">
        <v>247</v>
      </c>
      <c r="AJ1960" s="4" t="s">
        <v>248</v>
      </c>
      <c r="AZ1960" s="4" t="s">
        <v>249</v>
      </c>
      <c r="BA1960" s="4" t="s">
        <v>241</v>
      </c>
      <c r="BB1960" s="4" t="s">
        <v>250</v>
      </c>
      <c r="BC1960" s="4" t="s">
        <v>241</v>
      </c>
      <c r="BD1960" s="4" t="s">
        <v>252</v>
      </c>
      <c r="BE1960" s="4" t="s">
        <v>241</v>
      </c>
      <c r="BI1960" s="4" t="s">
        <v>253</v>
      </c>
      <c r="BJ1960" s="5" t="s">
        <v>246</v>
      </c>
      <c r="BK1960" s="4" t="s">
        <v>254</v>
      </c>
      <c r="BL1960" s="4" t="s">
        <v>255</v>
      </c>
      <c r="BM1960" s="4" t="s">
        <v>241</v>
      </c>
      <c r="BN1960" s="6">
        <f>0</f>
        <v>0</v>
      </c>
      <c r="BO1960" s="6">
        <f>0</f>
        <v>0</v>
      </c>
      <c r="BP1960" s="4" t="s">
        <v>256</v>
      </c>
      <c r="BQ1960" s="4" t="s">
        <v>257</v>
      </c>
      <c r="CE1960" s="4" t="s">
        <v>241</v>
      </c>
      <c r="CF1960" s="4" t="s">
        <v>241</v>
      </c>
      <c r="CJ1960" s="4" t="s">
        <v>276</v>
      </c>
      <c r="CK1960" s="4" t="s">
        <v>259</v>
      </c>
      <c r="CL1960" s="4" t="s">
        <v>241</v>
      </c>
      <c r="CO1960" s="5" t="s">
        <v>260</v>
      </c>
      <c r="CP1960" s="4" t="s">
        <v>241</v>
      </c>
      <c r="CQ1960" s="4" t="s">
        <v>261</v>
      </c>
      <c r="CR1960" s="4" t="s">
        <v>241</v>
      </c>
      <c r="CS1960" s="4" t="s">
        <v>241</v>
      </c>
      <c r="CT1960" s="4">
        <v>0</v>
      </c>
      <c r="CU1960" s="4" t="s">
        <v>262</v>
      </c>
      <c r="CV1960" s="4" t="s">
        <v>263</v>
      </c>
      <c r="CW1960" s="4" t="s">
        <v>263</v>
      </c>
      <c r="CX1960" s="4" t="s">
        <v>264</v>
      </c>
      <c r="DA1960" s="6">
        <f>1</f>
        <v>1</v>
      </c>
      <c r="DC1960" s="4" t="s">
        <v>325</v>
      </c>
      <c r="DD1960" s="4" t="s">
        <v>241</v>
      </c>
      <c r="DF1960" s="4" t="s">
        <v>325</v>
      </c>
      <c r="DG1960" s="6">
        <f>1596</f>
        <v>1596</v>
      </c>
      <c r="DI1960" s="4" t="s">
        <v>241</v>
      </c>
      <c r="DJ1960" s="4" t="s">
        <v>241</v>
      </c>
      <c r="DK1960" s="4" t="s">
        <v>241</v>
      </c>
      <c r="DL1960" s="4" t="s">
        <v>241</v>
      </c>
      <c r="DP1960" s="4" t="s">
        <v>241</v>
      </c>
      <c r="DQ1960" s="4" t="s">
        <v>241</v>
      </c>
      <c r="DR1960" s="4" t="s">
        <v>241</v>
      </c>
      <c r="DS1960" s="4" t="s">
        <v>241</v>
      </c>
      <c r="DV1960" s="4" t="s">
        <v>426</v>
      </c>
      <c r="DW1960" s="4" t="s">
        <v>1728</v>
      </c>
      <c r="HO1960" s="4" t="s">
        <v>267</v>
      </c>
    </row>
    <row r="1961" spans="1:223" ht="19.5" customHeight="1" x14ac:dyDescent="0.4">
      <c r="A1961" s="4">
        <v>1</v>
      </c>
      <c r="B1961" s="4" t="s">
        <v>239</v>
      </c>
      <c r="C1961" s="4">
        <v>3664</v>
      </c>
      <c r="D1961" s="4">
        <v>1</v>
      </c>
      <c r="E1961" s="4">
        <v>1</v>
      </c>
      <c r="F1961" s="4" t="s">
        <v>268</v>
      </c>
      <c r="G1961" s="4" t="s">
        <v>241</v>
      </c>
      <c r="H1961" s="4" t="s">
        <v>241</v>
      </c>
      <c r="I1961" s="4" t="s">
        <v>424</v>
      </c>
      <c r="J1961" s="4" t="s">
        <v>274</v>
      </c>
      <c r="K1961" s="4" t="s">
        <v>251</v>
      </c>
      <c r="L1961" s="4" t="s">
        <v>423</v>
      </c>
      <c r="M1961" s="5" t="s">
        <v>3878</v>
      </c>
      <c r="N1961" s="6">
        <f>1031</f>
        <v>1031</v>
      </c>
      <c r="O1961" s="4" t="s">
        <v>265</v>
      </c>
      <c r="P1961" s="6">
        <f>1</f>
        <v>1</v>
      </c>
      <c r="Q1961" s="6">
        <f>0</f>
        <v>0</v>
      </c>
      <c r="S1961" s="6">
        <f>0</f>
        <v>0</v>
      </c>
      <c r="T1961" s="6">
        <f>1</f>
        <v>1</v>
      </c>
      <c r="U1961" s="5" t="s">
        <v>245</v>
      </c>
      <c r="V1961" s="4" t="s">
        <v>270</v>
      </c>
      <c r="W1961" s="4" t="s">
        <v>271</v>
      </c>
      <c r="X1961" s="4" t="s">
        <v>273</v>
      </c>
      <c r="Y1961" s="4" t="s">
        <v>241</v>
      </c>
      <c r="AB1961" s="4" t="s">
        <v>241</v>
      </c>
      <c r="AD1961" s="5" t="s">
        <v>241</v>
      </c>
      <c r="AG1961" s="5" t="s">
        <v>246</v>
      </c>
      <c r="AH1961" s="4" t="s">
        <v>241</v>
      </c>
      <c r="AI1961" s="4" t="s">
        <v>247</v>
      </c>
      <c r="AJ1961" s="4" t="s">
        <v>248</v>
      </c>
      <c r="AZ1961" s="4" t="s">
        <v>249</v>
      </c>
      <c r="BA1961" s="4" t="s">
        <v>241</v>
      </c>
      <c r="BB1961" s="4" t="s">
        <v>250</v>
      </c>
      <c r="BC1961" s="4" t="s">
        <v>241</v>
      </c>
      <c r="BD1961" s="4" t="s">
        <v>252</v>
      </c>
      <c r="BE1961" s="4" t="s">
        <v>241</v>
      </c>
      <c r="BI1961" s="4" t="s">
        <v>253</v>
      </c>
      <c r="BJ1961" s="5" t="s">
        <v>246</v>
      </c>
      <c r="BK1961" s="4" t="s">
        <v>254</v>
      </c>
      <c r="BL1961" s="4" t="s">
        <v>255</v>
      </c>
      <c r="BM1961" s="4" t="s">
        <v>241</v>
      </c>
      <c r="BN1961" s="6">
        <f>0</f>
        <v>0</v>
      </c>
      <c r="BO1961" s="6">
        <f>0</f>
        <v>0</v>
      </c>
      <c r="BP1961" s="4" t="s">
        <v>256</v>
      </c>
      <c r="BQ1961" s="4" t="s">
        <v>257</v>
      </c>
      <c r="CE1961" s="4" t="s">
        <v>241</v>
      </c>
      <c r="CF1961" s="4" t="s">
        <v>241</v>
      </c>
      <c r="CJ1961" s="4" t="s">
        <v>276</v>
      </c>
      <c r="CK1961" s="4" t="s">
        <v>259</v>
      </c>
      <c r="CL1961" s="4" t="s">
        <v>241</v>
      </c>
      <c r="CO1961" s="5" t="s">
        <v>260</v>
      </c>
      <c r="CP1961" s="4" t="s">
        <v>241</v>
      </c>
      <c r="CQ1961" s="4" t="s">
        <v>261</v>
      </c>
      <c r="CR1961" s="4" t="s">
        <v>241</v>
      </c>
      <c r="CS1961" s="4" t="s">
        <v>241</v>
      </c>
      <c r="CT1961" s="4">
        <v>0</v>
      </c>
      <c r="CU1961" s="4" t="s">
        <v>262</v>
      </c>
      <c r="CV1961" s="4" t="s">
        <v>263</v>
      </c>
      <c r="CW1961" s="4" t="s">
        <v>263</v>
      </c>
      <c r="CX1961" s="4" t="s">
        <v>264</v>
      </c>
      <c r="DA1961" s="6">
        <f>1</f>
        <v>1</v>
      </c>
      <c r="DC1961" s="4" t="s">
        <v>325</v>
      </c>
      <c r="DD1961" s="4" t="s">
        <v>241</v>
      </c>
      <c r="DF1961" s="4" t="s">
        <v>325</v>
      </c>
      <c r="DG1961" s="6">
        <f>1031</f>
        <v>1031</v>
      </c>
      <c r="DI1961" s="4" t="s">
        <v>241</v>
      </c>
      <c r="DJ1961" s="4" t="s">
        <v>241</v>
      </c>
      <c r="DK1961" s="4" t="s">
        <v>241</v>
      </c>
      <c r="DL1961" s="4" t="s">
        <v>241</v>
      </c>
      <c r="DP1961" s="4" t="s">
        <v>241</v>
      </c>
      <c r="DQ1961" s="4" t="s">
        <v>241</v>
      </c>
      <c r="DR1961" s="4" t="s">
        <v>241</v>
      </c>
      <c r="DS1961" s="4" t="s">
        <v>241</v>
      </c>
      <c r="DV1961" s="4" t="s">
        <v>426</v>
      </c>
      <c r="DW1961" s="4" t="s">
        <v>1726</v>
      </c>
      <c r="HO1961" s="4" t="s">
        <v>267</v>
      </c>
    </row>
    <row r="1962" spans="1:223" ht="19.5" customHeight="1" x14ac:dyDescent="0.4">
      <c r="A1962" s="4">
        <v>1</v>
      </c>
      <c r="B1962" s="4" t="s">
        <v>239</v>
      </c>
      <c r="C1962" s="4">
        <v>3665</v>
      </c>
      <c r="D1962" s="4">
        <v>1</v>
      </c>
      <c r="E1962" s="4">
        <v>1</v>
      </c>
      <c r="F1962" s="4" t="s">
        <v>268</v>
      </c>
      <c r="G1962" s="4" t="s">
        <v>241</v>
      </c>
      <c r="H1962" s="4" t="s">
        <v>241</v>
      </c>
      <c r="I1962" s="4" t="s">
        <v>424</v>
      </c>
      <c r="J1962" s="4" t="s">
        <v>274</v>
      </c>
      <c r="K1962" s="4" t="s">
        <v>251</v>
      </c>
      <c r="L1962" s="4" t="s">
        <v>423</v>
      </c>
      <c r="M1962" s="5" t="s">
        <v>740</v>
      </c>
      <c r="N1962" s="6">
        <f>1355</f>
        <v>1355</v>
      </c>
      <c r="O1962" s="4" t="s">
        <v>265</v>
      </c>
      <c r="P1962" s="6">
        <f>1</f>
        <v>1</v>
      </c>
      <c r="Q1962" s="6">
        <f>0</f>
        <v>0</v>
      </c>
      <c r="S1962" s="6">
        <f>0</f>
        <v>0</v>
      </c>
      <c r="T1962" s="6">
        <f>1</f>
        <v>1</v>
      </c>
      <c r="U1962" s="5" t="s">
        <v>245</v>
      </c>
      <c r="V1962" s="4" t="s">
        <v>270</v>
      </c>
      <c r="W1962" s="4" t="s">
        <v>271</v>
      </c>
      <c r="X1962" s="4" t="s">
        <v>273</v>
      </c>
      <c r="Y1962" s="4" t="s">
        <v>241</v>
      </c>
      <c r="AB1962" s="4" t="s">
        <v>241</v>
      </c>
      <c r="AD1962" s="5" t="s">
        <v>241</v>
      </c>
      <c r="AG1962" s="5" t="s">
        <v>246</v>
      </c>
      <c r="AH1962" s="4" t="s">
        <v>241</v>
      </c>
      <c r="AI1962" s="4" t="s">
        <v>247</v>
      </c>
      <c r="AJ1962" s="4" t="s">
        <v>248</v>
      </c>
      <c r="AZ1962" s="4" t="s">
        <v>249</v>
      </c>
      <c r="BA1962" s="4" t="s">
        <v>241</v>
      </c>
      <c r="BB1962" s="4" t="s">
        <v>250</v>
      </c>
      <c r="BC1962" s="4" t="s">
        <v>241</v>
      </c>
      <c r="BD1962" s="4" t="s">
        <v>252</v>
      </c>
      <c r="BE1962" s="4" t="s">
        <v>241</v>
      </c>
      <c r="BI1962" s="4" t="s">
        <v>253</v>
      </c>
      <c r="BJ1962" s="5" t="s">
        <v>246</v>
      </c>
      <c r="BK1962" s="4" t="s">
        <v>254</v>
      </c>
      <c r="BL1962" s="4" t="s">
        <v>255</v>
      </c>
      <c r="BM1962" s="4" t="s">
        <v>241</v>
      </c>
      <c r="BN1962" s="6">
        <f>0</f>
        <v>0</v>
      </c>
      <c r="BO1962" s="6">
        <f>0</f>
        <v>0</v>
      </c>
      <c r="BP1962" s="4" t="s">
        <v>256</v>
      </c>
      <c r="BQ1962" s="4" t="s">
        <v>257</v>
      </c>
      <c r="CE1962" s="4" t="s">
        <v>241</v>
      </c>
      <c r="CF1962" s="4" t="s">
        <v>241</v>
      </c>
      <c r="CJ1962" s="4" t="s">
        <v>276</v>
      </c>
      <c r="CK1962" s="4" t="s">
        <v>259</v>
      </c>
      <c r="CL1962" s="4" t="s">
        <v>241</v>
      </c>
      <c r="CO1962" s="5" t="s">
        <v>260</v>
      </c>
      <c r="CP1962" s="4" t="s">
        <v>241</v>
      </c>
      <c r="CQ1962" s="4" t="s">
        <v>261</v>
      </c>
      <c r="CR1962" s="4" t="s">
        <v>241</v>
      </c>
      <c r="CS1962" s="4" t="s">
        <v>241</v>
      </c>
      <c r="CT1962" s="4">
        <v>0</v>
      </c>
      <c r="CU1962" s="4" t="s">
        <v>262</v>
      </c>
      <c r="CV1962" s="4" t="s">
        <v>263</v>
      </c>
      <c r="CW1962" s="4" t="s">
        <v>263</v>
      </c>
      <c r="CX1962" s="4" t="s">
        <v>264</v>
      </c>
      <c r="DA1962" s="6">
        <f>1</f>
        <v>1</v>
      </c>
      <c r="DC1962" s="4" t="s">
        <v>325</v>
      </c>
      <c r="DD1962" s="4" t="s">
        <v>241</v>
      </c>
      <c r="DF1962" s="4" t="s">
        <v>325</v>
      </c>
      <c r="DG1962" s="6">
        <f>1355</f>
        <v>1355</v>
      </c>
      <c r="DI1962" s="4" t="s">
        <v>241</v>
      </c>
      <c r="DJ1962" s="4" t="s">
        <v>241</v>
      </c>
      <c r="DK1962" s="4" t="s">
        <v>241</v>
      </c>
      <c r="DL1962" s="4" t="s">
        <v>241</v>
      </c>
      <c r="DP1962" s="4" t="s">
        <v>241</v>
      </c>
      <c r="DQ1962" s="4" t="s">
        <v>241</v>
      </c>
      <c r="DR1962" s="4" t="s">
        <v>241</v>
      </c>
      <c r="DS1962" s="4" t="s">
        <v>241</v>
      </c>
      <c r="DV1962" s="4" t="s">
        <v>426</v>
      </c>
      <c r="DW1962" s="4" t="s">
        <v>741</v>
      </c>
      <c r="HO1962" s="4" t="s">
        <v>267</v>
      </c>
    </row>
    <row r="1963" spans="1:223" ht="19.5" customHeight="1" x14ac:dyDescent="0.4">
      <c r="A1963" s="4">
        <v>1</v>
      </c>
      <c r="B1963" s="4" t="s">
        <v>239</v>
      </c>
      <c r="C1963" s="4">
        <v>3666</v>
      </c>
      <c r="D1963" s="4">
        <v>1</v>
      </c>
      <c r="E1963" s="4">
        <v>1</v>
      </c>
      <c r="F1963" s="4" t="s">
        <v>268</v>
      </c>
      <c r="G1963" s="4" t="s">
        <v>241</v>
      </c>
      <c r="H1963" s="4" t="s">
        <v>241</v>
      </c>
      <c r="I1963" s="4" t="s">
        <v>424</v>
      </c>
      <c r="J1963" s="4" t="s">
        <v>274</v>
      </c>
      <c r="K1963" s="4" t="s">
        <v>251</v>
      </c>
      <c r="L1963" s="4" t="s">
        <v>423</v>
      </c>
      <c r="M1963" s="5" t="s">
        <v>3433</v>
      </c>
      <c r="N1963" s="6">
        <f>765</f>
        <v>765</v>
      </c>
      <c r="O1963" s="4" t="s">
        <v>265</v>
      </c>
      <c r="P1963" s="6">
        <f>1</f>
        <v>1</v>
      </c>
      <c r="Q1963" s="6">
        <f>0</f>
        <v>0</v>
      </c>
      <c r="S1963" s="6">
        <f>0</f>
        <v>0</v>
      </c>
      <c r="T1963" s="6">
        <f>1</f>
        <v>1</v>
      </c>
      <c r="U1963" s="5" t="s">
        <v>245</v>
      </c>
      <c r="V1963" s="4" t="s">
        <v>270</v>
      </c>
      <c r="W1963" s="4" t="s">
        <v>271</v>
      </c>
      <c r="X1963" s="4" t="s">
        <v>273</v>
      </c>
      <c r="Y1963" s="4" t="s">
        <v>241</v>
      </c>
      <c r="AB1963" s="4" t="s">
        <v>241</v>
      </c>
      <c r="AD1963" s="5" t="s">
        <v>241</v>
      </c>
      <c r="AG1963" s="5" t="s">
        <v>246</v>
      </c>
      <c r="AH1963" s="4" t="s">
        <v>241</v>
      </c>
      <c r="AI1963" s="4" t="s">
        <v>247</v>
      </c>
      <c r="AJ1963" s="4" t="s">
        <v>248</v>
      </c>
      <c r="AZ1963" s="4" t="s">
        <v>249</v>
      </c>
      <c r="BA1963" s="4" t="s">
        <v>241</v>
      </c>
      <c r="BB1963" s="4" t="s">
        <v>250</v>
      </c>
      <c r="BC1963" s="4" t="s">
        <v>241</v>
      </c>
      <c r="BD1963" s="4" t="s">
        <v>252</v>
      </c>
      <c r="BE1963" s="4" t="s">
        <v>241</v>
      </c>
      <c r="BI1963" s="4" t="s">
        <v>253</v>
      </c>
      <c r="BJ1963" s="5" t="s">
        <v>246</v>
      </c>
      <c r="BK1963" s="4" t="s">
        <v>254</v>
      </c>
      <c r="BL1963" s="4" t="s">
        <v>255</v>
      </c>
      <c r="BM1963" s="4" t="s">
        <v>241</v>
      </c>
      <c r="BN1963" s="6">
        <f>0</f>
        <v>0</v>
      </c>
      <c r="BO1963" s="6">
        <f>0</f>
        <v>0</v>
      </c>
      <c r="BP1963" s="4" t="s">
        <v>256</v>
      </c>
      <c r="BQ1963" s="4" t="s">
        <v>257</v>
      </c>
      <c r="CE1963" s="4" t="s">
        <v>241</v>
      </c>
      <c r="CF1963" s="4" t="s">
        <v>241</v>
      </c>
      <c r="CJ1963" s="4" t="s">
        <v>276</v>
      </c>
      <c r="CK1963" s="4" t="s">
        <v>259</v>
      </c>
      <c r="CL1963" s="4" t="s">
        <v>241</v>
      </c>
      <c r="CO1963" s="5" t="s">
        <v>260</v>
      </c>
      <c r="CP1963" s="4" t="s">
        <v>241</v>
      </c>
      <c r="CQ1963" s="4" t="s">
        <v>261</v>
      </c>
      <c r="CR1963" s="4" t="s">
        <v>241</v>
      </c>
      <c r="CS1963" s="4" t="s">
        <v>241</v>
      </c>
      <c r="CT1963" s="4">
        <v>0</v>
      </c>
      <c r="CU1963" s="4" t="s">
        <v>262</v>
      </c>
      <c r="CV1963" s="4" t="s">
        <v>263</v>
      </c>
      <c r="CW1963" s="4" t="s">
        <v>263</v>
      </c>
      <c r="CX1963" s="4" t="s">
        <v>264</v>
      </c>
      <c r="DA1963" s="6">
        <f>1</f>
        <v>1</v>
      </c>
      <c r="DC1963" s="4" t="s">
        <v>325</v>
      </c>
      <c r="DD1963" s="4" t="s">
        <v>241</v>
      </c>
      <c r="DF1963" s="4" t="s">
        <v>325</v>
      </c>
      <c r="DG1963" s="6">
        <f>765</f>
        <v>765</v>
      </c>
      <c r="DI1963" s="4" t="s">
        <v>241</v>
      </c>
      <c r="DJ1963" s="4" t="s">
        <v>241</v>
      </c>
      <c r="DK1963" s="4" t="s">
        <v>241</v>
      </c>
      <c r="DL1963" s="4" t="s">
        <v>241</v>
      </c>
      <c r="DP1963" s="4" t="s">
        <v>241</v>
      </c>
      <c r="DQ1963" s="4" t="s">
        <v>241</v>
      </c>
      <c r="DR1963" s="4" t="s">
        <v>241</v>
      </c>
      <c r="DS1963" s="4" t="s">
        <v>241</v>
      </c>
      <c r="DV1963" s="4" t="s">
        <v>426</v>
      </c>
      <c r="DW1963" s="4" t="s">
        <v>1723</v>
      </c>
      <c r="HO1963" s="4" t="s">
        <v>267</v>
      </c>
    </row>
    <row r="1964" spans="1:223" ht="19.5" customHeight="1" x14ac:dyDescent="0.4">
      <c r="A1964" s="4">
        <v>1</v>
      </c>
      <c r="B1964" s="4" t="s">
        <v>239</v>
      </c>
      <c r="C1964" s="4">
        <v>3667</v>
      </c>
      <c r="D1964" s="4">
        <v>1</v>
      </c>
      <c r="E1964" s="4">
        <v>1</v>
      </c>
      <c r="F1964" s="4" t="s">
        <v>268</v>
      </c>
      <c r="G1964" s="4" t="s">
        <v>241</v>
      </c>
      <c r="H1964" s="4" t="s">
        <v>241</v>
      </c>
      <c r="I1964" s="4" t="s">
        <v>424</v>
      </c>
      <c r="J1964" s="4" t="s">
        <v>274</v>
      </c>
      <c r="K1964" s="4" t="s">
        <v>251</v>
      </c>
      <c r="L1964" s="4" t="s">
        <v>423</v>
      </c>
      <c r="M1964" s="5" t="s">
        <v>3883</v>
      </c>
      <c r="N1964" s="6">
        <f>395</f>
        <v>395</v>
      </c>
      <c r="O1964" s="4" t="s">
        <v>265</v>
      </c>
      <c r="P1964" s="6">
        <f>1</f>
        <v>1</v>
      </c>
      <c r="Q1964" s="6">
        <f>0</f>
        <v>0</v>
      </c>
      <c r="S1964" s="6">
        <f>0</f>
        <v>0</v>
      </c>
      <c r="T1964" s="6">
        <f>1</f>
        <v>1</v>
      </c>
      <c r="U1964" s="5" t="s">
        <v>245</v>
      </c>
      <c r="V1964" s="4" t="s">
        <v>270</v>
      </c>
      <c r="W1964" s="4" t="s">
        <v>271</v>
      </c>
      <c r="X1964" s="4" t="s">
        <v>273</v>
      </c>
      <c r="Y1964" s="4" t="s">
        <v>241</v>
      </c>
      <c r="AB1964" s="4" t="s">
        <v>241</v>
      </c>
      <c r="AD1964" s="5" t="s">
        <v>241</v>
      </c>
      <c r="AG1964" s="5" t="s">
        <v>246</v>
      </c>
      <c r="AH1964" s="4" t="s">
        <v>241</v>
      </c>
      <c r="AI1964" s="4" t="s">
        <v>247</v>
      </c>
      <c r="AJ1964" s="4" t="s">
        <v>248</v>
      </c>
      <c r="AZ1964" s="4" t="s">
        <v>249</v>
      </c>
      <c r="BA1964" s="4" t="s">
        <v>241</v>
      </c>
      <c r="BB1964" s="4" t="s">
        <v>250</v>
      </c>
      <c r="BC1964" s="4" t="s">
        <v>241</v>
      </c>
      <c r="BD1964" s="4" t="s">
        <v>252</v>
      </c>
      <c r="BE1964" s="4" t="s">
        <v>241</v>
      </c>
      <c r="BI1964" s="4" t="s">
        <v>253</v>
      </c>
      <c r="BJ1964" s="5" t="s">
        <v>246</v>
      </c>
      <c r="BK1964" s="4" t="s">
        <v>254</v>
      </c>
      <c r="BL1964" s="4" t="s">
        <v>255</v>
      </c>
      <c r="BM1964" s="4" t="s">
        <v>241</v>
      </c>
      <c r="BN1964" s="6">
        <f>0</f>
        <v>0</v>
      </c>
      <c r="BO1964" s="6">
        <f>0</f>
        <v>0</v>
      </c>
      <c r="BP1964" s="4" t="s">
        <v>256</v>
      </c>
      <c r="BQ1964" s="4" t="s">
        <v>257</v>
      </c>
      <c r="CE1964" s="4" t="s">
        <v>241</v>
      </c>
      <c r="CF1964" s="4" t="s">
        <v>241</v>
      </c>
      <c r="CJ1964" s="4" t="s">
        <v>276</v>
      </c>
      <c r="CK1964" s="4" t="s">
        <v>259</v>
      </c>
      <c r="CL1964" s="4" t="s">
        <v>241</v>
      </c>
      <c r="CO1964" s="5" t="s">
        <v>260</v>
      </c>
      <c r="CP1964" s="4" t="s">
        <v>241</v>
      </c>
      <c r="CQ1964" s="4" t="s">
        <v>261</v>
      </c>
      <c r="CR1964" s="4" t="s">
        <v>241</v>
      </c>
      <c r="CS1964" s="4" t="s">
        <v>241</v>
      </c>
      <c r="CT1964" s="4">
        <v>0</v>
      </c>
      <c r="CU1964" s="4" t="s">
        <v>262</v>
      </c>
      <c r="CV1964" s="4" t="s">
        <v>263</v>
      </c>
      <c r="CW1964" s="4" t="s">
        <v>263</v>
      </c>
      <c r="CX1964" s="4" t="s">
        <v>264</v>
      </c>
      <c r="DA1964" s="6">
        <f>1</f>
        <v>1</v>
      </c>
      <c r="DC1964" s="4" t="s">
        <v>325</v>
      </c>
      <c r="DD1964" s="4" t="s">
        <v>241</v>
      </c>
      <c r="DF1964" s="4" t="s">
        <v>325</v>
      </c>
      <c r="DG1964" s="6">
        <f>395</f>
        <v>395</v>
      </c>
      <c r="DI1964" s="4" t="s">
        <v>241</v>
      </c>
      <c r="DJ1964" s="4" t="s">
        <v>241</v>
      </c>
      <c r="DK1964" s="4" t="s">
        <v>241</v>
      </c>
      <c r="DL1964" s="4" t="s">
        <v>241</v>
      </c>
      <c r="DP1964" s="4" t="s">
        <v>241</v>
      </c>
      <c r="DQ1964" s="4" t="s">
        <v>241</v>
      </c>
      <c r="DR1964" s="4" t="s">
        <v>241</v>
      </c>
      <c r="DS1964" s="4" t="s">
        <v>241</v>
      </c>
      <c r="DV1964" s="4" t="s">
        <v>426</v>
      </c>
      <c r="DW1964" s="4" t="s">
        <v>1721</v>
      </c>
      <c r="HO1964" s="4" t="s">
        <v>267</v>
      </c>
    </row>
    <row r="1965" spans="1:223" ht="19.5" customHeight="1" x14ac:dyDescent="0.4">
      <c r="A1965" s="4">
        <v>1</v>
      </c>
      <c r="B1965" s="4" t="s">
        <v>239</v>
      </c>
      <c r="C1965" s="4">
        <v>3668</v>
      </c>
      <c r="D1965" s="4">
        <v>1</v>
      </c>
      <c r="E1965" s="4">
        <v>1</v>
      </c>
      <c r="F1965" s="4" t="s">
        <v>268</v>
      </c>
      <c r="G1965" s="4" t="s">
        <v>241</v>
      </c>
      <c r="H1965" s="4" t="s">
        <v>241</v>
      </c>
      <c r="I1965" s="4" t="s">
        <v>424</v>
      </c>
      <c r="J1965" s="4" t="s">
        <v>274</v>
      </c>
      <c r="K1965" s="4" t="s">
        <v>251</v>
      </c>
      <c r="L1965" s="4" t="s">
        <v>423</v>
      </c>
      <c r="M1965" s="5" t="s">
        <v>4913</v>
      </c>
      <c r="N1965" s="6">
        <f>2638</f>
        <v>2638</v>
      </c>
      <c r="O1965" s="4" t="s">
        <v>265</v>
      </c>
      <c r="P1965" s="6">
        <f>1</f>
        <v>1</v>
      </c>
      <c r="Q1965" s="6">
        <f>0</f>
        <v>0</v>
      </c>
      <c r="S1965" s="6">
        <f>0</f>
        <v>0</v>
      </c>
      <c r="T1965" s="6">
        <f>1</f>
        <v>1</v>
      </c>
      <c r="U1965" s="5" t="s">
        <v>245</v>
      </c>
      <c r="V1965" s="4" t="s">
        <v>270</v>
      </c>
      <c r="W1965" s="4" t="s">
        <v>271</v>
      </c>
      <c r="X1965" s="4" t="s">
        <v>273</v>
      </c>
      <c r="Y1965" s="4" t="s">
        <v>241</v>
      </c>
      <c r="AB1965" s="4" t="s">
        <v>241</v>
      </c>
      <c r="AD1965" s="5" t="s">
        <v>241</v>
      </c>
      <c r="AG1965" s="5" t="s">
        <v>246</v>
      </c>
      <c r="AH1965" s="4" t="s">
        <v>241</v>
      </c>
      <c r="AI1965" s="4" t="s">
        <v>247</v>
      </c>
      <c r="AJ1965" s="4" t="s">
        <v>248</v>
      </c>
      <c r="AZ1965" s="4" t="s">
        <v>249</v>
      </c>
      <c r="BA1965" s="4" t="s">
        <v>241</v>
      </c>
      <c r="BB1965" s="4" t="s">
        <v>250</v>
      </c>
      <c r="BC1965" s="4" t="s">
        <v>241</v>
      </c>
      <c r="BD1965" s="4" t="s">
        <v>252</v>
      </c>
      <c r="BE1965" s="4" t="s">
        <v>241</v>
      </c>
      <c r="BI1965" s="4" t="s">
        <v>253</v>
      </c>
      <c r="BJ1965" s="5" t="s">
        <v>246</v>
      </c>
      <c r="BK1965" s="4" t="s">
        <v>254</v>
      </c>
      <c r="BL1965" s="4" t="s">
        <v>255</v>
      </c>
      <c r="BM1965" s="4" t="s">
        <v>241</v>
      </c>
      <c r="BN1965" s="6">
        <f>0</f>
        <v>0</v>
      </c>
      <c r="BO1965" s="6">
        <f>0</f>
        <v>0</v>
      </c>
      <c r="BP1965" s="4" t="s">
        <v>256</v>
      </c>
      <c r="BQ1965" s="4" t="s">
        <v>257</v>
      </c>
      <c r="CE1965" s="4" t="s">
        <v>241</v>
      </c>
      <c r="CF1965" s="4" t="s">
        <v>241</v>
      </c>
      <c r="CJ1965" s="4" t="s">
        <v>276</v>
      </c>
      <c r="CK1965" s="4" t="s">
        <v>259</v>
      </c>
      <c r="CL1965" s="4" t="s">
        <v>241</v>
      </c>
      <c r="CO1965" s="5" t="s">
        <v>260</v>
      </c>
      <c r="CP1965" s="4" t="s">
        <v>241</v>
      </c>
      <c r="CQ1965" s="4" t="s">
        <v>261</v>
      </c>
      <c r="CR1965" s="4" t="s">
        <v>241</v>
      </c>
      <c r="CS1965" s="4" t="s">
        <v>241</v>
      </c>
      <c r="CT1965" s="4">
        <v>0</v>
      </c>
      <c r="CU1965" s="4" t="s">
        <v>262</v>
      </c>
      <c r="CV1965" s="4" t="s">
        <v>263</v>
      </c>
      <c r="CW1965" s="4" t="s">
        <v>263</v>
      </c>
      <c r="CX1965" s="4" t="s">
        <v>264</v>
      </c>
      <c r="DA1965" s="6">
        <f>1</f>
        <v>1</v>
      </c>
      <c r="DC1965" s="4" t="s">
        <v>325</v>
      </c>
      <c r="DD1965" s="4" t="s">
        <v>241</v>
      </c>
      <c r="DF1965" s="4" t="s">
        <v>325</v>
      </c>
      <c r="DG1965" s="6">
        <f>2638</f>
        <v>2638</v>
      </c>
      <c r="DI1965" s="4" t="s">
        <v>241</v>
      </c>
      <c r="DJ1965" s="4" t="s">
        <v>241</v>
      </c>
      <c r="DK1965" s="4" t="s">
        <v>241</v>
      </c>
      <c r="DL1965" s="4" t="s">
        <v>241</v>
      </c>
      <c r="DP1965" s="4" t="s">
        <v>241</v>
      </c>
      <c r="DQ1965" s="4" t="s">
        <v>241</v>
      </c>
      <c r="DR1965" s="4" t="s">
        <v>241</v>
      </c>
      <c r="DS1965" s="4" t="s">
        <v>241</v>
      </c>
      <c r="DV1965" s="4" t="s">
        <v>426</v>
      </c>
      <c r="DW1965" s="4" t="s">
        <v>1719</v>
      </c>
      <c r="HO1965" s="4" t="s">
        <v>267</v>
      </c>
    </row>
    <row r="1966" spans="1:223" ht="19.5" customHeight="1" x14ac:dyDescent="0.4">
      <c r="A1966" s="4">
        <v>1</v>
      </c>
      <c r="B1966" s="4" t="s">
        <v>239</v>
      </c>
      <c r="C1966" s="4">
        <v>3669</v>
      </c>
      <c r="D1966" s="4">
        <v>1</v>
      </c>
      <c r="E1966" s="4">
        <v>1</v>
      </c>
      <c r="F1966" s="4" t="s">
        <v>268</v>
      </c>
      <c r="G1966" s="4" t="s">
        <v>241</v>
      </c>
      <c r="H1966" s="4" t="s">
        <v>241</v>
      </c>
      <c r="I1966" s="4" t="s">
        <v>424</v>
      </c>
      <c r="J1966" s="4" t="s">
        <v>274</v>
      </c>
      <c r="K1966" s="4" t="s">
        <v>251</v>
      </c>
      <c r="L1966" s="4" t="s">
        <v>423</v>
      </c>
      <c r="M1966" s="5" t="s">
        <v>4685</v>
      </c>
      <c r="N1966" s="6">
        <f>415</f>
        <v>415</v>
      </c>
      <c r="O1966" s="4" t="s">
        <v>265</v>
      </c>
      <c r="P1966" s="6">
        <f>1</f>
        <v>1</v>
      </c>
      <c r="Q1966" s="6">
        <f>0</f>
        <v>0</v>
      </c>
      <c r="S1966" s="6">
        <f>0</f>
        <v>0</v>
      </c>
      <c r="T1966" s="6">
        <f>1</f>
        <v>1</v>
      </c>
      <c r="U1966" s="5" t="s">
        <v>245</v>
      </c>
      <c r="V1966" s="4" t="s">
        <v>270</v>
      </c>
      <c r="W1966" s="4" t="s">
        <v>271</v>
      </c>
      <c r="X1966" s="4" t="s">
        <v>273</v>
      </c>
      <c r="Y1966" s="4" t="s">
        <v>241</v>
      </c>
      <c r="AB1966" s="4" t="s">
        <v>241</v>
      </c>
      <c r="AD1966" s="5" t="s">
        <v>241</v>
      </c>
      <c r="AG1966" s="5" t="s">
        <v>246</v>
      </c>
      <c r="AH1966" s="4" t="s">
        <v>241</v>
      </c>
      <c r="AI1966" s="4" t="s">
        <v>247</v>
      </c>
      <c r="AJ1966" s="4" t="s">
        <v>248</v>
      </c>
      <c r="AZ1966" s="4" t="s">
        <v>249</v>
      </c>
      <c r="BA1966" s="4" t="s">
        <v>241</v>
      </c>
      <c r="BB1966" s="4" t="s">
        <v>250</v>
      </c>
      <c r="BC1966" s="4" t="s">
        <v>241</v>
      </c>
      <c r="BD1966" s="4" t="s">
        <v>252</v>
      </c>
      <c r="BE1966" s="4" t="s">
        <v>241</v>
      </c>
      <c r="BI1966" s="4" t="s">
        <v>253</v>
      </c>
      <c r="BJ1966" s="5" t="s">
        <v>246</v>
      </c>
      <c r="BK1966" s="4" t="s">
        <v>254</v>
      </c>
      <c r="BL1966" s="4" t="s">
        <v>255</v>
      </c>
      <c r="BM1966" s="4" t="s">
        <v>241</v>
      </c>
      <c r="BN1966" s="6">
        <f>0</f>
        <v>0</v>
      </c>
      <c r="BO1966" s="6">
        <f>0</f>
        <v>0</v>
      </c>
      <c r="BP1966" s="4" t="s">
        <v>256</v>
      </c>
      <c r="BQ1966" s="4" t="s">
        <v>257</v>
      </c>
      <c r="CE1966" s="4" t="s">
        <v>241</v>
      </c>
      <c r="CF1966" s="4" t="s">
        <v>241</v>
      </c>
      <c r="CJ1966" s="4" t="s">
        <v>276</v>
      </c>
      <c r="CK1966" s="4" t="s">
        <v>259</v>
      </c>
      <c r="CL1966" s="4" t="s">
        <v>241</v>
      </c>
      <c r="CO1966" s="5" t="s">
        <v>260</v>
      </c>
      <c r="CP1966" s="4" t="s">
        <v>241</v>
      </c>
      <c r="CQ1966" s="4" t="s">
        <v>261</v>
      </c>
      <c r="CR1966" s="4" t="s">
        <v>241</v>
      </c>
      <c r="CS1966" s="4" t="s">
        <v>241</v>
      </c>
      <c r="CT1966" s="4">
        <v>0</v>
      </c>
      <c r="CU1966" s="4" t="s">
        <v>262</v>
      </c>
      <c r="CV1966" s="4" t="s">
        <v>263</v>
      </c>
      <c r="CW1966" s="4" t="s">
        <v>263</v>
      </c>
      <c r="CX1966" s="4" t="s">
        <v>264</v>
      </c>
      <c r="DA1966" s="6">
        <f>1</f>
        <v>1</v>
      </c>
      <c r="DC1966" s="4" t="s">
        <v>325</v>
      </c>
      <c r="DD1966" s="4" t="s">
        <v>241</v>
      </c>
      <c r="DF1966" s="4" t="s">
        <v>325</v>
      </c>
      <c r="DG1966" s="6">
        <f>415</f>
        <v>415</v>
      </c>
      <c r="DI1966" s="4" t="s">
        <v>241</v>
      </c>
      <c r="DJ1966" s="4" t="s">
        <v>241</v>
      </c>
      <c r="DK1966" s="4" t="s">
        <v>241</v>
      </c>
      <c r="DL1966" s="4" t="s">
        <v>241</v>
      </c>
      <c r="DP1966" s="4" t="s">
        <v>241</v>
      </c>
      <c r="DQ1966" s="4" t="s">
        <v>241</v>
      </c>
      <c r="DR1966" s="4" t="s">
        <v>241</v>
      </c>
      <c r="DS1966" s="4" t="s">
        <v>241</v>
      </c>
      <c r="DV1966" s="4" t="s">
        <v>426</v>
      </c>
      <c r="DW1966" s="4" t="s">
        <v>1715</v>
      </c>
      <c r="HO1966" s="4" t="s">
        <v>267</v>
      </c>
    </row>
    <row r="1967" spans="1:223" ht="19.5" customHeight="1" x14ac:dyDescent="0.4">
      <c r="A1967" s="4">
        <v>1</v>
      </c>
      <c r="B1967" s="4" t="s">
        <v>239</v>
      </c>
      <c r="C1967" s="4">
        <v>3670</v>
      </c>
      <c r="D1967" s="4">
        <v>1</v>
      </c>
      <c r="E1967" s="4">
        <v>1</v>
      </c>
      <c r="F1967" s="4" t="s">
        <v>268</v>
      </c>
      <c r="G1967" s="4" t="s">
        <v>241</v>
      </c>
      <c r="H1967" s="4" t="s">
        <v>241</v>
      </c>
      <c r="I1967" s="4" t="s">
        <v>424</v>
      </c>
      <c r="J1967" s="4" t="s">
        <v>274</v>
      </c>
      <c r="K1967" s="4" t="s">
        <v>251</v>
      </c>
      <c r="L1967" s="4" t="s">
        <v>423</v>
      </c>
      <c r="M1967" s="5" t="s">
        <v>3888</v>
      </c>
      <c r="N1967" s="6">
        <f>2385</f>
        <v>2385</v>
      </c>
      <c r="O1967" s="4" t="s">
        <v>265</v>
      </c>
      <c r="P1967" s="6">
        <f>1</f>
        <v>1</v>
      </c>
      <c r="Q1967" s="6">
        <f>0</f>
        <v>0</v>
      </c>
      <c r="S1967" s="6">
        <f>0</f>
        <v>0</v>
      </c>
      <c r="T1967" s="6">
        <f>1</f>
        <v>1</v>
      </c>
      <c r="U1967" s="5" t="s">
        <v>245</v>
      </c>
      <c r="V1967" s="4" t="s">
        <v>270</v>
      </c>
      <c r="W1967" s="4" t="s">
        <v>271</v>
      </c>
      <c r="X1967" s="4" t="s">
        <v>273</v>
      </c>
      <c r="Y1967" s="4" t="s">
        <v>241</v>
      </c>
      <c r="AB1967" s="4" t="s">
        <v>241</v>
      </c>
      <c r="AD1967" s="5" t="s">
        <v>241</v>
      </c>
      <c r="AG1967" s="5" t="s">
        <v>246</v>
      </c>
      <c r="AH1967" s="4" t="s">
        <v>241</v>
      </c>
      <c r="AI1967" s="4" t="s">
        <v>247</v>
      </c>
      <c r="AJ1967" s="4" t="s">
        <v>248</v>
      </c>
      <c r="AZ1967" s="4" t="s">
        <v>249</v>
      </c>
      <c r="BA1967" s="4" t="s">
        <v>241</v>
      </c>
      <c r="BB1967" s="4" t="s">
        <v>250</v>
      </c>
      <c r="BC1967" s="4" t="s">
        <v>241</v>
      </c>
      <c r="BD1967" s="4" t="s">
        <v>252</v>
      </c>
      <c r="BE1967" s="4" t="s">
        <v>241</v>
      </c>
      <c r="BI1967" s="4" t="s">
        <v>253</v>
      </c>
      <c r="BJ1967" s="5" t="s">
        <v>246</v>
      </c>
      <c r="BK1967" s="4" t="s">
        <v>254</v>
      </c>
      <c r="BL1967" s="4" t="s">
        <v>255</v>
      </c>
      <c r="BM1967" s="4" t="s">
        <v>241</v>
      </c>
      <c r="BN1967" s="6">
        <f>0</f>
        <v>0</v>
      </c>
      <c r="BO1967" s="6">
        <f>0</f>
        <v>0</v>
      </c>
      <c r="BP1967" s="4" t="s">
        <v>256</v>
      </c>
      <c r="BQ1967" s="4" t="s">
        <v>257</v>
      </c>
      <c r="CE1967" s="4" t="s">
        <v>241</v>
      </c>
      <c r="CF1967" s="4" t="s">
        <v>241</v>
      </c>
      <c r="CJ1967" s="4" t="s">
        <v>276</v>
      </c>
      <c r="CK1967" s="4" t="s">
        <v>259</v>
      </c>
      <c r="CL1967" s="4" t="s">
        <v>241</v>
      </c>
      <c r="CO1967" s="5" t="s">
        <v>260</v>
      </c>
      <c r="CP1967" s="4" t="s">
        <v>241</v>
      </c>
      <c r="CQ1967" s="4" t="s">
        <v>261</v>
      </c>
      <c r="CR1967" s="4" t="s">
        <v>241</v>
      </c>
      <c r="CS1967" s="4" t="s">
        <v>241</v>
      </c>
      <c r="CT1967" s="4">
        <v>0</v>
      </c>
      <c r="CU1967" s="4" t="s">
        <v>262</v>
      </c>
      <c r="CV1967" s="4" t="s">
        <v>263</v>
      </c>
      <c r="CW1967" s="4" t="s">
        <v>263</v>
      </c>
      <c r="CX1967" s="4" t="s">
        <v>264</v>
      </c>
      <c r="DA1967" s="6">
        <f>1</f>
        <v>1</v>
      </c>
      <c r="DC1967" s="4" t="s">
        <v>325</v>
      </c>
      <c r="DD1967" s="4" t="s">
        <v>241</v>
      </c>
      <c r="DF1967" s="4" t="s">
        <v>325</v>
      </c>
      <c r="DG1967" s="6">
        <f>2385</f>
        <v>2385</v>
      </c>
      <c r="DI1967" s="4" t="s">
        <v>241</v>
      </c>
      <c r="DJ1967" s="4" t="s">
        <v>241</v>
      </c>
      <c r="DK1967" s="4" t="s">
        <v>241</v>
      </c>
      <c r="DL1967" s="4" t="s">
        <v>241</v>
      </c>
      <c r="DP1967" s="4" t="s">
        <v>241</v>
      </c>
      <c r="DQ1967" s="4" t="s">
        <v>241</v>
      </c>
      <c r="DR1967" s="4" t="s">
        <v>241</v>
      </c>
      <c r="DS1967" s="4" t="s">
        <v>241</v>
      </c>
      <c r="DV1967" s="4" t="s">
        <v>426</v>
      </c>
      <c r="DW1967" s="4" t="s">
        <v>1713</v>
      </c>
      <c r="HO1967" s="4" t="s">
        <v>267</v>
      </c>
    </row>
    <row r="1968" spans="1:223" ht="19.5" customHeight="1" x14ac:dyDescent="0.4">
      <c r="A1968" s="4">
        <v>1</v>
      </c>
      <c r="B1968" s="4" t="s">
        <v>239</v>
      </c>
      <c r="C1968" s="4">
        <v>3671</v>
      </c>
      <c r="D1968" s="4">
        <v>1</v>
      </c>
      <c r="E1968" s="4">
        <v>1</v>
      </c>
      <c r="F1968" s="4" t="s">
        <v>268</v>
      </c>
      <c r="G1968" s="4" t="s">
        <v>241</v>
      </c>
      <c r="H1968" s="4" t="s">
        <v>241</v>
      </c>
      <c r="I1968" s="4" t="s">
        <v>424</v>
      </c>
      <c r="J1968" s="4" t="s">
        <v>274</v>
      </c>
      <c r="K1968" s="4" t="s">
        <v>251</v>
      </c>
      <c r="L1968" s="4" t="s">
        <v>423</v>
      </c>
      <c r="M1968" s="5" t="s">
        <v>3436</v>
      </c>
      <c r="N1968" s="6">
        <f>4070</f>
        <v>4070</v>
      </c>
      <c r="O1968" s="4" t="s">
        <v>265</v>
      </c>
      <c r="P1968" s="6">
        <f>1</f>
        <v>1</v>
      </c>
      <c r="Q1968" s="6">
        <f>0</f>
        <v>0</v>
      </c>
      <c r="S1968" s="6">
        <f>0</f>
        <v>0</v>
      </c>
      <c r="T1968" s="6">
        <f>1</f>
        <v>1</v>
      </c>
      <c r="U1968" s="5" t="s">
        <v>245</v>
      </c>
      <c r="V1968" s="4" t="s">
        <v>270</v>
      </c>
      <c r="W1968" s="4" t="s">
        <v>271</v>
      </c>
      <c r="X1968" s="4" t="s">
        <v>273</v>
      </c>
      <c r="Y1968" s="4" t="s">
        <v>241</v>
      </c>
      <c r="AB1968" s="4" t="s">
        <v>241</v>
      </c>
      <c r="AD1968" s="5" t="s">
        <v>241</v>
      </c>
      <c r="AG1968" s="5" t="s">
        <v>246</v>
      </c>
      <c r="AH1968" s="4" t="s">
        <v>241</v>
      </c>
      <c r="AI1968" s="4" t="s">
        <v>247</v>
      </c>
      <c r="AJ1968" s="4" t="s">
        <v>248</v>
      </c>
      <c r="AZ1968" s="4" t="s">
        <v>249</v>
      </c>
      <c r="BA1968" s="4" t="s">
        <v>241</v>
      </c>
      <c r="BB1968" s="4" t="s">
        <v>250</v>
      </c>
      <c r="BC1968" s="4" t="s">
        <v>241</v>
      </c>
      <c r="BD1968" s="4" t="s">
        <v>252</v>
      </c>
      <c r="BE1968" s="4" t="s">
        <v>241</v>
      </c>
      <c r="BI1968" s="4" t="s">
        <v>253</v>
      </c>
      <c r="BJ1968" s="5" t="s">
        <v>246</v>
      </c>
      <c r="BK1968" s="4" t="s">
        <v>254</v>
      </c>
      <c r="BL1968" s="4" t="s">
        <v>255</v>
      </c>
      <c r="BM1968" s="4" t="s">
        <v>241</v>
      </c>
      <c r="BN1968" s="6">
        <f>0</f>
        <v>0</v>
      </c>
      <c r="BO1968" s="6">
        <f>0</f>
        <v>0</v>
      </c>
      <c r="BP1968" s="4" t="s">
        <v>256</v>
      </c>
      <c r="BQ1968" s="4" t="s">
        <v>257</v>
      </c>
      <c r="CE1968" s="4" t="s">
        <v>241</v>
      </c>
      <c r="CF1968" s="4" t="s">
        <v>241</v>
      </c>
      <c r="CJ1968" s="4" t="s">
        <v>276</v>
      </c>
      <c r="CK1968" s="4" t="s">
        <v>259</v>
      </c>
      <c r="CL1968" s="4" t="s">
        <v>241</v>
      </c>
      <c r="CO1968" s="5" t="s">
        <v>260</v>
      </c>
      <c r="CP1968" s="4" t="s">
        <v>241</v>
      </c>
      <c r="CQ1968" s="4" t="s">
        <v>261</v>
      </c>
      <c r="CR1968" s="4" t="s">
        <v>241</v>
      </c>
      <c r="CS1968" s="4" t="s">
        <v>241</v>
      </c>
      <c r="CT1968" s="4">
        <v>0</v>
      </c>
      <c r="CU1968" s="4" t="s">
        <v>262</v>
      </c>
      <c r="CV1968" s="4" t="s">
        <v>263</v>
      </c>
      <c r="CW1968" s="4" t="s">
        <v>263</v>
      </c>
      <c r="CX1968" s="4" t="s">
        <v>264</v>
      </c>
      <c r="DA1968" s="6">
        <f>1</f>
        <v>1</v>
      </c>
      <c r="DC1968" s="4" t="s">
        <v>325</v>
      </c>
      <c r="DD1968" s="4" t="s">
        <v>241</v>
      </c>
      <c r="DF1968" s="4" t="s">
        <v>325</v>
      </c>
      <c r="DG1968" s="6">
        <f>4070</f>
        <v>4070</v>
      </c>
      <c r="DI1968" s="4" t="s">
        <v>241</v>
      </c>
      <c r="DJ1968" s="4" t="s">
        <v>241</v>
      </c>
      <c r="DK1968" s="4" t="s">
        <v>241</v>
      </c>
      <c r="DL1968" s="4" t="s">
        <v>241</v>
      </c>
      <c r="DP1968" s="4" t="s">
        <v>241</v>
      </c>
      <c r="DQ1968" s="4" t="s">
        <v>241</v>
      </c>
      <c r="DR1968" s="4" t="s">
        <v>241</v>
      </c>
      <c r="DS1968" s="4" t="s">
        <v>241</v>
      </c>
      <c r="DV1968" s="4" t="s">
        <v>426</v>
      </c>
      <c r="DW1968" s="4" t="s">
        <v>1711</v>
      </c>
      <c r="HO1968" s="4" t="s">
        <v>267</v>
      </c>
    </row>
    <row r="1969" spans="1:223" ht="19.5" customHeight="1" x14ac:dyDescent="0.4">
      <c r="A1969" s="4">
        <v>1</v>
      </c>
      <c r="B1969" s="4" t="s">
        <v>239</v>
      </c>
      <c r="C1969" s="4">
        <v>3672</v>
      </c>
      <c r="D1969" s="4">
        <v>1</v>
      </c>
      <c r="E1969" s="4">
        <v>1</v>
      </c>
      <c r="F1969" s="4" t="s">
        <v>268</v>
      </c>
      <c r="G1969" s="4" t="s">
        <v>241</v>
      </c>
      <c r="H1969" s="4" t="s">
        <v>241</v>
      </c>
      <c r="I1969" s="4" t="s">
        <v>424</v>
      </c>
      <c r="J1969" s="4" t="s">
        <v>274</v>
      </c>
      <c r="K1969" s="4" t="s">
        <v>251</v>
      </c>
      <c r="L1969" s="4" t="s">
        <v>423</v>
      </c>
      <c r="M1969" s="5" t="s">
        <v>3890</v>
      </c>
      <c r="N1969" s="6">
        <f>3958</f>
        <v>3958</v>
      </c>
      <c r="O1969" s="4" t="s">
        <v>265</v>
      </c>
      <c r="P1969" s="6">
        <f>1</f>
        <v>1</v>
      </c>
      <c r="Q1969" s="6">
        <f>0</f>
        <v>0</v>
      </c>
      <c r="S1969" s="6">
        <f>0</f>
        <v>0</v>
      </c>
      <c r="T1969" s="6">
        <f>1</f>
        <v>1</v>
      </c>
      <c r="U1969" s="5" t="s">
        <v>245</v>
      </c>
      <c r="V1969" s="4" t="s">
        <v>270</v>
      </c>
      <c r="W1969" s="4" t="s">
        <v>271</v>
      </c>
      <c r="X1969" s="4" t="s">
        <v>273</v>
      </c>
      <c r="Y1969" s="4" t="s">
        <v>241</v>
      </c>
      <c r="AB1969" s="4" t="s">
        <v>241</v>
      </c>
      <c r="AD1969" s="5" t="s">
        <v>241</v>
      </c>
      <c r="AG1969" s="5" t="s">
        <v>246</v>
      </c>
      <c r="AH1969" s="4" t="s">
        <v>241</v>
      </c>
      <c r="AI1969" s="4" t="s">
        <v>247</v>
      </c>
      <c r="AJ1969" s="4" t="s">
        <v>248</v>
      </c>
      <c r="AZ1969" s="4" t="s">
        <v>249</v>
      </c>
      <c r="BA1969" s="4" t="s">
        <v>241</v>
      </c>
      <c r="BB1969" s="4" t="s">
        <v>250</v>
      </c>
      <c r="BC1969" s="4" t="s">
        <v>241</v>
      </c>
      <c r="BD1969" s="4" t="s">
        <v>252</v>
      </c>
      <c r="BE1969" s="4" t="s">
        <v>241</v>
      </c>
      <c r="BI1969" s="4" t="s">
        <v>253</v>
      </c>
      <c r="BJ1969" s="5" t="s">
        <v>246</v>
      </c>
      <c r="BK1969" s="4" t="s">
        <v>254</v>
      </c>
      <c r="BL1969" s="4" t="s">
        <v>255</v>
      </c>
      <c r="BM1969" s="4" t="s">
        <v>241</v>
      </c>
      <c r="BN1969" s="6">
        <f>0</f>
        <v>0</v>
      </c>
      <c r="BO1969" s="6">
        <f>0</f>
        <v>0</v>
      </c>
      <c r="BP1969" s="4" t="s">
        <v>256</v>
      </c>
      <c r="BQ1969" s="4" t="s">
        <v>257</v>
      </c>
      <c r="CE1969" s="4" t="s">
        <v>241</v>
      </c>
      <c r="CF1969" s="4" t="s">
        <v>241</v>
      </c>
      <c r="CJ1969" s="4" t="s">
        <v>276</v>
      </c>
      <c r="CK1969" s="4" t="s">
        <v>259</v>
      </c>
      <c r="CL1969" s="4" t="s">
        <v>241</v>
      </c>
      <c r="CO1969" s="5" t="s">
        <v>260</v>
      </c>
      <c r="CP1969" s="4" t="s">
        <v>241</v>
      </c>
      <c r="CQ1969" s="4" t="s">
        <v>261</v>
      </c>
      <c r="CR1969" s="4" t="s">
        <v>241</v>
      </c>
      <c r="CS1969" s="4" t="s">
        <v>241</v>
      </c>
      <c r="CT1969" s="4">
        <v>0</v>
      </c>
      <c r="CU1969" s="4" t="s">
        <v>262</v>
      </c>
      <c r="CV1969" s="4" t="s">
        <v>263</v>
      </c>
      <c r="CW1969" s="4" t="s">
        <v>263</v>
      </c>
      <c r="CX1969" s="4" t="s">
        <v>264</v>
      </c>
      <c r="DA1969" s="6">
        <f>1</f>
        <v>1</v>
      </c>
      <c r="DC1969" s="4" t="s">
        <v>325</v>
      </c>
      <c r="DD1969" s="4" t="s">
        <v>241</v>
      </c>
      <c r="DF1969" s="4" t="s">
        <v>325</v>
      </c>
      <c r="DG1969" s="6">
        <f>3958</f>
        <v>3958</v>
      </c>
      <c r="DI1969" s="4" t="s">
        <v>241</v>
      </c>
      <c r="DJ1969" s="4" t="s">
        <v>241</v>
      </c>
      <c r="DK1969" s="4" t="s">
        <v>241</v>
      </c>
      <c r="DL1969" s="4" t="s">
        <v>241</v>
      </c>
      <c r="DP1969" s="4" t="s">
        <v>241</v>
      </c>
      <c r="DQ1969" s="4" t="s">
        <v>241</v>
      </c>
      <c r="DR1969" s="4" t="s">
        <v>241</v>
      </c>
      <c r="DS1969" s="4" t="s">
        <v>241</v>
      </c>
      <c r="DV1969" s="4" t="s">
        <v>426</v>
      </c>
      <c r="DW1969" s="4" t="s">
        <v>1709</v>
      </c>
      <c r="HO1969" s="4" t="s">
        <v>267</v>
      </c>
    </row>
    <row r="1970" spans="1:223" ht="19.5" customHeight="1" x14ac:dyDescent="0.4">
      <c r="A1970" s="4">
        <v>1</v>
      </c>
      <c r="B1970" s="4" t="s">
        <v>239</v>
      </c>
      <c r="C1970" s="4">
        <v>3673</v>
      </c>
      <c r="D1970" s="4">
        <v>1</v>
      </c>
      <c r="E1970" s="4">
        <v>1</v>
      </c>
      <c r="F1970" s="4" t="s">
        <v>268</v>
      </c>
      <c r="G1970" s="4" t="s">
        <v>241</v>
      </c>
      <c r="H1970" s="4" t="s">
        <v>241</v>
      </c>
      <c r="I1970" s="4" t="s">
        <v>424</v>
      </c>
      <c r="J1970" s="4" t="s">
        <v>274</v>
      </c>
      <c r="K1970" s="4" t="s">
        <v>251</v>
      </c>
      <c r="L1970" s="4" t="s">
        <v>423</v>
      </c>
      <c r="M1970" s="5" t="s">
        <v>736</v>
      </c>
      <c r="N1970" s="6">
        <f>862</f>
        <v>862</v>
      </c>
      <c r="O1970" s="4" t="s">
        <v>265</v>
      </c>
      <c r="P1970" s="6">
        <f>1</f>
        <v>1</v>
      </c>
      <c r="Q1970" s="6">
        <f>0</f>
        <v>0</v>
      </c>
      <c r="S1970" s="6">
        <f>0</f>
        <v>0</v>
      </c>
      <c r="T1970" s="6">
        <f>1</f>
        <v>1</v>
      </c>
      <c r="U1970" s="5" t="s">
        <v>245</v>
      </c>
      <c r="V1970" s="4" t="s">
        <v>270</v>
      </c>
      <c r="W1970" s="4" t="s">
        <v>271</v>
      </c>
      <c r="X1970" s="4" t="s">
        <v>273</v>
      </c>
      <c r="Y1970" s="4" t="s">
        <v>241</v>
      </c>
      <c r="AB1970" s="4" t="s">
        <v>241</v>
      </c>
      <c r="AD1970" s="5" t="s">
        <v>241</v>
      </c>
      <c r="AG1970" s="5" t="s">
        <v>246</v>
      </c>
      <c r="AH1970" s="4" t="s">
        <v>241</v>
      </c>
      <c r="AI1970" s="4" t="s">
        <v>247</v>
      </c>
      <c r="AJ1970" s="4" t="s">
        <v>248</v>
      </c>
      <c r="AZ1970" s="4" t="s">
        <v>249</v>
      </c>
      <c r="BA1970" s="4" t="s">
        <v>241</v>
      </c>
      <c r="BB1970" s="4" t="s">
        <v>250</v>
      </c>
      <c r="BC1970" s="4" t="s">
        <v>241</v>
      </c>
      <c r="BD1970" s="4" t="s">
        <v>252</v>
      </c>
      <c r="BE1970" s="4" t="s">
        <v>241</v>
      </c>
      <c r="BI1970" s="4" t="s">
        <v>253</v>
      </c>
      <c r="BJ1970" s="5" t="s">
        <v>246</v>
      </c>
      <c r="BK1970" s="4" t="s">
        <v>254</v>
      </c>
      <c r="BL1970" s="4" t="s">
        <v>255</v>
      </c>
      <c r="BM1970" s="4" t="s">
        <v>241</v>
      </c>
      <c r="BN1970" s="6">
        <f>0</f>
        <v>0</v>
      </c>
      <c r="BO1970" s="6">
        <f>0</f>
        <v>0</v>
      </c>
      <c r="BP1970" s="4" t="s">
        <v>256</v>
      </c>
      <c r="BQ1970" s="4" t="s">
        <v>257</v>
      </c>
      <c r="CE1970" s="4" t="s">
        <v>241</v>
      </c>
      <c r="CF1970" s="4" t="s">
        <v>241</v>
      </c>
      <c r="CJ1970" s="4" t="s">
        <v>276</v>
      </c>
      <c r="CK1970" s="4" t="s">
        <v>259</v>
      </c>
      <c r="CL1970" s="4" t="s">
        <v>241</v>
      </c>
      <c r="CO1970" s="5" t="s">
        <v>260</v>
      </c>
      <c r="CP1970" s="4" t="s">
        <v>241</v>
      </c>
      <c r="CQ1970" s="4" t="s">
        <v>261</v>
      </c>
      <c r="CR1970" s="4" t="s">
        <v>241</v>
      </c>
      <c r="CS1970" s="4" t="s">
        <v>241</v>
      </c>
      <c r="CT1970" s="4">
        <v>0</v>
      </c>
      <c r="CU1970" s="4" t="s">
        <v>262</v>
      </c>
      <c r="CV1970" s="4" t="s">
        <v>263</v>
      </c>
      <c r="CW1970" s="4" t="s">
        <v>263</v>
      </c>
      <c r="CX1970" s="4" t="s">
        <v>264</v>
      </c>
      <c r="DA1970" s="6">
        <f>1</f>
        <v>1</v>
      </c>
      <c r="DC1970" s="4" t="s">
        <v>325</v>
      </c>
      <c r="DD1970" s="4" t="s">
        <v>241</v>
      </c>
      <c r="DF1970" s="4" t="s">
        <v>325</v>
      </c>
      <c r="DG1970" s="6">
        <f>862</f>
        <v>862</v>
      </c>
      <c r="DI1970" s="4" t="s">
        <v>241</v>
      </c>
      <c r="DJ1970" s="4" t="s">
        <v>241</v>
      </c>
      <c r="DK1970" s="4" t="s">
        <v>241</v>
      </c>
      <c r="DL1970" s="4" t="s">
        <v>241</v>
      </c>
      <c r="DP1970" s="4" t="s">
        <v>241</v>
      </c>
      <c r="DQ1970" s="4" t="s">
        <v>241</v>
      </c>
      <c r="DR1970" s="4" t="s">
        <v>241</v>
      </c>
      <c r="DS1970" s="4" t="s">
        <v>241</v>
      </c>
      <c r="DV1970" s="4" t="s">
        <v>426</v>
      </c>
      <c r="DW1970" s="4" t="s">
        <v>737</v>
      </c>
      <c r="HO1970" s="4" t="s">
        <v>267</v>
      </c>
    </row>
    <row r="1971" spans="1:223" ht="19.5" customHeight="1" x14ac:dyDescent="0.4">
      <c r="A1971" s="4">
        <v>1</v>
      </c>
      <c r="B1971" s="4" t="s">
        <v>239</v>
      </c>
      <c r="C1971" s="4">
        <v>3674</v>
      </c>
      <c r="D1971" s="4">
        <v>1</v>
      </c>
      <c r="E1971" s="4">
        <v>1</v>
      </c>
      <c r="F1971" s="4" t="s">
        <v>268</v>
      </c>
      <c r="G1971" s="4" t="s">
        <v>241</v>
      </c>
      <c r="H1971" s="4" t="s">
        <v>241</v>
      </c>
      <c r="I1971" s="4" t="s">
        <v>424</v>
      </c>
      <c r="J1971" s="4" t="s">
        <v>274</v>
      </c>
      <c r="K1971" s="4" t="s">
        <v>251</v>
      </c>
      <c r="L1971" s="4" t="s">
        <v>423</v>
      </c>
      <c r="M1971" s="5" t="s">
        <v>3437</v>
      </c>
      <c r="N1971" s="6">
        <f>2463</f>
        <v>2463</v>
      </c>
      <c r="O1971" s="4" t="s">
        <v>265</v>
      </c>
      <c r="P1971" s="6">
        <f>1</f>
        <v>1</v>
      </c>
      <c r="Q1971" s="6">
        <f>0</f>
        <v>0</v>
      </c>
      <c r="S1971" s="6">
        <f>0</f>
        <v>0</v>
      </c>
      <c r="T1971" s="6">
        <f>1</f>
        <v>1</v>
      </c>
      <c r="U1971" s="5" t="s">
        <v>245</v>
      </c>
      <c r="V1971" s="4" t="s">
        <v>270</v>
      </c>
      <c r="W1971" s="4" t="s">
        <v>271</v>
      </c>
      <c r="X1971" s="4" t="s">
        <v>273</v>
      </c>
      <c r="Y1971" s="4" t="s">
        <v>241</v>
      </c>
      <c r="AB1971" s="4" t="s">
        <v>241</v>
      </c>
      <c r="AD1971" s="5" t="s">
        <v>241</v>
      </c>
      <c r="AG1971" s="5" t="s">
        <v>246</v>
      </c>
      <c r="AH1971" s="4" t="s">
        <v>241</v>
      </c>
      <c r="AI1971" s="4" t="s">
        <v>247</v>
      </c>
      <c r="AJ1971" s="4" t="s">
        <v>248</v>
      </c>
      <c r="AZ1971" s="4" t="s">
        <v>249</v>
      </c>
      <c r="BA1971" s="4" t="s">
        <v>241</v>
      </c>
      <c r="BB1971" s="4" t="s">
        <v>250</v>
      </c>
      <c r="BC1971" s="4" t="s">
        <v>241</v>
      </c>
      <c r="BD1971" s="4" t="s">
        <v>252</v>
      </c>
      <c r="BE1971" s="4" t="s">
        <v>241</v>
      </c>
      <c r="BI1971" s="4" t="s">
        <v>253</v>
      </c>
      <c r="BJ1971" s="5" t="s">
        <v>246</v>
      </c>
      <c r="BK1971" s="4" t="s">
        <v>254</v>
      </c>
      <c r="BL1971" s="4" t="s">
        <v>255</v>
      </c>
      <c r="BM1971" s="4" t="s">
        <v>241</v>
      </c>
      <c r="BN1971" s="6">
        <f>0</f>
        <v>0</v>
      </c>
      <c r="BO1971" s="6">
        <f>0</f>
        <v>0</v>
      </c>
      <c r="BP1971" s="4" t="s">
        <v>256</v>
      </c>
      <c r="BQ1971" s="4" t="s">
        <v>257</v>
      </c>
      <c r="CE1971" s="4" t="s">
        <v>241</v>
      </c>
      <c r="CF1971" s="4" t="s">
        <v>241</v>
      </c>
      <c r="CJ1971" s="4" t="s">
        <v>276</v>
      </c>
      <c r="CK1971" s="4" t="s">
        <v>259</v>
      </c>
      <c r="CL1971" s="4" t="s">
        <v>241</v>
      </c>
      <c r="CO1971" s="5" t="s">
        <v>260</v>
      </c>
      <c r="CP1971" s="4" t="s">
        <v>241</v>
      </c>
      <c r="CQ1971" s="4" t="s">
        <v>261</v>
      </c>
      <c r="CR1971" s="4" t="s">
        <v>241</v>
      </c>
      <c r="CS1971" s="4" t="s">
        <v>241</v>
      </c>
      <c r="CT1971" s="4">
        <v>0</v>
      </c>
      <c r="CU1971" s="4" t="s">
        <v>262</v>
      </c>
      <c r="CV1971" s="4" t="s">
        <v>263</v>
      </c>
      <c r="CW1971" s="4" t="s">
        <v>263</v>
      </c>
      <c r="CX1971" s="4" t="s">
        <v>264</v>
      </c>
      <c r="DA1971" s="6">
        <f>1</f>
        <v>1</v>
      </c>
      <c r="DC1971" s="4" t="s">
        <v>325</v>
      </c>
      <c r="DD1971" s="4" t="s">
        <v>241</v>
      </c>
      <c r="DF1971" s="4" t="s">
        <v>325</v>
      </c>
      <c r="DG1971" s="6">
        <f>2463</f>
        <v>2463</v>
      </c>
      <c r="DI1971" s="4" t="s">
        <v>241</v>
      </c>
      <c r="DJ1971" s="4" t="s">
        <v>241</v>
      </c>
      <c r="DK1971" s="4" t="s">
        <v>241</v>
      </c>
      <c r="DL1971" s="4" t="s">
        <v>241</v>
      </c>
      <c r="DP1971" s="4" t="s">
        <v>241</v>
      </c>
      <c r="DQ1971" s="4" t="s">
        <v>241</v>
      </c>
      <c r="DR1971" s="4" t="s">
        <v>241</v>
      </c>
      <c r="DS1971" s="4" t="s">
        <v>241</v>
      </c>
      <c r="DV1971" s="4" t="s">
        <v>426</v>
      </c>
      <c r="DW1971" s="4" t="s">
        <v>1832</v>
      </c>
      <c r="HO1971" s="4" t="s">
        <v>267</v>
      </c>
    </row>
    <row r="1972" spans="1:223" ht="19.5" customHeight="1" x14ac:dyDescent="0.4">
      <c r="A1972" s="4">
        <v>1</v>
      </c>
      <c r="B1972" s="4" t="s">
        <v>239</v>
      </c>
      <c r="C1972" s="4">
        <v>3675</v>
      </c>
      <c r="D1972" s="4">
        <v>1</v>
      </c>
      <c r="E1972" s="4">
        <v>1</v>
      </c>
      <c r="F1972" s="4" t="s">
        <v>268</v>
      </c>
      <c r="G1972" s="4" t="s">
        <v>241</v>
      </c>
      <c r="H1972" s="4" t="s">
        <v>241</v>
      </c>
      <c r="I1972" s="4" t="s">
        <v>424</v>
      </c>
      <c r="J1972" s="4" t="s">
        <v>274</v>
      </c>
      <c r="K1972" s="4" t="s">
        <v>251</v>
      </c>
      <c r="L1972" s="4" t="s">
        <v>423</v>
      </c>
      <c r="M1972" s="5" t="s">
        <v>3895</v>
      </c>
      <c r="N1972" s="6">
        <f>864</f>
        <v>864</v>
      </c>
      <c r="O1972" s="4" t="s">
        <v>265</v>
      </c>
      <c r="P1972" s="6">
        <f>1</f>
        <v>1</v>
      </c>
      <c r="Q1972" s="6">
        <f>0</f>
        <v>0</v>
      </c>
      <c r="S1972" s="6">
        <f>0</f>
        <v>0</v>
      </c>
      <c r="T1972" s="6">
        <f>1</f>
        <v>1</v>
      </c>
      <c r="U1972" s="5" t="s">
        <v>245</v>
      </c>
      <c r="V1972" s="4" t="s">
        <v>270</v>
      </c>
      <c r="W1972" s="4" t="s">
        <v>271</v>
      </c>
      <c r="X1972" s="4" t="s">
        <v>273</v>
      </c>
      <c r="Y1972" s="4" t="s">
        <v>241</v>
      </c>
      <c r="AB1972" s="4" t="s">
        <v>241</v>
      </c>
      <c r="AD1972" s="5" t="s">
        <v>241</v>
      </c>
      <c r="AG1972" s="5" t="s">
        <v>246</v>
      </c>
      <c r="AH1972" s="4" t="s">
        <v>241</v>
      </c>
      <c r="AI1972" s="4" t="s">
        <v>247</v>
      </c>
      <c r="AJ1972" s="4" t="s">
        <v>248</v>
      </c>
      <c r="AZ1972" s="4" t="s">
        <v>249</v>
      </c>
      <c r="BA1972" s="4" t="s">
        <v>241</v>
      </c>
      <c r="BB1972" s="4" t="s">
        <v>250</v>
      </c>
      <c r="BC1972" s="4" t="s">
        <v>241</v>
      </c>
      <c r="BD1972" s="4" t="s">
        <v>252</v>
      </c>
      <c r="BE1972" s="4" t="s">
        <v>241</v>
      </c>
      <c r="BI1972" s="4" t="s">
        <v>253</v>
      </c>
      <c r="BJ1972" s="5" t="s">
        <v>246</v>
      </c>
      <c r="BK1972" s="4" t="s">
        <v>254</v>
      </c>
      <c r="BL1972" s="4" t="s">
        <v>255</v>
      </c>
      <c r="BM1972" s="4" t="s">
        <v>241</v>
      </c>
      <c r="BN1972" s="6">
        <f>0</f>
        <v>0</v>
      </c>
      <c r="BO1972" s="6">
        <f>0</f>
        <v>0</v>
      </c>
      <c r="BP1972" s="4" t="s">
        <v>256</v>
      </c>
      <c r="BQ1972" s="4" t="s">
        <v>257</v>
      </c>
      <c r="CE1972" s="4" t="s">
        <v>241</v>
      </c>
      <c r="CF1972" s="4" t="s">
        <v>241</v>
      </c>
      <c r="CJ1972" s="4" t="s">
        <v>276</v>
      </c>
      <c r="CK1972" s="4" t="s">
        <v>259</v>
      </c>
      <c r="CL1972" s="4" t="s">
        <v>241</v>
      </c>
      <c r="CO1972" s="5" t="s">
        <v>260</v>
      </c>
      <c r="CP1972" s="4" t="s">
        <v>241</v>
      </c>
      <c r="CQ1972" s="4" t="s">
        <v>261</v>
      </c>
      <c r="CR1972" s="4" t="s">
        <v>241</v>
      </c>
      <c r="CS1972" s="4" t="s">
        <v>241</v>
      </c>
      <c r="CT1972" s="4">
        <v>0</v>
      </c>
      <c r="CU1972" s="4" t="s">
        <v>262</v>
      </c>
      <c r="CV1972" s="4" t="s">
        <v>263</v>
      </c>
      <c r="CW1972" s="4" t="s">
        <v>263</v>
      </c>
      <c r="CX1972" s="4" t="s">
        <v>264</v>
      </c>
      <c r="DA1972" s="6">
        <f>1</f>
        <v>1</v>
      </c>
      <c r="DC1972" s="4" t="s">
        <v>325</v>
      </c>
      <c r="DD1972" s="4" t="s">
        <v>241</v>
      </c>
      <c r="DF1972" s="4" t="s">
        <v>325</v>
      </c>
      <c r="DG1972" s="6">
        <f>864</f>
        <v>864</v>
      </c>
      <c r="DI1972" s="4" t="s">
        <v>241</v>
      </c>
      <c r="DJ1972" s="4" t="s">
        <v>241</v>
      </c>
      <c r="DK1972" s="4" t="s">
        <v>241</v>
      </c>
      <c r="DL1972" s="4" t="s">
        <v>241</v>
      </c>
      <c r="DP1972" s="4" t="s">
        <v>241</v>
      </c>
      <c r="DQ1972" s="4" t="s">
        <v>241</v>
      </c>
      <c r="DR1972" s="4" t="s">
        <v>241</v>
      </c>
      <c r="DS1972" s="4" t="s">
        <v>241</v>
      </c>
      <c r="DV1972" s="4" t="s">
        <v>426</v>
      </c>
      <c r="DW1972" s="4" t="s">
        <v>1885</v>
      </c>
      <c r="HO1972" s="4" t="s">
        <v>267</v>
      </c>
    </row>
    <row r="1973" spans="1:223" ht="19.5" customHeight="1" x14ac:dyDescent="0.4">
      <c r="A1973" s="4">
        <v>1</v>
      </c>
      <c r="B1973" s="4" t="s">
        <v>239</v>
      </c>
      <c r="C1973" s="4">
        <v>3676</v>
      </c>
      <c r="D1973" s="4">
        <v>1</v>
      </c>
      <c r="E1973" s="4">
        <v>1</v>
      </c>
      <c r="F1973" s="4" t="s">
        <v>268</v>
      </c>
      <c r="G1973" s="4" t="s">
        <v>241</v>
      </c>
      <c r="H1973" s="4" t="s">
        <v>241</v>
      </c>
      <c r="I1973" s="4" t="s">
        <v>424</v>
      </c>
      <c r="J1973" s="4" t="s">
        <v>274</v>
      </c>
      <c r="K1973" s="4" t="s">
        <v>251</v>
      </c>
      <c r="L1973" s="4" t="s">
        <v>423</v>
      </c>
      <c r="M1973" s="5" t="s">
        <v>3896</v>
      </c>
      <c r="N1973" s="6">
        <f>771</f>
        <v>771</v>
      </c>
      <c r="O1973" s="4" t="s">
        <v>265</v>
      </c>
      <c r="P1973" s="6">
        <f>1</f>
        <v>1</v>
      </c>
      <c r="Q1973" s="6">
        <f>0</f>
        <v>0</v>
      </c>
      <c r="S1973" s="6">
        <f>0</f>
        <v>0</v>
      </c>
      <c r="T1973" s="6">
        <f>1</f>
        <v>1</v>
      </c>
      <c r="U1973" s="5" t="s">
        <v>245</v>
      </c>
      <c r="V1973" s="4" t="s">
        <v>270</v>
      </c>
      <c r="W1973" s="4" t="s">
        <v>271</v>
      </c>
      <c r="X1973" s="4" t="s">
        <v>273</v>
      </c>
      <c r="Y1973" s="4" t="s">
        <v>241</v>
      </c>
      <c r="AB1973" s="4" t="s">
        <v>241</v>
      </c>
      <c r="AD1973" s="5" t="s">
        <v>241</v>
      </c>
      <c r="AG1973" s="5" t="s">
        <v>246</v>
      </c>
      <c r="AH1973" s="4" t="s">
        <v>241</v>
      </c>
      <c r="AI1973" s="4" t="s">
        <v>247</v>
      </c>
      <c r="AJ1973" s="4" t="s">
        <v>248</v>
      </c>
      <c r="AZ1973" s="4" t="s">
        <v>249</v>
      </c>
      <c r="BA1973" s="4" t="s">
        <v>241</v>
      </c>
      <c r="BB1973" s="4" t="s">
        <v>250</v>
      </c>
      <c r="BC1973" s="4" t="s">
        <v>241</v>
      </c>
      <c r="BD1973" s="4" t="s">
        <v>252</v>
      </c>
      <c r="BE1973" s="4" t="s">
        <v>241</v>
      </c>
      <c r="BI1973" s="4" t="s">
        <v>253</v>
      </c>
      <c r="BJ1973" s="5" t="s">
        <v>246</v>
      </c>
      <c r="BK1973" s="4" t="s">
        <v>254</v>
      </c>
      <c r="BL1973" s="4" t="s">
        <v>255</v>
      </c>
      <c r="BM1973" s="4" t="s">
        <v>241</v>
      </c>
      <c r="BN1973" s="6">
        <f>0</f>
        <v>0</v>
      </c>
      <c r="BO1973" s="6">
        <f>0</f>
        <v>0</v>
      </c>
      <c r="BP1973" s="4" t="s">
        <v>256</v>
      </c>
      <c r="BQ1973" s="4" t="s">
        <v>257</v>
      </c>
      <c r="CE1973" s="4" t="s">
        <v>241</v>
      </c>
      <c r="CF1973" s="4" t="s">
        <v>241</v>
      </c>
      <c r="CJ1973" s="4" t="s">
        <v>276</v>
      </c>
      <c r="CK1973" s="4" t="s">
        <v>259</v>
      </c>
      <c r="CL1973" s="4" t="s">
        <v>241</v>
      </c>
      <c r="CO1973" s="5" t="s">
        <v>260</v>
      </c>
      <c r="CP1973" s="4" t="s">
        <v>241</v>
      </c>
      <c r="CQ1973" s="4" t="s">
        <v>261</v>
      </c>
      <c r="CR1973" s="4" t="s">
        <v>241</v>
      </c>
      <c r="CS1973" s="4" t="s">
        <v>241</v>
      </c>
      <c r="CT1973" s="4">
        <v>0</v>
      </c>
      <c r="CU1973" s="4" t="s">
        <v>262</v>
      </c>
      <c r="CV1973" s="4" t="s">
        <v>263</v>
      </c>
      <c r="CW1973" s="4" t="s">
        <v>263</v>
      </c>
      <c r="CX1973" s="4" t="s">
        <v>264</v>
      </c>
      <c r="DA1973" s="6">
        <f>1</f>
        <v>1</v>
      </c>
      <c r="DC1973" s="4" t="s">
        <v>325</v>
      </c>
      <c r="DD1973" s="4" t="s">
        <v>241</v>
      </c>
      <c r="DF1973" s="4" t="s">
        <v>325</v>
      </c>
      <c r="DG1973" s="6">
        <f>771</f>
        <v>771</v>
      </c>
      <c r="DI1973" s="4" t="s">
        <v>241</v>
      </c>
      <c r="DJ1973" s="4" t="s">
        <v>241</v>
      </c>
      <c r="DK1973" s="4" t="s">
        <v>241</v>
      </c>
      <c r="DL1973" s="4" t="s">
        <v>241</v>
      </c>
      <c r="DP1973" s="4" t="s">
        <v>241</v>
      </c>
      <c r="DQ1973" s="4" t="s">
        <v>241</v>
      </c>
      <c r="DR1973" s="4" t="s">
        <v>241</v>
      </c>
      <c r="DS1973" s="4" t="s">
        <v>241</v>
      </c>
      <c r="DV1973" s="4" t="s">
        <v>426</v>
      </c>
      <c r="DW1973" s="4" t="s">
        <v>1897</v>
      </c>
      <c r="HO1973" s="4" t="s">
        <v>267</v>
      </c>
    </row>
    <row r="1974" spans="1:223" ht="19.5" customHeight="1" x14ac:dyDescent="0.4">
      <c r="A1974" s="4">
        <v>1</v>
      </c>
      <c r="B1974" s="4" t="s">
        <v>239</v>
      </c>
      <c r="C1974" s="4">
        <v>3677</v>
      </c>
      <c r="D1974" s="4">
        <v>1</v>
      </c>
      <c r="E1974" s="4">
        <v>1</v>
      </c>
      <c r="F1974" s="4" t="s">
        <v>268</v>
      </c>
      <c r="G1974" s="4" t="s">
        <v>241</v>
      </c>
      <c r="H1974" s="4" t="s">
        <v>241</v>
      </c>
      <c r="I1974" s="4" t="s">
        <v>424</v>
      </c>
      <c r="J1974" s="4" t="s">
        <v>274</v>
      </c>
      <c r="K1974" s="4" t="s">
        <v>251</v>
      </c>
      <c r="L1974" s="4" t="s">
        <v>423</v>
      </c>
      <c r="M1974" s="5" t="s">
        <v>3438</v>
      </c>
      <c r="N1974" s="6">
        <f>845</f>
        <v>845</v>
      </c>
      <c r="O1974" s="4" t="s">
        <v>265</v>
      </c>
      <c r="P1974" s="6">
        <f>1</f>
        <v>1</v>
      </c>
      <c r="Q1974" s="6">
        <f>0</f>
        <v>0</v>
      </c>
      <c r="S1974" s="6">
        <f>0</f>
        <v>0</v>
      </c>
      <c r="T1974" s="6">
        <f>1</f>
        <v>1</v>
      </c>
      <c r="U1974" s="5" t="s">
        <v>245</v>
      </c>
      <c r="V1974" s="4" t="s">
        <v>270</v>
      </c>
      <c r="W1974" s="4" t="s">
        <v>271</v>
      </c>
      <c r="X1974" s="4" t="s">
        <v>273</v>
      </c>
      <c r="Y1974" s="4" t="s">
        <v>241</v>
      </c>
      <c r="AB1974" s="4" t="s">
        <v>241</v>
      </c>
      <c r="AD1974" s="5" t="s">
        <v>241</v>
      </c>
      <c r="AG1974" s="5" t="s">
        <v>246</v>
      </c>
      <c r="AH1974" s="4" t="s">
        <v>241</v>
      </c>
      <c r="AI1974" s="4" t="s">
        <v>247</v>
      </c>
      <c r="AJ1974" s="4" t="s">
        <v>248</v>
      </c>
      <c r="AZ1974" s="4" t="s">
        <v>249</v>
      </c>
      <c r="BA1974" s="4" t="s">
        <v>241</v>
      </c>
      <c r="BB1974" s="4" t="s">
        <v>250</v>
      </c>
      <c r="BC1974" s="4" t="s">
        <v>241</v>
      </c>
      <c r="BD1974" s="4" t="s">
        <v>252</v>
      </c>
      <c r="BE1974" s="4" t="s">
        <v>241</v>
      </c>
      <c r="BI1974" s="4" t="s">
        <v>253</v>
      </c>
      <c r="BJ1974" s="5" t="s">
        <v>246</v>
      </c>
      <c r="BK1974" s="4" t="s">
        <v>254</v>
      </c>
      <c r="BL1974" s="4" t="s">
        <v>255</v>
      </c>
      <c r="BM1974" s="4" t="s">
        <v>241</v>
      </c>
      <c r="BN1974" s="6">
        <f>0</f>
        <v>0</v>
      </c>
      <c r="BO1974" s="6">
        <f>0</f>
        <v>0</v>
      </c>
      <c r="BP1974" s="4" t="s">
        <v>256</v>
      </c>
      <c r="BQ1974" s="4" t="s">
        <v>257</v>
      </c>
      <c r="CE1974" s="4" t="s">
        <v>241</v>
      </c>
      <c r="CF1974" s="4" t="s">
        <v>241</v>
      </c>
      <c r="CJ1974" s="4" t="s">
        <v>276</v>
      </c>
      <c r="CK1974" s="4" t="s">
        <v>259</v>
      </c>
      <c r="CL1974" s="4" t="s">
        <v>241</v>
      </c>
      <c r="CO1974" s="5" t="s">
        <v>260</v>
      </c>
      <c r="CP1974" s="4" t="s">
        <v>241</v>
      </c>
      <c r="CQ1974" s="4" t="s">
        <v>261</v>
      </c>
      <c r="CR1974" s="4" t="s">
        <v>241</v>
      </c>
      <c r="CS1974" s="4" t="s">
        <v>241</v>
      </c>
      <c r="CT1974" s="4">
        <v>0</v>
      </c>
      <c r="CU1974" s="4" t="s">
        <v>262</v>
      </c>
      <c r="CV1974" s="4" t="s">
        <v>263</v>
      </c>
      <c r="CW1974" s="4" t="s">
        <v>263</v>
      </c>
      <c r="CX1974" s="4" t="s">
        <v>264</v>
      </c>
      <c r="DA1974" s="6">
        <f>1</f>
        <v>1</v>
      </c>
      <c r="DC1974" s="4" t="s">
        <v>325</v>
      </c>
      <c r="DD1974" s="4" t="s">
        <v>241</v>
      </c>
      <c r="DF1974" s="4" t="s">
        <v>325</v>
      </c>
      <c r="DG1974" s="6">
        <f>845</f>
        <v>845</v>
      </c>
      <c r="DI1974" s="4" t="s">
        <v>241</v>
      </c>
      <c r="DJ1974" s="4" t="s">
        <v>241</v>
      </c>
      <c r="DK1974" s="4" t="s">
        <v>241</v>
      </c>
      <c r="DL1974" s="4" t="s">
        <v>241</v>
      </c>
      <c r="DP1974" s="4" t="s">
        <v>241</v>
      </c>
      <c r="DQ1974" s="4" t="s">
        <v>241</v>
      </c>
      <c r="DR1974" s="4" t="s">
        <v>241</v>
      </c>
      <c r="DS1974" s="4" t="s">
        <v>241</v>
      </c>
      <c r="DV1974" s="4" t="s">
        <v>426</v>
      </c>
      <c r="DW1974" s="4" t="s">
        <v>1909</v>
      </c>
      <c r="HO1974" s="4" t="s">
        <v>267</v>
      </c>
    </row>
    <row r="1975" spans="1:223" ht="19.5" customHeight="1" x14ac:dyDescent="0.4">
      <c r="A1975" s="4">
        <v>1</v>
      </c>
      <c r="B1975" s="4" t="s">
        <v>239</v>
      </c>
      <c r="C1975" s="4">
        <v>3678</v>
      </c>
      <c r="D1975" s="4">
        <v>1</v>
      </c>
      <c r="E1975" s="4">
        <v>1</v>
      </c>
      <c r="F1975" s="4" t="s">
        <v>268</v>
      </c>
      <c r="G1975" s="4" t="s">
        <v>241</v>
      </c>
      <c r="H1975" s="4" t="s">
        <v>241</v>
      </c>
      <c r="I1975" s="4" t="s">
        <v>424</v>
      </c>
      <c r="J1975" s="4" t="s">
        <v>274</v>
      </c>
      <c r="K1975" s="4" t="s">
        <v>251</v>
      </c>
      <c r="L1975" s="4" t="s">
        <v>423</v>
      </c>
      <c r="M1975" s="5" t="s">
        <v>3899</v>
      </c>
      <c r="N1975" s="6">
        <f>260</f>
        <v>260</v>
      </c>
      <c r="O1975" s="4" t="s">
        <v>265</v>
      </c>
      <c r="P1975" s="6">
        <f>1</f>
        <v>1</v>
      </c>
      <c r="Q1975" s="6">
        <f>0</f>
        <v>0</v>
      </c>
      <c r="S1975" s="6">
        <f>0</f>
        <v>0</v>
      </c>
      <c r="T1975" s="6">
        <f>1</f>
        <v>1</v>
      </c>
      <c r="U1975" s="5" t="s">
        <v>245</v>
      </c>
      <c r="V1975" s="4" t="s">
        <v>270</v>
      </c>
      <c r="W1975" s="4" t="s">
        <v>271</v>
      </c>
      <c r="X1975" s="4" t="s">
        <v>273</v>
      </c>
      <c r="Y1975" s="4" t="s">
        <v>241</v>
      </c>
      <c r="AB1975" s="4" t="s">
        <v>241</v>
      </c>
      <c r="AD1975" s="5" t="s">
        <v>241</v>
      </c>
      <c r="AG1975" s="5" t="s">
        <v>246</v>
      </c>
      <c r="AH1975" s="4" t="s">
        <v>241</v>
      </c>
      <c r="AI1975" s="4" t="s">
        <v>247</v>
      </c>
      <c r="AJ1975" s="4" t="s">
        <v>248</v>
      </c>
      <c r="AZ1975" s="4" t="s">
        <v>249</v>
      </c>
      <c r="BA1975" s="4" t="s">
        <v>241</v>
      </c>
      <c r="BB1975" s="4" t="s">
        <v>250</v>
      </c>
      <c r="BC1975" s="4" t="s">
        <v>241</v>
      </c>
      <c r="BD1975" s="4" t="s">
        <v>252</v>
      </c>
      <c r="BE1975" s="4" t="s">
        <v>241</v>
      </c>
      <c r="BI1975" s="4" t="s">
        <v>253</v>
      </c>
      <c r="BJ1975" s="5" t="s">
        <v>246</v>
      </c>
      <c r="BK1975" s="4" t="s">
        <v>254</v>
      </c>
      <c r="BL1975" s="4" t="s">
        <v>255</v>
      </c>
      <c r="BM1975" s="4" t="s">
        <v>241</v>
      </c>
      <c r="BN1975" s="6">
        <f>0</f>
        <v>0</v>
      </c>
      <c r="BO1975" s="6">
        <f>0</f>
        <v>0</v>
      </c>
      <c r="BP1975" s="4" t="s">
        <v>256</v>
      </c>
      <c r="BQ1975" s="4" t="s">
        <v>257</v>
      </c>
      <c r="CE1975" s="4" t="s">
        <v>241</v>
      </c>
      <c r="CF1975" s="4" t="s">
        <v>241</v>
      </c>
      <c r="CJ1975" s="4" t="s">
        <v>276</v>
      </c>
      <c r="CK1975" s="4" t="s">
        <v>259</v>
      </c>
      <c r="CL1975" s="4" t="s">
        <v>241</v>
      </c>
      <c r="CO1975" s="5" t="s">
        <v>260</v>
      </c>
      <c r="CP1975" s="4" t="s">
        <v>241</v>
      </c>
      <c r="CQ1975" s="4" t="s">
        <v>261</v>
      </c>
      <c r="CR1975" s="4" t="s">
        <v>241</v>
      </c>
      <c r="CS1975" s="4" t="s">
        <v>241</v>
      </c>
      <c r="CT1975" s="4">
        <v>0</v>
      </c>
      <c r="CU1975" s="4" t="s">
        <v>262</v>
      </c>
      <c r="CV1975" s="4" t="s">
        <v>263</v>
      </c>
      <c r="CW1975" s="4" t="s">
        <v>263</v>
      </c>
      <c r="CX1975" s="4" t="s">
        <v>264</v>
      </c>
      <c r="DA1975" s="6">
        <f>1</f>
        <v>1</v>
      </c>
      <c r="DC1975" s="4" t="s">
        <v>325</v>
      </c>
      <c r="DD1975" s="4" t="s">
        <v>241</v>
      </c>
      <c r="DF1975" s="4" t="s">
        <v>325</v>
      </c>
      <c r="DG1975" s="6">
        <f>260</f>
        <v>260</v>
      </c>
      <c r="DI1975" s="4" t="s">
        <v>241</v>
      </c>
      <c r="DJ1975" s="4" t="s">
        <v>241</v>
      </c>
      <c r="DK1975" s="4" t="s">
        <v>241</v>
      </c>
      <c r="DL1975" s="4" t="s">
        <v>241</v>
      </c>
      <c r="DP1975" s="4" t="s">
        <v>241</v>
      </c>
      <c r="DQ1975" s="4" t="s">
        <v>241</v>
      </c>
      <c r="DR1975" s="4" t="s">
        <v>241</v>
      </c>
      <c r="DS1975" s="4" t="s">
        <v>241</v>
      </c>
      <c r="DV1975" s="4" t="s">
        <v>426</v>
      </c>
      <c r="DW1975" s="4" t="s">
        <v>2548</v>
      </c>
      <c r="HO1975" s="4" t="s">
        <v>267</v>
      </c>
    </row>
    <row r="1976" spans="1:223" ht="19.5" customHeight="1" x14ac:dyDescent="0.4">
      <c r="A1976" s="4">
        <v>1</v>
      </c>
      <c r="B1976" s="4" t="s">
        <v>239</v>
      </c>
      <c r="C1976" s="4">
        <v>3679</v>
      </c>
      <c r="D1976" s="4">
        <v>1</v>
      </c>
      <c r="E1976" s="4">
        <v>1</v>
      </c>
      <c r="F1976" s="4" t="s">
        <v>268</v>
      </c>
      <c r="G1976" s="4" t="s">
        <v>241</v>
      </c>
      <c r="H1976" s="4" t="s">
        <v>241</v>
      </c>
      <c r="I1976" s="4" t="s">
        <v>424</v>
      </c>
      <c r="J1976" s="4" t="s">
        <v>274</v>
      </c>
      <c r="K1976" s="4" t="s">
        <v>251</v>
      </c>
      <c r="L1976" s="4" t="s">
        <v>423</v>
      </c>
      <c r="M1976" s="5" t="s">
        <v>3440</v>
      </c>
      <c r="N1976" s="6">
        <f>2718</f>
        <v>2718</v>
      </c>
      <c r="O1976" s="4" t="s">
        <v>265</v>
      </c>
      <c r="P1976" s="6">
        <f>1</f>
        <v>1</v>
      </c>
      <c r="Q1976" s="6">
        <f>0</f>
        <v>0</v>
      </c>
      <c r="S1976" s="6">
        <f>0</f>
        <v>0</v>
      </c>
      <c r="T1976" s="6">
        <f>1</f>
        <v>1</v>
      </c>
      <c r="U1976" s="5" t="s">
        <v>245</v>
      </c>
      <c r="V1976" s="4" t="s">
        <v>270</v>
      </c>
      <c r="W1976" s="4" t="s">
        <v>271</v>
      </c>
      <c r="X1976" s="4" t="s">
        <v>273</v>
      </c>
      <c r="Y1976" s="4" t="s">
        <v>241</v>
      </c>
      <c r="AB1976" s="4" t="s">
        <v>241</v>
      </c>
      <c r="AD1976" s="5" t="s">
        <v>241</v>
      </c>
      <c r="AG1976" s="5" t="s">
        <v>246</v>
      </c>
      <c r="AH1976" s="4" t="s">
        <v>241</v>
      </c>
      <c r="AI1976" s="4" t="s">
        <v>247</v>
      </c>
      <c r="AJ1976" s="4" t="s">
        <v>248</v>
      </c>
      <c r="AZ1976" s="4" t="s">
        <v>249</v>
      </c>
      <c r="BA1976" s="4" t="s">
        <v>241</v>
      </c>
      <c r="BB1976" s="4" t="s">
        <v>250</v>
      </c>
      <c r="BC1976" s="4" t="s">
        <v>241</v>
      </c>
      <c r="BD1976" s="4" t="s">
        <v>252</v>
      </c>
      <c r="BE1976" s="4" t="s">
        <v>241</v>
      </c>
      <c r="BI1976" s="4" t="s">
        <v>253</v>
      </c>
      <c r="BJ1976" s="5" t="s">
        <v>246</v>
      </c>
      <c r="BK1976" s="4" t="s">
        <v>254</v>
      </c>
      <c r="BL1976" s="4" t="s">
        <v>255</v>
      </c>
      <c r="BM1976" s="4" t="s">
        <v>241</v>
      </c>
      <c r="BN1976" s="6">
        <f>0</f>
        <v>0</v>
      </c>
      <c r="BO1976" s="6">
        <f>0</f>
        <v>0</v>
      </c>
      <c r="BP1976" s="4" t="s">
        <v>256</v>
      </c>
      <c r="BQ1976" s="4" t="s">
        <v>257</v>
      </c>
      <c r="CE1976" s="4" t="s">
        <v>241</v>
      </c>
      <c r="CF1976" s="4" t="s">
        <v>241</v>
      </c>
      <c r="CJ1976" s="4" t="s">
        <v>276</v>
      </c>
      <c r="CK1976" s="4" t="s">
        <v>259</v>
      </c>
      <c r="CL1976" s="4" t="s">
        <v>241</v>
      </c>
      <c r="CO1976" s="5" t="s">
        <v>260</v>
      </c>
      <c r="CP1976" s="4" t="s">
        <v>241</v>
      </c>
      <c r="CQ1976" s="4" t="s">
        <v>261</v>
      </c>
      <c r="CR1976" s="4" t="s">
        <v>241</v>
      </c>
      <c r="CS1976" s="4" t="s">
        <v>241</v>
      </c>
      <c r="CT1976" s="4">
        <v>0</v>
      </c>
      <c r="CU1976" s="4" t="s">
        <v>262</v>
      </c>
      <c r="CV1976" s="4" t="s">
        <v>263</v>
      </c>
      <c r="CW1976" s="4" t="s">
        <v>263</v>
      </c>
      <c r="CX1976" s="4" t="s">
        <v>264</v>
      </c>
      <c r="DA1976" s="6">
        <f>1</f>
        <v>1</v>
      </c>
      <c r="DC1976" s="4" t="s">
        <v>325</v>
      </c>
      <c r="DD1976" s="4" t="s">
        <v>241</v>
      </c>
      <c r="DF1976" s="4" t="s">
        <v>325</v>
      </c>
      <c r="DG1976" s="6">
        <f>2718</f>
        <v>2718</v>
      </c>
      <c r="DI1976" s="4" t="s">
        <v>241</v>
      </c>
      <c r="DJ1976" s="4" t="s">
        <v>241</v>
      </c>
      <c r="DK1976" s="4" t="s">
        <v>241</v>
      </c>
      <c r="DL1976" s="4" t="s">
        <v>241</v>
      </c>
      <c r="DP1976" s="4" t="s">
        <v>241</v>
      </c>
      <c r="DQ1976" s="4" t="s">
        <v>241</v>
      </c>
      <c r="DR1976" s="4" t="s">
        <v>241</v>
      </c>
      <c r="DS1976" s="4" t="s">
        <v>241</v>
      </c>
      <c r="DV1976" s="4" t="s">
        <v>426</v>
      </c>
      <c r="DW1976" s="4" t="s">
        <v>2552</v>
      </c>
      <c r="HO1976" s="4" t="s">
        <v>267</v>
      </c>
    </row>
    <row r="1977" spans="1:223" ht="19.5" customHeight="1" x14ac:dyDescent="0.4">
      <c r="A1977" s="4">
        <v>1</v>
      </c>
      <c r="B1977" s="4" t="s">
        <v>239</v>
      </c>
      <c r="C1977" s="4">
        <v>3680</v>
      </c>
      <c r="D1977" s="4">
        <v>1</v>
      </c>
      <c r="E1977" s="4">
        <v>1</v>
      </c>
      <c r="F1977" s="4" t="s">
        <v>268</v>
      </c>
      <c r="G1977" s="4" t="s">
        <v>241</v>
      </c>
      <c r="H1977" s="4" t="s">
        <v>241</v>
      </c>
      <c r="I1977" s="4" t="s">
        <v>424</v>
      </c>
      <c r="J1977" s="4" t="s">
        <v>274</v>
      </c>
      <c r="K1977" s="4" t="s">
        <v>251</v>
      </c>
      <c r="L1977" s="4" t="s">
        <v>423</v>
      </c>
      <c r="M1977" s="5" t="s">
        <v>3902</v>
      </c>
      <c r="N1977" s="6">
        <f>9993</f>
        <v>9993</v>
      </c>
      <c r="O1977" s="4" t="s">
        <v>265</v>
      </c>
      <c r="P1977" s="6">
        <f>1</f>
        <v>1</v>
      </c>
      <c r="Q1977" s="6">
        <f>0</f>
        <v>0</v>
      </c>
      <c r="S1977" s="6">
        <f>0</f>
        <v>0</v>
      </c>
      <c r="T1977" s="6">
        <f>1</f>
        <v>1</v>
      </c>
      <c r="U1977" s="5" t="s">
        <v>245</v>
      </c>
      <c r="V1977" s="4" t="s">
        <v>270</v>
      </c>
      <c r="W1977" s="4" t="s">
        <v>271</v>
      </c>
      <c r="X1977" s="4" t="s">
        <v>273</v>
      </c>
      <c r="Y1977" s="4" t="s">
        <v>241</v>
      </c>
      <c r="AB1977" s="4" t="s">
        <v>241</v>
      </c>
      <c r="AD1977" s="5" t="s">
        <v>241</v>
      </c>
      <c r="AG1977" s="5" t="s">
        <v>246</v>
      </c>
      <c r="AH1977" s="4" t="s">
        <v>241</v>
      </c>
      <c r="AI1977" s="4" t="s">
        <v>247</v>
      </c>
      <c r="AJ1977" s="4" t="s">
        <v>248</v>
      </c>
      <c r="AZ1977" s="4" t="s">
        <v>249</v>
      </c>
      <c r="BA1977" s="4" t="s">
        <v>241</v>
      </c>
      <c r="BB1977" s="4" t="s">
        <v>250</v>
      </c>
      <c r="BC1977" s="4" t="s">
        <v>241</v>
      </c>
      <c r="BD1977" s="4" t="s">
        <v>252</v>
      </c>
      <c r="BE1977" s="4" t="s">
        <v>241</v>
      </c>
      <c r="BI1977" s="4" t="s">
        <v>253</v>
      </c>
      <c r="BJ1977" s="5" t="s">
        <v>246</v>
      </c>
      <c r="BK1977" s="4" t="s">
        <v>254</v>
      </c>
      <c r="BL1977" s="4" t="s">
        <v>255</v>
      </c>
      <c r="BM1977" s="4" t="s">
        <v>241</v>
      </c>
      <c r="BN1977" s="6">
        <f>0</f>
        <v>0</v>
      </c>
      <c r="BO1977" s="6">
        <f>0</f>
        <v>0</v>
      </c>
      <c r="BP1977" s="4" t="s">
        <v>256</v>
      </c>
      <c r="BQ1977" s="4" t="s">
        <v>257</v>
      </c>
      <c r="CE1977" s="4" t="s">
        <v>241</v>
      </c>
      <c r="CF1977" s="4" t="s">
        <v>241</v>
      </c>
      <c r="CJ1977" s="4" t="s">
        <v>276</v>
      </c>
      <c r="CK1977" s="4" t="s">
        <v>259</v>
      </c>
      <c r="CL1977" s="4" t="s">
        <v>241</v>
      </c>
      <c r="CO1977" s="5" t="s">
        <v>260</v>
      </c>
      <c r="CP1977" s="4" t="s">
        <v>241</v>
      </c>
      <c r="CQ1977" s="4" t="s">
        <v>261</v>
      </c>
      <c r="CR1977" s="4" t="s">
        <v>241</v>
      </c>
      <c r="CS1977" s="4" t="s">
        <v>241</v>
      </c>
      <c r="CT1977" s="4">
        <v>0</v>
      </c>
      <c r="CU1977" s="4" t="s">
        <v>262</v>
      </c>
      <c r="CV1977" s="4" t="s">
        <v>263</v>
      </c>
      <c r="CW1977" s="4" t="s">
        <v>263</v>
      </c>
      <c r="CX1977" s="4" t="s">
        <v>264</v>
      </c>
      <c r="DA1977" s="6">
        <f>1</f>
        <v>1</v>
      </c>
      <c r="DC1977" s="4" t="s">
        <v>325</v>
      </c>
      <c r="DD1977" s="4" t="s">
        <v>241</v>
      </c>
      <c r="DF1977" s="4" t="s">
        <v>325</v>
      </c>
      <c r="DG1977" s="6">
        <f>9993</f>
        <v>9993</v>
      </c>
      <c r="DI1977" s="4" t="s">
        <v>241</v>
      </c>
      <c r="DJ1977" s="4" t="s">
        <v>241</v>
      </c>
      <c r="DK1977" s="4" t="s">
        <v>241</v>
      </c>
      <c r="DL1977" s="4" t="s">
        <v>241</v>
      </c>
      <c r="DP1977" s="4" t="s">
        <v>241</v>
      </c>
      <c r="DQ1977" s="4" t="s">
        <v>241</v>
      </c>
      <c r="DR1977" s="4" t="s">
        <v>241</v>
      </c>
      <c r="DS1977" s="4" t="s">
        <v>241</v>
      </c>
      <c r="DV1977" s="4" t="s">
        <v>426</v>
      </c>
      <c r="DW1977" s="4" t="s">
        <v>2554</v>
      </c>
      <c r="HO1977" s="4" t="s">
        <v>267</v>
      </c>
    </row>
    <row r="1978" spans="1:223" ht="19.5" customHeight="1" x14ac:dyDescent="0.4">
      <c r="A1978" s="4">
        <v>1</v>
      </c>
      <c r="B1978" s="4" t="s">
        <v>239</v>
      </c>
      <c r="C1978" s="4">
        <v>3681</v>
      </c>
      <c r="D1978" s="4">
        <v>1</v>
      </c>
      <c r="E1978" s="4">
        <v>1</v>
      </c>
      <c r="F1978" s="4" t="s">
        <v>268</v>
      </c>
      <c r="G1978" s="4" t="s">
        <v>241</v>
      </c>
      <c r="H1978" s="4" t="s">
        <v>241</v>
      </c>
      <c r="I1978" s="4" t="s">
        <v>424</v>
      </c>
      <c r="J1978" s="4" t="s">
        <v>274</v>
      </c>
      <c r="K1978" s="4" t="s">
        <v>251</v>
      </c>
      <c r="L1978" s="4" t="s">
        <v>423</v>
      </c>
      <c r="M1978" s="5" t="s">
        <v>734</v>
      </c>
      <c r="N1978" s="6">
        <f>297</f>
        <v>297</v>
      </c>
      <c r="O1978" s="4" t="s">
        <v>265</v>
      </c>
      <c r="P1978" s="6">
        <f>1</f>
        <v>1</v>
      </c>
      <c r="Q1978" s="6">
        <f>0</f>
        <v>0</v>
      </c>
      <c r="S1978" s="6">
        <f>0</f>
        <v>0</v>
      </c>
      <c r="T1978" s="6">
        <f>1</f>
        <v>1</v>
      </c>
      <c r="U1978" s="5" t="s">
        <v>245</v>
      </c>
      <c r="V1978" s="4" t="s">
        <v>270</v>
      </c>
      <c r="W1978" s="4" t="s">
        <v>271</v>
      </c>
      <c r="X1978" s="4" t="s">
        <v>273</v>
      </c>
      <c r="Y1978" s="4" t="s">
        <v>241</v>
      </c>
      <c r="AB1978" s="4" t="s">
        <v>241</v>
      </c>
      <c r="AD1978" s="5" t="s">
        <v>241</v>
      </c>
      <c r="AG1978" s="5" t="s">
        <v>246</v>
      </c>
      <c r="AH1978" s="4" t="s">
        <v>241</v>
      </c>
      <c r="AI1978" s="4" t="s">
        <v>247</v>
      </c>
      <c r="AJ1978" s="4" t="s">
        <v>248</v>
      </c>
      <c r="AZ1978" s="4" t="s">
        <v>249</v>
      </c>
      <c r="BA1978" s="4" t="s">
        <v>241</v>
      </c>
      <c r="BB1978" s="4" t="s">
        <v>250</v>
      </c>
      <c r="BC1978" s="4" t="s">
        <v>241</v>
      </c>
      <c r="BD1978" s="4" t="s">
        <v>252</v>
      </c>
      <c r="BE1978" s="4" t="s">
        <v>241</v>
      </c>
      <c r="BI1978" s="4" t="s">
        <v>253</v>
      </c>
      <c r="BJ1978" s="5" t="s">
        <v>246</v>
      </c>
      <c r="BK1978" s="4" t="s">
        <v>254</v>
      </c>
      <c r="BL1978" s="4" t="s">
        <v>255</v>
      </c>
      <c r="BM1978" s="4" t="s">
        <v>241</v>
      </c>
      <c r="BN1978" s="6">
        <f>0</f>
        <v>0</v>
      </c>
      <c r="BO1978" s="6">
        <f>0</f>
        <v>0</v>
      </c>
      <c r="BP1978" s="4" t="s">
        <v>256</v>
      </c>
      <c r="BQ1978" s="4" t="s">
        <v>257</v>
      </c>
      <c r="CE1978" s="4" t="s">
        <v>241</v>
      </c>
      <c r="CF1978" s="4" t="s">
        <v>241</v>
      </c>
      <c r="CJ1978" s="4" t="s">
        <v>276</v>
      </c>
      <c r="CK1978" s="4" t="s">
        <v>259</v>
      </c>
      <c r="CL1978" s="4" t="s">
        <v>241</v>
      </c>
      <c r="CO1978" s="5" t="s">
        <v>260</v>
      </c>
      <c r="CP1978" s="4" t="s">
        <v>241</v>
      </c>
      <c r="CQ1978" s="4" t="s">
        <v>261</v>
      </c>
      <c r="CR1978" s="4" t="s">
        <v>241</v>
      </c>
      <c r="CS1978" s="4" t="s">
        <v>241</v>
      </c>
      <c r="CT1978" s="4">
        <v>0</v>
      </c>
      <c r="CU1978" s="4" t="s">
        <v>262</v>
      </c>
      <c r="CV1978" s="4" t="s">
        <v>263</v>
      </c>
      <c r="CW1978" s="4" t="s">
        <v>263</v>
      </c>
      <c r="CX1978" s="4" t="s">
        <v>264</v>
      </c>
      <c r="DA1978" s="6">
        <f>1</f>
        <v>1</v>
      </c>
      <c r="DC1978" s="4" t="s">
        <v>325</v>
      </c>
      <c r="DD1978" s="4" t="s">
        <v>241</v>
      </c>
      <c r="DF1978" s="4" t="s">
        <v>325</v>
      </c>
      <c r="DG1978" s="6">
        <f>297</f>
        <v>297</v>
      </c>
      <c r="DI1978" s="4" t="s">
        <v>241</v>
      </c>
      <c r="DJ1978" s="4" t="s">
        <v>241</v>
      </c>
      <c r="DK1978" s="4" t="s">
        <v>241</v>
      </c>
      <c r="DL1978" s="4" t="s">
        <v>241</v>
      </c>
      <c r="DP1978" s="4" t="s">
        <v>241</v>
      </c>
      <c r="DQ1978" s="4" t="s">
        <v>241</v>
      </c>
      <c r="DR1978" s="4" t="s">
        <v>241</v>
      </c>
      <c r="DS1978" s="4" t="s">
        <v>241</v>
      </c>
      <c r="DV1978" s="4" t="s">
        <v>426</v>
      </c>
      <c r="DW1978" s="4" t="s">
        <v>735</v>
      </c>
      <c r="HO1978" s="4" t="s">
        <v>267</v>
      </c>
    </row>
    <row r="1979" spans="1:223" ht="19.5" customHeight="1" x14ac:dyDescent="0.4">
      <c r="A1979" s="4">
        <v>1</v>
      </c>
      <c r="B1979" s="4" t="s">
        <v>239</v>
      </c>
      <c r="C1979" s="4">
        <v>3682</v>
      </c>
      <c r="D1979" s="4">
        <v>1</v>
      </c>
      <c r="E1979" s="4">
        <v>1</v>
      </c>
      <c r="F1979" s="4" t="s">
        <v>268</v>
      </c>
      <c r="G1979" s="4" t="s">
        <v>241</v>
      </c>
      <c r="H1979" s="4" t="s">
        <v>241</v>
      </c>
      <c r="I1979" s="4" t="s">
        <v>424</v>
      </c>
      <c r="J1979" s="4" t="s">
        <v>274</v>
      </c>
      <c r="K1979" s="4" t="s">
        <v>251</v>
      </c>
      <c r="L1979" s="4" t="s">
        <v>423</v>
      </c>
      <c r="M1979" s="5" t="s">
        <v>4689</v>
      </c>
      <c r="N1979" s="6">
        <f>445</f>
        <v>445</v>
      </c>
      <c r="O1979" s="4" t="s">
        <v>265</v>
      </c>
      <c r="P1979" s="6">
        <f>1</f>
        <v>1</v>
      </c>
      <c r="Q1979" s="6">
        <f>0</f>
        <v>0</v>
      </c>
      <c r="S1979" s="6">
        <f>0</f>
        <v>0</v>
      </c>
      <c r="T1979" s="6">
        <f>1</f>
        <v>1</v>
      </c>
      <c r="U1979" s="5" t="s">
        <v>245</v>
      </c>
      <c r="V1979" s="4" t="s">
        <v>270</v>
      </c>
      <c r="W1979" s="4" t="s">
        <v>271</v>
      </c>
      <c r="X1979" s="4" t="s">
        <v>273</v>
      </c>
      <c r="Y1979" s="4" t="s">
        <v>241</v>
      </c>
      <c r="AB1979" s="4" t="s">
        <v>241</v>
      </c>
      <c r="AD1979" s="5" t="s">
        <v>241</v>
      </c>
      <c r="AG1979" s="5" t="s">
        <v>246</v>
      </c>
      <c r="AH1979" s="4" t="s">
        <v>241</v>
      </c>
      <c r="AI1979" s="4" t="s">
        <v>247</v>
      </c>
      <c r="AJ1979" s="4" t="s">
        <v>248</v>
      </c>
      <c r="AZ1979" s="4" t="s">
        <v>249</v>
      </c>
      <c r="BA1979" s="4" t="s">
        <v>241</v>
      </c>
      <c r="BB1979" s="4" t="s">
        <v>250</v>
      </c>
      <c r="BC1979" s="4" t="s">
        <v>241</v>
      </c>
      <c r="BD1979" s="4" t="s">
        <v>252</v>
      </c>
      <c r="BE1979" s="4" t="s">
        <v>241</v>
      </c>
      <c r="BI1979" s="4" t="s">
        <v>253</v>
      </c>
      <c r="BJ1979" s="5" t="s">
        <v>246</v>
      </c>
      <c r="BK1979" s="4" t="s">
        <v>254</v>
      </c>
      <c r="BL1979" s="4" t="s">
        <v>255</v>
      </c>
      <c r="BM1979" s="4" t="s">
        <v>241</v>
      </c>
      <c r="BN1979" s="6">
        <f>0</f>
        <v>0</v>
      </c>
      <c r="BO1979" s="6">
        <f>0</f>
        <v>0</v>
      </c>
      <c r="BP1979" s="4" t="s">
        <v>256</v>
      </c>
      <c r="BQ1979" s="4" t="s">
        <v>257</v>
      </c>
      <c r="CE1979" s="4" t="s">
        <v>241</v>
      </c>
      <c r="CF1979" s="4" t="s">
        <v>241</v>
      </c>
      <c r="CJ1979" s="4" t="s">
        <v>276</v>
      </c>
      <c r="CK1979" s="4" t="s">
        <v>259</v>
      </c>
      <c r="CL1979" s="4" t="s">
        <v>241</v>
      </c>
      <c r="CO1979" s="5" t="s">
        <v>260</v>
      </c>
      <c r="CP1979" s="4" t="s">
        <v>241</v>
      </c>
      <c r="CQ1979" s="4" t="s">
        <v>261</v>
      </c>
      <c r="CR1979" s="4" t="s">
        <v>241</v>
      </c>
      <c r="CS1979" s="4" t="s">
        <v>241</v>
      </c>
      <c r="CT1979" s="4">
        <v>0</v>
      </c>
      <c r="CU1979" s="4" t="s">
        <v>262</v>
      </c>
      <c r="CV1979" s="4" t="s">
        <v>263</v>
      </c>
      <c r="CW1979" s="4" t="s">
        <v>263</v>
      </c>
      <c r="CX1979" s="4" t="s">
        <v>264</v>
      </c>
      <c r="DA1979" s="6">
        <f>1</f>
        <v>1</v>
      </c>
      <c r="DC1979" s="4" t="s">
        <v>325</v>
      </c>
      <c r="DD1979" s="4" t="s">
        <v>241</v>
      </c>
      <c r="DF1979" s="4" t="s">
        <v>325</v>
      </c>
      <c r="DG1979" s="6">
        <f>445</f>
        <v>445</v>
      </c>
      <c r="DI1979" s="4" t="s">
        <v>241</v>
      </c>
      <c r="DJ1979" s="4" t="s">
        <v>241</v>
      </c>
      <c r="DK1979" s="4" t="s">
        <v>241</v>
      </c>
      <c r="DL1979" s="4" t="s">
        <v>241</v>
      </c>
      <c r="DP1979" s="4" t="s">
        <v>241</v>
      </c>
      <c r="DQ1979" s="4" t="s">
        <v>241</v>
      </c>
      <c r="DR1979" s="4" t="s">
        <v>241</v>
      </c>
      <c r="DS1979" s="4" t="s">
        <v>241</v>
      </c>
      <c r="DV1979" s="4" t="s">
        <v>426</v>
      </c>
      <c r="DW1979" s="4" t="s">
        <v>2503</v>
      </c>
      <c r="HO1979" s="4" t="s">
        <v>267</v>
      </c>
    </row>
    <row r="1980" spans="1:223" ht="19.5" customHeight="1" x14ac:dyDescent="0.4">
      <c r="A1980" s="4">
        <v>1</v>
      </c>
      <c r="B1980" s="4" t="s">
        <v>239</v>
      </c>
      <c r="C1980" s="4">
        <v>3683</v>
      </c>
      <c r="D1980" s="4">
        <v>1</v>
      </c>
      <c r="E1980" s="4">
        <v>1</v>
      </c>
      <c r="F1980" s="4" t="s">
        <v>268</v>
      </c>
      <c r="G1980" s="4" t="s">
        <v>241</v>
      </c>
      <c r="H1980" s="4" t="s">
        <v>241</v>
      </c>
      <c r="I1980" s="4" t="s">
        <v>424</v>
      </c>
      <c r="J1980" s="4" t="s">
        <v>274</v>
      </c>
      <c r="K1980" s="4" t="s">
        <v>251</v>
      </c>
      <c r="L1980" s="4" t="s">
        <v>423</v>
      </c>
      <c r="M1980" s="5" t="s">
        <v>3908</v>
      </c>
      <c r="N1980" s="6">
        <f>1544</f>
        <v>1544</v>
      </c>
      <c r="O1980" s="4" t="s">
        <v>265</v>
      </c>
      <c r="P1980" s="6">
        <f>1</f>
        <v>1</v>
      </c>
      <c r="Q1980" s="6">
        <f>0</f>
        <v>0</v>
      </c>
      <c r="S1980" s="6">
        <f>0</f>
        <v>0</v>
      </c>
      <c r="T1980" s="6">
        <f>1</f>
        <v>1</v>
      </c>
      <c r="U1980" s="5" t="s">
        <v>245</v>
      </c>
      <c r="V1980" s="4" t="s">
        <v>270</v>
      </c>
      <c r="W1980" s="4" t="s">
        <v>271</v>
      </c>
      <c r="X1980" s="4" t="s">
        <v>273</v>
      </c>
      <c r="Y1980" s="4" t="s">
        <v>241</v>
      </c>
      <c r="AB1980" s="4" t="s">
        <v>241</v>
      </c>
      <c r="AD1980" s="5" t="s">
        <v>241</v>
      </c>
      <c r="AG1980" s="5" t="s">
        <v>246</v>
      </c>
      <c r="AH1980" s="4" t="s">
        <v>241</v>
      </c>
      <c r="AI1980" s="4" t="s">
        <v>247</v>
      </c>
      <c r="AJ1980" s="4" t="s">
        <v>248</v>
      </c>
      <c r="AZ1980" s="4" t="s">
        <v>249</v>
      </c>
      <c r="BA1980" s="4" t="s">
        <v>241</v>
      </c>
      <c r="BB1980" s="4" t="s">
        <v>250</v>
      </c>
      <c r="BC1980" s="4" t="s">
        <v>241</v>
      </c>
      <c r="BD1980" s="4" t="s">
        <v>252</v>
      </c>
      <c r="BE1980" s="4" t="s">
        <v>241</v>
      </c>
      <c r="BI1980" s="4" t="s">
        <v>253</v>
      </c>
      <c r="BJ1980" s="5" t="s">
        <v>246</v>
      </c>
      <c r="BK1980" s="4" t="s">
        <v>254</v>
      </c>
      <c r="BL1980" s="4" t="s">
        <v>255</v>
      </c>
      <c r="BM1980" s="4" t="s">
        <v>241</v>
      </c>
      <c r="BN1980" s="6">
        <f>0</f>
        <v>0</v>
      </c>
      <c r="BO1980" s="6">
        <f>0</f>
        <v>0</v>
      </c>
      <c r="BP1980" s="4" t="s">
        <v>256</v>
      </c>
      <c r="BQ1980" s="4" t="s">
        <v>257</v>
      </c>
      <c r="CE1980" s="4" t="s">
        <v>241</v>
      </c>
      <c r="CF1980" s="4" t="s">
        <v>241</v>
      </c>
      <c r="CJ1980" s="4" t="s">
        <v>276</v>
      </c>
      <c r="CK1980" s="4" t="s">
        <v>259</v>
      </c>
      <c r="CL1980" s="4" t="s">
        <v>241</v>
      </c>
      <c r="CO1980" s="5" t="s">
        <v>260</v>
      </c>
      <c r="CP1980" s="4" t="s">
        <v>241</v>
      </c>
      <c r="CQ1980" s="4" t="s">
        <v>261</v>
      </c>
      <c r="CR1980" s="4" t="s">
        <v>241</v>
      </c>
      <c r="CS1980" s="4" t="s">
        <v>241</v>
      </c>
      <c r="CT1980" s="4">
        <v>0</v>
      </c>
      <c r="CU1980" s="4" t="s">
        <v>262</v>
      </c>
      <c r="CV1980" s="4" t="s">
        <v>263</v>
      </c>
      <c r="CW1980" s="4" t="s">
        <v>263</v>
      </c>
      <c r="CX1980" s="4" t="s">
        <v>264</v>
      </c>
      <c r="DA1980" s="6">
        <f>1</f>
        <v>1</v>
      </c>
      <c r="DC1980" s="4" t="s">
        <v>325</v>
      </c>
      <c r="DD1980" s="4" t="s">
        <v>241</v>
      </c>
      <c r="DF1980" s="4" t="s">
        <v>325</v>
      </c>
      <c r="DG1980" s="6">
        <f>1544</f>
        <v>1544</v>
      </c>
      <c r="DI1980" s="4" t="s">
        <v>241</v>
      </c>
      <c r="DJ1980" s="4" t="s">
        <v>241</v>
      </c>
      <c r="DK1980" s="4" t="s">
        <v>241</v>
      </c>
      <c r="DL1980" s="4" t="s">
        <v>241</v>
      </c>
      <c r="DP1980" s="4" t="s">
        <v>241</v>
      </c>
      <c r="DQ1980" s="4" t="s">
        <v>241</v>
      </c>
      <c r="DR1980" s="4" t="s">
        <v>241</v>
      </c>
      <c r="DS1980" s="4" t="s">
        <v>241</v>
      </c>
      <c r="DV1980" s="4" t="s">
        <v>426</v>
      </c>
      <c r="DW1980" s="4" t="s">
        <v>2500</v>
      </c>
      <c r="HO1980" s="4" t="s">
        <v>267</v>
      </c>
    </row>
    <row r="1981" spans="1:223" ht="19.5" customHeight="1" x14ac:dyDescent="0.4">
      <c r="A1981" s="4">
        <v>1</v>
      </c>
      <c r="B1981" s="4" t="s">
        <v>239</v>
      </c>
      <c r="C1981" s="4">
        <v>3684</v>
      </c>
      <c r="D1981" s="4">
        <v>1</v>
      </c>
      <c r="E1981" s="4">
        <v>1</v>
      </c>
      <c r="F1981" s="4" t="s">
        <v>268</v>
      </c>
      <c r="G1981" s="4" t="s">
        <v>241</v>
      </c>
      <c r="H1981" s="4" t="s">
        <v>241</v>
      </c>
      <c r="I1981" s="4" t="s">
        <v>424</v>
      </c>
      <c r="J1981" s="4" t="s">
        <v>274</v>
      </c>
      <c r="K1981" s="4" t="s">
        <v>251</v>
      </c>
      <c r="L1981" s="4" t="s">
        <v>423</v>
      </c>
      <c r="M1981" s="5" t="s">
        <v>3909</v>
      </c>
      <c r="N1981" s="6">
        <f>898</f>
        <v>898</v>
      </c>
      <c r="O1981" s="4" t="s">
        <v>265</v>
      </c>
      <c r="P1981" s="6">
        <f>1</f>
        <v>1</v>
      </c>
      <c r="Q1981" s="6">
        <f>0</f>
        <v>0</v>
      </c>
      <c r="S1981" s="6">
        <f>0</f>
        <v>0</v>
      </c>
      <c r="T1981" s="6">
        <f>1</f>
        <v>1</v>
      </c>
      <c r="U1981" s="5" t="s">
        <v>245</v>
      </c>
      <c r="V1981" s="4" t="s">
        <v>270</v>
      </c>
      <c r="W1981" s="4" t="s">
        <v>271</v>
      </c>
      <c r="X1981" s="4" t="s">
        <v>273</v>
      </c>
      <c r="Y1981" s="4" t="s">
        <v>241</v>
      </c>
      <c r="AB1981" s="4" t="s">
        <v>241</v>
      </c>
      <c r="AD1981" s="5" t="s">
        <v>241</v>
      </c>
      <c r="AG1981" s="5" t="s">
        <v>246</v>
      </c>
      <c r="AH1981" s="4" t="s">
        <v>241</v>
      </c>
      <c r="AI1981" s="4" t="s">
        <v>247</v>
      </c>
      <c r="AJ1981" s="4" t="s">
        <v>248</v>
      </c>
      <c r="AZ1981" s="4" t="s">
        <v>249</v>
      </c>
      <c r="BA1981" s="4" t="s">
        <v>241</v>
      </c>
      <c r="BB1981" s="4" t="s">
        <v>250</v>
      </c>
      <c r="BC1981" s="4" t="s">
        <v>241</v>
      </c>
      <c r="BD1981" s="4" t="s">
        <v>252</v>
      </c>
      <c r="BE1981" s="4" t="s">
        <v>241</v>
      </c>
      <c r="BI1981" s="4" t="s">
        <v>253</v>
      </c>
      <c r="BJ1981" s="5" t="s">
        <v>246</v>
      </c>
      <c r="BK1981" s="4" t="s">
        <v>254</v>
      </c>
      <c r="BL1981" s="4" t="s">
        <v>255</v>
      </c>
      <c r="BM1981" s="4" t="s">
        <v>241</v>
      </c>
      <c r="BN1981" s="6">
        <f>0</f>
        <v>0</v>
      </c>
      <c r="BO1981" s="6">
        <f>0</f>
        <v>0</v>
      </c>
      <c r="BP1981" s="4" t="s">
        <v>256</v>
      </c>
      <c r="BQ1981" s="4" t="s">
        <v>257</v>
      </c>
      <c r="CE1981" s="4" t="s">
        <v>241</v>
      </c>
      <c r="CF1981" s="4" t="s">
        <v>241</v>
      </c>
      <c r="CJ1981" s="4" t="s">
        <v>276</v>
      </c>
      <c r="CK1981" s="4" t="s">
        <v>259</v>
      </c>
      <c r="CL1981" s="4" t="s">
        <v>241</v>
      </c>
      <c r="CO1981" s="5" t="s">
        <v>260</v>
      </c>
      <c r="CP1981" s="4" t="s">
        <v>241</v>
      </c>
      <c r="CQ1981" s="4" t="s">
        <v>261</v>
      </c>
      <c r="CR1981" s="4" t="s">
        <v>241</v>
      </c>
      <c r="CS1981" s="4" t="s">
        <v>241</v>
      </c>
      <c r="CT1981" s="4">
        <v>0</v>
      </c>
      <c r="CU1981" s="4" t="s">
        <v>262</v>
      </c>
      <c r="CV1981" s="4" t="s">
        <v>263</v>
      </c>
      <c r="CW1981" s="4" t="s">
        <v>263</v>
      </c>
      <c r="CX1981" s="4" t="s">
        <v>264</v>
      </c>
      <c r="DA1981" s="6">
        <f>1</f>
        <v>1</v>
      </c>
      <c r="DC1981" s="4" t="s">
        <v>325</v>
      </c>
      <c r="DD1981" s="4" t="s">
        <v>241</v>
      </c>
      <c r="DF1981" s="4" t="s">
        <v>325</v>
      </c>
      <c r="DG1981" s="6">
        <f>898</f>
        <v>898</v>
      </c>
      <c r="DI1981" s="4" t="s">
        <v>241</v>
      </c>
      <c r="DJ1981" s="4" t="s">
        <v>241</v>
      </c>
      <c r="DK1981" s="4" t="s">
        <v>241</v>
      </c>
      <c r="DL1981" s="4" t="s">
        <v>241</v>
      </c>
      <c r="DP1981" s="4" t="s">
        <v>241</v>
      </c>
      <c r="DQ1981" s="4" t="s">
        <v>241</v>
      </c>
      <c r="DR1981" s="4" t="s">
        <v>241</v>
      </c>
      <c r="DS1981" s="4" t="s">
        <v>241</v>
      </c>
      <c r="DV1981" s="4" t="s">
        <v>426</v>
      </c>
      <c r="DW1981" s="4" t="s">
        <v>2665</v>
      </c>
      <c r="HO1981" s="4" t="s">
        <v>267</v>
      </c>
    </row>
    <row r="1982" spans="1:223" ht="19.5" customHeight="1" x14ac:dyDescent="0.4">
      <c r="A1982" s="4">
        <v>1</v>
      </c>
      <c r="B1982" s="4" t="s">
        <v>239</v>
      </c>
      <c r="C1982" s="4">
        <v>3685</v>
      </c>
      <c r="D1982" s="4">
        <v>1</v>
      </c>
      <c r="E1982" s="4">
        <v>1</v>
      </c>
      <c r="F1982" s="4" t="s">
        <v>268</v>
      </c>
      <c r="G1982" s="4" t="s">
        <v>241</v>
      </c>
      <c r="H1982" s="4" t="s">
        <v>241</v>
      </c>
      <c r="I1982" s="4" t="s">
        <v>424</v>
      </c>
      <c r="J1982" s="4" t="s">
        <v>274</v>
      </c>
      <c r="K1982" s="4" t="s">
        <v>251</v>
      </c>
      <c r="L1982" s="4" t="s">
        <v>423</v>
      </c>
      <c r="M1982" s="5" t="s">
        <v>3445</v>
      </c>
      <c r="N1982" s="6">
        <f>2183</f>
        <v>2183</v>
      </c>
      <c r="O1982" s="4" t="s">
        <v>265</v>
      </c>
      <c r="P1982" s="6">
        <f>1</f>
        <v>1</v>
      </c>
      <c r="Q1982" s="6">
        <f>0</f>
        <v>0</v>
      </c>
      <c r="S1982" s="6">
        <f>0</f>
        <v>0</v>
      </c>
      <c r="T1982" s="6">
        <f>1</f>
        <v>1</v>
      </c>
      <c r="U1982" s="5" t="s">
        <v>245</v>
      </c>
      <c r="V1982" s="4" t="s">
        <v>270</v>
      </c>
      <c r="W1982" s="4" t="s">
        <v>271</v>
      </c>
      <c r="X1982" s="4" t="s">
        <v>273</v>
      </c>
      <c r="Y1982" s="4" t="s">
        <v>241</v>
      </c>
      <c r="AB1982" s="4" t="s">
        <v>241</v>
      </c>
      <c r="AD1982" s="5" t="s">
        <v>241</v>
      </c>
      <c r="AG1982" s="5" t="s">
        <v>246</v>
      </c>
      <c r="AH1982" s="4" t="s">
        <v>241</v>
      </c>
      <c r="AI1982" s="4" t="s">
        <v>247</v>
      </c>
      <c r="AJ1982" s="4" t="s">
        <v>248</v>
      </c>
      <c r="AZ1982" s="4" t="s">
        <v>249</v>
      </c>
      <c r="BA1982" s="4" t="s">
        <v>241</v>
      </c>
      <c r="BB1982" s="4" t="s">
        <v>250</v>
      </c>
      <c r="BC1982" s="4" t="s">
        <v>241</v>
      </c>
      <c r="BD1982" s="4" t="s">
        <v>252</v>
      </c>
      <c r="BE1982" s="4" t="s">
        <v>241</v>
      </c>
      <c r="BI1982" s="4" t="s">
        <v>253</v>
      </c>
      <c r="BJ1982" s="5" t="s">
        <v>246</v>
      </c>
      <c r="BK1982" s="4" t="s">
        <v>254</v>
      </c>
      <c r="BL1982" s="4" t="s">
        <v>255</v>
      </c>
      <c r="BM1982" s="4" t="s">
        <v>241</v>
      </c>
      <c r="BN1982" s="6">
        <f>0</f>
        <v>0</v>
      </c>
      <c r="BO1982" s="6">
        <f>0</f>
        <v>0</v>
      </c>
      <c r="BP1982" s="4" t="s">
        <v>256</v>
      </c>
      <c r="BQ1982" s="4" t="s">
        <v>257</v>
      </c>
      <c r="CE1982" s="4" t="s">
        <v>241</v>
      </c>
      <c r="CF1982" s="4" t="s">
        <v>241</v>
      </c>
      <c r="CJ1982" s="4" t="s">
        <v>276</v>
      </c>
      <c r="CK1982" s="4" t="s">
        <v>259</v>
      </c>
      <c r="CL1982" s="4" t="s">
        <v>241</v>
      </c>
      <c r="CO1982" s="5" t="s">
        <v>260</v>
      </c>
      <c r="CP1982" s="4" t="s">
        <v>241</v>
      </c>
      <c r="CQ1982" s="4" t="s">
        <v>261</v>
      </c>
      <c r="CR1982" s="4" t="s">
        <v>241</v>
      </c>
      <c r="CS1982" s="4" t="s">
        <v>241</v>
      </c>
      <c r="CT1982" s="4">
        <v>0</v>
      </c>
      <c r="CU1982" s="4" t="s">
        <v>262</v>
      </c>
      <c r="CV1982" s="4" t="s">
        <v>263</v>
      </c>
      <c r="CW1982" s="4" t="s">
        <v>263</v>
      </c>
      <c r="CX1982" s="4" t="s">
        <v>264</v>
      </c>
      <c r="DA1982" s="6">
        <f>1</f>
        <v>1</v>
      </c>
      <c r="DC1982" s="4" t="s">
        <v>325</v>
      </c>
      <c r="DD1982" s="4" t="s">
        <v>241</v>
      </c>
      <c r="DF1982" s="4" t="s">
        <v>325</v>
      </c>
      <c r="DG1982" s="6">
        <f>2183</f>
        <v>2183</v>
      </c>
      <c r="DI1982" s="4" t="s">
        <v>241</v>
      </c>
      <c r="DJ1982" s="4" t="s">
        <v>241</v>
      </c>
      <c r="DK1982" s="4" t="s">
        <v>241</v>
      </c>
      <c r="DL1982" s="4" t="s">
        <v>241</v>
      </c>
      <c r="DP1982" s="4" t="s">
        <v>241</v>
      </c>
      <c r="DQ1982" s="4" t="s">
        <v>241</v>
      </c>
      <c r="DR1982" s="4" t="s">
        <v>241</v>
      </c>
      <c r="DS1982" s="4" t="s">
        <v>241</v>
      </c>
      <c r="DV1982" s="4" t="s">
        <v>426</v>
      </c>
      <c r="DW1982" s="4" t="s">
        <v>2497</v>
      </c>
      <c r="HO1982" s="4" t="s">
        <v>267</v>
      </c>
    </row>
    <row r="1983" spans="1:223" ht="19.5" customHeight="1" x14ac:dyDescent="0.4">
      <c r="A1983" s="4">
        <v>1</v>
      </c>
      <c r="B1983" s="4" t="s">
        <v>239</v>
      </c>
      <c r="C1983" s="4">
        <v>3686</v>
      </c>
      <c r="D1983" s="4">
        <v>1</v>
      </c>
      <c r="E1983" s="4">
        <v>1</v>
      </c>
      <c r="F1983" s="4" t="s">
        <v>268</v>
      </c>
      <c r="G1983" s="4" t="s">
        <v>241</v>
      </c>
      <c r="H1983" s="4" t="s">
        <v>241</v>
      </c>
      <c r="I1983" s="4" t="s">
        <v>424</v>
      </c>
      <c r="J1983" s="4" t="s">
        <v>274</v>
      </c>
      <c r="K1983" s="4" t="s">
        <v>251</v>
      </c>
      <c r="L1983" s="4" t="s">
        <v>423</v>
      </c>
      <c r="M1983" s="5" t="s">
        <v>3912</v>
      </c>
      <c r="N1983" s="6">
        <f>1502</f>
        <v>1502</v>
      </c>
      <c r="O1983" s="4" t="s">
        <v>265</v>
      </c>
      <c r="P1983" s="6">
        <f>1</f>
        <v>1</v>
      </c>
      <c r="Q1983" s="6">
        <f>0</f>
        <v>0</v>
      </c>
      <c r="S1983" s="6">
        <f>0</f>
        <v>0</v>
      </c>
      <c r="T1983" s="6">
        <f>1</f>
        <v>1</v>
      </c>
      <c r="U1983" s="5" t="s">
        <v>245</v>
      </c>
      <c r="V1983" s="4" t="s">
        <v>270</v>
      </c>
      <c r="W1983" s="4" t="s">
        <v>271</v>
      </c>
      <c r="X1983" s="4" t="s">
        <v>273</v>
      </c>
      <c r="Y1983" s="4" t="s">
        <v>241</v>
      </c>
      <c r="AB1983" s="4" t="s">
        <v>241</v>
      </c>
      <c r="AD1983" s="5" t="s">
        <v>241</v>
      </c>
      <c r="AG1983" s="5" t="s">
        <v>246</v>
      </c>
      <c r="AH1983" s="4" t="s">
        <v>241</v>
      </c>
      <c r="AI1983" s="4" t="s">
        <v>247</v>
      </c>
      <c r="AJ1983" s="4" t="s">
        <v>248</v>
      </c>
      <c r="AZ1983" s="4" t="s">
        <v>249</v>
      </c>
      <c r="BA1983" s="4" t="s">
        <v>241</v>
      </c>
      <c r="BB1983" s="4" t="s">
        <v>250</v>
      </c>
      <c r="BC1983" s="4" t="s">
        <v>241</v>
      </c>
      <c r="BD1983" s="4" t="s">
        <v>252</v>
      </c>
      <c r="BE1983" s="4" t="s">
        <v>241</v>
      </c>
      <c r="BI1983" s="4" t="s">
        <v>253</v>
      </c>
      <c r="BJ1983" s="5" t="s">
        <v>246</v>
      </c>
      <c r="BK1983" s="4" t="s">
        <v>254</v>
      </c>
      <c r="BL1983" s="4" t="s">
        <v>255</v>
      </c>
      <c r="BM1983" s="4" t="s">
        <v>241</v>
      </c>
      <c r="BN1983" s="6">
        <f>0</f>
        <v>0</v>
      </c>
      <c r="BO1983" s="6">
        <f>0</f>
        <v>0</v>
      </c>
      <c r="BP1983" s="4" t="s">
        <v>256</v>
      </c>
      <c r="BQ1983" s="4" t="s">
        <v>257</v>
      </c>
      <c r="CE1983" s="4" t="s">
        <v>241</v>
      </c>
      <c r="CF1983" s="4" t="s">
        <v>241</v>
      </c>
      <c r="CJ1983" s="4" t="s">
        <v>276</v>
      </c>
      <c r="CK1983" s="4" t="s">
        <v>259</v>
      </c>
      <c r="CL1983" s="4" t="s">
        <v>241</v>
      </c>
      <c r="CO1983" s="5" t="s">
        <v>260</v>
      </c>
      <c r="CP1983" s="4" t="s">
        <v>241</v>
      </c>
      <c r="CQ1983" s="4" t="s">
        <v>261</v>
      </c>
      <c r="CR1983" s="4" t="s">
        <v>241</v>
      </c>
      <c r="CS1983" s="4" t="s">
        <v>241</v>
      </c>
      <c r="CT1983" s="4">
        <v>0</v>
      </c>
      <c r="CU1983" s="4" t="s">
        <v>262</v>
      </c>
      <c r="CV1983" s="4" t="s">
        <v>263</v>
      </c>
      <c r="CW1983" s="4" t="s">
        <v>263</v>
      </c>
      <c r="CX1983" s="4" t="s">
        <v>264</v>
      </c>
      <c r="DA1983" s="6">
        <f>1</f>
        <v>1</v>
      </c>
      <c r="DC1983" s="4" t="s">
        <v>325</v>
      </c>
      <c r="DD1983" s="4" t="s">
        <v>241</v>
      </c>
      <c r="DF1983" s="4" t="s">
        <v>325</v>
      </c>
      <c r="DG1983" s="6">
        <f>1502</f>
        <v>1502</v>
      </c>
      <c r="DI1983" s="4" t="s">
        <v>241</v>
      </c>
      <c r="DJ1983" s="4" t="s">
        <v>241</v>
      </c>
      <c r="DK1983" s="4" t="s">
        <v>241</v>
      </c>
      <c r="DL1983" s="4" t="s">
        <v>241</v>
      </c>
      <c r="DP1983" s="4" t="s">
        <v>241</v>
      </c>
      <c r="DQ1983" s="4" t="s">
        <v>241</v>
      </c>
      <c r="DR1983" s="4" t="s">
        <v>241</v>
      </c>
      <c r="DS1983" s="4" t="s">
        <v>241</v>
      </c>
      <c r="DV1983" s="4" t="s">
        <v>426</v>
      </c>
      <c r="DW1983" s="4" t="s">
        <v>2669</v>
      </c>
      <c r="HO1983" s="4" t="s">
        <v>267</v>
      </c>
    </row>
    <row r="1984" spans="1:223" ht="19.5" customHeight="1" x14ac:dyDescent="0.4">
      <c r="A1984" s="4">
        <v>1</v>
      </c>
      <c r="B1984" s="4" t="s">
        <v>239</v>
      </c>
      <c r="C1984" s="4">
        <v>3687</v>
      </c>
      <c r="D1984" s="4">
        <v>1</v>
      </c>
      <c r="E1984" s="4">
        <v>1</v>
      </c>
      <c r="F1984" s="4" t="s">
        <v>268</v>
      </c>
      <c r="G1984" s="4" t="s">
        <v>241</v>
      </c>
      <c r="H1984" s="4" t="s">
        <v>241</v>
      </c>
      <c r="I1984" s="4" t="s">
        <v>424</v>
      </c>
      <c r="J1984" s="4" t="s">
        <v>274</v>
      </c>
      <c r="K1984" s="4" t="s">
        <v>251</v>
      </c>
      <c r="L1984" s="4" t="s">
        <v>423</v>
      </c>
      <c r="M1984" s="5" t="s">
        <v>3448</v>
      </c>
      <c r="N1984" s="6">
        <f>880</f>
        <v>880</v>
      </c>
      <c r="O1984" s="4" t="s">
        <v>265</v>
      </c>
      <c r="P1984" s="6">
        <f>1</f>
        <v>1</v>
      </c>
      <c r="Q1984" s="6">
        <f>0</f>
        <v>0</v>
      </c>
      <c r="S1984" s="6">
        <f>0</f>
        <v>0</v>
      </c>
      <c r="T1984" s="6">
        <f>1</f>
        <v>1</v>
      </c>
      <c r="U1984" s="5" t="s">
        <v>245</v>
      </c>
      <c r="V1984" s="4" t="s">
        <v>270</v>
      </c>
      <c r="W1984" s="4" t="s">
        <v>271</v>
      </c>
      <c r="X1984" s="4" t="s">
        <v>273</v>
      </c>
      <c r="Y1984" s="4" t="s">
        <v>241</v>
      </c>
      <c r="AB1984" s="4" t="s">
        <v>241</v>
      </c>
      <c r="AD1984" s="5" t="s">
        <v>241</v>
      </c>
      <c r="AG1984" s="5" t="s">
        <v>246</v>
      </c>
      <c r="AH1984" s="4" t="s">
        <v>241</v>
      </c>
      <c r="AI1984" s="4" t="s">
        <v>247</v>
      </c>
      <c r="AJ1984" s="4" t="s">
        <v>248</v>
      </c>
      <c r="AZ1984" s="4" t="s">
        <v>249</v>
      </c>
      <c r="BA1984" s="4" t="s">
        <v>241</v>
      </c>
      <c r="BB1984" s="4" t="s">
        <v>250</v>
      </c>
      <c r="BC1984" s="4" t="s">
        <v>241</v>
      </c>
      <c r="BD1984" s="4" t="s">
        <v>252</v>
      </c>
      <c r="BE1984" s="4" t="s">
        <v>241</v>
      </c>
      <c r="BI1984" s="4" t="s">
        <v>253</v>
      </c>
      <c r="BJ1984" s="5" t="s">
        <v>246</v>
      </c>
      <c r="BK1984" s="4" t="s">
        <v>254</v>
      </c>
      <c r="BL1984" s="4" t="s">
        <v>255</v>
      </c>
      <c r="BM1984" s="4" t="s">
        <v>241</v>
      </c>
      <c r="BN1984" s="6">
        <f>0</f>
        <v>0</v>
      </c>
      <c r="BO1984" s="6">
        <f>0</f>
        <v>0</v>
      </c>
      <c r="BP1984" s="4" t="s">
        <v>256</v>
      </c>
      <c r="BQ1984" s="4" t="s">
        <v>257</v>
      </c>
      <c r="CE1984" s="4" t="s">
        <v>241</v>
      </c>
      <c r="CF1984" s="4" t="s">
        <v>241</v>
      </c>
      <c r="CJ1984" s="4" t="s">
        <v>276</v>
      </c>
      <c r="CK1984" s="4" t="s">
        <v>259</v>
      </c>
      <c r="CL1984" s="4" t="s">
        <v>241</v>
      </c>
      <c r="CO1984" s="5" t="s">
        <v>260</v>
      </c>
      <c r="CP1984" s="4" t="s">
        <v>241</v>
      </c>
      <c r="CQ1984" s="4" t="s">
        <v>261</v>
      </c>
      <c r="CR1984" s="4" t="s">
        <v>241</v>
      </c>
      <c r="CS1984" s="4" t="s">
        <v>241</v>
      </c>
      <c r="CT1984" s="4">
        <v>0</v>
      </c>
      <c r="CU1984" s="4" t="s">
        <v>262</v>
      </c>
      <c r="CV1984" s="4" t="s">
        <v>263</v>
      </c>
      <c r="CW1984" s="4" t="s">
        <v>263</v>
      </c>
      <c r="CX1984" s="4" t="s">
        <v>264</v>
      </c>
      <c r="DA1984" s="6">
        <f>1</f>
        <v>1</v>
      </c>
      <c r="DC1984" s="4" t="s">
        <v>325</v>
      </c>
      <c r="DD1984" s="4" t="s">
        <v>241</v>
      </c>
      <c r="DF1984" s="4" t="s">
        <v>325</v>
      </c>
      <c r="DG1984" s="6">
        <f>880</f>
        <v>880</v>
      </c>
      <c r="DI1984" s="4" t="s">
        <v>241</v>
      </c>
      <c r="DJ1984" s="4" t="s">
        <v>241</v>
      </c>
      <c r="DK1984" s="4" t="s">
        <v>241</v>
      </c>
      <c r="DL1984" s="4" t="s">
        <v>241</v>
      </c>
      <c r="DP1984" s="4" t="s">
        <v>241</v>
      </c>
      <c r="DQ1984" s="4" t="s">
        <v>241</v>
      </c>
      <c r="DR1984" s="4" t="s">
        <v>241</v>
      </c>
      <c r="DS1984" s="4" t="s">
        <v>241</v>
      </c>
      <c r="DV1984" s="4" t="s">
        <v>426</v>
      </c>
      <c r="DW1984" s="4" t="s">
        <v>2673</v>
      </c>
      <c r="HO1984" s="4" t="s">
        <v>267</v>
      </c>
    </row>
    <row r="1985" spans="1:223" ht="19.5" customHeight="1" x14ac:dyDescent="0.4">
      <c r="A1985" s="4">
        <v>1</v>
      </c>
      <c r="B1985" s="4" t="s">
        <v>239</v>
      </c>
      <c r="C1985" s="4">
        <v>3688</v>
      </c>
      <c r="D1985" s="4">
        <v>1</v>
      </c>
      <c r="E1985" s="4">
        <v>1</v>
      </c>
      <c r="F1985" s="4" t="s">
        <v>268</v>
      </c>
      <c r="G1985" s="4" t="s">
        <v>241</v>
      </c>
      <c r="H1985" s="4" t="s">
        <v>241</v>
      </c>
      <c r="I1985" s="4" t="s">
        <v>424</v>
      </c>
      <c r="J1985" s="4" t="s">
        <v>274</v>
      </c>
      <c r="K1985" s="4" t="s">
        <v>251</v>
      </c>
      <c r="L1985" s="4" t="s">
        <v>423</v>
      </c>
      <c r="M1985" s="5" t="s">
        <v>4914</v>
      </c>
      <c r="N1985" s="6">
        <f>709</f>
        <v>709</v>
      </c>
      <c r="O1985" s="4" t="s">
        <v>265</v>
      </c>
      <c r="P1985" s="6">
        <f>1</f>
        <v>1</v>
      </c>
      <c r="Q1985" s="6">
        <f>0</f>
        <v>0</v>
      </c>
      <c r="S1985" s="6">
        <f>0</f>
        <v>0</v>
      </c>
      <c r="T1985" s="6">
        <f>1</f>
        <v>1</v>
      </c>
      <c r="U1985" s="5" t="s">
        <v>245</v>
      </c>
      <c r="V1985" s="4" t="s">
        <v>270</v>
      </c>
      <c r="W1985" s="4" t="s">
        <v>271</v>
      </c>
      <c r="X1985" s="4" t="s">
        <v>273</v>
      </c>
      <c r="Y1985" s="4" t="s">
        <v>241</v>
      </c>
      <c r="AB1985" s="4" t="s">
        <v>241</v>
      </c>
      <c r="AD1985" s="5" t="s">
        <v>241</v>
      </c>
      <c r="AG1985" s="5" t="s">
        <v>246</v>
      </c>
      <c r="AH1985" s="4" t="s">
        <v>241</v>
      </c>
      <c r="AI1985" s="4" t="s">
        <v>247</v>
      </c>
      <c r="AJ1985" s="4" t="s">
        <v>248</v>
      </c>
      <c r="AZ1985" s="4" t="s">
        <v>249</v>
      </c>
      <c r="BA1985" s="4" t="s">
        <v>241</v>
      </c>
      <c r="BB1985" s="4" t="s">
        <v>250</v>
      </c>
      <c r="BC1985" s="4" t="s">
        <v>241</v>
      </c>
      <c r="BD1985" s="4" t="s">
        <v>252</v>
      </c>
      <c r="BE1985" s="4" t="s">
        <v>241</v>
      </c>
      <c r="BI1985" s="4" t="s">
        <v>253</v>
      </c>
      <c r="BJ1985" s="5" t="s">
        <v>246</v>
      </c>
      <c r="BK1985" s="4" t="s">
        <v>254</v>
      </c>
      <c r="BL1985" s="4" t="s">
        <v>255</v>
      </c>
      <c r="BM1985" s="4" t="s">
        <v>241</v>
      </c>
      <c r="BN1985" s="6">
        <f>0</f>
        <v>0</v>
      </c>
      <c r="BO1985" s="6">
        <f>0</f>
        <v>0</v>
      </c>
      <c r="BP1985" s="4" t="s">
        <v>256</v>
      </c>
      <c r="BQ1985" s="4" t="s">
        <v>257</v>
      </c>
      <c r="CE1985" s="4" t="s">
        <v>241</v>
      </c>
      <c r="CF1985" s="4" t="s">
        <v>241</v>
      </c>
      <c r="CJ1985" s="4" t="s">
        <v>276</v>
      </c>
      <c r="CK1985" s="4" t="s">
        <v>259</v>
      </c>
      <c r="CL1985" s="4" t="s">
        <v>241</v>
      </c>
      <c r="CO1985" s="5" t="s">
        <v>260</v>
      </c>
      <c r="CP1985" s="4" t="s">
        <v>241</v>
      </c>
      <c r="CQ1985" s="4" t="s">
        <v>261</v>
      </c>
      <c r="CR1985" s="4" t="s">
        <v>241</v>
      </c>
      <c r="CS1985" s="4" t="s">
        <v>241</v>
      </c>
      <c r="CT1985" s="4">
        <v>0</v>
      </c>
      <c r="CU1985" s="4" t="s">
        <v>262</v>
      </c>
      <c r="CV1985" s="4" t="s">
        <v>263</v>
      </c>
      <c r="CW1985" s="4" t="s">
        <v>263</v>
      </c>
      <c r="CX1985" s="4" t="s">
        <v>264</v>
      </c>
      <c r="DA1985" s="6">
        <f>1</f>
        <v>1</v>
      </c>
      <c r="DC1985" s="4" t="s">
        <v>325</v>
      </c>
      <c r="DD1985" s="4" t="s">
        <v>241</v>
      </c>
      <c r="DF1985" s="4" t="s">
        <v>325</v>
      </c>
      <c r="DG1985" s="6">
        <f>709</f>
        <v>709</v>
      </c>
      <c r="DI1985" s="4" t="s">
        <v>241</v>
      </c>
      <c r="DJ1985" s="4" t="s">
        <v>241</v>
      </c>
      <c r="DK1985" s="4" t="s">
        <v>241</v>
      </c>
      <c r="DL1985" s="4" t="s">
        <v>241</v>
      </c>
      <c r="DP1985" s="4" t="s">
        <v>241</v>
      </c>
      <c r="DQ1985" s="4" t="s">
        <v>241</v>
      </c>
      <c r="DR1985" s="4" t="s">
        <v>241</v>
      </c>
      <c r="DS1985" s="4" t="s">
        <v>241</v>
      </c>
      <c r="DV1985" s="4" t="s">
        <v>426</v>
      </c>
      <c r="DW1985" s="4" t="s">
        <v>2403</v>
      </c>
      <c r="HO1985" s="4" t="s">
        <v>267</v>
      </c>
    </row>
    <row r="1986" spans="1:223" ht="19.5" customHeight="1" x14ac:dyDescent="0.4">
      <c r="A1986" s="4">
        <v>1</v>
      </c>
      <c r="B1986" s="4" t="s">
        <v>239</v>
      </c>
      <c r="C1986" s="4">
        <v>3689</v>
      </c>
      <c r="D1986" s="4">
        <v>1</v>
      </c>
      <c r="E1986" s="4">
        <v>1</v>
      </c>
      <c r="F1986" s="4" t="s">
        <v>268</v>
      </c>
      <c r="G1986" s="4" t="s">
        <v>241</v>
      </c>
      <c r="H1986" s="4" t="s">
        <v>241</v>
      </c>
      <c r="I1986" s="4" t="s">
        <v>424</v>
      </c>
      <c r="J1986" s="4" t="s">
        <v>274</v>
      </c>
      <c r="K1986" s="4" t="s">
        <v>251</v>
      </c>
      <c r="L1986" s="4" t="s">
        <v>423</v>
      </c>
      <c r="M1986" s="5" t="s">
        <v>3326</v>
      </c>
      <c r="N1986" s="6">
        <f>173</f>
        <v>173</v>
      </c>
      <c r="O1986" s="4" t="s">
        <v>265</v>
      </c>
      <c r="P1986" s="6">
        <f>1</f>
        <v>1</v>
      </c>
      <c r="Q1986" s="6">
        <f>0</f>
        <v>0</v>
      </c>
      <c r="S1986" s="6">
        <f>0</f>
        <v>0</v>
      </c>
      <c r="T1986" s="6">
        <f>1</f>
        <v>1</v>
      </c>
      <c r="U1986" s="5" t="s">
        <v>245</v>
      </c>
      <c r="V1986" s="4" t="s">
        <v>270</v>
      </c>
      <c r="W1986" s="4" t="s">
        <v>271</v>
      </c>
      <c r="X1986" s="4" t="s">
        <v>273</v>
      </c>
      <c r="Y1986" s="4" t="s">
        <v>241</v>
      </c>
      <c r="AB1986" s="4" t="s">
        <v>241</v>
      </c>
      <c r="AD1986" s="5" t="s">
        <v>241</v>
      </c>
      <c r="AG1986" s="5" t="s">
        <v>246</v>
      </c>
      <c r="AH1986" s="4" t="s">
        <v>241</v>
      </c>
      <c r="AI1986" s="4" t="s">
        <v>247</v>
      </c>
      <c r="AJ1986" s="4" t="s">
        <v>248</v>
      </c>
      <c r="AZ1986" s="4" t="s">
        <v>249</v>
      </c>
      <c r="BA1986" s="4" t="s">
        <v>241</v>
      </c>
      <c r="BB1986" s="4" t="s">
        <v>250</v>
      </c>
      <c r="BC1986" s="4" t="s">
        <v>241</v>
      </c>
      <c r="BD1986" s="4" t="s">
        <v>252</v>
      </c>
      <c r="BE1986" s="4" t="s">
        <v>241</v>
      </c>
      <c r="BI1986" s="4" t="s">
        <v>253</v>
      </c>
      <c r="BJ1986" s="5" t="s">
        <v>246</v>
      </c>
      <c r="BK1986" s="4" t="s">
        <v>254</v>
      </c>
      <c r="BL1986" s="4" t="s">
        <v>255</v>
      </c>
      <c r="BM1986" s="4" t="s">
        <v>241</v>
      </c>
      <c r="BN1986" s="6">
        <f>0</f>
        <v>0</v>
      </c>
      <c r="BO1986" s="6">
        <f>0</f>
        <v>0</v>
      </c>
      <c r="BP1986" s="4" t="s">
        <v>256</v>
      </c>
      <c r="BQ1986" s="4" t="s">
        <v>257</v>
      </c>
      <c r="CE1986" s="4" t="s">
        <v>241</v>
      </c>
      <c r="CF1986" s="4" t="s">
        <v>241</v>
      </c>
      <c r="CJ1986" s="4" t="s">
        <v>276</v>
      </c>
      <c r="CK1986" s="4" t="s">
        <v>259</v>
      </c>
      <c r="CL1986" s="4" t="s">
        <v>241</v>
      </c>
      <c r="CO1986" s="5" t="s">
        <v>260</v>
      </c>
      <c r="CP1986" s="4" t="s">
        <v>241</v>
      </c>
      <c r="CQ1986" s="4" t="s">
        <v>261</v>
      </c>
      <c r="CR1986" s="4" t="s">
        <v>241</v>
      </c>
      <c r="CS1986" s="4" t="s">
        <v>241</v>
      </c>
      <c r="CT1986" s="4">
        <v>0</v>
      </c>
      <c r="CU1986" s="4" t="s">
        <v>262</v>
      </c>
      <c r="CV1986" s="4" t="s">
        <v>263</v>
      </c>
      <c r="CW1986" s="4" t="s">
        <v>263</v>
      </c>
      <c r="CX1986" s="4" t="s">
        <v>264</v>
      </c>
      <c r="DA1986" s="6">
        <f>1</f>
        <v>1</v>
      </c>
      <c r="DC1986" s="4" t="s">
        <v>325</v>
      </c>
      <c r="DD1986" s="4" t="s">
        <v>241</v>
      </c>
      <c r="DF1986" s="4" t="s">
        <v>325</v>
      </c>
      <c r="DG1986" s="6">
        <f>173</f>
        <v>173</v>
      </c>
      <c r="DI1986" s="4" t="s">
        <v>241</v>
      </c>
      <c r="DJ1986" s="4" t="s">
        <v>241</v>
      </c>
      <c r="DK1986" s="4" t="s">
        <v>241</v>
      </c>
      <c r="DL1986" s="4" t="s">
        <v>241</v>
      </c>
      <c r="DP1986" s="4" t="s">
        <v>241</v>
      </c>
      <c r="DQ1986" s="4" t="s">
        <v>241</v>
      </c>
      <c r="DR1986" s="4" t="s">
        <v>241</v>
      </c>
      <c r="DS1986" s="4" t="s">
        <v>241</v>
      </c>
      <c r="DV1986" s="4" t="s">
        <v>426</v>
      </c>
      <c r="DW1986" s="4" t="s">
        <v>2469</v>
      </c>
      <c r="HO1986" s="4" t="s">
        <v>267</v>
      </c>
    </row>
    <row r="1987" spans="1:223" ht="19.5" customHeight="1" x14ac:dyDescent="0.4">
      <c r="A1987" s="4">
        <v>1</v>
      </c>
      <c r="B1987" s="4" t="s">
        <v>239</v>
      </c>
      <c r="C1987" s="4">
        <v>3690</v>
      </c>
      <c r="D1987" s="4">
        <v>1</v>
      </c>
      <c r="E1987" s="4">
        <v>1</v>
      </c>
      <c r="F1987" s="4" t="s">
        <v>268</v>
      </c>
      <c r="G1987" s="4" t="s">
        <v>241</v>
      </c>
      <c r="H1987" s="4" t="s">
        <v>241</v>
      </c>
      <c r="I1987" s="4" t="s">
        <v>424</v>
      </c>
      <c r="J1987" s="4" t="s">
        <v>274</v>
      </c>
      <c r="K1987" s="4" t="s">
        <v>251</v>
      </c>
      <c r="L1987" s="4" t="s">
        <v>423</v>
      </c>
      <c r="M1987" s="5" t="s">
        <v>612</v>
      </c>
      <c r="N1987" s="6">
        <f>564</f>
        <v>564</v>
      </c>
      <c r="O1987" s="4" t="s">
        <v>265</v>
      </c>
      <c r="P1987" s="6">
        <f>1</f>
        <v>1</v>
      </c>
      <c r="Q1987" s="6">
        <f>0</f>
        <v>0</v>
      </c>
      <c r="S1987" s="6">
        <f>0</f>
        <v>0</v>
      </c>
      <c r="T1987" s="6">
        <f>1</f>
        <v>1</v>
      </c>
      <c r="U1987" s="5" t="s">
        <v>245</v>
      </c>
      <c r="V1987" s="4" t="s">
        <v>270</v>
      </c>
      <c r="W1987" s="4" t="s">
        <v>271</v>
      </c>
      <c r="X1987" s="4" t="s">
        <v>273</v>
      </c>
      <c r="Y1987" s="4" t="s">
        <v>241</v>
      </c>
      <c r="AB1987" s="4" t="s">
        <v>241</v>
      </c>
      <c r="AD1987" s="5" t="s">
        <v>241</v>
      </c>
      <c r="AG1987" s="5" t="s">
        <v>246</v>
      </c>
      <c r="AH1987" s="4" t="s">
        <v>241</v>
      </c>
      <c r="AI1987" s="4" t="s">
        <v>247</v>
      </c>
      <c r="AJ1987" s="4" t="s">
        <v>248</v>
      </c>
      <c r="AZ1987" s="4" t="s">
        <v>249</v>
      </c>
      <c r="BA1987" s="4" t="s">
        <v>241</v>
      </c>
      <c r="BB1987" s="4" t="s">
        <v>250</v>
      </c>
      <c r="BC1987" s="4" t="s">
        <v>241</v>
      </c>
      <c r="BD1987" s="4" t="s">
        <v>252</v>
      </c>
      <c r="BE1987" s="4" t="s">
        <v>241</v>
      </c>
      <c r="BI1987" s="4" t="s">
        <v>253</v>
      </c>
      <c r="BJ1987" s="5" t="s">
        <v>246</v>
      </c>
      <c r="BK1987" s="4" t="s">
        <v>254</v>
      </c>
      <c r="BL1987" s="4" t="s">
        <v>255</v>
      </c>
      <c r="BM1987" s="4" t="s">
        <v>241</v>
      </c>
      <c r="BN1987" s="6">
        <f>0</f>
        <v>0</v>
      </c>
      <c r="BO1987" s="6">
        <f>0</f>
        <v>0</v>
      </c>
      <c r="BP1987" s="4" t="s">
        <v>256</v>
      </c>
      <c r="BQ1987" s="4" t="s">
        <v>257</v>
      </c>
      <c r="CE1987" s="4" t="s">
        <v>241</v>
      </c>
      <c r="CF1987" s="4" t="s">
        <v>241</v>
      </c>
      <c r="CJ1987" s="4" t="s">
        <v>276</v>
      </c>
      <c r="CK1987" s="4" t="s">
        <v>259</v>
      </c>
      <c r="CL1987" s="4" t="s">
        <v>241</v>
      </c>
      <c r="CO1987" s="5" t="s">
        <v>260</v>
      </c>
      <c r="CP1987" s="4" t="s">
        <v>241</v>
      </c>
      <c r="CQ1987" s="4" t="s">
        <v>261</v>
      </c>
      <c r="CR1987" s="4" t="s">
        <v>241</v>
      </c>
      <c r="CS1987" s="4" t="s">
        <v>241</v>
      </c>
      <c r="CT1987" s="4">
        <v>0</v>
      </c>
      <c r="CU1987" s="4" t="s">
        <v>262</v>
      </c>
      <c r="CV1987" s="4" t="s">
        <v>263</v>
      </c>
      <c r="CW1987" s="4" t="s">
        <v>263</v>
      </c>
      <c r="CX1987" s="4" t="s">
        <v>264</v>
      </c>
      <c r="DA1987" s="6">
        <f>1</f>
        <v>1</v>
      </c>
      <c r="DC1987" s="4" t="s">
        <v>325</v>
      </c>
      <c r="DD1987" s="4" t="s">
        <v>241</v>
      </c>
      <c r="DF1987" s="4" t="s">
        <v>325</v>
      </c>
      <c r="DG1987" s="6">
        <f>564</f>
        <v>564</v>
      </c>
      <c r="DI1987" s="4" t="s">
        <v>241</v>
      </c>
      <c r="DJ1987" s="4" t="s">
        <v>241</v>
      </c>
      <c r="DK1987" s="4" t="s">
        <v>241</v>
      </c>
      <c r="DL1987" s="4" t="s">
        <v>241</v>
      </c>
      <c r="DP1987" s="4" t="s">
        <v>241</v>
      </c>
      <c r="DQ1987" s="4" t="s">
        <v>241</v>
      </c>
      <c r="DR1987" s="4" t="s">
        <v>241</v>
      </c>
      <c r="DS1987" s="4" t="s">
        <v>241</v>
      </c>
      <c r="DV1987" s="4" t="s">
        <v>426</v>
      </c>
      <c r="DW1987" s="4" t="s">
        <v>613</v>
      </c>
      <c r="HO1987" s="4" t="s">
        <v>267</v>
      </c>
    </row>
    <row r="1988" spans="1:223" ht="19.5" customHeight="1" x14ac:dyDescent="0.4">
      <c r="A1988" s="4">
        <v>1</v>
      </c>
      <c r="B1988" s="4" t="s">
        <v>239</v>
      </c>
      <c r="C1988" s="4">
        <v>3691</v>
      </c>
      <c r="D1988" s="4">
        <v>1</v>
      </c>
      <c r="E1988" s="4">
        <v>1</v>
      </c>
      <c r="F1988" s="4" t="s">
        <v>268</v>
      </c>
      <c r="G1988" s="4" t="s">
        <v>241</v>
      </c>
      <c r="H1988" s="4" t="s">
        <v>241</v>
      </c>
      <c r="I1988" s="4" t="s">
        <v>424</v>
      </c>
      <c r="J1988" s="4" t="s">
        <v>274</v>
      </c>
      <c r="K1988" s="4" t="s">
        <v>251</v>
      </c>
      <c r="L1988" s="4" t="s">
        <v>423</v>
      </c>
      <c r="M1988" s="5" t="s">
        <v>3922</v>
      </c>
      <c r="N1988" s="6">
        <f>1116</f>
        <v>1116</v>
      </c>
      <c r="O1988" s="4" t="s">
        <v>265</v>
      </c>
      <c r="P1988" s="6">
        <f>1</f>
        <v>1</v>
      </c>
      <c r="Q1988" s="6">
        <f>0</f>
        <v>0</v>
      </c>
      <c r="S1988" s="6">
        <f>0</f>
        <v>0</v>
      </c>
      <c r="T1988" s="6">
        <f>1</f>
        <v>1</v>
      </c>
      <c r="U1988" s="5" t="s">
        <v>245</v>
      </c>
      <c r="V1988" s="4" t="s">
        <v>270</v>
      </c>
      <c r="W1988" s="4" t="s">
        <v>271</v>
      </c>
      <c r="X1988" s="4" t="s">
        <v>273</v>
      </c>
      <c r="Y1988" s="4" t="s">
        <v>241</v>
      </c>
      <c r="AB1988" s="4" t="s">
        <v>241</v>
      </c>
      <c r="AD1988" s="5" t="s">
        <v>241</v>
      </c>
      <c r="AG1988" s="5" t="s">
        <v>246</v>
      </c>
      <c r="AH1988" s="4" t="s">
        <v>241</v>
      </c>
      <c r="AI1988" s="4" t="s">
        <v>247</v>
      </c>
      <c r="AJ1988" s="4" t="s">
        <v>248</v>
      </c>
      <c r="AZ1988" s="4" t="s">
        <v>249</v>
      </c>
      <c r="BA1988" s="4" t="s">
        <v>241</v>
      </c>
      <c r="BB1988" s="4" t="s">
        <v>250</v>
      </c>
      <c r="BC1988" s="4" t="s">
        <v>241</v>
      </c>
      <c r="BD1988" s="4" t="s">
        <v>252</v>
      </c>
      <c r="BE1988" s="4" t="s">
        <v>241</v>
      </c>
      <c r="BI1988" s="4" t="s">
        <v>253</v>
      </c>
      <c r="BJ1988" s="5" t="s">
        <v>246</v>
      </c>
      <c r="BK1988" s="4" t="s">
        <v>254</v>
      </c>
      <c r="BL1988" s="4" t="s">
        <v>255</v>
      </c>
      <c r="BM1988" s="4" t="s">
        <v>241</v>
      </c>
      <c r="BN1988" s="6">
        <f>0</f>
        <v>0</v>
      </c>
      <c r="BO1988" s="6">
        <f>0</f>
        <v>0</v>
      </c>
      <c r="BP1988" s="4" t="s">
        <v>256</v>
      </c>
      <c r="BQ1988" s="4" t="s">
        <v>257</v>
      </c>
      <c r="CE1988" s="4" t="s">
        <v>241</v>
      </c>
      <c r="CF1988" s="4" t="s">
        <v>241</v>
      </c>
      <c r="CJ1988" s="4" t="s">
        <v>276</v>
      </c>
      <c r="CK1988" s="4" t="s">
        <v>259</v>
      </c>
      <c r="CL1988" s="4" t="s">
        <v>241</v>
      </c>
      <c r="CO1988" s="5" t="s">
        <v>260</v>
      </c>
      <c r="CP1988" s="4" t="s">
        <v>241</v>
      </c>
      <c r="CQ1988" s="4" t="s">
        <v>261</v>
      </c>
      <c r="CR1988" s="4" t="s">
        <v>241</v>
      </c>
      <c r="CS1988" s="4" t="s">
        <v>241</v>
      </c>
      <c r="CT1988" s="4">
        <v>0</v>
      </c>
      <c r="CU1988" s="4" t="s">
        <v>262</v>
      </c>
      <c r="CV1988" s="4" t="s">
        <v>263</v>
      </c>
      <c r="CW1988" s="4" t="s">
        <v>263</v>
      </c>
      <c r="CX1988" s="4" t="s">
        <v>264</v>
      </c>
      <c r="DA1988" s="6">
        <f>1</f>
        <v>1</v>
      </c>
      <c r="DC1988" s="4" t="s">
        <v>325</v>
      </c>
      <c r="DD1988" s="4" t="s">
        <v>241</v>
      </c>
      <c r="DF1988" s="4" t="s">
        <v>325</v>
      </c>
      <c r="DG1988" s="6">
        <f>1116</f>
        <v>1116</v>
      </c>
      <c r="DI1988" s="4" t="s">
        <v>241</v>
      </c>
      <c r="DJ1988" s="4" t="s">
        <v>241</v>
      </c>
      <c r="DK1988" s="4" t="s">
        <v>241</v>
      </c>
      <c r="DL1988" s="4" t="s">
        <v>241</v>
      </c>
      <c r="DP1988" s="4" t="s">
        <v>241</v>
      </c>
      <c r="DQ1988" s="4" t="s">
        <v>241</v>
      </c>
      <c r="DR1988" s="4" t="s">
        <v>241</v>
      </c>
      <c r="DS1988" s="4" t="s">
        <v>241</v>
      </c>
      <c r="DV1988" s="4" t="s">
        <v>426</v>
      </c>
      <c r="DW1988" s="4" t="s">
        <v>2478</v>
      </c>
      <c r="HO1988" s="4" t="s">
        <v>267</v>
      </c>
    </row>
    <row r="1989" spans="1:223" ht="19.5" customHeight="1" x14ac:dyDescent="0.4">
      <c r="A1989" s="4">
        <v>1</v>
      </c>
      <c r="B1989" s="4" t="s">
        <v>239</v>
      </c>
      <c r="C1989" s="4">
        <v>3692</v>
      </c>
      <c r="D1989" s="4">
        <v>1</v>
      </c>
      <c r="E1989" s="4">
        <v>1</v>
      </c>
      <c r="F1989" s="4" t="s">
        <v>268</v>
      </c>
      <c r="G1989" s="4" t="s">
        <v>241</v>
      </c>
      <c r="H1989" s="4" t="s">
        <v>241</v>
      </c>
      <c r="I1989" s="4" t="s">
        <v>424</v>
      </c>
      <c r="J1989" s="4" t="s">
        <v>274</v>
      </c>
      <c r="K1989" s="4" t="s">
        <v>251</v>
      </c>
      <c r="L1989" s="4" t="s">
        <v>423</v>
      </c>
      <c r="M1989" s="5" t="s">
        <v>3923</v>
      </c>
      <c r="N1989" s="6">
        <f>1437</f>
        <v>1437</v>
      </c>
      <c r="O1989" s="4" t="s">
        <v>265</v>
      </c>
      <c r="P1989" s="6">
        <f>1</f>
        <v>1</v>
      </c>
      <c r="Q1989" s="6">
        <f>0</f>
        <v>0</v>
      </c>
      <c r="S1989" s="6">
        <f>0</f>
        <v>0</v>
      </c>
      <c r="T1989" s="6">
        <f>1</f>
        <v>1</v>
      </c>
      <c r="U1989" s="5" t="s">
        <v>245</v>
      </c>
      <c r="V1989" s="4" t="s">
        <v>270</v>
      </c>
      <c r="W1989" s="4" t="s">
        <v>271</v>
      </c>
      <c r="X1989" s="4" t="s">
        <v>273</v>
      </c>
      <c r="Y1989" s="4" t="s">
        <v>241</v>
      </c>
      <c r="AB1989" s="4" t="s">
        <v>241</v>
      </c>
      <c r="AD1989" s="5" t="s">
        <v>241</v>
      </c>
      <c r="AG1989" s="5" t="s">
        <v>246</v>
      </c>
      <c r="AH1989" s="4" t="s">
        <v>241</v>
      </c>
      <c r="AI1989" s="4" t="s">
        <v>247</v>
      </c>
      <c r="AJ1989" s="4" t="s">
        <v>248</v>
      </c>
      <c r="AZ1989" s="4" t="s">
        <v>249</v>
      </c>
      <c r="BA1989" s="4" t="s">
        <v>241</v>
      </c>
      <c r="BB1989" s="4" t="s">
        <v>250</v>
      </c>
      <c r="BC1989" s="4" t="s">
        <v>241</v>
      </c>
      <c r="BD1989" s="4" t="s">
        <v>252</v>
      </c>
      <c r="BE1989" s="4" t="s">
        <v>241</v>
      </c>
      <c r="BI1989" s="4" t="s">
        <v>253</v>
      </c>
      <c r="BJ1989" s="5" t="s">
        <v>246</v>
      </c>
      <c r="BK1989" s="4" t="s">
        <v>254</v>
      </c>
      <c r="BL1989" s="4" t="s">
        <v>255</v>
      </c>
      <c r="BM1989" s="4" t="s">
        <v>241</v>
      </c>
      <c r="BN1989" s="6">
        <f>0</f>
        <v>0</v>
      </c>
      <c r="BO1989" s="6">
        <f>0</f>
        <v>0</v>
      </c>
      <c r="BP1989" s="4" t="s">
        <v>256</v>
      </c>
      <c r="BQ1989" s="4" t="s">
        <v>257</v>
      </c>
      <c r="CE1989" s="4" t="s">
        <v>241</v>
      </c>
      <c r="CF1989" s="4" t="s">
        <v>241</v>
      </c>
      <c r="CJ1989" s="4" t="s">
        <v>276</v>
      </c>
      <c r="CK1989" s="4" t="s">
        <v>259</v>
      </c>
      <c r="CL1989" s="4" t="s">
        <v>241</v>
      </c>
      <c r="CO1989" s="5" t="s">
        <v>260</v>
      </c>
      <c r="CP1989" s="4" t="s">
        <v>241</v>
      </c>
      <c r="CQ1989" s="4" t="s">
        <v>261</v>
      </c>
      <c r="CR1989" s="4" t="s">
        <v>241</v>
      </c>
      <c r="CS1989" s="4" t="s">
        <v>241</v>
      </c>
      <c r="CT1989" s="4">
        <v>0</v>
      </c>
      <c r="CU1989" s="4" t="s">
        <v>262</v>
      </c>
      <c r="CV1989" s="4" t="s">
        <v>263</v>
      </c>
      <c r="CW1989" s="4" t="s">
        <v>263</v>
      </c>
      <c r="CX1989" s="4" t="s">
        <v>264</v>
      </c>
      <c r="DA1989" s="6">
        <f>1</f>
        <v>1</v>
      </c>
      <c r="DC1989" s="4" t="s">
        <v>325</v>
      </c>
      <c r="DD1989" s="4" t="s">
        <v>241</v>
      </c>
      <c r="DF1989" s="4" t="s">
        <v>325</v>
      </c>
      <c r="DG1989" s="6">
        <f>1437</f>
        <v>1437</v>
      </c>
      <c r="DI1989" s="4" t="s">
        <v>241</v>
      </c>
      <c r="DJ1989" s="4" t="s">
        <v>241</v>
      </c>
      <c r="DK1989" s="4" t="s">
        <v>241</v>
      </c>
      <c r="DL1989" s="4" t="s">
        <v>241</v>
      </c>
      <c r="DP1989" s="4" t="s">
        <v>241</v>
      </c>
      <c r="DQ1989" s="4" t="s">
        <v>241</v>
      </c>
      <c r="DR1989" s="4" t="s">
        <v>241</v>
      </c>
      <c r="DS1989" s="4" t="s">
        <v>241</v>
      </c>
      <c r="DV1989" s="4" t="s">
        <v>426</v>
      </c>
      <c r="DW1989" s="4" t="s">
        <v>2717</v>
      </c>
      <c r="HO1989" s="4" t="s">
        <v>267</v>
      </c>
    </row>
    <row r="1990" spans="1:223" ht="19.5" customHeight="1" x14ac:dyDescent="0.4">
      <c r="A1990" s="4">
        <v>1</v>
      </c>
      <c r="B1990" s="4" t="s">
        <v>239</v>
      </c>
      <c r="C1990" s="4">
        <v>3693</v>
      </c>
      <c r="D1990" s="4">
        <v>1</v>
      </c>
      <c r="E1990" s="4">
        <v>1</v>
      </c>
      <c r="F1990" s="4" t="s">
        <v>268</v>
      </c>
      <c r="G1990" s="4" t="s">
        <v>241</v>
      </c>
      <c r="H1990" s="4" t="s">
        <v>241</v>
      </c>
      <c r="I1990" s="4" t="s">
        <v>424</v>
      </c>
      <c r="J1990" s="4" t="s">
        <v>274</v>
      </c>
      <c r="K1990" s="4" t="s">
        <v>251</v>
      </c>
      <c r="L1990" s="4" t="s">
        <v>423</v>
      </c>
      <c r="M1990" s="5" t="s">
        <v>4044</v>
      </c>
      <c r="N1990" s="6">
        <f>506</f>
        <v>506</v>
      </c>
      <c r="O1990" s="4" t="s">
        <v>265</v>
      </c>
      <c r="P1990" s="6">
        <f>1</f>
        <v>1</v>
      </c>
      <c r="Q1990" s="6">
        <f>0</f>
        <v>0</v>
      </c>
      <c r="S1990" s="6">
        <f>0</f>
        <v>0</v>
      </c>
      <c r="T1990" s="6">
        <f>1</f>
        <v>1</v>
      </c>
      <c r="U1990" s="5" t="s">
        <v>245</v>
      </c>
      <c r="V1990" s="4" t="s">
        <v>270</v>
      </c>
      <c r="W1990" s="4" t="s">
        <v>271</v>
      </c>
      <c r="X1990" s="4" t="s">
        <v>273</v>
      </c>
      <c r="Y1990" s="4" t="s">
        <v>241</v>
      </c>
      <c r="AB1990" s="4" t="s">
        <v>241</v>
      </c>
      <c r="AD1990" s="5" t="s">
        <v>241</v>
      </c>
      <c r="AG1990" s="5" t="s">
        <v>246</v>
      </c>
      <c r="AH1990" s="4" t="s">
        <v>241</v>
      </c>
      <c r="AI1990" s="4" t="s">
        <v>247</v>
      </c>
      <c r="AJ1990" s="4" t="s">
        <v>248</v>
      </c>
      <c r="AZ1990" s="4" t="s">
        <v>249</v>
      </c>
      <c r="BA1990" s="4" t="s">
        <v>241</v>
      </c>
      <c r="BB1990" s="4" t="s">
        <v>250</v>
      </c>
      <c r="BC1990" s="4" t="s">
        <v>241</v>
      </c>
      <c r="BD1990" s="4" t="s">
        <v>252</v>
      </c>
      <c r="BE1990" s="4" t="s">
        <v>241</v>
      </c>
      <c r="BI1990" s="4" t="s">
        <v>253</v>
      </c>
      <c r="BJ1990" s="5" t="s">
        <v>246</v>
      </c>
      <c r="BK1990" s="4" t="s">
        <v>254</v>
      </c>
      <c r="BL1990" s="4" t="s">
        <v>255</v>
      </c>
      <c r="BM1990" s="4" t="s">
        <v>241</v>
      </c>
      <c r="BN1990" s="6">
        <f>0</f>
        <v>0</v>
      </c>
      <c r="BO1990" s="6">
        <f>0</f>
        <v>0</v>
      </c>
      <c r="BP1990" s="4" t="s">
        <v>256</v>
      </c>
      <c r="BQ1990" s="4" t="s">
        <v>257</v>
      </c>
      <c r="CE1990" s="4" t="s">
        <v>241</v>
      </c>
      <c r="CF1990" s="4" t="s">
        <v>241</v>
      </c>
      <c r="CJ1990" s="4" t="s">
        <v>276</v>
      </c>
      <c r="CK1990" s="4" t="s">
        <v>259</v>
      </c>
      <c r="CL1990" s="4" t="s">
        <v>241</v>
      </c>
      <c r="CO1990" s="5" t="s">
        <v>260</v>
      </c>
      <c r="CP1990" s="4" t="s">
        <v>241</v>
      </c>
      <c r="CQ1990" s="4" t="s">
        <v>261</v>
      </c>
      <c r="CR1990" s="4" t="s">
        <v>241</v>
      </c>
      <c r="CS1990" s="4" t="s">
        <v>241</v>
      </c>
      <c r="CT1990" s="4">
        <v>0</v>
      </c>
      <c r="CU1990" s="4" t="s">
        <v>262</v>
      </c>
      <c r="CV1990" s="4" t="s">
        <v>263</v>
      </c>
      <c r="CW1990" s="4" t="s">
        <v>263</v>
      </c>
      <c r="CX1990" s="4" t="s">
        <v>264</v>
      </c>
      <c r="DA1990" s="6">
        <f>1</f>
        <v>1</v>
      </c>
      <c r="DC1990" s="4" t="s">
        <v>325</v>
      </c>
      <c r="DD1990" s="4" t="s">
        <v>241</v>
      </c>
      <c r="DF1990" s="4" t="s">
        <v>325</v>
      </c>
      <c r="DG1990" s="6">
        <f>506</f>
        <v>506</v>
      </c>
      <c r="DI1990" s="4" t="s">
        <v>241</v>
      </c>
      <c r="DJ1990" s="4" t="s">
        <v>241</v>
      </c>
      <c r="DK1990" s="4" t="s">
        <v>241</v>
      </c>
      <c r="DL1990" s="4" t="s">
        <v>241</v>
      </c>
      <c r="DP1990" s="4" t="s">
        <v>241</v>
      </c>
      <c r="DQ1990" s="4" t="s">
        <v>241</v>
      </c>
      <c r="DR1990" s="4" t="s">
        <v>241</v>
      </c>
      <c r="DS1990" s="4" t="s">
        <v>241</v>
      </c>
      <c r="DV1990" s="4" t="s">
        <v>426</v>
      </c>
      <c r="DW1990" s="4" t="s">
        <v>2472</v>
      </c>
      <c r="HO1990" s="4" t="s">
        <v>267</v>
      </c>
    </row>
    <row r="1991" spans="1:223" ht="19.5" customHeight="1" x14ac:dyDescent="0.4">
      <c r="A1991" s="4">
        <v>1</v>
      </c>
      <c r="B1991" s="4" t="s">
        <v>239</v>
      </c>
      <c r="C1991" s="4">
        <v>3694</v>
      </c>
      <c r="D1991" s="4">
        <v>1</v>
      </c>
      <c r="E1991" s="4">
        <v>1</v>
      </c>
      <c r="F1991" s="4" t="s">
        <v>268</v>
      </c>
      <c r="G1991" s="4" t="s">
        <v>241</v>
      </c>
      <c r="H1991" s="4" t="s">
        <v>241</v>
      </c>
      <c r="I1991" s="4" t="s">
        <v>424</v>
      </c>
      <c r="J1991" s="4" t="s">
        <v>274</v>
      </c>
      <c r="K1991" s="4" t="s">
        <v>251</v>
      </c>
      <c r="L1991" s="4" t="s">
        <v>423</v>
      </c>
      <c r="M1991" s="5" t="s">
        <v>3925</v>
      </c>
      <c r="N1991" s="6">
        <f>164</f>
        <v>164</v>
      </c>
      <c r="O1991" s="4" t="s">
        <v>265</v>
      </c>
      <c r="P1991" s="6">
        <f>1</f>
        <v>1</v>
      </c>
      <c r="Q1991" s="6">
        <f>0</f>
        <v>0</v>
      </c>
      <c r="S1991" s="6">
        <f>0</f>
        <v>0</v>
      </c>
      <c r="T1991" s="6">
        <f>1</f>
        <v>1</v>
      </c>
      <c r="U1991" s="5" t="s">
        <v>245</v>
      </c>
      <c r="V1991" s="4" t="s">
        <v>270</v>
      </c>
      <c r="W1991" s="4" t="s">
        <v>271</v>
      </c>
      <c r="X1991" s="4" t="s">
        <v>273</v>
      </c>
      <c r="Y1991" s="4" t="s">
        <v>241</v>
      </c>
      <c r="AB1991" s="4" t="s">
        <v>241</v>
      </c>
      <c r="AD1991" s="5" t="s">
        <v>241</v>
      </c>
      <c r="AG1991" s="5" t="s">
        <v>246</v>
      </c>
      <c r="AH1991" s="4" t="s">
        <v>241</v>
      </c>
      <c r="AI1991" s="4" t="s">
        <v>247</v>
      </c>
      <c r="AJ1991" s="4" t="s">
        <v>248</v>
      </c>
      <c r="AZ1991" s="4" t="s">
        <v>249</v>
      </c>
      <c r="BA1991" s="4" t="s">
        <v>241</v>
      </c>
      <c r="BB1991" s="4" t="s">
        <v>250</v>
      </c>
      <c r="BC1991" s="4" t="s">
        <v>241</v>
      </c>
      <c r="BD1991" s="4" t="s">
        <v>252</v>
      </c>
      <c r="BE1991" s="4" t="s">
        <v>241</v>
      </c>
      <c r="BI1991" s="4" t="s">
        <v>253</v>
      </c>
      <c r="BJ1991" s="5" t="s">
        <v>246</v>
      </c>
      <c r="BK1991" s="4" t="s">
        <v>254</v>
      </c>
      <c r="BL1991" s="4" t="s">
        <v>255</v>
      </c>
      <c r="BM1991" s="4" t="s">
        <v>241</v>
      </c>
      <c r="BN1991" s="6">
        <f>0</f>
        <v>0</v>
      </c>
      <c r="BO1991" s="6">
        <f>0</f>
        <v>0</v>
      </c>
      <c r="BP1991" s="4" t="s">
        <v>256</v>
      </c>
      <c r="BQ1991" s="4" t="s">
        <v>257</v>
      </c>
      <c r="CE1991" s="4" t="s">
        <v>241</v>
      </c>
      <c r="CF1991" s="4" t="s">
        <v>241</v>
      </c>
      <c r="CJ1991" s="4" t="s">
        <v>276</v>
      </c>
      <c r="CK1991" s="4" t="s">
        <v>259</v>
      </c>
      <c r="CL1991" s="4" t="s">
        <v>241</v>
      </c>
      <c r="CO1991" s="5" t="s">
        <v>260</v>
      </c>
      <c r="CP1991" s="4" t="s">
        <v>241</v>
      </c>
      <c r="CQ1991" s="4" t="s">
        <v>261</v>
      </c>
      <c r="CR1991" s="4" t="s">
        <v>241</v>
      </c>
      <c r="CS1991" s="4" t="s">
        <v>241</v>
      </c>
      <c r="CT1991" s="4">
        <v>0</v>
      </c>
      <c r="CU1991" s="4" t="s">
        <v>262</v>
      </c>
      <c r="CV1991" s="4" t="s">
        <v>263</v>
      </c>
      <c r="CW1991" s="4" t="s">
        <v>263</v>
      </c>
      <c r="CX1991" s="4" t="s">
        <v>264</v>
      </c>
      <c r="DA1991" s="6">
        <f>1</f>
        <v>1</v>
      </c>
      <c r="DC1991" s="4" t="s">
        <v>325</v>
      </c>
      <c r="DD1991" s="4" t="s">
        <v>241</v>
      </c>
      <c r="DF1991" s="4" t="s">
        <v>325</v>
      </c>
      <c r="DG1991" s="6">
        <f>164</f>
        <v>164</v>
      </c>
      <c r="DI1991" s="4" t="s">
        <v>241</v>
      </c>
      <c r="DJ1991" s="4" t="s">
        <v>241</v>
      </c>
      <c r="DK1991" s="4" t="s">
        <v>241</v>
      </c>
      <c r="DL1991" s="4" t="s">
        <v>241</v>
      </c>
      <c r="DP1991" s="4" t="s">
        <v>241</v>
      </c>
      <c r="DQ1991" s="4" t="s">
        <v>241</v>
      </c>
      <c r="DR1991" s="4" t="s">
        <v>241</v>
      </c>
      <c r="DS1991" s="4" t="s">
        <v>241</v>
      </c>
      <c r="DV1991" s="4" t="s">
        <v>426</v>
      </c>
      <c r="DW1991" s="4" t="s">
        <v>1717</v>
      </c>
      <c r="HO1991" s="4" t="s">
        <v>267</v>
      </c>
    </row>
    <row r="1992" spans="1:223" ht="19.5" customHeight="1" x14ac:dyDescent="0.4">
      <c r="A1992" s="4">
        <v>1</v>
      </c>
      <c r="B1992" s="4" t="s">
        <v>239</v>
      </c>
      <c r="C1992" s="4">
        <v>3695</v>
      </c>
      <c r="D1992" s="4">
        <v>1</v>
      </c>
      <c r="E1992" s="4">
        <v>1</v>
      </c>
      <c r="F1992" s="4" t="s">
        <v>268</v>
      </c>
      <c r="G1992" s="4" t="s">
        <v>241</v>
      </c>
      <c r="H1992" s="4" t="s">
        <v>241</v>
      </c>
      <c r="I1992" s="4" t="s">
        <v>424</v>
      </c>
      <c r="J1992" s="4" t="s">
        <v>274</v>
      </c>
      <c r="K1992" s="4" t="s">
        <v>251</v>
      </c>
      <c r="L1992" s="4" t="s">
        <v>423</v>
      </c>
      <c r="M1992" s="5" t="s">
        <v>3926</v>
      </c>
      <c r="N1992" s="6">
        <f>1256</f>
        <v>1256</v>
      </c>
      <c r="O1992" s="4" t="s">
        <v>265</v>
      </c>
      <c r="P1992" s="6">
        <f>1</f>
        <v>1</v>
      </c>
      <c r="Q1992" s="6">
        <f>0</f>
        <v>0</v>
      </c>
      <c r="S1992" s="6">
        <f>0</f>
        <v>0</v>
      </c>
      <c r="T1992" s="6">
        <f>1</f>
        <v>1</v>
      </c>
      <c r="U1992" s="5" t="s">
        <v>245</v>
      </c>
      <c r="V1992" s="4" t="s">
        <v>270</v>
      </c>
      <c r="W1992" s="4" t="s">
        <v>271</v>
      </c>
      <c r="X1992" s="4" t="s">
        <v>273</v>
      </c>
      <c r="Y1992" s="4" t="s">
        <v>241</v>
      </c>
      <c r="AB1992" s="4" t="s">
        <v>241</v>
      </c>
      <c r="AD1992" s="5" t="s">
        <v>241</v>
      </c>
      <c r="AG1992" s="5" t="s">
        <v>246</v>
      </c>
      <c r="AH1992" s="4" t="s">
        <v>241</v>
      </c>
      <c r="AI1992" s="4" t="s">
        <v>247</v>
      </c>
      <c r="AJ1992" s="4" t="s">
        <v>248</v>
      </c>
      <c r="AZ1992" s="4" t="s">
        <v>249</v>
      </c>
      <c r="BA1992" s="4" t="s">
        <v>241</v>
      </c>
      <c r="BB1992" s="4" t="s">
        <v>250</v>
      </c>
      <c r="BC1992" s="4" t="s">
        <v>241</v>
      </c>
      <c r="BD1992" s="4" t="s">
        <v>252</v>
      </c>
      <c r="BE1992" s="4" t="s">
        <v>241</v>
      </c>
      <c r="BI1992" s="4" t="s">
        <v>253</v>
      </c>
      <c r="BJ1992" s="5" t="s">
        <v>246</v>
      </c>
      <c r="BK1992" s="4" t="s">
        <v>254</v>
      </c>
      <c r="BL1992" s="4" t="s">
        <v>255</v>
      </c>
      <c r="BM1992" s="4" t="s">
        <v>241</v>
      </c>
      <c r="BN1992" s="6">
        <f>0</f>
        <v>0</v>
      </c>
      <c r="BO1992" s="6">
        <f>0</f>
        <v>0</v>
      </c>
      <c r="BP1992" s="4" t="s">
        <v>256</v>
      </c>
      <c r="BQ1992" s="4" t="s">
        <v>257</v>
      </c>
      <c r="CE1992" s="4" t="s">
        <v>241</v>
      </c>
      <c r="CF1992" s="4" t="s">
        <v>241</v>
      </c>
      <c r="CJ1992" s="4" t="s">
        <v>276</v>
      </c>
      <c r="CK1992" s="4" t="s">
        <v>259</v>
      </c>
      <c r="CL1992" s="4" t="s">
        <v>241</v>
      </c>
      <c r="CO1992" s="5" t="s">
        <v>260</v>
      </c>
      <c r="CP1992" s="4" t="s">
        <v>241</v>
      </c>
      <c r="CQ1992" s="4" t="s">
        <v>261</v>
      </c>
      <c r="CR1992" s="4" t="s">
        <v>241</v>
      </c>
      <c r="CS1992" s="4" t="s">
        <v>241</v>
      </c>
      <c r="CT1992" s="4">
        <v>0</v>
      </c>
      <c r="CU1992" s="4" t="s">
        <v>262</v>
      </c>
      <c r="CV1992" s="4" t="s">
        <v>263</v>
      </c>
      <c r="CW1992" s="4" t="s">
        <v>263</v>
      </c>
      <c r="CX1992" s="4" t="s">
        <v>264</v>
      </c>
      <c r="DA1992" s="6">
        <f>1</f>
        <v>1</v>
      </c>
      <c r="DC1992" s="4" t="s">
        <v>325</v>
      </c>
      <c r="DD1992" s="4" t="s">
        <v>241</v>
      </c>
      <c r="DF1992" s="4" t="s">
        <v>325</v>
      </c>
      <c r="DG1992" s="6">
        <f>1256</f>
        <v>1256</v>
      </c>
      <c r="DI1992" s="4" t="s">
        <v>241</v>
      </c>
      <c r="DJ1992" s="4" t="s">
        <v>241</v>
      </c>
      <c r="DK1992" s="4" t="s">
        <v>241</v>
      </c>
      <c r="DL1992" s="4" t="s">
        <v>241</v>
      </c>
      <c r="DP1992" s="4" t="s">
        <v>241</v>
      </c>
      <c r="DQ1992" s="4" t="s">
        <v>241</v>
      </c>
      <c r="DR1992" s="4" t="s">
        <v>241</v>
      </c>
      <c r="DS1992" s="4" t="s">
        <v>241</v>
      </c>
      <c r="DV1992" s="4" t="s">
        <v>426</v>
      </c>
      <c r="DW1992" s="4" t="s">
        <v>2803</v>
      </c>
      <c r="HO1992" s="4" t="s">
        <v>267</v>
      </c>
    </row>
    <row r="1993" spans="1:223" ht="19.5" customHeight="1" x14ac:dyDescent="0.4">
      <c r="A1993" s="4">
        <v>1</v>
      </c>
      <c r="B1993" s="4" t="s">
        <v>239</v>
      </c>
      <c r="C1993" s="4">
        <v>3696</v>
      </c>
      <c r="D1993" s="4">
        <v>1</v>
      </c>
      <c r="E1993" s="4">
        <v>1</v>
      </c>
      <c r="F1993" s="4" t="s">
        <v>268</v>
      </c>
      <c r="G1993" s="4" t="s">
        <v>241</v>
      </c>
      <c r="H1993" s="4" t="s">
        <v>241</v>
      </c>
      <c r="I1993" s="4" t="s">
        <v>424</v>
      </c>
      <c r="J1993" s="4" t="s">
        <v>274</v>
      </c>
      <c r="K1993" s="4" t="s">
        <v>251</v>
      </c>
      <c r="L1993" s="4" t="s">
        <v>423</v>
      </c>
      <c r="M1993" s="5" t="s">
        <v>3928</v>
      </c>
      <c r="N1993" s="6">
        <f>413</f>
        <v>413</v>
      </c>
      <c r="O1993" s="4" t="s">
        <v>265</v>
      </c>
      <c r="P1993" s="6">
        <f>1</f>
        <v>1</v>
      </c>
      <c r="Q1993" s="6">
        <f>0</f>
        <v>0</v>
      </c>
      <c r="S1993" s="6">
        <f>0</f>
        <v>0</v>
      </c>
      <c r="T1993" s="6">
        <f>1</f>
        <v>1</v>
      </c>
      <c r="U1993" s="5" t="s">
        <v>245</v>
      </c>
      <c r="V1993" s="4" t="s">
        <v>270</v>
      </c>
      <c r="W1993" s="4" t="s">
        <v>271</v>
      </c>
      <c r="X1993" s="4" t="s">
        <v>273</v>
      </c>
      <c r="Y1993" s="4" t="s">
        <v>241</v>
      </c>
      <c r="AB1993" s="4" t="s">
        <v>241</v>
      </c>
      <c r="AD1993" s="5" t="s">
        <v>241</v>
      </c>
      <c r="AG1993" s="5" t="s">
        <v>246</v>
      </c>
      <c r="AH1993" s="4" t="s">
        <v>241</v>
      </c>
      <c r="AI1993" s="4" t="s">
        <v>247</v>
      </c>
      <c r="AJ1993" s="4" t="s">
        <v>248</v>
      </c>
      <c r="AZ1993" s="4" t="s">
        <v>249</v>
      </c>
      <c r="BA1993" s="4" t="s">
        <v>241</v>
      </c>
      <c r="BB1993" s="4" t="s">
        <v>250</v>
      </c>
      <c r="BC1993" s="4" t="s">
        <v>241</v>
      </c>
      <c r="BD1993" s="4" t="s">
        <v>252</v>
      </c>
      <c r="BE1993" s="4" t="s">
        <v>241</v>
      </c>
      <c r="BI1993" s="4" t="s">
        <v>253</v>
      </c>
      <c r="BJ1993" s="5" t="s">
        <v>246</v>
      </c>
      <c r="BK1993" s="4" t="s">
        <v>254</v>
      </c>
      <c r="BL1993" s="4" t="s">
        <v>255</v>
      </c>
      <c r="BM1993" s="4" t="s">
        <v>241</v>
      </c>
      <c r="BN1993" s="6">
        <f>0</f>
        <v>0</v>
      </c>
      <c r="BO1993" s="6">
        <f>0</f>
        <v>0</v>
      </c>
      <c r="BP1993" s="4" t="s">
        <v>256</v>
      </c>
      <c r="BQ1993" s="4" t="s">
        <v>257</v>
      </c>
      <c r="CE1993" s="4" t="s">
        <v>241</v>
      </c>
      <c r="CF1993" s="4" t="s">
        <v>241</v>
      </c>
      <c r="CJ1993" s="4" t="s">
        <v>276</v>
      </c>
      <c r="CK1993" s="4" t="s">
        <v>259</v>
      </c>
      <c r="CL1993" s="4" t="s">
        <v>241</v>
      </c>
      <c r="CO1993" s="5" t="s">
        <v>260</v>
      </c>
      <c r="CP1993" s="4" t="s">
        <v>241</v>
      </c>
      <c r="CQ1993" s="4" t="s">
        <v>261</v>
      </c>
      <c r="CR1993" s="4" t="s">
        <v>241</v>
      </c>
      <c r="CS1993" s="4" t="s">
        <v>241</v>
      </c>
      <c r="CT1993" s="4">
        <v>0</v>
      </c>
      <c r="CU1993" s="4" t="s">
        <v>262</v>
      </c>
      <c r="CV1993" s="4" t="s">
        <v>263</v>
      </c>
      <c r="CW1993" s="4" t="s">
        <v>263</v>
      </c>
      <c r="CX1993" s="4" t="s">
        <v>264</v>
      </c>
      <c r="DA1993" s="6">
        <f>1</f>
        <v>1</v>
      </c>
      <c r="DC1993" s="4" t="s">
        <v>325</v>
      </c>
      <c r="DD1993" s="4" t="s">
        <v>241</v>
      </c>
      <c r="DF1993" s="4" t="s">
        <v>325</v>
      </c>
      <c r="DG1993" s="6">
        <f>413</f>
        <v>413</v>
      </c>
      <c r="DI1993" s="4" t="s">
        <v>241</v>
      </c>
      <c r="DJ1993" s="4" t="s">
        <v>241</v>
      </c>
      <c r="DK1993" s="4" t="s">
        <v>241</v>
      </c>
      <c r="DL1993" s="4" t="s">
        <v>241</v>
      </c>
      <c r="DP1993" s="4" t="s">
        <v>241</v>
      </c>
      <c r="DQ1993" s="4" t="s">
        <v>241</v>
      </c>
      <c r="DR1993" s="4" t="s">
        <v>241</v>
      </c>
      <c r="DS1993" s="4" t="s">
        <v>241</v>
      </c>
      <c r="DV1993" s="4" t="s">
        <v>426</v>
      </c>
      <c r="DW1993" s="4" t="s">
        <v>2859</v>
      </c>
      <c r="HO1993" s="4" t="s">
        <v>267</v>
      </c>
    </row>
    <row r="1994" spans="1:223" ht="19.5" customHeight="1" x14ac:dyDescent="0.4">
      <c r="A1994" s="4">
        <v>1</v>
      </c>
      <c r="B1994" s="4" t="s">
        <v>239</v>
      </c>
      <c r="C1994" s="4">
        <v>3697</v>
      </c>
      <c r="D1994" s="4">
        <v>1</v>
      </c>
      <c r="E1994" s="4">
        <v>1</v>
      </c>
      <c r="F1994" s="4" t="s">
        <v>268</v>
      </c>
      <c r="G1994" s="4" t="s">
        <v>241</v>
      </c>
      <c r="H1994" s="4" t="s">
        <v>241</v>
      </c>
      <c r="I1994" s="4" t="s">
        <v>424</v>
      </c>
      <c r="J1994" s="4" t="s">
        <v>274</v>
      </c>
      <c r="K1994" s="4" t="s">
        <v>251</v>
      </c>
      <c r="L1994" s="4" t="s">
        <v>423</v>
      </c>
      <c r="M1994" s="5" t="s">
        <v>3930</v>
      </c>
      <c r="N1994" s="6">
        <f>762</f>
        <v>762</v>
      </c>
      <c r="O1994" s="4" t="s">
        <v>265</v>
      </c>
      <c r="P1994" s="6">
        <f>1</f>
        <v>1</v>
      </c>
      <c r="Q1994" s="6">
        <f>0</f>
        <v>0</v>
      </c>
      <c r="S1994" s="6">
        <f>0</f>
        <v>0</v>
      </c>
      <c r="T1994" s="6">
        <f>1</f>
        <v>1</v>
      </c>
      <c r="U1994" s="5" t="s">
        <v>245</v>
      </c>
      <c r="V1994" s="4" t="s">
        <v>270</v>
      </c>
      <c r="W1994" s="4" t="s">
        <v>271</v>
      </c>
      <c r="X1994" s="4" t="s">
        <v>273</v>
      </c>
      <c r="Y1994" s="4" t="s">
        <v>241</v>
      </c>
      <c r="AB1994" s="4" t="s">
        <v>241</v>
      </c>
      <c r="AD1994" s="5" t="s">
        <v>241</v>
      </c>
      <c r="AG1994" s="5" t="s">
        <v>246</v>
      </c>
      <c r="AH1994" s="4" t="s">
        <v>241</v>
      </c>
      <c r="AI1994" s="4" t="s">
        <v>247</v>
      </c>
      <c r="AJ1994" s="4" t="s">
        <v>248</v>
      </c>
      <c r="AZ1994" s="4" t="s">
        <v>249</v>
      </c>
      <c r="BA1994" s="4" t="s">
        <v>241</v>
      </c>
      <c r="BB1994" s="4" t="s">
        <v>250</v>
      </c>
      <c r="BC1994" s="4" t="s">
        <v>241</v>
      </c>
      <c r="BD1994" s="4" t="s">
        <v>252</v>
      </c>
      <c r="BE1994" s="4" t="s">
        <v>241</v>
      </c>
      <c r="BI1994" s="4" t="s">
        <v>253</v>
      </c>
      <c r="BJ1994" s="5" t="s">
        <v>246</v>
      </c>
      <c r="BK1994" s="4" t="s">
        <v>254</v>
      </c>
      <c r="BL1994" s="4" t="s">
        <v>255</v>
      </c>
      <c r="BM1994" s="4" t="s">
        <v>241</v>
      </c>
      <c r="BN1994" s="6">
        <f>0</f>
        <v>0</v>
      </c>
      <c r="BO1994" s="6">
        <f>0</f>
        <v>0</v>
      </c>
      <c r="BP1994" s="4" t="s">
        <v>256</v>
      </c>
      <c r="BQ1994" s="4" t="s">
        <v>257</v>
      </c>
      <c r="CE1994" s="4" t="s">
        <v>241</v>
      </c>
      <c r="CF1994" s="4" t="s">
        <v>241</v>
      </c>
      <c r="CJ1994" s="4" t="s">
        <v>276</v>
      </c>
      <c r="CK1994" s="4" t="s">
        <v>259</v>
      </c>
      <c r="CL1994" s="4" t="s">
        <v>241</v>
      </c>
      <c r="CO1994" s="5" t="s">
        <v>260</v>
      </c>
      <c r="CP1994" s="4" t="s">
        <v>241</v>
      </c>
      <c r="CQ1994" s="4" t="s">
        <v>261</v>
      </c>
      <c r="CR1994" s="4" t="s">
        <v>241</v>
      </c>
      <c r="CS1994" s="4" t="s">
        <v>241</v>
      </c>
      <c r="CT1994" s="4">
        <v>0</v>
      </c>
      <c r="CU1994" s="4" t="s">
        <v>262</v>
      </c>
      <c r="CV1994" s="4" t="s">
        <v>263</v>
      </c>
      <c r="CW1994" s="4" t="s">
        <v>263</v>
      </c>
      <c r="CX1994" s="4" t="s">
        <v>264</v>
      </c>
      <c r="DA1994" s="6">
        <f>1</f>
        <v>1</v>
      </c>
      <c r="DC1994" s="4" t="s">
        <v>325</v>
      </c>
      <c r="DD1994" s="4" t="s">
        <v>241</v>
      </c>
      <c r="DF1994" s="4" t="s">
        <v>325</v>
      </c>
      <c r="DG1994" s="6">
        <f>762</f>
        <v>762</v>
      </c>
      <c r="DI1994" s="4" t="s">
        <v>241</v>
      </c>
      <c r="DJ1994" s="4" t="s">
        <v>241</v>
      </c>
      <c r="DK1994" s="4" t="s">
        <v>241</v>
      </c>
      <c r="DL1994" s="4" t="s">
        <v>241</v>
      </c>
      <c r="DP1994" s="4" t="s">
        <v>241</v>
      </c>
      <c r="DQ1994" s="4" t="s">
        <v>241</v>
      </c>
      <c r="DR1994" s="4" t="s">
        <v>241</v>
      </c>
      <c r="DS1994" s="4" t="s">
        <v>241</v>
      </c>
      <c r="DV1994" s="4" t="s">
        <v>426</v>
      </c>
      <c r="DW1994" s="4" t="s">
        <v>1901</v>
      </c>
      <c r="HO1994" s="4" t="s">
        <v>267</v>
      </c>
    </row>
    <row r="1995" spans="1:223" ht="19.5" customHeight="1" x14ac:dyDescent="0.4">
      <c r="A1995" s="4">
        <v>1</v>
      </c>
      <c r="B1995" s="4" t="s">
        <v>239</v>
      </c>
      <c r="C1995" s="4">
        <v>3698</v>
      </c>
      <c r="D1995" s="4">
        <v>1</v>
      </c>
      <c r="E1995" s="4">
        <v>1</v>
      </c>
      <c r="F1995" s="4" t="s">
        <v>268</v>
      </c>
      <c r="G1995" s="4" t="s">
        <v>241</v>
      </c>
      <c r="H1995" s="4" t="s">
        <v>241</v>
      </c>
      <c r="I1995" s="4" t="s">
        <v>424</v>
      </c>
      <c r="J1995" s="4" t="s">
        <v>274</v>
      </c>
      <c r="K1995" s="4" t="s">
        <v>251</v>
      </c>
      <c r="L1995" s="4" t="s">
        <v>423</v>
      </c>
      <c r="M1995" s="5" t="s">
        <v>614</v>
      </c>
      <c r="N1995" s="6">
        <f>1215</f>
        <v>1215</v>
      </c>
      <c r="O1995" s="4" t="s">
        <v>265</v>
      </c>
      <c r="P1995" s="6">
        <f>1</f>
        <v>1</v>
      </c>
      <c r="Q1995" s="6">
        <f>0</f>
        <v>0</v>
      </c>
      <c r="S1995" s="6">
        <f>0</f>
        <v>0</v>
      </c>
      <c r="T1995" s="6">
        <f>1</f>
        <v>1</v>
      </c>
      <c r="U1995" s="5" t="s">
        <v>245</v>
      </c>
      <c r="V1995" s="4" t="s">
        <v>270</v>
      </c>
      <c r="W1995" s="4" t="s">
        <v>271</v>
      </c>
      <c r="X1995" s="4" t="s">
        <v>273</v>
      </c>
      <c r="Y1995" s="4" t="s">
        <v>241</v>
      </c>
      <c r="AB1995" s="4" t="s">
        <v>241</v>
      </c>
      <c r="AD1995" s="5" t="s">
        <v>241</v>
      </c>
      <c r="AG1995" s="5" t="s">
        <v>246</v>
      </c>
      <c r="AH1995" s="4" t="s">
        <v>241</v>
      </c>
      <c r="AI1995" s="4" t="s">
        <v>247</v>
      </c>
      <c r="AJ1995" s="4" t="s">
        <v>248</v>
      </c>
      <c r="AZ1995" s="4" t="s">
        <v>249</v>
      </c>
      <c r="BA1995" s="4" t="s">
        <v>241</v>
      </c>
      <c r="BB1995" s="4" t="s">
        <v>250</v>
      </c>
      <c r="BC1995" s="4" t="s">
        <v>241</v>
      </c>
      <c r="BD1995" s="4" t="s">
        <v>252</v>
      </c>
      <c r="BE1995" s="4" t="s">
        <v>241</v>
      </c>
      <c r="BI1995" s="4" t="s">
        <v>253</v>
      </c>
      <c r="BJ1995" s="5" t="s">
        <v>246</v>
      </c>
      <c r="BK1995" s="4" t="s">
        <v>254</v>
      </c>
      <c r="BL1995" s="4" t="s">
        <v>255</v>
      </c>
      <c r="BM1995" s="4" t="s">
        <v>241</v>
      </c>
      <c r="BN1995" s="6">
        <f>0</f>
        <v>0</v>
      </c>
      <c r="BO1995" s="6">
        <f>0</f>
        <v>0</v>
      </c>
      <c r="BP1995" s="4" t="s">
        <v>256</v>
      </c>
      <c r="BQ1995" s="4" t="s">
        <v>257</v>
      </c>
      <c r="CE1995" s="4" t="s">
        <v>241</v>
      </c>
      <c r="CF1995" s="4" t="s">
        <v>241</v>
      </c>
      <c r="CJ1995" s="4" t="s">
        <v>276</v>
      </c>
      <c r="CK1995" s="4" t="s">
        <v>259</v>
      </c>
      <c r="CL1995" s="4" t="s">
        <v>241</v>
      </c>
      <c r="CO1995" s="5" t="s">
        <v>260</v>
      </c>
      <c r="CP1995" s="4" t="s">
        <v>241</v>
      </c>
      <c r="CQ1995" s="4" t="s">
        <v>261</v>
      </c>
      <c r="CR1995" s="4" t="s">
        <v>241</v>
      </c>
      <c r="CS1995" s="4" t="s">
        <v>241</v>
      </c>
      <c r="CT1995" s="4">
        <v>0</v>
      </c>
      <c r="CU1995" s="4" t="s">
        <v>262</v>
      </c>
      <c r="CV1995" s="4" t="s">
        <v>263</v>
      </c>
      <c r="CW1995" s="4" t="s">
        <v>263</v>
      </c>
      <c r="CX1995" s="4" t="s">
        <v>264</v>
      </c>
      <c r="DA1995" s="6">
        <f>1</f>
        <v>1</v>
      </c>
      <c r="DC1995" s="4" t="s">
        <v>325</v>
      </c>
      <c r="DD1995" s="4" t="s">
        <v>241</v>
      </c>
      <c r="DF1995" s="4" t="s">
        <v>325</v>
      </c>
      <c r="DG1995" s="6">
        <f>1215</f>
        <v>1215</v>
      </c>
      <c r="DI1995" s="4" t="s">
        <v>241</v>
      </c>
      <c r="DJ1995" s="4" t="s">
        <v>241</v>
      </c>
      <c r="DK1995" s="4" t="s">
        <v>241</v>
      </c>
      <c r="DL1995" s="4" t="s">
        <v>241</v>
      </c>
      <c r="DP1995" s="4" t="s">
        <v>241</v>
      </c>
      <c r="DQ1995" s="4" t="s">
        <v>241</v>
      </c>
      <c r="DR1995" s="4" t="s">
        <v>241</v>
      </c>
      <c r="DS1995" s="4" t="s">
        <v>241</v>
      </c>
      <c r="DV1995" s="4" t="s">
        <v>426</v>
      </c>
      <c r="DW1995" s="4" t="s">
        <v>615</v>
      </c>
      <c r="HO1995" s="4" t="s">
        <v>267</v>
      </c>
    </row>
    <row r="1996" spans="1:223" ht="19.5" customHeight="1" x14ac:dyDescent="0.4">
      <c r="A1996" s="4">
        <v>1</v>
      </c>
      <c r="B1996" s="4" t="s">
        <v>239</v>
      </c>
      <c r="C1996" s="4">
        <v>3699</v>
      </c>
      <c r="D1996" s="4">
        <v>1</v>
      </c>
      <c r="E1996" s="4">
        <v>1</v>
      </c>
      <c r="F1996" s="4" t="s">
        <v>268</v>
      </c>
      <c r="G1996" s="4" t="s">
        <v>241</v>
      </c>
      <c r="H1996" s="4" t="s">
        <v>241</v>
      </c>
      <c r="I1996" s="4" t="s">
        <v>424</v>
      </c>
      <c r="J1996" s="4" t="s">
        <v>274</v>
      </c>
      <c r="K1996" s="4" t="s">
        <v>251</v>
      </c>
      <c r="L1996" s="4" t="s">
        <v>423</v>
      </c>
      <c r="M1996" s="5" t="s">
        <v>3452</v>
      </c>
      <c r="N1996" s="6">
        <f>892</f>
        <v>892</v>
      </c>
      <c r="O1996" s="4" t="s">
        <v>265</v>
      </c>
      <c r="P1996" s="6">
        <f>1</f>
        <v>1</v>
      </c>
      <c r="Q1996" s="6">
        <f>0</f>
        <v>0</v>
      </c>
      <c r="S1996" s="6">
        <f>0</f>
        <v>0</v>
      </c>
      <c r="T1996" s="6">
        <f>1</f>
        <v>1</v>
      </c>
      <c r="U1996" s="5" t="s">
        <v>245</v>
      </c>
      <c r="V1996" s="4" t="s">
        <v>270</v>
      </c>
      <c r="W1996" s="4" t="s">
        <v>271</v>
      </c>
      <c r="X1996" s="4" t="s">
        <v>273</v>
      </c>
      <c r="Y1996" s="4" t="s">
        <v>241</v>
      </c>
      <c r="AB1996" s="4" t="s">
        <v>241</v>
      </c>
      <c r="AD1996" s="5" t="s">
        <v>241</v>
      </c>
      <c r="AG1996" s="5" t="s">
        <v>246</v>
      </c>
      <c r="AH1996" s="4" t="s">
        <v>241</v>
      </c>
      <c r="AI1996" s="4" t="s">
        <v>247</v>
      </c>
      <c r="AJ1996" s="4" t="s">
        <v>248</v>
      </c>
      <c r="AZ1996" s="4" t="s">
        <v>249</v>
      </c>
      <c r="BA1996" s="4" t="s">
        <v>241</v>
      </c>
      <c r="BB1996" s="4" t="s">
        <v>250</v>
      </c>
      <c r="BC1996" s="4" t="s">
        <v>241</v>
      </c>
      <c r="BD1996" s="4" t="s">
        <v>252</v>
      </c>
      <c r="BE1996" s="4" t="s">
        <v>241</v>
      </c>
      <c r="BI1996" s="4" t="s">
        <v>253</v>
      </c>
      <c r="BJ1996" s="5" t="s">
        <v>246</v>
      </c>
      <c r="BK1996" s="4" t="s">
        <v>254</v>
      </c>
      <c r="BL1996" s="4" t="s">
        <v>255</v>
      </c>
      <c r="BM1996" s="4" t="s">
        <v>241</v>
      </c>
      <c r="BN1996" s="6">
        <f>0</f>
        <v>0</v>
      </c>
      <c r="BO1996" s="6">
        <f>0</f>
        <v>0</v>
      </c>
      <c r="BP1996" s="4" t="s">
        <v>256</v>
      </c>
      <c r="BQ1996" s="4" t="s">
        <v>257</v>
      </c>
      <c r="CE1996" s="4" t="s">
        <v>241</v>
      </c>
      <c r="CF1996" s="4" t="s">
        <v>241</v>
      </c>
      <c r="CJ1996" s="4" t="s">
        <v>276</v>
      </c>
      <c r="CK1996" s="4" t="s">
        <v>259</v>
      </c>
      <c r="CL1996" s="4" t="s">
        <v>241</v>
      </c>
      <c r="CO1996" s="5" t="s">
        <v>260</v>
      </c>
      <c r="CP1996" s="4" t="s">
        <v>241</v>
      </c>
      <c r="CQ1996" s="4" t="s">
        <v>261</v>
      </c>
      <c r="CR1996" s="4" t="s">
        <v>241</v>
      </c>
      <c r="CS1996" s="4" t="s">
        <v>241</v>
      </c>
      <c r="CT1996" s="4">
        <v>0</v>
      </c>
      <c r="CU1996" s="4" t="s">
        <v>262</v>
      </c>
      <c r="CV1996" s="4" t="s">
        <v>263</v>
      </c>
      <c r="CW1996" s="4" t="s">
        <v>263</v>
      </c>
      <c r="CX1996" s="4" t="s">
        <v>264</v>
      </c>
      <c r="DA1996" s="6">
        <f>1</f>
        <v>1</v>
      </c>
      <c r="DC1996" s="4" t="s">
        <v>325</v>
      </c>
      <c r="DD1996" s="4" t="s">
        <v>241</v>
      </c>
      <c r="DF1996" s="4" t="s">
        <v>325</v>
      </c>
      <c r="DG1996" s="6">
        <f>892</f>
        <v>892</v>
      </c>
      <c r="DI1996" s="4" t="s">
        <v>241</v>
      </c>
      <c r="DJ1996" s="4" t="s">
        <v>241</v>
      </c>
      <c r="DK1996" s="4" t="s">
        <v>241</v>
      </c>
      <c r="DL1996" s="4" t="s">
        <v>241</v>
      </c>
      <c r="DP1996" s="4" t="s">
        <v>241</v>
      </c>
      <c r="DQ1996" s="4" t="s">
        <v>241</v>
      </c>
      <c r="DR1996" s="4" t="s">
        <v>241</v>
      </c>
      <c r="DS1996" s="4" t="s">
        <v>241</v>
      </c>
      <c r="DV1996" s="4" t="s">
        <v>426</v>
      </c>
      <c r="DW1996" s="4" t="s">
        <v>2140</v>
      </c>
      <c r="HO1996" s="4" t="s">
        <v>267</v>
      </c>
    </row>
    <row r="1997" spans="1:223" ht="19.5" customHeight="1" x14ac:dyDescent="0.4">
      <c r="A1997" s="4">
        <v>1</v>
      </c>
      <c r="B1997" s="4" t="s">
        <v>239</v>
      </c>
      <c r="C1997" s="4">
        <v>3700</v>
      </c>
      <c r="D1997" s="4">
        <v>1</v>
      </c>
      <c r="E1997" s="4">
        <v>1</v>
      </c>
      <c r="F1997" s="4" t="s">
        <v>268</v>
      </c>
      <c r="G1997" s="4" t="s">
        <v>241</v>
      </c>
      <c r="H1997" s="4" t="s">
        <v>241</v>
      </c>
      <c r="I1997" s="4" t="s">
        <v>424</v>
      </c>
      <c r="J1997" s="4" t="s">
        <v>274</v>
      </c>
      <c r="K1997" s="4" t="s">
        <v>251</v>
      </c>
      <c r="L1997" s="4" t="s">
        <v>423</v>
      </c>
      <c r="M1997" s="5" t="s">
        <v>3935</v>
      </c>
      <c r="N1997" s="6">
        <f>739</f>
        <v>739</v>
      </c>
      <c r="O1997" s="4" t="s">
        <v>265</v>
      </c>
      <c r="P1997" s="6">
        <f>1</f>
        <v>1</v>
      </c>
      <c r="Q1997" s="6">
        <f>0</f>
        <v>0</v>
      </c>
      <c r="S1997" s="6">
        <f>0</f>
        <v>0</v>
      </c>
      <c r="T1997" s="6">
        <f>1</f>
        <v>1</v>
      </c>
      <c r="U1997" s="5" t="s">
        <v>245</v>
      </c>
      <c r="V1997" s="4" t="s">
        <v>270</v>
      </c>
      <c r="W1997" s="4" t="s">
        <v>271</v>
      </c>
      <c r="X1997" s="4" t="s">
        <v>273</v>
      </c>
      <c r="Y1997" s="4" t="s">
        <v>241</v>
      </c>
      <c r="AB1997" s="4" t="s">
        <v>241</v>
      </c>
      <c r="AD1997" s="5" t="s">
        <v>241</v>
      </c>
      <c r="AG1997" s="5" t="s">
        <v>246</v>
      </c>
      <c r="AH1997" s="4" t="s">
        <v>241</v>
      </c>
      <c r="AI1997" s="4" t="s">
        <v>247</v>
      </c>
      <c r="AJ1997" s="4" t="s">
        <v>248</v>
      </c>
      <c r="AZ1997" s="4" t="s">
        <v>249</v>
      </c>
      <c r="BA1997" s="4" t="s">
        <v>241</v>
      </c>
      <c r="BB1997" s="4" t="s">
        <v>250</v>
      </c>
      <c r="BC1997" s="4" t="s">
        <v>241</v>
      </c>
      <c r="BD1997" s="4" t="s">
        <v>252</v>
      </c>
      <c r="BE1997" s="4" t="s">
        <v>241</v>
      </c>
      <c r="BI1997" s="4" t="s">
        <v>253</v>
      </c>
      <c r="BJ1997" s="5" t="s">
        <v>246</v>
      </c>
      <c r="BK1997" s="4" t="s">
        <v>254</v>
      </c>
      <c r="BL1997" s="4" t="s">
        <v>255</v>
      </c>
      <c r="BM1997" s="4" t="s">
        <v>241</v>
      </c>
      <c r="BN1997" s="6">
        <f>0</f>
        <v>0</v>
      </c>
      <c r="BO1997" s="6">
        <f>0</f>
        <v>0</v>
      </c>
      <c r="BP1997" s="4" t="s">
        <v>256</v>
      </c>
      <c r="BQ1997" s="4" t="s">
        <v>257</v>
      </c>
      <c r="CE1997" s="4" t="s">
        <v>241</v>
      </c>
      <c r="CF1997" s="4" t="s">
        <v>241</v>
      </c>
      <c r="CJ1997" s="4" t="s">
        <v>276</v>
      </c>
      <c r="CK1997" s="4" t="s">
        <v>259</v>
      </c>
      <c r="CL1997" s="4" t="s">
        <v>241</v>
      </c>
      <c r="CO1997" s="5" t="s">
        <v>260</v>
      </c>
      <c r="CP1997" s="4" t="s">
        <v>241</v>
      </c>
      <c r="CQ1997" s="4" t="s">
        <v>261</v>
      </c>
      <c r="CR1997" s="4" t="s">
        <v>241</v>
      </c>
      <c r="CS1997" s="4" t="s">
        <v>241</v>
      </c>
      <c r="CT1997" s="4">
        <v>0</v>
      </c>
      <c r="CU1997" s="4" t="s">
        <v>262</v>
      </c>
      <c r="CV1997" s="4" t="s">
        <v>263</v>
      </c>
      <c r="CW1997" s="4" t="s">
        <v>263</v>
      </c>
      <c r="CX1997" s="4" t="s">
        <v>264</v>
      </c>
      <c r="DA1997" s="6">
        <f>1</f>
        <v>1</v>
      </c>
      <c r="DC1997" s="4" t="s">
        <v>325</v>
      </c>
      <c r="DD1997" s="4" t="s">
        <v>241</v>
      </c>
      <c r="DF1997" s="4" t="s">
        <v>325</v>
      </c>
      <c r="DG1997" s="6">
        <f>739</f>
        <v>739</v>
      </c>
      <c r="DI1997" s="4" t="s">
        <v>241</v>
      </c>
      <c r="DJ1997" s="4" t="s">
        <v>241</v>
      </c>
      <c r="DK1997" s="4" t="s">
        <v>241</v>
      </c>
      <c r="DL1997" s="4" t="s">
        <v>241</v>
      </c>
      <c r="DP1997" s="4" t="s">
        <v>241</v>
      </c>
      <c r="DQ1997" s="4" t="s">
        <v>241</v>
      </c>
      <c r="DR1997" s="4" t="s">
        <v>241</v>
      </c>
      <c r="DS1997" s="4" t="s">
        <v>241</v>
      </c>
      <c r="DV1997" s="4" t="s">
        <v>426</v>
      </c>
      <c r="DW1997" s="4" t="s">
        <v>1794</v>
      </c>
      <c r="HO1997" s="4" t="s">
        <v>267</v>
      </c>
    </row>
    <row r="1998" spans="1:223" ht="19.5" customHeight="1" x14ac:dyDescent="0.4">
      <c r="A1998" s="4">
        <v>1</v>
      </c>
      <c r="B1998" s="4" t="s">
        <v>239</v>
      </c>
      <c r="C1998" s="4">
        <v>3701</v>
      </c>
      <c r="D1998" s="4">
        <v>1</v>
      </c>
      <c r="E1998" s="4">
        <v>1</v>
      </c>
      <c r="F1998" s="4" t="s">
        <v>268</v>
      </c>
      <c r="G1998" s="4" t="s">
        <v>241</v>
      </c>
      <c r="H1998" s="4" t="s">
        <v>241</v>
      </c>
      <c r="I1998" s="4" t="s">
        <v>424</v>
      </c>
      <c r="J1998" s="4" t="s">
        <v>274</v>
      </c>
      <c r="K1998" s="4" t="s">
        <v>251</v>
      </c>
      <c r="L1998" s="4" t="s">
        <v>423</v>
      </c>
      <c r="M1998" s="5" t="s">
        <v>3936</v>
      </c>
      <c r="N1998" s="6">
        <f>158</f>
        <v>158</v>
      </c>
      <c r="O1998" s="4" t="s">
        <v>265</v>
      </c>
      <c r="P1998" s="6">
        <f>1</f>
        <v>1</v>
      </c>
      <c r="Q1998" s="6">
        <f>0</f>
        <v>0</v>
      </c>
      <c r="S1998" s="6">
        <f>0</f>
        <v>0</v>
      </c>
      <c r="T1998" s="6">
        <f>1</f>
        <v>1</v>
      </c>
      <c r="U1998" s="5" t="s">
        <v>245</v>
      </c>
      <c r="V1998" s="4" t="s">
        <v>270</v>
      </c>
      <c r="W1998" s="4" t="s">
        <v>271</v>
      </c>
      <c r="X1998" s="4" t="s">
        <v>273</v>
      </c>
      <c r="Y1998" s="4" t="s">
        <v>241</v>
      </c>
      <c r="AB1998" s="4" t="s">
        <v>241</v>
      </c>
      <c r="AD1998" s="5" t="s">
        <v>241</v>
      </c>
      <c r="AG1998" s="5" t="s">
        <v>246</v>
      </c>
      <c r="AH1998" s="4" t="s">
        <v>241</v>
      </c>
      <c r="AI1998" s="4" t="s">
        <v>247</v>
      </c>
      <c r="AJ1998" s="4" t="s">
        <v>248</v>
      </c>
      <c r="AZ1998" s="4" t="s">
        <v>249</v>
      </c>
      <c r="BA1998" s="4" t="s">
        <v>241</v>
      </c>
      <c r="BB1998" s="4" t="s">
        <v>250</v>
      </c>
      <c r="BC1998" s="4" t="s">
        <v>241</v>
      </c>
      <c r="BD1998" s="4" t="s">
        <v>252</v>
      </c>
      <c r="BE1998" s="4" t="s">
        <v>241</v>
      </c>
      <c r="BI1998" s="4" t="s">
        <v>253</v>
      </c>
      <c r="BJ1998" s="5" t="s">
        <v>246</v>
      </c>
      <c r="BK1998" s="4" t="s">
        <v>254</v>
      </c>
      <c r="BL1998" s="4" t="s">
        <v>255</v>
      </c>
      <c r="BM1998" s="4" t="s">
        <v>241</v>
      </c>
      <c r="BN1998" s="6">
        <f>0</f>
        <v>0</v>
      </c>
      <c r="BO1998" s="6">
        <f>0</f>
        <v>0</v>
      </c>
      <c r="BP1998" s="4" t="s">
        <v>256</v>
      </c>
      <c r="BQ1998" s="4" t="s">
        <v>257</v>
      </c>
      <c r="CE1998" s="4" t="s">
        <v>241</v>
      </c>
      <c r="CF1998" s="4" t="s">
        <v>241</v>
      </c>
      <c r="CJ1998" s="4" t="s">
        <v>276</v>
      </c>
      <c r="CK1998" s="4" t="s">
        <v>259</v>
      </c>
      <c r="CL1998" s="4" t="s">
        <v>241</v>
      </c>
      <c r="CO1998" s="5" t="s">
        <v>260</v>
      </c>
      <c r="CP1998" s="4" t="s">
        <v>241</v>
      </c>
      <c r="CQ1998" s="4" t="s">
        <v>261</v>
      </c>
      <c r="CR1998" s="4" t="s">
        <v>241</v>
      </c>
      <c r="CS1998" s="4" t="s">
        <v>241</v>
      </c>
      <c r="CT1998" s="4">
        <v>0</v>
      </c>
      <c r="CU1998" s="4" t="s">
        <v>262</v>
      </c>
      <c r="CV1998" s="4" t="s">
        <v>263</v>
      </c>
      <c r="CW1998" s="4" t="s">
        <v>263</v>
      </c>
      <c r="CX1998" s="4" t="s">
        <v>264</v>
      </c>
      <c r="DA1998" s="6">
        <f>1</f>
        <v>1</v>
      </c>
      <c r="DC1998" s="4" t="s">
        <v>325</v>
      </c>
      <c r="DD1998" s="4" t="s">
        <v>241</v>
      </c>
      <c r="DF1998" s="4" t="s">
        <v>325</v>
      </c>
      <c r="DG1998" s="6">
        <f>158</f>
        <v>158</v>
      </c>
      <c r="DI1998" s="4" t="s">
        <v>241</v>
      </c>
      <c r="DJ1998" s="4" t="s">
        <v>241</v>
      </c>
      <c r="DK1998" s="4" t="s">
        <v>241</v>
      </c>
      <c r="DL1998" s="4" t="s">
        <v>241</v>
      </c>
      <c r="DP1998" s="4" t="s">
        <v>241</v>
      </c>
      <c r="DQ1998" s="4" t="s">
        <v>241</v>
      </c>
      <c r="DR1998" s="4" t="s">
        <v>241</v>
      </c>
      <c r="DS1998" s="4" t="s">
        <v>241</v>
      </c>
      <c r="DV1998" s="4" t="s">
        <v>426</v>
      </c>
      <c r="DW1998" s="4" t="s">
        <v>1706</v>
      </c>
      <c r="HO1998" s="4" t="s">
        <v>267</v>
      </c>
    </row>
    <row r="1999" spans="1:223" ht="19.5" customHeight="1" x14ac:dyDescent="0.4">
      <c r="A1999" s="4">
        <v>1</v>
      </c>
      <c r="B1999" s="4" t="s">
        <v>239</v>
      </c>
      <c r="C1999" s="4">
        <v>3702</v>
      </c>
      <c r="D1999" s="4">
        <v>1</v>
      </c>
      <c r="E1999" s="4">
        <v>1</v>
      </c>
      <c r="F1999" s="4" t="s">
        <v>268</v>
      </c>
      <c r="G1999" s="4" t="s">
        <v>241</v>
      </c>
      <c r="H1999" s="4" t="s">
        <v>241</v>
      </c>
      <c r="I1999" s="4" t="s">
        <v>424</v>
      </c>
      <c r="J1999" s="4" t="s">
        <v>274</v>
      </c>
      <c r="K1999" s="4" t="s">
        <v>251</v>
      </c>
      <c r="L1999" s="4" t="s">
        <v>423</v>
      </c>
      <c r="M1999" s="5" t="s">
        <v>3453</v>
      </c>
      <c r="N1999" s="6">
        <f>752</f>
        <v>752</v>
      </c>
      <c r="O1999" s="4" t="s">
        <v>265</v>
      </c>
      <c r="P1999" s="6">
        <f>1</f>
        <v>1</v>
      </c>
      <c r="Q1999" s="6">
        <f>0</f>
        <v>0</v>
      </c>
      <c r="S1999" s="6">
        <f>0</f>
        <v>0</v>
      </c>
      <c r="T1999" s="6">
        <f>1</f>
        <v>1</v>
      </c>
      <c r="U1999" s="5" t="s">
        <v>245</v>
      </c>
      <c r="V1999" s="4" t="s">
        <v>270</v>
      </c>
      <c r="W1999" s="4" t="s">
        <v>271</v>
      </c>
      <c r="X1999" s="4" t="s">
        <v>273</v>
      </c>
      <c r="Y1999" s="4" t="s">
        <v>241</v>
      </c>
      <c r="AB1999" s="4" t="s">
        <v>241</v>
      </c>
      <c r="AD1999" s="5" t="s">
        <v>241</v>
      </c>
      <c r="AG1999" s="5" t="s">
        <v>246</v>
      </c>
      <c r="AH1999" s="4" t="s">
        <v>241</v>
      </c>
      <c r="AI1999" s="4" t="s">
        <v>247</v>
      </c>
      <c r="AJ1999" s="4" t="s">
        <v>248</v>
      </c>
      <c r="AZ1999" s="4" t="s">
        <v>249</v>
      </c>
      <c r="BA1999" s="4" t="s">
        <v>241</v>
      </c>
      <c r="BB1999" s="4" t="s">
        <v>250</v>
      </c>
      <c r="BC1999" s="4" t="s">
        <v>241</v>
      </c>
      <c r="BD1999" s="4" t="s">
        <v>252</v>
      </c>
      <c r="BE1999" s="4" t="s">
        <v>241</v>
      </c>
      <c r="BI1999" s="4" t="s">
        <v>253</v>
      </c>
      <c r="BJ1999" s="5" t="s">
        <v>246</v>
      </c>
      <c r="BK1999" s="4" t="s">
        <v>254</v>
      </c>
      <c r="BL1999" s="4" t="s">
        <v>255</v>
      </c>
      <c r="BM1999" s="4" t="s">
        <v>241</v>
      </c>
      <c r="BN1999" s="6">
        <f>0</f>
        <v>0</v>
      </c>
      <c r="BO1999" s="6">
        <f>0</f>
        <v>0</v>
      </c>
      <c r="BP1999" s="4" t="s">
        <v>256</v>
      </c>
      <c r="BQ1999" s="4" t="s">
        <v>257</v>
      </c>
      <c r="CE1999" s="4" t="s">
        <v>241</v>
      </c>
      <c r="CF1999" s="4" t="s">
        <v>241</v>
      </c>
      <c r="CJ1999" s="4" t="s">
        <v>276</v>
      </c>
      <c r="CK1999" s="4" t="s">
        <v>259</v>
      </c>
      <c r="CL1999" s="4" t="s">
        <v>241</v>
      </c>
      <c r="CO1999" s="5" t="s">
        <v>260</v>
      </c>
      <c r="CP1999" s="4" t="s">
        <v>241</v>
      </c>
      <c r="CQ1999" s="4" t="s">
        <v>261</v>
      </c>
      <c r="CR1999" s="4" t="s">
        <v>241</v>
      </c>
      <c r="CS1999" s="4" t="s">
        <v>241</v>
      </c>
      <c r="CT1999" s="4">
        <v>0</v>
      </c>
      <c r="CU1999" s="4" t="s">
        <v>262</v>
      </c>
      <c r="CV1999" s="4" t="s">
        <v>263</v>
      </c>
      <c r="CW1999" s="4" t="s">
        <v>263</v>
      </c>
      <c r="CX1999" s="4" t="s">
        <v>264</v>
      </c>
      <c r="DA1999" s="6">
        <f>1</f>
        <v>1</v>
      </c>
      <c r="DC1999" s="4" t="s">
        <v>325</v>
      </c>
      <c r="DD1999" s="4" t="s">
        <v>241</v>
      </c>
      <c r="DF1999" s="4" t="s">
        <v>325</v>
      </c>
      <c r="DG1999" s="6">
        <f>752</f>
        <v>752</v>
      </c>
      <c r="DI1999" s="4" t="s">
        <v>241</v>
      </c>
      <c r="DJ1999" s="4" t="s">
        <v>241</v>
      </c>
      <c r="DK1999" s="4" t="s">
        <v>241</v>
      </c>
      <c r="DL1999" s="4" t="s">
        <v>241</v>
      </c>
      <c r="DP1999" s="4" t="s">
        <v>241</v>
      </c>
      <c r="DQ1999" s="4" t="s">
        <v>241</v>
      </c>
      <c r="DR1999" s="4" t="s">
        <v>241</v>
      </c>
      <c r="DS1999" s="4" t="s">
        <v>241</v>
      </c>
      <c r="DV1999" s="4" t="s">
        <v>426</v>
      </c>
      <c r="DW1999" s="4" t="s">
        <v>1704</v>
      </c>
      <c r="HO1999" s="4" t="s">
        <v>267</v>
      </c>
    </row>
    <row r="2000" spans="1:223" ht="19.5" customHeight="1" x14ac:dyDescent="0.4">
      <c r="A2000" s="4">
        <v>1</v>
      </c>
      <c r="B2000" s="4" t="s">
        <v>239</v>
      </c>
      <c r="C2000" s="4">
        <v>3703</v>
      </c>
      <c r="D2000" s="4">
        <v>1</v>
      </c>
      <c r="E2000" s="4">
        <v>1</v>
      </c>
      <c r="F2000" s="4" t="s">
        <v>268</v>
      </c>
      <c r="G2000" s="4" t="s">
        <v>241</v>
      </c>
      <c r="H2000" s="4" t="s">
        <v>241</v>
      </c>
      <c r="I2000" s="4" t="s">
        <v>424</v>
      </c>
      <c r="J2000" s="4" t="s">
        <v>274</v>
      </c>
      <c r="K2000" s="4" t="s">
        <v>251</v>
      </c>
      <c r="L2000" s="4" t="s">
        <v>423</v>
      </c>
      <c r="M2000" s="5" t="s">
        <v>3940</v>
      </c>
      <c r="N2000" s="6">
        <f>790</f>
        <v>790</v>
      </c>
      <c r="O2000" s="4" t="s">
        <v>265</v>
      </c>
      <c r="P2000" s="6">
        <f>1</f>
        <v>1</v>
      </c>
      <c r="Q2000" s="6">
        <f>0</f>
        <v>0</v>
      </c>
      <c r="S2000" s="6">
        <f>0</f>
        <v>0</v>
      </c>
      <c r="T2000" s="6">
        <f>1</f>
        <v>1</v>
      </c>
      <c r="U2000" s="5" t="s">
        <v>245</v>
      </c>
      <c r="V2000" s="4" t="s">
        <v>270</v>
      </c>
      <c r="W2000" s="4" t="s">
        <v>271</v>
      </c>
      <c r="X2000" s="4" t="s">
        <v>273</v>
      </c>
      <c r="Y2000" s="4" t="s">
        <v>241</v>
      </c>
      <c r="AB2000" s="4" t="s">
        <v>241</v>
      </c>
      <c r="AD2000" s="5" t="s">
        <v>241</v>
      </c>
      <c r="AG2000" s="5" t="s">
        <v>246</v>
      </c>
      <c r="AH2000" s="4" t="s">
        <v>241</v>
      </c>
      <c r="AI2000" s="4" t="s">
        <v>247</v>
      </c>
      <c r="AJ2000" s="4" t="s">
        <v>248</v>
      </c>
      <c r="AZ2000" s="4" t="s">
        <v>249</v>
      </c>
      <c r="BA2000" s="4" t="s">
        <v>241</v>
      </c>
      <c r="BB2000" s="4" t="s">
        <v>250</v>
      </c>
      <c r="BC2000" s="4" t="s">
        <v>241</v>
      </c>
      <c r="BD2000" s="4" t="s">
        <v>252</v>
      </c>
      <c r="BE2000" s="4" t="s">
        <v>241</v>
      </c>
      <c r="BI2000" s="4" t="s">
        <v>253</v>
      </c>
      <c r="BJ2000" s="5" t="s">
        <v>246</v>
      </c>
      <c r="BK2000" s="4" t="s">
        <v>254</v>
      </c>
      <c r="BL2000" s="4" t="s">
        <v>255</v>
      </c>
      <c r="BM2000" s="4" t="s">
        <v>241</v>
      </c>
      <c r="BN2000" s="6">
        <f>0</f>
        <v>0</v>
      </c>
      <c r="BO2000" s="6">
        <f>0</f>
        <v>0</v>
      </c>
      <c r="BP2000" s="4" t="s">
        <v>256</v>
      </c>
      <c r="BQ2000" s="4" t="s">
        <v>257</v>
      </c>
      <c r="CE2000" s="4" t="s">
        <v>241</v>
      </c>
      <c r="CF2000" s="4" t="s">
        <v>241</v>
      </c>
      <c r="CJ2000" s="4" t="s">
        <v>276</v>
      </c>
      <c r="CK2000" s="4" t="s">
        <v>259</v>
      </c>
      <c r="CL2000" s="4" t="s">
        <v>241</v>
      </c>
      <c r="CO2000" s="5" t="s">
        <v>260</v>
      </c>
      <c r="CP2000" s="4" t="s">
        <v>241</v>
      </c>
      <c r="CQ2000" s="4" t="s">
        <v>261</v>
      </c>
      <c r="CR2000" s="4" t="s">
        <v>241</v>
      </c>
      <c r="CS2000" s="4" t="s">
        <v>241</v>
      </c>
      <c r="CT2000" s="4">
        <v>0</v>
      </c>
      <c r="CU2000" s="4" t="s">
        <v>262</v>
      </c>
      <c r="CV2000" s="4" t="s">
        <v>263</v>
      </c>
      <c r="CW2000" s="4" t="s">
        <v>263</v>
      </c>
      <c r="CX2000" s="4" t="s">
        <v>264</v>
      </c>
      <c r="DA2000" s="6">
        <f>1</f>
        <v>1</v>
      </c>
      <c r="DC2000" s="4" t="s">
        <v>325</v>
      </c>
      <c r="DD2000" s="4" t="s">
        <v>241</v>
      </c>
      <c r="DF2000" s="4" t="s">
        <v>325</v>
      </c>
      <c r="DG2000" s="6">
        <f>790</f>
        <v>790</v>
      </c>
      <c r="DI2000" s="4" t="s">
        <v>241</v>
      </c>
      <c r="DJ2000" s="4" t="s">
        <v>241</v>
      </c>
      <c r="DK2000" s="4" t="s">
        <v>241</v>
      </c>
      <c r="DL2000" s="4" t="s">
        <v>241</v>
      </c>
      <c r="DP2000" s="4" t="s">
        <v>241</v>
      </c>
      <c r="DQ2000" s="4" t="s">
        <v>241</v>
      </c>
      <c r="DR2000" s="4" t="s">
        <v>241</v>
      </c>
      <c r="DS2000" s="4" t="s">
        <v>241</v>
      </c>
      <c r="DV2000" s="4" t="s">
        <v>426</v>
      </c>
      <c r="DW2000" s="4" t="s">
        <v>1702</v>
      </c>
      <c r="HO2000" s="4" t="s">
        <v>267</v>
      </c>
    </row>
    <row r="2001" spans="1:223" ht="19.5" customHeight="1" x14ac:dyDescent="0.4">
      <c r="A2001" s="4">
        <v>1</v>
      </c>
      <c r="B2001" s="4" t="s">
        <v>239</v>
      </c>
      <c r="C2001" s="4">
        <v>3704</v>
      </c>
      <c r="D2001" s="4">
        <v>1</v>
      </c>
      <c r="E2001" s="4">
        <v>1</v>
      </c>
      <c r="F2001" s="4" t="s">
        <v>268</v>
      </c>
      <c r="G2001" s="4" t="s">
        <v>241</v>
      </c>
      <c r="H2001" s="4" t="s">
        <v>241</v>
      </c>
      <c r="I2001" s="4" t="s">
        <v>424</v>
      </c>
      <c r="J2001" s="4" t="s">
        <v>274</v>
      </c>
      <c r="K2001" s="4" t="s">
        <v>251</v>
      </c>
      <c r="L2001" s="4" t="s">
        <v>423</v>
      </c>
      <c r="M2001" s="5" t="s">
        <v>3456</v>
      </c>
      <c r="N2001" s="6">
        <f>1642</f>
        <v>1642</v>
      </c>
      <c r="O2001" s="4" t="s">
        <v>265</v>
      </c>
      <c r="P2001" s="6">
        <f>1</f>
        <v>1</v>
      </c>
      <c r="Q2001" s="6">
        <f>0</f>
        <v>0</v>
      </c>
      <c r="S2001" s="6">
        <f>0</f>
        <v>0</v>
      </c>
      <c r="T2001" s="6">
        <f>1</f>
        <v>1</v>
      </c>
      <c r="U2001" s="5" t="s">
        <v>245</v>
      </c>
      <c r="V2001" s="4" t="s">
        <v>270</v>
      </c>
      <c r="W2001" s="4" t="s">
        <v>271</v>
      </c>
      <c r="X2001" s="4" t="s">
        <v>273</v>
      </c>
      <c r="Y2001" s="4" t="s">
        <v>241</v>
      </c>
      <c r="AB2001" s="4" t="s">
        <v>241</v>
      </c>
      <c r="AD2001" s="5" t="s">
        <v>241</v>
      </c>
      <c r="AG2001" s="5" t="s">
        <v>246</v>
      </c>
      <c r="AH2001" s="4" t="s">
        <v>241</v>
      </c>
      <c r="AI2001" s="4" t="s">
        <v>247</v>
      </c>
      <c r="AJ2001" s="4" t="s">
        <v>248</v>
      </c>
      <c r="AZ2001" s="4" t="s">
        <v>249</v>
      </c>
      <c r="BA2001" s="4" t="s">
        <v>241</v>
      </c>
      <c r="BB2001" s="4" t="s">
        <v>250</v>
      </c>
      <c r="BC2001" s="4" t="s">
        <v>241</v>
      </c>
      <c r="BD2001" s="4" t="s">
        <v>252</v>
      </c>
      <c r="BE2001" s="4" t="s">
        <v>241</v>
      </c>
      <c r="BI2001" s="4" t="s">
        <v>253</v>
      </c>
      <c r="BJ2001" s="5" t="s">
        <v>246</v>
      </c>
      <c r="BK2001" s="4" t="s">
        <v>254</v>
      </c>
      <c r="BL2001" s="4" t="s">
        <v>255</v>
      </c>
      <c r="BM2001" s="4" t="s">
        <v>241</v>
      </c>
      <c r="BN2001" s="6">
        <f>0</f>
        <v>0</v>
      </c>
      <c r="BO2001" s="6">
        <f>0</f>
        <v>0</v>
      </c>
      <c r="BP2001" s="4" t="s">
        <v>256</v>
      </c>
      <c r="BQ2001" s="4" t="s">
        <v>257</v>
      </c>
      <c r="CE2001" s="4" t="s">
        <v>241</v>
      </c>
      <c r="CF2001" s="4" t="s">
        <v>241</v>
      </c>
      <c r="CJ2001" s="4" t="s">
        <v>276</v>
      </c>
      <c r="CK2001" s="4" t="s">
        <v>259</v>
      </c>
      <c r="CL2001" s="4" t="s">
        <v>241</v>
      </c>
      <c r="CO2001" s="5" t="s">
        <v>260</v>
      </c>
      <c r="CP2001" s="4" t="s">
        <v>241</v>
      </c>
      <c r="CQ2001" s="4" t="s">
        <v>261</v>
      </c>
      <c r="CR2001" s="4" t="s">
        <v>241</v>
      </c>
      <c r="CS2001" s="4" t="s">
        <v>241</v>
      </c>
      <c r="CT2001" s="4">
        <v>0</v>
      </c>
      <c r="CU2001" s="4" t="s">
        <v>262</v>
      </c>
      <c r="CV2001" s="4" t="s">
        <v>263</v>
      </c>
      <c r="CW2001" s="4" t="s">
        <v>263</v>
      </c>
      <c r="CX2001" s="4" t="s">
        <v>264</v>
      </c>
      <c r="DA2001" s="6">
        <f>1</f>
        <v>1</v>
      </c>
      <c r="DC2001" s="4" t="s">
        <v>325</v>
      </c>
      <c r="DD2001" s="4" t="s">
        <v>241</v>
      </c>
      <c r="DF2001" s="4" t="s">
        <v>325</v>
      </c>
      <c r="DG2001" s="6">
        <f>1642</f>
        <v>1642</v>
      </c>
      <c r="DI2001" s="4" t="s">
        <v>241</v>
      </c>
      <c r="DJ2001" s="4" t="s">
        <v>241</v>
      </c>
      <c r="DK2001" s="4" t="s">
        <v>241</v>
      </c>
      <c r="DL2001" s="4" t="s">
        <v>241</v>
      </c>
      <c r="DP2001" s="4" t="s">
        <v>241</v>
      </c>
      <c r="DQ2001" s="4" t="s">
        <v>241</v>
      </c>
      <c r="DR2001" s="4" t="s">
        <v>241</v>
      </c>
      <c r="DS2001" s="4" t="s">
        <v>241</v>
      </c>
      <c r="DV2001" s="4" t="s">
        <v>426</v>
      </c>
      <c r="DW2001" s="4" t="s">
        <v>1700</v>
      </c>
      <c r="HO2001" s="4" t="s">
        <v>267</v>
      </c>
    </row>
    <row r="2002" spans="1:223" ht="19.5" customHeight="1" x14ac:dyDescent="0.4">
      <c r="A2002" s="4">
        <v>1</v>
      </c>
      <c r="B2002" s="4" t="s">
        <v>239</v>
      </c>
      <c r="C2002" s="4">
        <v>3705</v>
      </c>
      <c r="D2002" s="4">
        <v>1</v>
      </c>
      <c r="E2002" s="4">
        <v>1</v>
      </c>
      <c r="F2002" s="4" t="s">
        <v>268</v>
      </c>
      <c r="G2002" s="4" t="s">
        <v>241</v>
      </c>
      <c r="H2002" s="4" t="s">
        <v>241</v>
      </c>
      <c r="I2002" s="4" t="s">
        <v>424</v>
      </c>
      <c r="J2002" s="4" t="s">
        <v>274</v>
      </c>
      <c r="K2002" s="4" t="s">
        <v>251</v>
      </c>
      <c r="L2002" s="4" t="s">
        <v>423</v>
      </c>
      <c r="M2002" s="5" t="s">
        <v>3944</v>
      </c>
      <c r="N2002" s="6">
        <f>2508</f>
        <v>2508</v>
      </c>
      <c r="O2002" s="4" t="s">
        <v>265</v>
      </c>
      <c r="P2002" s="6">
        <f>1</f>
        <v>1</v>
      </c>
      <c r="Q2002" s="6">
        <f>0</f>
        <v>0</v>
      </c>
      <c r="S2002" s="6">
        <f>0</f>
        <v>0</v>
      </c>
      <c r="T2002" s="6">
        <f>1</f>
        <v>1</v>
      </c>
      <c r="U2002" s="5" t="s">
        <v>245</v>
      </c>
      <c r="V2002" s="4" t="s">
        <v>270</v>
      </c>
      <c r="W2002" s="4" t="s">
        <v>271</v>
      </c>
      <c r="X2002" s="4" t="s">
        <v>273</v>
      </c>
      <c r="Y2002" s="4" t="s">
        <v>241</v>
      </c>
      <c r="AB2002" s="4" t="s">
        <v>241</v>
      </c>
      <c r="AD2002" s="5" t="s">
        <v>241</v>
      </c>
      <c r="AG2002" s="5" t="s">
        <v>246</v>
      </c>
      <c r="AH2002" s="4" t="s">
        <v>241</v>
      </c>
      <c r="AI2002" s="4" t="s">
        <v>247</v>
      </c>
      <c r="AJ2002" s="4" t="s">
        <v>248</v>
      </c>
      <c r="AZ2002" s="4" t="s">
        <v>249</v>
      </c>
      <c r="BA2002" s="4" t="s">
        <v>241</v>
      </c>
      <c r="BB2002" s="4" t="s">
        <v>250</v>
      </c>
      <c r="BC2002" s="4" t="s">
        <v>241</v>
      </c>
      <c r="BD2002" s="4" t="s">
        <v>252</v>
      </c>
      <c r="BE2002" s="4" t="s">
        <v>241</v>
      </c>
      <c r="BI2002" s="4" t="s">
        <v>253</v>
      </c>
      <c r="BJ2002" s="5" t="s">
        <v>246</v>
      </c>
      <c r="BK2002" s="4" t="s">
        <v>254</v>
      </c>
      <c r="BL2002" s="4" t="s">
        <v>255</v>
      </c>
      <c r="BM2002" s="4" t="s">
        <v>241</v>
      </c>
      <c r="BN2002" s="6">
        <f>0</f>
        <v>0</v>
      </c>
      <c r="BO2002" s="6">
        <f>0</f>
        <v>0</v>
      </c>
      <c r="BP2002" s="4" t="s">
        <v>256</v>
      </c>
      <c r="BQ2002" s="4" t="s">
        <v>257</v>
      </c>
      <c r="CE2002" s="4" t="s">
        <v>241</v>
      </c>
      <c r="CF2002" s="4" t="s">
        <v>241</v>
      </c>
      <c r="CJ2002" s="4" t="s">
        <v>276</v>
      </c>
      <c r="CK2002" s="4" t="s">
        <v>259</v>
      </c>
      <c r="CL2002" s="4" t="s">
        <v>241</v>
      </c>
      <c r="CO2002" s="5" t="s">
        <v>260</v>
      </c>
      <c r="CP2002" s="4" t="s">
        <v>241</v>
      </c>
      <c r="CQ2002" s="4" t="s">
        <v>261</v>
      </c>
      <c r="CR2002" s="4" t="s">
        <v>241</v>
      </c>
      <c r="CS2002" s="4" t="s">
        <v>241</v>
      </c>
      <c r="CT2002" s="4">
        <v>0</v>
      </c>
      <c r="CU2002" s="4" t="s">
        <v>262</v>
      </c>
      <c r="CV2002" s="4" t="s">
        <v>263</v>
      </c>
      <c r="CW2002" s="4" t="s">
        <v>263</v>
      </c>
      <c r="CX2002" s="4" t="s">
        <v>264</v>
      </c>
      <c r="DA2002" s="6">
        <f>1</f>
        <v>1</v>
      </c>
      <c r="DC2002" s="4" t="s">
        <v>325</v>
      </c>
      <c r="DD2002" s="4" t="s">
        <v>241</v>
      </c>
      <c r="DF2002" s="4" t="s">
        <v>325</v>
      </c>
      <c r="DG2002" s="6">
        <f>2508</f>
        <v>2508</v>
      </c>
      <c r="DI2002" s="4" t="s">
        <v>241</v>
      </c>
      <c r="DJ2002" s="4" t="s">
        <v>241</v>
      </c>
      <c r="DK2002" s="4" t="s">
        <v>241</v>
      </c>
      <c r="DL2002" s="4" t="s">
        <v>241</v>
      </c>
      <c r="DP2002" s="4" t="s">
        <v>241</v>
      </c>
      <c r="DQ2002" s="4" t="s">
        <v>241</v>
      </c>
      <c r="DR2002" s="4" t="s">
        <v>241</v>
      </c>
      <c r="DS2002" s="4" t="s">
        <v>241</v>
      </c>
      <c r="DV2002" s="4" t="s">
        <v>426</v>
      </c>
      <c r="DW2002" s="4" t="s">
        <v>1698</v>
      </c>
      <c r="HO2002" s="4" t="s">
        <v>267</v>
      </c>
    </row>
    <row r="2003" spans="1:223" ht="19.5" customHeight="1" x14ac:dyDescent="0.4">
      <c r="A2003" s="4">
        <v>1</v>
      </c>
      <c r="B2003" s="4" t="s">
        <v>239</v>
      </c>
      <c r="C2003" s="4">
        <v>3706</v>
      </c>
      <c r="D2003" s="4">
        <v>1</v>
      </c>
      <c r="E2003" s="4">
        <v>1</v>
      </c>
      <c r="F2003" s="4" t="s">
        <v>268</v>
      </c>
      <c r="G2003" s="4" t="s">
        <v>241</v>
      </c>
      <c r="H2003" s="4" t="s">
        <v>241</v>
      </c>
      <c r="I2003" s="4" t="s">
        <v>424</v>
      </c>
      <c r="J2003" s="4" t="s">
        <v>274</v>
      </c>
      <c r="K2003" s="4" t="s">
        <v>251</v>
      </c>
      <c r="L2003" s="4" t="s">
        <v>423</v>
      </c>
      <c r="M2003" s="5" t="s">
        <v>717</v>
      </c>
      <c r="N2003" s="6">
        <f>716</f>
        <v>716</v>
      </c>
      <c r="O2003" s="4" t="s">
        <v>265</v>
      </c>
      <c r="P2003" s="6">
        <f>1</f>
        <v>1</v>
      </c>
      <c r="Q2003" s="6">
        <f>0</f>
        <v>0</v>
      </c>
      <c r="S2003" s="6">
        <f>0</f>
        <v>0</v>
      </c>
      <c r="T2003" s="6">
        <f>1</f>
        <v>1</v>
      </c>
      <c r="U2003" s="5" t="s">
        <v>245</v>
      </c>
      <c r="V2003" s="4" t="s">
        <v>270</v>
      </c>
      <c r="W2003" s="4" t="s">
        <v>271</v>
      </c>
      <c r="X2003" s="4" t="s">
        <v>273</v>
      </c>
      <c r="Y2003" s="4" t="s">
        <v>241</v>
      </c>
      <c r="AB2003" s="4" t="s">
        <v>241</v>
      </c>
      <c r="AD2003" s="5" t="s">
        <v>241</v>
      </c>
      <c r="AG2003" s="5" t="s">
        <v>246</v>
      </c>
      <c r="AH2003" s="4" t="s">
        <v>241</v>
      </c>
      <c r="AI2003" s="4" t="s">
        <v>247</v>
      </c>
      <c r="AJ2003" s="4" t="s">
        <v>248</v>
      </c>
      <c r="AZ2003" s="4" t="s">
        <v>249</v>
      </c>
      <c r="BA2003" s="4" t="s">
        <v>241</v>
      </c>
      <c r="BB2003" s="4" t="s">
        <v>250</v>
      </c>
      <c r="BC2003" s="4" t="s">
        <v>241</v>
      </c>
      <c r="BD2003" s="4" t="s">
        <v>252</v>
      </c>
      <c r="BE2003" s="4" t="s">
        <v>241</v>
      </c>
      <c r="BI2003" s="4" t="s">
        <v>253</v>
      </c>
      <c r="BJ2003" s="5" t="s">
        <v>246</v>
      </c>
      <c r="BK2003" s="4" t="s">
        <v>254</v>
      </c>
      <c r="BL2003" s="4" t="s">
        <v>255</v>
      </c>
      <c r="BM2003" s="4" t="s">
        <v>241</v>
      </c>
      <c r="BN2003" s="6">
        <f>0</f>
        <v>0</v>
      </c>
      <c r="BO2003" s="6">
        <f>0</f>
        <v>0</v>
      </c>
      <c r="BP2003" s="4" t="s">
        <v>256</v>
      </c>
      <c r="BQ2003" s="4" t="s">
        <v>257</v>
      </c>
      <c r="CE2003" s="4" t="s">
        <v>241</v>
      </c>
      <c r="CF2003" s="4" t="s">
        <v>241</v>
      </c>
      <c r="CJ2003" s="4" t="s">
        <v>276</v>
      </c>
      <c r="CK2003" s="4" t="s">
        <v>259</v>
      </c>
      <c r="CL2003" s="4" t="s">
        <v>241</v>
      </c>
      <c r="CO2003" s="5" t="s">
        <v>260</v>
      </c>
      <c r="CP2003" s="4" t="s">
        <v>241</v>
      </c>
      <c r="CQ2003" s="4" t="s">
        <v>261</v>
      </c>
      <c r="CR2003" s="4" t="s">
        <v>241</v>
      </c>
      <c r="CS2003" s="4" t="s">
        <v>241</v>
      </c>
      <c r="CT2003" s="4">
        <v>0</v>
      </c>
      <c r="CU2003" s="4" t="s">
        <v>262</v>
      </c>
      <c r="CV2003" s="4" t="s">
        <v>263</v>
      </c>
      <c r="CW2003" s="4" t="s">
        <v>263</v>
      </c>
      <c r="CX2003" s="4" t="s">
        <v>264</v>
      </c>
      <c r="DA2003" s="6">
        <f>1</f>
        <v>1</v>
      </c>
      <c r="DC2003" s="4" t="s">
        <v>325</v>
      </c>
      <c r="DD2003" s="4" t="s">
        <v>241</v>
      </c>
      <c r="DF2003" s="4" t="s">
        <v>325</v>
      </c>
      <c r="DG2003" s="6">
        <f>716</f>
        <v>716</v>
      </c>
      <c r="DI2003" s="4" t="s">
        <v>241</v>
      </c>
      <c r="DJ2003" s="4" t="s">
        <v>241</v>
      </c>
      <c r="DK2003" s="4" t="s">
        <v>241</v>
      </c>
      <c r="DL2003" s="4" t="s">
        <v>241</v>
      </c>
      <c r="DP2003" s="4" t="s">
        <v>241</v>
      </c>
      <c r="DQ2003" s="4" t="s">
        <v>241</v>
      </c>
      <c r="DR2003" s="4" t="s">
        <v>241</v>
      </c>
      <c r="DS2003" s="4" t="s">
        <v>241</v>
      </c>
      <c r="DV2003" s="4" t="s">
        <v>426</v>
      </c>
      <c r="DW2003" s="4" t="s">
        <v>718</v>
      </c>
      <c r="HO2003" s="4" t="s">
        <v>267</v>
      </c>
    </row>
    <row r="2004" spans="1:223" ht="19.5" customHeight="1" x14ac:dyDescent="0.4">
      <c r="A2004" s="4">
        <v>1</v>
      </c>
      <c r="B2004" s="4" t="s">
        <v>239</v>
      </c>
      <c r="C2004" s="4">
        <v>3707</v>
      </c>
      <c r="D2004" s="4">
        <v>1</v>
      </c>
      <c r="E2004" s="4">
        <v>1</v>
      </c>
      <c r="F2004" s="4" t="s">
        <v>268</v>
      </c>
      <c r="G2004" s="4" t="s">
        <v>241</v>
      </c>
      <c r="H2004" s="4" t="s">
        <v>241</v>
      </c>
      <c r="I2004" s="4" t="s">
        <v>424</v>
      </c>
      <c r="J2004" s="4" t="s">
        <v>274</v>
      </c>
      <c r="K2004" s="4" t="s">
        <v>251</v>
      </c>
      <c r="L2004" s="4" t="s">
        <v>423</v>
      </c>
      <c r="M2004" s="5" t="s">
        <v>3457</v>
      </c>
      <c r="N2004" s="6">
        <f>1568</f>
        <v>1568</v>
      </c>
      <c r="O2004" s="4" t="s">
        <v>265</v>
      </c>
      <c r="P2004" s="6">
        <f>1</f>
        <v>1</v>
      </c>
      <c r="Q2004" s="6">
        <f>0</f>
        <v>0</v>
      </c>
      <c r="S2004" s="6">
        <f>0</f>
        <v>0</v>
      </c>
      <c r="T2004" s="6">
        <f>1</f>
        <v>1</v>
      </c>
      <c r="U2004" s="5" t="s">
        <v>245</v>
      </c>
      <c r="V2004" s="4" t="s">
        <v>270</v>
      </c>
      <c r="W2004" s="4" t="s">
        <v>271</v>
      </c>
      <c r="X2004" s="4" t="s">
        <v>273</v>
      </c>
      <c r="Y2004" s="4" t="s">
        <v>241</v>
      </c>
      <c r="AB2004" s="4" t="s">
        <v>241</v>
      </c>
      <c r="AD2004" s="5" t="s">
        <v>241</v>
      </c>
      <c r="AG2004" s="5" t="s">
        <v>246</v>
      </c>
      <c r="AH2004" s="4" t="s">
        <v>241</v>
      </c>
      <c r="AI2004" s="4" t="s">
        <v>247</v>
      </c>
      <c r="AJ2004" s="4" t="s">
        <v>248</v>
      </c>
      <c r="AZ2004" s="4" t="s">
        <v>249</v>
      </c>
      <c r="BA2004" s="4" t="s">
        <v>241</v>
      </c>
      <c r="BB2004" s="4" t="s">
        <v>250</v>
      </c>
      <c r="BC2004" s="4" t="s">
        <v>241</v>
      </c>
      <c r="BD2004" s="4" t="s">
        <v>252</v>
      </c>
      <c r="BE2004" s="4" t="s">
        <v>241</v>
      </c>
      <c r="BI2004" s="4" t="s">
        <v>253</v>
      </c>
      <c r="BJ2004" s="5" t="s">
        <v>246</v>
      </c>
      <c r="BK2004" s="4" t="s">
        <v>254</v>
      </c>
      <c r="BL2004" s="4" t="s">
        <v>255</v>
      </c>
      <c r="BM2004" s="4" t="s">
        <v>241</v>
      </c>
      <c r="BN2004" s="6">
        <f>0</f>
        <v>0</v>
      </c>
      <c r="BO2004" s="6">
        <f>0</f>
        <v>0</v>
      </c>
      <c r="BP2004" s="4" t="s">
        <v>256</v>
      </c>
      <c r="BQ2004" s="4" t="s">
        <v>257</v>
      </c>
      <c r="CE2004" s="4" t="s">
        <v>241</v>
      </c>
      <c r="CF2004" s="4" t="s">
        <v>241</v>
      </c>
      <c r="CJ2004" s="4" t="s">
        <v>276</v>
      </c>
      <c r="CK2004" s="4" t="s">
        <v>259</v>
      </c>
      <c r="CL2004" s="4" t="s">
        <v>241</v>
      </c>
      <c r="CO2004" s="5" t="s">
        <v>260</v>
      </c>
      <c r="CP2004" s="4" t="s">
        <v>241</v>
      </c>
      <c r="CQ2004" s="4" t="s">
        <v>261</v>
      </c>
      <c r="CR2004" s="4" t="s">
        <v>241</v>
      </c>
      <c r="CS2004" s="4" t="s">
        <v>241</v>
      </c>
      <c r="CT2004" s="4">
        <v>0</v>
      </c>
      <c r="CU2004" s="4" t="s">
        <v>262</v>
      </c>
      <c r="CV2004" s="4" t="s">
        <v>263</v>
      </c>
      <c r="CW2004" s="4" t="s">
        <v>263</v>
      </c>
      <c r="CX2004" s="4" t="s">
        <v>264</v>
      </c>
      <c r="DA2004" s="6">
        <f>1</f>
        <v>1</v>
      </c>
      <c r="DC2004" s="4" t="s">
        <v>325</v>
      </c>
      <c r="DD2004" s="4" t="s">
        <v>241</v>
      </c>
      <c r="DF2004" s="4" t="s">
        <v>325</v>
      </c>
      <c r="DG2004" s="6">
        <f>1568</f>
        <v>1568</v>
      </c>
      <c r="DI2004" s="4" t="s">
        <v>241</v>
      </c>
      <c r="DJ2004" s="4" t="s">
        <v>241</v>
      </c>
      <c r="DK2004" s="4" t="s">
        <v>241</v>
      </c>
      <c r="DL2004" s="4" t="s">
        <v>241</v>
      </c>
      <c r="DP2004" s="4" t="s">
        <v>241</v>
      </c>
      <c r="DQ2004" s="4" t="s">
        <v>241</v>
      </c>
      <c r="DR2004" s="4" t="s">
        <v>241</v>
      </c>
      <c r="DS2004" s="4" t="s">
        <v>241</v>
      </c>
      <c r="DV2004" s="4" t="s">
        <v>426</v>
      </c>
      <c r="DW2004" s="4" t="s">
        <v>1695</v>
      </c>
      <c r="HO2004" s="4" t="s">
        <v>267</v>
      </c>
    </row>
    <row r="2005" spans="1:223" ht="19.5" customHeight="1" x14ac:dyDescent="0.4">
      <c r="A2005" s="4">
        <v>1</v>
      </c>
      <c r="B2005" s="4" t="s">
        <v>239</v>
      </c>
      <c r="C2005" s="4">
        <v>3708</v>
      </c>
      <c r="D2005" s="4">
        <v>1</v>
      </c>
      <c r="E2005" s="4">
        <v>1</v>
      </c>
      <c r="F2005" s="4" t="s">
        <v>268</v>
      </c>
      <c r="G2005" s="4" t="s">
        <v>241</v>
      </c>
      <c r="H2005" s="4" t="s">
        <v>241</v>
      </c>
      <c r="I2005" s="4" t="s">
        <v>424</v>
      </c>
      <c r="J2005" s="4" t="s">
        <v>274</v>
      </c>
      <c r="K2005" s="4" t="s">
        <v>251</v>
      </c>
      <c r="L2005" s="4" t="s">
        <v>423</v>
      </c>
      <c r="M2005" s="5" t="s">
        <v>3948</v>
      </c>
      <c r="N2005" s="6">
        <f>1936</f>
        <v>1936</v>
      </c>
      <c r="O2005" s="4" t="s">
        <v>265</v>
      </c>
      <c r="P2005" s="6">
        <f>1</f>
        <v>1</v>
      </c>
      <c r="Q2005" s="6">
        <f>0</f>
        <v>0</v>
      </c>
      <c r="S2005" s="6">
        <f>0</f>
        <v>0</v>
      </c>
      <c r="T2005" s="6">
        <f>1</f>
        <v>1</v>
      </c>
      <c r="U2005" s="5" t="s">
        <v>245</v>
      </c>
      <c r="V2005" s="4" t="s">
        <v>270</v>
      </c>
      <c r="W2005" s="4" t="s">
        <v>271</v>
      </c>
      <c r="X2005" s="4" t="s">
        <v>273</v>
      </c>
      <c r="Y2005" s="4" t="s">
        <v>241</v>
      </c>
      <c r="AB2005" s="4" t="s">
        <v>241</v>
      </c>
      <c r="AD2005" s="5" t="s">
        <v>241</v>
      </c>
      <c r="AG2005" s="5" t="s">
        <v>246</v>
      </c>
      <c r="AH2005" s="4" t="s">
        <v>241</v>
      </c>
      <c r="AI2005" s="4" t="s">
        <v>247</v>
      </c>
      <c r="AJ2005" s="4" t="s">
        <v>248</v>
      </c>
      <c r="AZ2005" s="4" t="s">
        <v>249</v>
      </c>
      <c r="BA2005" s="4" t="s">
        <v>241</v>
      </c>
      <c r="BB2005" s="4" t="s">
        <v>250</v>
      </c>
      <c r="BC2005" s="4" t="s">
        <v>241</v>
      </c>
      <c r="BD2005" s="4" t="s">
        <v>252</v>
      </c>
      <c r="BE2005" s="4" t="s">
        <v>241</v>
      </c>
      <c r="BI2005" s="4" t="s">
        <v>253</v>
      </c>
      <c r="BJ2005" s="5" t="s">
        <v>246</v>
      </c>
      <c r="BK2005" s="4" t="s">
        <v>254</v>
      </c>
      <c r="BL2005" s="4" t="s">
        <v>255</v>
      </c>
      <c r="BM2005" s="4" t="s">
        <v>241</v>
      </c>
      <c r="BN2005" s="6">
        <f>0</f>
        <v>0</v>
      </c>
      <c r="BO2005" s="6">
        <f>0</f>
        <v>0</v>
      </c>
      <c r="BP2005" s="4" t="s">
        <v>256</v>
      </c>
      <c r="BQ2005" s="4" t="s">
        <v>257</v>
      </c>
      <c r="CE2005" s="4" t="s">
        <v>241</v>
      </c>
      <c r="CF2005" s="4" t="s">
        <v>241</v>
      </c>
      <c r="CJ2005" s="4" t="s">
        <v>276</v>
      </c>
      <c r="CK2005" s="4" t="s">
        <v>259</v>
      </c>
      <c r="CL2005" s="4" t="s">
        <v>241</v>
      </c>
      <c r="CO2005" s="5" t="s">
        <v>260</v>
      </c>
      <c r="CP2005" s="4" t="s">
        <v>241</v>
      </c>
      <c r="CQ2005" s="4" t="s">
        <v>261</v>
      </c>
      <c r="CR2005" s="4" t="s">
        <v>241</v>
      </c>
      <c r="CS2005" s="4" t="s">
        <v>241</v>
      </c>
      <c r="CT2005" s="4">
        <v>0</v>
      </c>
      <c r="CU2005" s="4" t="s">
        <v>262</v>
      </c>
      <c r="CV2005" s="4" t="s">
        <v>263</v>
      </c>
      <c r="CW2005" s="4" t="s">
        <v>263</v>
      </c>
      <c r="CX2005" s="4" t="s">
        <v>264</v>
      </c>
      <c r="DA2005" s="6">
        <f>1</f>
        <v>1</v>
      </c>
      <c r="DC2005" s="4" t="s">
        <v>325</v>
      </c>
      <c r="DD2005" s="4" t="s">
        <v>241</v>
      </c>
      <c r="DF2005" s="4" t="s">
        <v>325</v>
      </c>
      <c r="DG2005" s="6">
        <f>1936</f>
        <v>1936</v>
      </c>
      <c r="DI2005" s="4" t="s">
        <v>241</v>
      </c>
      <c r="DJ2005" s="4" t="s">
        <v>241</v>
      </c>
      <c r="DK2005" s="4" t="s">
        <v>241</v>
      </c>
      <c r="DL2005" s="4" t="s">
        <v>241</v>
      </c>
      <c r="DP2005" s="4" t="s">
        <v>241</v>
      </c>
      <c r="DQ2005" s="4" t="s">
        <v>241</v>
      </c>
      <c r="DR2005" s="4" t="s">
        <v>241</v>
      </c>
      <c r="DS2005" s="4" t="s">
        <v>241</v>
      </c>
      <c r="DV2005" s="4" t="s">
        <v>426</v>
      </c>
      <c r="DW2005" s="4" t="s">
        <v>1693</v>
      </c>
      <c r="HO2005" s="4" t="s">
        <v>267</v>
      </c>
    </row>
    <row r="2006" spans="1:223" ht="19.5" customHeight="1" x14ac:dyDescent="0.4">
      <c r="A2006" s="4">
        <v>1</v>
      </c>
      <c r="B2006" s="4" t="s">
        <v>239</v>
      </c>
      <c r="C2006" s="4">
        <v>3709</v>
      </c>
      <c r="D2006" s="4">
        <v>1</v>
      </c>
      <c r="E2006" s="4">
        <v>1</v>
      </c>
      <c r="F2006" s="4" t="s">
        <v>268</v>
      </c>
      <c r="G2006" s="4" t="s">
        <v>241</v>
      </c>
      <c r="H2006" s="4" t="s">
        <v>241</v>
      </c>
      <c r="I2006" s="4" t="s">
        <v>424</v>
      </c>
      <c r="J2006" s="4" t="s">
        <v>274</v>
      </c>
      <c r="K2006" s="4" t="s">
        <v>251</v>
      </c>
      <c r="L2006" s="4" t="s">
        <v>423</v>
      </c>
      <c r="M2006" s="5" t="s">
        <v>3949</v>
      </c>
      <c r="N2006" s="6">
        <f>760</f>
        <v>760</v>
      </c>
      <c r="O2006" s="4" t="s">
        <v>265</v>
      </c>
      <c r="P2006" s="6">
        <f>1</f>
        <v>1</v>
      </c>
      <c r="Q2006" s="6">
        <f>0</f>
        <v>0</v>
      </c>
      <c r="S2006" s="6">
        <f>0</f>
        <v>0</v>
      </c>
      <c r="T2006" s="6">
        <f>1</f>
        <v>1</v>
      </c>
      <c r="U2006" s="5" t="s">
        <v>245</v>
      </c>
      <c r="V2006" s="4" t="s">
        <v>270</v>
      </c>
      <c r="W2006" s="4" t="s">
        <v>271</v>
      </c>
      <c r="X2006" s="4" t="s">
        <v>273</v>
      </c>
      <c r="Y2006" s="4" t="s">
        <v>241</v>
      </c>
      <c r="AB2006" s="4" t="s">
        <v>241</v>
      </c>
      <c r="AD2006" s="5" t="s">
        <v>241</v>
      </c>
      <c r="AG2006" s="5" t="s">
        <v>246</v>
      </c>
      <c r="AH2006" s="4" t="s">
        <v>241</v>
      </c>
      <c r="AI2006" s="4" t="s">
        <v>247</v>
      </c>
      <c r="AJ2006" s="4" t="s">
        <v>248</v>
      </c>
      <c r="AZ2006" s="4" t="s">
        <v>249</v>
      </c>
      <c r="BA2006" s="4" t="s">
        <v>241</v>
      </c>
      <c r="BB2006" s="4" t="s">
        <v>250</v>
      </c>
      <c r="BC2006" s="4" t="s">
        <v>241</v>
      </c>
      <c r="BD2006" s="4" t="s">
        <v>252</v>
      </c>
      <c r="BE2006" s="4" t="s">
        <v>241</v>
      </c>
      <c r="BI2006" s="4" t="s">
        <v>253</v>
      </c>
      <c r="BJ2006" s="5" t="s">
        <v>246</v>
      </c>
      <c r="BK2006" s="4" t="s">
        <v>254</v>
      </c>
      <c r="BL2006" s="4" t="s">
        <v>255</v>
      </c>
      <c r="BM2006" s="4" t="s">
        <v>241</v>
      </c>
      <c r="BN2006" s="6">
        <f>0</f>
        <v>0</v>
      </c>
      <c r="BO2006" s="6">
        <f>0</f>
        <v>0</v>
      </c>
      <c r="BP2006" s="4" t="s">
        <v>256</v>
      </c>
      <c r="BQ2006" s="4" t="s">
        <v>257</v>
      </c>
      <c r="CE2006" s="4" t="s">
        <v>241</v>
      </c>
      <c r="CF2006" s="4" t="s">
        <v>241</v>
      </c>
      <c r="CJ2006" s="4" t="s">
        <v>276</v>
      </c>
      <c r="CK2006" s="4" t="s">
        <v>259</v>
      </c>
      <c r="CL2006" s="4" t="s">
        <v>241</v>
      </c>
      <c r="CO2006" s="5" t="s">
        <v>260</v>
      </c>
      <c r="CP2006" s="4" t="s">
        <v>241</v>
      </c>
      <c r="CQ2006" s="4" t="s">
        <v>261</v>
      </c>
      <c r="CR2006" s="4" t="s">
        <v>241</v>
      </c>
      <c r="CS2006" s="4" t="s">
        <v>241</v>
      </c>
      <c r="CT2006" s="4">
        <v>0</v>
      </c>
      <c r="CU2006" s="4" t="s">
        <v>262</v>
      </c>
      <c r="CV2006" s="4" t="s">
        <v>263</v>
      </c>
      <c r="CW2006" s="4" t="s">
        <v>263</v>
      </c>
      <c r="CX2006" s="4" t="s">
        <v>264</v>
      </c>
      <c r="DA2006" s="6">
        <f>1</f>
        <v>1</v>
      </c>
      <c r="DC2006" s="4" t="s">
        <v>325</v>
      </c>
      <c r="DD2006" s="4" t="s">
        <v>241</v>
      </c>
      <c r="DF2006" s="4" t="s">
        <v>325</v>
      </c>
      <c r="DG2006" s="6">
        <f>760</f>
        <v>760</v>
      </c>
      <c r="DI2006" s="4" t="s">
        <v>241</v>
      </c>
      <c r="DJ2006" s="4" t="s">
        <v>241</v>
      </c>
      <c r="DK2006" s="4" t="s">
        <v>241</v>
      </c>
      <c r="DL2006" s="4" t="s">
        <v>241</v>
      </c>
      <c r="DP2006" s="4" t="s">
        <v>241</v>
      </c>
      <c r="DQ2006" s="4" t="s">
        <v>241</v>
      </c>
      <c r="DR2006" s="4" t="s">
        <v>241</v>
      </c>
      <c r="DS2006" s="4" t="s">
        <v>241</v>
      </c>
      <c r="DV2006" s="4" t="s">
        <v>426</v>
      </c>
      <c r="DW2006" s="4" t="s">
        <v>1691</v>
      </c>
      <c r="HO2006" s="4" t="s">
        <v>267</v>
      </c>
    </row>
    <row r="2007" spans="1:223" ht="19.5" customHeight="1" x14ac:dyDescent="0.4">
      <c r="A2007" s="4">
        <v>1</v>
      </c>
      <c r="B2007" s="4" t="s">
        <v>239</v>
      </c>
      <c r="C2007" s="4">
        <v>3710</v>
      </c>
      <c r="D2007" s="4">
        <v>1</v>
      </c>
      <c r="E2007" s="4">
        <v>1</v>
      </c>
      <c r="F2007" s="4" t="s">
        <v>268</v>
      </c>
      <c r="G2007" s="4" t="s">
        <v>241</v>
      </c>
      <c r="H2007" s="4" t="s">
        <v>241</v>
      </c>
      <c r="I2007" s="4" t="s">
        <v>424</v>
      </c>
      <c r="J2007" s="4" t="s">
        <v>274</v>
      </c>
      <c r="K2007" s="4" t="s">
        <v>251</v>
      </c>
      <c r="L2007" s="4" t="s">
        <v>423</v>
      </c>
      <c r="M2007" s="5" t="s">
        <v>3458</v>
      </c>
      <c r="N2007" s="6">
        <f>3198</f>
        <v>3198</v>
      </c>
      <c r="O2007" s="4" t="s">
        <v>265</v>
      </c>
      <c r="P2007" s="6">
        <f>1</f>
        <v>1</v>
      </c>
      <c r="Q2007" s="6">
        <f>0</f>
        <v>0</v>
      </c>
      <c r="S2007" s="6">
        <f>0</f>
        <v>0</v>
      </c>
      <c r="T2007" s="6">
        <f>1</f>
        <v>1</v>
      </c>
      <c r="U2007" s="5" t="s">
        <v>245</v>
      </c>
      <c r="V2007" s="4" t="s">
        <v>270</v>
      </c>
      <c r="W2007" s="4" t="s">
        <v>271</v>
      </c>
      <c r="X2007" s="4" t="s">
        <v>273</v>
      </c>
      <c r="Y2007" s="4" t="s">
        <v>241</v>
      </c>
      <c r="AB2007" s="4" t="s">
        <v>241</v>
      </c>
      <c r="AD2007" s="5" t="s">
        <v>241</v>
      </c>
      <c r="AG2007" s="5" t="s">
        <v>246</v>
      </c>
      <c r="AH2007" s="4" t="s">
        <v>241</v>
      </c>
      <c r="AI2007" s="4" t="s">
        <v>247</v>
      </c>
      <c r="AJ2007" s="4" t="s">
        <v>248</v>
      </c>
      <c r="AZ2007" s="4" t="s">
        <v>249</v>
      </c>
      <c r="BA2007" s="4" t="s">
        <v>241</v>
      </c>
      <c r="BB2007" s="4" t="s">
        <v>250</v>
      </c>
      <c r="BC2007" s="4" t="s">
        <v>241</v>
      </c>
      <c r="BD2007" s="4" t="s">
        <v>252</v>
      </c>
      <c r="BE2007" s="4" t="s">
        <v>241</v>
      </c>
      <c r="BI2007" s="4" t="s">
        <v>253</v>
      </c>
      <c r="BJ2007" s="5" t="s">
        <v>246</v>
      </c>
      <c r="BK2007" s="4" t="s">
        <v>254</v>
      </c>
      <c r="BL2007" s="4" t="s">
        <v>255</v>
      </c>
      <c r="BM2007" s="4" t="s">
        <v>241</v>
      </c>
      <c r="BN2007" s="6">
        <f>0</f>
        <v>0</v>
      </c>
      <c r="BO2007" s="6">
        <f>0</f>
        <v>0</v>
      </c>
      <c r="BP2007" s="4" t="s">
        <v>256</v>
      </c>
      <c r="BQ2007" s="4" t="s">
        <v>257</v>
      </c>
      <c r="CE2007" s="4" t="s">
        <v>241</v>
      </c>
      <c r="CF2007" s="4" t="s">
        <v>241</v>
      </c>
      <c r="CJ2007" s="4" t="s">
        <v>276</v>
      </c>
      <c r="CK2007" s="4" t="s">
        <v>259</v>
      </c>
      <c r="CL2007" s="4" t="s">
        <v>241</v>
      </c>
      <c r="CO2007" s="5" t="s">
        <v>260</v>
      </c>
      <c r="CP2007" s="4" t="s">
        <v>241</v>
      </c>
      <c r="CQ2007" s="4" t="s">
        <v>261</v>
      </c>
      <c r="CR2007" s="4" t="s">
        <v>241</v>
      </c>
      <c r="CS2007" s="4" t="s">
        <v>241</v>
      </c>
      <c r="CT2007" s="4">
        <v>0</v>
      </c>
      <c r="CU2007" s="4" t="s">
        <v>262</v>
      </c>
      <c r="CV2007" s="4" t="s">
        <v>263</v>
      </c>
      <c r="CW2007" s="4" t="s">
        <v>263</v>
      </c>
      <c r="CX2007" s="4" t="s">
        <v>264</v>
      </c>
      <c r="DA2007" s="6">
        <f>1</f>
        <v>1</v>
      </c>
      <c r="DC2007" s="4" t="s">
        <v>325</v>
      </c>
      <c r="DD2007" s="4" t="s">
        <v>241</v>
      </c>
      <c r="DF2007" s="4" t="s">
        <v>325</v>
      </c>
      <c r="DG2007" s="6">
        <f>3198</f>
        <v>3198</v>
      </c>
      <c r="DI2007" s="4" t="s">
        <v>241</v>
      </c>
      <c r="DJ2007" s="4" t="s">
        <v>241</v>
      </c>
      <c r="DK2007" s="4" t="s">
        <v>241</v>
      </c>
      <c r="DL2007" s="4" t="s">
        <v>241</v>
      </c>
      <c r="DP2007" s="4" t="s">
        <v>241</v>
      </c>
      <c r="DQ2007" s="4" t="s">
        <v>241</v>
      </c>
      <c r="DR2007" s="4" t="s">
        <v>241</v>
      </c>
      <c r="DS2007" s="4" t="s">
        <v>241</v>
      </c>
      <c r="DV2007" s="4" t="s">
        <v>426</v>
      </c>
      <c r="DW2007" s="4" t="s">
        <v>1689</v>
      </c>
      <c r="HO2007" s="4" t="s">
        <v>267</v>
      </c>
    </row>
    <row r="2008" spans="1:223" ht="19.5" customHeight="1" x14ac:dyDescent="0.4">
      <c r="A2008" s="4">
        <v>1</v>
      </c>
      <c r="B2008" s="4" t="s">
        <v>239</v>
      </c>
      <c r="C2008" s="4">
        <v>3711</v>
      </c>
      <c r="D2008" s="4">
        <v>1</v>
      </c>
      <c r="E2008" s="4">
        <v>1</v>
      </c>
      <c r="F2008" s="4" t="s">
        <v>268</v>
      </c>
      <c r="G2008" s="4" t="s">
        <v>241</v>
      </c>
      <c r="H2008" s="4" t="s">
        <v>241</v>
      </c>
      <c r="I2008" s="4" t="s">
        <v>424</v>
      </c>
      <c r="J2008" s="4" t="s">
        <v>274</v>
      </c>
      <c r="K2008" s="4" t="s">
        <v>251</v>
      </c>
      <c r="L2008" s="4" t="s">
        <v>423</v>
      </c>
      <c r="M2008" s="5" t="s">
        <v>3952</v>
      </c>
      <c r="N2008" s="6">
        <f>597</f>
        <v>597</v>
      </c>
      <c r="O2008" s="4" t="s">
        <v>265</v>
      </c>
      <c r="P2008" s="6">
        <f>1</f>
        <v>1</v>
      </c>
      <c r="Q2008" s="6">
        <f>0</f>
        <v>0</v>
      </c>
      <c r="S2008" s="6">
        <f>0</f>
        <v>0</v>
      </c>
      <c r="T2008" s="6">
        <f>1</f>
        <v>1</v>
      </c>
      <c r="U2008" s="5" t="s">
        <v>245</v>
      </c>
      <c r="V2008" s="4" t="s">
        <v>270</v>
      </c>
      <c r="W2008" s="4" t="s">
        <v>271</v>
      </c>
      <c r="X2008" s="4" t="s">
        <v>273</v>
      </c>
      <c r="Y2008" s="4" t="s">
        <v>241</v>
      </c>
      <c r="AB2008" s="4" t="s">
        <v>241</v>
      </c>
      <c r="AD2008" s="5" t="s">
        <v>241</v>
      </c>
      <c r="AG2008" s="5" t="s">
        <v>246</v>
      </c>
      <c r="AH2008" s="4" t="s">
        <v>241</v>
      </c>
      <c r="AI2008" s="4" t="s">
        <v>247</v>
      </c>
      <c r="AJ2008" s="4" t="s">
        <v>248</v>
      </c>
      <c r="AZ2008" s="4" t="s">
        <v>249</v>
      </c>
      <c r="BA2008" s="4" t="s">
        <v>241</v>
      </c>
      <c r="BB2008" s="4" t="s">
        <v>250</v>
      </c>
      <c r="BC2008" s="4" t="s">
        <v>241</v>
      </c>
      <c r="BD2008" s="4" t="s">
        <v>252</v>
      </c>
      <c r="BE2008" s="4" t="s">
        <v>241</v>
      </c>
      <c r="BI2008" s="4" t="s">
        <v>253</v>
      </c>
      <c r="BJ2008" s="5" t="s">
        <v>246</v>
      </c>
      <c r="BK2008" s="4" t="s">
        <v>254</v>
      </c>
      <c r="BL2008" s="4" t="s">
        <v>255</v>
      </c>
      <c r="BM2008" s="4" t="s">
        <v>241</v>
      </c>
      <c r="BN2008" s="6">
        <f>0</f>
        <v>0</v>
      </c>
      <c r="BO2008" s="6">
        <f>0</f>
        <v>0</v>
      </c>
      <c r="BP2008" s="4" t="s">
        <v>256</v>
      </c>
      <c r="BQ2008" s="4" t="s">
        <v>257</v>
      </c>
      <c r="CE2008" s="4" t="s">
        <v>241</v>
      </c>
      <c r="CF2008" s="4" t="s">
        <v>241</v>
      </c>
      <c r="CJ2008" s="4" t="s">
        <v>276</v>
      </c>
      <c r="CK2008" s="4" t="s">
        <v>259</v>
      </c>
      <c r="CL2008" s="4" t="s">
        <v>241</v>
      </c>
      <c r="CO2008" s="5" t="s">
        <v>260</v>
      </c>
      <c r="CP2008" s="4" t="s">
        <v>241</v>
      </c>
      <c r="CQ2008" s="4" t="s">
        <v>261</v>
      </c>
      <c r="CR2008" s="4" t="s">
        <v>241</v>
      </c>
      <c r="CS2008" s="4" t="s">
        <v>241</v>
      </c>
      <c r="CT2008" s="4">
        <v>0</v>
      </c>
      <c r="CU2008" s="4" t="s">
        <v>262</v>
      </c>
      <c r="CV2008" s="4" t="s">
        <v>263</v>
      </c>
      <c r="CW2008" s="4" t="s">
        <v>263</v>
      </c>
      <c r="CX2008" s="4" t="s">
        <v>264</v>
      </c>
      <c r="DA2008" s="6">
        <f>1</f>
        <v>1</v>
      </c>
      <c r="DC2008" s="4" t="s">
        <v>325</v>
      </c>
      <c r="DD2008" s="4" t="s">
        <v>241</v>
      </c>
      <c r="DF2008" s="4" t="s">
        <v>325</v>
      </c>
      <c r="DG2008" s="6">
        <f>597</f>
        <v>597</v>
      </c>
      <c r="DI2008" s="4" t="s">
        <v>241</v>
      </c>
      <c r="DJ2008" s="4" t="s">
        <v>241</v>
      </c>
      <c r="DK2008" s="4" t="s">
        <v>241</v>
      </c>
      <c r="DL2008" s="4" t="s">
        <v>241</v>
      </c>
      <c r="DP2008" s="4" t="s">
        <v>241</v>
      </c>
      <c r="DQ2008" s="4" t="s">
        <v>241</v>
      </c>
      <c r="DR2008" s="4" t="s">
        <v>241</v>
      </c>
      <c r="DS2008" s="4" t="s">
        <v>241</v>
      </c>
      <c r="DV2008" s="4" t="s">
        <v>426</v>
      </c>
      <c r="DW2008" s="4" t="s">
        <v>1687</v>
      </c>
      <c r="HO2008" s="4" t="s">
        <v>267</v>
      </c>
    </row>
    <row r="2009" spans="1:223" ht="19.5" customHeight="1" x14ac:dyDescent="0.4">
      <c r="A2009" s="4">
        <v>1</v>
      </c>
      <c r="B2009" s="4" t="s">
        <v>239</v>
      </c>
      <c r="C2009" s="4">
        <v>3712</v>
      </c>
      <c r="D2009" s="4">
        <v>1</v>
      </c>
      <c r="E2009" s="4">
        <v>1</v>
      </c>
      <c r="F2009" s="4" t="s">
        <v>268</v>
      </c>
      <c r="G2009" s="4" t="s">
        <v>241</v>
      </c>
      <c r="H2009" s="4" t="s">
        <v>241</v>
      </c>
      <c r="I2009" s="4" t="s">
        <v>424</v>
      </c>
      <c r="J2009" s="4" t="s">
        <v>274</v>
      </c>
      <c r="K2009" s="4" t="s">
        <v>251</v>
      </c>
      <c r="L2009" s="4" t="s">
        <v>423</v>
      </c>
      <c r="M2009" s="5" t="s">
        <v>3460</v>
      </c>
      <c r="N2009" s="6">
        <f>1539</f>
        <v>1539</v>
      </c>
      <c r="O2009" s="4" t="s">
        <v>265</v>
      </c>
      <c r="P2009" s="6">
        <f>1</f>
        <v>1</v>
      </c>
      <c r="Q2009" s="6">
        <f>0</f>
        <v>0</v>
      </c>
      <c r="S2009" s="6">
        <f>0</f>
        <v>0</v>
      </c>
      <c r="T2009" s="6">
        <f>1</f>
        <v>1</v>
      </c>
      <c r="U2009" s="5" t="s">
        <v>245</v>
      </c>
      <c r="V2009" s="4" t="s">
        <v>270</v>
      </c>
      <c r="W2009" s="4" t="s">
        <v>271</v>
      </c>
      <c r="X2009" s="4" t="s">
        <v>273</v>
      </c>
      <c r="Y2009" s="4" t="s">
        <v>241</v>
      </c>
      <c r="AB2009" s="4" t="s">
        <v>241</v>
      </c>
      <c r="AD2009" s="5" t="s">
        <v>241</v>
      </c>
      <c r="AG2009" s="5" t="s">
        <v>246</v>
      </c>
      <c r="AH2009" s="4" t="s">
        <v>241</v>
      </c>
      <c r="AI2009" s="4" t="s">
        <v>247</v>
      </c>
      <c r="AJ2009" s="4" t="s">
        <v>248</v>
      </c>
      <c r="AZ2009" s="4" t="s">
        <v>249</v>
      </c>
      <c r="BA2009" s="4" t="s">
        <v>241</v>
      </c>
      <c r="BB2009" s="4" t="s">
        <v>250</v>
      </c>
      <c r="BC2009" s="4" t="s">
        <v>241</v>
      </c>
      <c r="BD2009" s="4" t="s">
        <v>252</v>
      </c>
      <c r="BE2009" s="4" t="s">
        <v>241</v>
      </c>
      <c r="BI2009" s="4" t="s">
        <v>253</v>
      </c>
      <c r="BJ2009" s="5" t="s">
        <v>246</v>
      </c>
      <c r="BK2009" s="4" t="s">
        <v>254</v>
      </c>
      <c r="BL2009" s="4" t="s">
        <v>255</v>
      </c>
      <c r="BM2009" s="4" t="s">
        <v>241</v>
      </c>
      <c r="BN2009" s="6">
        <f>0</f>
        <v>0</v>
      </c>
      <c r="BO2009" s="6">
        <f>0</f>
        <v>0</v>
      </c>
      <c r="BP2009" s="4" t="s">
        <v>256</v>
      </c>
      <c r="BQ2009" s="4" t="s">
        <v>257</v>
      </c>
      <c r="CE2009" s="4" t="s">
        <v>241</v>
      </c>
      <c r="CF2009" s="4" t="s">
        <v>241</v>
      </c>
      <c r="CJ2009" s="4" t="s">
        <v>276</v>
      </c>
      <c r="CK2009" s="4" t="s">
        <v>259</v>
      </c>
      <c r="CL2009" s="4" t="s">
        <v>241</v>
      </c>
      <c r="CO2009" s="5" t="s">
        <v>260</v>
      </c>
      <c r="CP2009" s="4" t="s">
        <v>241</v>
      </c>
      <c r="CQ2009" s="4" t="s">
        <v>261</v>
      </c>
      <c r="CR2009" s="4" t="s">
        <v>241</v>
      </c>
      <c r="CS2009" s="4" t="s">
        <v>241</v>
      </c>
      <c r="CT2009" s="4">
        <v>0</v>
      </c>
      <c r="CU2009" s="4" t="s">
        <v>262</v>
      </c>
      <c r="CV2009" s="4" t="s">
        <v>263</v>
      </c>
      <c r="CW2009" s="4" t="s">
        <v>263</v>
      </c>
      <c r="CX2009" s="4" t="s">
        <v>264</v>
      </c>
      <c r="DA2009" s="6">
        <f>1</f>
        <v>1</v>
      </c>
      <c r="DC2009" s="4" t="s">
        <v>325</v>
      </c>
      <c r="DD2009" s="4" t="s">
        <v>241</v>
      </c>
      <c r="DF2009" s="4" t="s">
        <v>325</v>
      </c>
      <c r="DG2009" s="6">
        <f>1539</f>
        <v>1539</v>
      </c>
      <c r="DI2009" s="4" t="s">
        <v>241</v>
      </c>
      <c r="DJ2009" s="4" t="s">
        <v>241</v>
      </c>
      <c r="DK2009" s="4" t="s">
        <v>241</v>
      </c>
      <c r="DL2009" s="4" t="s">
        <v>241</v>
      </c>
      <c r="DP2009" s="4" t="s">
        <v>241</v>
      </c>
      <c r="DQ2009" s="4" t="s">
        <v>241</v>
      </c>
      <c r="DR2009" s="4" t="s">
        <v>241</v>
      </c>
      <c r="DS2009" s="4" t="s">
        <v>241</v>
      </c>
      <c r="DV2009" s="4" t="s">
        <v>426</v>
      </c>
      <c r="DW2009" s="4" t="s">
        <v>1685</v>
      </c>
      <c r="HO2009" s="4" t="s">
        <v>267</v>
      </c>
    </row>
    <row r="2010" spans="1:223" ht="19.5" customHeight="1" x14ac:dyDescent="0.4">
      <c r="A2010" s="4">
        <v>1</v>
      </c>
      <c r="B2010" s="4" t="s">
        <v>239</v>
      </c>
      <c r="C2010" s="4">
        <v>3713</v>
      </c>
      <c r="D2010" s="4">
        <v>1</v>
      </c>
      <c r="E2010" s="4">
        <v>1</v>
      </c>
      <c r="F2010" s="4" t="s">
        <v>268</v>
      </c>
      <c r="G2010" s="4" t="s">
        <v>241</v>
      </c>
      <c r="H2010" s="4" t="s">
        <v>241</v>
      </c>
      <c r="I2010" s="4" t="s">
        <v>424</v>
      </c>
      <c r="J2010" s="4" t="s">
        <v>274</v>
      </c>
      <c r="K2010" s="4" t="s">
        <v>251</v>
      </c>
      <c r="L2010" s="4" t="s">
        <v>423</v>
      </c>
      <c r="M2010" s="5" t="s">
        <v>3956</v>
      </c>
      <c r="N2010" s="6">
        <f>274</f>
        <v>274</v>
      </c>
      <c r="O2010" s="4" t="s">
        <v>265</v>
      </c>
      <c r="P2010" s="6">
        <f>1</f>
        <v>1</v>
      </c>
      <c r="Q2010" s="6">
        <f>0</f>
        <v>0</v>
      </c>
      <c r="S2010" s="6">
        <f>0</f>
        <v>0</v>
      </c>
      <c r="T2010" s="6">
        <f>1</f>
        <v>1</v>
      </c>
      <c r="U2010" s="5" t="s">
        <v>245</v>
      </c>
      <c r="V2010" s="4" t="s">
        <v>270</v>
      </c>
      <c r="W2010" s="4" t="s">
        <v>271</v>
      </c>
      <c r="X2010" s="4" t="s">
        <v>273</v>
      </c>
      <c r="Y2010" s="4" t="s">
        <v>241</v>
      </c>
      <c r="AB2010" s="4" t="s">
        <v>241</v>
      </c>
      <c r="AD2010" s="5" t="s">
        <v>241</v>
      </c>
      <c r="AG2010" s="5" t="s">
        <v>246</v>
      </c>
      <c r="AH2010" s="4" t="s">
        <v>241</v>
      </c>
      <c r="AI2010" s="4" t="s">
        <v>247</v>
      </c>
      <c r="AJ2010" s="4" t="s">
        <v>248</v>
      </c>
      <c r="AZ2010" s="4" t="s">
        <v>249</v>
      </c>
      <c r="BA2010" s="4" t="s">
        <v>241</v>
      </c>
      <c r="BB2010" s="4" t="s">
        <v>250</v>
      </c>
      <c r="BC2010" s="4" t="s">
        <v>241</v>
      </c>
      <c r="BD2010" s="4" t="s">
        <v>252</v>
      </c>
      <c r="BE2010" s="4" t="s">
        <v>241</v>
      </c>
      <c r="BI2010" s="4" t="s">
        <v>253</v>
      </c>
      <c r="BJ2010" s="5" t="s">
        <v>246</v>
      </c>
      <c r="BK2010" s="4" t="s">
        <v>254</v>
      </c>
      <c r="BL2010" s="4" t="s">
        <v>255</v>
      </c>
      <c r="BM2010" s="4" t="s">
        <v>241</v>
      </c>
      <c r="BN2010" s="6">
        <f>0</f>
        <v>0</v>
      </c>
      <c r="BO2010" s="6">
        <f>0</f>
        <v>0</v>
      </c>
      <c r="BP2010" s="4" t="s">
        <v>256</v>
      </c>
      <c r="BQ2010" s="4" t="s">
        <v>257</v>
      </c>
      <c r="CE2010" s="4" t="s">
        <v>241</v>
      </c>
      <c r="CF2010" s="4" t="s">
        <v>241</v>
      </c>
      <c r="CJ2010" s="4" t="s">
        <v>276</v>
      </c>
      <c r="CK2010" s="4" t="s">
        <v>259</v>
      </c>
      <c r="CL2010" s="4" t="s">
        <v>241</v>
      </c>
      <c r="CO2010" s="5" t="s">
        <v>260</v>
      </c>
      <c r="CP2010" s="4" t="s">
        <v>241</v>
      </c>
      <c r="CQ2010" s="4" t="s">
        <v>261</v>
      </c>
      <c r="CR2010" s="4" t="s">
        <v>241</v>
      </c>
      <c r="CS2010" s="4" t="s">
        <v>241</v>
      </c>
      <c r="CT2010" s="4">
        <v>0</v>
      </c>
      <c r="CU2010" s="4" t="s">
        <v>262</v>
      </c>
      <c r="CV2010" s="4" t="s">
        <v>263</v>
      </c>
      <c r="CW2010" s="4" t="s">
        <v>263</v>
      </c>
      <c r="CX2010" s="4" t="s">
        <v>264</v>
      </c>
      <c r="DA2010" s="6">
        <f>1</f>
        <v>1</v>
      </c>
      <c r="DC2010" s="4" t="s">
        <v>325</v>
      </c>
      <c r="DD2010" s="4" t="s">
        <v>241</v>
      </c>
      <c r="DF2010" s="4" t="s">
        <v>325</v>
      </c>
      <c r="DG2010" s="6">
        <f>274</f>
        <v>274</v>
      </c>
      <c r="DI2010" s="4" t="s">
        <v>241</v>
      </c>
      <c r="DJ2010" s="4" t="s">
        <v>241</v>
      </c>
      <c r="DK2010" s="4" t="s">
        <v>241</v>
      </c>
      <c r="DL2010" s="4" t="s">
        <v>241</v>
      </c>
      <c r="DP2010" s="4" t="s">
        <v>241</v>
      </c>
      <c r="DQ2010" s="4" t="s">
        <v>241</v>
      </c>
      <c r="DR2010" s="4" t="s">
        <v>241</v>
      </c>
      <c r="DS2010" s="4" t="s">
        <v>241</v>
      </c>
      <c r="DV2010" s="4" t="s">
        <v>426</v>
      </c>
      <c r="DW2010" s="4" t="s">
        <v>1683</v>
      </c>
      <c r="HO2010" s="4" t="s">
        <v>267</v>
      </c>
    </row>
    <row r="2011" spans="1:223" ht="19.5" customHeight="1" x14ac:dyDescent="0.4">
      <c r="A2011" s="4">
        <v>1</v>
      </c>
      <c r="B2011" s="4" t="s">
        <v>239</v>
      </c>
      <c r="C2011" s="4">
        <v>3714</v>
      </c>
      <c r="D2011" s="4">
        <v>1</v>
      </c>
      <c r="E2011" s="4">
        <v>1</v>
      </c>
      <c r="F2011" s="4" t="s">
        <v>268</v>
      </c>
      <c r="G2011" s="4" t="s">
        <v>241</v>
      </c>
      <c r="H2011" s="4" t="s">
        <v>241</v>
      </c>
      <c r="I2011" s="4" t="s">
        <v>424</v>
      </c>
      <c r="J2011" s="4" t="s">
        <v>274</v>
      </c>
      <c r="K2011" s="4" t="s">
        <v>251</v>
      </c>
      <c r="L2011" s="4" t="s">
        <v>423</v>
      </c>
      <c r="M2011" s="5" t="s">
        <v>4408</v>
      </c>
      <c r="N2011" s="6">
        <f>1298</f>
        <v>1298</v>
      </c>
      <c r="O2011" s="4" t="s">
        <v>265</v>
      </c>
      <c r="P2011" s="6">
        <f>1</f>
        <v>1</v>
      </c>
      <c r="Q2011" s="6">
        <f>0</f>
        <v>0</v>
      </c>
      <c r="S2011" s="6">
        <f>0</f>
        <v>0</v>
      </c>
      <c r="T2011" s="6">
        <f>1</f>
        <v>1</v>
      </c>
      <c r="U2011" s="5" t="s">
        <v>245</v>
      </c>
      <c r="V2011" s="4" t="s">
        <v>270</v>
      </c>
      <c r="W2011" s="4" t="s">
        <v>271</v>
      </c>
      <c r="X2011" s="4" t="s">
        <v>273</v>
      </c>
      <c r="Y2011" s="4" t="s">
        <v>241</v>
      </c>
      <c r="AB2011" s="4" t="s">
        <v>241</v>
      </c>
      <c r="AD2011" s="5" t="s">
        <v>241</v>
      </c>
      <c r="AG2011" s="5" t="s">
        <v>246</v>
      </c>
      <c r="AH2011" s="4" t="s">
        <v>241</v>
      </c>
      <c r="AI2011" s="4" t="s">
        <v>247</v>
      </c>
      <c r="AJ2011" s="4" t="s">
        <v>248</v>
      </c>
      <c r="AZ2011" s="4" t="s">
        <v>249</v>
      </c>
      <c r="BA2011" s="4" t="s">
        <v>241</v>
      </c>
      <c r="BB2011" s="4" t="s">
        <v>250</v>
      </c>
      <c r="BC2011" s="4" t="s">
        <v>241</v>
      </c>
      <c r="BD2011" s="4" t="s">
        <v>252</v>
      </c>
      <c r="BE2011" s="4" t="s">
        <v>241</v>
      </c>
      <c r="BI2011" s="4" t="s">
        <v>253</v>
      </c>
      <c r="BJ2011" s="5" t="s">
        <v>246</v>
      </c>
      <c r="BK2011" s="4" t="s">
        <v>254</v>
      </c>
      <c r="BL2011" s="4" t="s">
        <v>255</v>
      </c>
      <c r="BM2011" s="4" t="s">
        <v>241</v>
      </c>
      <c r="BN2011" s="6">
        <f>0</f>
        <v>0</v>
      </c>
      <c r="BO2011" s="6">
        <f>0</f>
        <v>0</v>
      </c>
      <c r="BP2011" s="4" t="s">
        <v>256</v>
      </c>
      <c r="BQ2011" s="4" t="s">
        <v>257</v>
      </c>
      <c r="CE2011" s="4" t="s">
        <v>241</v>
      </c>
      <c r="CF2011" s="4" t="s">
        <v>241</v>
      </c>
      <c r="CJ2011" s="4" t="s">
        <v>276</v>
      </c>
      <c r="CK2011" s="4" t="s">
        <v>259</v>
      </c>
      <c r="CL2011" s="4" t="s">
        <v>241</v>
      </c>
      <c r="CO2011" s="5" t="s">
        <v>260</v>
      </c>
      <c r="CP2011" s="4" t="s">
        <v>241</v>
      </c>
      <c r="CQ2011" s="4" t="s">
        <v>261</v>
      </c>
      <c r="CR2011" s="4" t="s">
        <v>241</v>
      </c>
      <c r="CS2011" s="4" t="s">
        <v>241</v>
      </c>
      <c r="CT2011" s="4">
        <v>0</v>
      </c>
      <c r="CU2011" s="4" t="s">
        <v>262</v>
      </c>
      <c r="CV2011" s="4" t="s">
        <v>263</v>
      </c>
      <c r="CW2011" s="4" t="s">
        <v>263</v>
      </c>
      <c r="CX2011" s="4" t="s">
        <v>264</v>
      </c>
      <c r="DA2011" s="6">
        <f>1</f>
        <v>1</v>
      </c>
      <c r="DC2011" s="4" t="s">
        <v>325</v>
      </c>
      <c r="DD2011" s="4" t="s">
        <v>241</v>
      </c>
      <c r="DF2011" s="4" t="s">
        <v>325</v>
      </c>
      <c r="DG2011" s="6">
        <f>1298</f>
        <v>1298</v>
      </c>
      <c r="DI2011" s="4" t="s">
        <v>241</v>
      </c>
      <c r="DJ2011" s="4" t="s">
        <v>241</v>
      </c>
      <c r="DK2011" s="4" t="s">
        <v>241</v>
      </c>
      <c r="DL2011" s="4" t="s">
        <v>241</v>
      </c>
      <c r="DP2011" s="4" t="s">
        <v>241</v>
      </c>
      <c r="DQ2011" s="4" t="s">
        <v>241</v>
      </c>
      <c r="DR2011" s="4" t="s">
        <v>241</v>
      </c>
      <c r="DS2011" s="4" t="s">
        <v>241</v>
      </c>
      <c r="DV2011" s="4" t="s">
        <v>426</v>
      </c>
      <c r="DW2011" s="4" t="s">
        <v>1681</v>
      </c>
      <c r="HO2011" s="4" t="s">
        <v>267</v>
      </c>
    </row>
    <row r="2012" spans="1:223" ht="19.5" customHeight="1" x14ac:dyDescent="0.4">
      <c r="A2012" s="4">
        <v>1</v>
      </c>
      <c r="B2012" s="4" t="s">
        <v>239</v>
      </c>
      <c r="C2012" s="4">
        <v>3715</v>
      </c>
      <c r="D2012" s="4">
        <v>1</v>
      </c>
      <c r="E2012" s="4">
        <v>1</v>
      </c>
      <c r="F2012" s="4" t="s">
        <v>268</v>
      </c>
      <c r="G2012" s="4" t="s">
        <v>241</v>
      </c>
      <c r="H2012" s="4" t="s">
        <v>241</v>
      </c>
      <c r="I2012" s="4" t="s">
        <v>424</v>
      </c>
      <c r="J2012" s="4" t="s">
        <v>274</v>
      </c>
      <c r="K2012" s="4" t="s">
        <v>251</v>
      </c>
      <c r="L2012" s="4" t="s">
        <v>423</v>
      </c>
      <c r="M2012" s="5" t="s">
        <v>3461</v>
      </c>
      <c r="N2012" s="6">
        <f>2410</f>
        <v>2410</v>
      </c>
      <c r="O2012" s="4" t="s">
        <v>265</v>
      </c>
      <c r="P2012" s="6">
        <f>1</f>
        <v>1</v>
      </c>
      <c r="Q2012" s="6">
        <f>0</f>
        <v>0</v>
      </c>
      <c r="S2012" s="6">
        <f>0</f>
        <v>0</v>
      </c>
      <c r="T2012" s="6">
        <f>1</f>
        <v>1</v>
      </c>
      <c r="U2012" s="5" t="s">
        <v>245</v>
      </c>
      <c r="V2012" s="4" t="s">
        <v>270</v>
      </c>
      <c r="W2012" s="4" t="s">
        <v>271</v>
      </c>
      <c r="X2012" s="4" t="s">
        <v>273</v>
      </c>
      <c r="Y2012" s="4" t="s">
        <v>241</v>
      </c>
      <c r="AB2012" s="4" t="s">
        <v>241</v>
      </c>
      <c r="AD2012" s="5" t="s">
        <v>241</v>
      </c>
      <c r="AG2012" s="5" t="s">
        <v>246</v>
      </c>
      <c r="AH2012" s="4" t="s">
        <v>241</v>
      </c>
      <c r="AI2012" s="4" t="s">
        <v>247</v>
      </c>
      <c r="AJ2012" s="4" t="s">
        <v>248</v>
      </c>
      <c r="AZ2012" s="4" t="s">
        <v>249</v>
      </c>
      <c r="BA2012" s="4" t="s">
        <v>241</v>
      </c>
      <c r="BB2012" s="4" t="s">
        <v>250</v>
      </c>
      <c r="BC2012" s="4" t="s">
        <v>241</v>
      </c>
      <c r="BD2012" s="4" t="s">
        <v>252</v>
      </c>
      <c r="BE2012" s="4" t="s">
        <v>241</v>
      </c>
      <c r="BI2012" s="4" t="s">
        <v>253</v>
      </c>
      <c r="BJ2012" s="5" t="s">
        <v>246</v>
      </c>
      <c r="BK2012" s="4" t="s">
        <v>254</v>
      </c>
      <c r="BL2012" s="4" t="s">
        <v>255</v>
      </c>
      <c r="BM2012" s="4" t="s">
        <v>241</v>
      </c>
      <c r="BN2012" s="6">
        <f>0</f>
        <v>0</v>
      </c>
      <c r="BO2012" s="6">
        <f>0</f>
        <v>0</v>
      </c>
      <c r="BP2012" s="4" t="s">
        <v>256</v>
      </c>
      <c r="BQ2012" s="4" t="s">
        <v>257</v>
      </c>
      <c r="CE2012" s="4" t="s">
        <v>241</v>
      </c>
      <c r="CF2012" s="4" t="s">
        <v>241</v>
      </c>
      <c r="CJ2012" s="4" t="s">
        <v>276</v>
      </c>
      <c r="CK2012" s="4" t="s">
        <v>259</v>
      </c>
      <c r="CL2012" s="4" t="s">
        <v>241</v>
      </c>
      <c r="CO2012" s="5" t="s">
        <v>260</v>
      </c>
      <c r="CP2012" s="4" t="s">
        <v>241</v>
      </c>
      <c r="CQ2012" s="4" t="s">
        <v>261</v>
      </c>
      <c r="CR2012" s="4" t="s">
        <v>241</v>
      </c>
      <c r="CS2012" s="4" t="s">
        <v>241</v>
      </c>
      <c r="CT2012" s="4">
        <v>0</v>
      </c>
      <c r="CU2012" s="4" t="s">
        <v>262</v>
      </c>
      <c r="CV2012" s="4" t="s">
        <v>263</v>
      </c>
      <c r="CW2012" s="4" t="s">
        <v>263</v>
      </c>
      <c r="CX2012" s="4" t="s">
        <v>264</v>
      </c>
      <c r="DA2012" s="6">
        <f>1</f>
        <v>1</v>
      </c>
      <c r="DC2012" s="4" t="s">
        <v>325</v>
      </c>
      <c r="DD2012" s="4" t="s">
        <v>241</v>
      </c>
      <c r="DF2012" s="4" t="s">
        <v>325</v>
      </c>
      <c r="DG2012" s="6">
        <f>2410</f>
        <v>2410</v>
      </c>
      <c r="DI2012" s="4" t="s">
        <v>241</v>
      </c>
      <c r="DJ2012" s="4" t="s">
        <v>241</v>
      </c>
      <c r="DK2012" s="4" t="s">
        <v>241</v>
      </c>
      <c r="DL2012" s="4" t="s">
        <v>241</v>
      </c>
      <c r="DP2012" s="4" t="s">
        <v>241</v>
      </c>
      <c r="DQ2012" s="4" t="s">
        <v>241</v>
      </c>
      <c r="DR2012" s="4" t="s">
        <v>241</v>
      </c>
      <c r="DS2012" s="4" t="s">
        <v>241</v>
      </c>
      <c r="DV2012" s="4" t="s">
        <v>426</v>
      </c>
      <c r="DW2012" s="4" t="s">
        <v>1679</v>
      </c>
      <c r="HO2012" s="4" t="s">
        <v>267</v>
      </c>
    </row>
    <row r="2013" spans="1:223" ht="19.5" customHeight="1" x14ac:dyDescent="0.4">
      <c r="A2013" s="4">
        <v>1</v>
      </c>
      <c r="B2013" s="4" t="s">
        <v>239</v>
      </c>
      <c r="C2013" s="4">
        <v>3716</v>
      </c>
      <c r="D2013" s="4">
        <v>1</v>
      </c>
      <c r="E2013" s="4">
        <v>1</v>
      </c>
      <c r="F2013" s="4" t="s">
        <v>268</v>
      </c>
      <c r="G2013" s="4" t="s">
        <v>241</v>
      </c>
      <c r="H2013" s="4" t="s">
        <v>241</v>
      </c>
      <c r="I2013" s="4" t="s">
        <v>424</v>
      </c>
      <c r="J2013" s="4" t="s">
        <v>274</v>
      </c>
      <c r="K2013" s="4" t="s">
        <v>251</v>
      </c>
      <c r="L2013" s="4" t="s">
        <v>423</v>
      </c>
      <c r="M2013" s="5" t="s">
        <v>3960</v>
      </c>
      <c r="N2013" s="6">
        <f>1598</f>
        <v>1598</v>
      </c>
      <c r="O2013" s="4" t="s">
        <v>265</v>
      </c>
      <c r="P2013" s="6">
        <f>1</f>
        <v>1</v>
      </c>
      <c r="Q2013" s="6">
        <f>0</f>
        <v>0</v>
      </c>
      <c r="S2013" s="6">
        <f>0</f>
        <v>0</v>
      </c>
      <c r="T2013" s="6">
        <f>1</f>
        <v>1</v>
      </c>
      <c r="U2013" s="5" t="s">
        <v>245</v>
      </c>
      <c r="V2013" s="4" t="s">
        <v>270</v>
      </c>
      <c r="W2013" s="4" t="s">
        <v>271</v>
      </c>
      <c r="X2013" s="4" t="s">
        <v>273</v>
      </c>
      <c r="Y2013" s="4" t="s">
        <v>241</v>
      </c>
      <c r="AB2013" s="4" t="s">
        <v>241</v>
      </c>
      <c r="AD2013" s="5" t="s">
        <v>241</v>
      </c>
      <c r="AG2013" s="5" t="s">
        <v>246</v>
      </c>
      <c r="AH2013" s="4" t="s">
        <v>241</v>
      </c>
      <c r="AI2013" s="4" t="s">
        <v>247</v>
      </c>
      <c r="AJ2013" s="4" t="s">
        <v>248</v>
      </c>
      <c r="AZ2013" s="4" t="s">
        <v>249</v>
      </c>
      <c r="BA2013" s="4" t="s">
        <v>241</v>
      </c>
      <c r="BB2013" s="4" t="s">
        <v>250</v>
      </c>
      <c r="BC2013" s="4" t="s">
        <v>241</v>
      </c>
      <c r="BD2013" s="4" t="s">
        <v>252</v>
      </c>
      <c r="BE2013" s="4" t="s">
        <v>241</v>
      </c>
      <c r="BI2013" s="4" t="s">
        <v>253</v>
      </c>
      <c r="BJ2013" s="5" t="s">
        <v>246</v>
      </c>
      <c r="BK2013" s="4" t="s">
        <v>254</v>
      </c>
      <c r="BL2013" s="4" t="s">
        <v>255</v>
      </c>
      <c r="BM2013" s="4" t="s">
        <v>241</v>
      </c>
      <c r="BN2013" s="6">
        <f>0</f>
        <v>0</v>
      </c>
      <c r="BO2013" s="6">
        <f>0</f>
        <v>0</v>
      </c>
      <c r="BP2013" s="4" t="s">
        <v>256</v>
      </c>
      <c r="BQ2013" s="4" t="s">
        <v>257</v>
      </c>
      <c r="CE2013" s="4" t="s">
        <v>241</v>
      </c>
      <c r="CF2013" s="4" t="s">
        <v>241</v>
      </c>
      <c r="CJ2013" s="4" t="s">
        <v>276</v>
      </c>
      <c r="CK2013" s="4" t="s">
        <v>259</v>
      </c>
      <c r="CL2013" s="4" t="s">
        <v>241</v>
      </c>
      <c r="CO2013" s="5" t="s">
        <v>260</v>
      </c>
      <c r="CP2013" s="4" t="s">
        <v>241</v>
      </c>
      <c r="CQ2013" s="4" t="s">
        <v>261</v>
      </c>
      <c r="CR2013" s="4" t="s">
        <v>241</v>
      </c>
      <c r="CS2013" s="4" t="s">
        <v>241</v>
      </c>
      <c r="CT2013" s="4">
        <v>0</v>
      </c>
      <c r="CU2013" s="4" t="s">
        <v>262</v>
      </c>
      <c r="CV2013" s="4" t="s">
        <v>263</v>
      </c>
      <c r="CW2013" s="4" t="s">
        <v>263</v>
      </c>
      <c r="CX2013" s="4" t="s">
        <v>264</v>
      </c>
      <c r="DA2013" s="6">
        <f>1</f>
        <v>1</v>
      </c>
      <c r="DC2013" s="4" t="s">
        <v>325</v>
      </c>
      <c r="DD2013" s="4" t="s">
        <v>241</v>
      </c>
      <c r="DF2013" s="4" t="s">
        <v>325</v>
      </c>
      <c r="DG2013" s="6">
        <f>1598</f>
        <v>1598</v>
      </c>
      <c r="DI2013" s="4" t="s">
        <v>241</v>
      </c>
      <c r="DJ2013" s="4" t="s">
        <v>241</v>
      </c>
      <c r="DK2013" s="4" t="s">
        <v>241</v>
      </c>
      <c r="DL2013" s="4" t="s">
        <v>241</v>
      </c>
      <c r="DP2013" s="4" t="s">
        <v>241</v>
      </c>
      <c r="DQ2013" s="4" t="s">
        <v>241</v>
      </c>
      <c r="DR2013" s="4" t="s">
        <v>241</v>
      </c>
      <c r="DS2013" s="4" t="s">
        <v>241</v>
      </c>
      <c r="DV2013" s="4" t="s">
        <v>426</v>
      </c>
      <c r="DW2013" s="4" t="s">
        <v>1677</v>
      </c>
      <c r="HO2013" s="4" t="s">
        <v>267</v>
      </c>
    </row>
    <row r="2014" spans="1:223" ht="19.5" customHeight="1" x14ac:dyDescent="0.4">
      <c r="A2014" s="4">
        <v>1</v>
      </c>
      <c r="B2014" s="4" t="s">
        <v>239</v>
      </c>
      <c r="C2014" s="4">
        <v>3717</v>
      </c>
      <c r="D2014" s="4">
        <v>1</v>
      </c>
      <c r="E2014" s="4">
        <v>1</v>
      </c>
      <c r="F2014" s="4" t="s">
        <v>268</v>
      </c>
      <c r="G2014" s="4" t="s">
        <v>241</v>
      </c>
      <c r="H2014" s="4" t="s">
        <v>241</v>
      </c>
      <c r="I2014" s="4" t="s">
        <v>424</v>
      </c>
      <c r="J2014" s="4" t="s">
        <v>274</v>
      </c>
      <c r="K2014" s="4" t="s">
        <v>251</v>
      </c>
      <c r="L2014" s="4" t="s">
        <v>423</v>
      </c>
      <c r="M2014" s="5" t="s">
        <v>4917</v>
      </c>
      <c r="N2014" s="6">
        <f>1160</f>
        <v>1160</v>
      </c>
      <c r="O2014" s="4" t="s">
        <v>265</v>
      </c>
      <c r="P2014" s="6">
        <f>1</f>
        <v>1</v>
      </c>
      <c r="Q2014" s="6">
        <f>0</f>
        <v>0</v>
      </c>
      <c r="S2014" s="6">
        <f>0</f>
        <v>0</v>
      </c>
      <c r="T2014" s="6">
        <f>1</f>
        <v>1</v>
      </c>
      <c r="U2014" s="5" t="s">
        <v>245</v>
      </c>
      <c r="V2014" s="4" t="s">
        <v>270</v>
      </c>
      <c r="W2014" s="4" t="s">
        <v>271</v>
      </c>
      <c r="X2014" s="4" t="s">
        <v>273</v>
      </c>
      <c r="Y2014" s="4" t="s">
        <v>241</v>
      </c>
      <c r="AB2014" s="4" t="s">
        <v>241</v>
      </c>
      <c r="AD2014" s="5" t="s">
        <v>241</v>
      </c>
      <c r="AG2014" s="5" t="s">
        <v>246</v>
      </c>
      <c r="AH2014" s="4" t="s">
        <v>241</v>
      </c>
      <c r="AI2014" s="4" t="s">
        <v>247</v>
      </c>
      <c r="AJ2014" s="4" t="s">
        <v>248</v>
      </c>
      <c r="AZ2014" s="4" t="s">
        <v>249</v>
      </c>
      <c r="BA2014" s="4" t="s">
        <v>241</v>
      </c>
      <c r="BB2014" s="4" t="s">
        <v>250</v>
      </c>
      <c r="BC2014" s="4" t="s">
        <v>241</v>
      </c>
      <c r="BD2014" s="4" t="s">
        <v>252</v>
      </c>
      <c r="BE2014" s="4" t="s">
        <v>241</v>
      </c>
      <c r="BI2014" s="4" t="s">
        <v>253</v>
      </c>
      <c r="BJ2014" s="5" t="s">
        <v>246</v>
      </c>
      <c r="BK2014" s="4" t="s">
        <v>254</v>
      </c>
      <c r="BL2014" s="4" t="s">
        <v>255</v>
      </c>
      <c r="BM2014" s="4" t="s">
        <v>241</v>
      </c>
      <c r="BN2014" s="6">
        <f>0</f>
        <v>0</v>
      </c>
      <c r="BO2014" s="6">
        <f>0</f>
        <v>0</v>
      </c>
      <c r="BP2014" s="4" t="s">
        <v>256</v>
      </c>
      <c r="BQ2014" s="4" t="s">
        <v>257</v>
      </c>
      <c r="CE2014" s="4" t="s">
        <v>241</v>
      </c>
      <c r="CF2014" s="4" t="s">
        <v>241</v>
      </c>
      <c r="CJ2014" s="4" t="s">
        <v>276</v>
      </c>
      <c r="CK2014" s="4" t="s">
        <v>259</v>
      </c>
      <c r="CL2014" s="4" t="s">
        <v>241</v>
      </c>
      <c r="CO2014" s="5" t="s">
        <v>260</v>
      </c>
      <c r="CP2014" s="4" t="s">
        <v>241</v>
      </c>
      <c r="CQ2014" s="4" t="s">
        <v>261</v>
      </c>
      <c r="CR2014" s="4" t="s">
        <v>241</v>
      </c>
      <c r="CS2014" s="4" t="s">
        <v>241</v>
      </c>
      <c r="CT2014" s="4">
        <v>0</v>
      </c>
      <c r="CU2014" s="4" t="s">
        <v>262</v>
      </c>
      <c r="CV2014" s="4" t="s">
        <v>263</v>
      </c>
      <c r="CW2014" s="4" t="s">
        <v>263</v>
      </c>
      <c r="CX2014" s="4" t="s">
        <v>264</v>
      </c>
      <c r="DA2014" s="6">
        <f>1</f>
        <v>1</v>
      </c>
      <c r="DC2014" s="4" t="s">
        <v>325</v>
      </c>
      <c r="DD2014" s="4" t="s">
        <v>241</v>
      </c>
      <c r="DF2014" s="4" t="s">
        <v>325</v>
      </c>
      <c r="DG2014" s="6">
        <f>1160</f>
        <v>1160</v>
      </c>
      <c r="DI2014" s="4" t="s">
        <v>241</v>
      </c>
      <c r="DJ2014" s="4" t="s">
        <v>241</v>
      </c>
      <c r="DK2014" s="4" t="s">
        <v>241</v>
      </c>
      <c r="DL2014" s="4" t="s">
        <v>241</v>
      </c>
      <c r="DP2014" s="4" t="s">
        <v>241</v>
      </c>
      <c r="DQ2014" s="4" t="s">
        <v>241</v>
      </c>
      <c r="DR2014" s="4" t="s">
        <v>241</v>
      </c>
      <c r="DS2014" s="4" t="s">
        <v>241</v>
      </c>
      <c r="DV2014" s="4" t="s">
        <v>426</v>
      </c>
      <c r="DW2014" s="4" t="s">
        <v>2022</v>
      </c>
      <c r="HO2014" s="4" t="s">
        <v>267</v>
      </c>
    </row>
    <row r="2015" spans="1:223" ht="19.5" customHeight="1" x14ac:dyDescent="0.4">
      <c r="A2015" s="4">
        <v>1</v>
      </c>
      <c r="B2015" s="4" t="s">
        <v>239</v>
      </c>
      <c r="C2015" s="4">
        <v>3718</v>
      </c>
      <c r="D2015" s="4">
        <v>1</v>
      </c>
      <c r="E2015" s="4">
        <v>1</v>
      </c>
      <c r="F2015" s="4" t="s">
        <v>268</v>
      </c>
      <c r="G2015" s="4" t="s">
        <v>241</v>
      </c>
      <c r="H2015" s="4" t="s">
        <v>241</v>
      </c>
      <c r="I2015" s="4" t="s">
        <v>424</v>
      </c>
      <c r="J2015" s="4" t="s">
        <v>274</v>
      </c>
      <c r="K2015" s="4" t="s">
        <v>251</v>
      </c>
      <c r="L2015" s="4" t="s">
        <v>423</v>
      </c>
      <c r="M2015" s="5" t="s">
        <v>3462</v>
      </c>
      <c r="N2015" s="6">
        <f>3258</f>
        <v>3258</v>
      </c>
      <c r="O2015" s="4" t="s">
        <v>265</v>
      </c>
      <c r="P2015" s="6">
        <f>1</f>
        <v>1</v>
      </c>
      <c r="Q2015" s="6">
        <f>0</f>
        <v>0</v>
      </c>
      <c r="S2015" s="6">
        <f>0</f>
        <v>0</v>
      </c>
      <c r="T2015" s="6">
        <f>1</f>
        <v>1</v>
      </c>
      <c r="U2015" s="5" t="s">
        <v>245</v>
      </c>
      <c r="V2015" s="4" t="s">
        <v>270</v>
      </c>
      <c r="W2015" s="4" t="s">
        <v>271</v>
      </c>
      <c r="X2015" s="4" t="s">
        <v>273</v>
      </c>
      <c r="Y2015" s="4" t="s">
        <v>241</v>
      </c>
      <c r="AB2015" s="4" t="s">
        <v>241</v>
      </c>
      <c r="AD2015" s="5" t="s">
        <v>241</v>
      </c>
      <c r="AG2015" s="5" t="s">
        <v>246</v>
      </c>
      <c r="AH2015" s="4" t="s">
        <v>241</v>
      </c>
      <c r="AI2015" s="4" t="s">
        <v>247</v>
      </c>
      <c r="AJ2015" s="4" t="s">
        <v>248</v>
      </c>
      <c r="AZ2015" s="4" t="s">
        <v>249</v>
      </c>
      <c r="BA2015" s="4" t="s">
        <v>241</v>
      </c>
      <c r="BB2015" s="4" t="s">
        <v>250</v>
      </c>
      <c r="BC2015" s="4" t="s">
        <v>241</v>
      </c>
      <c r="BD2015" s="4" t="s">
        <v>252</v>
      </c>
      <c r="BE2015" s="4" t="s">
        <v>241</v>
      </c>
      <c r="BI2015" s="4" t="s">
        <v>253</v>
      </c>
      <c r="BJ2015" s="5" t="s">
        <v>246</v>
      </c>
      <c r="BK2015" s="4" t="s">
        <v>254</v>
      </c>
      <c r="BL2015" s="4" t="s">
        <v>255</v>
      </c>
      <c r="BM2015" s="4" t="s">
        <v>241</v>
      </c>
      <c r="BN2015" s="6">
        <f>0</f>
        <v>0</v>
      </c>
      <c r="BO2015" s="6">
        <f>0</f>
        <v>0</v>
      </c>
      <c r="BP2015" s="4" t="s">
        <v>256</v>
      </c>
      <c r="BQ2015" s="4" t="s">
        <v>257</v>
      </c>
      <c r="CE2015" s="4" t="s">
        <v>241</v>
      </c>
      <c r="CF2015" s="4" t="s">
        <v>241</v>
      </c>
      <c r="CJ2015" s="4" t="s">
        <v>276</v>
      </c>
      <c r="CK2015" s="4" t="s">
        <v>259</v>
      </c>
      <c r="CL2015" s="4" t="s">
        <v>241</v>
      </c>
      <c r="CO2015" s="5" t="s">
        <v>260</v>
      </c>
      <c r="CP2015" s="4" t="s">
        <v>241</v>
      </c>
      <c r="CQ2015" s="4" t="s">
        <v>261</v>
      </c>
      <c r="CR2015" s="4" t="s">
        <v>241</v>
      </c>
      <c r="CS2015" s="4" t="s">
        <v>241</v>
      </c>
      <c r="CT2015" s="4">
        <v>0</v>
      </c>
      <c r="CU2015" s="4" t="s">
        <v>262</v>
      </c>
      <c r="CV2015" s="4" t="s">
        <v>263</v>
      </c>
      <c r="CW2015" s="4" t="s">
        <v>263</v>
      </c>
      <c r="CX2015" s="4" t="s">
        <v>264</v>
      </c>
      <c r="DA2015" s="6">
        <f>1</f>
        <v>1</v>
      </c>
      <c r="DC2015" s="4" t="s">
        <v>325</v>
      </c>
      <c r="DD2015" s="4" t="s">
        <v>241</v>
      </c>
      <c r="DF2015" s="4" t="s">
        <v>325</v>
      </c>
      <c r="DG2015" s="6">
        <f>3258</f>
        <v>3258</v>
      </c>
      <c r="DI2015" s="4" t="s">
        <v>241</v>
      </c>
      <c r="DJ2015" s="4" t="s">
        <v>241</v>
      </c>
      <c r="DK2015" s="4" t="s">
        <v>241</v>
      </c>
      <c r="DL2015" s="4" t="s">
        <v>241</v>
      </c>
      <c r="DP2015" s="4" t="s">
        <v>241</v>
      </c>
      <c r="DQ2015" s="4" t="s">
        <v>241</v>
      </c>
      <c r="DR2015" s="4" t="s">
        <v>241</v>
      </c>
      <c r="DS2015" s="4" t="s">
        <v>241</v>
      </c>
      <c r="DV2015" s="4" t="s">
        <v>426</v>
      </c>
      <c r="DW2015" s="4" t="s">
        <v>1673</v>
      </c>
      <c r="HO2015" s="4" t="s">
        <v>267</v>
      </c>
    </row>
    <row r="2016" spans="1:223" ht="19.5" customHeight="1" x14ac:dyDescent="0.4">
      <c r="A2016" s="4">
        <v>1</v>
      </c>
      <c r="B2016" s="4" t="s">
        <v>239</v>
      </c>
      <c r="C2016" s="4">
        <v>3719</v>
      </c>
      <c r="D2016" s="4">
        <v>1</v>
      </c>
      <c r="E2016" s="4">
        <v>1</v>
      </c>
      <c r="F2016" s="4" t="s">
        <v>268</v>
      </c>
      <c r="G2016" s="4" t="s">
        <v>241</v>
      </c>
      <c r="H2016" s="4" t="s">
        <v>241</v>
      </c>
      <c r="I2016" s="4" t="s">
        <v>424</v>
      </c>
      <c r="J2016" s="4" t="s">
        <v>274</v>
      </c>
      <c r="K2016" s="4" t="s">
        <v>251</v>
      </c>
      <c r="L2016" s="4" t="s">
        <v>423</v>
      </c>
      <c r="M2016" s="5" t="s">
        <v>3963</v>
      </c>
      <c r="N2016" s="6">
        <f>2479</f>
        <v>2479</v>
      </c>
      <c r="O2016" s="4" t="s">
        <v>265</v>
      </c>
      <c r="P2016" s="6">
        <f>1</f>
        <v>1</v>
      </c>
      <c r="Q2016" s="6">
        <f>0</f>
        <v>0</v>
      </c>
      <c r="S2016" s="6">
        <f>0</f>
        <v>0</v>
      </c>
      <c r="T2016" s="6">
        <f>1</f>
        <v>1</v>
      </c>
      <c r="U2016" s="5" t="s">
        <v>245</v>
      </c>
      <c r="V2016" s="4" t="s">
        <v>270</v>
      </c>
      <c r="W2016" s="4" t="s">
        <v>271</v>
      </c>
      <c r="X2016" s="4" t="s">
        <v>273</v>
      </c>
      <c r="Y2016" s="4" t="s">
        <v>241</v>
      </c>
      <c r="AB2016" s="4" t="s">
        <v>241</v>
      </c>
      <c r="AD2016" s="5" t="s">
        <v>241</v>
      </c>
      <c r="AG2016" s="5" t="s">
        <v>246</v>
      </c>
      <c r="AH2016" s="4" t="s">
        <v>241</v>
      </c>
      <c r="AI2016" s="4" t="s">
        <v>247</v>
      </c>
      <c r="AJ2016" s="4" t="s">
        <v>248</v>
      </c>
      <c r="AZ2016" s="4" t="s">
        <v>249</v>
      </c>
      <c r="BA2016" s="4" t="s">
        <v>241</v>
      </c>
      <c r="BB2016" s="4" t="s">
        <v>250</v>
      </c>
      <c r="BC2016" s="4" t="s">
        <v>241</v>
      </c>
      <c r="BD2016" s="4" t="s">
        <v>252</v>
      </c>
      <c r="BE2016" s="4" t="s">
        <v>241</v>
      </c>
      <c r="BI2016" s="4" t="s">
        <v>253</v>
      </c>
      <c r="BJ2016" s="5" t="s">
        <v>246</v>
      </c>
      <c r="BK2016" s="4" t="s">
        <v>254</v>
      </c>
      <c r="BL2016" s="4" t="s">
        <v>255</v>
      </c>
      <c r="BM2016" s="4" t="s">
        <v>241</v>
      </c>
      <c r="BN2016" s="6">
        <f>0</f>
        <v>0</v>
      </c>
      <c r="BO2016" s="6">
        <f>0</f>
        <v>0</v>
      </c>
      <c r="BP2016" s="4" t="s">
        <v>256</v>
      </c>
      <c r="BQ2016" s="4" t="s">
        <v>257</v>
      </c>
      <c r="CE2016" s="4" t="s">
        <v>241</v>
      </c>
      <c r="CF2016" s="4" t="s">
        <v>241</v>
      </c>
      <c r="CJ2016" s="4" t="s">
        <v>276</v>
      </c>
      <c r="CK2016" s="4" t="s">
        <v>259</v>
      </c>
      <c r="CL2016" s="4" t="s">
        <v>241</v>
      </c>
      <c r="CO2016" s="5" t="s">
        <v>260</v>
      </c>
      <c r="CP2016" s="4" t="s">
        <v>241</v>
      </c>
      <c r="CQ2016" s="4" t="s">
        <v>261</v>
      </c>
      <c r="CR2016" s="4" t="s">
        <v>241</v>
      </c>
      <c r="CS2016" s="4" t="s">
        <v>241</v>
      </c>
      <c r="CT2016" s="4">
        <v>0</v>
      </c>
      <c r="CU2016" s="4" t="s">
        <v>262</v>
      </c>
      <c r="CV2016" s="4" t="s">
        <v>263</v>
      </c>
      <c r="CW2016" s="4" t="s">
        <v>263</v>
      </c>
      <c r="CX2016" s="4" t="s">
        <v>264</v>
      </c>
      <c r="DA2016" s="6">
        <f>1</f>
        <v>1</v>
      </c>
      <c r="DC2016" s="4" t="s">
        <v>325</v>
      </c>
      <c r="DD2016" s="4" t="s">
        <v>241</v>
      </c>
      <c r="DF2016" s="4" t="s">
        <v>325</v>
      </c>
      <c r="DG2016" s="6">
        <f>2479</f>
        <v>2479</v>
      </c>
      <c r="DI2016" s="4" t="s">
        <v>241</v>
      </c>
      <c r="DJ2016" s="4" t="s">
        <v>241</v>
      </c>
      <c r="DK2016" s="4" t="s">
        <v>241</v>
      </c>
      <c r="DL2016" s="4" t="s">
        <v>241</v>
      </c>
      <c r="DP2016" s="4" t="s">
        <v>241</v>
      </c>
      <c r="DQ2016" s="4" t="s">
        <v>241</v>
      </c>
      <c r="DR2016" s="4" t="s">
        <v>241</v>
      </c>
      <c r="DS2016" s="4" t="s">
        <v>241</v>
      </c>
      <c r="DV2016" s="4" t="s">
        <v>426</v>
      </c>
      <c r="DW2016" s="4" t="s">
        <v>444</v>
      </c>
      <c r="HO2016" s="4" t="s">
        <v>267</v>
      </c>
    </row>
    <row r="2017" spans="1:223" ht="19.5" customHeight="1" x14ac:dyDescent="0.4">
      <c r="A2017" s="4">
        <v>1</v>
      </c>
      <c r="B2017" s="4" t="s">
        <v>239</v>
      </c>
      <c r="C2017" s="4">
        <v>3720</v>
      </c>
      <c r="D2017" s="4">
        <v>1</v>
      </c>
      <c r="E2017" s="4">
        <v>1</v>
      </c>
      <c r="F2017" s="4" t="s">
        <v>268</v>
      </c>
      <c r="G2017" s="4" t="s">
        <v>241</v>
      </c>
      <c r="H2017" s="4" t="s">
        <v>241</v>
      </c>
      <c r="I2017" s="4" t="s">
        <v>424</v>
      </c>
      <c r="J2017" s="4" t="s">
        <v>274</v>
      </c>
      <c r="K2017" s="4" t="s">
        <v>251</v>
      </c>
      <c r="L2017" s="4" t="s">
        <v>423</v>
      </c>
      <c r="M2017" s="5" t="s">
        <v>3465</v>
      </c>
      <c r="N2017" s="6">
        <f>787</f>
        <v>787</v>
      </c>
      <c r="O2017" s="4" t="s">
        <v>265</v>
      </c>
      <c r="P2017" s="6">
        <f>1</f>
        <v>1</v>
      </c>
      <c r="Q2017" s="6">
        <f>0</f>
        <v>0</v>
      </c>
      <c r="S2017" s="6">
        <f>0</f>
        <v>0</v>
      </c>
      <c r="T2017" s="6">
        <f>1</f>
        <v>1</v>
      </c>
      <c r="U2017" s="5" t="s">
        <v>245</v>
      </c>
      <c r="V2017" s="4" t="s">
        <v>270</v>
      </c>
      <c r="W2017" s="4" t="s">
        <v>271</v>
      </c>
      <c r="X2017" s="4" t="s">
        <v>273</v>
      </c>
      <c r="Y2017" s="4" t="s">
        <v>241</v>
      </c>
      <c r="AB2017" s="4" t="s">
        <v>241</v>
      </c>
      <c r="AD2017" s="5" t="s">
        <v>241</v>
      </c>
      <c r="AG2017" s="5" t="s">
        <v>246</v>
      </c>
      <c r="AH2017" s="4" t="s">
        <v>241</v>
      </c>
      <c r="AI2017" s="4" t="s">
        <v>247</v>
      </c>
      <c r="AJ2017" s="4" t="s">
        <v>248</v>
      </c>
      <c r="AZ2017" s="4" t="s">
        <v>249</v>
      </c>
      <c r="BA2017" s="4" t="s">
        <v>241</v>
      </c>
      <c r="BB2017" s="4" t="s">
        <v>250</v>
      </c>
      <c r="BC2017" s="4" t="s">
        <v>241</v>
      </c>
      <c r="BD2017" s="4" t="s">
        <v>252</v>
      </c>
      <c r="BE2017" s="4" t="s">
        <v>241</v>
      </c>
      <c r="BI2017" s="4" t="s">
        <v>253</v>
      </c>
      <c r="BJ2017" s="5" t="s">
        <v>246</v>
      </c>
      <c r="BK2017" s="4" t="s">
        <v>254</v>
      </c>
      <c r="BL2017" s="4" t="s">
        <v>255</v>
      </c>
      <c r="BM2017" s="4" t="s">
        <v>241</v>
      </c>
      <c r="BN2017" s="6">
        <f>0</f>
        <v>0</v>
      </c>
      <c r="BO2017" s="6">
        <f>0</f>
        <v>0</v>
      </c>
      <c r="BP2017" s="4" t="s">
        <v>256</v>
      </c>
      <c r="BQ2017" s="4" t="s">
        <v>257</v>
      </c>
      <c r="CE2017" s="4" t="s">
        <v>241</v>
      </c>
      <c r="CF2017" s="4" t="s">
        <v>241</v>
      </c>
      <c r="CJ2017" s="4" t="s">
        <v>276</v>
      </c>
      <c r="CK2017" s="4" t="s">
        <v>259</v>
      </c>
      <c r="CL2017" s="4" t="s">
        <v>241</v>
      </c>
      <c r="CO2017" s="5" t="s">
        <v>260</v>
      </c>
      <c r="CP2017" s="4" t="s">
        <v>241</v>
      </c>
      <c r="CQ2017" s="4" t="s">
        <v>261</v>
      </c>
      <c r="CR2017" s="4" t="s">
        <v>241</v>
      </c>
      <c r="CS2017" s="4" t="s">
        <v>241</v>
      </c>
      <c r="CT2017" s="4">
        <v>0</v>
      </c>
      <c r="CU2017" s="4" t="s">
        <v>262</v>
      </c>
      <c r="CV2017" s="4" t="s">
        <v>263</v>
      </c>
      <c r="CW2017" s="4" t="s">
        <v>263</v>
      </c>
      <c r="CX2017" s="4" t="s">
        <v>264</v>
      </c>
      <c r="DA2017" s="6">
        <f>1</f>
        <v>1</v>
      </c>
      <c r="DC2017" s="4" t="s">
        <v>325</v>
      </c>
      <c r="DD2017" s="4" t="s">
        <v>241</v>
      </c>
      <c r="DF2017" s="4" t="s">
        <v>325</v>
      </c>
      <c r="DG2017" s="6">
        <f>787</f>
        <v>787</v>
      </c>
      <c r="DI2017" s="4" t="s">
        <v>241</v>
      </c>
      <c r="DJ2017" s="4" t="s">
        <v>241</v>
      </c>
      <c r="DK2017" s="4" t="s">
        <v>241</v>
      </c>
      <c r="DL2017" s="4" t="s">
        <v>241</v>
      </c>
      <c r="DP2017" s="4" t="s">
        <v>241</v>
      </c>
      <c r="DQ2017" s="4" t="s">
        <v>241</v>
      </c>
      <c r="DR2017" s="4" t="s">
        <v>241</v>
      </c>
      <c r="DS2017" s="4" t="s">
        <v>241</v>
      </c>
      <c r="DV2017" s="4" t="s">
        <v>426</v>
      </c>
      <c r="DW2017" s="4" t="s">
        <v>248</v>
      </c>
      <c r="HO2017" s="4" t="s">
        <v>267</v>
      </c>
    </row>
    <row r="2018" spans="1:223" ht="19.5" customHeight="1" x14ac:dyDescent="0.4">
      <c r="A2018" s="4">
        <v>1</v>
      </c>
      <c r="B2018" s="4" t="s">
        <v>239</v>
      </c>
      <c r="C2018" s="4">
        <v>3721</v>
      </c>
      <c r="D2018" s="4">
        <v>1</v>
      </c>
      <c r="E2018" s="4">
        <v>1</v>
      </c>
      <c r="F2018" s="4" t="s">
        <v>268</v>
      </c>
      <c r="G2018" s="4" t="s">
        <v>241</v>
      </c>
      <c r="H2018" s="4" t="s">
        <v>241</v>
      </c>
      <c r="I2018" s="4" t="s">
        <v>424</v>
      </c>
      <c r="J2018" s="4" t="s">
        <v>274</v>
      </c>
      <c r="K2018" s="4" t="s">
        <v>251</v>
      </c>
      <c r="L2018" s="4" t="s">
        <v>423</v>
      </c>
      <c r="M2018" s="5" t="s">
        <v>3966</v>
      </c>
      <c r="N2018" s="6">
        <f>639</f>
        <v>639</v>
      </c>
      <c r="O2018" s="4" t="s">
        <v>265</v>
      </c>
      <c r="P2018" s="6">
        <f>1</f>
        <v>1</v>
      </c>
      <c r="Q2018" s="6">
        <f>0</f>
        <v>0</v>
      </c>
      <c r="S2018" s="6">
        <f>0</f>
        <v>0</v>
      </c>
      <c r="T2018" s="6">
        <f>1</f>
        <v>1</v>
      </c>
      <c r="U2018" s="5" t="s">
        <v>245</v>
      </c>
      <c r="V2018" s="4" t="s">
        <v>270</v>
      </c>
      <c r="W2018" s="4" t="s">
        <v>271</v>
      </c>
      <c r="X2018" s="4" t="s">
        <v>273</v>
      </c>
      <c r="Y2018" s="4" t="s">
        <v>241</v>
      </c>
      <c r="AB2018" s="4" t="s">
        <v>241</v>
      </c>
      <c r="AD2018" s="5" t="s">
        <v>241</v>
      </c>
      <c r="AG2018" s="5" t="s">
        <v>246</v>
      </c>
      <c r="AH2018" s="4" t="s">
        <v>241</v>
      </c>
      <c r="AI2018" s="4" t="s">
        <v>247</v>
      </c>
      <c r="AJ2018" s="4" t="s">
        <v>248</v>
      </c>
      <c r="AZ2018" s="4" t="s">
        <v>249</v>
      </c>
      <c r="BA2018" s="4" t="s">
        <v>241</v>
      </c>
      <c r="BB2018" s="4" t="s">
        <v>250</v>
      </c>
      <c r="BC2018" s="4" t="s">
        <v>241</v>
      </c>
      <c r="BD2018" s="4" t="s">
        <v>252</v>
      </c>
      <c r="BE2018" s="4" t="s">
        <v>241</v>
      </c>
      <c r="BI2018" s="4" t="s">
        <v>253</v>
      </c>
      <c r="BJ2018" s="5" t="s">
        <v>246</v>
      </c>
      <c r="BK2018" s="4" t="s">
        <v>254</v>
      </c>
      <c r="BL2018" s="4" t="s">
        <v>255</v>
      </c>
      <c r="BM2018" s="4" t="s">
        <v>241</v>
      </c>
      <c r="BN2018" s="6">
        <f>0</f>
        <v>0</v>
      </c>
      <c r="BO2018" s="6">
        <f>0</f>
        <v>0</v>
      </c>
      <c r="BP2018" s="4" t="s">
        <v>256</v>
      </c>
      <c r="BQ2018" s="4" t="s">
        <v>257</v>
      </c>
      <c r="CE2018" s="4" t="s">
        <v>241</v>
      </c>
      <c r="CF2018" s="4" t="s">
        <v>241</v>
      </c>
      <c r="CJ2018" s="4" t="s">
        <v>276</v>
      </c>
      <c r="CK2018" s="4" t="s">
        <v>259</v>
      </c>
      <c r="CL2018" s="4" t="s">
        <v>241</v>
      </c>
      <c r="CO2018" s="5" t="s">
        <v>260</v>
      </c>
      <c r="CP2018" s="4" t="s">
        <v>241</v>
      </c>
      <c r="CQ2018" s="4" t="s">
        <v>261</v>
      </c>
      <c r="CR2018" s="4" t="s">
        <v>241</v>
      </c>
      <c r="CS2018" s="4" t="s">
        <v>241</v>
      </c>
      <c r="CT2018" s="4">
        <v>0</v>
      </c>
      <c r="CU2018" s="4" t="s">
        <v>262</v>
      </c>
      <c r="CV2018" s="4" t="s">
        <v>263</v>
      </c>
      <c r="CW2018" s="4" t="s">
        <v>263</v>
      </c>
      <c r="CX2018" s="4" t="s">
        <v>264</v>
      </c>
      <c r="DA2018" s="6">
        <f>1</f>
        <v>1</v>
      </c>
      <c r="DC2018" s="4" t="s">
        <v>325</v>
      </c>
      <c r="DD2018" s="4" t="s">
        <v>241</v>
      </c>
      <c r="DF2018" s="4" t="s">
        <v>325</v>
      </c>
      <c r="DG2018" s="6">
        <f>639</f>
        <v>639</v>
      </c>
      <c r="DI2018" s="4" t="s">
        <v>241</v>
      </c>
      <c r="DJ2018" s="4" t="s">
        <v>241</v>
      </c>
      <c r="DK2018" s="4" t="s">
        <v>241</v>
      </c>
      <c r="DL2018" s="4" t="s">
        <v>241</v>
      </c>
      <c r="DP2018" s="4" t="s">
        <v>241</v>
      </c>
      <c r="DQ2018" s="4" t="s">
        <v>241</v>
      </c>
      <c r="DR2018" s="4" t="s">
        <v>241</v>
      </c>
      <c r="DS2018" s="4" t="s">
        <v>241</v>
      </c>
      <c r="DV2018" s="4" t="s">
        <v>426</v>
      </c>
      <c r="DW2018" s="4" t="s">
        <v>1669</v>
      </c>
      <c r="HO2018" s="4" t="s">
        <v>267</v>
      </c>
    </row>
    <row r="2019" spans="1:223" ht="19.5" customHeight="1" x14ac:dyDescent="0.4">
      <c r="A2019" s="4">
        <v>1</v>
      </c>
      <c r="B2019" s="4" t="s">
        <v>239</v>
      </c>
      <c r="C2019" s="4">
        <v>3722</v>
      </c>
      <c r="D2019" s="4">
        <v>1</v>
      </c>
      <c r="E2019" s="4">
        <v>1</v>
      </c>
      <c r="F2019" s="4" t="s">
        <v>268</v>
      </c>
      <c r="G2019" s="4" t="s">
        <v>241</v>
      </c>
      <c r="H2019" s="4" t="s">
        <v>241</v>
      </c>
      <c r="I2019" s="4" t="s">
        <v>424</v>
      </c>
      <c r="J2019" s="4" t="s">
        <v>274</v>
      </c>
      <c r="K2019" s="4" t="s">
        <v>251</v>
      </c>
      <c r="L2019" s="4" t="s">
        <v>423</v>
      </c>
      <c r="M2019" s="5" t="s">
        <v>3466</v>
      </c>
      <c r="N2019" s="6">
        <f>2010</f>
        <v>2010</v>
      </c>
      <c r="O2019" s="4" t="s">
        <v>265</v>
      </c>
      <c r="P2019" s="6">
        <f>1</f>
        <v>1</v>
      </c>
      <c r="Q2019" s="6">
        <f>0</f>
        <v>0</v>
      </c>
      <c r="S2019" s="6">
        <f>0</f>
        <v>0</v>
      </c>
      <c r="T2019" s="6">
        <f>1</f>
        <v>1</v>
      </c>
      <c r="U2019" s="5" t="s">
        <v>245</v>
      </c>
      <c r="V2019" s="4" t="s">
        <v>270</v>
      </c>
      <c r="W2019" s="4" t="s">
        <v>271</v>
      </c>
      <c r="X2019" s="4" t="s">
        <v>273</v>
      </c>
      <c r="Y2019" s="4" t="s">
        <v>241</v>
      </c>
      <c r="AB2019" s="4" t="s">
        <v>241</v>
      </c>
      <c r="AD2019" s="5" t="s">
        <v>241</v>
      </c>
      <c r="AG2019" s="5" t="s">
        <v>246</v>
      </c>
      <c r="AH2019" s="4" t="s">
        <v>241</v>
      </c>
      <c r="AI2019" s="4" t="s">
        <v>247</v>
      </c>
      <c r="AJ2019" s="4" t="s">
        <v>248</v>
      </c>
      <c r="AZ2019" s="4" t="s">
        <v>249</v>
      </c>
      <c r="BA2019" s="4" t="s">
        <v>241</v>
      </c>
      <c r="BB2019" s="4" t="s">
        <v>250</v>
      </c>
      <c r="BC2019" s="4" t="s">
        <v>241</v>
      </c>
      <c r="BD2019" s="4" t="s">
        <v>252</v>
      </c>
      <c r="BE2019" s="4" t="s">
        <v>241</v>
      </c>
      <c r="BI2019" s="4" t="s">
        <v>253</v>
      </c>
      <c r="BJ2019" s="5" t="s">
        <v>246</v>
      </c>
      <c r="BK2019" s="4" t="s">
        <v>254</v>
      </c>
      <c r="BL2019" s="4" t="s">
        <v>255</v>
      </c>
      <c r="BM2019" s="4" t="s">
        <v>241</v>
      </c>
      <c r="BN2019" s="6">
        <f>0</f>
        <v>0</v>
      </c>
      <c r="BO2019" s="6">
        <f>0</f>
        <v>0</v>
      </c>
      <c r="BP2019" s="4" t="s">
        <v>256</v>
      </c>
      <c r="BQ2019" s="4" t="s">
        <v>257</v>
      </c>
      <c r="CE2019" s="4" t="s">
        <v>241</v>
      </c>
      <c r="CF2019" s="4" t="s">
        <v>241</v>
      </c>
      <c r="CJ2019" s="4" t="s">
        <v>276</v>
      </c>
      <c r="CK2019" s="4" t="s">
        <v>259</v>
      </c>
      <c r="CL2019" s="4" t="s">
        <v>241</v>
      </c>
      <c r="CO2019" s="5" t="s">
        <v>260</v>
      </c>
      <c r="CP2019" s="4" t="s">
        <v>241</v>
      </c>
      <c r="CQ2019" s="4" t="s">
        <v>261</v>
      </c>
      <c r="CR2019" s="4" t="s">
        <v>241</v>
      </c>
      <c r="CS2019" s="4" t="s">
        <v>241</v>
      </c>
      <c r="CT2019" s="4">
        <v>0</v>
      </c>
      <c r="CU2019" s="4" t="s">
        <v>262</v>
      </c>
      <c r="CV2019" s="4" t="s">
        <v>263</v>
      </c>
      <c r="CW2019" s="4" t="s">
        <v>263</v>
      </c>
      <c r="CX2019" s="4" t="s">
        <v>264</v>
      </c>
      <c r="DA2019" s="6">
        <f>1</f>
        <v>1</v>
      </c>
      <c r="DC2019" s="4" t="s">
        <v>325</v>
      </c>
      <c r="DD2019" s="4" t="s">
        <v>241</v>
      </c>
      <c r="DF2019" s="4" t="s">
        <v>325</v>
      </c>
      <c r="DG2019" s="6">
        <f>2010</f>
        <v>2010</v>
      </c>
      <c r="DI2019" s="4" t="s">
        <v>241</v>
      </c>
      <c r="DJ2019" s="4" t="s">
        <v>241</v>
      </c>
      <c r="DK2019" s="4" t="s">
        <v>241</v>
      </c>
      <c r="DL2019" s="4" t="s">
        <v>241</v>
      </c>
      <c r="DP2019" s="4" t="s">
        <v>241</v>
      </c>
      <c r="DQ2019" s="4" t="s">
        <v>241</v>
      </c>
      <c r="DR2019" s="4" t="s">
        <v>241</v>
      </c>
      <c r="DS2019" s="4" t="s">
        <v>241</v>
      </c>
      <c r="DV2019" s="4" t="s">
        <v>426</v>
      </c>
      <c r="DW2019" s="4" t="s">
        <v>1667</v>
      </c>
      <c r="HO2019" s="4" t="s">
        <v>267</v>
      </c>
    </row>
    <row r="2020" spans="1:223" ht="19.5" customHeight="1" x14ac:dyDescent="0.4">
      <c r="A2020" s="4">
        <v>1</v>
      </c>
      <c r="B2020" s="4" t="s">
        <v>239</v>
      </c>
      <c r="C2020" s="4">
        <v>3723</v>
      </c>
      <c r="D2020" s="4">
        <v>1</v>
      </c>
      <c r="E2020" s="4">
        <v>1</v>
      </c>
      <c r="F2020" s="4" t="s">
        <v>268</v>
      </c>
      <c r="G2020" s="4" t="s">
        <v>241</v>
      </c>
      <c r="H2020" s="4" t="s">
        <v>241</v>
      </c>
      <c r="I2020" s="4" t="s">
        <v>424</v>
      </c>
      <c r="J2020" s="4" t="s">
        <v>274</v>
      </c>
      <c r="K2020" s="4" t="s">
        <v>251</v>
      </c>
      <c r="L2020" s="4" t="s">
        <v>423</v>
      </c>
      <c r="M2020" s="5" t="s">
        <v>3970</v>
      </c>
      <c r="N2020" s="6">
        <f>115</f>
        <v>115</v>
      </c>
      <c r="O2020" s="4" t="s">
        <v>265</v>
      </c>
      <c r="P2020" s="6">
        <f>1</f>
        <v>1</v>
      </c>
      <c r="Q2020" s="6">
        <f>0</f>
        <v>0</v>
      </c>
      <c r="S2020" s="6">
        <f>0</f>
        <v>0</v>
      </c>
      <c r="T2020" s="6">
        <f>1</f>
        <v>1</v>
      </c>
      <c r="U2020" s="5" t="s">
        <v>245</v>
      </c>
      <c r="V2020" s="4" t="s">
        <v>270</v>
      </c>
      <c r="W2020" s="4" t="s">
        <v>271</v>
      </c>
      <c r="X2020" s="4" t="s">
        <v>273</v>
      </c>
      <c r="Y2020" s="4" t="s">
        <v>241</v>
      </c>
      <c r="AB2020" s="4" t="s">
        <v>241</v>
      </c>
      <c r="AD2020" s="5" t="s">
        <v>241</v>
      </c>
      <c r="AG2020" s="5" t="s">
        <v>246</v>
      </c>
      <c r="AH2020" s="4" t="s">
        <v>241</v>
      </c>
      <c r="AI2020" s="4" t="s">
        <v>247</v>
      </c>
      <c r="AJ2020" s="4" t="s">
        <v>248</v>
      </c>
      <c r="AZ2020" s="4" t="s">
        <v>249</v>
      </c>
      <c r="BA2020" s="4" t="s">
        <v>241</v>
      </c>
      <c r="BB2020" s="4" t="s">
        <v>250</v>
      </c>
      <c r="BC2020" s="4" t="s">
        <v>241</v>
      </c>
      <c r="BD2020" s="4" t="s">
        <v>252</v>
      </c>
      <c r="BE2020" s="4" t="s">
        <v>241</v>
      </c>
      <c r="BI2020" s="4" t="s">
        <v>253</v>
      </c>
      <c r="BJ2020" s="5" t="s">
        <v>246</v>
      </c>
      <c r="BK2020" s="4" t="s">
        <v>254</v>
      </c>
      <c r="BL2020" s="4" t="s">
        <v>255</v>
      </c>
      <c r="BM2020" s="4" t="s">
        <v>241</v>
      </c>
      <c r="BN2020" s="6">
        <f>0</f>
        <v>0</v>
      </c>
      <c r="BO2020" s="6">
        <f>0</f>
        <v>0</v>
      </c>
      <c r="BP2020" s="4" t="s">
        <v>256</v>
      </c>
      <c r="BQ2020" s="4" t="s">
        <v>257</v>
      </c>
      <c r="CE2020" s="4" t="s">
        <v>241</v>
      </c>
      <c r="CF2020" s="4" t="s">
        <v>241</v>
      </c>
      <c r="CJ2020" s="4" t="s">
        <v>276</v>
      </c>
      <c r="CK2020" s="4" t="s">
        <v>259</v>
      </c>
      <c r="CL2020" s="4" t="s">
        <v>241</v>
      </c>
      <c r="CO2020" s="5" t="s">
        <v>260</v>
      </c>
      <c r="CP2020" s="4" t="s">
        <v>241</v>
      </c>
      <c r="CQ2020" s="4" t="s">
        <v>261</v>
      </c>
      <c r="CR2020" s="4" t="s">
        <v>241</v>
      </c>
      <c r="CS2020" s="4" t="s">
        <v>241</v>
      </c>
      <c r="CT2020" s="4">
        <v>0</v>
      </c>
      <c r="CU2020" s="4" t="s">
        <v>262</v>
      </c>
      <c r="CV2020" s="4" t="s">
        <v>263</v>
      </c>
      <c r="CW2020" s="4" t="s">
        <v>263</v>
      </c>
      <c r="CX2020" s="4" t="s">
        <v>264</v>
      </c>
      <c r="DA2020" s="6">
        <f>1</f>
        <v>1</v>
      </c>
      <c r="DC2020" s="4" t="s">
        <v>325</v>
      </c>
      <c r="DD2020" s="4" t="s">
        <v>241</v>
      </c>
      <c r="DF2020" s="4" t="s">
        <v>325</v>
      </c>
      <c r="DG2020" s="6">
        <f>115</f>
        <v>115</v>
      </c>
      <c r="DI2020" s="4" t="s">
        <v>241</v>
      </c>
      <c r="DJ2020" s="4" t="s">
        <v>241</v>
      </c>
      <c r="DK2020" s="4" t="s">
        <v>241</v>
      </c>
      <c r="DL2020" s="4" t="s">
        <v>241</v>
      </c>
      <c r="DP2020" s="4" t="s">
        <v>241</v>
      </c>
      <c r="DQ2020" s="4" t="s">
        <v>241</v>
      </c>
      <c r="DR2020" s="4" t="s">
        <v>241</v>
      </c>
      <c r="DS2020" s="4" t="s">
        <v>241</v>
      </c>
      <c r="DV2020" s="4" t="s">
        <v>426</v>
      </c>
      <c r="DW2020" s="4" t="s">
        <v>1665</v>
      </c>
      <c r="HO2020" s="4" t="s">
        <v>267</v>
      </c>
    </row>
    <row r="2021" spans="1:223" ht="19.5" customHeight="1" x14ac:dyDescent="0.4">
      <c r="A2021" s="4">
        <v>1</v>
      </c>
      <c r="B2021" s="4" t="s">
        <v>239</v>
      </c>
      <c r="C2021" s="4">
        <v>3724</v>
      </c>
      <c r="D2021" s="4">
        <v>1</v>
      </c>
      <c r="E2021" s="4">
        <v>1</v>
      </c>
      <c r="F2021" s="4" t="s">
        <v>268</v>
      </c>
      <c r="G2021" s="4" t="s">
        <v>241</v>
      </c>
      <c r="H2021" s="4" t="s">
        <v>241</v>
      </c>
      <c r="I2021" s="4" t="s">
        <v>424</v>
      </c>
      <c r="J2021" s="4" t="s">
        <v>274</v>
      </c>
      <c r="K2021" s="4" t="s">
        <v>251</v>
      </c>
      <c r="L2021" s="4" t="s">
        <v>423</v>
      </c>
      <c r="M2021" s="5" t="s">
        <v>3972</v>
      </c>
      <c r="N2021" s="6">
        <f>233</f>
        <v>233</v>
      </c>
      <c r="O2021" s="4" t="s">
        <v>265</v>
      </c>
      <c r="P2021" s="6">
        <f>1</f>
        <v>1</v>
      </c>
      <c r="Q2021" s="6">
        <f>0</f>
        <v>0</v>
      </c>
      <c r="S2021" s="6">
        <f>0</f>
        <v>0</v>
      </c>
      <c r="T2021" s="6">
        <f>1</f>
        <v>1</v>
      </c>
      <c r="U2021" s="5" t="s">
        <v>245</v>
      </c>
      <c r="V2021" s="4" t="s">
        <v>270</v>
      </c>
      <c r="W2021" s="4" t="s">
        <v>271</v>
      </c>
      <c r="X2021" s="4" t="s">
        <v>273</v>
      </c>
      <c r="Y2021" s="4" t="s">
        <v>241</v>
      </c>
      <c r="AB2021" s="4" t="s">
        <v>241</v>
      </c>
      <c r="AD2021" s="5" t="s">
        <v>241</v>
      </c>
      <c r="AG2021" s="5" t="s">
        <v>246</v>
      </c>
      <c r="AH2021" s="4" t="s">
        <v>241</v>
      </c>
      <c r="AI2021" s="4" t="s">
        <v>247</v>
      </c>
      <c r="AJ2021" s="4" t="s">
        <v>248</v>
      </c>
      <c r="AZ2021" s="4" t="s">
        <v>249</v>
      </c>
      <c r="BA2021" s="4" t="s">
        <v>241</v>
      </c>
      <c r="BB2021" s="4" t="s">
        <v>250</v>
      </c>
      <c r="BC2021" s="4" t="s">
        <v>241</v>
      </c>
      <c r="BD2021" s="4" t="s">
        <v>252</v>
      </c>
      <c r="BE2021" s="4" t="s">
        <v>241</v>
      </c>
      <c r="BI2021" s="4" t="s">
        <v>253</v>
      </c>
      <c r="BJ2021" s="5" t="s">
        <v>246</v>
      </c>
      <c r="BK2021" s="4" t="s">
        <v>254</v>
      </c>
      <c r="BL2021" s="4" t="s">
        <v>255</v>
      </c>
      <c r="BM2021" s="4" t="s">
        <v>241</v>
      </c>
      <c r="BN2021" s="6">
        <f>0</f>
        <v>0</v>
      </c>
      <c r="BO2021" s="6">
        <f>0</f>
        <v>0</v>
      </c>
      <c r="BP2021" s="4" t="s">
        <v>256</v>
      </c>
      <c r="BQ2021" s="4" t="s">
        <v>257</v>
      </c>
      <c r="CE2021" s="4" t="s">
        <v>241</v>
      </c>
      <c r="CF2021" s="4" t="s">
        <v>241</v>
      </c>
      <c r="CJ2021" s="4" t="s">
        <v>276</v>
      </c>
      <c r="CK2021" s="4" t="s">
        <v>259</v>
      </c>
      <c r="CL2021" s="4" t="s">
        <v>241</v>
      </c>
      <c r="CO2021" s="5" t="s">
        <v>260</v>
      </c>
      <c r="CP2021" s="4" t="s">
        <v>241</v>
      </c>
      <c r="CQ2021" s="4" t="s">
        <v>261</v>
      </c>
      <c r="CR2021" s="4" t="s">
        <v>241</v>
      </c>
      <c r="CS2021" s="4" t="s">
        <v>241</v>
      </c>
      <c r="CT2021" s="4">
        <v>0</v>
      </c>
      <c r="CU2021" s="4" t="s">
        <v>262</v>
      </c>
      <c r="CV2021" s="4" t="s">
        <v>263</v>
      </c>
      <c r="CW2021" s="4" t="s">
        <v>263</v>
      </c>
      <c r="CX2021" s="4" t="s">
        <v>264</v>
      </c>
      <c r="DA2021" s="6">
        <f>1</f>
        <v>1</v>
      </c>
      <c r="DC2021" s="4" t="s">
        <v>325</v>
      </c>
      <c r="DD2021" s="4" t="s">
        <v>241</v>
      </c>
      <c r="DF2021" s="4" t="s">
        <v>325</v>
      </c>
      <c r="DG2021" s="6">
        <f>233</f>
        <v>233</v>
      </c>
      <c r="DI2021" s="4" t="s">
        <v>241</v>
      </c>
      <c r="DJ2021" s="4" t="s">
        <v>241</v>
      </c>
      <c r="DK2021" s="4" t="s">
        <v>241</v>
      </c>
      <c r="DL2021" s="4" t="s">
        <v>241</v>
      </c>
      <c r="DP2021" s="4" t="s">
        <v>241</v>
      </c>
      <c r="DQ2021" s="4" t="s">
        <v>241</v>
      </c>
      <c r="DR2021" s="4" t="s">
        <v>241</v>
      </c>
      <c r="DS2021" s="4" t="s">
        <v>241</v>
      </c>
      <c r="DV2021" s="4" t="s">
        <v>426</v>
      </c>
      <c r="DW2021" s="4" t="s">
        <v>1663</v>
      </c>
      <c r="HO2021" s="4" t="s">
        <v>267</v>
      </c>
    </row>
    <row r="2022" spans="1:223" ht="19.5" customHeight="1" x14ac:dyDescent="0.4">
      <c r="A2022" s="4">
        <v>1</v>
      </c>
      <c r="B2022" s="4" t="s">
        <v>239</v>
      </c>
      <c r="C2022" s="4">
        <v>3725</v>
      </c>
      <c r="D2022" s="4">
        <v>1</v>
      </c>
      <c r="E2022" s="4">
        <v>1</v>
      </c>
      <c r="F2022" s="4" t="s">
        <v>268</v>
      </c>
      <c r="G2022" s="4" t="s">
        <v>241</v>
      </c>
      <c r="H2022" s="4" t="s">
        <v>241</v>
      </c>
      <c r="I2022" s="4" t="s">
        <v>424</v>
      </c>
      <c r="J2022" s="4" t="s">
        <v>274</v>
      </c>
      <c r="K2022" s="4" t="s">
        <v>251</v>
      </c>
      <c r="L2022" s="4" t="s">
        <v>423</v>
      </c>
      <c r="M2022" s="5" t="s">
        <v>3973</v>
      </c>
      <c r="N2022" s="6">
        <f>268</f>
        <v>268</v>
      </c>
      <c r="O2022" s="4" t="s">
        <v>265</v>
      </c>
      <c r="P2022" s="6">
        <f>1</f>
        <v>1</v>
      </c>
      <c r="Q2022" s="6">
        <f>0</f>
        <v>0</v>
      </c>
      <c r="S2022" s="6">
        <f>0</f>
        <v>0</v>
      </c>
      <c r="T2022" s="6">
        <f>1</f>
        <v>1</v>
      </c>
      <c r="U2022" s="5" t="s">
        <v>245</v>
      </c>
      <c r="V2022" s="4" t="s">
        <v>270</v>
      </c>
      <c r="W2022" s="4" t="s">
        <v>271</v>
      </c>
      <c r="X2022" s="4" t="s">
        <v>273</v>
      </c>
      <c r="Y2022" s="4" t="s">
        <v>241</v>
      </c>
      <c r="AB2022" s="4" t="s">
        <v>241</v>
      </c>
      <c r="AD2022" s="5" t="s">
        <v>241</v>
      </c>
      <c r="AG2022" s="5" t="s">
        <v>246</v>
      </c>
      <c r="AH2022" s="4" t="s">
        <v>241</v>
      </c>
      <c r="AI2022" s="4" t="s">
        <v>247</v>
      </c>
      <c r="AJ2022" s="4" t="s">
        <v>248</v>
      </c>
      <c r="AZ2022" s="4" t="s">
        <v>249</v>
      </c>
      <c r="BA2022" s="4" t="s">
        <v>241</v>
      </c>
      <c r="BB2022" s="4" t="s">
        <v>250</v>
      </c>
      <c r="BC2022" s="4" t="s">
        <v>241</v>
      </c>
      <c r="BD2022" s="4" t="s">
        <v>252</v>
      </c>
      <c r="BE2022" s="4" t="s">
        <v>241</v>
      </c>
      <c r="BI2022" s="4" t="s">
        <v>253</v>
      </c>
      <c r="BJ2022" s="5" t="s">
        <v>246</v>
      </c>
      <c r="BK2022" s="4" t="s">
        <v>254</v>
      </c>
      <c r="BL2022" s="4" t="s">
        <v>255</v>
      </c>
      <c r="BM2022" s="4" t="s">
        <v>241</v>
      </c>
      <c r="BN2022" s="6">
        <f>0</f>
        <v>0</v>
      </c>
      <c r="BO2022" s="6">
        <f>0</f>
        <v>0</v>
      </c>
      <c r="BP2022" s="4" t="s">
        <v>256</v>
      </c>
      <c r="BQ2022" s="4" t="s">
        <v>257</v>
      </c>
      <c r="CE2022" s="4" t="s">
        <v>241</v>
      </c>
      <c r="CF2022" s="4" t="s">
        <v>241</v>
      </c>
      <c r="CJ2022" s="4" t="s">
        <v>276</v>
      </c>
      <c r="CK2022" s="4" t="s">
        <v>259</v>
      </c>
      <c r="CL2022" s="4" t="s">
        <v>241</v>
      </c>
      <c r="CO2022" s="5" t="s">
        <v>260</v>
      </c>
      <c r="CP2022" s="4" t="s">
        <v>241</v>
      </c>
      <c r="CQ2022" s="4" t="s">
        <v>261</v>
      </c>
      <c r="CR2022" s="4" t="s">
        <v>241</v>
      </c>
      <c r="CS2022" s="4" t="s">
        <v>241</v>
      </c>
      <c r="CT2022" s="4">
        <v>0</v>
      </c>
      <c r="CU2022" s="4" t="s">
        <v>262</v>
      </c>
      <c r="CV2022" s="4" t="s">
        <v>263</v>
      </c>
      <c r="CW2022" s="4" t="s">
        <v>263</v>
      </c>
      <c r="CX2022" s="4" t="s">
        <v>264</v>
      </c>
      <c r="DA2022" s="6">
        <f>1</f>
        <v>1</v>
      </c>
      <c r="DC2022" s="4" t="s">
        <v>325</v>
      </c>
      <c r="DD2022" s="4" t="s">
        <v>241</v>
      </c>
      <c r="DF2022" s="4" t="s">
        <v>325</v>
      </c>
      <c r="DG2022" s="6">
        <f>268</f>
        <v>268</v>
      </c>
      <c r="DI2022" s="4" t="s">
        <v>241</v>
      </c>
      <c r="DJ2022" s="4" t="s">
        <v>241</v>
      </c>
      <c r="DK2022" s="4" t="s">
        <v>241</v>
      </c>
      <c r="DL2022" s="4" t="s">
        <v>241</v>
      </c>
      <c r="DP2022" s="4" t="s">
        <v>241</v>
      </c>
      <c r="DQ2022" s="4" t="s">
        <v>241</v>
      </c>
      <c r="DR2022" s="4" t="s">
        <v>241</v>
      </c>
      <c r="DS2022" s="4" t="s">
        <v>241</v>
      </c>
      <c r="DV2022" s="4" t="s">
        <v>426</v>
      </c>
      <c r="DW2022" s="4" t="s">
        <v>1661</v>
      </c>
      <c r="HO2022" s="4" t="s">
        <v>267</v>
      </c>
    </row>
    <row r="2023" spans="1:223" ht="19.5" customHeight="1" x14ac:dyDescent="0.4">
      <c r="A2023" s="4">
        <v>1</v>
      </c>
      <c r="B2023" s="4" t="s">
        <v>239</v>
      </c>
      <c r="C2023" s="4">
        <v>3726</v>
      </c>
      <c r="D2023" s="4">
        <v>1</v>
      </c>
      <c r="E2023" s="4">
        <v>1</v>
      </c>
      <c r="F2023" s="4" t="s">
        <v>268</v>
      </c>
      <c r="G2023" s="4" t="s">
        <v>241</v>
      </c>
      <c r="H2023" s="4" t="s">
        <v>241</v>
      </c>
      <c r="I2023" s="4" t="s">
        <v>424</v>
      </c>
      <c r="J2023" s="4" t="s">
        <v>274</v>
      </c>
      <c r="K2023" s="4" t="s">
        <v>251</v>
      </c>
      <c r="L2023" s="4" t="s">
        <v>423</v>
      </c>
      <c r="M2023" s="5" t="s">
        <v>3467</v>
      </c>
      <c r="N2023" s="6">
        <f>232</f>
        <v>232</v>
      </c>
      <c r="O2023" s="4" t="s">
        <v>265</v>
      </c>
      <c r="P2023" s="6">
        <f>1</f>
        <v>1</v>
      </c>
      <c r="Q2023" s="6">
        <f>0</f>
        <v>0</v>
      </c>
      <c r="S2023" s="6">
        <f>0</f>
        <v>0</v>
      </c>
      <c r="T2023" s="6">
        <f>1</f>
        <v>1</v>
      </c>
      <c r="U2023" s="5" t="s">
        <v>245</v>
      </c>
      <c r="V2023" s="4" t="s">
        <v>270</v>
      </c>
      <c r="W2023" s="4" t="s">
        <v>271</v>
      </c>
      <c r="X2023" s="4" t="s">
        <v>273</v>
      </c>
      <c r="Y2023" s="4" t="s">
        <v>241</v>
      </c>
      <c r="AB2023" s="4" t="s">
        <v>241</v>
      </c>
      <c r="AD2023" s="5" t="s">
        <v>241</v>
      </c>
      <c r="AG2023" s="5" t="s">
        <v>246</v>
      </c>
      <c r="AH2023" s="4" t="s">
        <v>241</v>
      </c>
      <c r="AI2023" s="4" t="s">
        <v>247</v>
      </c>
      <c r="AJ2023" s="4" t="s">
        <v>248</v>
      </c>
      <c r="AZ2023" s="4" t="s">
        <v>249</v>
      </c>
      <c r="BA2023" s="4" t="s">
        <v>241</v>
      </c>
      <c r="BB2023" s="4" t="s">
        <v>250</v>
      </c>
      <c r="BC2023" s="4" t="s">
        <v>241</v>
      </c>
      <c r="BD2023" s="4" t="s">
        <v>252</v>
      </c>
      <c r="BE2023" s="4" t="s">
        <v>241</v>
      </c>
      <c r="BI2023" s="4" t="s">
        <v>253</v>
      </c>
      <c r="BJ2023" s="5" t="s">
        <v>246</v>
      </c>
      <c r="BK2023" s="4" t="s">
        <v>254</v>
      </c>
      <c r="BL2023" s="4" t="s">
        <v>255</v>
      </c>
      <c r="BM2023" s="4" t="s">
        <v>241</v>
      </c>
      <c r="BN2023" s="6">
        <f>0</f>
        <v>0</v>
      </c>
      <c r="BO2023" s="6">
        <f>0</f>
        <v>0</v>
      </c>
      <c r="BP2023" s="4" t="s">
        <v>256</v>
      </c>
      <c r="BQ2023" s="4" t="s">
        <v>257</v>
      </c>
      <c r="CE2023" s="4" t="s">
        <v>241</v>
      </c>
      <c r="CF2023" s="4" t="s">
        <v>241</v>
      </c>
      <c r="CJ2023" s="4" t="s">
        <v>276</v>
      </c>
      <c r="CK2023" s="4" t="s">
        <v>259</v>
      </c>
      <c r="CL2023" s="4" t="s">
        <v>241</v>
      </c>
      <c r="CO2023" s="5" t="s">
        <v>260</v>
      </c>
      <c r="CP2023" s="4" t="s">
        <v>241</v>
      </c>
      <c r="CQ2023" s="4" t="s">
        <v>261</v>
      </c>
      <c r="CR2023" s="4" t="s">
        <v>241</v>
      </c>
      <c r="CS2023" s="4" t="s">
        <v>241</v>
      </c>
      <c r="CT2023" s="4">
        <v>0</v>
      </c>
      <c r="CU2023" s="4" t="s">
        <v>262</v>
      </c>
      <c r="CV2023" s="4" t="s">
        <v>263</v>
      </c>
      <c r="CW2023" s="4" t="s">
        <v>263</v>
      </c>
      <c r="CX2023" s="4" t="s">
        <v>264</v>
      </c>
      <c r="DA2023" s="6">
        <f>1</f>
        <v>1</v>
      </c>
      <c r="DC2023" s="4" t="s">
        <v>325</v>
      </c>
      <c r="DD2023" s="4" t="s">
        <v>241</v>
      </c>
      <c r="DF2023" s="4" t="s">
        <v>325</v>
      </c>
      <c r="DG2023" s="6">
        <f>232</f>
        <v>232</v>
      </c>
      <c r="DI2023" s="4" t="s">
        <v>241</v>
      </c>
      <c r="DJ2023" s="4" t="s">
        <v>241</v>
      </c>
      <c r="DK2023" s="4" t="s">
        <v>241</v>
      </c>
      <c r="DL2023" s="4" t="s">
        <v>241</v>
      </c>
      <c r="DP2023" s="4" t="s">
        <v>241</v>
      </c>
      <c r="DQ2023" s="4" t="s">
        <v>241</v>
      </c>
      <c r="DR2023" s="4" t="s">
        <v>241</v>
      </c>
      <c r="DS2023" s="4" t="s">
        <v>241</v>
      </c>
      <c r="DV2023" s="4" t="s">
        <v>426</v>
      </c>
      <c r="DW2023" s="4" t="s">
        <v>1659</v>
      </c>
      <c r="HO2023" s="4" t="s">
        <v>267</v>
      </c>
    </row>
    <row r="2024" spans="1:223" ht="19.5" customHeight="1" x14ac:dyDescent="0.4">
      <c r="A2024" s="4">
        <v>1</v>
      </c>
      <c r="B2024" s="4" t="s">
        <v>239</v>
      </c>
      <c r="C2024" s="4">
        <v>3727</v>
      </c>
      <c r="D2024" s="4">
        <v>1</v>
      </c>
      <c r="E2024" s="4">
        <v>1</v>
      </c>
      <c r="F2024" s="4" t="s">
        <v>268</v>
      </c>
      <c r="G2024" s="4" t="s">
        <v>241</v>
      </c>
      <c r="H2024" s="4" t="s">
        <v>241</v>
      </c>
      <c r="I2024" s="4" t="s">
        <v>424</v>
      </c>
      <c r="J2024" s="4" t="s">
        <v>274</v>
      </c>
      <c r="K2024" s="4" t="s">
        <v>251</v>
      </c>
      <c r="L2024" s="4" t="s">
        <v>423</v>
      </c>
      <c r="M2024" s="5" t="s">
        <v>3976</v>
      </c>
      <c r="N2024" s="6">
        <f>61</f>
        <v>61</v>
      </c>
      <c r="O2024" s="4" t="s">
        <v>265</v>
      </c>
      <c r="P2024" s="6">
        <f>1</f>
        <v>1</v>
      </c>
      <c r="Q2024" s="6">
        <f>0</f>
        <v>0</v>
      </c>
      <c r="S2024" s="6">
        <f>0</f>
        <v>0</v>
      </c>
      <c r="T2024" s="6">
        <f>1</f>
        <v>1</v>
      </c>
      <c r="U2024" s="5" t="s">
        <v>245</v>
      </c>
      <c r="V2024" s="4" t="s">
        <v>270</v>
      </c>
      <c r="W2024" s="4" t="s">
        <v>271</v>
      </c>
      <c r="X2024" s="4" t="s">
        <v>273</v>
      </c>
      <c r="Y2024" s="4" t="s">
        <v>241</v>
      </c>
      <c r="AB2024" s="4" t="s">
        <v>241</v>
      </c>
      <c r="AD2024" s="5" t="s">
        <v>241</v>
      </c>
      <c r="AG2024" s="5" t="s">
        <v>246</v>
      </c>
      <c r="AH2024" s="4" t="s">
        <v>241</v>
      </c>
      <c r="AI2024" s="4" t="s">
        <v>247</v>
      </c>
      <c r="AJ2024" s="4" t="s">
        <v>248</v>
      </c>
      <c r="AZ2024" s="4" t="s">
        <v>249</v>
      </c>
      <c r="BA2024" s="4" t="s">
        <v>241</v>
      </c>
      <c r="BB2024" s="4" t="s">
        <v>250</v>
      </c>
      <c r="BC2024" s="4" t="s">
        <v>241</v>
      </c>
      <c r="BD2024" s="4" t="s">
        <v>252</v>
      </c>
      <c r="BE2024" s="4" t="s">
        <v>241</v>
      </c>
      <c r="BI2024" s="4" t="s">
        <v>253</v>
      </c>
      <c r="BJ2024" s="5" t="s">
        <v>246</v>
      </c>
      <c r="BK2024" s="4" t="s">
        <v>254</v>
      </c>
      <c r="BL2024" s="4" t="s">
        <v>255</v>
      </c>
      <c r="BM2024" s="4" t="s">
        <v>241</v>
      </c>
      <c r="BN2024" s="6">
        <f>0</f>
        <v>0</v>
      </c>
      <c r="BO2024" s="6">
        <f>0</f>
        <v>0</v>
      </c>
      <c r="BP2024" s="4" t="s">
        <v>256</v>
      </c>
      <c r="BQ2024" s="4" t="s">
        <v>257</v>
      </c>
      <c r="CE2024" s="4" t="s">
        <v>241</v>
      </c>
      <c r="CF2024" s="4" t="s">
        <v>241</v>
      </c>
      <c r="CJ2024" s="4" t="s">
        <v>276</v>
      </c>
      <c r="CK2024" s="4" t="s">
        <v>259</v>
      </c>
      <c r="CL2024" s="4" t="s">
        <v>241</v>
      </c>
      <c r="CO2024" s="5" t="s">
        <v>260</v>
      </c>
      <c r="CP2024" s="4" t="s">
        <v>241</v>
      </c>
      <c r="CQ2024" s="4" t="s">
        <v>261</v>
      </c>
      <c r="CR2024" s="4" t="s">
        <v>241</v>
      </c>
      <c r="CS2024" s="4" t="s">
        <v>241</v>
      </c>
      <c r="CT2024" s="4">
        <v>0</v>
      </c>
      <c r="CU2024" s="4" t="s">
        <v>262</v>
      </c>
      <c r="CV2024" s="4" t="s">
        <v>263</v>
      </c>
      <c r="CW2024" s="4" t="s">
        <v>263</v>
      </c>
      <c r="CX2024" s="4" t="s">
        <v>264</v>
      </c>
      <c r="DA2024" s="6">
        <f>1</f>
        <v>1</v>
      </c>
      <c r="DC2024" s="4" t="s">
        <v>325</v>
      </c>
      <c r="DD2024" s="4" t="s">
        <v>241</v>
      </c>
      <c r="DF2024" s="4" t="s">
        <v>325</v>
      </c>
      <c r="DG2024" s="6">
        <f>61</f>
        <v>61</v>
      </c>
      <c r="DI2024" s="4" t="s">
        <v>241</v>
      </c>
      <c r="DJ2024" s="4" t="s">
        <v>241</v>
      </c>
      <c r="DK2024" s="4" t="s">
        <v>241</v>
      </c>
      <c r="DL2024" s="4" t="s">
        <v>241</v>
      </c>
      <c r="DP2024" s="4" t="s">
        <v>241</v>
      </c>
      <c r="DQ2024" s="4" t="s">
        <v>241</v>
      </c>
      <c r="DR2024" s="4" t="s">
        <v>241</v>
      </c>
      <c r="DS2024" s="4" t="s">
        <v>241</v>
      </c>
      <c r="DV2024" s="4" t="s">
        <v>426</v>
      </c>
      <c r="DW2024" s="4" t="s">
        <v>1657</v>
      </c>
      <c r="HO2024" s="4" t="s">
        <v>267</v>
      </c>
    </row>
    <row r="2025" spans="1:223" ht="19.5" customHeight="1" x14ac:dyDescent="0.4">
      <c r="A2025" s="4">
        <v>1</v>
      </c>
      <c r="B2025" s="4" t="s">
        <v>239</v>
      </c>
      <c r="C2025" s="4">
        <v>3728</v>
      </c>
      <c r="D2025" s="4">
        <v>1</v>
      </c>
      <c r="E2025" s="4">
        <v>1</v>
      </c>
      <c r="F2025" s="4" t="s">
        <v>268</v>
      </c>
      <c r="G2025" s="4" t="s">
        <v>241</v>
      </c>
      <c r="H2025" s="4" t="s">
        <v>241</v>
      </c>
      <c r="I2025" s="4" t="s">
        <v>424</v>
      </c>
      <c r="J2025" s="4" t="s">
        <v>274</v>
      </c>
      <c r="K2025" s="4" t="s">
        <v>251</v>
      </c>
      <c r="L2025" s="4" t="s">
        <v>423</v>
      </c>
      <c r="M2025" s="5" t="s">
        <v>3978</v>
      </c>
      <c r="N2025" s="6">
        <f>394</f>
        <v>394</v>
      </c>
      <c r="O2025" s="4" t="s">
        <v>265</v>
      </c>
      <c r="P2025" s="6">
        <f>1</f>
        <v>1</v>
      </c>
      <c r="Q2025" s="6">
        <f>0</f>
        <v>0</v>
      </c>
      <c r="S2025" s="6">
        <f>0</f>
        <v>0</v>
      </c>
      <c r="T2025" s="6">
        <f>1</f>
        <v>1</v>
      </c>
      <c r="U2025" s="5" t="s">
        <v>245</v>
      </c>
      <c r="V2025" s="4" t="s">
        <v>270</v>
      </c>
      <c r="W2025" s="4" t="s">
        <v>271</v>
      </c>
      <c r="X2025" s="4" t="s">
        <v>273</v>
      </c>
      <c r="Y2025" s="4" t="s">
        <v>241</v>
      </c>
      <c r="AB2025" s="4" t="s">
        <v>241</v>
      </c>
      <c r="AD2025" s="5" t="s">
        <v>241</v>
      </c>
      <c r="AG2025" s="5" t="s">
        <v>246</v>
      </c>
      <c r="AH2025" s="4" t="s">
        <v>241</v>
      </c>
      <c r="AI2025" s="4" t="s">
        <v>247</v>
      </c>
      <c r="AJ2025" s="4" t="s">
        <v>248</v>
      </c>
      <c r="AZ2025" s="4" t="s">
        <v>249</v>
      </c>
      <c r="BA2025" s="4" t="s">
        <v>241</v>
      </c>
      <c r="BB2025" s="4" t="s">
        <v>250</v>
      </c>
      <c r="BC2025" s="4" t="s">
        <v>241</v>
      </c>
      <c r="BD2025" s="4" t="s">
        <v>252</v>
      </c>
      <c r="BE2025" s="4" t="s">
        <v>241</v>
      </c>
      <c r="BI2025" s="4" t="s">
        <v>253</v>
      </c>
      <c r="BJ2025" s="5" t="s">
        <v>246</v>
      </c>
      <c r="BK2025" s="4" t="s">
        <v>254</v>
      </c>
      <c r="BL2025" s="4" t="s">
        <v>255</v>
      </c>
      <c r="BM2025" s="4" t="s">
        <v>241</v>
      </c>
      <c r="BN2025" s="6">
        <f>0</f>
        <v>0</v>
      </c>
      <c r="BO2025" s="6">
        <f>0</f>
        <v>0</v>
      </c>
      <c r="BP2025" s="4" t="s">
        <v>256</v>
      </c>
      <c r="BQ2025" s="4" t="s">
        <v>257</v>
      </c>
      <c r="CE2025" s="4" t="s">
        <v>241</v>
      </c>
      <c r="CF2025" s="4" t="s">
        <v>241</v>
      </c>
      <c r="CJ2025" s="4" t="s">
        <v>276</v>
      </c>
      <c r="CK2025" s="4" t="s">
        <v>259</v>
      </c>
      <c r="CL2025" s="4" t="s">
        <v>241</v>
      </c>
      <c r="CO2025" s="5" t="s">
        <v>260</v>
      </c>
      <c r="CP2025" s="4" t="s">
        <v>241</v>
      </c>
      <c r="CQ2025" s="4" t="s">
        <v>261</v>
      </c>
      <c r="CR2025" s="4" t="s">
        <v>241</v>
      </c>
      <c r="CS2025" s="4" t="s">
        <v>241</v>
      </c>
      <c r="CT2025" s="4">
        <v>0</v>
      </c>
      <c r="CU2025" s="4" t="s">
        <v>262</v>
      </c>
      <c r="CV2025" s="4" t="s">
        <v>263</v>
      </c>
      <c r="CW2025" s="4" t="s">
        <v>263</v>
      </c>
      <c r="CX2025" s="4" t="s">
        <v>264</v>
      </c>
      <c r="DA2025" s="6">
        <f>1</f>
        <v>1</v>
      </c>
      <c r="DC2025" s="4" t="s">
        <v>325</v>
      </c>
      <c r="DD2025" s="4" t="s">
        <v>241</v>
      </c>
      <c r="DF2025" s="4" t="s">
        <v>325</v>
      </c>
      <c r="DG2025" s="6">
        <f>394</f>
        <v>394</v>
      </c>
      <c r="DI2025" s="4" t="s">
        <v>241</v>
      </c>
      <c r="DJ2025" s="4" t="s">
        <v>241</v>
      </c>
      <c r="DK2025" s="4" t="s">
        <v>241</v>
      </c>
      <c r="DL2025" s="4" t="s">
        <v>241</v>
      </c>
      <c r="DP2025" s="4" t="s">
        <v>241</v>
      </c>
      <c r="DQ2025" s="4" t="s">
        <v>241</v>
      </c>
      <c r="DR2025" s="4" t="s">
        <v>241</v>
      </c>
      <c r="DS2025" s="4" t="s">
        <v>241</v>
      </c>
      <c r="DV2025" s="4" t="s">
        <v>426</v>
      </c>
      <c r="DW2025" s="4" t="s">
        <v>1655</v>
      </c>
      <c r="HO2025" s="4" t="s">
        <v>267</v>
      </c>
    </row>
    <row r="2026" spans="1:223" ht="19.5" customHeight="1" x14ac:dyDescent="0.4">
      <c r="A2026" s="4">
        <v>1</v>
      </c>
      <c r="B2026" s="4" t="s">
        <v>239</v>
      </c>
      <c r="C2026" s="4">
        <v>3729</v>
      </c>
      <c r="D2026" s="4">
        <v>1</v>
      </c>
      <c r="E2026" s="4">
        <v>1</v>
      </c>
      <c r="F2026" s="4" t="s">
        <v>268</v>
      </c>
      <c r="G2026" s="4" t="s">
        <v>241</v>
      </c>
      <c r="H2026" s="4" t="s">
        <v>241</v>
      </c>
      <c r="I2026" s="4" t="s">
        <v>424</v>
      </c>
      <c r="J2026" s="4" t="s">
        <v>274</v>
      </c>
      <c r="K2026" s="4" t="s">
        <v>251</v>
      </c>
      <c r="L2026" s="4" t="s">
        <v>423</v>
      </c>
      <c r="M2026" s="5" t="s">
        <v>3979</v>
      </c>
      <c r="N2026" s="6">
        <f>138</f>
        <v>138</v>
      </c>
      <c r="O2026" s="4" t="s">
        <v>265</v>
      </c>
      <c r="P2026" s="6">
        <f>1</f>
        <v>1</v>
      </c>
      <c r="Q2026" s="6">
        <f>0</f>
        <v>0</v>
      </c>
      <c r="S2026" s="6">
        <f>0</f>
        <v>0</v>
      </c>
      <c r="T2026" s="6">
        <f>1</f>
        <v>1</v>
      </c>
      <c r="U2026" s="5" t="s">
        <v>245</v>
      </c>
      <c r="V2026" s="4" t="s">
        <v>270</v>
      </c>
      <c r="W2026" s="4" t="s">
        <v>271</v>
      </c>
      <c r="X2026" s="4" t="s">
        <v>273</v>
      </c>
      <c r="Y2026" s="4" t="s">
        <v>241</v>
      </c>
      <c r="AB2026" s="4" t="s">
        <v>241</v>
      </c>
      <c r="AD2026" s="5" t="s">
        <v>241</v>
      </c>
      <c r="AG2026" s="5" t="s">
        <v>246</v>
      </c>
      <c r="AH2026" s="4" t="s">
        <v>241</v>
      </c>
      <c r="AI2026" s="4" t="s">
        <v>247</v>
      </c>
      <c r="AJ2026" s="4" t="s">
        <v>248</v>
      </c>
      <c r="AZ2026" s="4" t="s">
        <v>249</v>
      </c>
      <c r="BA2026" s="4" t="s">
        <v>241</v>
      </c>
      <c r="BB2026" s="4" t="s">
        <v>250</v>
      </c>
      <c r="BC2026" s="4" t="s">
        <v>241</v>
      </c>
      <c r="BD2026" s="4" t="s">
        <v>252</v>
      </c>
      <c r="BE2026" s="4" t="s">
        <v>241</v>
      </c>
      <c r="BI2026" s="4" t="s">
        <v>253</v>
      </c>
      <c r="BJ2026" s="5" t="s">
        <v>246</v>
      </c>
      <c r="BK2026" s="4" t="s">
        <v>254</v>
      </c>
      <c r="BL2026" s="4" t="s">
        <v>255</v>
      </c>
      <c r="BM2026" s="4" t="s">
        <v>241</v>
      </c>
      <c r="BN2026" s="6">
        <f>0</f>
        <v>0</v>
      </c>
      <c r="BO2026" s="6">
        <f>0</f>
        <v>0</v>
      </c>
      <c r="BP2026" s="4" t="s">
        <v>256</v>
      </c>
      <c r="BQ2026" s="4" t="s">
        <v>257</v>
      </c>
      <c r="CE2026" s="4" t="s">
        <v>241</v>
      </c>
      <c r="CF2026" s="4" t="s">
        <v>241</v>
      </c>
      <c r="CJ2026" s="4" t="s">
        <v>276</v>
      </c>
      <c r="CK2026" s="4" t="s">
        <v>259</v>
      </c>
      <c r="CL2026" s="4" t="s">
        <v>241</v>
      </c>
      <c r="CO2026" s="5" t="s">
        <v>260</v>
      </c>
      <c r="CP2026" s="4" t="s">
        <v>241</v>
      </c>
      <c r="CQ2026" s="4" t="s">
        <v>261</v>
      </c>
      <c r="CR2026" s="4" t="s">
        <v>241</v>
      </c>
      <c r="CS2026" s="4" t="s">
        <v>241</v>
      </c>
      <c r="CT2026" s="4">
        <v>0</v>
      </c>
      <c r="CU2026" s="4" t="s">
        <v>262</v>
      </c>
      <c r="CV2026" s="4" t="s">
        <v>263</v>
      </c>
      <c r="CW2026" s="4" t="s">
        <v>263</v>
      </c>
      <c r="CX2026" s="4" t="s">
        <v>264</v>
      </c>
      <c r="DA2026" s="6">
        <f>1</f>
        <v>1</v>
      </c>
      <c r="DC2026" s="4" t="s">
        <v>325</v>
      </c>
      <c r="DD2026" s="4" t="s">
        <v>241</v>
      </c>
      <c r="DF2026" s="4" t="s">
        <v>325</v>
      </c>
      <c r="DG2026" s="6">
        <f>138</f>
        <v>138</v>
      </c>
      <c r="DI2026" s="4" t="s">
        <v>241</v>
      </c>
      <c r="DJ2026" s="4" t="s">
        <v>241</v>
      </c>
      <c r="DK2026" s="4" t="s">
        <v>241</v>
      </c>
      <c r="DL2026" s="4" t="s">
        <v>241</v>
      </c>
      <c r="DP2026" s="4" t="s">
        <v>241</v>
      </c>
      <c r="DQ2026" s="4" t="s">
        <v>241</v>
      </c>
      <c r="DR2026" s="4" t="s">
        <v>241</v>
      </c>
      <c r="DS2026" s="4" t="s">
        <v>241</v>
      </c>
      <c r="DV2026" s="4" t="s">
        <v>426</v>
      </c>
      <c r="DW2026" s="4" t="s">
        <v>1653</v>
      </c>
      <c r="HO2026" s="4" t="s">
        <v>267</v>
      </c>
    </row>
    <row r="2027" spans="1:223" ht="19.5" customHeight="1" x14ac:dyDescent="0.4">
      <c r="A2027" s="4">
        <v>1</v>
      </c>
      <c r="B2027" s="4" t="s">
        <v>239</v>
      </c>
      <c r="C2027" s="4">
        <v>3730</v>
      </c>
      <c r="D2027" s="4">
        <v>1</v>
      </c>
      <c r="E2027" s="4">
        <v>1</v>
      </c>
      <c r="F2027" s="4" t="s">
        <v>268</v>
      </c>
      <c r="G2027" s="4" t="s">
        <v>241</v>
      </c>
      <c r="H2027" s="4" t="s">
        <v>241</v>
      </c>
      <c r="I2027" s="4" t="s">
        <v>424</v>
      </c>
      <c r="J2027" s="4" t="s">
        <v>274</v>
      </c>
      <c r="K2027" s="4" t="s">
        <v>251</v>
      </c>
      <c r="L2027" s="4" t="s">
        <v>423</v>
      </c>
      <c r="M2027" s="5" t="s">
        <v>3983</v>
      </c>
      <c r="N2027" s="6">
        <f>298</f>
        <v>298</v>
      </c>
      <c r="O2027" s="4" t="s">
        <v>265</v>
      </c>
      <c r="P2027" s="6">
        <f>1</f>
        <v>1</v>
      </c>
      <c r="Q2027" s="6">
        <f>0</f>
        <v>0</v>
      </c>
      <c r="S2027" s="6">
        <f>0</f>
        <v>0</v>
      </c>
      <c r="T2027" s="6">
        <f>1</f>
        <v>1</v>
      </c>
      <c r="U2027" s="5" t="s">
        <v>245</v>
      </c>
      <c r="V2027" s="4" t="s">
        <v>270</v>
      </c>
      <c r="W2027" s="4" t="s">
        <v>271</v>
      </c>
      <c r="X2027" s="4" t="s">
        <v>273</v>
      </c>
      <c r="Y2027" s="4" t="s">
        <v>241</v>
      </c>
      <c r="AB2027" s="4" t="s">
        <v>241</v>
      </c>
      <c r="AD2027" s="5" t="s">
        <v>241</v>
      </c>
      <c r="AG2027" s="5" t="s">
        <v>246</v>
      </c>
      <c r="AH2027" s="4" t="s">
        <v>241</v>
      </c>
      <c r="AI2027" s="4" t="s">
        <v>247</v>
      </c>
      <c r="AJ2027" s="4" t="s">
        <v>248</v>
      </c>
      <c r="AZ2027" s="4" t="s">
        <v>249</v>
      </c>
      <c r="BA2027" s="4" t="s">
        <v>241</v>
      </c>
      <c r="BB2027" s="4" t="s">
        <v>250</v>
      </c>
      <c r="BC2027" s="4" t="s">
        <v>241</v>
      </c>
      <c r="BD2027" s="4" t="s">
        <v>252</v>
      </c>
      <c r="BE2027" s="4" t="s">
        <v>241</v>
      </c>
      <c r="BI2027" s="4" t="s">
        <v>253</v>
      </c>
      <c r="BJ2027" s="5" t="s">
        <v>246</v>
      </c>
      <c r="BK2027" s="4" t="s">
        <v>254</v>
      </c>
      <c r="BL2027" s="4" t="s">
        <v>255</v>
      </c>
      <c r="BM2027" s="4" t="s">
        <v>241</v>
      </c>
      <c r="BN2027" s="6">
        <f>0</f>
        <v>0</v>
      </c>
      <c r="BO2027" s="6">
        <f>0</f>
        <v>0</v>
      </c>
      <c r="BP2027" s="4" t="s">
        <v>256</v>
      </c>
      <c r="BQ2027" s="4" t="s">
        <v>257</v>
      </c>
      <c r="CE2027" s="4" t="s">
        <v>241</v>
      </c>
      <c r="CF2027" s="4" t="s">
        <v>241</v>
      </c>
      <c r="CJ2027" s="4" t="s">
        <v>276</v>
      </c>
      <c r="CK2027" s="4" t="s">
        <v>259</v>
      </c>
      <c r="CL2027" s="4" t="s">
        <v>241</v>
      </c>
      <c r="CO2027" s="5" t="s">
        <v>260</v>
      </c>
      <c r="CP2027" s="4" t="s">
        <v>241</v>
      </c>
      <c r="CQ2027" s="4" t="s">
        <v>261</v>
      </c>
      <c r="CR2027" s="4" t="s">
        <v>241</v>
      </c>
      <c r="CS2027" s="4" t="s">
        <v>241</v>
      </c>
      <c r="CT2027" s="4">
        <v>0</v>
      </c>
      <c r="CU2027" s="4" t="s">
        <v>262</v>
      </c>
      <c r="CV2027" s="4" t="s">
        <v>263</v>
      </c>
      <c r="CW2027" s="4" t="s">
        <v>263</v>
      </c>
      <c r="CX2027" s="4" t="s">
        <v>264</v>
      </c>
      <c r="DA2027" s="6">
        <f>1</f>
        <v>1</v>
      </c>
      <c r="DC2027" s="4" t="s">
        <v>325</v>
      </c>
      <c r="DD2027" s="4" t="s">
        <v>241</v>
      </c>
      <c r="DF2027" s="4" t="s">
        <v>325</v>
      </c>
      <c r="DG2027" s="6">
        <f>298</f>
        <v>298</v>
      </c>
      <c r="DI2027" s="4" t="s">
        <v>241</v>
      </c>
      <c r="DJ2027" s="4" t="s">
        <v>241</v>
      </c>
      <c r="DK2027" s="4" t="s">
        <v>241</v>
      </c>
      <c r="DL2027" s="4" t="s">
        <v>241</v>
      </c>
      <c r="DP2027" s="4" t="s">
        <v>241</v>
      </c>
      <c r="DQ2027" s="4" t="s">
        <v>241</v>
      </c>
      <c r="DR2027" s="4" t="s">
        <v>241</v>
      </c>
      <c r="DS2027" s="4" t="s">
        <v>241</v>
      </c>
      <c r="DV2027" s="4" t="s">
        <v>426</v>
      </c>
      <c r="DW2027" s="4" t="s">
        <v>1651</v>
      </c>
      <c r="HO2027" s="4" t="s">
        <v>267</v>
      </c>
    </row>
    <row r="2028" spans="1:223" ht="19.5" customHeight="1" x14ac:dyDescent="0.4">
      <c r="A2028" s="4">
        <v>1</v>
      </c>
      <c r="B2028" s="4" t="s">
        <v>239</v>
      </c>
      <c r="C2028" s="4">
        <v>3731</v>
      </c>
      <c r="D2028" s="4">
        <v>1</v>
      </c>
      <c r="E2028" s="4">
        <v>1</v>
      </c>
      <c r="F2028" s="4" t="s">
        <v>268</v>
      </c>
      <c r="G2028" s="4" t="s">
        <v>241</v>
      </c>
      <c r="H2028" s="4" t="s">
        <v>241</v>
      </c>
      <c r="I2028" s="4" t="s">
        <v>424</v>
      </c>
      <c r="J2028" s="4" t="s">
        <v>274</v>
      </c>
      <c r="K2028" s="4" t="s">
        <v>251</v>
      </c>
      <c r="L2028" s="4" t="s">
        <v>423</v>
      </c>
      <c r="M2028" s="5" t="s">
        <v>3984</v>
      </c>
      <c r="N2028" s="6">
        <f>14273</f>
        <v>14273</v>
      </c>
      <c r="O2028" s="4" t="s">
        <v>265</v>
      </c>
      <c r="P2028" s="6">
        <f>1</f>
        <v>1</v>
      </c>
      <c r="Q2028" s="6">
        <f>0</f>
        <v>0</v>
      </c>
      <c r="S2028" s="6">
        <f>0</f>
        <v>0</v>
      </c>
      <c r="T2028" s="6">
        <f>1</f>
        <v>1</v>
      </c>
      <c r="U2028" s="5" t="s">
        <v>245</v>
      </c>
      <c r="V2028" s="4" t="s">
        <v>270</v>
      </c>
      <c r="W2028" s="4" t="s">
        <v>271</v>
      </c>
      <c r="X2028" s="4" t="s">
        <v>273</v>
      </c>
      <c r="Y2028" s="4" t="s">
        <v>241</v>
      </c>
      <c r="AB2028" s="4" t="s">
        <v>241</v>
      </c>
      <c r="AD2028" s="5" t="s">
        <v>241</v>
      </c>
      <c r="AG2028" s="5" t="s">
        <v>246</v>
      </c>
      <c r="AH2028" s="4" t="s">
        <v>241</v>
      </c>
      <c r="AI2028" s="4" t="s">
        <v>247</v>
      </c>
      <c r="AJ2028" s="4" t="s">
        <v>248</v>
      </c>
      <c r="AZ2028" s="4" t="s">
        <v>249</v>
      </c>
      <c r="BA2028" s="4" t="s">
        <v>241</v>
      </c>
      <c r="BB2028" s="4" t="s">
        <v>250</v>
      </c>
      <c r="BC2028" s="4" t="s">
        <v>241</v>
      </c>
      <c r="BD2028" s="4" t="s">
        <v>252</v>
      </c>
      <c r="BE2028" s="4" t="s">
        <v>241</v>
      </c>
      <c r="BI2028" s="4" t="s">
        <v>253</v>
      </c>
      <c r="BJ2028" s="5" t="s">
        <v>246</v>
      </c>
      <c r="BK2028" s="4" t="s">
        <v>254</v>
      </c>
      <c r="BL2028" s="4" t="s">
        <v>255</v>
      </c>
      <c r="BM2028" s="4" t="s">
        <v>241</v>
      </c>
      <c r="BN2028" s="6">
        <f>0</f>
        <v>0</v>
      </c>
      <c r="BO2028" s="6">
        <f>0</f>
        <v>0</v>
      </c>
      <c r="BP2028" s="4" t="s">
        <v>256</v>
      </c>
      <c r="BQ2028" s="4" t="s">
        <v>257</v>
      </c>
      <c r="CE2028" s="4" t="s">
        <v>241</v>
      </c>
      <c r="CF2028" s="4" t="s">
        <v>241</v>
      </c>
      <c r="CJ2028" s="4" t="s">
        <v>276</v>
      </c>
      <c r="CK2028" s="4" t="s">
        <v>259</v>
      </c>
      <c r="CL2028" s="4" t="s">
        <v>241</v>
      </c>
      <c r="CO2028" s="5" t="s">
        <v>260</v>
      </c>
      <c r="CP2028" s="4" t="s">
        <v>241</v>
      </c>
      <c r="CQ2028" s="4" t="s">
        <v>261</v>
      </c>
      <c r="CR2028" s="4" t="s">
        <v>241</v>
      </c>
      <c r="CS2028" s="4" t="s">
        <v>241</v>
      </c>
      <c r="CT2028" s="4">
        <v>0</v>
      </c>
      <c r="CU2028" s="4" t="s">
        <v>262</v>
      </c>
      <c r="CV2028" s="4" t="s">
        <v>263</v>
      </c>
      <c r="CW2028" s="4" t="s">
        <v>263</v>
      </c>
      <c r="CX2028" s="4" t="s">
        <v>264</v>
      </c>
      <c r="DA2028" s="6">
        <f>1</f>
        <v>1</v>
      </c>
      <c r="DC2028" s="4" t="s">
        <v>325</v>
      </c>
      <c r="DD2028" s="4" t="s">
        <v>241</v>
      </c>
      <c r="DF2028" s="4" t="s">
        <v>325</v>
      </c>
      <c r="DG2028" s="6">
        <f>14273</f>
        <v>14273</v>
      </c>
      <c r="DI2028" s="4" t="s">
        <v>241</v>
      </c>
      <c r="DJ2028" s="4" t="s">
        <v>241</v>
      </c>
      <c r="DK2028" s="4" t="s">
        <v>241</v>
      </c>
      <c r="DL2028" s="4" t="s">
        <v>241</v>
      </c>
      <c r="DP2028" s="4" t="s">
        <v>241</v>
      </c>
      <c r="DQ2028" s="4" t="s">
        <v>241</v>
      </c>
      <c r="DR2028" s="4" t="s">
        <v>241</v>
      </c>
      <c r="DS2028" s="4" t="s">
        <v>241</v>
      </c>
      <c r="DV2028" s="4" t="s">
        <v>426</v>
      </c>
      <c r="DW2028" s="4" t="s">
        <v>1345</v>
      </c>
      <c r="HO2028" s="4" t="s">
        <v>267</v>
      </c>
    </row>
    <row r="2029" spans="1:223" ht="19.5" customHeight="1" x14ac:dyDescent="0.4">
      <c r="A2029" s="4">
        <v>1</v>
      </c>
      <c r="B2029" s="4" t="s">
        <v>239</v>
      </c>
      <c r="C2029" s="4">
        <v>3732</v>
      </c>
      <c r="D2029" s="4">
        <v>1</v>
      </c>
      <c r="E2029" s="4">
        <v>1</v>
      </c>
      <c r="F2029" s="4" t="s">
        <v>268</v>
      </c>
      <c r="G2029" s="4" t="s">
        <v>241</v>
      </c>
      <c r="H2029" s="4" t="s">
        <v>241</v>
      </c>
      <c r="I2029" s="4" t="s">
        <v>424</v>
      </c>
      <c r="J2029" s="4" t="s">
        <v>274</v>
      </c>
      <c r="K2029" s="4" t="s">
        <v>251</v>
      </c>
      <c r="L2029" s="4" t="s">
        <v>423</v>
      </c>
      <c r="M2029" s="5" t="s">
        <v>3470</v>
      </c>
      <c r="N2029" s="6">
        <f>1762</f>
        <v>1762</v>
      </c>
      <c r="O2029" s="4" t="s">
        <v>265</v>
      </c>
      <c r="P2029" s="6">
        <f>1</f>
        <v>1</v>
      </c>
      <c r="Q2029" s="6">
        <f>0</f>
        <v>0</v>
      </c>
      <c r="S2029" s="6">
        <f>0</f>
        <v>0</v>
      </c>
      <c r="T2029" s="6">
        <f>1</f>
        <v>1</v>
      </c>
      <c r="U2029" s="5" t="s">
        <v>245</v>
      </c>
      <c r="V2029" s="4" t="s">
        <v>270</v>
      </c>
      <c r="W2029" s="4" t="s">
        <v>271</v>
      </c>
      <c r="X2029" s="4" t="s">
        <v>273</v>
      </c>
      <c r="Y2029" s="4" t="s">
        <v>241</v>
      </c>
      <c r="AB2029" s="4" t="s">
        <v>241</v>
      </c>
      <c r="AD2029" s="5" t="s">
        <v>241</v>
      </c>
      <c r="AG2029" s="5" t="s">
        <v>246</v>
      </c>
      <c r="AH2029" s="4" t="s">
        <v>241</v>
      </c>
      <c r="AI2029" s="4" t="s">
        <v>247</v>
      </c>
      <c r="AJ2029" s="4" t="s">
        <v>248</v>
      </c>
      <c r="AZ2029" s="4" t="s">
        <v>249</v>
      </c>
      <c r="BA2029" s="4" t="s">
        <v>241</v>
      </c>
      <c r="BB2029" s="4" t="s">
        <v>250</v>
      </c>
      <c r="BC2029" s="4" t="s">
        <v>241</v>
      </c>
      <c r="BD2029" s="4" t="s">
        <v>252</v>
      </c>
      <c r="BE2029" s="4" t="s">
        <v>241</v>
      </c>
      <c r="BI2029" s="4" t="s">
        <v>253</v>
      </c>
      <c r="BJ2029" s="5" t="s">
        <v>246</v>
      </c>
      <c r="BK2029" s="4" t="s">
        <v>254</v>
      </c>
      <c r="BL2029" s="4" t="s">
        <v>255</v>
      </c>
      <c r="BM2029" s="4" t="s">
        <v>241</v>
      </c>
      <c r="BN2029" s="6">
        <f>0</f>
        <v>0</v>
      </c>
      <c r="BO2029" s="6">
        <f>0</f>
        <v>0</v>
      </c>
      <c r="BP2029" s="4" t="s">
        <v>256</v>
      </c>
      <c r="BQ2029" s="4" t="s">
        <v>257</v>
      </c>
      <c r="CE2029" s="4" t="s">
        <v>241</v>
      </c>
      <c r="CF2029" s="4" t="s">
        <v>241</v>
      </c>
      <c r="CJ2029" s="4" t="s">
        <v>276</v>
      </c>
      <c r="CK2029" s="4" t="s">
        <v>259</v>
      </c>
      <c r="CL2029" s="4" t="s">
        <v>241</v>
      </c>
      <c r="CO2029" s="5" t="s">
        <v>260</v>
      </c>
      <c r="CP2029" s="4" t="s">
        <v>241</v>
      </c>
      <c r="CQ2029" s="4" t="s">
        <v>261</v>
      </c>
      <c r="CR2029" s="4" t="s">
        <v>241</v>
      </c>
      <c r="CS2029" s="4" t="s">
        <v>241</v>
      </c>
      <c r="CT2029" s="4">
        <v>0</v>
      </c>
      <c r="CU2029" s="4" t="s">
        <v>262</v>
      </c>
      <c r="CV2029" s="4" t="s">
        <v>263</v>
      </c>
      <c r="CW2029" s="4" t="s">
        <v>263</v>
      </c>
      <c r="CX2029" s="4" t="s">
        <v>264</v>
      </c>
      <c r="DA2029" s="6">
        <f>1</f>
        <v>1</v>
      </c>
      <c r="DC2029" s="4" t="s">
        <v>325</v>
      </c>
      <c r="DD2029" s="4" t="s">
        <v>241</v>
      </c>
      <c r="DF2029" s="4" t="s">
        <v>325</v>
      </c>
      <c r="DG2029" s="6">
        <f>1762</f>
        <v>1762</v>
      </c>
      <c r="DI2029" s="4" t="s">
        <v>241</v>
      </c>
      <c r="DJ2029" s="4" t="s">
        <v>241</v>
      </c>
      <c r="DK2029" s="4" t="s">
        <v>241</v>
      </c>
      <c r="DL2029" s="4" t="s">
        <v>241</v>
      </c>
      <c r="DP2029" s="4" t="s">
        <v>241</v>
      </c>
      <c r="DQ2029" s="4" t="s">
        <v>241</v>
      </c>
      <c r="DR2029" s="4" t="s">
        <v>241</v>
      </c>
      <c r="DS2029" s="4" t="s">
        <v>241</v>
      </c>
      <c r="DV2029" s="4" t="s">
        <v>426</v>
      </c>
      <c r="DW2029" s="4" t="s">
        <v>2174</v>
      </c>
      <c r="HO2029" s="4" t="s">
        <v>267</v>
      </c>
    </row>
    <row r="2030" spans="1:223" ht="19.5" customHeight="1" x14ac:dyDescent="0.4">
      <c r="A2030" s="4">
        <v>1</v>
      </c>
      <c r="B2030" s="4" t="s">
        <v>239</v>
      </c>
      <c r="C2030" s="4">
        <v>3733</v>
      </c>
      <c r="D2030" s="4">
        <v>1</v>
      </c>
      <c r="E2030" s="4">
        <v>1</v>
      </c>
      <c r="F2030" s="4" t="s">
        <v>268</v>
      </c>
      <c r="G2030" s="4" t="s">
        <v>241</v>
      </c>
      <c r="H2030" s="4" t="s">
        <v>241</v>
      </c>
      <c r="I2030" s="4" t="s">
        <v>424</v>
      </c>
      <c r="J2030" s="4" t="s">
        <v>274</v>
      </c>
      <c r="K2030" s="4" t="s">
        <v>251</v>
      </c>
      <c r="L2030" s="4" t="s">
        <v>423</v>
      </c>
      <c r="M2030" s="5" t="s">
        <v>3987</v>
      </c>
      <c r="N2030" s="6">
        <f>1606</f>
        <v>1606</v>
      </c>
      <c r="O2030" s="4" t="s">
        <v>265</v>
      </c>
      <c r="P2030" s="6">
        <f>1</f>
        <v>1</v>
      </c>
      <c r="Q2030" s="6">
        <f>0</f>
        <v>0</v>
      </c>
      <c r="S2030" s="6">
        <f>0</f>
        <v>0</v>
      </c>
      <c r="T2030" s="6">
        <f>1</f>
        <v>1</v>
      </c>
      <c r="U2030" s="5" t="s">
        <v>245</v>
      </c>
      <c r="V2030" s="4" t="s">
        <v>270</v>
      </c>
      <c r="W2030" s="4" t="s">
        <v>271</v>
      </c>
      <c r="X2030" s="4" t="s">
        <v>273</v>
      </c>
      <c r="Y2030" s="4" t="s">
        <v>241</v>
      </c>
      <c r="AB2030" s="4" t="s">
        <v>241</v>
      </c>
      <c r="AD2030" s="5" t="s">
        <v>241</v>
      </c>
      <c r="AG2030" s="5" t="s">
        <v>246</v>
      </c>
      <c r="AH2030" s="4" t="s">
        <v>241</v>
      </c>
      <c r="AI2030" s="4" t="s">
        <v>247</v>
      </c>
      <c r="AJ2030" s="4" t="s">
        <v>248</v>
      </c>
      <c r="AZ2030" s="4" t="s">
        <v>249</v>
      </c>
      <c r="BA2030" s="4" t="s">
        <v>241</v>
      </c>
      <c r="BB2030" s="4" t="s">
        <v>250</v>
      </c>
      <c r="BC2030" s="4" t="s">
        <v>241</v>
      </c>
      <c r="BD2030" s="4" t="s">
        <v>252</v>
      </c>
      <c r="BE2030" s="4" t="s">
        <v>241</v>
      </c>
      <c r="BI2030" s="4" t="s">
        <v>253</v>
      </c>
      <c r="BJ2030" s="5" t="s">
        <v>246</v>
      </c>
      <c r="BK2030" s="4" t="s">
        <v>254</v>
      </c>
      <c r="BL2030" s="4" t="s">
        <v>255</v>
      </c>
      <c r="BM2030" s="4" t="s">
        <v>241</v>
      </c>
      <c r="BN2030" s="6">
        <f>0</f>
        <v>0</v>
      </c>
      <c r="BO2030" s="6">
        <f>0</f>
        <v>0</v>
      </c>
      <c r="BP2030" s="4" t="s">
        <v>256</v>
      </c>
      <c r="BQ2030" s="4" t="s">
        <v>257</v>
      </c>
      <c r="CE2030" s="4" t="s">
        <v>241</v>
      </c>
      <c r="CF2030" s="4" t="s">
        <v>241</v>
      </c>
      <c r="CJ2030" s="4" t="s">
        <v>276</v>
      </c>
      <c r="CK2030" s="4" t="s">
        <v>259</v>
      </c>
      <c r="CL2030" s="4" t="s">
        <v>241</v>
      </c>
      <c r="CO2030" s="5" t="s">
        <v>260</v>
      </c>
      <c r="CP2030" s="4" t="s">
        <v>241</v>
      </c>
      <c r="CQ2030" s="4" t="s">
        <v>261</v>
      </c>
      <c r="CR2030" s="4" t="s">
        <v>241</v>
      </c>
      <c r="CS2030" s="4" t="s">
        <v>241</v>
      </c>
      <c r="CT2030" s="4">
        <v>0</v>
      </c>
      <c r="CU2030" s="4" t="s">
        <v>262</v>
      </c>
      <c r="CV2030" s="4" t="s">
        <v>263</v>
      </c>
      <c r="CW2030" s="4" t="s">
        <v>263</v>
      </c>
      <c r="CX2030" s="4" t="s">
        <v>264</v>
      </c>
      <c r="DA2030" s="6">
        <f>1</f>
        <v>1</v>
      </c>
      <c r="DC2030" s="4" t="s">
        <v>325</v>
      </c>
      <c r="DD2030" s="4" t="s">
        <v>241</v>
      </c>
      <c r="DF2030" s="4" t="s">
        <v>325</v>
      </c>
      <c r="DG2030" s="6">
        <f>1606</f>
        <v>1606</v>
      </c>
      <c r="DI2030" s="4" t="s">
        <v>241</v>
      </c>
      <c r="DJ2030" s="4" t="s">
        <v>241</v>
      </c>
      <c r="DK2030" s="4" t="s">
        <v>241</v>
      </c>
      <c r="DL2030" s="4" t="s">
        <v>241</v>
      </c>
      <c r="DP2030" s="4" t="s">
        <v>241</v>
      </c>
      <c r="DQ2030" s="4" t="s">
        <v>241</v>
      </c>
      <c r="DR2030" s="4" t="s">
        <v>241</v>
      </c>
      <c r="DS2030" s="4" t="s">
        <v>241</v>
      </c>
      <c r="DV2030" s="4" t="s">
        <v>426</v>
      </c>
      <c r="DW2030" s="4" t="s">
        <v>1649</v>
      </c>
      <c r="HO2030" s="4" t="s">
        <v>267</v>
      </c>
    </row>
    <row r="2031" spans="1:223" ht="19.5" customHeight="1" x14ac:dyDescent="0.4">
      <c r="A2031" s="4">
        <v>1</v>
      </c>
      <c r="B2031" s="4" t="s">
        <v>239</v>
      </c>
      <c r="C2031" s="4">
        <v>3734</v>
      </c>
      <c r="D2031" s="4">
        <v>1</v>
      </c>
      <c r="E2031" s="4">
        <v>1</v>
      </c>
      <c r="F2031" s="4" t="s">
        <v>268</v>
      </c>
      <c r="G2031" s="4" t="s">
        <v>241</v>
      </c>
      <c r="H2031" s="4" t="s">
        <v>241</v>
      </c>
      <c r="I2031" s="4" t="s">
        <v>424</v>
      </c>
      <c r="J2031" s="4" t="s">
        <v>274</v>
      </c>
      <c r="K2031" s="4" t="s">
        <v>251</v>
      </c>
      <c r="L2031" s="4" t="s">
        <v>423</v>
      </c>
      <c r="M2031" s="5" t="s">
        <v>3990</v>
      </c>
      <c r="N2031" s="6">
        <f>1804</f>
        <v>1804</v>
      </c>
      <c r="O2031" s="4" t="s">
        <v>265</v>
      </c>
      <c r="P2031" s="6">
        <f>1</f>
        <v>1</v>
      </c>
      <c r="Q2031" s="6">
        <f>0</f>
        <v>0</v>
      </c>
      <c r="S2031" s="6">
        <f>0</f>
        <v>0</v>
      </c>
      <c r="T2031" s="6">
        <f>1</f>
        <v>1</v>
      </c>
      <c r="U2031" s="5" t="s">
        <v>245</v>
      </c>
      <c r="V2031" s="4" t="s">
        <v>270</v>
      </c>
      <c r="W2031" s="4" t="s">
        <v>271</v>
      </c>
      <c r="X2031" s="4" t="s">
        <v>273</v>
      </c>
      <c r="Y2031" s="4" t="s">
        <v>241</v>
      </c>
      <c r="AB2031" s="4" t="s">
        <v>241</v>
      </c>
      <c r="AD2031" s="5" t="s">
        <v>241</v>
      </c>
      <c r="AG2031" s="5" t="s">
        <v>246</v>
      </c>
      <c r="AH2031" s="4" t="s">
        <v>241</v>
      </c>
      <c r="AI2031" s="4" t="s">
        <v>247</v>
      </c>
      <c r="AJ2031" s="4" t="s">
        <v>248</v>
      </c>
      <c r="AZ2031" s="4" t="s">
        <v>249</v>
      </c>
      <c r="BA2031" s="4" t="s">
        <v>241</v>
      </c>
      <c r="BB2031" s="4" t="s">
        <v>250</v>
      </c>
      <c r="BC2031" s="4" t="s">
        <v>241</v>
      </c>
      <c r="BD2031" s="4" t="s">
        <v>252</v>
      </c>
      <c r="BE2031" s="4" t="s">
        <v>241</v>
      </c>
      <c r="BI2031" s="4" t="s">
        <v>253</v>
      </c>
      <c r="BJ2031" s="5" t="s">
        <v>246</v>
      </c>
      <c r="BK2031" s="4" t="s">
        <v>254</v>
      </c>
      <c r="BL2031" s="4" t="s">
        <v>255</v>
      </c>
      <c r="BM2031" s="4" t="s">
        <v>241</v>
      </c>
      <c r="BN2031" s="6">
        <f>0</f>
        <v>0</v>
      </c>
      <c r="BO2031" s="6">
        <f>0</f>
        <v>0</v>
      </c>
      <c r="BP2031" s="4" t="s">
        <v>256</v>
      </c>
      <c r="BQ2031" s="4" t="s">
        <v>257</v>
      </c>
      <c r="CE2031" s="4" t="s">
        <v>241</v>
      </c>
      <c r="CF2031" s="4" t="s">
        <v>241</v>
      </c>
      <c r="CJ2031" s="4" t="s">
        <v>276</v>
      </c>
      <c r="CK2031" s="4" t="s">
        <v>259</v>
      </c>
      <c r="CL2031" s="4" t="s">
        <v>241</v>
      </c>
      <c r="CO2031" s="5" t="s">
        <v>260</v>
      </c>
      <c r="CP2031" s="4" t="s">
        <v>241</v>
      </c>
      <c r="CQ2031" s="4" t="s">
        <v>261</v>
      </c>
      <c r="CR2031" s="4" t="s">
        <v>241</v>
      </c>
      <c r="CS2031" s="4" t="s">
        <v>241</v>
      </c>
      <c r="CT2031" s="4">
        <v>0</v>
      </c>
      <c r="CU2031" s="4" t="s">
        <v>262</v>
      </c>
      <c r="CV2031" s="4" t="s">
        <v>263</v>
      </c>
      <c r="CW2031" s="4" t="s">
        <v>263</v>
      </c>
      <c r="CX2031" s="4" t="s">
        <v>264</v>
      </c>
      <c r="DA2031" s="6">
        <f>1</f>
        <v>1</v>
      </c>
      <c r="DC2031" s="4" t="s">
        <v>325</v>
      </c>
      <c r="DD2031" s="4" t="s">
        <v>241</v>
      </c>
      <c r="DF2031" s="4" t="s">
        <v>325</v>
      </c>
      <c r="DG2031" s="6">
        <f>1804</f>
        <v>1804</v>
      </c>
      <c r="DI2031" s="4" t="s">
        <v>241</v>
      </c>
      <c r="DJ2031" s="4" t="s">
        <v>241</v>
      </c>
      <c r="DK2031" s="4" t="s">
        <v>241</v>
      </c>
      <c r="DL2031" s="4" t="s">
        <v>241</v>
      </c>
      <c r="DP2031" s="4" t="s">
        <v>241</v>
      </c>
      <c r="DQ2031" s="4" t="s">
        <v>241</v>
      </c>
      <c r="DR2031" s="4" t="s">
        <v>241</v>
      </c>
      <c r="DS2031" s="4" t="s">
        <v>241</v>
      </c>
      <c r="DV2031" s="4" t="s">
        <v>426</v>
      </c>
      <c r="DW2031" s="4" t="s">
        <v>1647</v>
      </c>
      <c r="HO2031" s="4" t="s">
        <v>267</v>
      </c>
    </row>
    <row r="2032" spans="1:223" ht="19.5" customHeight="1" x14ac:dyDescent="0.4">
      <c r="A2032" s="4">
        <v>1</v>
      </c>
      <c r="B2032" s="4" t="s">
        <v>239</v>
      </c>
      <c r="C2032" s="4">
        <v>3735</v>
      </c>
      <c r="D2032" s="4">
        <v>1</v>
      </c>
      <c r="E2032" s="4">
        <v>1</v>
      </c>
      <c r="F2032" s="4" t="s">
        <v>268</v>
      </c>
      <c r="G2032" s="4" t="s">
        <v>241</v>
      </c>
      <c r="H2032" s="4" t="s">
        <v>241</v>
      </c>
      <c r="I2032" s="4" t="s">
        <v>424</v>
      </c>
      <c r="J2032" s="4" t="s">
        <v>274</v>
      </c>
      <c r="K2032" s="4" t="s">
        <v>251</v>
      </c>
      <c r="L2032" s="4" t="s">
        <v>423</v>
      </c>
      <c r="M2032" s="5" t="s">
        <v>3991</v>
      </c>
      <c r="N2032" s="6">
        <f>2052</f>
        <v>2052</v>
      </c>
      <c r="O2032" s="4" t="s">
        <v>265</v>
      </c>
      <c r="P2032" s="6">
        <f>1</f>
        <v>1</v>
      </c>
      <c r="Q2032" s="6">
        <f>0</f>
        <v>0</v>
      </c>
      <c r="S2032" s="6">
        <f>0</f>
        <v>0</v>
      </c>
      <c r="T2032" s="6">
        <f>1</f>
        <v>1</v>
      </c>
      <c r="U2032" s="5" t="s">
        <v>245</v>
      </c>
      <c r="V2032" s="4" t="s">
        <v>270</v>
      </c>
      <c r="W2032" s="4" t="s">
        <v>271</v>
      </c>
      <c r="X2032" s="4" t="s">
        <v>273</v>
      </c>
      <c r="Y2032" s="4" t="s">
        <v>241</v>
      </c>
      <c r="AB2032" s="4" t="s">
        <v>241</v>
      </c>
      <c r="AD2032" s="5" t="s">
        <v>241</v>
      </c>
      <c r="AG2032" s="5" t="s">
        <v>246</v>
      </c>
      <c r="AH2032" s="4" t="s">
        <v>241</v>
      </c>
      <c r="AI2032" s="4" t="s">
        <v>247</v>
      </c>
      <c r="AJ2032" s="4" t="s">
        <v>248</v>
      </c>
      <c r="AZ2032" s="4" t="s">
        <v>249</v>
      </c>
      <c r="BA2032" s="4" t="s">
        <v>241</v>
      </c>
      <c r="BB2032" s="4" t="s">
        <v>250</v>
      </c>
      <c r="BC2032" s="4" t="s">
        <v>241</v>
      </c>
      <c r="BD2032" s="4" t="s">
        <v>252</v>
      </c>
      <c r="BE2032" s="4" t="s">
        <v>241</v>
      </c>
      <c r="BI2032" s="4" t="s">
        <v>253</v>
      </c>
      <c r="BJ2032" s="5" t="s">
        <v>246</v>
      </c>
      <c r="BK2032" s="4" t="s">
        <v>254</v>
      </c>
      <c r="BL2032" s="4" t="s">
        <v>255</v>
      </c>
      <c r="BM2032" s="4" t="s">
        <v>241</v>
      </c>
      <c r="BN2032" s="6">
        <f>0</f>
        <v>0</v>
      </c>
      <c r="BO2032" s="6">
        <f>0</f>
        <v>0</v>
      </c>
      <c r="BP2032" s="4" t="s">
        <v>256</v>
      </c>
      <c r="BQ2032" s="4" t="s">
        <v>257</v>
      </c>
      <c r="CE2032" s="4" t="s">
        <v>241</v>
      </c>
      <c r="CF2032" s="4" t="s">
        <v>241</v>
      </c>
      <c r="CJ2032" s="4" t="s">
        <v>276</v>
      </c>
      <c r="CK2032" s="4" t="s">
        <v>259</v>
      </c>
      <c r="CL2032" s="4" t="s">
        <v>241</v>
      </c>
      <c r="CO2032" s="5" t="s">
        <v>260</v>
      </c>
      <c r="CP2032" s="4" t="s">
        <v>241</v>
      </c>
      <c r="CQ2032" s="4" t="s">
        <v>261</v>
      </c>
      <c r="CR2032" s="4" t="s">
        <v>241</v>
      </c>
      <c r="CS2032" s="4" t="s">
        <v>241</v>
      </c>
      <c r="CT2032" s="4">
        <v>0</v>
      </c>
      <c r="CU2032" s="4" t="s">
        <v>262</v>
      </c>
      <c r="CV2032" s="4" t="s">
        <v>263</v>
      </c>
      <c r="CW2032" s="4" t="s">
        <v>263</v>
      </c>
      <c r="CX2032" s="4" t="s">
        <v>264</v>
      </c>
      <c r="DA2032" s="6">
        <f>1</f>
        <v>1</v>
      </c>
      <c r="DC2032" s="4" t="s">
        <v>325</v>
      </c>
      <c r="DD2032" s="4" t="s">
        <v>241</v>
      </c>
      <c r="DF2032" s="4" t="s">
        <v>325</v>
      </c>
      <c r="DG2032" s="6">
        <f>2052</f>
        <v>2052</v>
      </c>
      <c r="DI2032" s="4" t="s">
        <v>241</v>
      </c>
      <c r="DJ2032" s="4" t="s">
        <v>241</v>
      </c>
      <c r="DK2032" s="4" t="s">
        <v>241</v>
      </c>
      <c r="DL2032" s="4" t="s">
        <v>241</v>
      </c>
      <c r="DP2032" s="4" t="s">
        <v>241</v>
      </c>
      <c r="DQ2032" s="4" t="s">
        <v>241</v>
      </c>
      <c r="DR2032" s="4" t="s">
        <v>241</v>
      </c>
      <c r="DS2032" s="4" t="s">
        <v>241</v>
      </c>
      <c r="DV2032" s="4" t="s">
        <v>426</v>
      </c>
      <c r="DW2032" s="4" t="s">
        <v>2767</v>
      </c>
      <c r="HO2032" s="4" t="s">
        <v>267</v>
      </c>
    </row>
    <row r="2033" spans="1:223" ht="19.5" customHeight="1" x14ac:dyDescent="0.4">
      <c r="A2033" s="4">
        <v>1</v>
      </c>
      <c r="B2033" s="4" t="s">
        <v>239</v>
      </c>
      <c r="C2033" s="4">
        <v>3736</v>
      </c>
      <c r="D2033" s="4">
        <v>1</v>
      </c>
      <c r="E2033" s="4">
        <v>1</v>
      </c>
      <c r="F2033" s="4" t="s">
        <v>268</v>
      </c>
      <c r="G2033" s="4" t="s">
        <v>241</v>
      </c>
      <c r="H2033" s="4" t="s">
        <v>241</v>
      </c>
      <c r="I2033" s="4" t="s">
        <v>424</v>
      </c>
      <c r="J2033" s="4" t="s">
        <v>274</v>
      </c>
      <c r="K2033" s="4" t="s">
        <v>251</v>
      </c>
      <c r="L2033" s="4" t="s">
        <v>423</v>
      </c>
      <c r="M2033" s="5" t="s">
        <v>3993</v>
      </c>
      <c r="N2033" s="6">
        <f>1242</f>
        <v>1242</v>
      </c>
      <c r="O2033" s="4" t="s">
        <v>265</v>
      </c>
      <c r="P2033" s="6">
        <f>1</f>
        <v>1</v>
      </c>
      <c r="Q2033" s="6">
        <f>0</f>
        <v>0</v>
      </c>
      <c r="S2033" s="6">
        <f>0</f>
        <v>0</v>
      </c>
      <c r="T2033" s="6">
        <f>1</f>
        <v>1</v>
      </c>
      <c r="U2033" s="5" t="s">
        <v>245</v>
      </c>
      <c r="V2033" s="4" t="s">
        <v>270</v>
      </c>
      <c r="W2033" s="4" t="s">
        <v>271</v>
      </c>
      <c r="X2033" s="4" t="s">
        <v>273</v>
      </c>
      <c r="Y2033" s="4" t="s">
        <v>241</v>
      </c>
      <c r="AB2033" s="4" t="s">
        <v>241</v>
      </c>
      <c r="AD2033" s="5" t="s">
        <v>241</v>
      </c>
      <c r="AG2033" s="5" t="s">
        <v>246</v>
      </c>
      <c r="AH2033" s="4" t="s">
        <v>241</v>
      </c>
      <c r="AI2033" s="4" t="s">
        <v>247</v>
      </c>
      <c r="AJ2033" s="4" t="s">
        <v>248</v>
      </c>
      <c r="AZ2033" s="4" t="s">
        <v>249</v>
      </c>
      <c r="BA2033" s="4" t="s">
        <v>241</v>
      </c>
      <c r="BB2033" s="4" t="s">
        <v>250</v>
      </c>
      <c r="BC2033" s="4" t="s">
        <v>241</v>
      </c>
      <c r="BD2033" s="4" t="s">
        <v>252</v>
      </c>
      <c r="BE2033" s="4" t="s">
        <v>241</v>
      </c>
      <c r="BI2033" s="4" t="s">
        <v>253</v>
      </c>
      <c r="BJ2033" s="5" t="s">
        <v>246</v>
      </c>
      <c r="BK2033" s="4" t="s">
        <v>254</v>
      </c>
      <c r="BL2033" s="4" t="s">
        <v>255</v>
      </c>
      <c r="BM2033" s="4" t="s">
        <v>241</v>
      </c>
      <c r="BN2033" s="6">
        <f>0</f>
        <v>0</v>
      </c>
      <c r="BO2033" s="6">
        <f>0</f>
        <v>0</v>
      </c>
      <c r="BP2033" s="4" t="s">
        <v>256</v>
      </c>
      <c r="BQ2033" s="4" t="s">
        <v>257</v>
      </c>
      <c r="CE2033" s="4" t="s">
        <v>241</v>
      </c>
      <c r="CF2033" s="4" t="s">
        <v>241</v>
      </c>
      <c r="CJ2033" s="4" t="s">
        <v>276</v>
      </c>
      <c r="CK2033" s="4" t="s">
        <v>259</v>
      </c>
      <c r="CL2033" s="4" t="s">
        <v>241</v>
      </c>
      <c r="CO2033" s="5" t="s">
        <v>260</v>
      </c>
      <c r="CP2033" s="4" t="s">
        <v>241</v>
      </c>
      <c r="CQ2033" s="4" t="s">
        <v>261</v>
      </c>
      <c r="CR2033" s="4" t="s">
        <v>241</v>
      </c>
      <c r="CS2033" s="4" t="s">
        <v>241</v>
      </c>
      <c r="CT2033" s="4">
        <v>0</v>
      </c>
      <c r="CU2033" s="4" t="s">
        <v>262</v>
      </c>
      <c r="CV2033" s="4" t="s">
        <v>263</v>
      </c>
      <c r="CW2033" s="4" t="s">
        <v>263</v>
      </c>
      <c r="CX2033" s="4" t="s">
        <v>264</v>
      </c>
      <c r="DA2033" s="6">
        <f>1</f>
        <v>1</v>
      </c>
      <c r="DC2033" s="4" t="s">
        <v>325</v>
      </c>
      <c r="DD2033" s="4" t="s">
        <v>241</v>
      </c>
      <c r="DF2033" s="4" t="s">
        <v>325</v>
      </c>
      <c r="DG2033" s="6">
        <f>1242</f>
        <v>1242</v>
      </c>
      <c r="DI2033" s="4" t="s">
        <v>241</v>
      </c>
      <c r="DJ2033" s="4" t="s">
        <v>241</v>
      </c>
      <c r="DK2033" s="4" t="s">
        <v>241</v>
      </c>
      <c r="DL2033" s="4" t="s">
        <v>241</v>
      </c>
      <c r="DP2033" s="4" t="s">
        <v>241</v>
      </c>
      <c r="DQ2033" s="4" t="s">
        <v>241</v>
      </c>
      <c r="DR2033" s="4" t="s">
        <v>241</v>
      </c>
      <c r="DS2033" s="4" t="s">
        <v>241</v>
      </c>
      <c r="DV2033" s="4" t="s">
        <v>426</v>
      </c>
      <c r="DW2033" s="4" t="s">
        <v>1645</v>
      </c>
      <c r="HO2033" s="4" t="s">
        <v>267</v>
      </c>
    </row>
    <row r="2034" spans="1:223" ht="19.5" customHeight="1" x14ac:dyDescent="0.4">
      <c r="A2034" s="4">
        <v>1</v>
      </c>
      <c r="B2034" s="4" t="s">
        <v>239</v>
      </c>
      <c r="C2034" s="4">
        <v>3737</v>
      </c>
      <c r="D2034" s="4">
        <v>1</v>
      </c>
      <c r="E2034" s="4">
        <v>1</v>
      </c>
      <c r="F2034" s="4" t="s">
        <v>268</v>
      </c>
      <c r="G2034" s="4" t="s">
        <v>241</v>
      </c>
      <c r="H2034" s="4" t="s">
        <v>241</v>
      </c>
      <c r="I2034" s="4" t="s">
        <v>424</v>
      </c>
      <c r="J2034" s="4" t="s">
        <v>274</v>
      </c>
      <c r="K2034" s="4" t="s">
        <v>251</v>
      </c>
      <c r="L2034" s="4" t="s">
        <v>423</v>
      </c>
      <c r="M2034" s="5" t="s">
        <v>3994</v>
      </c>
      <c r="N2034" s="6">
        <f>1308</f>
        <v>1308</v>
      </c>
      <c r="O2034" s="4" t="s">
        <v>265</v>
      </c>
      <c r="P2034" s="6">
        <f>1</f>
        <v>1</v>
      </c>
      <c r="Q2034" s="6">
        <f>0</f>
        <v>0</v>
      </c>
      <c r="S2034" s="6">
        <f>0</f>
        <v>0</v>
      </c>
      <c r="T2034" s="6">
        <f>1</f>
        <v>1</v>
      </c>
      <c r="U2034" s="5" t="s">
        <v>245</v>
      </c>
      <c r="V2034" s="4" t="s">
        <v>270</v>
      </c>
      <c r="W2034" s="4" t="s">
        <v>271</v>
      </c>
      <c r="X2034" s="4" t="s">
        <v>273</v>
      </c>
      <c r="Y2034" s="4" t="s">
        <v>241</v>
      </c>
      <c r="AB2034" s="4" t="s">
        <v>241</v>
      </c>
      <c r="AD2034" s="5" t="s">
        <v>241</v>
      </c>
      <c r="AG2034" s="5" t="s">
        <v>246</v>
      </c>
      <c r="AH2034" s="4" t="s">
        <v>241</v>
      </c>
      <c r="AI2034" s="4" t="s">
        <v>247</v>
      </c>
      <c r="AJ2034" s="4" t="s">
        <v>248</v>
      </c>
      <c r="AZ2034" s="4" t="s">
        <v>249</v>
      </c>
      <c r="BA2034" s="4" t="s">
        <v>241</v>
      </c>
      <c r="BB2034" s="4" t="s">
        <v>250</v>
      </c>
      <c r="BC2034" s="4" t="s">
        <v>241</v>
      </c>
      <c r="BD2034" s="4" t="s">
        <v>252</v>
      </c>
      <c r="BE2034" s="4" t="s">
        <v>241</v>
      </c>
      <c r="BI2034" s="4" t="s">
        <v>253</v>
      </c>
      <c r="BJ2034" s="5" t="s">
        <v>246</v>
      </c>
      <c r="BK2034" s="4" t="s">
        <v>254</v>
      </c>
      <c r="BL2034" s="4" t="s">
        <v>255</v>
      </c>
      <c r="BM2034" s="4" t="s">
        <v>241</v>
      </c>
      <c r="BN2034" s="6">
        <f>0</f>
        <v>0</v>
      </c>
      <c r="BO2034" s="6">
        <f>0</f>
        <v>0</v>
      </c>
      <c r="BP2034" s="4" t="s">
        <v>256</v>
      </c>
      <c r="BQ2034" s="4" t="s">
        <v>257</v>
      </c>
      <c r="CE2034" s="4" t="s">
        <v>241</v>
      </c>
      <c r="CF2034" s="4" t="s">
        <v>241</v>
      </c>
      <c r="CJ2034" s="4" t="s">
        <v>276</v>
      </c>
      <c r="CK2034" s="4" t="s">
        <v>259</v>
      </c>
      <c r="CL2034" s="4" t="s">
        <v>241</v>
      </c>
      <c r="CO2034" s="5" t="s">
        <v>260</v>
      </c>
      <c r="CP2034" s="4" t="s">
        <v>241</v>
      </c>
      <c r="CQ2034" s="4" t="s">
        <v>261</v>
      </c>
      <c r="CR2034" s="4" t="s">
        <v>241</v>
      </c>
      <c r="CS2034" s="4" t="s">
        <v>241</v>
      </c>
      <c r="CT2034" s="4">
        <v>0</v>
      </c>
      <c r="CU2034" s="4" t="s">
        <v>262</v>
      </c>
      <c r="CV2034" s="4" t="s">
        <v>263</v>
      </c>
      <c r="CW2034" s="4" t="s">
        <v>263</v>
      </c>
      <c r="CX2034" s="4" t="s">
        <v>264</v>
      </c>
      <c r="DA2034" s="6">
        <f>1</f>
        <v>1</v>
      </c>
      <c r="DC2034" s="4" t="s">
        <v>325</v>
      </c>
      <c r="DD2034" s="4" t="s">
        <v>241</v>
      </c>
      <c r="DF2034" s="4" t="s">
        <v>325</v>
      </c>
      <c r="DG2034" s="6">
        <f>1308</f>
        <v>1308</v>
      </c>
      <c r="DI2034" s="4" t="s">
        <v>241</v>
      </c>
      <c r="DJ2034" s="4" t="s">
        <v>241</v>
      </c>
      <c r="DK2034" s="4" t="s">
        <v>241</v>
      </c>
      <c r="DL2034" s="4" t="s">
        <v>241</v>
      </c>
      <c r="DP2034" s="4" t="s">
        <v>241</v>
      </c>
      <c r="DQ2034" s="4" t="s">
        <v>241</v>
      </c>
      <c r="DR2034" s="4" t="s">
        <v>241</v>
      </c>
      <c r="DS2034" s="4" t="s">
        <v>241</v>
      </c>
      <c r="DV2034" s="4" t="s">
        <v>426</v>
      </c>
      <c r="DW2034" s="4" t="s">
        <v>1643</v>
      </c>
      <c r="HO2034" s="4" t="s">
        <v>267</v>
      </c>
    </row>
    <row r="2035" spans="1:223" ht="19.5" customHeight="1" x14ac:dyDescent="0.4">
      <c r="A2035" s="4">
        <v>1</v>
      </c>
      <c r="B2035" s="4" t="s">
        <v>239</v>
      </c>
      <c r="C2035" s="4">
        <v>3738</v>
      </c>
      <c r="D2035" s="4">
        <v>1</v>
      </c>
      <c r="E2035" s="4">
        <v>1</v>
      </c>
      <c r="F2035" s="4" t="s">
        <v>268</v>
      </c>
      <c r="G2035" s="4" t="s">
        <v>241</v>
      </c>
      <c r="H2035" s="4" t="s">
        <v>241</v>
      </c>
      <c r="I2035" s="4" t="s">
        <v>424</v>
      </c>
      <c r="J2035" s="4" t="s">
        <v>274</v>
      </c>
      <c r="K2035" s="4" t="s">
        <v>251</v>
      </c>
      <c r="L2035" s="4" t="s">
        <v>423</v>
      </c>
      <c r="M2035" s="5" t="s">
        <v>4924</v>
      </c>
      <c r="N2035" s="6">
        <f>1239</f>
        <v>1239</v>
      </c>
      <c r="O2035" s="4" t="s">
        <v>265</v>
      </c>
      <c r="P2035" s="6">
        <f>1</f>
        <v>1</v>
      </c>
      <c r="Q2035" s="6">
        <f>0</f>
        <v>0</v>
      </c>
      <c r="S2035" s="6">
        <f>0</f>
        <v>0</v>
      </c>
      <c r="T2035" s="6">
        <f>1</f>
        <v>1</v>
      </c>
      <c r="U2035" s="5" t="s">
        <v>245</v>
      </c>
      <c r="V2035" s="4" t="s">
        <v>270</v>
      </c>
      <c r="W2035" s="4" t="s">
        <v>271</v>
      </c>
      <c r="X2035" s="4" t="s">
        <v>273</v>
      </c>
      <c r="Y2035" s="4" t="s">
        <v>241</v>
      </c>
      <c r="AB2035" s="4" t="s">
        <v>241</v>
      </c>
      <c r="AD2035" s="5" t="s">
        <v>241</v>
      </c>
      <c r="AG2035" s="5" t="s">
        <v>246</v>
      </c>
      <c r="AH2035" s="4" t="s">
        <v>241</v>
      </c>
      <c r="AI2035" s="4" t="s">
        <v>247</v>
      </c>
      <c r="AJ2035" s="4" t="s">
        <v>248</v>
      </c>
      <c r="AZ2035" s="4" t="s">
        <v>249</v>
      </c>
      <c r="BA2035" s="4" t="s">
        <v>241</v>
      </c>
      <c r="BB2035" s="4" t="s">
        <v>250</v>
      </c>
      <c r="BC2035" s="4" t="s">
        <v>241</v>
      </c>
      <c r="BD2035" s="4" t="s">
        <v>252</v>
      </c>
      <c r="BE2035" s="4" t="s">
        <v>241</v>
      </c>
      <c r="BI2035" s="4" t="s">
        <v>253</v>
      </c>
      <c r="BJ2035" s="5" t="s">
        <v>246</v>
      </c>
      <c r="BK2035" s="4" t="s">
        <v>254</v>
      </c>
      <c r="BL2035" s="4" t="s">
        <v>255</v>
      </c>
      <c r="BM2035" s="4" t="s">
        <v>241</v>
      </c>
      <c r="BN2035" s="6">
        <f>0</f>
        <v>0</v>
      </c>
      <c r="BO2035" s="6">
        <f>0</f>
        <v>0</v>
      </c>
      <c r="BP2035" s="4" t="s">
        <v>256</v>
      </c>
      <c r="BQ2035" s="4" t="s">
        <v>257</v>
      </c>
      <c r="CE2035" s="4" t="s">
        <v>241</v>
      </c>
      <c r="CF2035" s="4" t="s">
        <v>241</v>
      </c>
      <c r="CJ2035" s="4" t="s">
        <v>276</v>
      </c>
      <c r="CK2035" s="4" t="s">
        <v>259</v>
      </c>
      <c r="CL2035" s="4" t="s">
        <v>241</v>
      </c>
      <c r="CO2035" s="5" t="s">
        <v>260</v>
      </c>
      <c r="CP2035" s="4" t="s">
        <v>241</v>
      </c>
      <c r="CQ2035" s="4" t="s">
        <v>261</v>
      </c>
      <c r="CR2035" s="4" t="s">
        <v>241</v>
      </c>
      <c r="CS2035" s="4" t="s">
        <v>241</v>
      </c>
      <c r="CT2035" s="4">
        <v>0</v>
      </c>
      <c r="CU2035" s="4" t="s">
        <v>262</v>
      </c>
      <c r="CV2035" s="4" t="s">
        <v>263</v>
      </c>
      <c r="CW2035" s="4" t="s">
        <v>263</v>
      </c>
      <c r="CX2035" s="4" t="s">
        <v>264</v>
      </c>
      <c r="DA2035" s="6">
        <f>1</f>
        <v>1</v>
      </c>
      <c r="DC2035" s="4" t="s">
        <v>325</v>
      </c>
      <c r="DD2035" s="4" t="s">
        <v>241</v>
      </c>
      <c r="DF2035" s="4" t="s">
        <v>325</v>
      </c>
      <c r="DG2035" s="6">
        <f>1239</f>
        <v>1239</v>
      </c>
      <c r="DI2035" s="4" t="s">
        <v>241</v>
      </c>
      <c r="DJ2035" s="4" t="s">
        <v>241</v>
      </c>
      <c r="DK2035" s="4" t="s">
        <v>241</v>
      </c>
      <c r="DL2035" s="4" t="s">
        <v>241</v>
      </c>
      <c r="DP2035" s="4" t="s">
        <v>241</v>
      </c>
      <c r="DQ2035" s="4" t="s">
        <v>241</v>
      </c>
      <c r="DR2035" s="4" t="s">
        <v>241</v>
      </c>
      <c r="DS2035" s="4" t="s">
        <v>241</v>
      </c>
      <c r="DV2035" s="4" t="s">
        <v>426</v>
      </c>
      <c r="DW2035" s="4" t="s">
        <v>1201</v>
      </c>
      <c r="HO2035" s="4" t="s">
        <v>267</v>
      </c>
    </row>
    <row r="2036" spans="1:223" ht="19.5" customHeight="1" x14ac:dyDescent="0.4">
      <c r="A2036" s="4">
        <v>1</v>
      </c>
      <c r="B2036" s="4" t="s">
        <v>239</v>
      </c>
      <c r="C2036" s="4">
        <v>3739</v>
      </c>
      <c r="D2036" s="4">
        <v>1</v>
      </c>
      <c r="E2036" s="4">
        <v>1</v>
      </c>
      <c r="F2036" s="4" t="s">
        <v>268</v>
      </c>
      <c r="G2036" s="4" t="s">
        <v>241</v>
      </c>
      <c r="H2036" s="4" t="s">
        <v>241</v>
      </c>
      <c r="I2036" s="4" t="s">
        <v>424</v>
      </c>
      <c r="J2036" s="4" t="s">
        <v>274</v>
      </c>
      <c r="K2036" s="4" t="s">
        <v>251</v>
      </c>
      <c r="L2036" s="4" t="s">
        <v>423</v>
      </c>
      <c r="M2036" s="5" t="s">
        <v>3999</v>
      </c>
      <c r="N2036" s="6">
        <f>1882</f>
        <v>1882</v>
      </c>
      <c r="O2036" s="4" t="s">
        <v>265</v>
      </c>
      <c r="P2036" s="6">
        <f>1</f>
        <v>1</v>
      </c>
      <c r="Q2036" s="6">
        <f>0</f>
        <v>0</v>
      </c>
      <c r="S2036" s="6">
        <f>0</f>
        <v>0</v>
      </c>
      <c r="T2036" s="6">
        <f>1</f>
        <v>1</v>
      </c>
      <c r="U2036" s="5" t="s">
        <v>245</v>
      </c>
      <c r="V2036" s="4" t="s">
        <v>270</v>
      </c>
      <c r="W2036" s="4" t="s">
        <v>271</v>
      </c>
      <c r="X2036" s="4" t="s">
        <v>273</v>
      </c>
      <c r="Y2036" s="4" t="s">
        <v>241</v>
      </c>
      <c r="AB2036" s="4" t="s">
        <v>241</v>
      </c>
      <c r="AD2036" s="5" t="s">
        <v>241</v>
      </c>
      <c r="AG2036" s="5" t="s">
        <v>246</v>
      </c>
      <c r="AH2036" s="4" t="s">
        <v>241</v>
      </c>
      <c r="AI2036" s="4" t="s">
        <v>247</v>
      </c>
      <c r="AJ2036" s="4" t="s">
        <v>248</v>
      </c>
      <c r="AZ2036" s="4" t="s">
        <v>249</v>
      </c>
      <c r="BA2036" s="4" t="s">
        <v>241</v>
      </c>
      <c r="BB2036" s="4" t="s">
        <v>250</v>
      </c>
      <c r="BC2036" s="4" t="s">
        <v>241</v>
      </c>
      <c r="BD2036" s="4" t="s">
        <v>252</v>
      </c>
      <c r="BE2036" s="4" t="s">
        <v>241</v>
      </c>
      <c r="BI2036" s="4" t="s">
        <v>253</v>
      </c>
      <c r="BJ2036" s="5" t="s">
        <v>246</v>
      </c>
      <c r="BK2036" s="4" t="s">
        <v>254</v>
      </c>
      <c r="BL2036" s="4" t="s">
        <v>255</v>
      </c>
      <c r="BM2036" s="4" t="s">
        <v>241</v>
      </c>
      <c r="BN2036" s="6">
        <f>0</f>
        <v>0</v>
      </c>
      <c r="BO2036" s="6">
        <f>0</f>
        <v>0</v>
      </c>
      <c r="BP2036" s="4" t="s">
        <v>256</v>
      </c>
      <c r="BQ2036" s="4" t="s">
        <v>257</v>
      </c>
      <c r="CE2036" s="4" t="s">
        <v>241</v>
      </c>
      <c r="CF2036" s="4" t="s">
        <v>241</v>
      </c>
      <c r="CJ2036" s="4" t="s">
        <v>276</v>
      </c>
      <c r="CK2036" s="4" t="s">
        <v>259</v>
      </c>
      <c r="CL2036" s="4" t="s">
        <v>241</v>
      </c>
      <c r="CO2036" s="5" t="s">
        <v>260</v>
      </c>
      <c r="CP2036" s="4" t="s">
        <v>241</v>
      </c>
      <c r="CQ2036" s="4" t="s">
        <v>261</v>
      </c>
      <c r="CR2036" s="4" t="s">
        <v>241</v>
      </c>
      <c r="CS2036" s="4" t="s">
        <v>241</v>
      </c>
      <c r="CT2036" s="4">
        <v>0</v>
      </c>
      <c r="CU2036" s="4" t="s">
        <v>262</v>
      </c>
      <c r="CV2036" s="4" t="s">
        <v>263</v>
      </c>
      <c r="CW2036" s="4" t="s">
        <v>263</v>
      </c>
      <c r="CX2036" s="4" t="s">
        <v>264</v>
      </c>
      <c r="DA2036" s="6">
        <f>1</f>
        <v>1</v>
      </c>
      <c r="DC2036" s="4" t="s">
        <v>325</v>
      </c>
      <c r="DD2036" s="4" t="s">
        <v>241</v>
      </c>
      <c r="DF2036" s="4" t="s">
        <v>325</v>
      </c>
      <c r="DG2036" s="6">
        <f>1882</f>
        <v>1882</v>
      </c>
      <c r="DI2036" s="4" t="s">
        <v>241</v>
      </c>
      <c r="DJ2036" s="4" t="s">
        <v>241</v>
      </c>
      <c r="DK2036" s="4" t="s">
        <v>241</v>
      </c>
      <c r="DL2036" s="4" t="s">
        <v>241</v>
      </c>
      <c r="DP2036" s="4" t="s">
        <v>241</v>
      </c>
      <c r="DQ2036" s="4" t="s">
        <v>241</v>
      </c>
      <c r="DR2036" s="4" t="s">
        <v>241</v>
      </c>
      <c r="DS2036" s="4" t="s">
        <v>241</v>
      </c>
      <c r="DV2036" s="4" t="s">
        <v>426</v>
      </c>
      <c r="DW2036" s="4" t="s">
        <v>1641</v>
      </c>
      <c r="HO2036" s="4" t="s">
        <v>267</v>
      </c>
    </row>
    <row r="2037" spans="1:223" ht="19.5" customHeight="1" x14ac:dyDescent="0.4">
      <c r="A2037" s="4">
        <v>1</v>
      </c>
      <c r="B2037" s="4" t="s">
        <v>239</v>
      </c>
      <c r="C2037" s="4">
        <v>3740</v>
      </c>
      <c r="D2037" s="4">
        <v>1</v>
      </c>
      <c r="E2037" s="4">
        <v>1</v>
      </c>
      <c r="F2037" s="4" t="s">
        <v>268</v>
      </c>
      <c r="G2037" s="4" t="s">
        <v>241</v>
      </c>
      <c r="H2037" s="4" t="s">
        <v>241</v>
      </c>
      <c r="I2037" s="4" t="s">
        <v>424</v>
      </c>
      <c r="J2037" s="4" t="s">
        <v>274</v>
      </c>
      <c r="K2037" s="4" t="s">
        <v>251</v>
      </c>
      <c r="L2037" s="4" t="s">
        <v>423</v>
      </c>
      <c r="M2037" s="5" t="s">
        <v>4001</v>
      </c>
      <c r="N2037" s="6">
        <f>1140</f>
        <v>1140</v>
      </c>
      <c r="O2037" s="4" t="s">
        <v>265</v>
      </c>
      <c r="P2037" s="6">
        <f>1</f>
        <v>1</v>
      </c>
      <c r="Q2037" s="6">
        <f>0</f>
        <v>0</v>
      </c>
      <c r="S2037" s="6">
        <f>0</f>
        <v>0</v>
      </c>
      <c r="T2037" s="6">
        <f>1</f>
        <v>1</v>
      </c>
      <c r="U2037" s="5" t="s">
        <v>245</v>
      </c>
      <c r="V2037" s="4" t="s">
        <v>270</v>
      </c>
      <c r="W2037" s="4" t="s">
        <v>271</v>
      </c>
      <c r="X2037" s="4" t="s">
        <v>273</v>
      </c>
      <c r="Y2037" s="4" t="s">
        <v>241</v>
      </c>
      <c r="AB2037" s="4" t="s">
        <v>241</v>
      </c>
      <c r="AD2037" s="5" t="s">
        <v>241</v>
      </c>
      <c r="AG2037" s="5" t="s">
        <v>246</v>
      </c>
      <c r="AH2037" s="4" t="s">
        <v>241</v>
      </c>
      <c r="AI2037" s="4" t="s">
        <v>247</v>
      </c>
      <c r="AJ2037" s="4" t="s">
        <v>248</v>
      </c>
      <c r="AZ2037" s="4" t="s">
        <v>249</v>
      </c>
      <c r="BA2037" s="4" t="s">
        <v>241</v>
      </c>
      <c r="BB2037" s="4" t="s">
        <v>250</v>
      </c>
      <c r="BC2037" s="4" t="s">
        <v>241</v>
      </c>
      <c r="BD2037" s="4" t="s">
        <v>252</v>
      </c>
      <c r="BE2037" s="4" t="s">
        <v>241</v>
      </c>
      <c r="BI2037" s="4" t="s">
        <v>253</v>
      </c>
      <c r="BJ2037" s="5" t="s">
        <v>246</v>
      </c>
      <c r="BK2037" s="4" t="s">
        <v>254</v>
      </c>
      <c r="BL2037" s="4" t="s">
        <v>255</v>
      </c>
      <c r="BM2037" s="4" t="s">
        <v>241</v>
      </c>
      <c r="BN2037" s="6">
        <f>0</f>
        <v>0</v>
      </c>
      <c r="BO2037" s="6">
        <f>0</f>
        <v>0</v>
      </c>
      <c r="BP2037" s="4" t="s">
        <v>256</v>
      </c>
      <c r="BQ2037" s="4" t="s">
        <v>257</v>
      </c>
      <c r="CE2037" s="4" t="s">
        <v>241</v>
      </c>
      <c r="CF2037" s="4" t="s">
        <v>241</v>
      </c>
      <c r="CJ2037" s="4" t="s">
        <v>276</v>
      </c>
      <c r="CK2037" s="4" t="s">
        <v>259</v>
      </c>
      <c r="CL2037" s="4" t="s">
        <v>241</v>
      </c>
      <c r="CO2037" s="5" t="s">
        <v>260</v>
      </c>
      <c r="CP2037" s="4" t="s">
        <v>241</v>
      </c>
      <c r="CQ2037" s="4" t="s">
        <v>261</v>
      </c>
      <c r="CR2037" s="4" t="s">
        <v>241</v>
      </c>
      <c r="CS2037" s="4" t="s">
        <v>241</v>
      </c>
      <c r="CT2037" s="4">
        <v>0</v>
      </c>
      <c r="CU2037" s="4" t="s">
        <v>262</v>
      </c>
      <c r="CV2037" s="4" t="s">
        <v>263</v>
      </c>
      <c r="CW2037" s="4" t="s">
        <v>263</v>
      </c>
      <c r="CX2037" s="4" t="s">
        <v>264</v>
      </c>
      <c r="DA2037" s="6">
        <f>1</f>
        <v>1</v>
      </c>
      <c r="DC2037" s="4" t="s">
        <v>325</v>
      </c>
      <c r="DD2037" s="4" t="s">
        <v>241</v>
      </c>
      <c r="DF2037" s="4" t="s">
        <v>325</v>
      </c>
      <c r="DG2037" s="6">
        <f>1140</f>
        <v>1140</v>
      </c>
      <c r="DI2037" s="4" t="s">
        <v>241</v>
      </c>
      <c r="DJ2037" s="4" t="s">
        <v>241</v>
      </c>
      <c r="DK2037" s="4" t="s">
        <v>241</v>
      </c>
      <c r="DL2037" s="4" t="s">
        <v>241</v>
      </c>
      <c r="DP2037" s="4" t="s">
        <v>241</v>
      </c>
      <c r="DQ2037" s="4" t="s">
        <v>241</v>
      </c>
      <c r="DR2037" s="4" t="s">
        <v>241</v>
      </c>
      <c r="DS2037" s="4" t="s">
        <v>241</v>
      </c>
      <c r="DV2037" s="4" t="s">
        <v>426</v>
      </c>
      <c r="DW2037" s="4" t="s">
        <v>1637</v>
      </c>
      <c r="HO2037" s="4" t="s">
        <v>267</v>
      </c>
    </row>
    <row r="2038" spans="1:223" ht="19.5" customHeight="1" x14ac:dyDescent="0.4">
      <c r="A2038" s="4">
        <v>1</v>
      </c>
      <c r="B2038" s="4" t="s">
        <v>239</v>
      </c>
      <c r="C2038" s="4">
        <v>3741</v>
      </c>
      <c r="D2038" s="4">
        <v>1</v>
      </c>
      <c r="E2038" s="4">
        <v>1</v>
      </c>
      <c r="F2038" s="4" t="s">
        <v>268</v>
      </c>
      <c r="G2038" s="4" t="s">
        <v>241</v>
      </c>
      <c r="H2038" s="4" t="s">
        <v>241</v>
      </c>
      <c r="I2038" s="4" t="s">
        <v>424</v>
      </c>
      <c r="J2038" s="4" t="s">
        <v>274</v>
      </c>
      <c r="K2038" s="4" t="s">
        <v>251</v>
      </c>
      <c r="L2038" s="4" t="s">
        <v>423</v>
      </c>
      <c r="M2038" s="5" t="s">
        <v>4002</v>
      </c>
      <c r="N2038" s="6">
        <f>161</f>
        <v>161</v>
      </c>
      <c r="O2038" s="4" t="s">
        <v>265</v>
      </c>
      <c r="P2038" s="6">
        <f>1</f>
        <v>1</v>
      </c>
      <c r="Q2038" s="6">
        <f>0</f>
        <v>0</v>
      </c>
      <c r="S2038" s="6">
        <f>0</f>
        <v>0</v>
      </c>
      <c r="T2038" s="6">
        <f>1</f>
        <v>1</v>
      </c>
      <c r="U2038" s="5" t="s">
        <v>245</v>
      </c>
      <c r="V2038" s="4" t="s">
        <v>270</v>
      </c>
      <c r="W2038" s="4" t="s">
        <v>271</v>
      </c>
      <c r="X2038" s="4" t="s">
        <v>273</v>
      </c>
      <c r="Y2038" s="4" t="s">
        <v>241</v>
      </c>
      <c r="AB2038" s="4" t="s">
        <v>241</v>
      </c>
      <c r="AD2038" s="5" t="s">
        <v>241</v>
      </c>
      <c r="AG2038" s="5" t="s">
        <v>246</v>
      </c>
      <c r="AH2038" s="4" t="s">
        <v>241</v>
      </c>
      <c r="AI2038" s="4" t="s">
        <v>247</v>
      </c>
      <c r="AJ2038" s="4" t="s">
        <v>248</v>
      </c>
      <c r="AZ2038" s="4" t="s">
        <v>249</v>
      </c>
      <c r="BA2038" s="4" t="s">
        <v>241</v>
      </c>
      <c r="BB2038" s="4" t="s">
        <v>250</v>
      </c>
      <c r="BC2038" s="4" t="s">
        <v>241</v>
      </c>
      <c r="BD2038" s="4" t="s">
        <v>252</v>
      </c>
      <c r="BE2038" s="4" t="s">
        <v>241</v>
      </c>
      <c r="BI2038" s="4" t="s">
        <v>253</v>
      </c>
      <c r="BJ2038" s="5" t="s">
        <v>246</v>
      </c>
      <c r="BK2038" s="4" t="s">
        <v>254</v>
      </c>
      <c r="BL2038" s="4" t="s">
        <v>255</v>
      </c>
      <c r="BM2038" s="4" t="s">
        <v>241</v>
      </c>
      <c r="BN2038" s="6">
        <f>0</f>
        <v>0</v>
      </c>
      <c r="BO2038" s="6">
        <f>0</f>
        <v>0</v>
      </c>
      <c r="BP2038" s="4" t="s">
        <v>256</v>
      </c>
      <c r="BQ2038" s="4" t="s">
        <v>257</v>
      </c>
      <c r="CE2038" s="4" t="s">
        <v>241</v>
      </c>
      <c r="CF2038" s="4" t="s">
        <v>241</v>
      </c>
      <c r="CJ2038" s="4" t="s">
        <v>276</v>
      </c>
      <c r="CK2038" s="4" t="s">
        <v>259</v>
      </c>
      <c r="CL2038" s="4" t="s">
        <v>241</v>
      </c>
      <c r="CO2038" s="5" t="s">
        <v>260</v>
      </c>
      <c r="CP2038" s="4" t="s">
        <v>241</v>
      </c>
      <c r="CQ2038" s="4" t="s">
        <v>261</v>
      </c>
      <c r="CR2038" s="4" t="s">
        <v>241</v>
      </c>
      <c r="CS2038" s="4" t="s">
        <v>241</v>
      </c>
      <c r="CT2038" s="4">
        <v>0</v>
      </c>
      <c r="CU2038" s="4" t="s">
        <v>262</v>
      </c>
      <c r="CV2038" s="4" t="s">
        <v>263</v>
      </c>
      <c r="CW2038" s="4" t="s">
        <v>263</v>
      </c>
      <c r="CX2038" s="4" t="s">
        <v>264</v>
      </c>
      <c r="DA2038" s="6">
        <f>1</f>
        <v>1</v>
      </c>
      <c r="DC2038" s="4" t="s">
        <v>325</v>
      </c>
      <c r="DD2038" s="4" t="s">
        <v>241</v>
      </c>
      <c r="DF2038" s="4" t="s">
        <v>325</v>
      </c>
      <c r="DG2038" s="6">
        <f>161</f>
        <v>161</v>
      </c>
      <c r="DI2038" s="4" t="s">
        <v>241</v>
      </c>
      <c r="DJ2038" s="4" t="s">
        <v>241</v>
      </c>
      <c r="DK2038" s="4" t="s">
        <v>241</v>
      </c>
      <c r="DL2038" s="4" t="s">
        <v>241</v>
      </c>
      <c r="DP2038" s="4" t="s">
        <v>241</v>
      </c>
      <c r="DQ2038" s="4" t="s">
        <v>241</v>
      </c>
      <c r="DR2038" s="4" t="s">
        <v>241</v>
      </c>
      <c r="DS2038" s="4" t="s">
        <v>241</v>
      </c>
      <c r="DV2038" s="4" t="s">
        <v>426</v>
      </c>
      <c r="DW2038" s="4" t="s">
        <v>1635</v>
      </c>
      <c r="HO2038" s="4" t="s">
        <v>267</v>
      </c>
    </row>
    <row r="2039" spans="1:223" ht="19.5" customHeight="1" x14ac:dyDescent="0.4">
      <c r="A2039" s="4">
        <v>1</v>
      </c>
      <c r="B2039" s="4" t="s">
        <v>239</v>
      </c>
      <c r="C2039" s="4">
        <v>3742</v>
      </c>
      <c r="D2039" s="4">
        <v>1</v>
      </c>
      <c r="E2039" s="4">
        <v>1</v>
      </c>
      <c r="F2039" s="4" t="s">
        <v>268</v>
      </c>
      <c r="G2039" s="4" t="s">
        <v>241</v>
      </c>
      <c r="H2039" s="4" t="s">
        <v>241</v>
      </c>
      <c r="I2039" s="4" t="s">
        <v>424</v>
      </c>
      <c r="J2039" s="4" t="s">
        <v>274</v>
      </c>
      <c r="K2039" s="4" t="s">
        <v>251</v>
      </c>
      <c r="L2039" s="4" t="s">
        <v>423</v>
      </c>
      <c r="M2039" s="5" t="s">
        <v>4006</v>
      </c>
      <c r="N2039" s="6">
        <f>539</f>
        <v>539</v>
      </c>
      <c r="O2039" s="4" t="s">
        <v>265</v>
      </c>
      <c r="P2039" s="6">
        <f>1</f>
        <v>1</v>
      </c>
      <c r="Q2039" s="6">
        <f>0</f>
        <v>0</v>
      </c>
      <c r="S2039" s="6">
        <f>0</f>
        <v>0</v>
      </c>
      <c r="T2039" s="6">
        <f>1</f>
        <v>1</v>
      </c>
      <c r="U2039" s="5" t="s">
        <v>245</v>
      </c>
      <c r="V2039" s="4" t="s">
        <v>270</v>
      </c>
      <c r="W2039" s="4" t="s">
        <v>271</v>
      </c>
      <c r="X2039" s="4" t="s">
        <v>273</v>
      </c>
      <c r="Y2039" s="4" t="s">
        <v>241</v>
      </c>
      <c r="AB2039" s="4" t="s">
        <v>241</v>
      </c>
      <c r="AD2039" s="5" t="s">
        <v>241</v>
      </c>
      <c r="AG2039" s="5" t="s">
        <v>246</v>
      </c>
      <c r="AH2039" s="4" t="s">
        <v>241</v>
      </c>
      <c r="AI2039" s="4" t="s">
        <v>247</v>
      </c>
      <c r="AJ2039" s="4" t="s">
        <v>248</v>
      </c>
      <c r="AZ2039" s="4" t="s">
        <v>249</v>
      </c>
      <c r="BA2039" s="4" t="s">
        <v>241</v>
      </c>
      <c r="BB2039" s="4" t="s">
        <v>250</v>
      </c>
      <c r="BC2039" s="4" t="s">
        <v>241</v>
      </c>
      <c r="BD2039" s="4" t="s">
        <v>252</v>
      </c>
      <c r="BE2039" s="4" t="s">
        <v>241</v>
      </c>
      <c r="BI2039" s="4" t="s">
        <v>253</v>
      </c>
      <c r="BJ2039" s="5" t="s">
        <v>246</v>
      </c>
      <c r="BK2039" s="4" t="s">
        <v>254</v>
      </c>
      <c r="BL2039" s="4" t="s">
        <v>255</v>
      </c>
      <c r="BM2039" s="4" t="s">
        <v>241</v>
      </c>
      <c r="BN2039" s="6">
        <f>0</f>
        <v>0</v>
      </c>
      <c r="BO2039" s="6">
        <f>0</f>
        <v>0</v>
      </c>
      <c r="BP2039" s="4" t="s">
        <v>256</v>
      </c>
      <c r="BQ2039" s="4" t="s">
        <v>257</v>
      </c>
      <c r="CE2039" s="4" t="s">
        <v>241</v>
      </c>
      <c r="CF2039" s="4" t="s">
        <v>241</v>
      </c>
      <c r="CJ2039" s="4" t="s">
        <v>276</v>
      </c>
      <c r="CK2039" s="4" t="s">
        <v>259</v>
      </c>
      <c r="CL2039" s="4" t="s">
        <v>241</v>
      </c>
      <c r="CO2039" s="5" t="s">
        <v>260</v>
      </c>
      <c r="CP2039" s="4" t="s">
        <v>241</v>
      </c>
      <c r="CQ2039" s="4" t="s">
        <v>261</v>
      </c>
      <c r="CR2039" s="4" t="s">
        <v>241</v>
      </c>
      <c r="CS2039" s="4" t="s">
        <v>241</v>
      </c>
      <c r="CT2039" s="4">
        <v>0</v>
      </c>
      <c r="CU2039" s="4" t="s">
        <v>262</v>
      </c>
      <c r="CV2039" s="4" t="s">
        <v>263</v>
      </c>
      <c r="CW2039" s="4" t="s">
        <v>263</v>
      </c>
      <c r="CX2039" s="4" t="s">
        <v>264</v>
      </c>
      <c r="DA2039" s="6">
        <f>1</f>
        <v>1</v>
      </c>
      <c r="DC2039" s="4" t="s">
        <v>325</v>
      </c>
      <c r="DD2039" s="4" t="s">
        <v>241</v>
      </c>
      <c r="DF2039" s="4" t="s">
        <v>325</v>
      </c>
      <c r="DG2039" s="6">
        <f>539</f>
        <v>539</v>
      </c>
      <c r="DI2039" s="4" t="s">
        <v>241</v>
      </c>
      <c r="DJ2039" s="4" t="s">
        <v>241</v>
      </c>
      <c r="DK2039" s="4" t="s">
        <v>241</v>
      </c>
      <c r="DL2039" s="4" t="s">
        <v>241</v>
      </c>
      <c r="DP2039" s="4" t="s">
        <v>241</v>
      </c>
      <c r="DQ2039" s="4" t="s">
        <v>241</v>
      </c>
      <c r="DR2039" s="4" t="s">
        <v>241</v>
      </c>
      <c r="DS2039" s="4" t="s">
        <v>241</v>
      </c>
      <c r="DV2039" s="4" t="s">
        <v>426</v>
      </c>
      <c r="DW2039" s="4" t="s">
        <v>1633</v>
      </c>
      <c r="HO2039" s="4" t="s">
        <v>267</v>
      </c>
    </row>
    <row r="2040" spans="1:223" ht="19.5" customHeight="1" x14ac:dyDescent="0.4">
      <c r="A2040" s="4">
        <v>1</v>
      </c>
      <c r="B2040" s="4" t="s">
        <v>239</v>
      </c>
      <c r="C2040" s="4">
        <v>3743</v>
      </c>
      <c r="D2040" s="4">
        <v>1</v>
      </c>
      <c r="E2040" s="4">
        <v>1</v>
      </c>
      <c r="F2040" s="4" t="s">
        <v>268</v>
      </c>
      <c r="G2040" s="4" t="s">
        <v>241</v>
      </c>
      <c r="H2040" s="4" t="s">
        <v>241</v>
      </c>
      <c r="I2040" s="4" t="s">
        <v>424</v>
      </c>
      <c r="J2040" s="4" t="s">
        <v>274</v>
      </c>
      <c r="K2040" s="4" t="s">
        <v>251</v>
      </c>
      <c r="L2040" s="4" t="s">
        <v>423</v>
      </c>
      <c r="M2040" s="5" t="s">
        <v>4007</v>
      </c>
      <c r="N2040" s="6">
        <f>71</f>
        <v>71</v>
      </c>
      <c r="O2040" s="4" t="s">
        <v>265</v>
      </c>
      <c r="P2040" s="6">
        <f>1</f>
        <v>1</v>
      </c>
      <c r="Q2040" s="6">
        <f>0</f>
        <v>0</v>
      </c>
      <c r="S2040" s="6">
        <f>0</f>
        <v>0</v>
      </c>
      <c r="T2040" s="6">
        <f>1</f>
        <v>1</v>
      </c>
      <c r="U2040" s="5" t="s">
        <v>245</v>
      </c>
      <c r="V2040" s="4" t="s">
        <v>270</v>
      </c>
      <c r="W2040" s="4" t="s">
        <v>271</v>
      </c>
      <c r="X2040" s="4" t="s">
        <v>273</v>
      </c>
      <c r="Y2040" s="4" t="s">
        <v>241</v>
      </c>
      <c r="AB2040" s="4" t="s">
        <v>241</v>
      </c>
      <c r="AD2040" s="5" t="s">
        <v>241</v>
      </c>
      <c r="AG2040" s="5" t="s">
        <v>246</v>
      </c>
      <c r="AH2040" s="4" t="s">
        <v>241</v>
      </c>
      <c r="AI2040" s="4" t="s">
        <v>247</v>
      </c>
      <c r="AJ2040" s="4" t="s">
        <v>248</v>
      </c>
      <c r="AZ2040" s="4" t="s">
        <v>249</v>
      </c>
      <c r="BA2040" s="4" t="s">
        <v>241</v>
      </c>
      <c r="BB2040" s="4" t="s">
        <v>250</v>
      </c>
      <c r="BC2040" s="4" t="s">
        <v>241</v>
      </c>
      <c r="BD2040" s="4" t="s">
        <v>252</v>
      </c>
      <c r="BE2040" s="4" t="s">
        <v>241</v>
      </c>
      <c r="BI2040" s="4" t="s">
        <v>253</v>
      </c>
      <c r="BJ2040" s="5" t="s">
        <v>246</v>
      </c>
      <c r="BK2040" s="4" t="s">
        <v>254</v>
      </c>
      <c r="BL2040" s="4" t="s">
        <v>255</v>
      </c>
      <c r="BM2040" s="4" t="s">
        <v>241</v>
      </c>
      <c r="BN2040" s="6">
        <f>0</f>
        <v>0</v>
      </c>
      <c r="BO2040" s="6">
        <f>0</f>
        <v>0</v>
      </c>
      <c r="BP2040" s="4" t="s">
        <v>256</v>
      </c>
      <c r="BQ2040" s="4" t="s">
        <v>257</v>
      </c>
      <c r="CE2040" s="4" t="s">
        <v>241</v>
      </c>
      <c r="CF2040" s="4" t="s">
        <v>241</v>
      </c>
      <c r="CJ2040" s="4" t="s">
        <v>276</v>
      </c>
      <c r="CK2040" s="4" t="s">
        <v>259</v>
      </c>
      <c r="CL2040" s="4" t="s">
        <v>241</v>
      </c>
      <c r="CO2040" s="5" t="s">
        <v>260</v>
      </c>
      <c r="CP2040" s="4" t="s">
        <v>241</v>
      </c>
      <c r="CQ2040" s="4" t="s">
        <v>261</v>
      </c>
      <c r="CR2040" s="4" t="s">
        <v>241</v>
      </c>
      <c r="CS2040" s="4" t="s">
        <v>241</v>
      </c>
      <c r="CT2040" s="4">
        <v>0</v>
      </c>
      <c r="CU2040" s="4" t="s">
        <v>262</v>
      </c>
      <c r="CV2040" s="4" t="s">
        <v>263</v>
      </c>
      <c r="CW2040" s="4" t="s">
        <v>263</v>
      </c>
      <c r="CX2040" s="4" t="s">
        <v>264</v>
      </c>
      <c r="DA2040" s="6">
        <f>1</f>
        <v>1</v>
      </c>
      <c r="DC2040" s="4" t="s">
        <v>325</v>
      </c>
      <c r="DD2040" s="4" t="s">
        <v>241</v>
      </c>
      <c r="DF2040" s="4" t="s">
        <v>325</v>
      </c>
      <c r="DG2040" s="6">
        <f>71</f>
        <v>71</v>
      </c>
      <c r="DI2040" s="4" t="s">
        <v>241</v>
      </c>
      <c r="DJ2040" s="4" t="s">
        <v>241</v>
      </c>
      <c r="DK2040" s="4" t="s">
        <v>241</v>
      </c>
      <c r="DL2040" s="4" t="s">
        <v>241</v>
      </c>
      <c r="DP2040" s="4" t="s">
        <v>241</v>
      </c>
      <c r="DQ2040" s="4" t="s">
        <v>241</v>
      </c>
      <c r="DR2040" s="4" t="s">
        <v>241</v>
      </c>
      <c r="DS2040" s="4" t="s">
        <v>241</v>
      </c>
      <c r="DV2040" s="4" t="s">
        <v>426</v>
      </c>
      <c r="DW2040" s="4" t="s">
        <v>1631</v>
      </c>
      <c r="HO2040" s="4" t="s">
        <v>267</v>
      </c>
    </row>
    <row r="2041" spans="1:223" ht="19.5" customHeight="1" x14ac:dyDescent="0.4">
      <c r="A2041" s="4">
        <v>1</v>
      </c>
      <c r="B2041" s="4" t="s">
        <v>239</v>
      </c>
      <c r="C2041" s="4">
        <v>3744</v>
      </c>
      <c r="D2041" s="4">
        <v>1</v>
      </c>
      <c r="E2041" s="4">
        <v>1</v>
      </c>
      <c r="F2041" s="4" t="s">
        <v>268</v>
      </c>
      <c r="G2041" s="4" t="s">
        <v>241</v>
      </c>
      <c r="H2041" s="4" t="s">
        <v>241</v>
      </c>
      <c r="I2041" s="4" t="s">
        <v>424</v>
      </c>
      <c r="J2041" s="4" t="s">
        <v>274</v>
      </c>
      <c r="K2041" s="4" t="s">
        <v>251</v>
      </c>
      <c r="L2041" s="4" t="s">
        <v>423</v>
      </c>
      <c r="M2041" s="5" t="s">
        <v>4009</v>
      </c>
      <c r="N2041" s="6">
        <f>1860</f>
        <v>1860</v>
      </c>
      <c r="O2041" s="4" t="s">
        <v>265</v>
      </c>
      <c r="P2041" s="6">
        <f>1</f>
        <v>1</v>
      </c>
      <c r="Q2041" s="6">
        <f>0</f>
        <v>0</v>
      </c>
      <c r="S2041" s="6">
        <f>0</f>
        <v>0</v>
      </c>
      <c r="T2041" s="6">
        <f>1</f>
        <v>1</v>
      </c>
      <c r="U2041" s="5" t="s">
        <v>245</v>
      </c>
      <c r="V2041" s="4" t="s">
        <v>270</v>
      </c>
      <c r="W2041" s="4" t="s">
        <v>271</v>
      </c>
      <c r="X2041" s="4" t="s">
        <v>273</v>
      </c>
      <c r="Y2041" s="4" t="s">
        <v>241</v>
      </c>
      <c r="AB2041" s="4" t="s">
        <v>241</v>
      </c>
      <c r="AD2041" s="5" t="s">
        <v>241</v>
      </c>
      <c r="AG2041" s="5" t="s">
        <v>246</v>
      </c>
      <c r="AH2041" s="4" t="s">
        <v>241</v>
      </c>
      <c r="AI2041" s="4" t="s">
        <v>247</v>
      </c>
      <c r="AJ2041" s="4" t="s">
        <v>248</v>
      </c>
      <c r="AZ2041" s="4" t="s">
        <v>249</v>
      </c>
      <c r="BA2041" s="4" t="s">
        <v>241</v>
      </c>
      <c r="BB2041" s="4" t="s">
        <v>250</v>
      </c>
      <c r="BC2041" s="4" t="s">
        <v>241</v>
      </c>
      <c r="BD2041" s="4" t="s">
        <v>252</v>
      </c>
      <c r="BE2041" s="4" t="s">
        <v>241</v>
      </c>
      <c r="BI2041" s="4" t="s">
        <v>253</v>
      </c>
      <c r="BJ2041" s="5" t="s">
        <v>246</v>
      </c>
      <c r="BK2041" s="4" t="s">
        <v>254</v>
      </c>
      <c r="BL2041" s="4" t="s">
        <v>255</v>
      </c>
      <c r="BM2041" s="4" t="s">
        <v>241</v>
      </c>
      <c r="BN2041" s="6">
        <f>0</f>
        <v>0</v>
      </c>
      <c r="BO2041" s="6">
        <f>0</f>
        <v>0</v>
      </c>
      <c r="BP2041" s="4" t="s">
        <v>256</v>
      </c>
      <c r="BQ2041" s="4" t="s">
        <v>257</v>
      </c>
      <c r="CE2041" s="4" t="s">
        <v>241</v>
      </c>
      <c r="CF2041" s="4" t="s">
        <v>241</v>
      </c>
      <c r="CJ2041" s="4" t="s">
        <v>276</v>
      </c>
      <c r="CK2041" s="4" t="s">
        <v>259</v>
      </c>
      <c r="CL2041" s="4" t="s">
        <v>241</v>
      </c>
      <c r="CO2041" s="5" t="s">
        <v>260</v>
      </c>
      <c r="CP2041" s="4" t="s">
        <v>241</v>
      </c>
      <c r="CQ2041" s="4" t="s">
        <v>261</v>
      </c>
      <c r="CR2041" s="4" t="s">
        <v>241</v>
      </c>
      <c r="CS2041" s="4" t="s">
        <v>241</v>
      </c>
      <c r="CT2041" s="4">
        <v>0</v>
      </c>
      <c r="CU2041" s="4" t="s">
        <v>262</v>
      </c>
      <c r="CV2041" s="4" t="s">
        <v>263</v>
      </c>
      <c r="CW2041" s="4" t="s">
        <v>263</v>
      </c>
      <c r="CX2041" s="4" t="s">
        <v>264</v>
      </c>
      <c r="DA2041" s="6">
        <f>1</f>
        <v>1</v>
      </c>
      <c r="DC2041" s="4" t="s">
        <v>325</v>
      </c>
      <c r="DD2041" s="4" t="s">
        <v>241</v>
      </c>
      <c r="DF2041" s="4" t="s">
        <v>325</v>
      </c>
      <c r="DG2041" s="6">
        <f>1860</f>
        <v>1860</v>
      </c>
      <c r="DI2041" s="4" t="s">
        <v>241</v>
      </c>
      <c r="DJ2041" s="4" t="s">
        <v>241</v>
      </c>
      <c r="DK2041" s="4" t="s">
        <v>241</v>
      </c>
      <c r="DL2041" s="4" t="s">
        <v>241</v>
      </c>
      <c r="DP2041" s="4" t="s">
        <v>241</v>
      </c>
      <c r="DQ2041" s="4" t="s">
        <v>241</v>
      </c>
      <c r="DR2041" s="4" t="s">
        <v>241</v>
      </c>
      <c r="DS2041" s="4" t="s">
        <v>241</v>
      </c>
      <c r="DV2041" s="4" t="s">
        <v>426</v>
      </c>
      <c r="DW2041" s="4" t="s">
        <v>1932</v>
      </c>
      <c r="HO2041" s="4" t="s">
        <v>267</v>
      </c>
    </row>
    <row r="2042" spans="1:223" ht="19.5" customHeight="1" x14ac:dyDescent="0.4">
      <c r="A2042" s="4">
        <v>1</v>
      </c>
      <c r="B2042" s="4" t="s">
        <v>239</v>
      </c>
      <c r="C2042" s="4">
        <v>3745</v>
      </c>
      <c r="D2042" s="4">
        <v>1</v>
      </c>
      <c r="E2042" s="4">
        <v>1</v>
      </c>
      <c r="F2042" s="4" t="s">
        <v>268</v>
      </c>
      <c r="G2042" s="4" t="s">
        <v>241</v>
      </c>
      <c r="H2042" s="4" t="s">
        <v>241</v>
      </c>
      <c r="I2042" s="4" t="s">
        <v>424</v>
      </c>
      <c r="J2042" s="4" t="s">
        <v>274</v>
      </c>
      <c r="K2042" s="4" t="s">
        <v>251</v>
      </c>
      <c r="L2042" s="4" t="s">
        <v>423</v>
      </c>
      <c r="M2042" s="5" t="s">
        <v>4010</v>
      </c>
      <c r="N2042" s="6">
        <f>2484</f>
        <v>2484</v>
      </c>
      <c r="O2042" s="4" t="s">
        <v>265</v>
      </c>
      <c r="P2042" s="6">
        <f>1</f>
        <v>1</v>
      </c>
      <c r="Q2042" s="6">
        <f>0</f>
        <v>0</v>
      </c>
      <c r="S2042" s="6">
        <f>0</f>
        <v>0</v>
      </c>
      <c r="T2042" s="6">
        <f>1</f>
        <v>1</v>
      </c>
      <c r="U2042" s="5" t="s">
        <v>245</v>
      </c>
      <c r="V2042" s="4" t="s">
        <v>270</v>
      </c>
      <c r="W2042" s="4" t="s">
        <v>271</v>
      </c>
      <c r="X2042" s="4" t="s">
        <v>273</v>
      </c>
      <c r="Y2042" s="4" t="s">
        <v>241</v>
      </c>
      <c r="AB2042" s="4" t="s">
        <v>241</v>
      </c>
      <c r="AD2042" s="5" t="s">
        <v>241</v>
      </c>
      <c r="AG2042" s="5" t="s">
        <v>246</v>
      </c>
      <c r="AH2042" s="4" t="s">
        <v>241</v>
      </c>
      <c r="AI2042" s="4" t="s">
        <v>247</v>
      </c>
      <c r="AJ2042" s="4" t="s">
        <v>248</v>
      </c>
      <c r="AZ2042" s="4" t="s">
        <v>249</v>
      </c>
      <c r="BA2042" s="4" t="s">
        <v>241</v>
      </c>
      <c r="BB2042" s="4" t="s">
        <v>250</v>
      </c>
      <c r="BC2042" s="4" t="s">
        <v>241</v>
      </c>
      <c r="BD2042" s="4" t="s">
        <v>252</v>
      </c>
      <c r="BE2042" s="4" t="s">
        <v>241</v>
      </c>
      <c r="BI2042" s="4" t="s">
        <v>253</v>
      </c>
      <c r="BJ2042" s="5" t="s">
        <v>246</v>
      </c>
      <c r="BK2042" s="4" t="s">
        <v>254</v>
      </c>
      <c r="BL2042" s="4" t="s">
        <v>255</v>
      </c>
      <c r="BM2042" s="4" t="s">
        <v>241</v>
      </c>
      <c r="BN2042" s="6">
        <f>0</f>
        <v>0</v>
      </c>
      <c r="BO2042" s="6">
        <f>0</f>
        <v>0</v>
      </c>
      <c r="BP2042" s="4" t="s">
        <v>256</v>
      </c>
      <c r="BQ2042" s="4" t="s">
        <v>257</v>
      </c>
      <c r="CE2042" s="4" t="s">
        <v>241</v>
      </c>
      <c r="CF2042" s="4" t="s">
        <v>241</v>
      </c>
      <c r="CJ2042" s="4" t="s">
        <v>276</v>
      </c>
      <c r="CK2042" s="4" t="s">
        <v>259</v>
      </c>
      <c r="CL2042" s="4" t="s">
        <v>241</v>
      </c>
      <c r="CO2042" s="5" t="s">
        <v>260</v>
      </c>
      <c r="CP2042" s="4" t="s">
        <v>241</v>
      </c>
      <c r="CQ2042" s="4" t="s">
        <v>261</v>
      </c>
      <c r="CR2042" s="4" t="s">
        <v>241</v>
      </c>
      <c r="CS2042" s="4" t="s">
        <v>241</v>
      </c>
      <c r="CT2042" s="4">
        <v>0</v>
      </c>
      <c r="CU2042" s="4" t="s">
        <v>262</v>
      </c>
      <c r="CV2042" s="4" t="s">
        <v>263</v>
      </c>
      <c r="CW2042" s="4" t="s">
        <v>263</v>
      </c>
      <c r="CX2042" s="4" t="s">
        <v>264</v>
      </c>
      <c r="DA2042" s="6">
        <f>1</f>
        <v>1</v>
      </c>
      <c r="DC2042" s="4" t="s">
        <v>325</v>
      </c>
      <c r="DD2042" s="4" t="s">
        <v>241</v>
      </c>
      <c r="DF2042" s="4" t="s">
        <v>325</v>
      </c>
      <c r="DG2042" s="6">
        <f>2484</f>
        <v>2484</v>
      </c>
      <c r="DI2042" s="4" t="s">
        <v>241</v>
      </c>
      <c r="DJ2042" s="4" t="s">
        <v>241</v>
      </c>
      <c r="DK2042" s="4" t="s">
        <v>241</v>
      </c>
      <c r="DL2042" s="4" t="s">
        <v>241</v>
      </c>
      <c r="DP2042" s="4" t="s">
        <v>241</v>
      </c>
      <c r="DQ2042" s="4" t="s">
        <v>241</v>
      </c>
      <c r="DR2042" s="4" t="s">
        <v>241</v>
      </c>
      <c r="DS2042" s="4" t="s">
        <v>241</v>
      </c>
      <c r="DV2042" s="4" t="s">
        <v>426</v>
      </c>
      <c r="DW2042" s="4" t="s">
        <v>1629</v>
      </c>
      <c r="HO2042" s="4" t="s">
        <v>267</v>
      </c>
    </row>
    <row r="2043" spans="1:223" ht="19.5" customHeight="1" x14ac:dyDescent="0.4">
      <c r="A2043" s="4">
        <v>1</v>
      </c>
      <c r="B2043" s="4" t="s">
        <v>239</v>
      </c>
      <c r="C2043" s="4">
        <v>3746</v>
      </c>
      <c r="D2043" s="4">
        <v>1</v>
      </c>
      <c r="E2043" s="4">
        <v>1</v>
      </c>
      <c r="F2043" s="4" t="s">
        <v>268</v>
      </c>
      <c r="G2043" s="4" t="s">
        <v>241</v>
      </c>
      <c r="H2043" s="4" t="s">
        <v>241</v>
      </c>
      <c r="I2043" s="4" t="s">
        <v>424</v>
      </c>
      <c r="J2043" s="4" t="s">
        <v>274</v>
      </c>
      <c r="K2043" s="4" t="s">
        <v>251</v>
      </c>
      <c r="L2043" s="4" t="s">
        <v>423</v>
      </c>
      <c r="M2043" s="5" t="s">
        <v>4016</v>
      </c>
      <c r="N2043" s="6">
        <f>1299</f>
        <v>1299</v>
      </c>
      <c r="O2043" s="4" t="s">
        <v>265</v>
      </c>
      <c r="P2043" s="6">
        <f>1</f>
        <v>1</v>
      </c>
      <c r="Q2043" s="6">
        <f>0</f>
        <v>0</v>
      </c>
      <c r="S2043" s="6">
        <f>0</f>
        <v>0</v>
      </c>
      <c r="T2043" s="6">
        <f>1</f>
        <v>1</v>
      </c>
      <c r="U2043" s="5" t="s">
        <v>245</v>
      </c>
      <c r="V2043" s="4" t="s">
        <v>270</v>
      </c>
      <c r="W2043" s="4" t="s">
        <v>271</v>
      </c>
      <c r="X2043" s="4" t="s">
        <v>273</v>
      </c>
      <c r="Y2043" s="4" t="s">
        <v>241</v>
      </c>
      <c r="AB2043" s="4" t="s">
        <v>241</v>
      </c>
      <c r="AD2043" s="5" t="s">
        <v>241</v>
      </c>
      <c r="AG2043" s="5" t="s">
        <v>246</v>
      </c>
      <c r="AH2043" s="4" t="s">
        <v>241</v>
      </c>
      <c r="AI2043" s="4" t="s">
        <v>247</v>
      </c>
      <c r="AJ2043" s="4" t="s">
        <v>248</v>
      </c>
      <c r="AZ2043" s="4" t="s">
        <v>249</v>
      </c>
      <c r="BA2043" s="4" t="s">
        <v>241</v>
      </c>
      <c r="BB2043" s="4" t="s">
        <v>250</v>
      </c>
      <c r="BC2043" s="4" t="s">
        <v>241</v>
      </c>
      <c r="BD2043" s="4" t="s">
        <v>252</v>
      </c>
      <c r="BE2043" s="4" t="s">
        <v>241</v>
      </c>
      <c r="BI2043" s="4" t="s">
        <v>253</v>
      </c>
      <c r="BJ2043" s="5" t="s">
        <v>246</v>
      </c>
      <c r="BK2043" s="4" t="s">
        <v>254</v>
      </c>
      <c r="BL2043" s="4" t="s">
        <v>255</v>
      </c>
      <c r="BM2043" s="4" t="s">
        <v>241</v>
      </c>
      <c r="BN2043" s="6">
        <f>0</f>
        <v>0</v>
      </c>
      <c r="BO2043" s="6">
        <f>0</f>
        <v>0</v>
      </c>
      <c r="BP2043" s="4" t="s">
        <v>256</v>
      </c>
      <c r="BQ2043" s="4" t="s">
        <v>257</v>
      </c>
      <c r="CE2043" s="4" t="s">
        <v>241</v>
      </c>
      <c r="CF2043" s="4" t="s">
        <v>241</v>
      </c>
      <c r="CJ2043" s="4" t="s">
        <v>276</v>
      </c>
      <c r="CK2043" s="4" t="s">
        <v>259</v>
      </c>
      <c r="CL2043" s="4" t="s">
        <v>241</v>
      </c>
      <c r="CO2043" s="5" t="s">
        <v>260</v>
      </c>
      <c r="CP2043" s="4" t="s">
        <v>241</v>
      </c>
      <c r="CQ2043" s="4" t="s">
        <v>261</v>
      </c>
      <c r="CR2043" s="4" t="s">
        <v>241</v>
      </c>
      <c r="CS2043" s="4" t="s">
        <v>241</v>
      </c>
      <c r="CT2043" s="4">
        <v>0</v>
      </c>
      <c r="CU2043" s="4" t="s">
        <v>262</v>
      </c>
      <c r="CV2043" s="4" t="s">
        <v>263</v>
      </c>
      <c r="CW2043" s="4" t="s">
        <v>263</v>
      </c>
      <c r="CX2043" s="4" t="s">
        <v>264</v>
      </c>
      <c r="DA2043" s="6">
        <f>1</f>
        <v>1</v>
      </c>
      <c r="DC2043" s="4" t="s">
        <v>325</v>
      </c>
      <c r="DD2043" s="4" t="s">
        <v>241</v>
      </c>
      <c r="DF2043" s="4" t="s">
        <v>325</v>
      </c>
      <c r="DG2043" s="6">
        <f>1299</f>
        <v>1299</v>
      </c>
      <c r="DI2043" s="4" t="s">
        <v>241</v>
      </c>
      <c r="DJ2043" s="4" t="s">
        <v>241</v>
      </c>
      <c r="DK2043" s="4" t="s">
        <v>241</v>
      </c>
      <c r="DL2043" s="4" t="s">
        <v>241</v>
      </c>
      <c r="DP2043" s="4" t="s">
        <v>241</v>
      </c>
      <c r="DQ2043" s="4" t="s">
        <v>241</v>
      </c>
      <c r="DR2043" s="4" t="s">
        <v>241</v>
      </c>
      <c r="DS2043" s="4" t="s">
        <v>241</v>
      </c>
      <c r="DV2043" s="4" t="s">
        <v>426</v>
      </c>
      <c r="DW2043" s="4" t="s">
        <v>1627</v>
      </c>
      <c r="HO2043" s="4" t="s">
        <v>267</v>
      </c>
    </row>
    <row r="2044" spans="1:223" ht="19.5" customHeight="1" x14ac:dyDescent="0.4">
      <c r="A2044" s="4">
        <v>1</v>
      </c>
      <c r="B2044" s="4" t="s">
        <v>239</v>
      </c>
      <c r="C2044" s="4">
        <v>3747</v>
      </c>
      <c r="D2044" s="4">
        <v>1</v>
      </c>
      <c r="E2044" s="4">
        <v>1</v>
      </c>
      <c r="F2044" s="4" t="s">
        <v>268</v>
      </c>
      <c r="G2044" s="4" t="s">
        <v>241</v>
      </c>
      <c r="H2044" s="4" t="s">
        <v>241</v>
      </c>
      <c r="I2044" s="4" t="s">
        <v>424</v>
      </c>
      <c r="J2044" s="4" t="s">
        <v>274</v>
      </c>
      <c r="K2044" s="4" t="s">
        <v>251</v>
      </c>
      <c r="L2044" s="4" t="s">
        <v>423</v>
      </c>
      <c r="M2044" s="5" t="s">
        <v>4017</v>
      </c>
      <c r="N2044" s="6">
        <f>2004</f>
        <v>2004</v>
      </c>
      <c r="O2044" s="4" t="s">
        <v>265</v>
      </c>
      <c r="P2044" s="6">
        <f>1</f>
        <v>1</v>
      </c>
      <c r="Q2044" s="6">
        <f>0</f>
        <v>0</v>
      </c>
      <c r="S2044" s="6">
        <f>0</f>
        <v>0</v>
      </c>
      <c r="T2044" s="6">
        <f>1</f>
        <v>1</v>
      </c>
      <c r="U2044" s="5" t="s">
        <v>245</v>
      </c>
      <c r="V2044" s="4" t="s">
        <v>270</v>
      </c>
      <c r="W2044" s="4" t="s">
        <v>271</v>
      </c>
      <c r="X2044" s="4" t="s">
        <v>273</v>
      </c>
      <c r="Y2044" s="4" t="s">
        <v>241</v>
      </c>
      <c r="AB2044" s="4" t="s">
        <v>241</v>
      </c>
      <c r="AD2044" s="5" t="s">
        <v>241</v>
      </c>
      <c r="AG2044" s="5" t="s">
        <v>246</v>
      </c>
      <c r="AH2044" s="4" t="s">
        <v>241</v>
      </c>
      <c r="AI2044" s="4" t="s">
        <v>247</v>
      </c>
      <c r="AJ2044" s="4" t="s">
        <v>248</v>
      </c>
      <c r="AZ2044" s="4" t="s">
        <v>249</v>
      </c>
      <c r="BA2044" s="4" t="s">
        <v>241</v>
      </c>
      <c r="BB2044" s="4" t="s">
        <v>250</v>
      </c>
      <c r="BC2044" s="4" t="s">
        <v>241</v>
      </c>
      <c r="BD2044" s="4" t="s">
        <v>252</v>
      </c>
      <c r="BE2044" s="4" t="s">
        <v>241</v>
      </c>
      <c r="BI2044" s="4" t="s">
        <v>253</v>
      </c>
      <c r="BJ2044" s="5" t="s">
        <v>246</v>
      </c>
      <c r="BK2044" s="4" t="s">
        <v>254</v>
      </c>
      <c r="BL2044" s="4" t="s">
        <v>255</v>
      </c>
      <c r="BM2044" s="4" t="s">
        <v>241</v>
      </c>
      <c r="BN2044" s="6">
        <f>0</f>
        <v>0</v>
      </c>
      <c r="BO2044" s="6">
        <f>0</f>
        <v>0</v>
      </c>
      <c r="BP2044" s="4" t="s">
        <v>256</v>
      </c>
      <c r="BQ2044" s="4" t="s">
        <v>257</v>
      </c>
      <c r="CE2044" s="4" t="s">
        <v>241</v>
      </c>
      <c r="CF2044" s="4" t="s">
        <v>241</v>
      </c>
      <c r="CJ2044" s="4" t="s">
        <v>276</v>
      </c>
      <c r="CK2044" s="4" t="s">
        <v>259</v>
      </c>
      <c r="CL2044" s="4" t="s">
        <v>241</v>
      </c>
      <c r="CO2044" s="5" t="s">
        <v>260</v>
      </c>
      <c r="CP2044" s="4" t="s">
        <v>241</v>
      </c>
      <c r="CQ2044" s="4" t="s">
        <v>261</v>
      </c>
      <c r="CR2044" s="4" t="s">
        <v>241</v>
      </c>
      <c r="CS2044" s="4" t="s">
        <v>241</v>
      </c>
      <c r="CT2044" s="4">
        <v>0</v>
      </c>
      <c r="CU2044" s="4" t="s">
        <v>262</v>
      </c>
      <c r="CV2044" s="4" t="s">
        <v>263</v>
      </c>
      <c r="CW2044" s="4" t="s">
        <v>263</v>
      </c>
      <c r="CX2044" s="4" t="s">
        <v>264</v>
      </c>
      <c r="DA2044" s="6">
        <f>1</f>
        <v>1</v>
      </c>
      <c r="DC2044" s="4" t="s">
        <v>325</v>
      </c>
      <c r="DD2044" s="4" t="s">
        <v>241</v>
      </c>
      <c r="DF2044" s="4" t="s">
        <v>325</v>
      </c>
      <c r="DG2044" s="6">
        <f>2004</f>
        <v>2004</v>
      </c>
      <c r="DI2044" s="4" t="s">
        <v>241</v>
      </c>
      <c r="DJ2044" s="4" t="s">
        <v>241</v>
      </c>
      <c r="DK2044" s="4" t="s">
        <v>241</v>
      </c>
      <c r="DL2044" s="4" t="s">
        <v>241</v>
      </c>
      <c r="DP2044" s="4" t="s">
        <v>241</v>
      </c>
      <c r="DQ2044" s="4" t="s">
        <v>241</v>
      </c>
      <c r="DR2044" s="4" t="s">
        <v>241</v>
      </c>
      <c r="DS2044" s="4" t="s">
        <v>241</v>
      </c>
      <c r="DV2044" s="4" t="s">
        <v>426</v>
      </c>
      <c r="DW2044" s="4" t="s">
        <v>1949</v>
      </c>
      <c r="HO2044" s="4" t="s">
        <v>267</v>
      </c>
    </row>
    <row r="2045" spans="1:223" ht="19.5" customHeight="1" x14ac:dyDescent="0.4">
      <c r="A2045" s="4">
        <v>1</v>
      </c>
      <c r="B2045" s="4" t="s">
        <v>239</v>
      </c>
      <c r="C2045" s="4">
        <v>3748</v>
      </c>
      <c r="D2045" s="4">
        <v>1</v>
      </c>
      <c r="E2045" s="4">
        <v>1</v>
      </c>
      <c r="F2045" s="4" t="s">
        <v>268</v>
      </c>
      <c r="G2045" s="4" t="s">
        <v>241</v>
      </c>
      <c r="H2045" s="4" t="s">
        <v>241</v>
      </c>
      <c r="I2045" s="4" t="s">
        <v>424</v>
      </c>
      <c r="J2045" s="4" t="s">
        <v>274</v>
      </c>
      <c r="K2045" s="4" t="s">
        <v>251</v>
      </c>
      <c r="L2045" s="4" t="s">
        <v>423</v>
      </c>
      <c r="M2045" s="5" t="s">
        <v>4019</v>
      </c>
      <c r="N2045" s="6">
        <f>133</f>
        <v>133</v>
      </c>
      <c r="O2045" s="4" t="s">
        <v>265</v>
      </c>
      <c r="P2045" s="6">
        <f>1</f>
        <v>1</v>
      </c>
      <c r="Q2045" s="6">
        <f>0</f>
        <v>0</v>
      </c>
      <c r="S2045" s="6">
        <f>0</f>
        <v>0</v>
      </c>
      <c r="T2045" s="6">
        <f>1</f>
        <v>1</v>
      </c>
      <c r="U2045" s="5" t="s">
        <v>245</v>
      </c>
      <c r="V2045" s="4" t="s">
        <v>270</v>
      </c>
      <c r="W2045" s="4" t="s">
        <v>271</v>
      </c>
      <c r="X2045" s="4" t="s">
        <v>273</v>
      </c>
      <c r="Y2045" s="4" t="s">
        <v>241</v>
      </c>
      <c r="AB2045" s="4" t="s">
        <v>241</v>
      </c>
      <c r="AD2045" s="5" t="s">
        <v>241</v>
      </c>
      <c r="AG2045" s="5" t="s">
        <v>246</v>
      </c>
      <c r="AH2045" s="4" t="s">
        <v>241</v>
      </c>
      <c r="AI2045" s="4" t="s">
        <v>247</v>
      </c>
      <c r="AJ2045" s="4" t="s">
        <v>248</v>
      </c>
      <c r="AZ2045" s="4" t="s">
        <v>249</v>
      </c>
      <c r="BA2045" s="4" t="s">
        <v>241</v>
      </c>
      <c r="BB2045" s="4" t="s">
        <v>250</v>
      </c>
      <c r="BC2045" s="4" t="s">
        <v>241</v>
      </c>
      <c r="BD2045" s="4" t="s">
        <v>252</v>
      </c>
      <c r="BE2045" s="4" t="s">
        <v>241</v>
      </c>
      <c r="BI2045" s="4" t="s">
        <v>253</v>
      </c>
      <c r="BJ2045" s="5" t="s">
        <v>246</v>
      </c>
      <c r="BK2045" s="4" t="s">
        <v>254</v>
      </c>
      <c r="BL2045" s="4" t="s">
        <v>255</v>
      </c>
      <c r="BM2045" s="4" t="s">
        <v>241</v>
      </c>
      <c r="BN2045" s="6">
        <f>0</f>
        <v>0</v>
      </c>
      <c r="BO2045" s="6">
        <f>0</f>
        <v>0</v>
      </c>
      <c r="BP2045" s="4" t="s">
        <v>256</v>
      </c>
      <c r="BQ2045" s="4" t="s">
        <v>257</v>
      </c>
      <c r="CE2045" s="4" t="s">
        <v>241</v>
      </c>
      <c r="CF2045" s="4" t="s">
        <v>241</v>
      </c>
      <c r="CJ2045" s="4" t="s">
        <v>276</v>
      </c>
      <c r="CK2045" s="4" t="s">
        <v>259</v>
      </c>
      <c r="CL2045" s="4" t="s">
        <v>241</v>
      </c>
      <c r="CO2045" s="5" t="s">
        <v>260</v>
      </c>
      <c r="CP2045" s="4" t="s">
        <v>241</v>
      </c>
      <c r="CQ2045" s="4" t="s">
        <v>261</v>
      </c>
      <c r="CR2045" s="4" t="s">
        <v>241</v>
      </c>
      <c r="CS2045" s="4" t="s">
        <v>241</v>
      </c>
      <c r="CT2045" s="4">
        <v>0</v>
      </c>
      <c r="CU2045" s="4" t="s">
        <v>262</v>
      </c>
      <c r="CV2045" s="4" t="s">
        <v>263</v>
      </c>
      <c r="CW2045" s="4" t="s">
        <v>263</v>
      </c>
      <c r="CX2045" s="4" t="s">
        <v>264</v>
      </c>
      <c r="DA2045" s="6">
        <f>1</f>
        <v>1</v>
      </c>
      <c r="DC2045" s="4" t="s">
        <v>325</v>
      </c>
      <c r="DD2045" s="4" t="s">
        <v>241</v>
      </c>
      <c r="DF2045" s="4" t="s">
        <v>325</v>
      </c>
      <c r="DG2045" s="6">
        <f>133</f>
        <v>133</v>
      </c>
      <c r="DI2045" s="4" t="s">
        <v>241</v>
      </c>
      <c r="DJ2045" s="4" t="s">
        <v>241</v>
      </c>
      <c r="DK2045" s="4" t="s">
        <v>241</v>
      </c>
      <c r="DL2045" s="4" t="s">
        <v>241</v>
      </c>
      <c r="DP2045" s="4" t="s">
        <v>241</v>
      </c>
      <c r="DQ2045" s="4" t="s">
        <v>241</v>
      </c>
      <c r="DR2045" s="4" t="s">
        <v>241</v>
      </c>
      <c r="DS2045" s="4" t="s">
        <v>241</v>
      </c>
      <c r="DV2045" s="4" t="s">
        <v>426</v>
      </c>
      <c r="DW2045" s="4" t="s">
        <v>2004</v>
      </c>
      <c r="HO2045" s="4" t="s">
        <v>267</v>
      </c>
    </row>
    <row r="2046" spans="1:223" ht="19.5" customHeight="1" x14ac:dyDescent="0.4">
      <c r="A2046" s="4">
        <v>1</v>
      </c>
      <c r="B2046" s="4" t="s">
        <v>239</v>
      </c>
      <c r="C2046" s="4">
        <v>3749</v>
      </c>
      <c r="D2046" s="4">
        <v>1</v>
      </c>
      <c r="E2046" s="4">
        <v>1</v>
      </c>
      <c r="F2046" s="4" t="s">
        <v>268</v>
      </c>
      <c r="G2046" s="4" t="s">
        <v>241</v>
      </c>
      <c r="H2046" s="4" t="s">
        <v>241</v>
      </c>
      <c r="I2046" s="4" t="s">
        <v>424</v>
      </c>
      <c r="J2046" s="4" t="s">
        <v>274</v>
      </c>
      <c r="K2046" s="4" t="s">
        <v>251</v>
      </c>
      <c r="L2046" s="4" t="s">
        <v>423</v>
      </c>
      <c r="M2046" s="5" t="s">
        <v>4020</v>
      </c>
      <c r="N2046" s="6">
        <f>264</f>
        <v>264</v>
      </c>
      <c r="O2046" s="4" t="s">
        <v>265</v>
      </c>
      <c r="P2046" s="6">
        <f>1</f>
        <v>1</v>
      </c>
      <c r="Q2046" s="6">
        <f>0</f>
        <v>0</v>
      </c>
      <c r="S2046" s="6">
        <f>0</f>
        <v>0</v>
      </c>
      <c r="T2046" s="6">
        <f>1</f>
        <v>1</v>
      </c>
      <c r="U2046" s="5" t="s">
        <v>245</v>
      </c>
      <c r="V2046" s="4" t="s">
        <v>270</v>
      </c>
      <c r="W2046" s="4" t="s">
        <v>271</v>
      </c>
      <c r="X2046" s="4" t="s">
        <v>273</v>
      </c>
      <c r="Y2046" s="4" t="s">
        <v>241</v>
      </c>
      <c r="AB2046" s="4" t="s">
        <v>241</v>
      </c>
      <c r="AD2046" s="5" t="s">
        <v>241</v>
      </c>
      <c r="AG2046" s="5" t="s">
        <v>246</v>
      </c>
      <c r="AH2046" s="4" t="s">
        <v>241</v>
      </c>
      <c r="AI2046" s="4" t="s">
        <v>247</v>
      </c>
      <c r="AJ2046" s="4" t="s">
        <v>248</v>
      </c>
      <c r="AZ2046" s="4" t="s">
        <v>249</v>
      </c>
      <c r="BA2046" s="4" t="s">
        <v>241</v>
      </c>
      <c r="BB2046" s="4" t="s">
        <v>250</v>
      </c>
      <c r="BC2046" s="4" t="s">
        <v>241</v>
      </c>
      <c r="BD2046" s="4" t="s">
        <v>252</v>
      </c>
      <c r="BE2046" s="4" t="s">
        <v>241</v>
      </c>
      <c r="BI2046" s="4" t="s">
        <v>253</v>
      </c>
      <c r="BJ2046" s="5" t="s">
        <v>246</v>
      </c>
      <c r="BK2046" s="4" t="s">
        <v>254</v>
      </c>
      <c r="BL2046" s="4" t="s">
        <v>255</v>
      </c>
      <c r="BM2046" s="4" t="s">
        <v>241</v>
      </c>
      <c r="BN2046" s="6">
        <f>0</f>
        <v>0</v>
      </c>
      <c r="BO2046" s="6">
        <f>0</f>
        <v>0</v>
      </c>
      <c r="BP2046" s="4" t="s">
        <v>256</v>
      </c>
      <c r="BQ2046" s="4" t="s">
        <v>257</v>
      </c>
      <c r="CE2046" s="4" t="s">
        <v>241</v>
      </c>
      <c r="CF2046" s="4" t="s">
        <v>241</v>
      </c>
      <c r="CJ2046" s="4" t="s">
        <v>276</v>
      </c>
      <c r="CK2046" s="4" t="s">
        <v>259</v>
      </c>
      <c r="CL2046" s="4" t="s">
        <v>241</v>
      </c>
      <c r="CO2046" s="5" t="s">
        <v>260</v>
      </c>
      <c r="CP2046" s="4" t="s">
        <v>241</v>
      </c>
      <c r="CQ2046" s="4" t="s">
        <v>261</v>
      </c>
      <c r="CR2046" s="4" t="s">
        <v>241</v>
      </c>
      <c r="CS2046" s="4" t="s">
        <v>241</v>
      </c>
      <c r="CT2046" s="4">
        <v>0</v>
      </c>
      <c r="CU2046" s="4" t="s">
        <v>262</v>
      </c>
      <c r="CV2046" s="4" t="s">
        <v>263</v>
      </c>
      <c r="CW2046" s="4" t="s">
        <v>263</v>
      </c>
      <c r="CX2046" s="4" t="s">
        <v>264</v>
      </c>
      <c r="DA2046" s="6">
        <f>1</f>
        <v>1</v>
      </c>
      <c r="DC2046" s="4" t="s">
        <v>325</v>
      </c>
      <c r="DD2046" s="4" t="s">
        <v>241</v>
      </c>
      <c r="DF2046" s="4" t="s">
        <v>325</v>
      </c>
      <c r="DG2046" s="6">
        <f>264</f>
        <v>264</v>
      </c>
      <c r="DI2046" s="4" t="s">
        <v>241</v>
      </c>
      <c r="DJ2046" s="4" t="s">
        <v>241</v>
      </c>
      <c r="DK2046" s="4" t="s">
        <v>241</v>
      </c>
      <c r="DL2046" s="4" t="s">
        <v>241</v>
      </c>
      <c r="DP2046" s="4" t="s">
        <v>241</v>
      </c>
      <c r="DQ2046" s="4" t="s">
        <v>241</v>
      </c>
      <c r="DR2046" s="4" t="s">
        <v>241</v>
      </c>
      <c r="DS2046" s="4" t="s">
        <v>241</v>
      </c>
      <c r="DV2046" s="4" t="s">
        <v>426</v>
      </c>
      <c r="DW2046" s="4" t="s">
        <v>1525</v>
      </c>
      <c r="HO2046" s="4" t="s">
        <v>267</v>
      </c>
    </row>
    <row r="2047" spans="1:223" ht="19.5" customHeight="1" x14ac:dyDescent="0.4">
      <c r="A2047" s="4">
        <v>1</v>
      </c>
      <c r="B2047" s="4" t="s">
        <v>239</v>
      </c>
      <c r="C2047" s="4">
        <v>3750</v>
      </c>
      <c r="D2047" s="4">
        <v>1</v>
      </c>
      <c r="E2047" s="4">
        <v>1</v>
      </c>
      <c r="F2047" s="4" t="s">
        <v>268</v>
      </c>
      <c r="G2047" s="4" t="s">
        <v>241</v>
      </c>
      <c r="H2047" s="4" t="s">
        <v>241</v>
      </c>
      <c r="I2047" s="4" t="s">
        <v>424</v>
      </c>
      <c r="J2047" s="4" t="s">
        <v>274</v>
      </c>
      <c r="K2047" s="4" t="s">
        <v>251</v>
      </c>
      <c r="L2047" s="4" t="s">
        <v>423</v>
      </c>
      <c r="M2047" s="5" t="s">
        <v>4023</v>
      </c>
      <c r="N2047" s="6">
        <f>462</f>
        <v>462</v>
      </c>
      <c r="O2047" s="4" t="s">
        <v>265</v>
      </c>
      <c r="P2047" s="6">
        <f>1</f>
        <v>1</v>
      </c>
      <c r="Q2047" s="6">
        <f>0</f>
        <v>0</v>
      </c>
      <c r="S2047" s="6">
        <f>0</f>
        <v>0</v>
      </c>
      <c r="T2047" s="6">
        <f>1</f>
        <v>1</v>
      </c>
      <c r="U2047" s="5" t="s">
        <v>245</v>
      </c>
      <c r="V2047" s="4" t="s">
        <v>270</v>
      </c>
      <c r="W2047" s="4" t="s">
        <v>271</v>
      </c>
      <c r="X2047" s="4" t="s">
        <v>273</v>
      </c>
      <c r="Y2047" s="4" t="s">
        <v>241</v>
      </c>
      <c r="AB2047" s="4" t="s">
        <v>241</v>
      </c>
      <c r="AD2047" s="5" t="s">
        <v>241</v>
      </c>
      <c r="AG2047" s="5" t="s">
        <v>246</v>
      </c>
      <c r="AH2047" s="4" t="s">
        <v>241</v>
      </c>
      <c r="AI2047" s="4" t="s">
        <v>247</v>
      </c>
      <c r="AJ2047" s="4" t="s">
        <v>248</v>
      </c>
      <c r="AZ2047" s="4" t="s">
        <v>249</v>
      </c>
      <c r="BA2047" s="4" t="s">
        <v>241</v>
      </c>
      <c r="BB2047" s="4" t="s">
        <v>250</v>
      </c>
      <c r="BC2047" s="4" t="s">
        <v>241</v>
      </c>
      <c r="BD2047" s="4" t="s">
        <v>252</v>
      </c>
      <c r="BE2047" s="4" t="s">
        <v>241</v>
      </c>
      <c r="BI2047" s="4" t="s">
        <v>253</v>
      </c>
      <c r="BJ2047" s="5" t="s">
        <v>246</v>
      </c>
      <c r="BK2047" s="4" t="s">
        <v>254</v>
      </c>
      <c r="BL2047" s="4" t="s">
        <v>255</v>
      </c>
      <c r="BM2047" s="4" t="s">
        <v>241</v>
      </c>
      <c r="BN2047" s="6">
        <f>0</f>
        <v>0</v>
      </c>
      <c r="BO2047" s="6">
        <f>0</f>
        <v>0</v>
      </c>
      <c r="BP2047" s="4" t="s">
        <v>256</v>
      </c>
      <c r="BQ2047" s="4" t="s">
        <v>257</v>
      </c>
      <c r="CE2047" s="4" t="s">
        <v>241</v>
      </c>
      <c r="CF2047" s="4" t="s">
        <v>241</v>
      </c>
      <c r="CJ2047" s="4" t="s">
        <v>276</v>
      </c>
      <c r="CK2047" s="4" t="s">
        <v>259</v>
      </c>
      <c r="CL2047" s="4" t="s">
        <v>241</v>
      </c>
      <c r="CO2047" s="5" t="s">
        <v>260</v>
      </c>
      <c r="CP2047" s="4" t="s">
        <v>241</v>
      </c>
      <c r="CQ2047" s="4" t="s">
        <v>261</v>
      </c>
      <c r="CR2047" s="4" t="s">
        <v>241</v>
      </c>
      <c r="CS2047" s="4" t="s">
        <v>241</v>
      </c>
      <c r="CT2047" s="4">
        <v>0</v>
      </c>
      <c r="CU2047" s="4" t="s">
        <v>262</v>
      </c>
      <c r="CV2047" s="4" t="s">
        <v>263</v>
      </c>
      <c r="CW2047" s="4" t="s">
        <v>263</v>
      </c>
      <c r="CX2047" s="4" t="s">
        <v>264</v>
      </c>
      <c r="DA2047" s="6">
        <f>1</f>
        <v>1</v>
      </c>
      <c r="DC2047" s="4" t="s">
        <v>325</v>
      </c>
      <c r="DD2047" s="4" t="s">
        <v>241</v>
      </c>
      <c r="DF2047" s="4" t="s">
        <v>325</v>
      </c>
      <c r="DG2047" s="6">
        <f>462</f>
        <v>462</v>
      </c>
      <c r="DI2047" s="4" t="s">
        <v>241</v>
      </c>
      <c r="DJ2047" s="4" t="s">
        <v>241</v>
      </c>
      <c r="DK2047" s="4" t="s">
        <v>241</v>
      </c>
      <c r="DL2047" s="4" t="s">
        <v>241</v>
      </c>
      <c r="DP2047" s="4" t="s">
        <v>241</v>
      </c>
      <c r="DQ2047" s="4" t="s">
        <v>241</v>
      </c>
      <c r="DR2047" s="4" t="s">
        <v>241</v>
      </c>
      <c r="DS2047" s="4" t="s">
        <v>241</v>
      </c>
      <c r="DV2047" s="4" t="s">
        <v>426</v>
      </c>
      <c r="DW2047" s="4" t="s">
        <v>1990</v>
      </c>
      <c r="HO2047" s="4" t="s">
        <v>267</v>
      </c>
    </row>
    <row r="2048" spans="1:223" ht="19.5" customHeight="1" x14ac:dyDescent="0.4">
      <c r="A2048" s="4">
        <v>1</v>
      </c>
      <c r="B2048" s="4" t="s">
        <v>239</v>
      </c>
      <c r="C2048" s="4">
        <v>3751</v>
      </c>
      <c r="D2048" s="4">
        <v>1</v>
      </c>
      <c r="E2048" s="4">
        <v>1</v>
      </c>
      <c r="F2048" s="4" t="s">
        <v>268</v>
      </c>
      <c r="G2048" s="4" t="s">
        <v>241</v>
      </c>
      <c r="H2048" s="4" t="s">
        <v>241</v>
      </c>
      <c r="I2048" s="4" t="s">
        <v>424</v>
      </c>
      <c r="J2048" s="4" t="s">
        <v>274</v>
      </c>
      <c r="K2048" s="4" t="s">
        <v>251</v>
      </c>
      <c r="L2048" s="4" t="s">
        <v>423</v>
      </c>
      <c r="M2048" s="5" t="s">
        <v>4024</v>
      </c>
      <c r="N2048" s="6">
        <f>415</f>
        <v>415</v>
      </c>
      <c r="O2048" s="4" t="s">
        <v>265</v>
      </c>
      <c r="P2048" s="6">
        <f>1</f>
        <v>1</v>
      </c>
      <c r="Q2048" s="6">
        <f>0</f>
        <v>0</v>
      </c>
      <c r="S2048" s="6">
        <f>0</f>
        <v>0</v>
      </c>
      <c r="T2048" s="6">
        <f>1</f>
        <v>1</v>
      </c>
      <c r="U2048" s="5" t="s">
        <v>245</v>
      </c>
      <c r="V2048" s="4" t="s">
        <v>270</v>
      </c>
      <c r="W2048" s="4" t="s">
        <v>271</v>
      </c>
      <c r="X2048" s="4" t="s">
        <v>273</v>
      </c>
      <c r="Y2048" s="4" t="s">
        <v>241</v>
      </c>
      <c r="AB2048" s="4" t="s">
        <v>241</v>
      </c>
      <c r="AD2048" s="5" t="s">
        <v>241</v>
      </c>
      <c r="AG2048" s="5" t="s">
        <v>246</v>
      </c>
      <c r="AH2048" s="4" t="s">
        <v>241</v>
      </c>
      <c r="AI2048" s="4" t="s">
        <v>247</v>
      </c>
      <c r="AJ2048" s="4" t="s">
        <v>248</v>
      </c>
      <c r="AZ2048" s="4" t="s">
        <v>249</v>
      </c>
      <c r="BA2048" s="4" t="s">
        <v>241</v>
      </c>
      <c r="BB2048" s="4" t="s">
        <v>250</v>
      </c>
      <c r="BC2048" s="4" t="s">
        <v>241</v>
      </c>
      <c r="BD2048" s="4" t="s">
        <v>252</v>
      </c>
      <c r="BE2048" s="4" t="s">
        <v>241</v>
      </c>
      <c r="BI2048" s="4" t="s">
        <v>253</v>
      </c>
      <c r="BJ2048" s="5" t="s">
        <v>246</v>
      </c>
      <c r="BK2048" s="4" t="s">
        <v>254</v>
      </c>
      <c r="BL2048" s="4" t="s">
        <v>255</v>
      </c>
      <c r="BM2048" s="4" t="s">
        <v>241</v>
      </c>
      <c r="BN2048" s="6">
        <f>0</f>
        <v>0</v>
      </c>
      <c r="BO2048" s="6">
        <f>0</f>
        <v>0</v>
      </c>
      <c r="BP2048" s="4" t="s">
        <v>256</v>
      </c>
      <c r="BQ2048" s="4" t="s">
        <v>257</v>
      </c>
      <c r="CE2048" s="4" t="s">
        <v>241</v>
      </c>
      <c r="CF2048" s="4" t="s">
        <v>241</v>
      </c>
      <c r="CJ2048" s="4" t="s">
        <v>276</v>
      </c>
      <c r="CK2048" s="4" t="s">
        <v>259</v>
      </c>
      <c r="CL2048" s="4" t="s">
        <v>241</v>
      </c>
      <c r="CO2048" s="5" t="s">
        <v>260</v>
      </c>
      <c r="CP2048" s="4" t="s">
        <v>241</v>
      </c>
      <c r="CQ2048" s="4" t="s">
        <v>261</v>
      </c>
      <c r="CR2048" s="4" t="s">
        <v>241</v>
      </c>
      <c r="CS2048" s="4" t="s">
        <v>241</v>
      </c>
      <c r="CT2048" s="4">
        <v>0</v>
      </c>
      <c r="CU2048" s="4" t="s">
        <v>262</v>
      </c>
      <c r="CV2048" s="4" t="s">
        <v>263</v>
      </c>
      <c r="CW2048" s="4" t="s">
        <v>263</v>
      </c>
      <c r="CX2048" s="4" t="s">
        <v>264</v>
      </c>
      <c r="DA2048" s="6">
        <f>1</f>
        <v>1</v>
      </c>
      <c r="DC2048" s="4" t="s">
        <v>325</v>
      </c>
      <c r="DD2048" s="4" t="s">
        <v>241</v>
      </c>
      <c r="DF2048" s="4" t="s">
        <v>325</v>
      </c>
      <c r="DG2048" s="6">
        <f>415</f>
        <v>415</v>
      </c>
      <c r="DI2048" s="4" t="s">
        <v>241</v>
      </c>
      <c r="DJ2048" s="4" t="s">
        <v>241</v>
      </c>
      <c r="DK2048" s="4" t="s">
        <v>241</v>
      </c>
      <c r="DL2048" s="4" t="s">
        <v>241</v>
      </c>
      <c r="DP2048" s="4" t="s">
        <v>241</v>
      </c>
      <c r="DQ2048" s="4" t="s">
        <v>241</v>
      </c>
      <c r="DR2048" s="4" t="s">
        <v>241</v>
      </c>
      <c r="DS2048" s="4" t="s">
        <v>241</v>
      </c>
      <c r="DV2048" s="4" t="s">
        <v>426</v>
      </c>
      <c r="DW2048" s="4" t="s">
        <v>1943</v>
      </c>
      <c r="HO2048" s="4" t="s">
        <v>267</v>
      </c>
    </row>
    <row r="2049" spans="1:223" ht="19.5" customHeight="1" x14ac:dyDescent="0.4">
      <c r="A2049" s="4">
        <v>1</v>
      </c>
      <c r="B2049" s="4" t="s">
        <v>239</v>
      </c>
      <c r="C2049" s="4">
        <v>3752</v>
      </c>
      <c r="D2049" s="4">
        <v>1</v>
      </c>
      <c r="E2049" s="4">
        <v>1</v>
      </c>
      <c r="F2049" s="4" t="s">
        <v>268</v>
      </c>
      <c r="G2049" s="4" t="s">
        <v>241</v>
      </c>
      <c r="H2049" s="4" t="s">
        <v>241</v>
      </c>
      <c r="I2049" s="4" t="s">
        <v>424</v>
      </c>
      <c r="J2049" s="4" t="s">
        <v>274</v>
      </c>
      <c r="K2049" s="4" t="s">
        <v>251</v>
      </c>
      <c r="L2049" s="4" t="s">
        <v>423</v>
      </c>
      <c r="M2049" s="5" t="s">
        <v>4705</v>
      </c>
      <c r="N2049" s="6">
        <f>339</f>
        <v>339</v>
      </c>
      <c r="O2049" s="4" t="s">
        <v>265</v>
      </c>
      <c r="P2049" s="6">
        <f>1</f>
        <v>1</v>
      </c>
      <c r="Q2049" s="6">
        <f>0</f>
        <v>0</v>
      </c>
      <c r="S2049" s="6">
        <f>0</f>
        <v>0</v>
      </c>
      <c r="T2049" s="6">
        <f>1</f>
        <v>1</v>
      </c>
      <c r="U2049" s="5" t="s">
        <v>245</v>
      </c>
      <c r="V2049" s="4" t="s">
        <v>270</v>
      </c>
      <c r="W2049" s="4" t="s">
        <v>271</v>
      </c>
      <c r="X2049" s="4" t="s">
        <v>273</v>
      </c>
      <c r="Y2049" s="4" t="s">
        <v>241</v>
      </c>
      <c r="AB2049" s="4" t="s">
        <v>241</v>
      </c>
      <c r="AD2049" s="5" t="s">
        <v>241</v>
      </c>
      <c r="AG2049" s="5" t="s">
        <v>246</v>
      </c>
      <c r="AH2049" s="4" t="s">
        <v>241</v>
      </c>
      <c r="AI2049" s="4" t="s">
        <v>247</v>
      </c>
      <c r="AJ2049" s="4" t="s">
        <v>248</v>
      </c>
      <c r="AZ2049" s="4" t="s">
        <v>249</v>
      </c>
      <c r="BA2049" s="4" t="s">
        <v>241</v>
      </c>
      <c r="BB2049" s="4" t="s">
        <v>250</v>
      </c>
      <c r="BC2049" s="4" t="s">
        <v>241</v>
      </c>
      <c r="BD2049" s="4" t="s">
        <v>252</v>
      </c>
      <c r="BE2049" s="4" t="s">
        <v>241</v>
      </c>
      <c r="BI2049" s="4" t="s">
        <v>253</v>
      </c>
      <c r="BJ2049" s="5" t="s">
        <v>246</v>
      </c>
      <c r="BK2049" s="4" t="s">
        <v>254</v>
      </c>
      <c r="BL2049" s="4" t="s">
        <v>255</v>
      </c>
      <c r="BM2049" s="4" t="s">
        <v>241</v>
      </c>
      <c r="BN2049" s="6">
        <f>0</f>
        <v>0</v>
      </c>
      <c r="BO2049" s="6">
        <f>0</f>
        <v>0</v>
      </c>
      <c r="BP2049" s="4" t="s">
        <v>256</v>
      </c>
      <c r="BQ2049" s="4" t="s">
        <v>257</v>
      </c>
      <c r="CE2049" s="4" t="s">
        <v>241</v>
      </c>
      <c r="CF2049" s="4" t="s">
        <v>241</v>
      </c>
      <c r="CJ2049" s="4" t="s">
        <v>276</v>
      </c>
      <c r="CK2049" s="4" t="s">
        <v>259</v>
      </c>
      <c r="CL2049" s="4" t="s">
        <v>241</v>
      </c>
      <c r="CO2049" s="5" t="s">
        <v>260</v>
      </c>
      <c r="CP2049" s="4" t="s">
        <v>241</v>
      </c>
      <c r="CQ2049" s="4" t="s">
        <v>261</v>
      </c>
      <c r="CR2049" s="4" t="s">
        <v>241</v>
      </c>
      <c r="CS2049" s="4" t="s">
        <v>241</v>
      </c>
      <c r="CT2049" s="4">
        <v>0</v>
      </c>
      <c r="CU2049" s="4" t="s">
        <v>262</v>
      </c>
      <c r="CV2049" s="4" t="s">
        <v>263</v>
      </c>
      <c r="CW2049" s="4" t="s">
        <v>263</v>
      </c>
      <c r="CX2049" s="4" t="s">
        <v>264</v>
      </c>
      <c r="DA2049" s="6">
        <f>1</f>
        <v>1</v>
      </c>
      <c r="DC2049" s="4" t="s">
        <v>325</v>
      </c>
      <c r="DD2049" s="4" t="s">
        <v>241</v>
      </c>
      <c r="DF2049" s="4" t="s">
        <v>325</v>
      </c>
      <c r="DG2049" s="6">
        <f>339</f>
        <v>339</v>
      </c>
      <c r="DI2049" s="4" t="s">
        <v>241</v>
      </c>
      <c r="DJ2049" s="4" t="s">
        <v>241</v>
      </c>
      <c r="DK2049" s="4" t="s">
        <v>241</v>
      </c>
      <c r="DL2049" s="4" t="s">
        <v>241</v>
      </c>
      <c r="DP2049" s="4" t="s">
        <v>241</v>
      </c>
      <c r="DQ2049" s="4" t="s">
        <v>241</v>
      </c>
      <c r="DR2049" s="4" t="s">
        <v>241</v>
      </c>
      <c r="DS2049" s="4" t="s">
        <v>241</v>
      </c>
      <c r="DV2049" s="4" t="s">
        <v>426</v>
      </c>
      <c r="DW2049" s="4" t="s">
        <v>1907</v>
      </c>
      <c r="HO2049" s="4" t="s">
        <v>267</v>
      </c>
    </row>
    <row r="2050" spans="1:223" ht="19.5" customHeight="1" x14ac:dyDescent="0.4">
      <c r="A2050" s="4">
        <v>1</v>
      </c>
      <c r="B2050" s="4" t="s">
        <v>239</v>
      </c>
      <c r="C2050" s="4">
        <v>3753</v>
      </c>
      <c r="D2050" s="4">
        <v>1</v>
      </c>
      <c r="E2050" s="4">
        <v>1</v>
      </c>
      <c r="F2050" s="4" t="s">
        <v>268</v>
      </c>
      <c r="G2050" s="4" t="s">
        <v>241</v>
      </c>
      <c r="H2050" s="4" t="s">
        <v>241</v>
      </c>
      <c r="I2050" s="4" t="s">
        <v>424</v>
      </c>
      <c r="J2050" s="4" t="s">
        <v>274</v>
      </c>
      <c r="K2050" s="4" t="s">
        <v>251</v>
      </c>
      <c r="L2050" s="4" t="s">
        <v>423</v>
      </c>
      <c r="M2050" s="5" t="s">
        <v>4027</v>
      </c>
      <c r="N2050" s="6">
        <f>1721</f>
        <v>1721</v>
      </c>
      <c r="O2050" s="4" t="s">
        <v>265</v>
      </c>
      <c r="P2050" s="6">
        <f>1</f>
        <v>1</v>
      </c>
      <c r="Q2050" s="6">
        <f>0</f>
        <v>0</v>
      </c>
      <c r="S2050" s="6">
        <f>0</f>
        <v>0</v>
      </c>
      <c r="T2050" s="6">
        <f>1</f>
        <v>1</v>
      </c>
      <c r="U2050" s="5" t="s">
        <v>245</v>
      </c>
      <c r="V2050" s="4" t="s">
        <v>270</v>
      </c>
      <c r="W2050" s="4" t="s">
        <v>271</v>
      </c>
      <c r="X2050" s="4" t="s">
        <v>273</v>
      </c>
      <c r="Y2050" s="4" t="s">
        <v>241</v>
      </c>
      <c r="AB2050" s="4" t="s">
        <v>241</v>
      </c>
      <c r="AD2050" s="5" t="s">
        <v>241</v>
      </c>
      <c r="AG2050" s="5" t="s">
        <v>246</v>
      </c>
      <c r="AH2050" s="4" t="s">
        <v>241</v>
      </c>
      <c r="AI2050" s="4" t="s">
        <v>247</v>
      </c>
      <c r="AJ2050" s="4" t="s">
        <v>248</v>
      </c>
      <c r="AZ2050" s="4" t="s">
        <v>249</v>
      </c>
      <c r="BA2050" s="4" t="s">
        <v>241</v>
      </c>
      <c r="BB2050" s="4" t="s">
        <v>250</v>
      </c>
      <c r="BC2050" s="4" t="s">
        <v>241</v>
      </c>
      <c r="BD2050" s="4" t="s">
        <v>252</v>
      </c>
      <c r="BE2050" s="4" t="s">
        <v>241</v>
      </c>
      <c r="BI2050" s="4" t="s">
        <v>253</v>
      </c>
      <c r="BJ2050" s="5" t="s">
        <v>246</v>
      </c>
      <c r="BK2050" s="4" t="s">
        <v>254</v>
      </c>
      <c r="BL2050" s="4" t="s">
        <v>255</v>
      </c>
      <c r="BM2050" s="4" t="s">
        <v>241</v>
      </c>
      <c r="BN2050" s="6">
        <f>0</f>
        <v>0</v>
      </c>
      <c r="BO2050" s="6">
        <f>0</f>
        <v>0</v>
      </c>
      <c r="BP2050" s="4" t="s">
        <v>256</v>
      </c>
      <c r="BQ2050" s="4" t="s">
        <v>257</v>
      </c>
      <c r="CE2050" s="4" t="s">
        <v>241</v>
      </c>
      <c r="CF2050" s="4" t="s">
        <v>241</v>
      </c>
      <c r="CJ2050" s="4" t="s">
        <v>276</v>
      </c>
      <c r="CK2050" s="4" t="s">
        <v>259</v>
      </c>
      <c r="CL2050" s="4" t="s">
        <v>241</v>
      </c>
      <c r="CO2050" s="5" t="s">
        <v>260</v>
      </c>
      <c r="CP2050" s="4" t="s">
        <v>241</v>
      </c>
      <c r="CQ2050" s="4" t="s">
        <v>261</v>
      </c>
      <c r="CR2050" s="4" t="s">
        <v>241</v>
      </c>
      <c r="CS2050" s="4" t="s">
        <v>241</v>
      </c>
      <c r="CT2050" s="4">
        <v>0</v>
      </c>
      <c r="CU2050" s="4" t="s">
        <v>262</v>
      </c>
      <c r="CV2050" s="4" t="s">
        <v>263</v>
      </c>
      <c r="CW2050" s="4" t="s">
        <v>263</v>
      </c>
      <c r="CX2050" s="4" t="s">
        <v>264</v>
      </c>
      <c r="DA2050" s="6">
        <f>1</f>
        <v>1</v>
      </c>
      <c r="DC2050" s="4" t="s">
        <v>325</v>
      </c>
      <c r="DD2050" s="4" t="s">
        <v>241</v>
      </c>
      <c r="DF2050" s="4" t="s">
        <v>325</v>
      </c>
      <c r="DG2050" s="6">
        <f>1721</f>
        <v>1721</v>
      </c>
      <c r="DI2050" s="4" t="s">
        <v>241</v>
      </c>
      <c r="DJ2050" s="4" t="s">
        <v>241</v>
      </c>
      <c r="DK2050" s="4" t="s">
        <v>241</v>
      </c>
      <c r="DL2050" s="4" t="s">
        <v>241</v>
      </c>
      <c r="DP2050" s="4" t="s">
        <v>241</v>
      </c>
      <c r="DQ2050" s="4" t="s">
        <v>241</v>
      </c>
      <c r="DR2050" s="4" t="s">
        <v>241</v>
      </c>
      <c r="DS2050" s="4" t="s">
        <v>241</v>
      </c>
      <c r="DV2050" s="4" t="s">
        <v>426</v>
      </c>
      <c r="DW2050" s="4" t="s">
        <v>2144</v>
      </c>
      <c r="HO2050" s="4" t="s">
        <v>267</v>
      </c>
    </row>
    <row r="2051" spans="1:223" ht="19.5" customHeight="1" x14ac:dyDescent="0.4">
      <c r="A2051" s="4">
        <v>1</v>
      </c>
      <c r="B2051" s="4" t="s">
        <v>239</v>
      </c>
      <c r="C2051" s="4">
        <v>3754</v>
      </c>
      <c r="D2051" s="4">
        <v>1</v>
      </c>
      <c r="E2051" s="4">
        <v>1</v>
      </c>
      <c r="F2051" s="4" t="s">
        <v>268</v>
      </c>
      <c r="G2051" s="4" t="s">
        <v>241</v>
      </c>
      <c r="H2051" s="4" t="s">
        <v>241</v>
      </c>
      <c r="I2051" s="4" t="s">
        <v>424</v>
      </c>
      <c r="J2051" s="4" t="s">
        <v>274</v>
      </c>
      <c r="K2051" s="4" t="s">
        <v>251</v>
      </c>
      <c r="L2051" s="4" t="s">
        <v>423</v>
      </c>
      <c r="M2051" s="5" t="s">
        <v>4032</v>
      </c>
      <c r="N2051" s="6">
        <f>1786</f>
        <v>1786</v>
      </c>
      <c r="O2051" s="4" t="s">
        <v>265</v>
      </c>
      <c r="P2051" s="6">
        <f>1</f>
        <v>1</v>
      </c>
      <c r="Q2051" s="6">
        <f>0</f>
        <v>0</v>
      </c>
      <c r="S2051" s="6">
        <f>0</f>
        <v>0</v>
      </c>
      <c r="T2051" s="6">
        <f>1</f>
        <v>1</v>
      </c>
      <c r="U2051" s="5" t="s">
        <v>245</v>
      </c>
      <c r="V2051" s="4" t="s">
        <v>270</v>
      </c>
      <c r="W2051" s="4" t="s">
        <v>271</v>
      </c>
      <c r="X2051" s="4" t="s">
        <v>273</v>
      </c>
      <c r="Y2051" s="4" t="s">
        <v>241</v>
      </c>
      <c r="AB2051" s="4" t="s">
        <v>241</v>
      </c>
      <c r="AD2051" s="5" t="s">
        <v>241</v>
      </c>
      <c r="AG2051" s="5" t="s">
        <v>246</v>
      </c>
      <c r="AH2051" s="4" t="s">
        <v>241</v>
      </c>
      <c r="AI2051" s="4" t="s">
        <v>247</v>
      </c>
      <c r="AJ2051" s="4" t="s">
        <v>248</v>
      </c>
      <c r="AZ2051" s="4" t="s">
        <v>249</v>
      </c>
      <c r="BA2051" s="4" t="s">
        <v>241</v>
      </c>
      <c r="BB2051" s="4" t="s">
        <v>250</v>
      </c>
      <c r="BC2051" s="4" t="s">
        <v>241</v>
      </c>
      <c r="BD2051" s="4" t="s">
        <v>252</v>
      </c>
      <c r="BE2051" s="4" t="s">
        <v>241</v>
      </c>
      <c r="BI2051" s="4" t="s">
        <v>253</v>
      </c>
      <c r="BJ2051" s="5" t="s">
        <v>246</v>
      </c>
      <c r="BK2051" s="4" t="s">
        <v>254</v>
      </c>
      <c r="BL2051" s="4" t="s">
        <v>255</v>
      </c>
      <c r="BM2051" s="4" t="s">
        <v>241</v>
      </c>
      <c r="BN2051" s="6">
        <f>0</f>
        <v>0</v>
      </c>
      <c r="BO2051" s="6">
        <f>0</f>
        <v>0</v>
      </c>
      <c r="BP2051" s="4" t="s">
        <v>256</v>
      </c>
      <c r="BQ2051" s="4" t="s">
        <v>257</v>
      </c>
      <c r="CE2051" s="4" t="s">
        <v>241</v>
      </c>
      <c r="CF2051" s="4" t="s">
        <v>241</v>
      </c>
      <c r="CJ2051" s="4" t="s">
        <v>276</v>
      </c>
      <c r="CK2051" s="4" t="s">
        <v>259</v>
      </c>
      <c r="CL2051" s="4" t="s">
        <v>241</v>
      </c>
      <c r="CO2051" s="5" t="s">
        <v>260</v>
      </c>
      <c r="CP2051" s="4" t="s">
        <v>241</v>
      </c>
      <c r="CQ2051" s="4" t="s">
        <v>261</v>
      </c>
      <c r="CR2051" s="4" t="s">
        <v>241</v>
      </c>
      <c r="CS2051" s="4" t="s">
        <v>241</v>
      </c>
      <c r="CT2051" s="4">
        <v>0</v>
      </c>
      <c r="CU2051" s="4" t="s">
        <v>262</v>
      </c>
      <c r="CV2051" s="4" t="s">
        <v>263</v>
      </c>
      <c r="CW2051" s="4" t="s">
        <v>263</v>
      </c>
      <c r="CX2051" s="4" t="s">
        <v>264</v>
      </c>
      <c r="DA2051" s="6">
        <f>1</f>
        <v>1</v>
      </c>
      <c r="DC2051" s="4" t="s">
        <v>325</v>
      </c>
      <c r="DD2051" s="4" t="s">
        <v>241</v>
      </c>
      <c r="DF2051" s="4" t="s">
        <v>325</v>
      </c>
      <c r="DG2051" s="6">
        <f>1786</f>
        <v>1786</v>
      </c>
      <c r="DI2051" s="4" t="s">
        <v>241</v>
      </c>
      <c r="DJ2051" s="4" t="s">
        <v>241</v>
      </c>
      <c r="DK2051" s="4" t="s">
        <v>241</v>
      </c>
      <c r="DL2051" s="4" t="s">
        <v>241</v>
      </c>
      <c r="DP2051" s="4" t="s">
        <v>241</v>
      </c>
      <c r="DQ2051" s="4" t="s">
        <v>241</v>
      </c>
      <c r="DR2051" s="4" t="s">
        <v>241</v>
      </c>
      <c r="DS2051" s="4" t="s">
        <v>241</v>
      </c>
      <c r="DV2051" s="4" t="s">
        <v>426</v>
      </c>
      <c r="DW2051" s="4" t="s">
        <v>1625</v>
      </c>
      <c r="HO2051" s="4" t="s">
        <v>267</v>
      </c>
    </row>
    <row r="2052" spans="1:223" ht="19.5" customHeight="1" x14ac:dyDescent="0.4">
      <c r="A2052" s="4">
        <v>1</v>
      </c>
      <c r="B2052" s="4" t="s">
        <v>239</v>
      </c>
      <c r="C2052" s="4">
        <v>3755</v>
      </c>
      <c r="D2052" s="4">
        <v>1</v>
      </c>
      <c r="E2052" s="4">
        <v>1</v>
      </c>
      <c r="F2052" s="4" t="s">
        <v>268</v>
      </c>
      <c r="G2052" s="4" t="s">
        <v>241</v>
      </c>
      <c r="H2052" s="4" t="s">
        <v>241</v>
      </c>
      <c r="I2052" s="4" t="s">
        <v>424</v>
      </c>
      <c r="J2052" s="4" t="s">
        <v>274</v>
      </c>
      <c r="K2052" s="4" t="s">
        <v>251</v>
      </c>
      <c r="L2052" s="4" t="s">
        <v>423</v>
      </c>
      <c r="M2052" s="5" t="s">
        <v>4034</v>
      </c>
      <c r="N2052" s="6">
        <f>88</f>
        <v>88</v>
      </c>
      <c r="O2052" s="4" t="s">
        <v>265</v>
      </c>
      <c r="P2052" s="6">
        <f>1</f>
        <v>1</v>
      </c>
      <c r="Q2052" s="6">
        <f>0</f>
        <v>0</v>
      </c>
      <c r="S2052" s="6">
        <f>0</f>
        <v>0</v>
      </c>
      <c r="T2052" s="6">
        <f>1</f>
        <v>1</v>
      </c>
      <c r="U2052" s="5" t="s">
        <v>245</v>
      </c>
      <c r="V2052" s="4" t="s">
        <v>270</v>
      </c>
      <c r="W2052" s="4" t="s">
        <v>271</v>
      </c>
      <c r="X2052" s="4" t="s">
        <v>273</v>
      </c>
      <c r="Y2052" s="4" t="s">
        <v>241</v>
      </c>
      <c r="AB2052" s="4" t="s">
        <v>241</v>
      </c>
      <c r="AD2052" s="5" t="s">
        <v>241</v>
      </c>
      <c r="AG2052" s="5" t="s">
        <v>246</v>
      </c>
      <c r="AH2052" s="4" t="s">
        <v>241</v>
      </c>
      <c r="AI2052" s="4" t="s">
        <v>247</v>
      </c>
      <c r="AJ2052" s="4" t="s">
        <v>248</v>
      </c>
      <c r="AZ2052" s="4" t="s">
        <v>249</v>
      </c>
      <c r="BA2052" s="4" t="s">
        <v>241</v>
      </c>
      <c r="BB2052" s="4" t="s">
        <v>250</v>
      </c>
      <c r="BC2052" s="4" t="s">
        <v>241</v>
      </c>
      <c r="BD2052" s="4" t="s">
        <v>252</v>
      </c>
      <c r="BE2052" s="4" t="s">
        <v>241</v>
      </c>
      <c r="BI2052" s="4" t="s">
        <v>253</v>
      </c>
      <c r="BJ2052" s="5" t="s">
        <v>246</v>
      </c>
      <c r="BK2052" s="4" t="s">
        <v>254</v>
      </c>
      <c r="BL2052" s="4" t="s">
        <v>255</v>
      </c>
      <c r="BM2052" s="4" t="s">
        <v>241</v>
      </c>
      <c r="BN2052" s="6">
        <f>0</f>
        <v>0</v>
      </c>
      <c r="BO2052" s="6">
        <f>0</f>
        <v>0</v>
      </c>
      <c r="BP2052" s="4" t="s">
        <v>256</v>
      </c>
      <c r="BQ2052" s="4" t="s">
        <v>257</v>
      </c>
      <c r="CE2052" s="4" t="s">
        <v>241</v>
      </c>
      <c r="CF2052" s="4" t="s">
        <v>241</v>
      </c>
      <c r="CJ2052" s="4" t="s">
        <v>276</v>
      </c>
      <c r="CK2052" s="4" t="s">
        <v>259</v>
      </c>
      <c r="CL2052" s="4" t="s">
        <v>241</v>
      </c>
      <c r="CO2052" s="5" t="s">
        <v>260</v>
      </c>
      <c r="CP2052" s="4" t="s">
        <v>241</v>
      </c>
      <c r="CQ2052" s="4" t="s">
        <v>261</v>
      </c>
      <c r="CR2052" s="4" t="s">
        <v>241</v>
      </c>
      <c r="CS2052" s="4" t="s">
        <v>241</v>
      </c>
      <c r="CT2052" s="4">
        <v>0</v>
      </c>
      <c r="CU2052" s="4" t="s">
        <v>262</v>
      </c>
      <c r="CV2052" s="4" t="s">
        <v>263</v>
      </c>
      <c r="CW2052" s="4" t="s">
        <v>263</v>
      </c>
      <c r="CX2052" s="4" t="s">
        <v>264</v>
      </c>
      <c r="DA2052" s="6">
        <f>1</f>
        <v>1</v>
      </c>
      <c r="DC2052" s="4" t="s">
        <v>325</v>
      </c>
      <c r="DD2052" s="4" t="s">
        <v>241</v>
      </c>
      <c r="DF2052" s="4" t="s">
        <v>325</v>
      </c>
      <c r="DG2052" s="6">
        <f>88</f>
        <v>88</v>
      </c>
      <c r="DI2052" s="4" t="s">
        <v>241</v>
      </c>
      <c r="DJ2052" s="4" t="s">
        <v>241</v>
      </c>
      <c r="DK2052" s="4" t="s">
        <v>241</v>
      </c>
      <c r="DL2052" s="4" t="s">
        <v>241</v>
      </c>
      <c r="DP2052" s="4" t="s">
        <v>241</v>
      </c>
      <c r="DQ2052" s="4" t="s">
        <v>241</v>
      </c>
      <c r="DR2052" s="4" t="s">
        <v>241</v>
      </c>
      <c r="DS2052" s="4" t="s">
        <v>241</v>
      </c>
      <c r="DV2052" s="4" t="s">
        <v>426</v>
      </c>
      <c r="DW2052" s="4" t="s">
        <v>1595</v>
      </c>
      <c r="HO2052" s="4" t="s">
        <v>267</v>
      </c>
    </row>
    <row r="2053" spans="1:223" ht="19.5" customHeight="1" x14ac:dyDescent="0.4">
      <c r="A2053" s="4">
        <v>1</v>
      </c>
      <c r="B2053" s="4" t="s">
        <v>239</v>
      </c>
      <c r="C2053" s="4">
        <v>3756</v>
      </c>
      <c r="D2053" s="4">
        <v>1</v>
      </c>
      <c r="E2053" s="4">
        <v>1</v>
      </c>
      <c r="F2053" s="4" t="s">
        <v>268</v>
      </c>
      <c r="G2053" s="4" t="s">
        <v>241</v>
      </c>
      <c r="H2053" s="4" t="s">
        <v>241</v>
      </c>
      <c r="I2053" s="4" t="s">
        <v>424</v>
      </c>
      <c r="J2053" s="4" t="s">
        <v>274</v>
      </c>
      <c r="K2053" s="4" t="s">
        <v>251</v>
      </c>
      <c r="L2053" s="4" t="s">
        <v>423</v>
      </c>
      <c r="M2053" s="5" t="s">
        <v>4950</v>
      </c>
      <c r="N2053" s="6">
        <f>375</f>
        <v>375</v>
      </c>
      <c r="O2053" s="4" t="s">
        <v>265</v>
      </c>
      <c r="P2053" s="6">
        <f>1</f>
        <v>1</v>
      </c>
      <c r="Q2053" s="6">
        <f>0</f>
        <v>0</v>
      </c>
      <c r="S2053" s="6">
        <f>0</f>
        <v>0</v>
      </c>
      <c r="T2053" s="6">
        <f>1</f>
        <v>1</v>
      </c>
      <c r="U2053" s="5" t="s">
        <v>245</v>
      </c>
      <c r="V2053" s="4" t="s">
        <v>270</v>
      </c>
      <c r="W2053" s="4" t="s">
        <v>271</v>
      </c>
      <c r="X2053" s="4" t="s">
        <v>273</v>
      </c>
      <c r="Y2053" s="4" t="s">
        <v>241</v>
      </c>
      <c r="AB2053" s="4" t="s">
        <v>241</v>
      </c>
      <c r="AD2053" s="5" t="s">
        <v>241</v>
      </c>
      <c r="AG2053" s="5" t="s">
        <v>246</v>
      </c>
      <c r="AH2053" s="4" t="s">
        <v>241</v>
      </c>
      <c r="AI2053" s="4" t="s">
        <v>247</v>
      </c>
      <c r="AJ2053" s="4" t="s">
        <v>248</v>
      </c>
      <c r="AZ2053" s="4" t="s">
        <v>249</v>
      </c>
      <c r="BA2053" s="4" t="s">
        <v>241</v>
      </c>
      <c r="BB2053" s="4" t="s">
        <v>250</v>
      </c>
      <c r="BC2053" s="4" t="s">
        <v>241</v>
      </c>
      <c r="BD2053" s="4" t="s">
        <v>252</v>
      </c>
      <c r="BE2053" s="4" t="s">
        <v>241</v>
      </c>
      <c r="BI2053" s="4" t="s">
        <v>253</v>
      </c>
      <c r="BJ2053" s="5" t="s">
        <v>246</v>
      </c>
      <c r="BK2053" s="4" t="s">
        <v>254</v>
      </c>
      <c r="BL2053" s="4" t="s">
        <v>255</v>
      </c>
      <c r="BM2053" s="4" t="s">
        <v>241</v>
      </c>
      <c r="BN2053" s="6">
        <f>0</f>
        <v>0</v>
      </c>
      <c r="BO2053" s="6">
        <f>0</f>
        <v>0</v>
      </c>
      <c r="BP2053" s="4" t="s">
        <v>256</v>
      </c>
      <c r="BQ2053" s="4" t="s">
        <v>257</v>
      </c>
      <c r="CE2053" s="4" t="s">
        <v>241</v>
      </c>
      <c r="CF2053" s="4" t="s">
        <v>241</v>
      </c>
      <c r="CJ2053" s="4" t="s">
        <v>276</v>
      </c>
      <c r="CK2053" s="4" t="s">
        <v>259</v>
      </c>
      <c r="CL2053" s="4" t="s">
        <v>241</v>
      </c>
      <c r="CO2053" s="5" t="s">
        <v>260</v>
      </c>
      <c r="CP2053" s="4" t="s">
        <v>241</v>
      </c>
      <c r="CQ2053" s="4" t="s">
        <v>261</v>
      </c>
      <c r="CR2053" s="4" t="s">
        <v>241</v>
      </c>
      <c r="CS2053" s="4" t="s">
        <v>241</v>
      </c>
      <c r="CT2053" s="4">
        <v>0</v>
      </c>
      <c r="CU2053" s="4" t="s">
        <v>262</v>
      </c>
      <c r="CV2053" s="4" t="s">
        <v>263</v>
      </c>
      <c r="CW2053" s="4" t="s">
        <v>263</v>
      </c>
      <c r="CX2053" s="4" t="s">
        <v>264</v>
      </c>
      <c r="DA2053" s="6">
        <f>1</f>
        <v>1</v>
      </c>
      <c r="DC2053" s="4" t="s">
        <v>325</v>
      </c>
      <c r="DD2053" s="4" t="s">
        <v>241</v>
      </c>
      <c r="DF2053" s="4" t="s">
        <v>325</v>
      </c>
      <c r="DG2053" s="6">
        <f>375</f>
        <v>375</v>
      </c>
      <c r="DI2053" s="4" t="s">
        <v>241</v>
      </c>
      <c r="DJ2053" s="4" t="s">
        <v>241</v>
      </c>
      <c r="DK2053" s="4" t="s">
        <v>241</v>
      </c>
      <c r="DL2053" s="4" t="s">
        <v>241</v>
      </c>
      <c r="DP2053" s="4" t="s">
        <v>241</v>
      </c>
      <c r="DQ2053" s="4" t="s">
        <v>241</v>
      </c>
      <c r="DR2053" s="4" t="s">
        <v>241</v>
      </c>
      <c r="DS2053" s="4" t="s">
        <v>241</v>
      </c>
      <c r="DV2053" s="4" t="s">
        <v>426</v>
      </c>
      <c r="DW2053" s="4" t="s">
        <v>1623</v>
      </c>
      <c r="HO2053" s="4" t="s">
        <v>267</v>
      </c>
    </row>
    <row r="2054" spans="1:223" ht="19.5" customHeight="1" x14ac:dyDescent="0.4">
      <c r="A2054" s="4">
        <v>1</v>
      </c>
      <c r="B2054" s="4" t="s">
        <v>239</v>
      </c>
      <c r="C2054" s="4">
        <v>3757</v>
      </c>
      <c r="D2054" s="4">
        <v>1</v>
      </c>
      <c r="E2054" s="4">
        <v>1</v>
      </c>
      <c r="F2054" s="4" t="s">
        <v>268</v>
      </c>
      <c r="G2054" s="4" t="s">
        <v>241</v>
      </c>
      <c r="H2054" s="4" t="s">
        <v>241</v>
      </c>
      <c r="I2054" s="4" t="s">
        <v>424</v>
      </c>
      <c r="J2054" s="4" t="s">
        <v>274</v>
      </c>
      <c r="K2054" s="4" t="s">
        <v>251</v>
      </c>
      <c r="L2054" s="4" t="s">
        <v>423</v>
      </c>
      <c r="M2054" s="5" t="s">
        <v>4036</v>
      </c>
      <c r="N2054" s="6">
        <f>393</f>
        <v>393</v>
      </c>
      <c r="O2054" s="4" t="s">
        <v>265</v>
      </c>
      <c r="P2054" s="6">
        <f>1</f>
        <v>1</v>
      </c>
      <c r="Q2054" s="6">
        <f>0</f>
        <v>0</v>
      </c>
      <c r="S2054" s="6">
        <f>0</f>
        <v>0</v>
      </c>
      <c r="T2054" s="6">
        <f>1</f>
        <v>1</v>
      </c>
      <c r="U2054" s="5" t="s">
        <v>245</v>
      </c>
      <c r="V2054" s="4" t="s">
        <v>270</v>
      </c>
      <c r="W2054" s="4" t="s">
        <v>271</v>
      </c>
      <c r="X2054" s="4" t="s">
        <v>273</v>
      </c>
      <c r="Y2054" s="4" t="s">
        <v>241</v>
      </c>
      <c r="AB2054" s="4" t="s">
        <v>241</v>
      </c>
      <c r="AD2054" s="5" t="s">
        <v>241</v>
      </c>
      <c r="AG2054" s="5" t="s">
        <v>246</v>
      </c>
      <c r="AH2054" s="4" t="s">
        <v>241</v>
      </c>
      <c r="AI2054" s="4" t="s">
        <v>247</v>
      </c>
      <c r="AJ2054" s="4" t="s">
        <v>248</v>
      </c>
      <c r="AZ2054" s="4" t="s">
        <v>249</v>
      </c>
      <c r="BA2054" s="4" t="s">
        <v>241</v>
      </c>
      <c r="BB2054" s="4" t="s">
        <v>250</v>
      </c>
      <c r="BC2054" s="4" t="s">
        <v>241</v>
      </c>
      <c r="BD2054" s="4" t="s">
        <v>252</v>
      </c>
      <c r="BE2054" s="4" t="s">
        <v>241</v>
      </c>
      <c r="BI2054" s="4" t="s">
        <v>253</v>
      </c>
      <c r="BJ2054" s="5" t="s">
        <v>246</v>
      </c>
      <c r="BK2054" s="4" t="s">
        <v>254</v>
      </c>
      <c r="BL2054" s="4" t="s">
        <v>255</v>
      </c>
      <c r="BM2054" s="4" t="s">
        <v>241</v>
      </c>
      <c r="BN2054" s="6">
        <f>0</f>
        <v>0</v>
      </c>
      <c r="BO2054" s="6">
        <f>0</f>
        <v>0</v>
      </c>
      <c r="BP2054" s="4" t="s">
        <v>256</v>
      </c>
      <c r="BQ2054" s="4" t="s">
        <v>257</v>
      </c>
      <c r="CE2054" s="4" t="s">
        <v>241</v>
      </c>
      <c r="CF2054" s="4" t="s">
        <v>241</v>
      </c>
      <c r="CJ2054" s="4" t="s">
        <v>276</v>
      </c>
      <c r="CK2054" s="4" t="s">
        <v>259</v>
      </c>
      <c r="CL2054" s="4" t="s">
        <v>241</v>
      </c>
      <c r="CO2054" s="5" t="s">
        <v>260</v>
      </c>
      <c r="CP2054" s="4" t="s">
        <v>241</v>
      </c>
      <c r="CQ2054" s="4" t="s">
        <v>261</v>
      </c>
      <c r="CR2054" s="4" t="s">
        <v>241</v>
      </c>
      <c r="CS2054" s="4" t="s">
        <v>241</v>
      </c>
      <c r="CT2054" s="4">
        <v>0</v>
      </c>
      <c r="CU2054" s="4" t="s">
        <v>262</v>
      </c>
      <c r="CV2054" s="4" t="s">
        <v>263</v>
      </c>
      <c r="CW2054" s="4" t="s">
        <v>263</v>
      </c>
      <c r="CX2054" s="4" t="s">
        <v>264</v>
      </c>
      <c r="DA2054" s="6">
        <f>1</f>
        <v>1</v>
      </c>
      <c r="DC2054" s="4" t="s">
        <v>325</v>
      </c>
      <c r="DD2054" s="4" t="s">
        <v>241</v>
      </c>
      <c r="DF2054" s="4" t="s">
        <v>325</v>
      </c>
      <c r="DG2054" s="6">
        <f>393</f>
        <v>393</v>
      </c>
      <c r="DI2054" s="4" t="s">
        <v>241</v>
      </c>
      <c r="DJ2054" s="4" t="s">
        <v>241</v>
      </c>
      <c r="DK2054" s="4" t="s">
        <v>241</v>
      </c>
      <c r="DL2054" s="4" t="s">
        <v>241</v>
      </c>
      <c r="DP2054" s="4" t="s">
        <v>241</v>
      </c>
      <c r="DQ2054" s="4" t="s">
        <v>241</v>
      </c>
      <c r="DR2054" s="4" t="s">
        <v>241</v>
      </c>
      <c r="DS2054" s="4" t="s">
        <v>241</v>
      </c>
      <c r="DV2054" s="4" t="s">
        <v>426</v>
      </c>
      <c r="DW2054" s="4" t="s">
        <v>1621</v>
      </c>
      <c r="HO2054" s="4" t="s">
        <v>267</v>
      </c>
    </row>
    <row r="2055" spans="1:223" ht="19.5" customHeight="1" x14ac:dyDescent="0.4">
      <c r="A2055" s="4">
        <v>1</v>
      </c>
      <c r="B2055" s="4" t="s">
        <v>239</v>
      </c>
      <c r="C2055" s="4">
        <v>3758</v>
      </c>
      <c r="D2055" s="4">
        <v>1</v>
      </c>
      <c r="E2055" s="4">
        <v>1</v>
      </c>
      <c r="F2055" s="4" t="s">
        <v>268</v>
      </c>
      <c r="G2055" s="4" t="s">
        <v>241</v>
      </c>
      <c r="H2055" s="4" t="s">
        <v>241</v>
      </c>
      <c r="I2055" s="4" t="s">
        <v>424</v>
      </c>
      <c r="J2055" s="4" t="s">
        <v>274</v>
      </c>
      <c r="K2055" s="4" t="s">
        <v>251</v>
      </c>
      <c r="L2055" s="4" t="s">
        <v>423</v>
      </c>
      <c r="M2055" s="5" t="s">
        <v>4039</v>
      </c>
      <c r="N2055" s="6">
        <f>71</f>
        <v>71</v>
      </c>
      <c r="O2055" s="4" t="s">
        <v>265</v>
      </c>
      <c r="P2055" s="6">
        <f>1</f>
        <v>1</v>
      </c>
      <c r="Q2055" s="6">
        <f>0</f>
        <v>0</v>
      </c>
      <c r="S2055" s="6">
        <f>0</f>
        <v>0</v>
      </c>
      <c r="T2055" s="6">
        <f>1</f>
        <v>1</v>
      </c>
      <c r="U2055" s="5" t="s">
        <v>245</v>
      </c>
      <c r="V2055" s="4" t="s">
        <v>270</v>
      </c>
      <c r="W2055" s="4" t="s">
        <v>271</v>
      </c>
      <c r="X2055" s="4" t="s">
        <v>273</v>
      </c>
      <c r="Y2055" s="4" t="s">
        <v>241</v>
      </c>
      <c r="AB2055" s="4" t="s">
        <v>241</v>
      </c>
      <c r="AD2055" s="5" t="s">
        <v>241</v>
      </c>
      <c r="AG2055" s="5" t="s">
        <v>246</v>
      </c>
      <c r="AH2055" s="4" t="s">
        <v>241</v>
      </c>
      <c r="AI2055" s="4" t="s">
        <v>247</v>
      </c>
      <c r="AJ2055" s="4" t="s">
        <v>248</v>
      </c>
      <c r="AZ2055" s="4" t="s">
        <v>249</v>
      </c>
      <c r="BA2055" s="4" t="s">
        <v>241</v>
      </c>
      <c r="BB2055" s="4" t="s">
        <v>250</v>
      </c>
      <c r="BC2055" s="4" t="s">
        <v>241</v>
      </c>
      <c r="BD2055" s="4" t="s">
        <v>252</v>
      </c>
      <c r="BE2055" s="4" t="s">
        <v>241</v>
      </c>
      <c r="BI2055" s="4" t="s">
        <v>253</v>
      </c>
      <c r="BJ2055" s="5" t="s">
        <v>246</v>
      </c>
      <c r="BK2055" s="4" t="s">
        <v>254</v>
      </c>
      <c r="BL2055" s="4" t="s">
        <v>255</v>
      </c>
      <c r="BM2055" s="4" t="s">
        <v>241</v>
      </c>
      <c r="BN2055" s="6">
        <f>0</f>
        <v>0</v>
      </c>
      <c r="BO2055" s="6">
        <f>0</f>
        <v>0</v>
      </c>
      <c r="BP2055" s="4" t="s">
        <v>256</v>
      </c>
      <c r="BQ2055" s="4" t="s">
        <v>257</v>
      </c>
      <c r="CE2055" s="4" t="s">
        <v>241</v>
      </c>
      <c r="CF2055" s="4" t="s">
        <v>241</v>
      </c>
      <c r="CJ2055" s="4" t="s">
        <v>276</v>
      </c>
      <c r="CK2055" s="4" t="s">
        <v>259</v>
      </c>
      <c r="CL2055" s="4" t="s">
        <v>241</v>
      </c>
      <c r="CO2055" s="5" t="s">
        <v>260</v>
      </c>
      <c r="CP2055" s="4" t="s">
        <v>241</v>
      </c>
      <c r="CQ2055" s="4" t="s">
        <v>261</v>
      </c>
      <c r="CR2055" s="4" t="s">
        <v>241</v>
      </c>
      <c r="CS2055" s="4" t="s">
        <v>241</v>
      </c>
      <c r="CT2055" s="4">
        <v>0</v>
      </c>
      <c r="CU2055" s="4" t="s">
        <v>262</v>
      </c>
      <c r="CV2055" s="4" t="s">
        <v>263</v>
      </c>
      <c r="CW2055" s="4" t="s">
        <v>263</v>
      </c>
      <c r="CX2055" s="4" t="s">
        <v>264</v>
      </c>
      <c r="DA2055" s="6">
        <f>1</f>
        <v>1</v>
      </c>
      <c r="DC2055" s="4" t="s">
        <v>325</v>
      </c>
      <c r="DD2055" s="4" t="s">
        <v>241</v>
      </c>
      <c r="DF2055" s="4" t="s">
        <v>325</v>
      </c>
      <c r="DG2055" s="6">
        <f>71</f>
        <v>71</v>
      </c>
      <c r="DI2055" s="4" t="s">
        <v>241</v>
      </c>
      <c r="DJ2055" s="4" t="s">
        <v>241</v>
      </c>
      <c r="DK2055" s="4" t="s">
        <v>241</v>
      </c>
      <c r="DL2055" s="4" t="s">
        <v>241</v>
      </c>
      <c r="DP2055" s="4" t="s">
        <v>241</v>
      </c>
      <c r="DQ2055" s="4" t="s">
        <v>241</v>
      </c>
      <c r="DR2055" s="4" t="s">
        <v>241</v>
      </c>
      <c r="DS2055" s="4" t="s">
        <v>241</v>
      </c>
      <c r="DV2055" s="4" t="s">
        <v>426</v>
      </c>
      <c r="DW2055" s="4" t="s">
        <v>1639</v>
      </c>
      <c r="HO2055" s="4" t="s">
        <v>267</v>
      </c>
    </row>
    <row r="2056" spans="1:223" ht="19.5" customHeight="1" x14ac:dyDescent="0.4">
      <c r="A2056" s="4">
        <v>1</v>
      </c>
      <c r="B2056" s="4" t="s">
        <v>239</v>
      </c>
      <c r="C2056" s="4">
        <v>3759</v>
      </c>
      <c r="D2056" s="4">
        <v>1</v>
      </c>
      <c r="E2056" s="4">
        <v>1</v>
      </c>
      <c r="F2056" s="4" t="s">
        <v>268</v>
      </c>
      <c r="G2056" s="4" t="s">
        <v>241</v>
      </c>
      <c r="H2056" s="4" t="s">
        <v>241</v>
      </c>
      <c r="I2056" s="4" t="s">
        <v>424</v>
      </c>
      <c r="J2056" s="4" t="s">
        <v>274</v>
      </c>
      <c r="K2056" s="4" t="s">
        <v>251</v>
      </c>
      <c r="L2056" s="4" t="s">
        <v>423</v>
      </c>
      <c r="M2056" s="5" t="s">
        <v>4040</v>
      </c>
      <c r="N2056" s="6">
        <f>288</f>
        <v>288</v>
      </c>
      <c r="O2056" s="4" t="s">
        <v>265</v>
      </c>
      <c r="P2056" s="6">
        <f>1</f>
        <v>1</v>
      </c>
      <c r="Q2056" s="6">
        <f>0</f>
        <v>0</v>
      </c>
      <c r="S2056" s="6">
        <f>0</f>
        <v>0</v>
      </c>
      <c r="T2056" s="6">
        <f>1</f>
        <v>1</v>
      </c>
      <c r="U2056" s="5" t="s">
        <v>245</v>
      </c>
      <c r="V2056" s="4" t="s">
        <v>270</v>
      </c>
      <c r="W2056" s="4" t="s">
        <v>271</v>
      </c>
      <c r="X2056" s="4" t="s">
        <v>273</v>
      </c>
      <c r="Y2056" s="4" t="s">
        <v>241</v>
      </c>
      <c r="AB2056" s="4" t="s">
        <v>241</v>
      </c>
      <c r="AD2056" s="5" t="s">
        <v>241</v>
      </c>
      <c r="AG2056" s="5" t="s">
        <v>246</v>
      </c>
      <c r="AH2056" s="4" t="s">
        <v>241</v>
      </c>
      <c r="AI2056" s="4" t="s">
        <v>247</v>
      </c>
      <c r="AJ2056" s="4" t="s">
        <v>248</v>
      </c>
      <c r="AZ2056" s="4" t="s">
        <v>249</v>
      </c>
      <c r="BA2056" s="4" t="s">
        <v>241</v>
      </c>
      <c r="BB2056" s="4" t="s">
        <v>250</v>
      </c>
      <c r="BC2056" s="4" t="s">
        <v>241</v>
      </c>
      <c r="BD2056" s="4" t="s">
        <v>252</v>
      </c>
      <c r="BE2056" s="4" t="s">
        <v>241</v>
      </c>
      <c r="BI2056" s="4" t="s">
        <v>253</v>
      </c>
      <c r="BJ2056" s="5" t="s">
        <v>246</v>
      </c>
      <c r="BK2056" s="4" t="s">
        <v>254</v>
      </c>
      <c r="BL2056" s="4" t="s">
        <v>255</v>
      </c>
      <c r="BM2056" s="4" t="s">
        <v>241</v>
      </c>
      <c r="BN2056" s="6">
        <f>0</f>
        <v>0</v>
      </c>
      <c r="BO2056" s="6">
        <f>0</f>
        <v>0</v>
      </c>
      <c r="BP2056" s="4" t="s">
        <v>256</v>
      </c>
      <c r="BQ2056" s="4" t="s">
        <v>257</v>
      </c>
      <c r="CE2056" s="4" t="s">
        <v>241</v>
      </c>
      <c r="CF2056" s="4" t="s">
        <v>241</v>
      </c>
      <c r="CJ2056" s="4" t="s">
        <v>276</v>
      </c>
      <c r="CK2056" s="4" t="s">
        <v>259</v>
      </c>
      <c r="CL2056" s="4" t="s">
        <v>241</v>
      </c>
      <c r="CO2056" s="5" t="s">
        <v>260</v>
      </c>
      <c r="CP2056" s="4" t="s">
        <v>241</v>
      </c>
      <c r="CQ2056" s="4" t="s">
        <v>261</v>
      </c>
      <c r="CR2056" s="4" t="s">
        <v>241</v>
      </c>
      <c r="CS2056" s="4" t="s">
        <v>241</v>
      </c>
      <c r="CT2056" s="4">
        <v>0</v>
      </c>
      <c r="CU2056" s="4" t="s">
        <v>262</v>
      </c>
      <c r="CV2056" s="4" t="s">
        <v>263</v>
      </c>
      <c r="CW2056" s="4" t="s">
        <v>263</v>
      </c>
      <c r="CX2056" s="4" t="s">
        <v>264</v>
      </c>
      <c r="DA2056" s="6">
        <f>1</f>
        <v>1</v>
      </c>
      <c r="DC2056" s="4" t="s">
        <v>325</v>
      </c>
      <c r="DD2056" s="4" t="s">
        <v>241</v>
      </c>
      <c r="DF2056" s="4" t="s">
        <v>325</v>
      </c>
      <c r="DG2056" s="6">
        <f>288</f>
        <v>288</v>
      </c>
      <c r="DI2056" s="4" t="s">
        <v>241</v>
      </c>
      <c r="DJ2056" s="4" t="s">
        <v>241</v>
      </c>
      <c r="DK2056" s="4" t="s">
        <v>241</v>
      </c>
      <c r="DL2056" s="4" t="s">
        <v>241</v>
      </c>
      <c r="DP2056" s="4" t="s">
        <v>241</v>
      </c>
      <c r="DQ2056" s="4" t="s">
        <v>241</v>
      </c>
      <c r="DR2056" s="4" t="s">
        <v>241</v>
      </c>
      <c r="DS2056" s="4" t="s">
        <v>241</v>
      </c>
      <c r="DV2056" s="4" t="s">
        <v>426</v>
      </c>
      <c r="DW2056" s="4" t="s">
        <v>1617</v>
      </c>
      <c r="HO2056" s="4" t="s">
        <v>267</v>
      </c>
    </row>
    <row r="2057" spans="1:223" ht="19.5" customHeight="1" x14ac:dyDescent="0.4">
      <c r="A2057" s="4">
        <v>1</v>
      </c>
      <c r="B2057" s="4" t="s">
        <v>239</v>
      </c>
      <c r="C2057" s="4">
        <v>3760</v>
      </c>
      <c r="D2057" s="4">
        <v>1</v>
      </c>
      <c r="E2057" s="4">
        <v>1</v>
      </c>
      <c r="F2057" s="4" t="s">
        <v>268</v>
      </c>
      <c r="G2057" s="4" t="s">
        <v>241</v>
      </c>
      <c r="H2057" s="4" t="s">
        <v>241</v>
      </c>
      <c r="I2057" s="4" t="s">
        <v>424</v>
      </c>
      <c r="J2057" s="4" t="s">
        <v>274</v>
      </c>
      <c r="K2057" s="4" t="s">
        <v>251</v>
      </c>
      <c r="L2057" s="4" t="s">
        <v>423</v>
      </c>
      <c r="M2057" s="5" t="s">
        <v>4042</v>
      </c>
      <c r="N2057" s="6">
        <f>1359</f>
        <v>1359</v>
      </c>
      <c r="O2057" s="4" t="s">
        <v>265</v>
      </c>
      <c r="P2057" s="6">
        <f>1</f>
        <v>1</v>
      </c>
      <c r="Q2057" s="6">
        <f>0</f>
        <v>0</v>
      </c>
      <c r="S2057" s="6">
        <f>0</f>
        <v>0</v>
      </c>
      <c r="T2057" s="6">
        <f>1</f>
        <v>1</v>
      </c>
      <c r="U2057" s="5" t="s">
        <v>245</v>
      </c>
      <c r="V2057" s="4" t="s">
        <v>270</v>
      </c>
      <c r="W2057" s="4" t="s">
        <v>271</v>
      </c>
      <c r="X2057" s="4" t="s">
        <v>273</v>
      </c>
      <c r="Y2057" s="4" t="s">
        <v>241</v>
      </c>
      <c r="AB2057" s="4" t="s">
        <v>241</v>
      </c>
      <c r="AD2057" s="5" t="s">
        <v>241</v>
      </c>
      <c r="AG2057" s="5" t="s">
        <v>246</v>
      </c>
      <c r="AH2057" s="4" t="s">
        <v>241</v>
      </c>
      <c r="AI2057" s="4" t="s">
        <v>247</v>
      </c>
      <c r="AJ2057" s="4" t="s">
        <v>248</v>
      </c>
      <c r="AZ2057" s="4" t="s">
        <v>249</v>
      </c>
      <c r="BA2057" s="4" t="s">
        <v>241</v>
      </c>
      <c r="BB2057" s="4" t="s">
        <v>250</v>
      </c>
      <c r="BC2057" s="4" t="s">
        <v>241</v>
      </c>
      <c r="BD2057" s="4" t="s">
        <v>252</v>
      </c>
      <c r="BE2057" s="4" t="s">
        <v>241</v>
      </c>
      <c r="BI2057" s="4" t="s">
        <v>253</v>
      </c>
      <c r="BJ2057" s="5" t="s">
        <v>246</v>
      </c>
      <c r="BK2057" s="4" t="s">
        <v>254</v>
      </c>
      <c r="BL2057" s="4" t="s">
        <v>255</v>
      </c>
      <c r="BM2057" s="4" t="s">
        <v>241</v>
      </c>
      <c r="BN2057" s="6">
        <f>0</f>
        <v>0</v>
      </c>
      <c r="BO2057" s="6">
        <f>0</f>
        <v>0</v>
      </c>
      <c r="BP2057" s="4" t="s">
        <v>256</v>
      </c>
      <c r="BQ2057" s="4" t="s">
        <v>257</v>
      </c>
      <c r="CE2057" s="4" t="s">
        <v>241</v>
      </c>
      <c r="CF2057" s="4" t="s">
        <v>241</v>
      </c>
      <c r="CJ2057" s="4" t="s">
        <v>276</v>
      </c>
      <c r="CK2057" s="4" t="s">
        <v>259</v>
      </c>
      <c r="CL2057" s="4" t="s">
        <v>241</v>
      </c>
      <c r="CO2057" s="5" t="s">
        <v>260</v>
      </c>
      <c r="CP2057" s="4" t="s">
        <v>241</v>
      </c>
      <c r="CQ2057" s="4" t="s">
        <v>261</v>
      </c>
      <c r="CR2057" s="4" t="s">
        <v>241</v>
      </c>
      <c r="CS2057" s="4" t="s">
        <v>241</v>
      </c>
      <c r="CT2057" s="4">
        <v>0</v>
      </c>
      <c r="CU2057" s="4" t="s">
        <v>262</v>
      </c>
      <c r="CV2057" s="4" t="s">
        <v>263</v>
      </c>
      <c r="CW2057" s="4" t="s">
        <v>263</v>
      </c>
      <c r="CX2057" s="4" t="s">
        <v>264</v>
      </c>
      <c r="DA2057" s="6">
        <f>1</f>
        <v>1</v>
      </c>
      <c r="DC2057" s="4" t="s">
        <v>325</v>
      </c>
      <c r="DD2057" s="4" t="s">
        <v>241</v>
      </c>
      <c r="DF2057" s="4" t="s">
        <v>325</v>
      </c>
      <c r="DG2057" s="6">
        <f>1359</f>
        <v>1359</v>
      </c>
      <c r="DI2057" s="4" t="s">
        <v>241</v>
      </c>
      <c r="DJ2057" s="4" t="s">
        <v>241</v>
      </c>
      <c r="DK2057" s="4" t="s">
        <v>241</v>
      </c>
      <c r="DL2057" s="4" t="s">
        <v>241</v>
      </c>
      <c r="DP2057" s="4" t="s">
        <v>241</v>
      </c>
      <c r="DQ2057" s="4" t="s">
        <v>241</v>
      </c>
      <c r="DR2057" s="4" t="s">
        <v>241</v>
      </c>
      <c r="DS2057" s="4" t="s">
        <v>241</v>
      </c>
      <c r="DV2057" s="4" t="s">
        <v>426</v>
      </c>
      <c r="DW2057" s="4" t="s">
        <v>1615</v>
      </c>
      <c r="HO2057" s="4" t="s">
        <v>267</v>
      </c>
    </row>
    <row r="2058" spans="1:223" ht="19.5" customHeight="1" x14ac:dyDescent="0.4">
      <c r="A2058" s="4">
        <v>1</v>
      </c>
      <c r="B2058" s="4" t="s">
        <v>239</v>
      </c>
      <c r="C2058" s="4">
        <v>3761</v>
      </c>
      <c r="D2058" s="4">
        <v>1</v>
      </c>
      <c r="E2058" s="4">
        <v>1</v>
      </c>
      <c r="F2058" s="4" t="s">
        <v>268</v>
      </c>
      <c r="G2058" s="4" t="s">
        <v>241</v>
      </c>
      <c r="H2058" s="4" t="s">
        <v>241</v>
      </c>
      <c r="I2058" s="4" t="s">
        <v>424</v>
      </c>
      <c r="J2058" s="4" t="s">
        <v>274</v>
      </c>
      <c r="K2058" s="4" t="s">
        <v>251</v>
      </c>
      <c r="L2058" s="4" t="s">
        <v>423</v>
      </c>
      <c r="M2058" s="5" t="s">
        <v>4043</v>
      </c>
      <c r="N2058" s="6">
        <f>3777</f>
        <v>3777</v>
      </c>
      <c r="O2058" s="4" t="s">
        <v>265</v>
      </c>
      <c r="P2058" s="6">
        <f>1</f>
        <v>1</v>
      </c>
      <c r="Q2058" s="6">
        <f>0</f>
        <v>0</v>
      </c>
      <c r="S2058" s="6">
        <f>0</f>
        <v>0</v>
      </c>
      <c r="T2058" s="6">
        <f>1</f>
        <v>1</v>
      </c>
      <c r="U2058" s="5" t="s">
        <v>245</v>
      </c>
      <c r="V2058" s="4" t="s">
        <v>270</v>
      </c>
      <c r="W2058" s="4" t="s">
        <v>271</v>
      </c>
      <c r="X2058" s="4" t="s">
        <v>273</v>
      </c>
      <c r="Y2058" s="4" t="s">
        <v>241</v>
      </c>
      <c r="AB2058" s="4" t="s">
        <v>241</v>
      </c>
      <c r="AD2058" s="5" t="s">
        <v>241</v>
      </c>
      <c r="AG2058" s="5" t="s">
        <v>246</v>
      </c>
      <c r="AH2058" s="4" t="s">
        <v>241</v>
      </c>
      <c r="AI2058" s="4" t="s">
        <v>247</v>
      </c>
      <c r="AJ2058" s="4" t="s">
        <v>248</v>
      </c>
      <c r="AZ2058" s="4" t="s">
        <v>249</v>
      </c>
      <c r="BA2058" s="4" t="s">
        <v>241</v>
      </c>
      <c r="BB2058" s="4" t="s">
        <v>250</v>
      </c>
      <c r="BC2058" s="4" t="s">
        <v>241</v>
      </c>
      <c r="BD2058" s="4" t="s">
        <v>252</v>
      </c>
      <c r="BE2058" s="4" t="s">
        <v>241</v>
      </c>
      <c r="BI2058" s="4" t="s">
        <v>253</v>
      </c>
      <c r="BJ2058" s="5" t="s">
        <v>246</v>
      </c>
      <c r="BK2058" s="4" t="s">
        <v>254</v>
      </c>
      <c r="BL2058" s="4" t="s">
        <v>255</v>
      </c>
      <c r="BM2058" s="4" t="s">
        <v>241</v>
      </c>
      <c r="BN2058" s="6">
        <f>0</f>
        <v>0</v>
      </c>
      <c r="BO2058" s="6">
        <f>0</f>
        <v>0</v>
      </c>
      <c r="BP2058" s="4" t="s">
        <v>256</v>
      </c>
      <c r="BQ2058" s="4" t="s">
        <v>257</v>
      </c>
      <c r="CE2058" s="4" t="s">
        <v>241</v>
      </c>
      <c r="CF2058" s="4" t="s">
        <v>241</v>
      </c>
      <c r="CJ2058" s="4" t="s">
        <v>276</v>
      </c>
      <c r="CK2058" s="4" t="s">
        <v>259</v>
      </c>
      <c r="CL2058" s="4" t="s">
        <v>241</v>
      </c>
      <c r="CO2058" s="5" t="s">
        <v>260</v>
      </c>
      <c r="CP2058" s="4" t="s">
        <v>241</v>
      </c>
      <c r="CQ2058" s="4" t="s">
        <v>261</v>
      </c>
      <c r="CR2058" s="4" t="s">
        <v>241</v>
      </c>
      <c r="CS2058" s="4" t="s">
        <v>241</v>
      </c>
      <c r="CT2058" s="4">
        <v>0</v>
      </c>
      <c r="CU2058" s="4" t="s">
        <v>262</v>
      </c>
      <c r="CV2058" s="4" t="s">
        <v>263</v>
      </c>
      <c r="CW2058" s="4" t="s">
        <v>263</v>
      </c>
      <c r="CX2058" s="4" t="s">
        <v>264</v>
      </c>
      <c r="DA2058" s="6">
        <f>1</f>
        <v>1</v>
      </c>
      <c r="DC2058" s="4" t="s">
        <v>325</v>
      </c>
      <c r="DD2058" s="4" t="s">
        <v>241</v>
      </c>
      <c r="DF2058" s="4" t="s">
        <v>325</v>
      </c>
      <c r="DG2058" s="6">
        <f>3777</f>
        <v>3777</v>
      </c>
      <c r="DI2058" s="4" t="s">
        <v>241</v>
      </c>
      <c r="DJ2058" s="4" t="s">
        <v>241</v>
      </c>
      <c r="DK2058" s="4" t="s">
        <v>241</v>
      </c>
      <c r="DL2058" s="4" t="s">
        <v>241</v>
      </c>
      <c r="DP2058" s="4" t="s">
        <v>241</v>
      </c>
      <c r="DQ2058" s="4" t="s">
        <v>241</v>
      </c>
      <c r="DR2058" s="4" t="s">
        <v>241</v>
      </c>
      <c r="DS2058" s="4" t="s">
        <v>241</v>
      </c>
      <c r="DV2058" s="4" t="s">
        <v>426</v>
      </c>
      <c r="DW2058" s="4" t="s">
        <v>1613</v>
      </c>
      <c r="HO2058" s="4" t="s">
        <v>267</v>
      </c>
    </row>
    <row r="2059" spans="1:223" ht="19.5" customHeight="1" x14ac:dyDescent="0.4">
      <c r="A2059" s="4">
        <v>1</v>
      </c>
      <c r="B2059" s="4" t="s">
        <v>239</v>
      </c>
      <c r="C2059" s="4">
        <v>3762</v>
      </c>
      <c r="D2059" s="4">
        <v>1</v>
      </c>
      <c r="E2059" s="4">
        <v>1</v>
      </c>
      <c r="F2059" s="4" t="s">
        <v>268</v>
      </c>
      <c r="G2059" s="4" t="s">
        <v>241</v>
      </c>
      <c r="H2059" s="4" t="s">
        <v>241</v>
      </c>
      <c r="I2059" s="4" t="s">
        <v>424</v>
      </c>
      <c r="J2059" s="4" t="s">
        <v>274</v>
      </c>
      <c r="K2059" s="4" t="s">
        <v>251</v>
      </c>
      <c r="L2059" s="4" t="s">
        <v>423</v>
      </c>
      <c r="M2059" s="5" t="s">
        <v>4048</v>
      </c>
      <c r="N2059" s="6">
        <f>1568</f>
        <v>1568</v>
      </c>
      <c r="O2059" s="4" t="s">
        <v>265</v>
      </c>
      <c r="P2059" s="6">
        <f>1</f>
        <v>1</v>
      </c>
      <c r="Q2059" s="6">
        <f>0</f>
        <v>0</v>
      </c>
      <c r="S2059" s="6">
        <f>0</f>
        <v>0</v>
      </c>
      <c r="T2059" s="6">
        <f>1</f>
        <v>1</v>
      </c>
      <c r="U2059" s="5" t="s">
        <v>245</v>
      </c>
      <c r="V2059" s="4" t="s">
        <v>270</v>
      </c>
      <c r="W2059" s="4" t="s">
        <v>271</v>
      </c>
      <c r="X2059" s="4" t="s">
        <v>273</v>
      </c>
      <c r="Y2059" s="4" t="s">
        <v>241</v>
      </c>
      <c r="AB2059" s="4" t="s">
        <v>241</v>
      </c>
      <c r="AD2059" s="5" t="s">
        <v>241</v>
      </c>
      <c r="AG2059" s="5" t="s">
        <v>246</v>
      </c>
      <c r="AH2059" s="4" t="s">
        <v>241</v>
      </c>
      <c r="AI2059" s="4" t="s">
        <v>247</v>
      </c>
      <c r="AJ2059" s="4" t="s">
        <v>248</v>
      </c>
      <c r="AZ2059" s="4" t="s">
        <v>249</v>
      </c>
      <c r="BA2059" s="4" t="s">
        <v>241</v>
      </c>
      <c r="BB2059" s="4" t="s">
        <v>250</v>
      </c>
      <c r="BC2059" s="4" t="s">
        <v>241</v>
      </c>
      <c r="BD2059" s="4" t="s">
        <v>252</v>
      </c>
      <c r="BE2059" s="4" t="s">
        <v>241</v>
      </c>
      <c r="BI2059" s="4" t="s">
        <v>253</v>
      </c>
      <c r="BJ2059" s="5" t="s">
        <v>246</v>
      </c>
      <c r="BK2059" s="4" t="s">
        <v>254</v>
      </c>
      <c r="BL2059" s="4" t="s">
        <v>255</v>
      </c>
      <c r="BM2059" s="4" t="s">
        <v>241</v>
      </c>
      <c r="BN2059" s="6">
        <f>0</f>
        <v>0</v>
      </c>
      <c r="BO2059" s="6">
        <f>0</f>
        <v>0</v>
      </c>
      <c r="BP2059" s="4" t="s">
        <v>256</v>
      </c>
      <c r="BQ2059" s="4" t="s">
        <v>257</v>
      </c>
      <c r="CE2059" s="4" t="s">
        <v>241</v>
      </c>
      <c r="CF2059" s="4" t="s">
        <v>241</v>
      </c>
      <c r="CJ2059" s="4" t="s">
        <v>276</v>
      </c>
      <c r="CK2059" s="4" t="s">
        <v>259</v>
      </c>
      <c r="CL2059" s="4" t="s">
        <v>241</v>
      </c>
      <c r="CO2059" s="5" t="s">
        <v>260</v>
      </c>
      <c r="CP2059" s="4" t="s">
        <v>241</v>
      </c>
      <c r="CQ2059" s="4" t="s">
        <v>261</v>
      </c>
      <c r="CR2059" s="4" t="s">
        <v>241</v>
      </c>
      <c r="CS2059" s="4" t="s">
        <v>241</v>
      </c>
      <c r="CT2059" s="4">
        <v>0</v>
      </c>
      <c r="CU2059" s="4" t="s">
        <v>262</v>
      </c>
      <c r="CV2059" s="4" t="s">
        <v>263</v>
      </c>
      <c r="CW2059" s="4" t="s">
        <v>263</v>
      </c>
      <c r="CX2059" s="4" t="s">
        <v>264</v>
      </c>
      <c r="DA2059" s="6">
        <f>1</f>
        <v>1</v>
      </c>
      <c r="DC2059" s="4" t="s">
        <v>325</v>
      </c>
      <c r="DD2059" s="4" t="s">
        <v>241</v>
      </c>
      <c r="DF2059" s="4" t="s">
        <v>325</v>
      </c>
      <c r="DG2059" s="6">
        <f>1568</f>
        <v>1568</v>
      </c>
      <c r="DI2059" s="4" t="s">
        <v>241</v>
      </c>
      <c r="DJ2059" s="4" t="s">
        <v>241</v>
      </c>
      <c r="DK2059" s="4" t="s">
        <v>241</v>
      </c>
      <c r="DL2059" s="4" t="s">
        <v>241</v>
      </c>
      <c r="DP2059" s="4" t="s">
        <v>241</v>
      </c>
      <c r="DQ2059" s="4" t="s">
        <v>241</v>
      </c>
      <c r="DR2059" s="4" t="s">
        <v>241</v>
      </c>
      <c r="DS2059" s="4" t="s">
        <v>241</v>
      </c>
      <c r="DV2059" s="4" t="s">
        <v>426</v>
      </c>
      <c r="DW2059" s="4" t="s">
        <v>1611</v>
      </c>
      <c r="HO2059" s="4" t="s">
        <v>267</v>
      </c>
    </row>
    <row r="2060" spans="1:223" ht="19.5" customHeight="1" x14ac:dyDescent="0.4">
      <c r="A2060" s="4">
        <v>1</v>
      </c>
      <c r="B2060" s="4" t="s">
        <v>239</v>
      </c>
      <c r="C2060" s="4">
        <v>3763</v>
      </c>
      <c r="D2060" s="4">
        <v>1</v>
      </c>
      <c r="E2060" s="4">
        <v>1</v>
      </c>
      <c r="F2060" s="4" t="s">
        <v>268</v>
      </c>
      <c r="G2060" s="4" t="s">
        <v>241</v>
      </c>
      <c r="H2060" s="4" t="s">
        <v>241</v>
      </c>
      <c r="I2060" s="4" t="s">
        <v>424</v>
      </c>
      <c r="J2060" s="4" t="s">
        <v>274</v>
      </c>
      <c r="K2060" s="4" t="s">
        <v>251</v>
      </c>
      <c r="L2060" s="4" t="s">
        <v>423</v>
      </c>
      <c r="M2060" s="5" t="s">
        <v>4049</v>
      </c>
      <c r="N2060" s="6">
        <f>530</f>
        <v>530</v>
      </c>
      <c r="O2060" s="4" t="s">
        <v>265</v>
      </c>
      <c r="P2060" s="6">
        <f>1</f>
        <v>1</v>
      </c>
      <c r="Q2060" s="6">
        <f>0</f>
        <v>0</v>
      </c>
      <c r="S2060" s="6">
        <f>0</f>
        <v>0</v>
      </c>
      <c r="T2060" s="6">
        <f>1</f>
        <v>1</v>
      </c>
      <c r="U2060" s="5" t="s">
        <v>245</v>
      </c>
      <c r="V2060" s="4" t="s">
        <v>270</v>
      </c>
      <c r="W2060" s="4" t="s">
        <v>271</v>
      </c>
      <c r="X2060" s="4" t="s">
        <v>273</v>
      </c>
      <c r="Y2060" s="4" t="s">
        <v>241</v>
      </c>
      <c r="AB2060" s="4" t="s">
        <v>241</v>
      </c>
      <c r="AD2060" s="5" t="s">
        <v>241</v>
      </c>
      <c r="AG2060" s="5" t="s">
        <v>246</v>
      </c>
      <c r="AH2060" s="4" t="s">
        <v>241</v>
      </c>
      <c r="AI2060" s="4" t="s">
        <v>247</v>
      </c>
      <c r="AJ2060" s="4" t="s">
        <v>248</v>
      </c>
      <c r="AZ2060" s="4" t="s">
        <v>249</v>
      </c>
      <c r="BA2060" s="4" t="s">
        <v>241</v>
      </c>
      <c r="BB2060" s="4" t="s">
        <v>250</v>
      </c>
      <c r="BC2060" s="4" t="s">
        <v>241</v>
      </c>
      <c r="BD2060" s="4" t="s">
        <v>252</v>
      </c>
      <c r="BE2060" s="4" t="s">
        <v>241</v>
      </c>
      <c r="BI2060" s="4" t="s">
        <v>253</v>
      </c>
      <c r="BJ2060" s="5" t="s">
        <v>246</v>
      </c>
      <c r="BK2060" s="4" t="s">
        <v>254</v>
      </c>
      <c r="BL2060" s="4" t="s">
        <v>255</v>
      </c>
      <c r="BM2060" s="4" t="s">
        <v>241</v>
      </c>
      <c r="BN2060" s="6">
        <f>0</f>
        <v>0</v>
      </c>
      <c r="BO2060" s="6">
        <f>0</f>
        <v>0</v>
      </c>
      <c r="BP2060" s="4" t="s">
        <v>256</v>
      </c>
      <c r="BQ2060" s="4" t="s">
        <v>257</v>
      </c>
      <c r="CE2060" s="4" t="s">
        <v>241</v>
      </c>
      <c r="CF2060" s="4" t="s">
        <v>241</v>
      </c>
      <c r="CJ2060" s="4" t="s">
        <v>276</v>
      </c>
      <c r="CK2060" s="4" t="s">
        <v>259</v>
      </c>
      <c r="CL2060" s="4" t="s">
        <v>241</v>
      </c>
      <c r="CO2060" s="5" t="s">
        <v>260</v>
      </c>
      <c r="CP2060" s="4" t="s">
        <v>241</v>
      </c>
      <c r="CQ2060" s="4" t="s">
        <v>261</v>
      </c>
      <c r="CR2060" s="4" t="s">
        <v>241</v>
      </c>
      <c r="CS2060" s="4" t="s">
        <v>241</v>
      </c>
      <c r="CT2060" s="4">
        <v>0</v>
      </c>
      <c r="CU2060" s="4" t="s">
        <v>262</v>
      </c>
      <c r="CV2060" s="4" t="s">
        <v>263</v>
      </c>
      <c r="CW2060" s="4" t="s">
        <v>263</v>
      </c>
      <c r="CX2060" s="4" t="s">
        <v>264</v>
      </c>
      <c r="DA2060" s="6">
        <f>1</f>
        <v>1</v>
      </c>
      <c r="DC2060" s="4" t="s">
        <v>325</v>
      </c>
      <c r="DD2060" s="4" t="s">
        <v>241</v>
      </c>
      <c r="DF2060" s="4" t="s">
        <v>325</v>
      </c>
      <c r="DG2060" s="6">
        <f>530</f>
        <v>530</v>
      </c>
      <c r="DI2060" s="4" t="s">
        <v>241</v>
      </c>
      <c r="DJ2060" s="4" t="s">
        <v>241</v>
      </c>
      <c r="DK2060" s="4" t="s">
        <v>241</v>
      </c>
      <c r="DL2060" s="4" t="s">
        <v>241</v>
      </c>
      <c r="DP2060" s="4" t="s">
        <v>241</v>
      </c>
      <c r="DQ2060" s="4" t="s">
        <v>241</v>
      </c>
      <c r="DR2060" s="4" t="s">
        <v>241</v>
      </c>
      <c r="DS2060" s="4" t="s">
        <v>241</v>
      </c>
      <c r="DV2060" s="4" t="s">
        <v>426</v>
      </c>
      <c r="DW2060" s="4" t="s">
        <v>1609</v>
      </c>
      <c r="HO2060" s="4" t="s">
        <v>267</v>
      </c>
    </row>
    <row r="2061" spans="1:223" ht="19.5" customHeight="1" x14ac:dyDescent="0.4">
      <c r="A2061" s="4">
        <v>1</v>
      </c>
      <c r="B2061" s="4" t="s">
        <v>239</v>
      </c>
      <c r="C2061" s="4">
        <v>3764</v>
      </c>
      <c r="D2061" s="4">
        <v>1</v>
      </c>
      <c r="E2061" s="4">
        <v>1</v>
      </c>
      <c r="F2061" s="4" t="s">
        <v>268</v>
      </c>
      <c r="G2061" s="4" t="s">
        <v>241</v>
      </c>
      <c r="H2061" s="4" t="s">
        <v>241</v>
      </c>
      <c r="I2061" s="4" t="s">
        <v>424</v>
      </c>
      <c r="J2061" s="4" t="s">
        <v>274</v>
      </c>
      <c r="K2061" s="4" t="s">
        <v>251</v>
      </c>
      <c r="L2061" s="4" t="s">
        <v>423</v>
      </c>
      <c r="M2061" s="5" t="s">
        <v>4961</v>
      </c>
      <c r="N2061" s="6">
        <f>548</f>
        <v>548</v>
      </c>
      <c r="O2061" s="4" t="s">
        <v>265</v>
      </c>
      <c r="P2061" s="6">
        <f>1</f>
        <v>1</v>
      </c>
      <c r="Q2061" s="6">
        <f>0</f>
        <v>0</v>
      </c>
      <c r="S2061" s="6">
        <f>0</f>
        <v>0</v>
      </c>
      <c r="T2061" s="6">
        <f>1</f>
        <v>1</v>
      </c>
      <c r="U2061" s="5" t="s">
        <v>245</v>
      </c>
      <c r="V2061" s="4" t="s">
        <v>270</v>
      </c>
      <c r="W2061" s="4" t="s">
        <v>271</v>
      </c>
      <c r="X2061" s="4" t="s">
        <v>273</v>
      </c>
      <c r="Y2061" s="4" t="s">
        <v>241</v>
      </c>
      <c r="AB2061" s="4" t="s">
        <v>241</v>
      </c>
      <c r="AD2061" s="5" t="s">
        <v>241</v>
      </c>
      <c r="AG2061" s="5" t="s">
        <v>246</v>
      </c>
      <c r="AH2061" s="4" t="s">
        <v>241</v>
      </c>
      <c r="AI2061" s="4" t="s">
        <v>247</v>
      </c>
      <c r="AJ2061" s="4" t="s">
        <v>248</v>
      </c>
      <c r="AZ2061" s="4" t="s">
        <v>249</v>
      </c>
      <c r="BA2061" s="4" t="s">
        <v>241</v>
      </c>
      <c r="BB2061" s="4" t="s">
        <v>250</v>
      </c>
      <c r="BC2061" s="4" t="s">
        <v>241</v>
      </c>
      <c r="BD2061" s="4" t="s">
        <v>252</v>
      </c>
      <c r="BE2061" s="4" t="s">
        <v>241</v>
      </c>
      <c r="BI2061" s="4" t="s">
        <v>253</v>
      </c>
      <c r="BJ2061" s="5" t="s">
        <v>246</v>
      </c>
      <c r="BK2061" s="4" t="s">
        <v>254</v>
      </c>
      <c r="BL2061" s="4" t="s">
        <v>255</v>
      </c>
      <c r="BM2061" s="4" t="s">
        <v>241</v>
      </c>
      <c r="BN2061" s="6">
        <f>0</f>
        <v>0</v>
      </c>
      <c r="BO2061" s="6">
        <f>0</f>
        <v>0</v>
      </c>
      <c r="BP2061" s="4" t="s">
        <v>256</v>
      </c>
      <c r="BQ2061" s="4" t="s">
        <v>257</v>
      </c>
      <c r="CE2061" s="4" t="s">
        <v>241</v>
      </c>
      <c r="CF2061" s="4" t="s">
        <v>241</v>
      </c>
      <c r="CJ2061" s="4" t="s">
        <v>276</v>
      </c>
      <c r="CK2061" s="4" t="s">
        <v>259</v>
      </c>
      <c r="CL2061" s="4" t="s">
        <v>241</v>
      </c>
      <c r="CO2061" s="5" t="s">
        <v>260</v>
      </c>
      <c r="CP2061" s="4" t="s">
        <v>241</v>
      </c>
      <c r="CQ2061" s="4" t="s">
        <v>261</v>
      </c>
      <c r="CR2061" s="4" t="s">
        <v>241</v>
      </c>
      <c r="CS2061" s="4" t="s">
        <v>241</v>
      </c>
      <c r="CT2061" s="4">
        <v>0</v>
      </c>
      <c r="CU2061" s="4" t="s">
        <v>262</v>
      </c>
      <c r="CV2061" s="4" t="s">
        <v>263</v>
      </c>
      <c r="CW2061" s="4" t="s">
        <v>263</v>
      </c>
      <c r="CX2061" s="4" t="s">
        <v>264</v>
      </c>
      <c r="DA2061" s="6">
        <f>1</f>
        <v>1</v>
      </c>
      <c r="DC2061" s="4" t="s">
        <v>325</v>
      </c>
      <c r="DD2061" s="4" t="s">
        <v>241</v>
      </c>
      <c r="DF2061" s="4" t="s">
        <v>325</v>
      </c>
      <c r="DG2061" s="6">
        <f>548</f>
        <v>548</v>
      </c>
      <c r="DI2061" s="4" t="s">
        <v>241</v>
      </c>
      <c r="DJ2061" s="4" t="s">
        <v>241</v>
      </c>
      <c r="DK2061" s="4" t="s">
        <v>241</v>
      </c>
      <c r="DL2061" s="4" t="s">
        <v>241</v>
      </c>
      <c r="DP2061" s="4" t="s">
        <v>241</v>
      </c>
      <c r="DQ2061" s="4" t="s">
        <v>241</v>
      </c>
      <c r="DR2061" s="4" t="s">
        <v>241</v>
      </c>
      <c r="DS2061" s="4" t="s">
        <v>241</v>
      </c>
      <c r="DV2061" s="4" t="s">
        <v>426</v>
      </c>
      <c r="DW2061" s="4" t="s">
        <v>1607</v>
      </c>
      <c r="HO2061" s="4" t="s">
        <v>267</v>
      </c>
    </row>
    <row r="2062" spans="1:223" ht="19.5" customHeight="1" x14ac:dyDescent="0.4">
      <c r="A2062" s="4">
        <v>1</v>
      </c>
      <c r="B2062" s="4" t="s">
        <v>239</v>
      </c>
      <c r="C2062" s="4">
        <v>3765</v>
      </c>
      <c r="D2062" s="4">
        <v>1</v>
      </c>
      <c r="E2062" s="4">
        <v>1</v>
      </c>
      <c r="F2062" s="4" t="s">
        <v>268</v>
      </c>
      <c r="G2062" s="4" t="s">
        <v>241</v>
      </c>
      <c r="H2062" s="4" t="s">
        <v>241</v>
      </c>
      <c r="I2062" s="4" t="s">
        <v>424</v>
      </c>
      <c r="J2062" s="4" t="s">
        <v>274</v>
      </c>
      <c r="K2062" s="4" t="s">
        <v>251</v>
      </c>
      <c r="L2062" s="4" t="s">
        <v>423</v>
      </c>
      <c r="M2062" s="5" t="s">
        <v>4051</v>
      </c>
      <c r="N2062" s="6">
        <f>540</f>
        <v>540</v>
      </c>
      <c r="O2062" s="4" t="s">
        <v>265</v>
      </c>
      <c r="P2062" s="6">
        <f>1</f>
        <v>1</v>
      </c>
      <c r="Q2062" s="6">
        <f>0</f>
        <v>0</v>
      </c>
      <c r="S2062" s="6">
        <f>0</f>
        <v>0</v>
      </c>
      <c r="T2062" s="6">
        <f>1</f>
        <v>1</v>
      </c>
      <c r="U2062" s="5" t="s">
        <v>245</v>
      </c>
      <c r="V2062" s="4" t="s">
        <v>270</v>
      </c>
      <c r="W2062" s="4" t="s">
        <v>271</v>
      </c>
      <c r="X2062" s="4" t="s">
        <v>273</v>
      </c>
      <c r="Y2062" s="4" t="s">
        <v>241</v>
      </c>
      <c r="AB2062" s="4" t="s">
        <v>241</v>
      </c>
      <c r="AD2062" s="5" t="s">
        <v>241</v>
      </c>
      <c r="AG2062" s="5" t="s">
        <v>246</v>
      </c>
      <c r="AH2062" s="4" t="s">
        <v>241</v>
      </c>
      <c r="AI2062" s="4" t="s">
        <v>247</v>
      </c>
      <c r="AJ2062" s="4" t="s">
        <v>248</v>
      </c>
      <c r="AZ2062" s="4" t="s">
        <v>249</v>
      </c>
      <c r="BA2062" s="4" t="s">
        <v>241</v>
      </c>
      <c r="BB2062" s="4" t="s">
        <v>250</v>
      </c>
      <c r="BC2062" s="4" t="s">
        <v>241</v>
      </c>
      <c r="BD2062" s="4" t="s">
        <v>252</v>
      </c>
      <c r="BE2062" s="4" t="s">
        <v>241</v>
      </c>
      <c r="BI2062" s="4" t="s">
        <v>253</v>
      </c>
      <c r="BJ2062" s="5" t="s">
        <v>246</v>
      </c>
      <c r="BK2062" s="4" t="s">
        <v>254</v>
      </c>
      <c r="BL2062" s="4" t="s">
        <v>255</v>
      </c>
      <c r="BM2062" s="4" t="s">
        <v>241</v>
      </c>
      <c r="BN2062" s="6">
        <f>0</f>
        <v>0</v>
      </c>
      <c r="BO2062" s="6">
        <f>0</f>
        <v>0</v>
      </c>
      <c r="BP2062" s="4" t="s">
        <v>256</v>
      </c>
      <c r="BQ2062" s="4" t="s">
        <v>257</v>
      </c>
      <c r="CE2062" s="4" t="s">
        <v>241</v>
      </c>
      <c r="CF2062" s="4" t="s">
        <v>241</v>
      </c>
      <c r="CJ2062" s="4" t="s">
        <v>276</v>
      </c>
      <c r="CK2062" s="4" t="s">
        <v>259</v>
      </c>
      <c r="CL2062" s="4" t="s">
        <v>241</v>
      </c>
      <c r="CO2062" s="5" t="s">
        <v>260</v>
      </c>
      <c r="CP2062" s="4" t="s">
        <v>241</v>
      </c>
      <c r="CQ2062" s="4" t="s">
        <v>261</v>
      </c>
      <c r="CR2062" s="4" t="s">
        <v>241</v>
      </c>
      <c r="CS2062" s="4" t="s">
        <v>241</v>
      </c>
      <c r="CT2062" s="4">
        <v>0</v>
      </c>
      <c r="CU2062" s="4" t="s">
        <v>262</v>
      </c>
      <c r="CV2062" s="4" t="s">
        <v>263</v>
      </c>
      <c r="CW2062" s="4" t="s">
        <v>263</v>
      </c>
      <c r="CX2062" s="4" t="s">
        <v>264</v>
      </c>
      <c r="DA2062" s="6">
        <f>1</f>
        <v>1</v>
      </c>
      <c r="DC2062" s="4" t="s">
        <v>325</v>
      </c>
      <c r="DD2062" s="4" t="s">
        <v>241</v>
      </c>
      <c r="DF2062" s="4" t="s">
        <v>325</v>
      </c>
      <c r="DG2062" s="6">
        <f>540</f>
        <v>540</v>
      </c>
      <c r="DI2062" s="4" t="s">
        <v>241</v>
      </c>
      <c r="DJ2062" s="4" t="s">
        <v>241</v>
      </c>
      <c r="DK2062" s="4" t="s">
        <v>241</v>
      </c>
      <c r="DL2062" s="4" t="s">
        <v>241</v>
      </c>
      <c r="DP2062" s="4" t="s">
        <v>241</v>
      </c>
      <c r="DQ2062" s="4" t="s">
        <v>241</v>
      </c>
      <c r="DR2062" s="4" t="s">
        <v>241</v>
      </c>
      <c r="DS2062" s="4" t="s">
        <v>241</v>
      </c>
      <c r="DV2062" s="4" t="s">
        <v>426</v>
      </c>
      <c r="DW2062" s="4" t="s">
        <v>1605</v>
      </c>
      <c r="HO2062" s="4" t="s">
        <v>267</v>
      </c>
    </row>
    <row r="2063" spans="1:223" ht="19.5" customHeight="1" x14ac:dyDescent="0.4">
      <c r="A2063" s="4">
        <v>1</v>
      </c>
      <c r="B2063" s="4" t="s">
        <v>239</v>
      </c>
      <c r="C2063" s="4">
        <v>3766</v>
      </c>
      <c r="D2063" s="4">
        <v>1</v>
      </c>
      <c r="E2063" s="4">
        <v>1</v>
      </c>
      <c r="F2063" s="4" t="s">
        <v>268</v>
      </c>
      <c r="G2063" s="4" t="s">
        <v>241</v>
      </c>
      <c r="H2063" s="4" t="s">
        <v>241</v>
      </c>
      <c r="I2063" s="4" t="s">
        <v>424</v>
      </c>
      <c r="J2063" s="4" t="s">
        <v>274</v>
      </c>
      <c r="K2063" s="4" t="s">
        <v>251</v>
      </c>
      <c r="L2063" s="4" t="s">
        <v>423</v>
      </c>
      <c r="M2063" s="5" t="s">
        <v>4054</v>
      </c>
      <c r="N2063" s="6">
        <f>1410</f>
        <v>1410</v>
      </c>
      <c r="O2063" s="4" t="s">
        <v>265</v>
      </c>
      <c r="P2063" s="6">
        <f>1</f>
        <v>1</v>
      </c>
      <c r="Q2063" s="6">
        <f>0</f>
        <v>0</v>
      </c>
      <c r="S2063" s="6">
        <f>0</f>
        <v>0</v>
      </c>
      <c r="T2063" s="6">
        <f>1</f>
        <v>1</v>
      </c>
      <c r="U2063" s="5" t="s">
        <v>245</v>
      </c>
      <c r="V2063" s="4" t="s">
        <v>270</v>
      </c>
      <c r="W2063" s="4" t="s">
        <v>271</v>
      </c>
      <c r="X2063" s="4" t="s">
        <v>273</v>
      </c>
      <c r="Y2063" s="4" t="s">
        <v>241</v>
      </c>
      <c r="AB2063" s="4" t="s">
        <v>241</v>
      </c>
      <c r="AD2063" s="5" t="s">
        <v>241</v>
      </c>
      <c r="AG2063" s="5" t="s">
        <v>246</v>
      </c>
      <c r="AH2063" s="4" t="s">
        <v>241</v>
      </c>
      <c r="AI2063" s="4" t="s">
        <v>247</v>
      </c>
      <c r="AJ2063" s="4" t="s">
        <v>248</v>
      </c>
      <c r="AZ2063" s="4" t="s">
        <v>249</v>
      </c>
      <c r="BA2063" s="4" t="s">
        <v>241</v>
      </c>
      <c r="BB2063" s="4" t="s">
        <v>250</v>
      </c>
      <c r="BC2063" s="4" t="s">
        <v>241</v>
      </c>
      <c r="BD2063" s="4" t="s">
        <v>252</v>
      </c>
      <c r="BE2063" s="4" t="s">
        <v>241</v>
      </c>
      <c r="BI2063" s="4" t="s">
        <v>253</v>
      </c>
      <c r="BJ2063" s="5" t="s">
        <v>246</v>
      </c>
      <c r="BK2063" s="4" t="s">
        <v>254</v>
      </c>
      <c r="BL2063" s="4" t="s">
        <v>255</v>
      </c>
      <c r="BM2063" s="4" t="s">
        <v>241</v>
      </c>
      <c r="BN2063" s="6">
        <f>0</f>
        <v>0</v>
      </c>
      <c r="BO2063" s="6">
        <f>0</f>
        <v>0</v>
      </c>
      <c r="BP2063" s="4" t="s">
        <v>256</v>
      </c>
      <c r="BQ2063" s="4" t="s">
        <v>257</v>
      </c>
      <c r="CE2063" s="4" t="s">
        <v>241</v>
      </c>
      <c r="CF2063" s="4" t="s">
        <v>241</v>
      </c>
      <c r="CJ2063" s="4" t="s">
        <v>276</v>
      </c>
      <c r="CK2063" s="4" t="s">
        <v>259</v>
      </c>
      <c r="CL2063" s="4" t="s">
        <v>241</v>
      </c>
      <c r="CO2063" s="5" t="s">
        <v>260</v>
      </c>
      <c r="CP2063" s="4" t="s">
        <v>241</v>
      </c>
      <c r="CQ2063" s="4" t="s">
        <v>261</v>
      </c>
      <c r="CR2063" s="4" t="s">
        <v>241</v>
      </c>
      <c r="CS2063" s="4" t="s">
        <v>241</v>
      </c>
      <c r="CT2063" s="4">
        <v>0</v>
      </c>
      <c r="CU2063" s="4" t="s">
        <v>262</v>
      </c>
      <c r="CV2063" s="4" t="s">
        <v>263</v>
      </c>
      <c r="CW2063" s="4" t="s">
        <v>263</v>
      </c>
      <c r="CX2063" s="4" t="s">
        <v>264</v>
      </c>
      <c r="DA2063" s="6">
        <f>1</f>
        <v>1</v>
      </c>
      <c r="DC2063" s="4" t="s">
        <v>325</v>
      </c>
      <c r="DD2063" s="4" t="s">
        <v>241</v>
      </c>
      <c r="DF2063" s="4" t="s">
        <v>325</v>
      </c>
      <c r="DG2063" s="6">
        <f>1410</f>
        <v>1410</v>
      </c>
      <c r="DI2063" s="4" t="s">
        <v>241</v>
      </c>
      <c r="DJ2063" s="4" t="s">
        <v>241</v>
      </c>
      <c r="DK2063" s="4" t="s">
        <v>241</v>
      </c>
      <c r="DL2063" s="4" t="s">
        <v>241</v>
      </c>
      <c r="DP2063" s="4" t="s">
        <v>241</v>
      </c>
      <c r="DQ2063" s="4" t="s">
        <v>241</v>
      </c>
      <c r="DR2063" s="4" t="s">
        <v>241</v>
      </c>
      <c r="DS2063" s="4" t="s">
        <v>241</v>
      </c>
      <c r="DV2063" s="4" t="s">
        <v>426</v>
      </c>
      <c r="DW2063" s="4" t="s">
        <v>1603</v>
      </c>
      <c r="HO2063" s="4" t="s">
        <v>267</v>
      </c>
    </row>
    <row r="2064" spans="1:223" ht="19.5" customHeight="1" x14ac:dyDescent="0.4">
      <c r="A2064" s="4">
        <v>1</v>
      </c>
      <c r="B2064" s="4" t="s">
        <v>239</v>
      </c>
      <c r="C2064" s="4">
        <v>3767</v>
      </c>
      <c r="D2064" s="4">
        <v>1</v>
      </c>
      <c r="E2064" s="4">
        <v>1</v>
      </c>
      <c r="F2064" s="4" t="s">
        <v>268</v>
      </c>
      <c r="G2064" s="4" t="s">
        <v>241</v>
      </c>
      <c r="H2064" s="4" t="s">
        <v>241</v>
      </c>
      <c r="I2064" s="4" t="s">
        <v>424</v>
      </c>
      <c r="J2064" s="4" t="s">
        <v>274</v>
      </c>
      <c r="K2064" s="4" t="s">
        <v>251</v>
      </c>
      <c r="L2064" s="4" t="s">
        <v>423</v>
      </c>
      <c r="M2064" s="5" t="s">
        <v>4055</v>
      </c>
      <c r="N2064" s="6">
        <f>1238</f>
        <v>1238</v>
      </c>
      <c r="O2064" s="4" t="s">
        <v>265</v>
      </c>
      <c r="P2064" s="6">
        <f>1</f>
        <v>1</v>
      </c>
      <c r="Q2064" s="6">
        <f>0</f>
        <v>0</v>
      </c>
      <c r="S2064" s="6">
        <f>0</f>
        <v>0</v>
      </c>
      <c r="T2064" s="6">
        <f>1</f>
        <v>1</v>
      </c>
      <c r="U2064" s="5" t="s">
        <v>245</v>
      </c>
      <c r="V2064" s="4" t="s">
        <v>270</v>
      </c>
      <c r="W2064" s="4" t="s">
        <v>271</v>
      </c>
      <c r="X2064" s="4" t="s">
        <v>273</v>
      </c>
      <c r="Y2064" s="4" t="s">
        <v>241</v>
      </c>
      <c r="AB2064" s="4" t="s">
        <v>241</v>
      </c>
      <c r="AD2064" s="5" t="s">
        <v>241</v>
      </c>
      <c r="AG2064" s="5" t="s">
        <v>246</v>
      </c>
      <c r="AH2064" s="4" t="s">
        <v>241</v>
      </c>
      <c r="AI2064" s="4" t="s">
        <v>247</v>
      </c>
      <c r="AJ2064" s="4" t="s">
        <v>248</v>
      </c>
      <c r="AZ2064" s="4" t="s">
        <v>249</v>
      </c>
      <c r="BA2064" s="4" t="s">
        <v>241</v>
      </c>
      <c r="BB2064" s="4" t="s">
        <v>250</v>
      </c>
      <c r="BC2064" s="4" t="s">
        <v>241</v>
      </c>
      <c r="BD2064" s="4" t="s">
        <v>252</v>
      </c>
      <c r="BE2064" s="4" t="s">
        <v>241</v>
      </c>
      <c r="BI2064" s="4" t="s">
        <v>253</v>
      </c>
      <c r="BJ2064" s="5" t="s">
        <v>246</v>
      </c>
      <c r="BK2064" s="4" t="s">
        <v>254</v>
      </c>
      <c r="BL2064" s="4" t="s">
        <v>255</v>
      </c>
      <c r="BM2064" s="4" t="s">
        <v>241</v>
      </c>
      <c r="BN2064" s="6">
        <f>0</f>
        <v>0</v>
      </c>
      <c r="BO2064" s="6">
        <f>0</f>
        <v>0</v>
      </c>
      <c r="BP2064" s="4" t="s">
        <v>256</v>
      </c>
      <c r="BQ2064" s="4" t="s">
        <v>257</v>
      </c>
      <c r="CE2064" s="4" t="s">
        <v>241</v>
      </c>
      <c r="CF2064" s="4" t="s">
        <v>241</v>
      </c>
      <c r="CJ2064" s="4" t="s">
        <v>276</v>
      </c>
      <c r="CK2064" s="4" t="s">
        <v>259</v>
      </c>
      <c r="CL2064" s="4" t="s">
        <v>241</v>
      </c>
      <c r="CO2064" s="5" t="s">
        <v>260</v>
      </c>
      <c r="CP2064" s="4" t="s">
        <v>241</v>
      </c>
      <c r="CQ2064" s="4" t="s">
        <v>261</v>
      </c>
      <c r="CR2064" s="4" t="s">
        <v>241</v>
      </c>
      <c r="CS2064" s="4" t="s">
        <v>241</v>
      </c>
      <c r="CT2064" s="4">
        <v>0</v>
      </c>
      <c r="CU2064" s="4" t="s">
        <v>262</v>
      </c>
      <c r="CV2064" s="4" t="s">
        <v>263</v>
      </c>
      <c r="CW2064" s="4" t="s">
        <v>263</v>
      </c>
      <c r="CX2064" s="4" t="s">
        <v>264</v>
      </c>
      <c r="DA2064" s="6">
        <f>1</f>
        <v>1</v>
      </c>
      <c r="DC2064" s="4" t="s">
        <v>325</v>
      </c>
      <c r="DD2064" s="4" t="s">
        <v>241</v>
      </c>
      <c r="DF2064" s="4" t="s">
        <v>325</v>
      </c>
      <c r="DG2064" s="6">
        <f>1238</f>
        <v>1238</v>
      </c>
      <c r="DI2064" s="4" t="s">
        <v>241</v>
      </c>
      <c r="DJ2064" s="4" t="s">
        <v>241</v>
      </c>
      <c r="DK2064" s="4" t="s">
        <v>241</v>
      </c>
      <c r="DL2064" s="4" t="s">
        <v>241</v>
      </c>
      <c r="DP2064" s="4" t="s">
        <v>241</v>
      </c>
      <c r="DQ2064" s="4" t="s">
        <v>241</v>
      </c>
      <c r="DR2064" s="4" t="s">
        <v>241</v>
      </c>
      <c r="DS2064" s="4" t="s">
        <v>241</v>
      </c>
      <c r="DV2064" s="4" t="s">
        <v>426</v>
      </c>
      <c r="DW2064" s="4" t="s">
        <v>2747</v>
      </c>
      <c r="HO2064" s="4" t="s">
        <v>267</v>
      </c>
    </row>
    <row r="2065" spans="1:223" ht="19.5" customHeight="1" x14ac:dyDescent="0.4">
      <c r="A2065" s="4">
        <v>1</v>
      </c>
      <c r="B2065" s="4" t="s">
        <v>239</v>
      </c>
      <c r="C2065" s="4">
        <v>3768</v>
      </c>
      <c r="D2065" s="4">
        <v>1</v>
      </c>
      <c r="E2065" s="4">
        <v>1</v>
      </c>
      <c r="F2065" s="4" t="s">
        <v>268</v>
      </c>
      <c r="G2065" s="4" t="s">
        <v>241</v>
      </c>
      <c r="H2065" s="4" t="s">
        <v>241</v>
      </c>
      <c r="I2065" s="4" t="s">
        <v>424</v>
      </c>
      <c r="J2065" s="4" t="s">
        <v>274</v>
      </c>
      <c r="K2065" s="4" t="s">
        <v>251</v>
      </c>
      <c r="L2065" s="4" t="s">
        <v>423</v>
      </c>
      <c r="M2065" s="5" t="s">
        <v>4057</v>
      </c>
      <c r="N2065" s="6">
        <f>1018</f>
        <v>1018</v>
      </c>
      <c r="O2065" s="4" t="s">
        <v>265</v>
      </c>
      <c r="P2065" s="6">
        <f>1</f>
        <v>1</v>
      </c>
      <c r="Q2065" s="6">
        <f>0</f>
        <v>0</v>
      </c>
      <c r="S2065" s="6">
        <f>0</f>
        <v>0</v>
      </c>
      <c r="T2065" s="6">
        <f>1</f>
        <v>1</v>
      </c>
      <c r="U2065" s="5" t="s">
        <v>245</v>
      </c>
      <c r="V2065" s="4" t="s">
        <v>270</v>
      </c>
      <c r="W2065" s="4" t="s">
        <v>271</v>
      </c>
      <c r="X2065" s="4" t="s">
        <v>273</v>
      </c>
      <c r="Y2065" s="4" t="s">
        <v>241</v>
      </c>
      <c r="AB2065" s="4" t="s">
        <v>241</v>
      </c>
      <c r="AD2065" s="5" t="s">
        <v>241</v>
      </c>
      <c r="AG2065" s="5" t="s">
        <v>246</v>
      </c>
      <c r="AH2065" s="4" t="s">
        <v>241</v>
      </c>
      <c r="AI2065" s="4" t="s">
        <v>247</v>
      </c>
      <c r="AJ2065" s="4" t="s">
        <v>248</v>
      </c>
      <c r="AZ2065" s="4" t="s">
        <v>249</v>
      </c>
      <c r="BA2065" s="4" t="s">
        <v>241</v>
      </c>
      <c r="BB2065" s="4" t="s">
        <v>250</v>
      </c>
      <c r="BC2065" s="4" t="s">
        <v>241</v>
      </c>
      <c r="BD2065" s="4" t="s">
        <v>252</v>
      </c>
      <c r="BE2065" s="4" t="s">
        <v>241</v>
      </c>
      <c r="BI2065" s="4" t="s">
        <v>253</v>
      </c>
      <c r="BJ2065" s="5" t="s">
        <v>246</v>
      </c>
      <c r="BK2065" s="4" t="s">
        <v>254</v>
      </c>
      <c r="BL2065" s="4" t="s">
        <v>255</v>
      </c>
      <c r="BM2065" s="4" t="s">
        <v>241</v>
      </c>
      <c r="BN2065" s="6">
        <f>0</f>
        <v>0</v>
      </c>
      <c r="BO2065" s="6">
        <f>0</f>
        <v>0</v>
      </c>
      <c r="BP2065" s="4" t="s">
        <v>256</v>
      </c>
      <c r="BQ2065" s="4" t="s">
        <v>257</v>
      </c>
      <c r="CE2065" s="4" t="s">
        <v>241</v>
      </c>
      <c r="CF2065" s="4" t="s">
        <v>241</v>
      </c>
      <c r="CJ2065" s="4" t="s">
        <v>276</v>
      </c>
      <c r="CK2065" s="4" t="s">
        <v>259</v>
      </c>
      <c r="CL2065" s="4" t="s">
        <v>241</v>
      </c>
      <c r="CO2065" s="5" t="s">
        <v>260</v>
      </c>
      <c r="CP2065" s="4" t="s">
        <v>241</v>
      </c>
      <c r="CQ2065" s="4" t="s">
        <v>261</v>
      </c>
      <c r="CR2065" s="4" t="s">
        <v>241</v>
      </c>
      <c r="CS2065" s="4" t="s">
        <v>241</v>
      </c>
      <c r="CT2065" s="4">
        <v>0</v>
      </c>
      <c r="CU2065" s="4" t="s">
        <v>262</v>
      </c>
      <c r="CV2065" s="4" t="s">
        <v>263</v>
      </c>
      <c r="CW2065" s="4" t="s">
        <v>263</v>
      </c>
      <c r="CX2065" s="4" t="s">
        <v>264</v>
      </c>
      <c r="DA2065" s="6">
        <f>1</f>
        <v>1</v>
      </c>
      <c r="DC2065" s="4" t="s">
        <v>325</v>
      </c>
      <c r="DD2065" s="4" t="s">
        <v>241</v>
      </c>
      <c r="DF2065" s="4" t="s">
        <v>325</v>
      </c>
      <c r="DG2065" s="6">
        <f>1018</f>
        <v>1018</v>
      </c>
      <c r="DI2065" s="4" t="s">
        <v>241</v>
      </c>
      <c r="DJ2065" s="4" t="s">
        <v>241</v>
      </c>
      <c r="DK2065" s="4" t="s">
        <v>241</v>
      </c>
      <c r="DL2065" s="4" t="s">
        <v>241</v>
      </c>
      <c r="DP2065" s="4" t="s">
        <v>241</v>
      </c>
      <c r="DQ2065" s="4" t="s">
        <v>241</v>
      </c>
      <c r="DR2065" s="4" t="s">
        <v>241</v>
      </c>
      <c r="DS2065" s="4" t="s">
        <v>241</v>
      </c>
      <c r="DV2065" s="4" t="s">
        <v>426</v>
      </c>
      <c r="DW2065" s="4" t="s">
        <v>1601</v>
      </c>
      <c r="HO2065" s="4" t="s">
        <v>267</v>
      </c>
    </row>
    <row r="2066" spans="1:223" ht="19.5" customHeight="1" x14ac:dyDescent="0.4">
      <c r="A2066" s="4">
        <v>1</v>
      </c>
      <c r="B2066" s="4" t="s">
        <v>239</v>
      </c>
      <c r="C2066" s="4">
        <v>3769</v>
      </c>
      <c r="D2066" s="4">
        <v>1</v>
      </c>
      <c r="E2066" s="4">
        <v>1</v>
      </c>
      <c r="F2066" s="4" t="s">
        <v>268</v>
      </c>
      <c r="G2066" s="4" t="s">
        <v>241</v>
      </c>
      <c r="H2066" s="4" t="s">
        <v>241</v>
      </c>
      <c r="I2066" s="4" t="s">
        <v>424</v>
      </c>
      <c r="J2066" s="4" t="s">
        <v>274</v>
      </c>
      <c r="K2066" s="4" t="s">
        <v>251</v>
      </c>
      <c r="L2066" s="4" t="s">
        <v>423</v>
      </c>
      <c r="M2066" s="5" t="s">
        <v>4058</v>
      </c>
      <c r="N2066" s="6">
        <f>3680</f>
        <v>3680</v>
      </c>
      <c r="O2066" s="4" t="s">
        <v>265</v>
      </c>
      <c r="P2066" s="6">
        <f>1</f>
        <v>1</v>
      </c>
      <c r="Q2066" s="6">
        <f>0</f>
        <v>0</v>
      </c>
      <c r="S2066" s="6">
        <f>0</f>
        <v>0</v>
      </c>
      <c r="T2066" s="6">
        <f>1</f>
        <v>1</v>
      </c>
      <c r="U2066" s="5" t="s">
        <v>245</v>
      </c>
      <c r="V2066" s="4" t="s">
        <v>270</v>
      </c>
      <c r="W2066" s="4" t="s">
        <v>271</v>
      </c>
      <c r="X2066" s="4" t="s">
        <v>273</v>
      </c>
      <c r="Y2066" s="4" t="s">
        <v>241</v>
      </c>
      <c r="AB2066" s="4" t="s">
        <v>241</v>
      </c>
      <c r="AD2066" s="5" t="s">
        <v>241</v>
      </c>
      <c r="AG2066" s="5" t="s">
        <v>246</v>
      </c>
      <c r="AH2066" s="4" t="s">
        <v>241</v>
      </c>
      <c r="AI2066" s="4" t="s">
        <v>247</v>
      </c>
      <c r="AJ2066" s="4" t="s">
        <v>248</v>
      </c>
      <c r="AZ2066" s="4" t="s">
        <v>249</v>
      </c>
      <c r="BA2066" s="4" t="s">
        <v>241</v>
      </c>
      <c r="BB2066" s="4" t="s">
        <v>250</v>
      </c>
      <c r="BC2066" s="4" t="s">
        <v>241</v>
      </c>
      <c r="BD2066" s="4" t="s">
        <v>252</v>
      </c>
      <c r="BE2066" s="4" t="s">
        <v>241</v>
      </c>
      <c r="BI2066" s="4" t="s">
        <v>253</v>
      </c>
      <c r="BJ2066" s="5" t="s">
        <v>246</v>
      </c>
      <c r="BK2066" s="4" t="s">
        <v>254</v>
      </c>
      <c r="BL2066" s="4" t="s">
        <v>255</v>
      </c>
      <c r="BM2066" s="4" t="s">
        <v>241</v>
      </c>
      <c r="BN2066" s="6">
        <f>0</f>
        <v>0</v>
      </c>
      <c r="BO2066" s="6">
        <f>0</f>
        <v>0</v>
      </c>
      <c r="BP2066" s="4" t="s">
        <v>256</v>
      </c>
      <c r="BQ2066" s="4" t="s">
        <v>257</v>
      </c>
      <c r="CE2066" s="4" t="s">
        <v>241</v>
      </c>
      <c r="CF2066" s="4" t="s">
        <v>241</v>
      </c>
      <c r="CJ2066" s="4" t="s">
        <v>276</v>
      </c>
      <c r="CK2066" s="4" t="s">
        <v>259</v>
      </c>
      <c r="CL2066" s="4" t="s">
        <v>241</v>
      </c>
      <c r="CO2066" s="5" t="s">
        <v>260</v>
      </c>
      <c r="CP2066" s="4" t="s">
        <v>241</v>
      </c>
      <c r="CQ2066" s="4" t="s">
        <v>261</v>
      </c>
      <c r="CR2066" s="4" t="s">
        <v>241</v>
      </c>
      <c r="CS2066" s="4" t="s">
        <v>241</v>
      </c>
      <c r="CT2066" s="4">
        <v>0</v>
      </c>
      <c r="CU2066" s="4" t="s">
        <v>262</v>
      </c>
      <c r="CV2066" s="4" t="s">
        <v>263</v>
      </c>
      <c r="CW2066" s="4" t="s">
        <v>263</v>
      </c>
      <c r="CX2066" s="4" t="s">
        <v>264</v>
      </c>
      <c r="DA2066" s="6">
        <f>1</f>
        <v>1</v>
      </c>
      <c r="DC2066" s="4" t="s">
        <v>325</v>
      </c>
      <c r="DD2066" s="4" t="s">
        <v>241</v>
      </c>
      <c r="DF2066" s="4" t="s">
        <v>325</v>
      </c>
      <c r="DG2066" s="6">
        <f>3680</f>
        <v>3680</v>
      </c>
      <c r="DI2066" s="4" t="s">
        <v>241</v>
      </c>
      <c r="DJ2066" s="4" t="s">
        <v>241</v>
      </c>
      <c r="DK2066" s="4" t="s">
        <v>241</v>
      </c>
      <c r="DL2066" s="4" t="s">
        <v>241</v>
      </c>
      <c r="DP2066" s="4" t="s">
        <v>241</v>
      </c>
      <c r="DQ2066" s="4" t="s">
        <v>241</v>
      </c>
      <c r="DR2066" s="4" t="s">
        <v>241</v>
      </c>
      <c r="DS2066" s="4" t="s">
        <v>241</v>
      </c>
      <c r="DV2066" s="4" t="s">
        <v>426</v>
      </c>
      <c r="DW2066" s="4" t="s">
        <v>1599</v>
      </c>
      <c r="HO2066" s="4" t="s">
        <v>267</v>
      </c>
    </row>
    <row r="2067" spans="1:223" ht="19.5" customHeight="1" x14ac:dyDescent="0.4">
      <c r="A2067" s="4">
        <v>1</v>
      </c>
      <c r="B2067" s="4" t="s">
        <v>239</v>
      </c>
      <c r="C2067" s="4">
        <v>3770</v>
      </c>
      <c r="D2067" s="4">
        <v>1</v>
      </c>
      <c r="E2067" s="4">
        <v>1</v>
      </c>
      <c r="F2067" s="4" t="s">
        <v>268</v>
      </c>
      <c r="G2067" s="4" t="s">
        <v>241</v>
      </c>
      <c r="H2067" s="4" t="s">
        <v>241</v>
      </c>
      <c r="I2067" s="4" t="s">
        <v>424</v>
      </c>
      <c r="J2067" s="4" t="s">
        <v>274</v>
      </c>
      <c r="K2067" s="4" t="s">
        <v>251</v>
      </c>
      <c r="L2067" s="4" t="s">
        <v>423</v>
      </c>
      <c r="M2067" s="5" t="s">
        <v>4062</v>
      </c>
      <c r="N2067" s="6">
        <f>267</f>
        <v>267</v>
      </c>
      <c r="O2067" s="4" t="s">
        <v>265</v>
      </c>
      <c r="P2067" s="6">
        <f>1</f>
        <v>1</v>
      </c>
      <c r="Q2067" s="6">
        <f>0</f>
        <v>0</v>
      </c>
      <c r="S2067" s="6">
        <f>0</f>
        <v>0</v>
      </c>
      <c r="T2067" s="6">
        <f>1</f>
        <v>1</v>
      </c>
      <c r="U2067" s="5" t="s">
        <v>245</v>
      </c>
      <c r="V2067" s="4" t="s">
        <v>270</v>
      </c>
      <c r="W2067" s="4" t="s">
        <v>271</v>
      </c>
      <c r="X2067" s="4" t="s">
        <v>273</v>
      </c>
      <c r="Y2067" s="4" t="s">
        <v>241</v>
      </c>
      <c r="AB2067" s="4" t="s">
        <v>241</v>
      </c>
      <c r="AD2067" s="5" t="s">
        <v>241</v>
      </c>
      <c r="AG2067" s="5" t="s">
        <v>246</v>
      </c>
      <c r="AH2067" s="4" t="s">
        <v>241</v>
      </c>
      <c r="AI2067" s="4" t="s">
        <v>247</v>
      </c>
      <c r="AJ2067" s="4" t="s">
        <v>248</v>
      </c>
      <c r="AZ2067" s="4" t="s">
        <v>249</v>
      </c>
      <c r="BA2067" s="4" t="s">
        <v>241</v>
      </c>
      <c r="BB2067" s="4" t="s">
        <v>250</v>
      </c>
      <c r="BC2067" s="4" t="s">
        <v>241</v>
      </c>
      <c r="BD2067" s="4" t="s">
        <v>252</v>
      </c>
      <c r="BE2067" s="4" t="s">
        <v>241</v>
      </c>
      <c r="BI2067" s="4" t="s">
        <v>253</v>
      </c>
      <c r="BJ2067" s="5" t="s">
        <v>246</v>
      </c>
      <c r="BK2067" s="4" t="s">
        <v>254</v>
      </c>
      <c r="BL2067" s="4" t="s">
        <v>255</v>
      </c>
      <c r="BM2067" s="4" t="s">
        <v>241</v>
      </c>
      <c r="BN2067" s="6">
        <f>0</f>
        <v>0</v>
      </c>
      <c r="BO2067" s="6">
        <f>0</f>
        <v>0</v>
      </c>
      <c r="BP2067" s="4" t="s">
        <v>256</v>
      </c>
      <c r="BQ2067" s="4" t="s">
        <v>257</v>
      </c>
      <c r="CE2067" s="4" t="s">
        <v>241</v>
      </c>
      <c r="CF2067" s="4" t="s">
        <v>241</v>
      </c>
      <c r="CJ2067" s="4" t="s">
        <v>276</v>
      </c>
      <c r="CK2067" s="4" t="s">
        <v>259</v>
      </c>
      <c r="CL2067" s="4" t="s">
        <v>241</v>
      </c>
      <c r="CO2067" s="5" t="s">
        <v>260</v>
      </c>
      <c r="CP2067" s="4" t="s">
        <v>241</v>
      </c>
      <c r="CQ2067" s="4" t="s">
        <v>261</v>
      </c>
      <c r="CR2067" s="4" t="s">
        <v>241</v>
      </c>
      <c r="CS2067" s="4" t="s">
        <v>241</v>
      </c>
      <c r="CT2067" s="4">
        <v>0</v>
      </c>
      <c r="CU2067" s="4" t="s">
        <v>262</v>
      </c>
      <c r="CV2067" s="4" t="s">
        <v>263</v>
      </c>
      <c r="CW2067" s="4" t="s">
        <v>263</v>
      </c>
      <c r="CX2067" s="4" t="s">
        <v>264</v>
      </c>
      <c r="DA2067" s="6">
        <f>1</f>
        <v>1</v>
      </c>
      <c r="DC2067" s="4" t="s">
        <v>325</v>
      </c>
      <c r="DD2067" s="4" t="s">
        <v>241</v>
      </c>
      <c r="DF2067" s="4" t="s">
        <v>325</v>
      </c>
      <c r="DG2067" s="6">
        <f>267</f>
        <v>267</v>
      </c>
      <c r="DI2067" s="4" t="s">
        <v>241</v>
      </c>
      <c r="DJ2067" s="4" t="s">
        <v>241</v>
      </c>
      <c r="DK2067" s="4" t="s">
        <v>241</v>
      </c>
      <c r="DL2067" s="4" t="s">
        <v>241</v>
      </c>
      <c r="DP2067" s="4" t="s">
        <v>241</v>
      </c>
      <c r="DQ2067" s="4" t="s">
        <v>241</v>
      </c>
      <c r="DR2067" s="4" t="s">
        <v>241</v>
      </c>
      <c r="DS2067" s="4" t="s">
        <v>241</v>
      </c>
      <c r="DV2067" s="4" t="s">
        <v>426</v>
      </c>
      <c r="DW2067" s="4" t="s">
        <v>1597</v>
      </c>
      <c r="HO2067" s="4" t="s">
        <v>267</v>
      </c>
    </row>
    <row r="2068" spans="1:223" ht="19.5" customHeight="1" x14ac:dyDescent="0.4">
      <c r="A2068" s="4">
        <v>1</v>
      </c>
      <c r="B2068" s="4" t="s">
        <v>239</v>
      </c>
      <c r="C2068" s="4">
        <v>3771</v>
      </c>
      <c r="D2068" s="4">
        <v>1</v>
      </c>
      <c r="E2068" s="4">
        <v>1</v>
      </c>
      <c r="F2068" s="4" t="s">
        <v>268</v>
      </c>
      <c r="G2068" s="4" t="s">
        <v>241</v>
      </c>
      <c r="H2068" s="4" t="s">
        <v>241</v>
      </c>
      <c r="I2068" s="4" t="s">
        <v>424</v>
      </c>
      <c r="J2068" s="4" t="s">
        <v>274</v>
      </c>
      <c r="K2068" s="4" t="s">
        <v>251</v>
      </c>
      <c r="L2068" s="4" t="s">
        <v>423</v>
      </c>
      <c r="M2068" s="5" t="s">
        <v>4064</v>
      </c>
      <c r="N2068" s="6">
        <f>436</f>
        <v>436</v>
      </c>
      <c r="O2068" s="4" t="s">
        <v>265</v>
      </c>
      <c r="P2068" s="6">
        <f>1</f>
        <v>1</v>
      </c>
      <c r="Q2068" s="6">
        <f>0</f>
        <v>0</v>
      </c>
      <c r="S2068" s="6">
        <f>0</f>
        <v>0</v>
      </c>
      <c r="T2068" s="6">
        <f>1</f>
        <v>1</v>
      </c>
      <c r="U2068" s="5" t="s">
        <v>245</v>
      </c>
      <c r="V2068" s="4" t="s">
        <v>270</v>
      </c>
      <c r="W2068" s="4" t="s">
        <v>271</v>
      </c>
      <c r="X2068" s="4" t="s">
        <v>273</v>
      </c>
      <c r="Y2068" s="4" t="s">
        <v>241</v>
      </c>
      <c r="AB2068" s="4" t="s">
        <v>241</v>
      </c>
      <c r="AD2068" s="5" t="s">
        <v>241</v>
      </c>
      <c r="AG2068" s="5" t="s">
        <v>246</v>
      </c>
      <c r="AH2068" s="4" t="s">
        <v>241</v>
      </c>
      <c r="AI2068" s="4" t="s">
        <v>247</v>
      </c>
      <c r="AJ2068" s="4" t="s">
        <v>248</v>
      </c>
      <c r="AZ2068" s="4" t="s">
        <v>249</v>
      </c>
      <c r="BA2068" s="4" t="s">
        <v>241</v>
      </c>
      <c r="BB2068" s="4" t="s">
        <v>250</v>
      </c>
      <c r="BC2068" s="4" t="s">
        <v>241</v>
      </c>
      <c r="BD2068" s="4" t="s">
        <v>252</v>
      </c>
      <c r="BE2068" s="4" t="s">
        <v>241</v>
      </c>
      <c r="BI2068" s="4" t="s">
        <v>253</v>
      </c>
      <c r="BJ2068" s="5" t="s">
        <v>246</v>
      </c>
      <c r="BK2068" s="4" t="s">
        <v>254</v>
      </c>
      <c r="BL2068" s="4" t="s">
        <v>255</v>
      </c>
      <c r="BM2068" s="4" t="s">
        <v>241</v>
      </c>
      <c r="BN2068" s="6">
        <f>0</f>
        <v>0</v>
      </c>
      <c r="BO2068" s="6">
        <f>0</f>
        <v>0</v>
      </c>
      <c r="BP2068" s="4" t="s">
        <v>256</v>
      </c>
      <c r="BQ2068" s="4" t="s">
        <v>257</v>
      </c>
      <c r="CE2068" s="4" t="s">
        <v>241</v>
      </c>
      <c r="CF2068" s="4" t="s">
        <v>241</v>
      </c>
      <c r="CJ2068" s="4" t="s">
        <v>276</v>
      </c>
      <c r="CK2068" s="4" t="s">
        <v>259</v>
      </c>
      <c r="CL2068" s="4" t="s">
        <v>241</v>
      </c>
      <c r="CO2068" s="5" t="s">
        <v>260</v>
      </c>
      <c r="CP2068" s="4" t="s">
        <v>241</v>
      </c>
      <c r="CQ2068" s="4" t="s">
        <v>261</v>
      </c>
      <c r="CR2068" s="4" t="s">
        <v>241</v>
      </c>
      <c r="CS2068" s="4" t="s">
        <v>241</v>
      </c>
      <c r="CT2068" s="4">
        <v>0</v>
      </c>
      <c r="CU2068" s="4" t="s">
        <v>262</v>
      </c>
      <c r="CV2068" s="4" t="s">
        <v>263</v>
      </c>
      <c r="CW2068" s="4" t="s">
        <v>263</v>
      </c>
      <c r="CX2068" s="4" t="s">
        <v>264</v>
      </c>
      <c r="DA2068" s="6">
        <f>1</f>
        <v>1</v>
      </c>
      <c r="DC2068" s="4" t="s">
        <v>325</v>
      </c>
      <c r="DD2068" s="4" t="s">
        <v>241</v>
      </c>
      <c r="DF2068" s="4" t="s">
        <v>325</v>
      </c>
      <c r="DG2068" s="6">
        <f>436</f>
        <v>436</v>
      </c>
      <c r="DI2068" s="4" t="s">
        <v>241</v>
      </c>
      <c r="DJ2068" s="4" t="s">
        <v>241</v>
      </c>
      <c r="DK2068" s="4" t="s">
        <v>241</v>
      </c>
      <c r="DL2068" s="4" t="s">
        <v>241</v>
      </c>
      <c r="DP2068" s="4" t="s">
        <v>241</v>
      </c>
      <c r="DQ2068" s="4" t="s">
        <v>241</v>
      </c>
      <c r="DR2068" s="4" t="s">
        <v>241</v>
      </c>
      <c r="DS2068" s="4" t="s">
        <v>241</v>
      </c>
      <c r="DV2068" s="4" t="s">
        <v>426</v>
      </c>
      <c r="DW2068" s="4" t="s">
        <v>1805</v>
      </c>
      <c r="HO2068" s="4" t="s">
        <v>267</v>
      </c>
    </row>
    <row r="2069" spans="1:223" ht="19.5" customHeight="1" x14ac:dyDescent="0.4">
      <c r="A2069" s="4">
        <v>1</v>
      </c>
      <c r="B2069" s="4" t="s">
        <v>239</v>
      </c>
      <c r="C2069" s="4">
        <v>3772</v>
      </c>
      <c r="D2069" s="4">
        <v>1</v>
      </c>
      <c r="E2069" s="4">
        <v>1</v>
      </c>
      <c r="F2069" s="4" t="s">
        <v>268</v>
      </c>
      <c r="G2069" s="4" t="s">
        <v>241</v>
      </c>
      <c r="H2069" s="4" t="s">
        <v>241</v>
      </c>
      <c r="I2069" s="4" t="s">
        <v>424</v>
      </c>
      <c r="J2069" s="4" t="s">
        <v>274</v>
      </c>
      <c r="K2069" s="4" t="s">
        <v>251</v>
      </c>
      <c r="L2069" s="4" t="s">
        <v>423</v>
      </c>
      <c r="M2069" s="5" t="s">
        <v>4969</v>
      </c>
      <c r="N2069" s="6">
        <f>325</f>
        <v>325</v>
      </c>
      <c r="O2069" s="4" t="s">
        <v>265</v>
      </c>
      <c r="P2069" s="6">
        <f>1</f>
        <v>1</v>
      </c>
      <c r="Q2069" s="6">
        <f>0</f>
        <v>0</v>
      </c>
      <c r="S2069" s="6">
        <f>0</f>
        <v>0</v>
      </c>
      <c r="T2069" s="6">
        <f>1</f>
        <v>1</v>
      </c>
      <c r="U2069" s="5" t="s">
        <v>245</v>
      </c>
      <c r="V2069" s="4" t="s">
        <v>270</v>
      </c>
      <c r="W2069" s="4" t="s">
        <v>271</v>
      </c>
      <c r="X2069" s="4" t="s">
        <v>273</v>
      </c>
      <c r="Y2069" s="4" t="s">
        <v>241</v>
      </c>
      <c r="AB2069" s="4" t="s">
        <v>241</v>
      </c>
      <c r="AD2069" s="5" t="s">
        <v>241</v>
      </c>
      <c r="AG2069" s="5" t="s">
        <v>246</v>
      </c>
      <c r="AH2069" s="4" t="s">
        <v>241</v>
      </c>
      <c r="AI2069" s="4" t="s">
        <v>247</v>
      </c>
      <c r="AJ2069" s="4" t="s">
        <v>248</v>
      </c>
      <c r="AZ2069" s="4" t="s">
        <v>249</v>
      </c>
      <c r="BA2069" s="4" t="s">
        <v>241</v>
      </c>
      <c r="BB2069" s="4" t="s">
        <v>250</v>
      </c>
      <c r="BC2069" s="4" t="s">
        <v>241</v>
      </c>
      <c r="BD2069" s="4" t="s">
        <v>252</v>
      </c>
      <c r="BE2069" s="4" t="s">
        <v>241</v>
      </c>
      <c r="BI2069" s="4" t="s">
        <v>253</v>
      </c>
      <c r="BJ2069" s="5" t="s">
        <v>246</v>
      </c>
      <c r="BK2069" s="4" t="s">
        <v>254</v>
      </c>
      <c r="BL2069" s="4" t="s">
        <v>255</v>
      </c>
      <c r="BM2069" s="4" t="s">
        <v>241</v>
      </c>
      <c r="BN2069" s="6">
        <f>0</f>
        <v>0</v>
      </c>
      <c r="BO2069" s="6">
        <f>0</f>
        <v>0</v>
      </c>
      <c r="BP2069" s="4" t="s">
        <v>256</v>
      </c>
      <c r="BQ2069" s="4" t="s">
        <v>257</v>
      </c>
      <c r="CE2069" s="4" t="s">
        <v>241</v>
      </c>
      <c r="CF2069" s="4" t="s">
        <v>241</v>
      </c>
      <c r="CJ2069" s="4" t="s">
        <v>276</v>
      </c>
      <c r="CK2069" s="4" t="s">
        <v>259</v>
      </c>
      <c r="CL2069" s="4" t="s">
        <v>241</v>
      </c>
      <c r="CO2069" s="5" t="s">
        <v>260</v>
      </c>
      <c r="CP2069" s="4" t="s">
        <v>241</v>
      </c>
      <c r="CQ2069" s="4" t="s">
        <v>261</v>
      </c>
      <c r="CR2069" s="4" t="s">
        <v>241</v>
      </c>
      <c r="CS2069" s="4" t="s">
        <v>241</v>
      </c>
      <c r="CT2069" s="4">
        <v>0</v>
      </c>
      <c r="CU2069" s="4" t="s">
        <v>262</v>
      </c>
      <c r="CV2069" s="4" t="s">
        <v>263</v>
      </c>
      <c r="CW2069" s="4" t="s">
        <v>263</v>
      </c>
      <c r="CX2069" s="4" t="s">
        <v>264</v>
      </c>
      <c r="DA2069" s="6">
        <f>1</f>
        <v>1</v>
      </c>
      <c r="DC2069" s="4" t="s">
        <v>325</v>
      </c>
      <c r="DD2069" s="4" t="s">
        <v>241</v>
      </c>
      <c r="DF2069" s="4" t="s">
        <v>325</v>
      </c>
      <c r="DG2069" s="6">
        <f>325</f>
        <v>325</v>
      </c>
      <c r="DI2069" s="4" t="s">
        <v>241</v>
      </c>
      <c r="DJ2069" s="4" t="s">
        <v>241</v>
      </c>
      <c r="DK2069" s="4" t="s">
        <v>241</v>
      </c>
      <c r="DL2069" s="4" t="s">
        <v>241</v>
      </c>
      <c r="DP2069" s="4" t="s">
        <v>241</v>
      </c>
      <c r="DQ2069" s="4" t="s">
        <v>241</v>
      </c>
      <c r="DR2069" s="4" t="s">
        <v>241</v>
      </c>
      <c r="DS2069" s="4" t="s">
        <v>241</v>
      </c>
      <c r="DV2069" s="4" t="s">
        <v>426</v>
      </c>
      <c r="DW2069" s="4" t="s">
        <v>1593</v>
      </c>
      <c r="HO2069" s="4" t="s">
        <v>267</v>
      </c>
    </row>
    <row r="2070" spans="1:223" ht="19.5" customHeight="1" x14ac:dyDescent="0.4">
      <c r="A2070" s="4">
        <v>1</v>
      </c>
      <c r="B2070" s="4" t="s">
        <v>239</v>
      </c>
      <c r="C2070" s="4">
        <v>3773</v>
      </c>
      <c r="D2070" s="4">
        <v>1</v>
      </c>
      <c r="E2070" s="4">
        <v>1</v>
      </c>
      <c r="F2070" s="4" t="s">
        <v>268</v>
      </c>
      <c r="G2070" s="4" t="s">
        <v>241</v>
      </c>
      <c r="H2070" s="4" t="s">
        <v>241</v>
      </c>
      <c r="I2070" s="4" t="s">
        <v>424</v>
      </c>
      <c r="J2070" s="4" t="s">
        <v>274</v>
      </c>
      <c r="K2070" s="4" t="s">
        <v>251</v>
      </c>
      <c r="L2070" s="4" t="s">
        <v>423</v>
      </c>
      <c r="M2070" s="5" t="s">
        <v>4066</v>
      </c>
      <c r="N2070" s="6">
        <f>1754</f>
        <v>1754</v>
      </c>
      <c r="O2070" s="4" t="s">
        <v>265</v>
      </c>
      <c r="P2070" s="6">
        <f>1</f>
        <v>1</v>
      </c>
      <c r="Q2070" s="6">
        <f>0</f>
        <v>0</v>
      </c>
      <c r="S2070" s="6">
        <f>0</f>
        <v>0</v>
      </c>
      <c r="T2070" s="6">
        <f>1</f>
        <v>1</v>
      </c>
      <c r="U2070" s="5" t="s">
        <v>245</v>
      </c>
      <c r="V2070" s="4" t="s">
        <v>270</v>
      </c>
      <c r="W2070" s="4" t="s">
        <v>271</v>
      </c>
      <c r="X2070" s="4" t="s">
        <v>273</v>
      </c>
      <c r="Y2070" s="4" t="s">
        <v>241</v>
      </c>
      <c r="AB2070" s="4" t="s">
        <v>241</v>
      </c>
      <c r="AD2070" s="5" t="s">
        <v>241</v>
      </c>
      <c r="AG2070" s="5" t="s">
        <v>246</v>
      </c>
      <c r="AH2070" s="4" t="s">
        <v>241</v>
      </c>
      <c r="AI2070" s="4" t="s">
        <v>247</v>
      </c>
      <c r="AJ2070" s="4" t="s">
        <v>248</v>
      </c>
      <c r="AZ2070" s="4" t="s">
        <v>249</v>
      </c>
      <c r="BA2070" s="4" t="s">
        <v>241</v>
      </c>
      <c r="BB2070" s="4" t="s">
        <v>250</v>
      </c>
      <c r="BC2070" s="4" t="s">
        <v>241</v>
      </c>
      <c r="BD2070" s="4" t="s">
        <v>252</v>
      </c>
      <c r="BE2070" s="4" t="s">
        <v>241</v>
      </c>
      <c r="BI2070" s="4" t="s">
        <v>253</v>
      </c>
      <c r="BJ2070" s="5" t="s">
        <v>246</v>
      </c>
      <c r="BK2070" s="4" t="s">
        <v>254</v>
      </c>
      <c r="BL2070" s="4" t="s">
        <v>255</v>
      </c>
      <c r="BM2070" s="4" t="s">
        <v>241</v>
      </c>
      <c r="BN2070" s="6">
        <f>0</f>
        <v>0</v>
      </c>
      <c r="BO2070" s="6">
        <f>0</f>
        <v>0</v>
      </c>
      <c r="BP2070" s="4" t="s">
        <v>256</v>
      </c>
      <c r="BQ2070" s="4" t="s">
        <v>257</v>
      </c>
      <c r="CE2070" s="4" t="s">
        <v>241</v>
      </c>
      <c r="CF2070" s="4" t="s">
        <v>241</v>
      </c>
      <c r="CJ2070" s="4" t="s">
        <v>276</v>
      </c>
      <c r="CK2070" s="4" t="s">
        <v>259</v>
      </c>
      <c r="CL2070" s="4" t="s">
        <v>241</v>
      </c>
      <c r="CO2070" s="5" t="s">
        <v>260</v>
      </c>
      <c r="CP2070" s="4" t="s">
        <v>241</v>
      </c>
      <c r="CQ2070" s="4" t="s">
        <v>261</v>
      </c>
      <c r="CR2070" s="4" t="s">
        <v>241</v>
      </c>
      <c r="CS2070" s="4" t="s">
        <v>241</v>
      </c>
      <c r="CT2070" s="4">
        <v>0</v>
      </c>
      <c r="CU2070" s="4" t="s">
        <v>262</v>
      </c>
      <c r="CV2070" s="4" t="s">
        <v>263</v>
      </c>
      <c r="CW2070" s="4" t="s">
        <v>263</v>
      </c>
      <c r="CX2070" s="4" t="s">
        <v>264</v>
      </c>
      <c r="DA2070" s="6">
        <f>1</f>
        <v>1</v>
      </c>
      <c r="DC2070" s="4" t="s">
        <v>325</v>
      </c>
      <c r="DD2070" s="4" t="s">
        <v>241</v>
      </c>
      <c r="DF2070" s="4" t="s">
        <v>325</v>
      </c>
      <c r="DG2070" s="6">
        <f>1754</f>
        <v>1754</v>
      </c>
      <c r="DI2070" s="4" t="s">
        <v>241</v>
      </c>
      <c r="DJ2070" s="4" t="s">
        <v>241</v>
      </c>
      <c r="DK2070" s="4" t="s">
        <v>241</v>
      </c>
      <c r="DL2070" s="4" t="s">
        <v>241</v>
      </c>
      <c r="DP2070" s="4" t="s">
        <v>241</v>
      </c>
      <c r="DQ2070" s="4" t="s">
        <v>241</v>
      </c>
      <c r="DR2070" s="4" t="s">
        <v>241</v>
      </c>
      <c r="DS2070" s="4" t="s">
        <v>241</v>
      </c>
      <c r="DV2070" s="4" t="s">
        <v>426</v>
      </c>
      <c r="DW2070" s="4" t="s">
        <v>1871</v>
      </c>
      <c r="HO2070" s="4" t="s">
        <v>267</v>
      </c>
    </row>
    <row r="2071" spans="1:223" ht="19.5" customHeight="1" x14ac:dyDescent="0.4">
      <c r="A2071" s="4">
        <v>1</v>
      </c>
      <c r="B2071" s="4" t="s">
        <v>239</v>
      </c>
      <c r="C2071" s="4">
        <v>3774</v>
      </c>
      <c r="D2071" s="4">
        <v>1</v>
      </c>
      <c r="E2071" s="4">
        <v>1</v>
      </c>
      <c r="F2071" s="4" t="s">
        <v>268</v>
      </c>
      <c r="G2071" s="4" t="s">
        <v>241</v>
      </c>
      <c r="H2071" s="4" t="s">
        <v>241</v>
      </c>
      <c r="I2071" s="4" t="s">
        <v>424</v>
      </c>
      <c r="J2071" s="4" t="s">
        <v>274</v>
      </c>
      <c r="K2071" s="4" t="s">
        <v>251</v>
      </c>
      <c r="L2071" s="4" t="s">
        <v>423</v>
      </c>
      <c r="M2071" s="5" t="s">
        <v>4069</v>
      </c>
      <c r="N2071" s="6">
        <f>424</f>
        <v>424</v>
      </c>
      <c r="O2071" s="4" t="s">
        <v>265</v>
      </c>
      <c r="P2071" s="6">
        <f>1</f>
        <v>1</v>
      </c>
      <c r="Q2071" s="6">
        <f>0</f>
        <v>0</v>
      </c>
      <c r="S2071" s="6">
        <f>0</f>
        <v>0</v>
      </c>
      <c r="T2071" s="6">
        <f>1</f>
        <v>1</v>
      </c>
      <c r="U2071" s="5" t="s">
        <v>245</v>
      </c>
      <c r="V2071" s="4" t="s">
        <v>270</v>
      </c>
      <c r="W2071" s="4" t="s">
        <v>271</v>
      </c>
      <c r="X2071" s="4" t="s">
        <v>273</v>
      </c>
      <c r="Y2071" s="4" t="s">
        <v>241</v>
      </c>
      <c r="AB2071" s="4" t="s">
        <v>241</v>
      </c>
      <c r="AD2071" s="5" t="s">
        <v>241</v>
      </c>
      <c r="AG2071" s="5" t="s">
        <v>246</v>
      </c>
      <c r="AH2071" s="4" t="s">
        <v>241</v>
      </c>
      <c r="AI2071" s="4" t="s">
        <v>247</v>
      </c>
      <c r="AJ2071" s="4" t="s">
        <v>248</v>
      </c>
      <c r="AZ2071" s="4" t="s">
        <v>249</v>
      </c>
      <c r="BA2071" s="4" t="s">
        <v>241</v>
      </c>
      <c r="BB2071" s="4" t="s">
        <v>250</v>
      </c>
      <c r="BC2071" s="4" t="s">
        <v>241</v>
      </c>
      <c r="BD2071" s="4" t="s">
        <v>252</v>
      </c>
      <c r="BE2071" s="4" t="s">
        <v>241</v>
      </c>
      <c r="BI2071" s="4" t="s">
        <v>253</v>
      </c>
      <c r="BJ2071" s="5" t="s">
        <v>246</v>
      </c>
      <c r="BK2071" s="4" t="s">
        <v>254</v>
      </c>
      <c r="BL2071" s="4" t="s">
        <v>255</v>
      </c>
      <c r="BM2071" s="4" t="s">
        <v>241</v>
      </c>
      <c r="BN2071" s="6">
        <f>0</f>
        <v>0</v>
      </c>
      <c r="BO2071" s="6">
        <f>0</f>
        <v>0</v>
      </c>
      <c r="BP2071" s="4" t="s">
        <v>256</v>
      </c>
      <c r="BQ2071" s="4" t="s">
        <v>257</v>
      </c>
      <c r="CE2071" s="4" t="s">
        <v>241</v>
      </c>
      <c r="CF2071" s="4" t="s">
        <v>241</v>
      </c>
      <c r="CJ2071" s="4" t="s">
        <v>276</v>
      </c>
      <c r="CK2071" s="4" t="s">
        <v>259</v>
      </c>
      <c r="CL2071" s="4" t="s">
        <v>241</v>
      </c>
      <c r="CO2071" s="5" t="s">
        <v>260</v>
      </c>
      <c r="CP2071" s="4" t="s">
        <v>241</v>
      </c>
      <c r="CQ2071" s="4" t="s">
        <v>261</v>
      </c>
      <c r="CR2071" s="4" t="s">
        <v>241</v>
      </c>
      <c r="CS2071" s="4" t="s">
        <v>241</v>
      </c>
      <c r="CT2071" s="4">
        <v>0</v>
      </c>
      <c r="CU2071" s="4" t="s">
        <v>262</v>
      </c>
      <c r="CV2071" s="4" t="s">
        <v>263</v>
      </c>
      <c r="CW2071" s="4" t="s">
        <v>263</v>
      </c>
      <c r="CX2071" s="4" t="s">
        <v>264</v>
      </c>
      <c r="DA2071" s="6">
        <f>1</f>
        <v>1</v>
      </c>
      <c r="DC2071" s="4" t="s">
        <v>325</v>
      </c>
      <c r="DD2071" s="4" t="s">
        <v>241</v>
      </c>
      <c r="DF2071" s="4" t="s">
        <v>325</v>
      </c>
      <c r="DG2071" s="6">
        <f>424</f>
        <v>424</v>
      </c>
      <c r="DI2071" s="4" t="s">
        <v>241</v>
      </c>
      <c r="DJ2071" s="4" t="s">
        <v>241</v>
      </c>
      <c r="DK2071" s="4" t="s">
        <v>241</v>
      </c>
      <c r="DL2071" s="4" t="s">
        <v>241</v>
      </c>
      <c r="DP2071" s="4" t="s">
        <v>241</v>
      </c>
      <c r="DQ2071" s="4" t="s">
        <v>241</v>
      </c>
      <c r="DR2071" s="4" t="s">
        <v>241</v>
      </c>
      <c r="DS2071" s="4" t="s">
        <v>241</v>
      </c>
      <c r="DV2071" s="4" t="s">
        <v>426</v>
      </c>
      <c r="DW2071" s="4" t="s">
        <v>1589</v>
      </c>
      <c r="HO2071" s="4" t="s">
        <v>267</v>
      </c>
    </row>
    <row r="2072" spans="1:223" ht="19.5" customHeight="1" x14ac:dyDescent="0.4">
      <c r="A2072" s="4">
        <v>1</v>
      </c>
      <c r="B2072" s="4" t="s">
        <v>239</v>
      </c>
      <c r="C2072" s="4">
        <v>3775</v>
      </c>
      <c r="D2072" s="4">
        <v>1</v>
      </c>
      <c r="E2072" s="4">
        <v>1</v>
      </c>
      <c r="F2072" s="4" t="s">
        <v>268</v>
      </c>
      <c r="G2072" s="4" t="s">
        <v>241</v>
      </c>
      <c r="H2072" s="4" t="s">
        <v>241</v>
      </c>
      <c r="I2072" s="4" t="s">
        <v>424</v>
      </c>
      <c r="J2072" s="4" t="s">
        <v>274</v>
      </c>
      <c r="K2072" s="4" t="s">
        <v>251</v>
      </c>
      <c r="L2072" s="4" t="s">
        <v>423</v>
      </c>
      <c r="M2072" s="5" t="s">
        <v>4070</v>
      </c>
      <c r="N2072" s="6">
        <f>1826</f>
        <v>1826</v>
      </c>
      <c r="O2072" s="4" t="s">
        <v>265</v>
      </c>
      <c r="P2072" s="6">
        <f>1</f>
        <v>1</v>
      </c>
      <c r="Q2072" s="6">
        <f>0</f>
        <v>0</v>
      </c>
      <c r="S2072" s="6">
        <f>0</f>
        <v>0</v>
      </c>
      <c r="T2072" s="6">
        <f>1</f>
        <v>1</v>
      </c>
      <c r="U2072" s="5" t="s">
        <v>245</v>
      </c>
      <c r="V2072" s="4" t="s">
        <v>270</v>
      </c>
      <c r="W2072" s="4" t="s">
        <v>271</v>
      </c>
      <c r="X2072" s="4" t="s">
        <v>273</v>
      </c>
      <c r="Y2072" s="4" t="s">
        <v>241</v>
      </c>
      <c r="AB2072" s="4" t="s">
        <v>241</v>
      </c>
      <c r="AD2072" s="5" t="s">
        <v>241</v>
      </c>
      <c r="AG2072" s="5" t="s">
        <v>246</v>
      </c>
      <c r="AH2072" s="4" t="s">
        <v>241</v>
      </c>
      <c r="AI2072" s="4" t="s">
        <v>247</v>
      </c>
      <c r="AJ2072" s="4" t="s">
        <v>248</v>
      </c>
      <c r="AZ2072" s="4" t="s">
        <v>249</v>
      </c>
      <c r="BA2072" s="4" t="s">
        <v>241</v>
      </c>
      <c r="BB2072" s="4" t="s">
        <v>250</v>
      </c>
      <c r="BC2072" s="4" t="s">
        <v>241</v>
      </c>
      <c r="BD2072" s="4" t="s">
        <v>252</v>
      </c>
      <c r="BE2072" s="4" t="s">
        <v>241</v>
      </c>
      <c r="BI2072" s="4" t="s">
        <v>253</v>
      </c>
      <c r="BJ2072" s="5" t="s">
        <v>246</v>
      </c>
      <c r="BK2072" s="4" t="s">
        <v>254</v>
      </c>
      <c r="BL2072" s="4" t="s">
        <v>255</v>
      </c>
      <c r="BM2072" s="4" t="s">
        <v>241</v>
      </c>
      <c r="BN2072" s="6">
        <f>0</f>
        <v>0</v>
      </c>
      <c r="BO2072" s="6">
        <f>0</f>
        <v>0</v>
      </c>
      <c r="BP2072" s="4" t="s">
        <v>256</v>
      </c>
      <c r="BQ2072" s="4" t="s">
        <v>257</v>
      </c>
      <c r="CE2072" s="4" t="s">
        <v>241</v>
      </c>
      <c r="CF2072" s="4" t="s">
        <v>241</v>
      </c>
      <c r="CJ2072" s="4" t="s">
        <v>276</v>
      </c>
      <c r="CK2072" s="4" t="s">
        <v>259</v>
      </c>
      <c r="CL2072" s="4" t="s">
        <v>241</v>
      </c>
      <c r="CO2072" s="5" t="s">
        <v>260</v>
      </c>
      <c r="CP2072" s="4" t="s">
        <v>241</v>
      </c>
      <c r="CQ2072" s="4" t="s">
        <v>261</v>
      </c>
      <c r="CR2072" s="4" t="s">
        <v>241</v>
      </c>
      <c r="CS2072" s="4" t="s">
        <v>241</v>
      </c>
      <c r="CT2072" s="4">
        <v>0</v>
      </c>
      <c r="CU2072" s="4" t="s">
        <v>262</v>
      </c>
      <c r="CV2072" s="4" t="s">
        <v>263</v>
      </c>
      <c r="CW2072" s="4" t="s">
        <v>263</v>
      </c>
      <c r="CX2072" s="4" t="s">
        <v>264</v>
      </c>
      <c r="DA2072" s="6">
        <f>1</f>
        <v>1</v>
      </c>
      <c r="DC2072" s="4" t="s">
        <v>325</v>
      </c>
      <c r="DD2072" s="4" t="s">
        <v>241</v>
      </c>
      <c r="DF2072" s="4" t="s">
        <v>325</v>
      </c>
      <c r="DG2072" s="6">
        <f>1826</f>
        <v>1826</v>
      </c>
      <c r="DI2072" s="4" t="s">
        <v>241</v>
      </c>
      <c r="DJ2072" s="4" t="s">
        <v>241</v>
      </c>
      <c r="DK2072" s="4" t="s">
        <v>241</v>
      </c>
      <c r="DL2072" s="4" t="s">
        <v>241</v>
      </c>
      <c r="DP2072" s="4" t="s">
        <v>241</v>
      </c>
      <c r="DQ2072" s="4" t="s">
        <v>241</v>
      </c>
      <c r="DR2072" s="4" t="s">
        <v>241</v>
      </c>
      <c r="DS2072" s="4" t="s">
        <v>241</v>
      </c>
      <c r="DV2072" s="4" t="s">
        <v>426</v>
      </c>
      <c r="DW2072" s="4" t="s">
        <v>1587</v>
      </c>
      <c r="HO2072" s="4" t="s">
        <v>267</v>
      </c>
    </row>
    <row r="2073" spans="1:223" ht="19.5" customHeight="1" x14ac:dyDescent="0.4">
      <c r="A2073" s="4">
        <v>1</v>
      </c>
      <c r="B2073" s="4" t="s">
        <v>239</v>
      </c>
      <c r="C2073" s="4">
        <v>3776</v>
      </c>
      <c r="D2073" s="4">
        <v>1</v>
      </c>
      <c r="E2073" s="4">
        <v>1</v>
      </c>
      <c r="F2073" s="4" t="s">
        <v>268</v>
      </c>
      <c r="G2073" s="4" t="s">
        <v>241</v>
      </c>
      <c r="H2073" s="4" t="s">
        <v>241</v>
      </c>
      <c r="I2073" s="4" t="s">
        <v>424</v>
      </c>
      <c r="J2073" s="4" t="s">
        <v>274</v>
      </c>
      <c r="K2073" s="4" t="s">
        <v>251</v>
      </c>
      <c r="L2073" s="4" t="s">
        <v>423</v>
      </c>
      <c r="M2073" s="5" t="s">
        <v>4072</v>
      </c>
      <c r="N2073" s="6">
        <f>69</f>
        <v>69</v>
      </c>
      <c r="O2073" s="4" t="s">
        <v>265</v>
      </c>
      <c r="P2073" s="6">
        <f>1</f>
        <v>1</v>
      </c>
      <c r="Q2073" s="6">
        <f>0</f>
        <v>0</v>
      </c>
      <c r="S2073" s="6">
        <f>0</f>
        <v>0</v>
      </c>
      <c r="T2073" s="6">
        <f>1</f>
        <v>1</v>
      </c>
      <c r="U2073" s="5" t="s">
        <v>245</v>
      </c>
      <c r="V2073" s="4" t="s">
        <v>270</v>
      </c>
      <c r="W2073" s="4" t="s">
        <v>271</v>
      </c>
      <c r="X2073" s="4" t="s">
        <v>273</v>
      </c>
      <c r="Y2073" s="4" t="s">
        <v>241</v>
      </c>
      <c r="AB2073" s="4" t="s">
        <v>241</v>
      </c>
      <c r="AD2073" s="5" t="s">
        <v>241</v>
      </c>
      <c r="AG2073" s="5" t="s">
        <v>246</v>
      </c>
      <c r="AH2073" s="4" t="s">
        <v>241</v>
      </c>
      <c r="AI2073" s="4" t="s">
        <v>247</v>
      </c>
      <c r="AJ2073" s="4" t="s">
        <v>248</v>
      </c>
      <c r="AZ2073" s="4" t="s">
        <v>249</v>
      </c>
      <c r="BA2073" s="4" t="s">
        <v>241</v>
      </c>
      <c r="BB2073" s="4" t="s">
        <v>250</v>
      </c>
      <c r="BC2073" s="4" t="s">
        <v>241</v>
      </c>
      <c r="BD2073" s="4" t="s">
        <v>252</v>
      </c>
      <c r="BE2073" s="4" t="s">
        <v>241</v>
      </c>
      <c r="BI2073" s="4" t="s">
        <v>253</v>
      </c>
      <c r="BJ2073" s="5" t="s">
        <v>246</v>
      </c>
      <c r="BK2073" s="4" t="s">
        <v>254</v>
      </c>
      <c r="BL2073" s="4" t="s">
        <v>255</v>
      </c>
      <c r="BM2073" s="4" t="s">
        <v>241</v>
      </c>
      <c r="BN2073" s="6">
        <f>0</f>
        <v>0</v>
      </c>
      <c r="BO2073" s="6">
        <f>0</f>
        <v>0</v>
      </c>
      <c r="BP2073" s="4" t="s">
        <v>256</v>
      </c>
      <c r="BQ2073" s="4" t="s">
        <v>257</v>
      </c>
      <c r="CE2073" s="4" t="s">
        <v>241</v>
      </c>
      <c r="CF2073" s="4" t="s">
        <v>241</v>
      </c>
      <c r="CJ2073" s="4" t="s">
        <v>276</v>
      </c>
      <c r="CK2073" s="4" t="s">
        <v>259</v>
      </c>
      <c r="CL2073" s="4" t="s">
        <v>241</v>
      </c>
      <c r="CO2073" s="5" t="s">
        <v>260</v>
      </c>
      <c r="CP2073" s="4" t="s">
        <v>241</v>
      </c>
      <c r="CQ2073" s="4" t="s">
        <v>261</v>
      </c>
      <c r="CR2073" s="4" t="s">
        <v>241</v>
      </c>
      <c r="CS2073" s="4" t="s">
        <v>241</v>
      </c>
      <c r="CT2073" s="4">
        <v>0</v>
      </c>
      <c r="CU2073" s="4" t="s">
        <v>262</v>
      </c>
      <c r="CV2073" s="4" t="s">
        <v>263</v>
      </c>
      <c r="CW2073" s="4" t="s">
        <v>263</v>
      </c>
      <c r="CX2073" s="4" t="s">
        <v>264</v>
      </c>
      <c r="DA2073" s="6">
        <f>1</f>
        <v>1</v>
      </c>
      <c r="DC2073" s="4" t="s">
        <v>325</v>
      </c>
      <c r="DD2073" s="4" t="s">
        <v>241</v>
      </c>
      <c r="DF2073" s="4" t="s">
        <v>325</v>
      </c>
      <c r="DG2073" s="6">
        <f>69</f>
        <v>69</v>
      </c>
      <c r="DI2073" s="4" t="s">
        <v>241</v>
      </c>
      <c r="DJ2073" s="4" t="s">
        <v>241</v>
      </c>
      <c r="DK2073" s="4" t="s">
        <v>241</v>
      </c>
      <c r="DL2073" s="4" t="s">
        <v>241</v>
      </c>
      <c r="DP2073" s="4" t="s">
        <v>241</v>
      </c>
      <c r="DQ2073" s="4" t="s">
        <v>241</v>
      </c>
      <c r="DR2073" s="4" t="s">
        <v>241</v>
      </c>
      <c r="DS2073" s="4" t="s">
        <v>241</v>
      </c>
      <c r="DV2073" s="4" t="s">
        <v>426</v>
      </c>
      <c r="DW2073" s="4" t="s">
        <v>1585</v>
      </c>
      <c r="HO2073" s="4" t="s">
        <v>267</v>
      </c>
    </row>
    <row r="2074" spans="1:223" ht="19.5" customHeight="1" x14ac:dyDescent="0.4">
      <c r="A2074" s="4">
        <v>1</v>
      </c>
      <c r="B2074" s="4" t="s">
        <v>239</v>
      </c>
      <c r="C2074" s="4">
        <v>3777</v>
      </c>
      <c r="D2074" s="4">
        <v>1</v>
      </c>
      <c r="E2074" s="4">
        <v>1</v>
      </c>
      <c r="F2074" s="4" t="s">
        <v>268</v>
      </c>
      <c r="G2074" s="4" t="s">
        <v>241</v>
      </c>
      <c r="H2074" s="4" t="s">
        <v>241</v>
      </c>
      <c r="I2074" s="4" t="s">
        <v>424</v>
      </c>
      <c r="J2074" s="4" t="s">
        <v>274</v>
      </c>
      <c r="K2074" s="4" t="s">
        <v>251</v>
      </c>
      <c r="L2074" s="4" t="s">
        <v>423</v>
      </c>
      <c r="M2074" s="5" t="s">
        <v>4073</v>
      </c>
      <c r="N2074" s="6">
        <f>922</f>
        <v>922</v>
      </c>
      <c r="O2074" s="4" t="s">
        <v>265</v>
      </c>
      <c r="P2074" s="6">
        <f>1</f>
        <v>1</v>
      </c>
      <c r="Q2074" s="6">
        <f>0</f>
        <v>0</v>
      </c>
      <c r="S2074" s="6">
        <f>0</f>
        <v>0</v>
      </c>
      <c r="T2074" s="6">
        <f>1</f>
        <v>1</v>
      </c>
      <c r="U2074" s="5" t="s">
        <v>245</v>
      </c>
      <c r="V2074" s="4" t="s">
        <v>270</v>
      </c>
      <c r="W2074" s="4" t="s">
        <v>271</v>
      </c>
      <c r="X2074" s="4" t="s">
        <v>273</v>
      </c>
      <c r="Y2074" s="4" t="s">
        <v>241</v>
      </c>
      <c r="AB2074" s="4" t="s">
        <v>241</v>
      </c>
      <c r="AD2074" s="5" t="s">
        <v>241</v>
      </c>
      <c r="AG2074" s="5" t="s">
        <v>246</v>
      </c>
      <c r="AH2074" s="4" t="s">
        <v>241</v>
      </c>
      <c r="AI2074" s="4" t="s">
        <v>247</v>
      </c>
      <c r="AJ2074" s="4" t="s">
        <v>248</v>
      </c>
      <c r="AZ2074" s="4" t="s">
        <v>249</v>
      </c>
      <c r="BA2074" s="4" t="s">
        <v>241</v>
      </c>
      <c r="BB2074" s="4" t="s">
        <v>250</v>
      </c>
      <c r="BC2074" s="4" t="s">
        <v>241</v>
      </c>
      <c r="BD2074" s="4" t="s">
        <v>252</v>
      </c>
      <c r="BE2074" s="4" t="s">
        <v>241</v>
      </c>
      <c r="BI2074" s="4" t="s">
        <v>253</v>
      </c>
      <c r="BJ2074" s="5" t="s">
        <v>246</v>
      </c>
      <c r="BK2074" s="4" t="s">
        <v>254</v>
      </c>
      <c r="BL2074" s="4" t="s">
        <v>255</v>
      </c>
      <c r="BM2074" s="4" t="s">
        <v>241</v>
      </c>
      <c r="BN2074" s="6">
        <f>0</f>
        <v>0</v>
      </c>
      <c r="BO2074" s="6">
        <f>0</f>
        <v>0</v>
      </c>
      <c r="BP2074" s="4" t="s">
        <v>256</v>
      </c>
      <c r="BQ2074" s="4" t="s">
        <v>257</v>
      </c>
      <c r="CE2074" s="4" t="s">
        <v>241</v>
      </c>
      <c r="CF2074" s="4" t="s">
        <v>241</v>
      </c>
      <c r="CJ2074" s="4" t="s">
        <v>276</v>
      </c>
      <c r="CK2074" s="4" t="s">
        <v>259</v>
      </c>
      <c r="CL2074" s="4" t="s">
        <v>241</v>
      </c>
      <c r="CO2074" s="5" t="s">
        <v>260</v>
      </c>
      <c r="CP2074" s="4" t="s">
        <v>241</v>
      </c>
      <c r="CQ2074" s="4" t="s">
        <v>261</v>
      </c>
      <c r="CR2074" s="4" t="s">
        <v>241</v>
      </c>
      <c r="CS2074" s="4" t="s">
        <v>241</v>
      </c>
      <c r="CT2074" s="4">
        <v>0</v>
      </c>
      <c r="CU2074" s="4" t="s">
        <v>262</v>
      </c>
      <c r="CV2074" s="4" t="s">
        <v>263</v>
      </c>
      <c r="CW2074" s="4" t="s">
        <v>263</v>
      </c>
      <c r="CX2074" s="4" t="s">
        <v>264</v>
      </c>
      <c r="DA2074" s="6">
        <f>1</f>
        <v>1</v>
      </c>
      <c r="DC2074" s="4" t="s">
        <v>325</v>
      </c>
      <c r="DD2074" s="4" t="s">
        <v>241</v>
      </c>
      <c r="DF2074" s="4" t="s">
        <v>325</v>
      </c>
      <c r="DG2074" s="6">
        <f>922</f>
        <v>922</v>
      </c>
      <c r="DI2074" s="4" t="s">
        <v>241</v>
      </c>
      <c r="DJ2074" s="4" t="s">
        <v>241</v>
      </c>
      <c r="DK2074" s="4" t="s">
        <v>241</v>
      </c>
      <c r="DL2074" s="4" t="s">
        <v>241</v>
      </c>
      <c r="DP2074" s="4" t="s">
        <v>241</v>
      </c>
      <c r="DQ2074" s="4" t="s">
        <v>241</v>
      </c>
      <c r="DR2074" s="4" t="s">
        <v>241</v>
      </c>
      <c r="DS2074" s="4" t="s">
        <v>241</v>
      </c>
      <c r="DV2074" s="4" t="s">
        <v>426</v>
      </c>
      <c r="DW2074" s="4" t="s">
        <v>1583</v>
      </c>
      <c r="HO2074" s="4" t="s">
        <v>267</v>
      </c>
    </row>
    <row r="2075" spans="1:223" ht="19.5" customHeight="1" x14ac:dyDescent="0.4">
      <c r="A2075" s="4">
        <v>1</v>
      </c>
      <c r="B2075" s="4" t="s">
        <v>239</v>
      </c>
      <c r="C2075" s="4">
        <v>3778</v>
      </c>
      <c r="D2075" s="4">
        <v>1</v>
      </c>
      <c r="E2075" s="4">
        <v>1</v>
      </c>
      <c r="F2075" s="4" t="s">
        <v>268</v>
      </c>
      <c r="G2075" s="4" t="s">
        <v>241</v>
      </c>
      <c r="H2075" s="4" t="s">
        <v>241</v>
      </c>
      <c r="I2075" s="4" t="s">
        <v>424</v>
      </c>
      <c r="J2075" s="4" t="s">
        <v>274</v>
      </c>
      <c r="K2075" s="4" t="s">
        <v>251</v>
      </c>
      <c r="L2075" s="4" t="s">
        <v>423</v>
      </c>
      <c r="M2075" s="5" t="s">
        <v>4077</v>
      </c>
      <c r="N2075" s="6">
        <f>1401</f>
        <v>1401</v>
      </c>
      <c r="O2075" s="4" t="s">
        <v>265</v>
      </c>
      <c r="P2075" s="6">
        <f>1</f>
        <v>1</v>
      </c>
      <c r="Q2075" s="6">
        <f>0</f>
        <v>0</v>
      </c>
      <c r="S2075" s="6">
        <f>0</f>
        <v>0</v>
      </c>
      <c r="T2075" s="6">
        <f>1</f>
        <v>1</v>
      </c>
      <c r="U2075" s="5" t="s">
        <v>245</v>
      </c>
      <c r="V2075" s="4" t="s">
        <v>270</v>
      </c>
      <c r="W2075" s="4" t="s">
        <v>271</v>
      </c>
      <c r="X2075" s="4" t="s">
        <v>273</v>
      </c>
      <c r="Y2075" s="4" t="s">
        <v>241</v>
      </c>
      <c r="AB2075" s="4" t="s">
        <v>241</v>
      </c>
      <c r="AD2075" s="5" t="s">
        <v>241</v>
      </c>
      <c r="AG2075" s="5" t="s">
        <v>246</v>
      </c>
      <c r="AH2075" s="4" t="s">
        <v>241</v>
      </c>
      <c r="AI2075" s="4" t="s">
        <v>247</v>
      </c>
      <c r="AJ2075" s="4" t="s">
        <v>248</v>
      </c>
      <c r="AZ2075" s="4" t="s">
        <v>249</v>
      </c>
      <c r="BA2075" s="4" t="s">
        <v>241</v>
      </c>
      <c r="BB2075" s="4" t="s">
        <v>250</v>
      </c>
      <c r="BC2075" s="4" t="s">
        <v>241</v>
      </c>
      <c r="BD2075" s="4" t="s">
        <v>252</v>
      </c>
      <c r="BE2075" s="4" t="s">
        <v>241</v>
      </c>
      <c r="BI2075" s="4" t="s">
        <v>253</v>
      </c>
      <c r="BJ2075" s="5" t="s">
        <v>246</v>
      </c>
      <c r="BK2075" s="4" t="s">
        <v>254</v>
      </c>
      <c r="BL2075" s="4" t="s">
        <v>255</v>
      </c>
      <c r="BM2075" s="4" t="s">
        <v>241</v>
      </c>
      <c r="BN2075" s="6">
        <f>0</f>
        <v>0</v>
      </c>
      <c r="BO2075" s="6">
        <f>0</f>
        <v>0</v>
      </c>
      <c r="BP2075" s="4" t="s">
        <v>256</v>
      </c>
      <c r="BQ2075" s="4" t="s">
        <v>257</v>
      </c>
      <c r="CE2075" s="4" t="s">
        <v>241</v>
      </c>
      <c r="CF2075" s="4" t="s">
        <v>241</v>
      </c>
      <c r="CJ2075" s="4" t="s">
        <v>276</v>
      </c>
      <c r="CK2075" s="4" t="s">
        <v>259</v>
      </c>
      <c r="CL2075" s="4" t="s">
        <v>241</v>
      </c>
      <c r="CO2075" s="5" t="s">
        <v>260</v>
      </c>
      <c r="CP2075" s="4" t="s">
        <v>241</v>
      </c>
      <c r="CQ2075" s="4" t="s">
        <v>261</v>
      </c>
      <c r="CR2075" s="4" t="s">
        <v>241</v>
      </c>
      <c r="CS2075" s="4" t="s">
        <v>241</v>
      </c>
      <c r="CT2075" s="4">
        <v>0</v>
      </c>
      <c r="CU2075" s="4" t="s">
        <v>262</v>
      </c>
      <c r="CV2075" s="4" t="s">
        <v>263</v>
      </c>
      <c r="CW2075" s="4" t="s">
        <v>263</v>
      </c>
      <c r="CX2075" s="4" t="s">
        <v>264</v>
      </c>
      <c r="DA2075" s="6">
        <f>1</f>
        <v>1</v>
      </c>
      <c r="DC2075" s="4" t="s">
        <v>325</v>
      </c>
      <c r="DD2075" s="4" t="s">
        <v>241</v>
      </c>
      <c r="DF2075" s="4" t="s">
        <v>325</v>
      </c>
      <c r="DG2075" s="6">
        <f>1401</f>
        <v>1401</v>
      </c>
      <c r="DI2075" s="4" t="s">
        <v>241</v>
      </c>
      <c r="DJ2075" s="4" t="s">
        <v>241</v>
      </c>
      <c r="DK2075" s="4" t="s">
        <v>241</v>
      </c>
      <c r="DL2075" s="4" t="s">
        <v>241</v>
      </c>
      <c r="DP2075" s="4" t="s">
        <v>241</v>
      </c>
      <c r="DQ2075" s="4" t="s">
        <v>241</v>
      </c>
      <c r="DR2075" s="4" t="s">
        <v>241</v>
      </c>
      <c r="DS2075" s="4" t="s">
        <v>241</v>
      </c>
      <c r="DV2075" s="4" t="s">
        <v>426</v>
      </c>
      <c r="DW2075" s="4" t="s">
        <v>1581</v>
      </c>
      <c r="HO2075" s="4" t="s">
        <v>267</v>
      </c>
    </row>
    <row r="2076" spans="1:223" ht="19.5" customHeight="1" x14ac:dyDescent="0.4">
      <c r="A2076" s="4">
        <v>1</v>
      </c>
      <c r="B2076" s="4" t="s">
        <v>239</v>
      </c>
      <c r="C2076" s="4">
        <v>3779</v>
      </c>
      <c r="D2076" s="4">
        <v>1</v>
      </c>
      <c r="E2076" s="4">
        <v>1</v>
      </c>
      <c r="F2076" s="4" t="s">
        <v>268</v>
      </c>
      <c r="G2076" s="4" t="s">
        <v>241</v>
      </c>
      <c r="H2076" s="4" t="s">
        <v>241</v>
      </c>
      <c r="I2076" s="4" t="s">
        <v>424</v>
      </c>
      <c r="J2076" s="4" t="s">
        <v>274</v>
      </c>
      <c r="K2076" s="4" t="s">
        <v>251</v>
      </c>
      <c r="L2076" s="4" t="s">
        <v>423</v>
      </c>
      <c r="M2076" s="5" t="s">
        <v>4078</v>
      </c>
      <c r="N2076" s="6">
        <f>526</f>
        <v>526</v>
      </c>
      <c r="O2076" s="4" t="s">
        <v>265</v>
      </c>
      <c r="P2076" s="6">
        <f>1</f>
        <v>1</v>
      </c>
      <c r="Q2076" s="6">
        <f>0</f>
        <v>0</v>
      </c>
      <c r="S2076" s="6">
        <f>0</f>
        <v>0</v>
      </c>
      <c r="T2076" s="6">
        <f>1</f>
        <v>1</v>
      </c>
      <c r="U2076" s="5" t="s">
        <v>245</v>
      </c>
      <c r="V2076" s="4" t="s">
        <v>270</v>
      </c>
      <c r="W2076" s="4" t="s">
        <v>271</v>
      </c>
      <c r="X2076" s="4" t="s">
        <v>273</v>
      </c>
      <c r="Y2076" s="4" t="s">
        <v>241</v>
      </c>
      <c r="AB2076" s="4" t="s">
        <v>241</v>
      </c>
      <c r="AD2076" s="5" t="s">
        <v>241</v>
      </c>
      <c r="AG2076" s="5" t="s">
        <v>246</v>
      </c>
      <c r="AH2076" s="4" t="s">
        <v>241</v>
      </c>
      <c r="AI2076" s="4" t="s">
        <v>247</v>
      </c>
      <c r="AJ2076" s="4" t="s">
        <v>248</v>
      </c>
      <c r="AZ2076" s="4" t="s">
        <v>249</v>
      </c>
      <c r="BA2076" s="4" t="s">
        <v>241</v>
      </c>
      <c r="BB2076" s="4" t="s">
        <v>250</v>
      </c>
      <c r="BC2076" s="4" t="s">
        <v>241</v>
      </c>
      <c r="BD2076" s="4" t="s">
        <v>252</v>
      </c>
      <c r="BE2076" s="4" t="s">
        <v>241</v>
      </c>
      <c r="BI2076" s="4" t="s">
        <v>253</v>
      </c>
      <c r="BJ2076" s="5" t="s">
        <v>246</v>
      </c>
      <c r="BK2076" s="4" t="s">
        <v>254</v>
      </c>
      <c r="BL2076" s="4" t="s">
        <v>255</v>
      </c>
      <c r="BM2076" s="4" t="s">
        <v>241</v>
      </c>
      <c r="BN2076" s="6">
        <f>0</f>
        <v>0</v>
      </c>
      <c r="BO2076" s="6">
        <f>0</f>
        <v>0</v>
      </c>
      <c r="BP2076" s="4" t="s">
        <v>256</v>
      </c>
      <c r="BQ2076" s="4" t="s">
        <v>257</v>
      </c>
      <c r="CE2076" s="4" t="s">
        <v>241</v>
      </c>
      <c r="CF2076" s="4" t="s">
        <v>241</v>
      </c>
      <c r="CJ2076" s="4" t="s">
        <v>276</v>
      </c>
      <c r="CK2076" s="4" t="s">
        <v>259</v>
      </c>
      <c r="CL2076" s="4" t="s">
        <v>241</v>
      </c>
      <c r="CO2076" s="5" t="s">
        <v>260</v>
      </c>
      <c r="CP2076" s="4" t="s">
        <v>241</v>
      </c>
      <c r="CQ2076" s="4" t="s">
        <v>261</v>
      </c>
      <c r="CR2076" s="4" t="s">
        <v>241</v>
      </c>
      <c r="CS2076" s="4" t="s">
        <v>241</v>
      </c>
      <c r="CT2076" s="4">
        <v>0</v>
      </c>
      <c r="CU2076" s="4" t="s">
        <v>262</v>
      </c>
      <c r="CV2076" s="4" t="s">
        <v>263</v>
      </c>
      <c r="CW2076" s="4" t="s">
        <v>263</v>
      </c>
      <c r="CX2076" s="4" t="s">
        <v>264</v>
      </c>
      <c r="DA2076" s="6">
        <f>1</f>
        <v>1</v>
      </c>
      <c r="DC2076" s="4" t="s">
        <v>325</v>
      </c>
      <c r="DD2076" s="4" t="s">
        <v>241</v>
      </c>
      <c r="DF2076" s="4" t="s">
        <v>325</v>
      </c>
      <c r="DG2076" s="6">
        <f>526</f>
        <v>526</v>
      </c>
      <c r="DI2076" s="4" t="s">
        <v>241</v>
      </c>
      <c r="DJ2076" s="4" t="s">
        <v>241</v>
      </c>
      <c r="DK2076" s="4" t="s">
        <v>241</v>
      </c>
      <c r="DL2076" s="4" t="s">
        <v>241</v>
      </c>
      <c r="DP2076" s="4" t="s">
        <v>241</v>
      </c>
      <c r="DQ2076" s="4" t="s">
        <v>241</v>
      </c>
      <c r="DR2076" s="4" t="s">
        <v>241</v>
      </c>
      <c r="DS2076" s="4" t="s">
        <v>241</v>
      </c>
      <c r="DV2076" s="4" t="s">
        <v>426</v>
      </c>
      <c r="DW2076" s="4" t="s">
        <v>1579</v>
      </c>
      <c r="HO2076" s="4" t="s">
        <v>267</v>
      </c>
    </row>
    <row r="2077" spans="1:223" ht="19.5" customHeight="1" x14ac:dyDescent="0.4">
      <c r="A2077" s="4">
        <v>1</v>
      </c>
      <c r="B2077" s="4" t="s">
        <v>239</v>
      </c>
      <c r="C2077" s="4">
        <v>3780</v>
      </c>
      <c r="D2077" s="4">
        <v>1</v>
      </c>
      <c r="E2077" s="4">
        <v>1</v>
      </c>
      <c r="F2077" s="4" t="s">
        <v>268</v>
      </c>
      <c r="G2077" s="4" t="s">
        <v>241</v>
      </c>
      <c r="H2077" s="4" t="s">
        <v>241</v>
      </c>
      <c r="I2077" s="4" t="s">
        <v>424</v>
      </c>
      <c r="J2077" s="4" t="s">
        <v>274</v>
      </c>
      <c r="K2077" s="4" t="s">
        <v>251</v>
      </c>
      <c r="L2077" s="4" t="s">
        <v>423</v>
      </c>
      <c r="M2077" s="5" t="s">
        <v>4080</v>
      </c>
      <c r="N2077" s="6">
        <f>545</f>
        <v>545</v>
      </c>
      <c r="O2077" s="4" t="s">
        <v>265</v>
      </c>
      <c r="P2077" s="6">
        <f>1</f>
        <v>1</v>
      </c>
      <c r="Q2077" s="6">
        <f>0</f>
        <v>0</v>
      </c>
      <c r="S2077" s="6">
        <f>0</f>
        <v>0</v>
      </c>
      <c r="T2077" s="6">
        <f>1</f>
        <v>1</v>
      </c>
      <c r="U2077" s="5" t="s">
        <v>245</v>
      </c>
      <c r="V2077" s="4" t="s">
        <v>270</v>
      </c>
      <c r="W2077" s="4" t="s">
        <v>271</v>
      </c>
      <c r="X2077" s="4" t="s">
        <v>273</v>
      </c>
      <c r="Y2077" s="4" t="s">
        <v>241</v>
      </c>
      <c r="AB2077" s="4" t="s">
        <v>241</v>
      </c>
      <c r="AD2077" s="5" t="s">
        <v>241</v>
      </c>
      <c r="AG2077" s="5" t="s">
        <v>246</v>
      </c>
      <c r="AH2077" s="4" t="s">
        <v>241</v>
      </c>
      <c r="AI2077" s="4" t="s">
        <v>247</v>
      </c>
      <c r="AJ2077" s="4" t="s">
        <v>248</v>
      </c>
      <c r="AZ2077" s="4" t="s">
        <v>249</v>
      </c>
      <c r="BA2077" s="4" t="s">
        <v>241</v>
      </c>
      <c r="BB2077" s="4" t="s">
        <v>250</v>
      </c>
      <c r="BC2077" s="4" t="s">
        <v>241</v>
      </c>
      <c r="BD2077" s="4" t="s">
        <v>252</v>
      </c>
      <c r="BE2077" s="4" t="s">
        <v>241</v>
      </c>
      <c r="BI2077" s="4" t="s">
        <v>253</v>
      </c>
      <c r="BJ2077" s="5" t="s">
        <v>246</v>
      </c>
      <c r="BK2077" s="4" t="s">
        <v>254</v>
      </c>
      <c r="BL2077" s="4" t="s">
        <v>255</v>
      </c>
      <c r="BM2077" s="4" t="s">
        <v>241</v>
      </c>
      <c r="BN2077" s="6">
        <f>0</f>
        <v>0</v>
      </c>
      <c r="BO2077" s="6">
        <f>0</f>
        <v>0</v>
      </c>
      <c r="BP2077" s="4" t="s">
        <v>256</v>
      </c>
      <c r="BQ2077" s="4" t="s">
        <v>257</v>
      </c>
      <c r="CE2077" s="4" t="s">
        <v>241</v>
      </c>
      <c r="CF2077" s="4" t="s">
        <v>241</v>
      </c>
      <c r="CJ2077" s="4" t="s">
        <v>276</v>
      </c>
      <c r="CK2077" s="4" t="s">
        <v>259</v>
      </c>
      <c r="CL2077" s="4" t="s">
        <v>241</v>
      </c>
      <c r="CO2077" s="5" t="s">
        <v>260</v>
      </c>
      <c r="CP2077" s="4" t="s">
        <v>241</v>
      </c>
      <c r="CQ2077" s="4" t="s">
        <v>261</v>
      </c>
      <c r="CR2077" s="4" t="s">
        <v>241</v>
      </c>
      <c r="CS2077" s="4" t="s">
        <v>241</v>
      </c>
      <c r="CT2077" s="4">
        <v>0</v>
      </c>
      <c r="CU2077" s="4" t="s">
        <v>262</v>
      </c>
      <c r="CV2077" s="4" t="s">
        <v>263</v>
      </c>
      <c r="CW2077" s="4" t="s">
        <v>263</v>
      </c>
      <c r="CX2077" s="4" t="s">
        <v>264</v>
      </c>
      <c r="DA2077" s="6">
        <f>1</f>
        <v>1</v>
      </c>
      <c r="DC2077" s="4" t="s">
        <v>325</v>
      </c>
      <c r="DD2077" s="4" t="s">
        <v>241</v>
      </c>
      <c r="DF2077" s="4" t="s">
        <v>325</v>
      </c>
      <c r="DG2077" s="6">
        <f>545</f>
        <v>545</v>
      </c>
      <c r="DI2077" s="4" t="s">
        <v>241</v>
      </c>
      <c r="DJ2077" s="4" t="s">
        <v>241</v>
      </c>
      <c r="DK2077" s="4" t="s">
        <v>241</v>
      </c>
      <c r="DL2077" s="4" t="s">
        <v>241</v>
      </c>
      <c r="DP2077" s="4" t="s">
        <v>241</v>
      </c>
      <c r="DQ2077" s="4" t="s">
        <v>241</v>
      </c>
      <c r="DR2077" s="4" t="s">
        <v>241</v>
      </c>
      <c r="DS2077" s="4" t="s">
        <v>241</v>
      </c>
      <c r="DV2077" s="4" t="s">
        <v>426</v>
      </c>
      <c r="DW2077" s="4" t="s">
        <v>1577</v>
      </c>
      <c r="HO2077" s="4" t="s">
        <v>267</v>
      </c>
    </row>
    <row r="2078" spans="1:223" ht="19.5" customHeight="1" x14ac:dyDescent="0.4">
      <c r="A2078" s="4">
        <v>1</v>
      </c>
      <c r="B2078" s="4" t="s">
        <v>239</v>
      </c>
      <c r="C2078" s="4">
        <v>3781</v>
      </c>
      <c r="D2078" s="4">
        <v>1</v>
      </c>
      <c r="E2078" s="4">
        <v>1</v>
      </c>
      <c r="F2078" s="4" t="s">
        <v>268</v>
      </c>
      <c r="G2078" s="4" t="s">
        <v>241</v>
      </c>
      <c r="H2078" s="4" t="s">
        <v>241</v>
      </c>
      <c r="I2078" s="4" t="s">
        <v>424</v>
      </c>
      <c r="J2078" s="4" t="s">
        <v>274</v>
      </c>
      <c r="K2078" s="4" t="s">
        <v>251</v>
      </c>
      <c r="L2078" s="4" t="s">
        <v>423</v>
      </c>
      <c r="M2078" s="5" t="s">
        <v>4081</v>
      </c>
      <c r="N2078" s="6">
        <f>1486</f>
        <v>1486</v>
      </c>
      <c r="O2078" s="4" t="s">
        <v>265</v>
      </c>
      <c r="P2078" s="6">
        <f>1</f>
        <v>1</v>
      </c>
      <c r="Q2078" s="6">
        <f>0</f>
        <v>0</v>
      </c>
      <c r="S2078" s="6">
        <f>0</f>
        <v>0</v>
      </c>
      <c r="T2078" s="6">
        <f>1</f>
        <v>1</v>
      </c>
      <c r="U2078" s="5" t="s">
        <v>245</v>
      </c>
      <c r="V2078" s="4" t="s">
        <v>270</v>
      </c>
      <c r="W2078" s="4" t="s">
        <v>271</v>
      </c>
      <c r="X2078" s="4" t="s">
        <v>273</v>
      </c>
      <c r="Y2078" s="4" t="s">
        <v>241</v>
      </c>
      <c r="AB2078" s="4" t="s">
        <v>241</v>
      </c>
      <c r="AD2078" s="5" t="s">
        <v>241</v>
      </c>
      <c r="AG2078" s="5" t="s">
        <v>246</v>
      </c>
      <c r="AH2078" s="4" t="s">
        <v>241</v>
      </c>
      <c r="AI2078" s="4" t="s">
        <v>247</v>
      </c>
      <c r="AJ2078" s="4" t="s">
        <v>248</v>
      </c>
      <c r="AZ2078" s="4" t="s">
        <v>249</v>
      </c>
      <c r="BA2078" s="4" t="s">
        <v>241</v>
      </c>
      <c r="BB2078" s="4" t="s">
        <v>250</v>
      </c>
      <c r="BC2078" s="4" t="s">
        <v>241</v>
      </c>
      <c r="BD2078" s="4" t="s">
        <v>252</v>
      </c>
      <c r="BE2078" s="4" t="s">
        <v>241</v>
      </c>
      <c r="BI2078" s="4" t="s">
        <v>253</v>
      </c>
      <c r="BJ2078" s="5" t="s">
        <v>246</v>
      </c>
      <c r="BK2078" s="4" t="s">
        <v>254</v>
      </c>
      <c r="BL2078" s="4" t="s">
        <v>255</v>
      </c>
      <c r="BM2078" s="4" t="s">
        <v>241</v>
      </c>
      <c r="BN2078" s="6">
        <f>0</f>
        <v>0</v>
      </c>
      <c r="BO2078" s="6">
        <f>0</f>
        <v>0</v>
      </c>
      <c r="BP2078" s="4" t="s">
        <v>256</v>
      </c>
      <c r="BQ2078" s="4" t="s">
        <v>257</v>
      </c>
      <c r="CE2078" s="4" t="s">
        <v>241</v>
      </c>
      <c r="CF2078" s="4" t="s">
        <v>241</v>
      </c>
      <c r="CJ2078" s="4" t="s">
        <v>276</v>
      </c>
      <c r="CK2078" s="4" t="s">
        <v>259</v>
      </c>
      <c r="CL2078" s="4" t="s">
        <v>241</v>
      </c>
      <c r="CO2078" s="5" t="s">
        <v>260</v>
      </c>
      <c r="CP2078" s="4" t="s">
        <v>241</v>
      </c>
      <c r="CQ2078" s="4" t="s">
        <v>261</v>
      </c>
      <c r="CR2078" s="4" t="s">
        <v>241</v>
      </c>
      <c r="CS2078" s="4" t="s">
        <v>241</v>
      </c>
      <c r="CT2078" s="4">
        <v>0</v>
      </c>
      <c r="CU2078" s="4" t="s">
        <v>262</v>
      </c>
      <c r="CV2078" s="4" t="s">
        <v>263</v>
      </c>
      <c r="CW2078" s="4" t="s">
        <v>263</v>
      </c>
      <c r="CX2078" s="4" t="s">
        <v>264</v>
      </c>
      <c r="DA2078" s="6">
        <f>1</f>
        <v>1</v>
      </c>
      <c r="DC2078" s="4" t="s">
        <v>325</v>
      </c>
      <c r="DD2078" s="4" t="s">
        <v>241</v>
      </c>
      <c r="DF2078" s="4" t="s">
        <v>325</v>
      </c>
      <c r="DG2078" s="6">
        <f>1486</f>
        <v>1486</v>
      </c>
      <c r="DI2078" s="4" t="s">
        <v>241</v>
      </c>
      <c r="DJ2078" s="4" t="s">
        <v>241</v>
      </c>
      <c r="DK2078" s="4" t="s">
        <v>241</v>
      </c>
      <c r="DL2078" s="4" t="s">
        <v>241</v>
      </c>
      <c r="DP2078" s="4" t="s">
        <v>241</v>
      </c>
      <c r="DQ2078" s="4" t="s">
        <v>241</v>
      </c>
      <c r="DR2078" s="4" t="s">
        <v>241</v>
      </c>
      <c r="DS2078" s="4" t="s">
        <v>241</v>
      </c>
      <c r="DV2078" s="4" t="s">
        <v>426</v>
      </c>
      <c r="DW2078" s="4" t="s">
        <v>1575</v>
      </c>
      <c r="HO2078" s="4" t="s">
        <v>267</v>
      </c>
    </row>
    <row r="2079" spans="1:223" ht="19.5" customHeight="1" x14ac:dyDescent="0.4">
      <c r="A2079" s="4">
        <v>1</v>
      </c>
      <c r="B2079" s="4" t="s">
        <v>239</v>
      </c>
      <c r="C2079" s="4">
        <v>3782</v>
      </c>
      <c r="D2079" s="4">
        <v>1</v>
      </c>
      <c r="E2079" s="4">
        <v>1</v>
      </c>
      <c r="F2079" s="4" t="s">
        <v>268</v>
      </c>
      <c r="G2079" s="4" t="s">
        <v>241</v>
      </c>
      <c r="H2079" s="4" t="s">
        <v>241</v>
      </c>
      <c r="I2079" s="4" t="s">
        <v>424</v>
      </c>
      <c r="J2079" s="4" t="s">
        <v>274</v>
      </c>
      <c r="K2079" s="4" t="s">
        <v>251</v>
      </c>
      <c r="L2079" s="4" t="s">
        <v>423</v>
      </c>
      <c r="M2079" s="5" t="s">
        <v>4084</v>
      </c>
      <c r="N2079" s="6">
        <f>698</f>
        <v>698</v>
      </c>
      <c r="O2079" s="4" t="s">
        <v>265</v>
      </c>
      <c r="P2079" s="6">
        <f>1</f>
        <v>1</v>
      </c>
      <c r="Q2079" s="6">
        <f>0</f>
        <v>0</v>
      </c>
      <c r="S2079" s="6">
        <f>0</f>
        <v>0</v>
      </c>
      <c r="T2079" s="6">
        <f>1</f>
        <v>1</v>
      </c>
      <c r="U2079" s="5" t="s">
        <v>245</v>
      </c>
      <c r="V2079" s="4" t="s">
        <v>270</v>
      </c>
      <c r="W2079" s="4" t="s">
        <v>271</v>
      </c>
      <c r="X2079" s="4" t="s">
        <v>273</v>
      </c>
      <c r="Y2079" s="4" t="s">
        <v>241</v>
      </c>
      <c r="AB2079" s="4" t="s">
        <v>241</v>
      </c>
      <c r="AD2079" s="5" t="s">
        <v>241</v>
      </c>
      <c r="AG2079" s="5" t="s">
        <v>246</v>
      </c>
      <c r="AH2079" s="4" t="s">
        <v>241</v>
      </c>
      <c r="AI2079" s="4" t="s">
        <v>247</v>
      </c>
      <c r="AJ2079" s="4" t="s">
        <v>248</v>
      </c>
      <c r="AZ2079" s="4" t="s">
        <v>249</v>
      </c>
      <c r="BA2079" s="4" t="s">
        <v>241</v>
      </c>
      <c r="BB2079" s="4" t="s">
        <v>250</v>
      </c>
      <c r="BC2079" s="4" t="s">
        <v>241</v>
      </c>
      <c r="BD2079" s="4" t="s">
        <v>252</v>
      </c>
      <c r="BE2079" s="4" t="s">
        <v>241</v>
      </c>
      <c r="BI2079" s="4" t="s">
        <v>253</v>
      </c>
      <c r="BJ2079" s="5" t="s">
        <v>246</v>
      </c>
      <c r="BK2079" s="4" t="s">
        <v>254</v>
      </c>
      <c r="BL2079" s="4" t="s">
        <v>255</v>
      </c>
      <c r="BM2079" s="4" t="s">
        <v>241</v>
      </c>
      <c r="BN2079" s="6">
        <f>0</f>
        <v>0</v>
      </c>
      <c r="BO2079" s="6">
        <f>0</f>
        <v>0</v>
      </c>
      <c r="BP2079" s="4" t="s">
        <v>256</v>
      </c>
      <c r="BQ2079" s="4" t="s">
        <v>257</v>
      </c>
      <c r="CE2079" s="4" t="s">
        <v>241</v>
      </c>
      <c r="CF2079" s="4" t="s">
        <v>241</v>
      </c>
      <c r="CJ2079" s="4" t="s">
        <v>276</v>
      </c>
      <c r="CK2079" s="4" t="s">
        <v>259</v>
      </c>
      <c r="CL2079" s="4" t="s">
        <v>241</v>
      </c>
      <c r="CO2079" s="5" t="s">
        <v>260</v>
      </c>
      <c r="CP2079" s="4" t="s">
        <v>241</v>
      </c>
      <c r="CQ2079" s="4" t="s">
        <v>261</v>
      </c>
      <c r="CR2079" s="4" t="s">
        <v>241</v>
      </c>
      <c r="CS2079" s="4" t="s">
        <v>241</v>
      </c>
      <c r="CT2079" s="4">
        <v>0</v>
      </c>
      <c r="CU2079" s="4" t="s">
        <v>262</v>
      </c>
      <c r="CV2079" s="4" t="s">
        <v>263</v>
      </c>
      <c r="CW2079" s="4" t="s">
        <v>263</v>
      </c>
      <c r="CX2079" s="4" t="s">
        <v>264</v>
      </c>
      <c r="DA2079" s="6">
        <f>1</f>
        <v>1</v>
      </c>
      <c r="DC2079" s="4" t="s">
        <v>325</v>
      </c>
      <c r="DD2079" s="4" t="s">
        <v>241</v>
      </c>
      <c r="DF2079" s="4" t="s">
        <v>325</v>
      </c>
      <c r="DG2079" s="6">
        <f>698</f>
        <v>698</v>
      </c>
      <c r="DI2079" s="4" t="s">
        <v>241</v>
      </c>
      <c r="DJ2079" s="4" t="s">
        <v>241</v>
      </c>
      <c r="DK2079" s="4" t="s">
        <v>241</v>
      </c>
      <c r="DL2079" s="4" t="s">
        <v>241</v>
      </c>
      <c r="DP2079" s="4" t="s">
        <v>241</v>
      </c>
      <c r="DQ2079" s="4" t="s">
        <v>241</v>
      </c>
      <c r="DR2079" s="4" t="s">
        <v>241</v>
      </c>
      <c r="DS2079" s="4" t="s">
        <v>241</v>
      </c>
      <c r="DV2079" s="4" t="s">
        <v>426</v>
      </c>
      <c r="DW2079" s="4" t="s">
        <v>1573</v>
      </c>
      <c r="HO2079" s="4" t="s">
        <v>267</v>
      </c>
    </row>
    <row r="2080" spans="1:223" ht="19.5" customHeight="1" x14ac:dyDescent="0.4">
      <c r="A2080" s="4">
        <v>1</v>
      </c>
      <c r="B2080" s="4" t="s">
        <v>239</v>
      </c>
      <c r="C2080" s="4">
        <v>3783</v>
      </c>
      <c r="D2080" s="4">
        <v>1</v>
      </c>
      <c r="E2080" s="4">
        <v>1</v>
      </c>
      <c r="F2080" s="4" t="s">
        <v>268</v>
      </c>
      <c r="G2080" s="4" t="s">
        <v>241</v>
      </c>
      <c r="H2080" s="4" t="s">
        <v>241</v>
      </c>
      <c r="I2080" s="4" t="s">
        <v>424</v>
      </c>
      <c r="J2080" s="4" t="s">
        <v>274</v>
      </c>
      <c r="K2080" s="4" t="s">
        <v>251</v>
      </c>
      <c r="L2080" s="4" t="s">
        <v>423</v>
      </c>
      <c r="M2080" s="5" t="s">
        <v>4085</v>
      </c>
      <c r="N2080" s="6">
        <f>44</f>
        <v>44</v>
      </c>
      <c r="O2080" s="4" t="s">
        <v>265</v>
      </c>
      <c r="P2080" s="6">
        <f>1</f>
        <v>1</v>
      </c>
      <c r="Q2080" s="6">
        <f>0</f>
        <v>0</v>
      </c>
      <c r="S2080" s="6">
        <f>0</f>
        <v>0</v>
      </c>
      <c r="T2080" s="6">
        <f>1</f>
        <v>1</v>
      </c>
      <c r="U2080" s="5" t="s">
        <v>245</v>
      </c>
      <c r="V2080" s="4" t="s">
        <v>270</v>
      </c>
      <c r="W2080" s="4" t="s">
        <v>271</v>
      </c>
      <c r="X2080" s="4" t="s">
        <v>273</v>
      </c>
      <c r="Y2080" s="4" t="s">
        <v>241</v>
      </c>
      <c r="AB2080" s="4" t="s">
        <v>241</v>
      </c>
      <c r="AD2080" s="5" t="s">
        <v>241</v>
      </c>
      <c r="AG2080" s="5" t="s">
        <v>246</v>
      </c>
      <c r="AH2080" s="4" t="s">
        <v>241</v>
      </c>
      <c r="AI2080" s="4" t="s">
        <v>247</v>
      </c>
      <c r="AJ2080" s="4" t="s">
        <v>248</v>
      </c>
      <c r="AZ2080" s="4" t="s">
        <v>249</v>
      </c>
      <c r="BA2080" s="4" t="s">
        <v>241</v>
      </c>
      <c r="BB2080" s="4" t="s">
        <v>250</v>
      </c>
      <c r="BC2080" s="4" t="s">
        <v>241</v>
      </c>
      <c r="BD2080" s="4" t="s">
        <v>252</v>
      </c>
      <c r="BE2080" s="4" t="s">
        <v>241</v>
      </c>
      <c r="BI2080" s="4" t="s">
        <v>253</v>
      </c>
      <c r="BJ2080" s="5" t="s">
        <v>246</v>
      </c>
      <c r="BK2080" s="4" t="s">
        <v>254</v>
      </c>
      <c r="BL2080" s="4" t="s">
        <v>255</v>
      </c>
      <c r="BM2080" s="4" t="s">
        <v>241</v>
      </c>
      <c r="BN2080" s="6">
        <f>0</f>
        <v>0</v>
      </c>
      <c r="BO2080" s="6">
        <f>0</f>
        <v>0</v>
      </c>
      <c r="BP2080" s="4" t="s">
        <v>256</v>
      </c>
      <c r="BQ2080" s="4" t="s">
        <v>257</v>
      </c>
      <c r="CE2080" s="4" t="s">
        <v>241</v>
      </c>
      <c r="CF2080" s="4" t="s">
        <v>241</v>
      </c>
      <c r="CJ2080" s="4" t="s">
        <v>276</v>
      </c>
      <c r="CK2080" s="4" t="s">
        <v>259</v>
      </c>
      <c r="CL2080" s="4" t="s">
        <v>241</v>
      </c>
      <c r="CO2080" s="5" t="s">
        <v>260</v>
      </c>
      <c r="CP2080" s="4" t="s">
        <v>241</v>
      </c>
      <c r="CQ2080" s="4" t="s">
        <v>261</v>
      </c>
      <c r="CR2080" s="4" t="s">
        <v>241</v>
      </c>
      <c r="CS2080" s="4" t="s">
        <v>241</v>
      </c>
      <c r="CT2080" s="4">
        <v>0</v>
      </c>
      <c r="CU2080" s="4" t="s">
        <v>262</v>
      </c>
      <c r="CV2080" s="4" t="s">
        <v>263</v>
      </c>
      <c r="CW2080" s="4" t="s">
        <v>263</v>
      </c>
      <c r="CX2080" s="4" t="s">
        <v>264</v>
      </c>
      <c r="DA2080" s="6">
        <f>1</f>
        <v>1</v>
      </c>
      <c r="DC2080" s="4" t="s">
        <v>325</v>
      </c>
      <c r="DD2080" s="4" t="s">
        <v>241</v>
      </c>
      <c r="DF2080" s="4" t="s">
        <v>325</v>
      </c>
      <c r="DG2080" s="6">
        <f>44</f>
        <v>44</v>
      </c>
      <c r="DI2080" s="4" t="s">
        <v>241</v>
      </c>
      <c r="DJ2080" s="4" t="s">
        <v>241</v>
      </c>
      <c r="DK2080" s="4" t="s">
        <v>241</v>
      </c>
      <c r="DL2080" s="4" t="s">
        <v>241</v>
      </c>
      <c r="DP2080" s="4" t="s">
        <v>241</v>
      </c>
      <c r="DQ2080" s="4" t="s">
        <v>241</v>
      </c>
      <c r="DR2080" s="4" t="s">
        <v>241</v>
      </c>
      <c r="DS2080" s="4" t="s">
        <v>241</v>
      </c>
      <c r="DV2080" s="4" t="s">
        <v>426</v>
      </c>
      <c r="DW2080" s="4" t="s">
        <v>1571</v>
      </c>
      <c r="HO2080" s="4" t="s">
        <v>267</v>
      </c>
    </row>
    <row r="2081" spans="1:223" ht="19.5" customHeight="1" x14ac:dyDescent="0.4">
      <c r="A2081" s="4">
        <v>1</v>
      </c>
      <c r="B2081" s="4" t="s">
        <v>239</v>
      </c>
      <c r="C2081" s="4">
        <v>3784</v>
      </c>
      <c r="D2081" s="4">
        <v>1</v>
      </c>
      <c r="E2081" s="4">
        <v>1</v>
      </c>
      <c r="F2081" s="4" t="s">
        <v>268</v>
      </c>
      <c r="G2081" s="4" t="s">
        <v>241</v>
      </c>
      <c r="H2081" s="4" t="s">
        <v>241</v>
      </c>
      <c r="I2081" s="4" t="s">
        <v>424</v>
      </c>
      <c r="J2081" s="4" t="s">
        <v>274</v>
      </c>
      <c r="K2081" s="4" t="s">
        <v>251</v>
      </c>
      <c r="L2081" s="4" t="s">
        <v>423</v>
      </c>
      <c r="M2081" s="5" t="s">
        <v>4087</v>
      </c>
      <c r="N2081" s="6">
        <f>302</f>
        <v>302</v>
      </c>
      <c r="O2081" s="4" t="s">
        <v>265</v>
      </c>
      <c r="P2081" s="6">
        <f>1</f>
        <v>1</v>
      </c>
      <c r="Q2081" s="6">
        <f>0</f>
        <v>0</v>
      </c>
      <c r="S2081" s="6">
        <f>0</f>
        <v>0</v>
      </c>
      <c r="T2081" s="6">
        <f>1</f>
        <v>1</v>
      </c>
      <c r="U2081" s="5" t="s">
        <v>245</v>
      </c>
      <c r="V2081" s="4" t="s">
        <v>270</v>
      </c>
      <c r="W2081" s="4" t="s">
        <v>271</v>
      </c>
      <c r="X2081" s="4" t="s">
        <v>273</v>
      </c>
      <c r="Y2081" s="4" t="s">
        <v>241</v>
      </c>
      <c r="AB2081" s="4" t="s">
        <v>241</v>
      </c>
      <c r="AD2081" s="5" t="s">
        <v>241</v>
      </c>
      <c r="AG2081" s="5" t="s">
        <v>246</v>
      </c>
      <c r="AH2081" s="4" t="s">
        <v>241</v>
      </c>
      <c r="AI2081" s="4" t="s">
        <v>247</v>
      </c>
      <c r="AJ2081" s="4" t="s">
        <v>248</v>
      </c>
      <c r="AZ2081" s="4" t="s">
        <v>249</v>
      </c>
      <c r="BA2081" s="4" t="s">
        <v>241</v>
      </c>
      <c r="BB2081" s="4" t="s">
        <v>250</v>
      </c>
      <c r="BC2081" s="4" t="s">
        <v>241</v>
      </c>
      <c r="BD2081" s="4" t="s">
        <v>252</v>
      </c>
      <c r="BE2081" s="4" t="s">
        <v>241</v>
      </c>
      <c r="BI2081" s="4" t="s">
        <v>253</v>
      </c>
      <c r="BJ2081" s="5" t="s">
        <v>246</v>
      </c>
      <c r="BK2081" s="4" t="s">
        <v>254</v>
      </c>
      <c r="BL2081" s="4" t="s">
        <v>255</v>
      </c>
      <c r="BM2081" s="4" t="s">
        <v>241</v>
      </c>
      <c r="BN2081" s="6">
        <f>0</f>
        <v>0</v>
      </c>
      <c r="BO2081" s="6">
        <f>0</f>
        <v>0</v>
      </c>
      <c r="BP2081" s="4" t="s">
        <v>256</v>
      </c>
      <c r="BQ2081" s="4" t="s">
        <v>257</v>
      </c>
      <c r="CE2081" s="4" t="s">
        <v>241</v>
      </c>
      <c r="CF2081" s="4" t="s">
        <v>241</v>
      </c>
      <c r="CJ2081" s="4" t="s">
        <v>276</v>
      </c>
      <c r="CK2081" s="4" t="s">
        <v>259</v>
      </c>
      <c r="CL2081" s="4" t="s">
        <v>241</v>
      </c>
      <c r="CO2081" s="5" t="s">
        <v>260</v>
      </c>
      <c r="CP2081" s="4" t="s">
        <v>241</v>
      </c>
      <c r="CQ2081" s="4" t="s">
        <v>261</v>
      </c>
      <c r="CR2081" s="4" t="s">
        <v>241</v>
      </c>
      <c r="CS2081" s="4" t="s">
        <v>241</v>
      </c>
      <c r="CT2081" s="4">
        <v>0</v>
      </c>
      <c r="CU2081" s="4" t="s">
        <v>262</v>
      </c>
      <c r="CV2081" s="4" t="s">
        <v>263</v>
      </c>
      <c r="CW2081" s="4" t="s">
        <v>263</v>
      </c>
      <c r="CX2081" s="4" t="s">
        <v>264</v>
      </c>
      <c r="DA2081" s="6">
        <f>1</f>
        <v>1</v>
      </c>
      <c r="DC2081" s="4" t="s">
        <v>325</v>
      </c>
      <c r="DD2081" s="4" t="s">
        <v>241</v>
      </c>
      <c r="DF2081" s="4" t="s">
        <v>325</v>
      </c>
      <c r="DG2081" s="6">
        <f>302</f>
        <v>302</v>
      </c>
      <c r="DI2081" s="4" t="s">
        <v>241</v>
      </c>
      <c r="DJ2081" s="4" t="s">
        <v>241</v>
      </c>
      <c r="DK2081" s="4" t="s">
        <v>241</v>
      </c>
      <c r="DL2081" s="4" t="s">
        <v>241</v>
      </c>
      <c r="DP2081" s="4" t="s">
        <v>241</v>
      </c>
      <c r="DQ2081" s="4" t="s">
        <v>241</v>
      </c>
      <c r="DR2081" s="4" t="s">
        <v>241</v>
      </c>
      <c r="DS2081" s="4" t="s">
        <v>241</v>
      </c>
      <c r="DV2081" s="4" t="s">
        <v>426</v>
      </c>
      <c r="DW2081" s="4" t="s">
        <v>1569</v>
      </c>
      <c r="HO2081" s="4" t="s">
        <v>267</v>
      </c>
    </row>
    <row r="2082" spans="1:223" ht="19.5" customHeight="1" x14ac:dyDescent="0.4">
      <c r="A2082" s="4">
        <v>1</v>
      </c>
      <c r="B2082" s="4" t="s">
        <v>239</v>
      </c>
      <c r="C2082" s="4">
        <v>3785</v>
      </c>
      <c r="D2082" s="4">
        <v>1</v>
      </c>
      <c r="E2082" s="4">
        <v>1</v>
      </c>
      <c r="F2082" s="4" t="s">
        <v>268</v>
      </c>
      <c r="G2082" s="4" t="s">
        <v>241</v>
      </c>
      <c r="H2082" s="4" t="s">
        <v>241</v>
      </c>
      <c r="I2082" s="4" t="s">
        <v>424</v>
      </c>
      <c r="J2082" s="4" t="s">
        <v>274</v>
      </c>
      <c r="K2082" s="4" t="s">
        <v>251</v>
      </c>
      <c r="L2082" s="4" t="s">
        <v>423</v>
      </c>
      <c r="M2082" s="5" t="s">
        <v>4088</v>
      </c>
      <c r="N2082" s="6">
        <f>1046</f>
        <v>1046</v>
      </c>
      <c r="O2082" s="4" t="s">
        <v>265</v>
      </c>
      <c r="P2082" s="6">
        <f>1</f>
        <v>1</v>
      </c>
      <c r="Q2082" s="6">
        <f>0</f>
        <v>0</v>
      </c>
      <c r="S2082" s="6">
        <f>0</f>
        <v>0</v>
      </c>
      <c r="T2082" s="6">
        <f>1</f>
        <v>1</v>
      </c>
      <c r="U2082" s="5" t="s">
        <v>245</v>
      </c>
      <c r="V2082" s="4" t="s">
        <v>270</v>
      </c>
      <c r="W2082" s="4" t="s">
        <v>271</v>
      </c>
      <c r="X2082" s="4" t="s">
        <v>273</v>
      </c>
      <c r="Y2082" s="4" t="s">
        <v>241</v>
      </c>
      <c r="AB2082" s="4" t="s">
        <v>241</v>
      </c>
      <c r="AD2082" s="5" t="s">
        <v>241</v>
      </c>
      <c r="AG2082" s="5" t="s">
        <v>246</v>
      </c>
      <c r="AH2082" s="4" t="s">
        <v>241</v>
      </c>
      <c r="AI2082" s="4" t="s">
        <v>247</v>
      </c>
      <c r="AJ2082" s="4" t="s">
        <v>248</v>
      </c>
      <c r="AZ2082" s="4" t="s">
        <v>249</v>
      </c>
      <c r="BA2082" s="4" t="s">
        <v>241</v>
      </c>
      <c r="BB2082" s="4" t="s">
        <v>250</v>
      </c>
      <c r="BC2082" s="4" t="s">
        <v>241</v>
      </c>
      <c r="BD2082" s="4" t="s">
        <v>252</v>
      </c>
      <c r="BE2082" s="4" t="s">
        <v>241</v>
      </c>
      <c r="BI2082" s="4" t="s">
        <v>253</v>
      </c>
      <c r="BJ2082" s="5" t="s">
        <v>246</v>
      </c>
      <c r="BK2082" s="4" t="s">
        <v>254</v>
      </c>
      <c r="BL2082" s="4" t="s">
        <v>255</v>
      </c>
      <c r="BM2082" s="4" t="s">
        <v>241</v>
      </c>
      <c r="BN2082" s="6">
        <f>0</f>
        <v>0</v>
      </c>
      <c r="BO2082" s="6">
        <f>0</f>
        <v>0</v>
      </c>
      <c r="BP2082" s="4" t="s">
        <v>256</v>
      </c>
      <c r="BQ2082" s="4" t="s">
        <v>257</v>
      </c>
      <c r="CE2082" s="4" t="s">
        <v>241</v>
      </c>
      <c r="CF2082" s="4" t="s">
        <v>241</v>
      </c>
      <c r="CJ2082" s="4" t="s">
        <v>276</v>
      </c>
      <c r="CK2082" s="4" t="s">
        <v>259</v>
      </c>
      <c r="CL2082" s="4" t="s">
        <v>241</v>
      </c>
      <c r="CO2082" s="5" t="s">
        <v>260</v>
      </c>
      <c r="CP2082" s="4" t="s">
        <v>241</v>
      </c>
      <c r="CQ2082" s="4" t="s">
        <v>261</v>
      </c>
      <c r="CR2082" s="4" t="s">
        <v>241</v>
      </c>
      <c r="CS2082" s="4" t="s">
        <v>241</v>
      </c>
      <c r="CT2082" s="4">
        <v>0</v>
      </c>
      <c r="CU2082" s="4" t="s">
        <v>262</v>
      </c>
      <c r="CV2082" s="4" t="s">
        <v>263</v>
      </c>
      <c r="CW2082" s="4" t="s">
        <v>263</v>
      </c>
      <c r="CX2082" s="4" t="s">
        <v>264</v>
      </c>
      <c r="DA2082" s="6">
        <f>1</f>
        <v>1</v>
      </c>
      <c r="DC2082" s="4" t="s">
        <v>325</v>
      </c>
      <c r="DD2082" s="4" t="s">
        <v>241</v>
      </c>
      <c r="DF2082" s="4" t="s">
        <v>325</v>
      </c>
      <c r="DG2082" s="6">
        <f>1046</f>
        <v>1046</v>
      </c>
      <c r="DI2082" s="4" t="s">
        <v>241</v>
      </c>
      <c r="DJ2082" s="4" t="s">
        <v>241</v>
      </c>
      <c r="DK2082" s="4" t="s">
        <v>241</v>
      </c>
      <c r="DL2082" s="4" t="s">
        <v>241</v>
      </c>
      <c r="DP2082" s="4" t="s">
        <v>241</v>
      </c>
      <c r="DQ2082" s="4" t="s">
        <v>241</v>
      </c>
      <c r="DR2082" s="4" t="s">
        <v>241</v>
      </c>
      <c r="DS2082" s="4" t="s">
        <v>241</v>
      </c>
      <c r="DV2082" s="4" t="s">
        <v>426</v>
      </c>
      <c r="DW2082" s="4" t="s">
        <v>1567</v>
      </c>
      <c r="HO2082" s="4" t="s">
        <v>267</v>
      </c>
    </row>
    <row r="2083" spans="1:223" ht="19.5" customHeight="1" x14ac:dyDescent="0.4">
      <c r="A2083" s="4">
        <v>1</v>
      </c>
      <c r="B2083" s="4" t="s">
        <v>239</v>
      </c>
      <c r="C2083" s="4">
        <v>3786</v>
      </c>
      <c r="D2083" s="4">
        <v>1</v>
      </c>
      <c r="E2083" s="4">
        <v>1</v>
      </c>
      <c r="F2083" s="4" t="s">
        <v>268</v>
      </c>
      <c r="G2083" s="4" t="s">
        <v>241</v>
      </c>
      <c r="H2083" s="4" t="s">
        <v>241</v>
      </c>
      <c r="I2083" s="4" t="s">
        <v>424</v>
      </c>
      <c r="J2083" s="4" t="s">
        <v>274</v>
      </c>
      <c r="K2083" s="4" t="s">
        <v>251</v>
      </c>
      <c r="L2083" s="4" t="s">
        <v>423</v>
      </c>
      <c r="M2083" s="5" t="s">
        <v>4092</v>
      </c>
      <c r="N2083" s="6">
        <f>424</f>
        <v>424</v>
      </c>
      <c r="O2083" s="4" t="s">
        <v>265</v>
      </c>
      <c r="P2083" s="6">
        <f>1</f>
        <v>1</v>
      </c>
      <c r="Q2083" s="6">
        <f>0</f>
        <v>0</v>
      </c>
      <c r="S2083" s="6">
        <f>0</f>
        <v>0</v>
      </c>
      <c r="T2083" s="6">
        <f>1</f>
        <v>1</v>
      </c>
      <c r="U2083" s="5" t="s">
        <v>245</v>
      </c>
      <c r="V2083" s="4" t="s">
        <v>270</v>
      </c>
      <c r="W2083" s="4" t="s">
        <v>271</v>
      </c>
      <c r="X2083" s="4" t="s">
        <v>273</v>
      </c>
      <c r="Y2083" s="4" t="s">
        <v>241</v>
      </c>
      <c r="AB2083" s="4" t="s">
        <v>241</v>
      </c>
      <c r="AD2083" s="5" t="s">
        <v>241</v>
      </c>
      <c r="AG2083" s="5" t="s">
        <v>246</v>
      </c>
      <c r="AH2083" s="4" t="s">
        <v>241</v>
      </c>
      <c r="AI2083" s="4" t="s">
        <v>247</v>
      </c>
      <c r="AJ2083" s="4" t="s">
        <v>248</v>
      </c>
      <c r="AZ2083" s="4" t="s">
        <v>249</v>
      </c>
      <c r="BA2083" s="4" t="s">
        <v>241</v>
      </c>
      <c r="BB2083" s="4" t="s">
        <v>250</v>
      </c>
      <c r="BC2083" s="4" t="s">
        <v>241</v>
      </c>
      <c r="BD2083" s="4" t="s">
        <v>252</v>
      </c>
      <c r="BE2083" s="4" t="s">
        <v>241</v>
      </c>
      <c r="BI2083" s="4" t="s">
        <v>253</v>
      </c>
      <c r="BJ2083" s="5" t="s">
        <v>246</v>
      </c>
      <c r="BK2083" s="4" t="s">
        <v>254</v>
      </c>
      <c r="BL2083" s="4" t="s">
        <v>255</v>
      </c>
      <c r="BM2083" s="4" t="s">
        <v>241</v>
      </c>
      <c r="BN2083" s="6">
        <f>0</f>
        <v>0</v>
      </c>
      <c r="BO2083" s="6">
        <f>0</f>
        <v>0</v>
      </c>
      <c r="BP2083" s="4" t="s">
        <v>256</v>
      </c>
      <c r="BQ2083" s="4" t="s">
        <v>257</v>
      </c>
      <c r="CE2083" s="4" t="s">
        <v>241</v>
      </c>
      <c r="CF2083" s="4" t="s">
        <v>241</v>
      </c>
      <c r="CJ2083" s="4" t="s">
        <v>276</v>
      </c>
      <c r="CK2083" s="4" t="s">
        <v>259</v>
      </c>
      <c r="CL2083" s="4" t="s">
        <v>241</v>
      </c>
      <c r="CO2083" s="5" t="s">
        <v>260</v>
      </c>
      <c r="CP2083" s="4" t="s">
        <v>241</v>
      </c>
      <c r="CQ2083" s="4" t="s">
        <v>261</v>
      </c>
      <c r="CR2083" s="4" t="s">
        <v>241</v>
      </c>
      <c r="CS2083" s="4" t="s">
        <v>241</v>
      </c>
      <c r="CT2083" s="4">
        <v>0</v>
      </c>
      <c r="CU2083" s="4" t="s">
        <v>262</v>
      </c>
      <c r="CV2083" s="4" t="s">
        <v>263</v>
      </c>
      <c r="CW2083" s="4" t="s">
        <v>263</v>
      </c>
      <c r="CX2083" s="4" t="s">
        <v>264</v>
      </c>
      <c r="DA2083" s="6">
        <f>1</f>
        <v>1</v>
      </c>
      <c r="DC2083" s="4" t="s">
        <v>325</v>
      </c>
      <c r="DD2083" s="4" t="s">
        <v>241</v>
      </c>
      <c r="DF2083" s="4" t="s">
        <v>325</v>
      </c>
      <c r="DG2083" s="6">
        <f>424</f>
        <v>424</v>
      </c>
      <c r="DI2083" s="4" t="s">
        <v>241</v>
      </c>
      <c r="DJ2083" s="4" t="s">
        <v>241</v>
      </c>
      <c r="DK2083" s="4" t="s">
        <v>241</v>
      </c>
      <c r="DL2083" s="4" t="s">
        <v>241</v>
      </c>
      <c r="DP2083" s="4" t="s">
        <v>241</v>
      </c>
      <c r="DQ2083" s="4" t="s">
        <v>241</v>
      </c>
      <c r="DR2083" s="4" t="s">
        <v>241</v>
      </c>
      <c r="DS2083" s="4" t="s">
        <v>241</v>
      </c>
      <c r="DV2083" s="4" t="s">
        <v>426</v>
      </c>
      <c r="DW2083" s="4" t="s">
        <v>1565</v>
      </c>
      <c r="HO2083" s="4" t="s">
        <v>267</v>
      </c>
    </row>
    <row r="2084" spans="1:223" ht="19.5" customHeight="1" x14ac:dyDescent="0.4">
      <c r="A2084" s="4">
        <v>1</v>
      </c>
      <c r="B2084" s="4" t="s">
        <v>239</v>
      </c>
      <c r="C2084" s="4">
        <v>3787</v>
      </c>
      <c r="D2084" s="4">
        <v>1</v>
      </c>
      <c r="E2084" s="4">
        <v>1</v>
      </c>
      <c r="F2084" s="4" t="s">
        <v>268</v>
      </c>
      <c r="G2084" s="4" t="s">
        <v>241</v>
      </c>
      <c r="H2084" s="4" t="s">
        <v>241</v>
      </c>
      <c r="I2084" s="4" t="s">
        <v>424</v>
      </c>
      <c r="J2084" s="4" t="s">
        <v>274</v>
      </c>
      <c r="K2084" s="4" t="s">
        <v>251</v>
      </c>
      <c r="L2084" s="4" t="s">
        <v>423</v>
      </c>
      <c r="M2084" s="5" t="s">
        <v>4093</v>
      </c>
      <c r="N2084" s="6">
        <f>593</f>
        <v>593</v>
      </c>
      <c r="O2084" s="4" t="s">
        <v>265</v>
      </c>
      <c r="P2084" s="6">
        <f>1</f>
        <v>1</v>
      </c>
      <c r="Q2084" s="6">
        <f>0</f>
        <v>0</v>
      </c>
      <c r="S2084" s="6">
        <f>0</f>
        <v>0</v>
      </c>
      <c r="T2084" s="6">
        <f>1</f>
        <v>1</v>
      </c>
      <c r="U2084" s="5" t="s">
        <v>245</v>
      </c>
      <c r="V2084" s="4" t="s">
        <v>270</v>
      </c>
      <c r="W2084" s="4" t="s">
        <v>271</v>
      </c>
      <c r="X2084" s="4" t="s">
        <v>273</v>
      </c>
      <c r="Y2084" s="4" t="s">
        <v>241</v>
      </c>
      <c r="AB2084" s="4" t="s">
        <v>241</v>
      </c>
      <c r="AD2084" s="5" t="s">
        <v>241</v>
      </c>
      <c r="AG2084" s="5" t="s">
        <v>246</v>
      </c>
      <c r="AH2084" s="4" t="s">
        <v>241</v>
      </c>
      <c r="AI2084" s="4" t="s">
        <v>247</v>
      </c>
      <c r="AJ2084" s="4" t="s">
        <v>248</v>
      </c>
      <c r="AZ2084" s="4" t="s">
        <v>249</v>
      </c>
      <c r="BA2084" s="4" t="s">
        <v>241</v>
      </c>
      <c r="BB2084" s="4" t="s">
        <v>250</v>
      </c>
      <c r="BC2084" s="4" t="s">
        <v>241</v>
      </c>
      <c r="BD2084" s="4" t="s">
        <v>252</v>
      </c>
      <c r="BE2084" s="4" t="s">
        <v>241</v>
      </c>
      <c r="BI2084" s="4" t="s">
        <v>253</v>
      </c>
      <c r="BJ2084" s="5" t="s">
        <v>246</v>
      </c>
      <c r="BK2084" s="4" t="s">
        <v>254</v>
      </c>
      <c r="BL2084" s="4" t="s">
        <v>255</v>
      </c>
      <c r="BM2084" s="4" t="s">
        <v>241</v>
      </c>
      <c r="BN2084" s="6">
        <f>0</f>
        <v>0</v>
      </c>
      <c r="BO2084" s="6">
        <f>0</f>
        <v>0</v>
      </c>
      <c r="BP2084" s="4" t="s">
        <v>256</v>
      </c>
      <c r="BQ2084" s="4" t="s">
        <v>257</v>
      </c>
      <c r="CE2084" s="4" t="s">
        <v>241</v>
      </c>
      <c r="CF2084" s="4" t="s">
        <v>241</v>
      </c>
      <c r="CJ2084" s="4" t="s">
        <v>276</v>
      </c>
      <c r="CK2084" s="4" t="s">
        <v>259</v>
      </c>
      <c r="CL2084" s="4" t="s">
        <v>241</v>
      </c>
      <c r="CO2084" s="5" t="s">
        <v>260</v>
      </c>
      <c r="CP2084" s="4" t="s">
        <v>241</v>
      </c>
      <c r="CQ2084" s="4" t="s">
        <v>261</v>
      </c>
      <c r="CR2084" s="4" t="s">
        <v>241</v>
      </c>
      <c r="CS2084" s="4" t="s">
        <v>241</v>
      </c>
      <c r="CT2084" s="4">
        <v>0</v>
      </c>
      <c r="CU2084" s="4" t="s">
        <v>262</v>
      </c>
      <c r="CV2084" s="4" t="s">
        <v>263</v>
      </c>
      <c r="CW2084" s="4" t="s">
        <v>263</v>
      </c>
      <c r="CX2084" s="4" t="s">
        <v>264</v>
      </c>
      <c r="DA2084" s="6">
        <f>1</f>
        <v>1</v>
      </c>
      <c r="DC2084" s="4" t="s">
        <v>325</v>
      </c>
      <c r="DD2084" s="4" t="s">
        <v>241</v>
      </c>
      <c r="DF2084" s="4" t="s">
        <v>325</v>
      </c>
      <c r="DG2084" s="6">
        <f>593</f>
        <v>593</v>
      </c>
      <c r="DI2084" s="4" t="s">
        <v>241</v>
      </c>
      <c r="DJ2084" s="4" t="s">
        <v>241</v>
      </c>
      <c r="DK2084" s="4" t="s">
        <v>241</v>
      </c>
      <c r="DL2084" s="4" t="s">
        <v>241</v>
      </c>
      <c r="DP2084" s="4" t="s">
        <v>241</v>
      </c>
      <c r="DQ2084" s="4" t="s">
        <v>241</v>
      </c>
      <c r="DR2084" s="4" t="s">
        <v>241</v>
      </c>
      <c r="DS2084" s="4" t="s">
        <v>241</v>
      </c>
      <c r="DV2084" s="4" t="s">
        <v>426</v>
      </c>
      <c r="DW2084" s="4" t="s">
        <v>1563</v>
      </c>
      <c r="HO2084" s="4" t="s">
        <v>267</v>
      </c>
    </row>
    <row r="2085" spans="1:223" ht="19.5" customHeight="1" x14ac:dyDescent="0.4">
      <c r="A2085" s="4">
        <v>1</v>
      </c>
      <c r="B2085" s="4" t="s">
        <v>239</v>
      </c>
      <c r="C2085" s="4">
        <v>3788</v>
      </c>
      <c r="D2085" s="4">
        <v>1</v>
      </c>
      <c r="E2085" s="4">
        <v>1</v>
      </c>
      <c r="F2085" s="4" t="s">
        <v>268</v>
      </c>
      <c r="G2085" s="4" t="s">
        <v>241</v>
      </c>
      <c r="H2085" s="4" t="s">
        <v>241</v>
      </c>
      <c r="I2085" s="4" t="s">
        <v>424</v>
      </c>
      <c r="J2085" s="4" t="s">
        <v>274</v>
      </c>
      <c r="K2085" s="4" t="s">
        <v>251</v>
      </c>
      <c r="L2085" s="4" t="s">
        <v>423</v>
      </c>
      <c r="M2085" s="5" t="s">
        <v>4095</v>
      </c>
      <c r="N2085" s="6">
        <f>1663</f>
        <v>1663</v>
      </c>
      <c r="O2085" s="4" t="s">
        <v>265</v>
      </c>
      <c r="P2085" s="6">
        <f>1</f>
        <v>1</v>
      </c>
      <c r="Q2085" s="6">
        <f>0</f>
        <v>0</v>
      </c>
      <c r="S2085" s="6">
        <f>0</f>
        <v>0</v>
      </c>
      <c r="T2085" s="6">
        <f>1</f>
        <v>1</v>
      </c>
      <c r="U2085" s="5" t="s">
        <v>245</v>
      </c>
      <c r="V2085" s="4" t="s">
        <v>270</v>
      </c>
      <c r="W2085" s="4" t="s">
        <v>271</v>
      </c>
      <c r="X2085" s="4" t="s">
        <v>273</v>
      </c>
      <c r="Y2085" s="4" t="s">
        <v>241</v>
      </c>
      <c r="AB2085" s="4" t="s">
        <v>241</v>
      </c>
      <c r="AD2085" s="5" t="s">
        <v>241</v>
      </c>
      <c r="AG2085" s="5" t="s">
        <v>246</v>
      </c>
      <c r="AH2085" s="4" t="s">
        <v>241</v>
      </c>
      <c r="AI2085" s="4" t="s">
        <v>247</v>
      </c>
      <c r="AJ2085" s="4" t="s">
        <v>248</v>
      </c>
      <c r="AZ2085" s="4" t="s">
        <v>249</v>
      </c>
      <c r="BA2085" s="4" t="s">
        <v>241</v>
      </c>
      <c r="BB2085" s="4" t="s">
        <v>250</v>
      </c>
      <c r="BC2085" s="4" t="s">
        <v>241</v>
      </c>
      <c r="BD2085" s="4" t="s">
        <v>252</v>
      </c>
      <c r="BE2085" s="4" t="s">
        <v>241</v>
      </c>
      <c r="BI2085" s="4" t="s">
        <v>253</v>
      </c>
      <c r="BJ2085" s="5" t="s">
        <v>246</v>
      </c>
      <c r="BK2085" s="4" t="s">
        <v>254</v>
      </c>
      <c r="BL2085" s="4" t="s">
        <v>255</v>
      </c>
      <c r="BM2085" s="4" t="s">
        <v>241</v>
      </c>
      <c r="BN2085" s="6">
        <f>0</f>
        <v>0</v>
      </c>
      <c r="BO2085" s="6">
        <f>0</f>
        <v>0</v>
      </c>
      <c r="BP2085" s="4" t="s">
        <v>256</v>
      </c>
      <c r="BQ2085" s="4" t="s">
        <v>257</v>
      </c>
      <c r="CE2085" s="4" t="s">
        <v>241</v>
      </c>
      <c r="CF2085" s="4" t="s">
        <v>241</v>
      </c>
      <c r="CJ2085" s="4" t="s">
        <v>276</v>
      </c>
      <c r="CK2085" s="4" t="s">
        <v>259</v>
      </c>
      <c r="CL2085" s="4" t="s">
        <v>241</v>
      </c>
      <c r="CO2085" s="5" t="s">
        <v>260</v>
      </c>
      <c r="CP2085" s="4" t="s">
        <v>241</v>
      </c>
      <c r="CQ2085" s="4" t="s">
        <v>261</v>
      </c>
      <c r="CR2085" s="4" t="s">
        <v>241</v>
      </c>
      <c r="CS2085" s="4" t="s">
        <v>241</v>
      </c>
      <c r="CT2085" s="4">
        <v>0</v>
      </c>
      <c r="CU2085" s="4" t="s">
        <v>262</v>
      </c>
      <c r="CV2085" s="4" t="s">
        <v>263</v>
      </c>
      <c r="CW2085" s="4" t="s">
        <v>263</v>
      </c>
      <c r="CX2085" s="4" t="s">
        <v>264</v>
      </c>
      <c r="DA2085" s="6">
        <f>1</f>
        <v>1</v>
      </c>
      <c r="DC2085" s="4" t="s">
        <v>325</v>
      </c>
      <c r="DD2085" s="4" t="s">
        <v>241</v>
      </c>
      <c r="DF2085" s="4" t="s">
        <v>325</v>
      </c>
      <c r="DG2085" s="6">
        <f>1663</f>
        <v>1663</v>
      </c>
      <c r="DI2085" s="4" t="s">
        <v>241</v>
      </c>
      <c r="DJ2085" s="4" t="s">
        <v>241</v>
      </c>
      <c r="DK2085" s="4" t="s">
        <v>241</v>
      </c>
      <c r="DL2085" s="4" t="s">
        <v>241</v>
      </c>
      <c r="DP2085" s="4" t="s">
        <v>241</v>
      </c>
      <c r="DQ2085" s="4" t="s">
        <v>241</v>
      </c>
      <c r="DR2085" s="4" t="s">
        <v>241</v>
      </c>
      <c r="DS2085" s="4" t="s">
        <v>241</v>
      </c>
      <c r="DV2085" s="4" t="s">
        <v>426</v>
      </c>
      <c r="DW2085" s="4" t="s">
        <v>1561</v>
      </c>
      <c r="HO2085" s="4" t="s">
        <v>267</v>
      </c>
    </row>
    <row r="2086" spans="1:223" ht="19.5" customHeight="1" x14ac:dyDescent="0.4">
      <c r="A2086" s="4">
        <v>1</v>
      </c>
      <c r="B2086" s="4" t="s">
        <v>239</v>
      </c>
      <c r="C2086" s="4">
        <v>3789</v>
      </c>
      <c r="D2086" s="4">
        <v>1</v>
      </c>
      <c r="E2086" s="4">
        <v>1</v>
      </c>
      <c r="F2086" s="4" t="s">
        <v>268</v>
      </c>
      <c r="G2086" s="4" t="s">
        <v>241</v>
      </c>
      <c r="H2086" s="4" t="s">
        <v>241</v>
      </c>
      <c r="I2086" s="4" t="s">
        <v>424</v>
      </c>
      <c r="J2086" s="4" t="s">
        <v>274</v>
      </c>
      <c r="K2086" s="4" t="s">
        <v>251</v>
      </c>
      <c r="L2086" s="4" t="s">
        <v>423</v>
      </c>
      <c r="M2086" s="5" t="s">
        <v>4096</v>
      </c>
      <c r="N2086" s="6">
        <f>620</f>
        <v>620</v>
      </c>
      <c r="O2086" s="4" t="s">
        <v>265</v>
      </c>
      <c r="P2086" s="6">
        <f>1</f>
        <v>1</v>
      </c>
      <c r="Q2086" s="6">
        <f>0</f>
        <v>0</v>
      </c>
      <c r="S2086" s="6">
        <f>0</f>
        <v>0</v>
      </c>
      <c r="T2086" s="6">
        <f>1</f>
        <v>1</v>
      </c>
      <c r="U2086" s="5" t="s">
        <v>245</v>
      </c>
      <c r="V2086" s="4" t="s">
        <v>270</v>
      </c>
      <c r="W2086" s="4" t="s">
        <v>271</v>
      </c>
      <c r="X2086" s="4" t="s">
        <v>273</v>
      </c>
      <c r="Y2086" s="4" t="s">
        <v>241</v>
      </c>
      <c r="AB2086" s="4" t="s">
        <v>241</v>
      </c>
      <c r="AD2086" s="5" t="s">
        <v>241</v>
      </c>
      <c r="AG2086" s="5" t="s">
        <v>246</v>
      </c>
      <c r="AH2086" s="4" t="s">
        <v>241</v>
      </c>
      <c r="AI2086" s="4" t="s">
        <v>247</v>
      </c>
      <c r="AJ2086" s="4" t="s">
        <v>248</v>
      </c>
      <c r="AZ2086" s="4" t="s">
        <v>249</v>
      </c>
      <c r="BA2086" s="4" t="s">
        <v>241</v>
      </c>
      <c r="BB2086" s="4" t="s">
        <v>250</v>
      </c>
      <c r="BC2086" s="4" t="s">
        <v>241</v>
      </c>
      <c r="BD2086" s="4" t="s">
        <v>252</v>
      </c>
      <c r="BE2086" s="4" t="s">
        <v>241</v>
      </c>
      <c r="BI2086" s="4" t="s">
        <v>253</v>
      </c>
      <c r="BJ2086" s="5" t="s">
        <v>246</v>
      </c>
      <c r="BK2086" s="4" t="s">
        <v>254</v>
      </c>
      <c r="BL2086" s="4" t="s">
        <v>255</v>
      </c>
      <c r="BM2086" s="4" t="s">
        <v>241</v>
      </c>
      <c r="BN2086" s="6">
        <f>0</f>
        <v>0</v>
      </c>
      <c r="BO2086" s="6">
        <f>0</f>
        <v>0</v>
      </c>
      <c r="BP2086" s="4" t="s">
        <v>256</v>
      </c>
      <c r="BQ2086" s="4" t="s">
        <v>257</v>
      </c>
      <c r="CE2086" s="4" t="s">
        <v>241</v>
      </c>
      <c r="CF2086" s="4" t="s">
        <v>241</v>
      </c>
      <c r="CJ2086" s="4" t="s">
        <v>276</v>
      </c>
      <c r="CK2086" s="4" t="s">
        <v>259</v>
      </c>
      <c r="CL2086" s="4" t="s">
        <v>241</v>
      </c>
      <c r="CO2086" s="5" t="s">
        <v>260</v>
      </c>
      <c r="CP2086" s="4" t="s">
        <v>241</v>
      </c>
      <c r="CQ2086" s="4" t="s">
        <v>261</v>
      </c>
      <c r="CR2086" s="4" t="s">
        <v>241</v>
      </c>
      <c r="CS2086" s="4" t="s">
        <v>241</v>
      </c>
      <c r="CT2086" s="4">
        <v>0</v>
      </c>
      <c r="CU2086" s="4" t="s">
        <v>262</v>
      </c>
      <c r="CV2086" s="4" t="s">
        <v>263</v>
      </c>
      <c r="CW2086" s="4" t="s">
        <v>263</v>
      </c>
      <c r="CX2086" s="4" t="s">
        <v>264</v>
      </c>
      <c r="DA2086" s="6">
        <f>1</f>
        <v>1</v>
      </c>
      <c r="DC2086" s="4" t="s">
        <v>325</v>
      </c>
      <c r="DD2086" s="4" t="s">
        <v>241</v>
      </c>
      <c r="DF2086" s="4" t="s">
        <v>325</v>
      </c>
      <c r="DG2086" s="6">
        <f>620</f>
        <v>620</v>
      </c>
      <c r="DI2086" s="4" t="s">
        <v>241</v>
      </c>
      <c r="DJ2086" s="4" t="s">
        <v>241</v>
      </c>
      <c r="DK2086" s="4" t="s">
        <v>241</v>
      </c>
      <c r="DL2086" s="4" t="s">
        <v>241</v>
      </c>
      <c r="DP2086" s="4" t="s">
        <v>241</v>
      </c>
      <c r="DQ2086" s="4" t="s">
        <v>241</v>
      </c>
      <c r="DR2086" s="4" t="s">
        <v>241</v>
      </c>
      <c r="DS2086" s="4" t="s">
        <v>241</v>
      </c>
      <c r="DV2086" s="4" t="s">
        <v>426</v>
      </c>
      <c r="DW2086" s="4" t="s">
        <v>1559</v>
      </c>
      <c r="HO2086" s="4" t="s">
        <v>267</v>
      </c>
    </row>
    <row r="2087" spans="1:223" ht="19.5" customHeight="1" x14ac:dyDescent="0.4">
      <c r="A2087" s="4">
        <v>1</v>
      </c>
      <c r="B2087" s="4" t="s">
        <v>239</v>
      </c>
      <c r="C2087" s="4">
        <v>3790</v>
      </c>
      <c r="D2087" s="4">
        <v>1</v>
      </c>
      <c r="E2087" s="4">
        <v>1</v>
      </c>
      <c r="F2087" s="4" t="s">
        <v>268</v>
      </c>
      <c r="G2087" s="4" t="s">
        <v>241</v>
      </c>
      <c r="H2087" s="4" t="s">
        <v>241</v>
      </c>
      <c r="I2087" s="4" t="s">
        <v>424</v>
      </c>
      <c r="J2087" s="4" t="s">
        <v>274</v>
      </c>
      <c r="K2087" s="4" t="s">
        <v>251</v>
      </c>
      <c r="L2087" s="4" t="s">
        <v>423</v>
      </c>
      <c r="M2087" s="5" t="s">
        <v>4098</v>
      </c>
      <c r="N2087" s="6">
        <f>1356</f>
        <v>1356</v>
      </c>
      <c r="O2087" s="4" t="s">
        <v>265</v>
      </c>
      <c r="P2087" s="6">
        <f>1</f>
        <v>1</v>
      </c>
      <c r="Q2087" s="6">
        <f>0</f>
        <v>0</v>
      </c>
      <c r="S2087" s="6">
        <f>0</f>
        <v>0</v>
      </c>
      <c r="T2087" s="6">
        <f>1</f>
        <v>1</v>
      </c>
      <c r="U2087" s="5" t="s">
        <v>245</v>
      </c>
      <c r="V2087" s="4" t="s">
        <v>270</v>
      </c>
      <c r="W2087" s="4" t="s">
        <v>271</v>
      </c>
      <c r="X2087" s="4" t="s">
        <v>273</v>
      </c>
      <c r="Y2087" s="4" t="s">
        <v>241</v>
      </c>
      <c r="AB2087" s="4" t="s">
        <v>241</v>
      </c>
      <c r="AD2087" s="5" t="s">
        <v>241</v>
      </c>
      <c r="AG2087" s="5" t="s">
        <v>246</v>
      </c>
      <c r="AH2087" s="4" t="s">
        <v>241</v>
      </c>
      <c r="AI2087" s="4" t="s">
        <v>247</v>
      </c>
      <c r="AJ2087" s="4" t="s">
        <v>248</v>
      </c>
      <c r="AZ2087" s="4" t="s">
        <v>249</v>
      </c>
      <c r="BA2087" s="4" t="s">
        <v>241</v>
      </c>
      <c r="BB2087" s="4" t="s">
        <v>250</v>
      </c>
      <c r="BC2087" s="4" t="s">
        <v>241</v>
      </c>
      <c r="BD2087" s="4" t="s">
        <v>252</v>
      </c>
      <c r="BE2087" s="4" t="s">
        <v>241</v>
      </c>
      <c r="BI2087" s="4" t="s">
        <v>253</v>
      </c>
      <c r="BJ2087" s="5" t="s">
        <v>246</v>
      </c>
      <c r="BK2087" s="4" t="s">
        <v>254</v>
      </c>
      <c r="BL2087" s="4" t="s">
        <v>255</v>
      </c>
      <c r="BM2087" s="4" t="s">
        <v>241</v>
      </c>
      <c r="BN2087" s="6">
        <f>0</f>
        <v>0</v>
      </c>
      <c r="BO2087" s="6">
        <f>0</f>
        <v>0</v>
      </c>
      <c r="BP2087" s="4" t="s">
        <v>256</v>
      </c>
      <c r="BQ2087" s="4" t="s">
        <v>257</v>
      </c>
      <c r="CE2087" s="4" t="s">
        <v>241</v>
      </c>
      <c r="CF2087" s="4" t="s">
        <v>241</v>
      </c>
      <c r="CJ2087" s="4" t="s">
        <v>276</v>
      </c>
      <c r="CK2087" s="4" t="s">
        <v>259</v>
      </c>
      <c r="CL2087" s="4" t="s">
        <v>241</v>
      </c>
      <c r="CO2087" s="5" t="s">
        <v>260</v>
      </c>
      <c r="CP2087" s="4" t="s">
        <v>241</v>
      </c>
      <c r="CQ2087" s="4" t="s">
        <v>261</v>
      </c>
      <c r="CR2087" s="4" t="s">
        <v>241</v>
      </c>
      <c r="CS2087" s="4" t="s">
        <v>241</v>
      </c>
      <c r="CT2087" s="4">
        <v>0</v>
      </c>
      <c r="CU2087" s="4" t="s">
        <v>262</v>
      </c>
      <c r="CV2087" s="4" t="s">
        <v>263</v>
      </c>
      <c r="CW2087" s="4" t="s">
        <v>263</v>
      </c>
      <c r="CX2087" s="4" t="s">
        <v>264</v>
      </c>
      <c r="DA2087" s="6">
        <f>1</f>
        <v>1</v>
      </c>
      <c r="DC2087" s="4" t="s">
        <v>325</v>
      </c>
      <c r="DD2087" s="4" t="s">
        <v>241</v>
      </c>
      <c r="DF2087" s="4" t="s">
        <v>325</v>
      </c>
      <c r="DG2087" s="6">
        <f>1356</f>
        <v>1356</v>
      </c>
      <c r="DI2087" s="4" t="s">
        <v>241</v>
      </c>
      <c r="DJ2087" s="4" t="s">
        <v>241</v>
      </c>
      <c r="DK2087" s="4" t="s">
        <v>241</v>
      </c>
      <c r="DL2087" s="4" t="s">
        <v>241</v>
      </c>
      <c r="DP2087" s="4" t="s">
        <v>241</v>
      </c>
      <c r="DQ2087" s="4" t="s">
        <v>241</v>
      </c>
      <c r="DR2087" s="4" t="s">
        <v>241</v>
      </c>
      <c r="DS2087" s="4" t="s">
        <v>241</v>
      </c>
      <c r="DV2087" s="4" t="s">
        <v>426</v>
      </c>
      <c r="DW2087" s="4" t="s">
        <v>1557</v>
      </c>
      <c r="HO2087" s="4" t="s">
        <v>267</v>
      </c>
    </row>
    <row r="2088" spans="1:223" ht="19.5" customHeight="1" x14ac:dyDescent="0.4">
      <c r="A2088" s="4">
        <v>1</v>
      </c>
      <c r="B2088" s="4" t="s">
        <v>239</v>
      </c>
      <c r="C2088" s="4">
        <v>3791</v>
      </c>
      <c r="D2088" s="4">
        <v>1</v>
      </c>
      <c r="E2088" s="4">
        <v>1</v>
      </c>
      <c r="F2088" s="4" t="s">
        <v>268</v>
      </c>
      <c r="G2088" s="4" t="s">
        <v>241</v>
      </c>
      <c r="H2088" s="4" t="s">
        <v>241</v>
      </c>
      <c r="I2088" s="4" t="s">
        <v>424</v>
      </c>
      <c r="J2088" s="4" t="s">
        <v>274</v>
      </c>
      <c r="K2088" s="4" t="s">
        <v>251</v>
      </c>
      <c r="L2088" s="4" t="s">
        <v>423</v>
      </c>
      <c r="M2088" s="5" t="s">
        <v>4100</v>
      </c>
      <c r="N2088" s="6">
        <f>61</f>
        <v>61</v>
      </c>
      <c r="O2088" s="4" t="s">
        <v>265</v>
      </c>
      <c r="P2088" s="6">
        <f>1</f>
        <v>1</v>
      </c>
      <c r="Q2088" s="6">
        <f>0</f>
        <v>0</v>
      </c>
      <c r="S2088" s="6">
        <f>0</f>
        <v>0</v>
      </c>
      <c r="T2088" s="6">
        <f>1</f>
        <v>1</v>
      </c>
      <c r="U2088" s="5" t="s">
        <v>245</v>
      </c>
      <c r="V2088" s="4" t="s">
        <v>270</v>
      </c>
      <c r="W2088" s="4" t="s">
        <v>271</v>
      </c>
      <c r="X2088" s="4" t="s">
        <v>273</v>
      </c>
      <c r="Y2088" s="4" t="s">
        <v>241</v>
      </c>
      <c r="AB2088" s="4" t="s">
        <v>241</v>
      </c>
      <c r="AD2088" s="5" t="s">
        <v>241</v>
      </c>
      <c r="AG2088" s="5" t="s">
        <v>246</v>
      </c>
      <c r="AH2088" s="4" t="s">
        <v>241</v>
      </c>
      <c r="AI2088" s="4" t="s">
        <v>247</v>
      </c>
      <c r="AJ2088" s="4" t="s">
        <v>248</v>
      </c>
      <c r="AZ2088" s="4" t="s">
        <v>249</v>
      </c>
      <c r="BA2088" s="4" t="s">
        <v>241</v>
      </c>
      <c r="BB2088" s="4" t="s">
        <v>250</v>
      </c>
      <c r="BC2088" s="4" t="s">
        <v>241</v>
      </c>
      <c r="BD2088" s="4" t="s">
        <v>252</v>
      </c>
      <c r="BE2088" s="4" t="s">
        <v>241</v>
      </c>
      <c r="BI2088" s="4" t="s">
        <v>253</v>
      </c>
      <c r="BJ2088" s="5" t="s">
        <v>246</v>
      </c>
      <c r="BK2088" s="4" t="s">
        <v>254</v>
      </c>
      <c r="BL2088" s="4" t="s">
        <v>255</v>
      </c>
      <c r="BM2088" s="4" t="s">
        <v>241</v>
      </c>
      <c r="BN2088" s="6">
        <f>0</f>
        <v>0</v>
      </c>
      <c r="BO2088" s="6">
        <f>0</f>
        <v>0</v>
      </c>
      <c r="BP2088" s="4" t="s">
        <v>256</v>
      </c>
      <c r="BQ2088" s="4" t="s">
        <v>257</v>
      </c>
      <c r="CE2088" s="4" t="s">
        <v>241</v>
      </c>
      <c r="CF2088" s="4" t="s">
        <v>241</v>
      </c>
      <c r="CJ2088" s="4" t="s">
        <v>276</v>
      </c>
      <c r="CK2088" s="4" t="s">
        <v>259</v>
      </c>
      <c r="CL2088" s="4" t="s">
        <v>241</v>
      </c>
      <c r="CO2088" s="5" t="s">
        <v>260</v>
      </c>
      <c r="CP2088" s="4" t="s">
        <v>241</v>
      </c>
      <c r="CQ2088" s="4" t="s">
        <v>261</v>
      </c>
      <c r="CR2088" s="4" t="s">
        <v>241</v>
      </c>
      <c r="CS2088" s="4" t="s">
        <v>241</v>
      </c>
      <c r="CT2088" s="4">
        <v>0</v>
      </c>
      <c r="CU2088" s="4" t="s">
        <v>262</v>
      </c>
      <c r="CV2088" s="4" t="s">
        <v>263</v>
      </c>
      <c r="CW2088" s="4" t="s">
        <v>263</v>
      </c>
      <c r="CX2088" s="4" t="s">
        <v>264</v>
      </c>
      <c r="DA2088" s="6">
        <f>1</f>
        <v>1</v>
      </c>
      <c r="DC2088" s="4" t="s">
        <v>325</v>
      </c>
      <c r="DD2088" s="4" t="s">
        <v>241</v>
      </c>
      <c r="DF2088" s="4" t="s">
        <v>325</v>
      </c>
      <c r="DG2088" s="6">
        <f>61</f>
        <v>61</v>
      </c>
      <c r="DI2088" s="4" t="s">
        <v>241</v>
      </c>
      <c r="DJ2088" s="4" t="s">
        <v>241</v>
      </c>
      <c r="DK2088" s="4" t="s">
        <v>241</v>
      </c>
      <c r="DL2088" s="4" t="s">
        <v>241</v>
      </c>
      <c r="DP2088" s="4" t="s">
        <v>241</v>
      </c>
      <c r="DQ2088" s="4" t="s">
        <v>241</v>
      </c>
      <c r="DR2088" s="4" t="s">
        <v>241</v>
      </c>
      <c r="DS2088" s="4" t="s">
        <v>241</v>
      </c>
      <c r="DV2088" s="4" t="s">
        <v>426</v>
      </c>
      <c r="DW2088" s="4" t="s">
        <v>1555</v>
      </c>
      <c r="HO2088" s="4" t="s">
        <v>267</v>
      </c>
    </row>
    <row r="2089" spans="1:223" ht="19.5" customHeight="1" x14ac:dyDescent="0.4">
      <c r="A2089" s="4">
        <v>1</v>
      </c>
      <c r="B2089" s="4" t="s">
        <v>239</v>
      </c>
      <c r="C2089" s="4">
        <v>3792</v>
      </c>
      <c r="D2089" s="4">
        <v>1</v>
      </c>
      <c r="E2089" s="4">
        <v>1</v>
      </c>
      <c r="F2089" s="4" t="s">
        <v>268</v>
      </c>
      <c r="G2089" s="4" t="s">
        <v>241</v>
      </c>
      <c r="H2089" s="4" t="s">
        <v>241</v>
      </c>
      <c r="I2089" s="4" t="s">
        <v>424</v>
      </c>
      <c r="J2089" s="4" t="s">
        <v>274</v>
      </c>
      <c r="K2089" s="4" t="s">
        <v>251</v>
      </c>
      <c r="L2089" s="4" t="s">
        <v>423</v>
      </c>
      <c r="M2089" s="5" t="s">
        <v>4102</v>
      </c>
      <c r="N2089" s="6">
        <f>5.55</f>
        <v>5.55</v>
      </c>
      <c r="O2089" s="4" t="s">
        <v>265</v>
      </c>
      <c r="P2089" s="6">
        <f>1</f>
        <v>1</v>
      </c>
      <c r="Q2089" s="6">
        <f>0</f>
        <v>0</v>
      </c>
      <c r="S2089" s="6">
        <f>0</f>
        <v>0</v>
      </c>
      <c r="T2089" s="6">
        <f>1</f>
        <v>1</v>
      </c>
      <c r="U2089" s="5" t="s">
        <v>245</v>
      </c>
      <c r="V2089" s="4" t="s">
        <v>270</v>
      </c>
      <c r="W2089" s="4" t="s">
        <v>271</v>
      </c>
      <c r="X2089" s="4" t="s">
        <v>273</v>
      </c>
      <c r="Y2089" s="4" t="s">
        <v>241</v>
      </c>
      <c r="AB2089" s="4" t="s">
        <v>241</v>
      </c>
      <c r="AD2089" s="5" t="s">
        <v>241</v>
      </c>
      <c r="AG2089" s="5" t="s">
        <v>246</v>
      </c>
      <c r="AH2089" s="4" t="s">
        <v>241</v>
      </c>
      <c r="AI2089" s="4" t="s">
        <v>247</v>
      </c>
      <c r="AJ2089" s="4" t="s">
        <v>248</v>
      </c>
      <c r="AZ2089" s="4" t="s">
        <v>249</v>
      </c>
      <c r="BA2089" s="4" t="s">
        <v>241</v>
      </c>
      <c r="BB2089" s="4" t="s">
        <v>250</v>
      </c>
      <c r="BC2089" s="4" t="s">
        <v>241</v>
      </c>
      <c r="BD2089" s="4" t="s">
        <v>252</v>
      </c>
      <c r="BE2089" s="4" t="s">
        <v>241</v>
      </c>
      <c r="BI2089" s="4" t="s">
        <v>253</v>
      </c>
      <c r="BJ2089" s="5" t="s">
        <v>246</v>
      </c>
      <c r="BK2089" s="4" t="s">
        <v>254</v>
      </c>
      <c r="BL2089" s="4" t="s">
        <v>255</v>
      </c>
      <c r="BM2089" s="4" t="s">
        <v>241</v>
      </c>
      <c r="BN2089" s="6">
        <f>0</f>
        <v>0</v>
      </c>
      <c r="BO2089" s="6">
        <f>0</f>
        <v>0</v>
      </c>
      <c r="BP2089" s="4" t="s">
        <v>256</v>
      </c>
      <c r="BQ2089" s="4" t="s">
        <v>257</v>
      </c>
      <c r="CE2089" s="4" t="s">
        <v>241</v>
      </c>
      <c r="CF2089" s="4" t="s">
        <v>241</v>
      </c>
      <c r="CJ2089" s="4" t="s">
        <v>276</v>
      </c>
      <c r="CK2089" s="4" t="s">
        <v>259</v>
      </c>
      <c r="CL2089" s="4" t="s">
        <v>241</v>
      </c>
      <c r="CO2089" s="5" t="s">
        <v>260</v>
      </c>
      <c r="CP2089" s="4" t="s">
        <v>241</v>
      </c>
      <c r="CQ2089" s="4" t="s">
        <v>261</v>
      </c>
      <c r="CR2089" s="4" t="s">
        <v>241</v>
      </c>
      <c r="CS2089" s="4" t="s">
        <v>241</v>
      </c>
      <c r="CT2089" s="4">
        <v>0</v>
      </c>
      <c r="CU2089" s="4" t="s">
        <v>262</v>
      </c>
      <c r="CV2089" s="4" t="s">
        <v>263</v>
      </c>
      <c r="CW2089" s="4" t="s">
        <v>263</v>
      </c>
      <c r="CX2089" s="4" t="s">
        <v>264</v>
      </c>
      <c r="DA2089" s="6">
        <f>1</f>
        <v>1</v>
      </c>
      <c r="DC2089" s="4" t="s">
        <v>325</v>
      </c>
      <c r="DD2089" s="4" t="s">
        <v>241</v>
      </c>
      <c r="DF2089" s="4" t="s">
        <v>325</v>
      </c>
      <c r="DG2089" s="6">
        <f>5.55</f>
        <v>5.55</v>
      </c>
      <c r="DI2089" s="4" t="s">
        <v>241</v>
      </c>
      <c r="DJ2089" s="4" t="s">
        <v>241</v>
      </c>
      <c r="DK2089" s="4" t="s">
        <v>241</v>
      </c>
      <c r="DL2089" s="4" t="s">
        <v>241</v>
      </c>
      <c r="DP2089" s="4" t="s">
        <v>241</v>
      </c>
      <c r="DQ2089" s="4" t="s">
        <v>241</v>
      </c>
      <c r="DR2089" s="4" t="s">
        <v>241</v>
      </c>
      <c r="DS2089" s="4" t="s">
        <v>241</v>
      </c>
      <c r="DV2089" s="4" t="s">
        <v>426</v>
      </c>
      <c r="DW2089" s="4" t="s">
        <v>1553</v>
      </c>
      <c r="HO2089" s="4" t="s">
        <v>267</v>
      </c>
    </row>
    <row r="2090" spans="1:223" ht="19.5" customHeight="1" x14ac:dyDescent="0.4">
      <c r="A2090" s="4">
        <v>1</v>
      </c>
      <c r="B2090" s="4" t="s">
        <v>239</v>
      </c>
      <c r="C2090" s="4">
        <v>3793</v>
      </c>
      <c r="D2090" s="4">
        <v>1</v>
      </c>
      <c r="E2090" s="4">
        <v>1</v>
      </c>
      <c r="F2090" s="4" t="s">
        <v>268</v>
      </c>
      <c r="G2090" s="4" t="s">
        <v>241</v>
      </c>
      <c r="H2090" s="4" t="s">
        <v>241</v>
      </c>
      <c r="I2090" s="4" t="s">
        <v>424</v>
      </c>
      <c r="J2090" s="4" t="s">
        <v>274</v>
      </c>
      <c r="K2090" s="4" t="s">
        <v>251</v>
      </c>
      <c r="L2090" s="4" t="s">
        <v>423</v>
      </c>
      <c r="M2090" s="5" t="s">
        <v>4103</v>
      </c>
      <c r="N2090" s="6">
        <f>1001</f>
        <v>1001</v>
      </c>
      <c r="O2090" s="4" t="s">
        <v>265</v>
      </c>
      <c r="P2090" s="6">
        <f>1</f>
        <v>1</v>
      </c>
      <c r="Q2090" s="6">
        <f>0</f>
        <v>0</v>
      </c>
      <c r="S2090" s="6">
        <f>0</f>
        <v>0</v>
      </c>
      <c r="T2090" s="6">
        <f>1</f>
        <v>1</v>
      </c>
      <c r="U2090" s="5" t="s">
        <v>245</v>
      </c>
      <c r="V2090" s="4" t="s">
        <v>270</v>
      </c>
      <c r="W2090" s="4" t="s">
        <v>271</v>
      </c>
      <c r="X2090" s="4" t="s">
        <v>273</v>
      </c>
      <c r="Y2090" s="4" t="s">
        <v>241</v>
      </c>
      <c r="AB2090" s="4" t="s">
        <v>241</v>
      </c>
      <c r="AD2090" s="5" t="s">
        <v>241</v>
      </c>
      <c r="AG2090" s="5" t="s">
        <v>246</v>
      </c>
      <c r="AH2090" s="4" t="s">
        <v>241</v>
      </c>
      <c r="AI2090" s="4" t="s">
        <v>247</v>
      </c>
      <c r="AJ2090" s="4" t="s">
        <v>248</v>
      </c>
      <c r="AZ2090" s="4" t="s">
        <v>249</v>
      </c>
      <c r="BA2090" s="4" t="s">
        <v>241</v>
      </c>
      <c r="BB2090" s="4" t="s">
        <v>250</v>
      </c>
      <c r="BC2090" s="4" t="s">
        <v>241</v>
      </c>
      <c r="BD2090" s="4" t="s">
        <v>252</v>
      </c>
      <c r="BE2090" s="4" t="s">
        <v>241</v>
      </c>
      <c r="BI2090" s="4" t="s">
        <v>253</v>
      </c>
      <c r="BJ2090" s="5" t="s">
        <v>246</v>
      </c>
      <c r="BK2090" s="4" t="s">
        <v>254</v>
      </c>
      <c r="BL2090" s="4" t="s">
        <v>255</v>
      </c>
      <c r="BM2090" s="4" t="s">
        <v>241</v>
      </c>
      <c r="BN2090" s="6">
        <f>0</f>
        <v>0</v>
      </c>
      <c r="BO2090" s="6">
        <f>0</f>
        <v>0</v>
      </c>
      <c r="BP2090" s="4" t="s">
        <v>256</v>
      </c>
      <c r="BQ2090" s="4" t="s">
        <v>257</v>
      </c>
      <c r="CE2090" s="4" t="s">
        <v>241</v>
      </c>
      <c r="CF2090" s="4" t="s">
        <v>241</v>
      </c>
      <c r="CJ2090" s="4" t="s">
        <v>276</v>
      </c>
      <c r="CK2090" s="4" t="s">
        <v>259</v>
      </c>
      <c r="CL2090" s="4" t="s">
        <v>241</v>
      </c>
      <c r="CO2090" s="5" t="s">
        <v>260</v>
      </c>
      <c r="CP2090" s="4" t="s">
        <v>241</v>
      </c>
      <c r="CQ2090" s="4" t="s">
        <v>261</v>
      </c>
      <c r="CR2090" s="4" t="s">
        <v>241</v>
      </c>
      <c r="CS2090" s="4" t="s">
        <v>241</v>
      </c>
      <c r="CT2090" s="4">
        <v>0</v>
      </c>
      <c r="CU2090" s="4" t="s">
        <v>262</v>
      </c>
      <c r="CV2090" s="4" t="s">
        <v>263</v>
      </c>
      <c r="CW2090" s="4" t="s">
        <v>263</v>
      </c>
      <c r="CX2090" s="4" t="s">
        <v>264</v>
      </c>
      <c r="DA2090" s="6">
        <f>1</f>
        <v>1</v>
      </c>
      <c r="DC2090" s="4" t="s">
        <v>325</v>
      </c>
      <c r="DD2090" s="4" t="s">
        <v>241</v>
      </c>
      <c r="DF2090" s="4" t="s">
        <v>325</v>
      </c>
      <c r="DG2090" s="6">
        <f>1001</f>
        <v>1001</v>
      </c>
      <c r="DI2090" s="4" t="s">
        <v>241</v>
      </c>
      <c r="DJ2090" s="4" t="s">
        <v>241</v>
      </c>
      <c r="DK2090" s="4" t="s">
        <v>241</v>
      </c>
      <c r="DL2090" s="4" t="s">
        <v>241</v>
      </c>
      <c r="DP2090" s="4" t="s">
        <v>241</v>
      </c>
      <c r="DQ2090" s="4" t="s">
        <v>241</v>
      </c>
      <c r="DR2090" s="4" t="s">
        <v>241</v>
      </c>
      <c r="DS2090" s="4" t="s">
        <v>241</v>
      </c>
      <c r="DV2090" s="4" t="s">
        <v>426</v>
      </c>
      <c r="DW2090" s="4" t="s">
        <v>1551</v>
      </c>
      <c r="HO2090" s="4" t="s">
        <v>267</v>
      </c>
    </row>
    <row r="2091" spans="1:223" ht="19.5" customHeight="1" x14ac:dyDescent="0.4">
      <c r="A2091" s="4">
        <v>1</v>
      </c>
      <c r="B2091" s="4" t="s">
        <v>239</v>
      </c>
      <c r="C2091" s="4">
        <v>3794</v>
      </c>
      <c r="D2091" s="4">
        <v>1</v>
      </c>
      <c r="E2091" s="4">
        <v>1</v>
      </c>
      <c r="F2091" s="4" t="s">
        <v>268</v>
      </c>
      <c r="G2091" s="4" t="s">
        <v>241</v>
      </c>
      <c r="H2091" s="4" t="s">
        <v>241</v>
      </c>
      <c r="I2091" s="4" t="s">
        <v>424</v>
      </c>
      <c r="J2091" s="4" t="s">
        <v>274</v>
      </c>
      <c r="K2091" s="4" t="s">
        <v>251</v>
      </c>
      <c r="L2091" s="4" t="s">
        <v>423</v>
      </c>
      <c r="M2091" s="5" t="s">
        <v>4108</v>
      </c>
      <c r="N2091" s="6">
        <f>1715</f>
        <v>1715</v>
      </c>
      <c r="O2091" s="4" t="s">
        <v>265</v>
      </c>
      <c r="P2091" s="6">
        <f>1</f>
        <v>1</v>
      </c>
      <c r="Q2091" s="6">
        <f>0</f>
        <v>0</v>
      </c>
      <c r="S2091" s="6">
        <f>0</f>
        <v>0</v>
      </c>
      <c r="T2091" s="6">
        <f>1</f>
        <v>1</v>
      </c>
      <c r="U2091" s="5" t="s">
        <v>245</v>
      </c>
      <c r="V2091" s="4" t="s">
        <v>270</v>
      </c>
      <c r="W2091" s="4" t="s">
        <v>271</v>
      </c>
      <c r="X2091" s="4" t="s">
        <v>273</v>
      </c>
      <c r="Y2091" s="4" t="s">
        <v>241</v>
      </c>
      <c r="AB2091" s="4" t="s">
        <v>241</v>
      </c>
      <c r="AD2091" s="5" t="s">
        <v>241</v>
      </c>
      <c r="AG2091" s="5" t="s">
        <v>246</v>
      </c>
      <c r="AH2091" s="4" t="s">
        <v>241</v>
      </c>
      <c r="AI2091" s="4" t="s">
        <v>247</v>
      </c>
      <c r="AJ2091" s="4" t="s">
        <v>248</v>
      </c>
      <c r="AZ2091" s="4" t="s">
        <v>249</v>
      </c>
      <c r="BA2091" s="4" t="s">
        <v>241</v>
      </c>
      <c r="BB2091" s="4" t="s">
        <v>250</v>
      </c>
      <c r="BC2091" s="4" t="s">
        <v>241</v>
      </c>
      <c r="BD2091" s="4" t="s">
        <v>252</v>
      </c>
      <c r="BE2091" s="4" t="s">
        <v>241</v>
      </c>
      <c r="BI2091" s="4" t="s">
        <v>253</v>
      </c>
      <c r="BJ2091" s="5" t="s">
        <v>246</v>
      </c>
      <c r="BK2091" s="4" t="s">
        <v>254</v>
      </c>
      <c r="BL2091" s="4" t="s">
        <v>255</v>
      </c>
      <c r="BM2091" s="4" t="s">
        <v>241</v>
      </c>
      <c r="BN2091" s="6">
        <f>0</f>
        <v>0</v>
      </c>
      <c r="BO2091" s="6">
        <f>0</f>
        <v>0</v>
      </c>
      <c r="BP2091" s="4" t="s">
        <v>256</v>
      </c>
      <c r="BQ2091" s="4" t="s">
        <v>257</v>
      </c>
      <c r="CE2091" s="4" t="s">
        <v>241</v>
      </c>
      <c r="CF2091" s="4" t="s">
        <v>241</v>
      </c>
      <c r="CJ2091" s="4" t="s">
        <v>276</v>
      </c>
      <c r="CK2091" s="4" t="s">
        <v>259</v>
      </c>
      <c r="CL2091" s="4" t="s">
        <v>241</v>
      </c>
      <c r="CO2091" s="5" t="s">
        <v>260</v>
      </c>
      <c r="CP2091" s="4" t="s">
        <v>241</v>
      </c>
      <c r="CQ2091" s="4" t="s">
        <v>261</v>
      </c>
      <c r="CR2091" s="4" t="s">
        <v>241</v>
      </c>
      <c r="CS2091" s="4" t="s">
        <v>241</v>
      </c>
      <c r="CT2091" s="4">
        <v>0</v>
      </c>
      <c r="CU2091" s="4" t="s">
        <v>262</v>
      </c>
      <c r="CV2091" s="4" t="s">
        <v>263</v>
      </c>
      <c r="CW2091" s="4" t="s">
        <v>263</v>
      </c>
      <c r="CX2091" s="4" t="s">
        <v>264</v>
      </c>
      <c r="DA2091" s="6">
        <f>1</f>
        <v>1</v>
      </c>
      <c r="DC2091" s="4" t="s">
        <v>325</v>
      </c>
      <c r="DD2091" s="4" t="s">
        <v>241</v>
      </c>
      <c r="DF2091" s="4" t="s">
        <v>325</v>
      </c>
      <c r="DG2091" s="6">
        <f>1715</f>
        <v>1715</v>
      </c>
      <c r="DI2091" s="4" t="s">
        <v>241</v>
      </c>
      <c r="DJ2091" s="4" t="s">
        <v>241</v>
      </c>
      <c r="DK2091" s="4" t="s">
        <v>241</v>
      </c>
      <c r="DL2091" s="4" t="s">
        <v>241</v>
      </c>
      <c r="DP2091" s="4" t="s">
        <v>241</v>
      </c>
      <c r="DQ2091" s="4" t="s">
        <v>241</v>
      </c>
      <c r="DR2091" s="4" t="s">
        <v>241</v>
      </c>
      <c r="DS2091" s="4" t="s">
        <v>241</v>
      </c>
      <c r="DV2091" s="4" t="s">
        <v>426</v>
      </c>
      <c r="DW2091" s="4" t="s">
        <v>1549</v>
      </c>
      <c r="HO2091" s="4" t="s">
        <v>267</v>
      </c>
    </row>
    <row r="2092" spans="1:223" ht="19.5" customHeight="1" x14ac:dyDescent="0.4">
      <c r="A2092" s="4">
        <v>1</v>
      </c>
      <c r="B2092" s="4" t="s">
        <v>239</v>
      </c>
      <c r="C2092" s="4">
        <v>3795</v>
      </c>
      <c r="D2092" s="4">
        <v>1</v>
      </c>
      <c r="E2092" s="4">
        <v>1</v>
      </c>
      <c r="F2092" s="4" t="s">
        <v>268</v>
      </c>
      <c r="G2092" s="4" t="s">
        <v>241</v>
      </c>
      <c r="H2092" s="4" t="s">
        <v>241</v>
      </c>
      <c r="I2092" s="4" t="s">
        <v>424</v>
      </c>
      <c r="J2092" s="4" t="s">
        <v>274</v>
      </c>
      <c r="K2092" s="4" t="s">
        <v>251</v>
      </c>
      <c r="L2092" s="4" t="s">
        <v>423</v>
      </c>
      <c r="M2092" s="5" t="s">
        <v>4109</v>
      </c>
      <c r="N2092" s="6">
        <f>510</f>
        <v>510</v>
      </c>
      <c r="O2092" s="4" t="s">
        <v>265</v>
      </c>
      <c r="P2092" s="6">
        <f>1</f>
        <v>1</v>
      </c>
      <c r="Q2092" s="6">
        <f>0</f>
        <v>0</v>
      </c>
      <c r="S2092" s="6">
        <f>0</f>
        <v>0</v>
      </c>
      <c r="T2092" s="6">
        <f>1</f>
        <v>1</v>
      </c>
      <c r="U2092" s="5" t="s">
        <v>245</v>
      </c>
      <c r="V2092" s="4" t="s">
        <v>270</v>
      </c>
      <c r="W2092" s="4" t="s">
        <v>271</v>
      </c>
      <c r="X2092" s="4" t="s">
        <v>273</v>
      </c>
      <c r="Y2092" s="4" t="s">
        <v>241</v>
      </c>
      <c r="AB2092" s="4" t="s">
        <v>241</v>
      </c>
      <c r="AD2092" s="5" t="s">
        <v>241</v>
      </c>
      <c r="AG2092" s="5" t="s">
        <v>246</v>
      </c>
      <c r="AH2092" s="4" t="s">
        <v>241</v>
      </c>
      <c r="AI2092" s="4" t="s">
        <v>247</v>
      </c>
      <c r="AJ2092" s="4" t="s">
        <v>248</v>
      </c>
      <c r="AZ2092" s="4" t="s">
        <v>249</v>
      </c>
      <c r="BA2092" s="4" t="s">
        <v>241</v>
      </c>
      <c r="BB2092" s="4" t="s">
        <v>250</v>
      </c>
      <c r="BC2092" s="4" t="s">
        <v>241</v>
      </c>
      <c r="BD2092" s="4" t="s">
        <v>252</v>
      </c>
      <c r="BE2092" s="4" t="s">
        <v>241</v>
      </c>
      <c r="BI2092" s="4" t="s">
        <v>253</v>
      </c>
      <c r="BJ2092" s="5" t="s">
        <v>246</v>
      </c>
      <c r="BK2092" s="4" t="s">
        <v>254</v>
      </c>
      <c r="BL2092" s="4" t="s">
        <v>255</v>
      </c>
      <c r="BM2092" s="4" t="s">
        <v>241</v>
      </c>
      <c r="BN2092" s="6">
        <f>0</f>
        <v>0</v>
      </c>
      <c r="BO2092" s="6">
        <f>0</f>
        <v>0</v>
      </c>
      <c r="BP2092" s="4" t="s">
        <v>256</v>
      </c>
      <c r="BQ2092" s="4" t="s">
        <v>257</v>
      </c>
      <c r="CE2092" s="4" t="s">
        <v>241</v>
      </c>
      <c r="CF2092" s="4" t="s">
        <v>241</v>
      </c>
      <c r="CJ2092" s="4" t="s">
        <v>276</v>
      </c>
      <c r="CK2092" s="4" t="s">
        <v>259</v>
      </c>
      <c r="CL2092" s="4" t="s">
        <v>241</v>
      </c>
      <c r="CO2092" s="5" t="s">
        <v>260</v>
      </c>
      <c r="CP2092" s="4" t="s">
        <v>241</v>
      </c>
      <c r="CQ2092" s="4" t="s">
        <v>261</v>
      </c>
      <c r="CR2092" s="4" t="s">
        <v>241</v>
      </c>
      <c r="CS2092" s="4" t="s">
        <v>241</v>
      </c>
      <c r="CT2092" s="4">
        <v>0</v>
      </c>
      <c r="CU2092" s="4" t="s">
        <v>262</v>
      </c>
      <c r="CV2092" s="4" t="s">
        <v>263</v>
      </c>
      <c r="CW2092" s="4" t="s">
        <v>263</v>
      </c>
      <c r="CX2092" s="4" t="s">
        <v>264</v>
      </c>
      <c r="DA2092" s="6">
        <f>1</f>
        <v>1</v>
      </c>
      <c r="DC2092" s="4" t="s">
        <v>325</v>
      </c>
      <c r="DD2092" s="4" t="s">
        <v>241</v>
      </c>
      <c r="DF2092" s="4" t="s">
        <v>325</v>
      </c>
      <c r="DG2092" s="6">
        <f>510</f>
        <v>510</v>
      </c>
      <c r="DI2092" s="4" t="s">
        <v>241</v>
      </c>
      <c r="DJ2092" s="4" t="s">
        <v>241</v>
      </c>
      <c r="DK2092" s="4" t="s">
        <v>241</v>
      </c>
      <c r="DL2092" s="4" t="s">
        <v>241</v>
      </c>
      <c r="DP2092" s="4" t="s">
        <v>241</v>
      </c>
      <c r="DQ2092" s="4" t="s">
        <v>241</v>
      </c>
      <c r="DR2092" s="4" t="s">
        <v>241</v>
      </c>
      <c r="DS2092" s="4" t="s">
        <v>241</v>
      </c>
      <c r="DV2092" s="4" t="s">
        <v>426</v>
      </c>
      <c r="DW2092" s="4" t="s">
        <v>1547</v>
      </c>
      <c r="HO2092" s="4" t="s">
        <v>267</v>
      </c>
    </row>
    <row r="2093" spans="1:223" ht="19.5" customHeight="1" x14ac:dyDescent="0.4">
      <c r="A2093" s="4">
        <v>1</v>
      </c>
      <c r="B2093" s="4" t="s">
        <v>239</v>
      </c>
      <c r="C2093" s="4">
        <v>3796</v>
      </c>
      <c r="D2093" s="4">
        <v>1</v>
      </c>
      <c r="E2093" s="4">
        <v>1</v>
      </c>
      <c r="F2093" s="4" t="s">
        <v>268</v>
      </c>
      <c r="G2093" s="4" t="s">
        <v>241</v>
      </c>
      <c r="H2093" s="4" t="s">
        <v>241</v>
      </c>
      <c r="I2093" s="4" t="s">
        <v>424</v>
      </c>
      <c r="J2093" s="4" t="s">
        <v>274</v>
      </c>
      <c r="K2093" s="4" t="s">
        <v>251</v>
      </c>
      <c r="L2093" s="4" t="s">
        <v>423</v>
      </c>
      <c r="M2093" s="5" t="s">
        <v>4111</v>
      </c>
      <c r="N2093" s="6">
        <f>301</f>
        <v>301</v>
      </c>
      <c r="O2093" s="4" t="s">
        <v>265</v>
      </c>
      <c r="P2093" s="6">
        <f>1</f>
        <v>1</v>
      </c>
      <c r="Q2093" s="6">
        <f>0</f>
        <v>0</v>
      </c>
      <c r="S2093" s="6">
        <f>0</f>
        <v>0</v>
      </c>
      <c r="T2093" s="6">
        <f>1</f>
        <v>1</v>
      </c>
      <c r="U2093" s="5" t="s">
        <v>245</v>
      </c>
      <c r="V2093" s="4" t="s">
        <v>270</v>
      </c>
      <c r="W2093" s="4" t="s">
        <v>271</v>
      </c>
      <c r="X2093" s="4" t="s">
        <v>273</v>
      </c>
      <c r="Y2093" s="4" t="s">
        <v>241</v>
      </c>
      <c r="AB2093" s="4" t="s">
        <v>241</v>
      </c>
      <c r="AD2093" s="5" t="s">
        <v>241</v>
      </c>
      <c r="AG2093" s="5" t="s">
        <v>246</v>
      </c>
      <c r="AH2093" s="4" t="s">
        <v>241</v>
      </c>
      <c r="AI2093" s="4" t="s">
        <v>247</v>
      </c>
      <c r="AJ2093" s="4" t="s">
        <v>248</v>
      </c>
      <c r="AZ2093" s="4" t="s">
        <v>249</v>
      </c>
      <c r="BA2093" s="4" t="s">
        <v>241</v>
      </c>
      <c r="BB2093" s="4" t="s">
        <v>250</v>
      </c>
      <c r="BC2093" s="4" t="s">
        <v>241</v>
      </c>
      <c r="BD2093" s="4" t="s">
        <v>252</v>
      </c>
      <c r="BE2093" s="4" t="s">
        <v>241</v>
      </c>
      <c r="BI2093" s="4" t="s">
        <v>253</v>
      </c>
      <c r="BJ2093" s="5" t="s">
        <v>246</v>
      </c>
      <c r="BK2093" s="4" t="s">
        <v>254</v>
      </c>
      <c r="BL2093" s="4" t="s">
        <v>255</v>
      </c>
      <c r="BM2093" s="4" t="s">
        <v>241</v>
      </c>
      <c r="BN2093" s="6">
        <f>0</f>
        <v>0</v>
      </c>
      <c r="BO2093" s="6">
        <f>0</f>
        <v>0</v>
      </c>
      <c r="BP2093" s="4" t="s">
        <v>256</v>
      </c>
      <c r="BQ2093" s="4" t="s">
        <v>257</v>
      </c>
      <c r="CE2093" s="4" t="s">
        <v>241</v>
      </c>
      <c r="CF2093" s="4" t="s">
        <v>241</v>
      </c>
      <c r="CJ2093" s="4" t="s">
        <v>276</v>
      </c>
      <c r="CK2093" s="4" t="s">
        <v>259</v>
      </c>
      <c r="CL2093" s="4" t="s">
        <v>241</v>
      </c>
      <c r="CO2093" s="5" t="s">
        <v>260</v>
      </c>
      <c r="CP2093" s="4" t="s">
        <v>241</v>
      </c>
      <c r="CQ2093" s="4" t="s">
        <v>261</v>
      </c>
      <c r="CR2093" s="4" t="s">
        <v>241</v>
      </c>
      <c r="CS2093" s="4" t="s">
        <v>241</v>
      </c>
      <c r="CT2093" s="4">
        <v>0</v>
      </c>
      <c r="CU2093" s="4" t="s">
        <v>262</v>
      </c>
      <c r="CV2093" s="4" t="s">
        <v>263</v>
      </c>
      <c r="CW2093" s="4" t="s">
        <v>263</v>
      </c>
      <c r="CX2093" s="4" t="s">
        <v>264</v>
      </c>
      <c r="DA2093" s="6">
        <f>1</f>
        <v>1</v>
      </c>
      <c r="DC2093" s="4" t="s">
        <v>325</v>
      </c>
      <c r="DD2093" s="4" t="s">
        <v>241</v>
      </c>
      <c r="DF2093" s="4" t="s">
        <v>325</v>
      </c>
      <c r="DG2093" s="6">
        <f>301</f>
        <v>301</v>
      </c>
      <c r="DI2093" s="4" t="s">
        <v>241</v>
      </c>
      <c r="DJ2093" s="4" t="s">
        <v>241</v>
      </c>
      <c r="DK2093" s="4" t="s">
        <v>241</v>
      </c>
      <c r="DL2093" s="4" t="s">
        <v>241</v>
      </c>
      <c r="DP2093" s="4" t="s">
        <v>241</v>
      </c>
      <c r="DQ2093" s="4" t="s">
        <v>241</v>
      </c>
      <c r="DR2093" s="4" t="s">
        <v>241</v>
      </c>
      <c r="DS2093" s="4" t="s">
        <v>241</v>
      </c>
      <c r="DV2093" s="4" t="s">
        <v>426</v>
      </c>
      <c r="DW2093" s="4" t="s">
        <v>1545</v>
      </c>
      <c r="HO2093" s="4" t="s">
        <v>267</v>
      </c>
    </row>
    <row r="2094" spans="1:223" ht="19.5" customHeight="1" x14ac:dyDescent="0.4">
      <c r="A2094" s="4">
        <v>1</v>
      </c>
      <c r="B2094" s="4" t="s">
        <v>239</v>
      </c>
      <c r="C2094" s="4">
        <v>3797</v>
      </c>
      <c r="D2094" s="4">
        <v>1</v>
      </c>
      <c r="E2094" s="4">
        <v>1</v>
      </c>
      <c r="F2094" s="4" t="s">
        <v>268</v>
      </c>
      <c r="G2094" s="4" t="s">
        <v>241</v>
      </c>
      <c r="H2094" s="4" t="s">
        <v>241</v>
      </c>
      <c r="I2094" s="4" t="s">
        <v>424</v>
      </c>
      <c r="J2094" s="4" t="s">
        <v>274</v>
      </c>
      <c r="K2094" s="4" t="s">
        <v>251</v>
      </c>
      <c r="L2094" s="4" t="s">
        <v>423</v>
      </c>
      <c r="M2094" s="5" t="s">
        <v>4999</v>
      </c>
      <c r="N2094" s="6">
        <f>609</f>
        <v>609</v>
      </c>
      <c r="O2094" s="4" t="s">
        <v>265</v>
      </c>
      <c r="P2094" s="6">
        <f>1</f>
        <v>1</v>
      </c>
      <c r="Q2094" s="6">
        <f>0</f>
        <v>0</v>
      </c>
      <c r="S2094" s="6">
        <f>0</f>
        <v>0</v>
      </c>
      <c r="T2094" s="6">
        <f>1</f>
        <v>1</v>
      </c>
      <c r="U2094" s="5" t="s">
        <v>245</v>
      </c>
      <c r="V2094" s="4" t="s">
        <v>270</v>
      </c>
      <c r="W2094" s="4" t="s">
        <v>271</v>
      </c>
      <c r="X2094" s="4" t="s">
        <v>273</v>
      </c>
      <c r="Y2094" s="4" t="s">
        <v>241</v>
      </c>
      <c r="AB2094" s="4" t="s">
        <v>241</v>
      </c>
      <c r="AD2094" s="5" t="s">
        <v>241</v>
      </c>
      <c r="AG2094" s="5" t="s">
        <v>246</v>
      </c>
      <c r="AH2094" s="4" t="s">
        <v>241</v>
      </c>
      <c r="AI2094" s="4" t="s">
        <v>247</v>
      </c>
      <c r="AJ2094" s="4" t="s">
        <v>248</v>
      </c>
      <c r="AZ2094" s="4" t="s">
        <v>249</v>
      </c>
      <c r="BA2094" s="4" t="s">
        <v>241</v>
      </c>
      <c r="BB2094" s="4" t="s">
        <v>250</v>
      </c>
      <c r="BC2094" s="4" t="s">
        <v>241</v>
      </c>
      <c r="BD2094" s="4" t="s">
        <v>252</v>
      </c>
      <c r="BE2094" s="4" t="s">
        <v>241</v>
      </c>
      <c r="BI2094" s="4" t="s">
        <v>253</v>
      </c>
      <c r="BJ2094" s="5" t="s">
        <v>246</v>
      </c>
      <c r="BK2094" s="4" t="s">
        <v>254</v>
      </c>
      <c r="BL2094" s="4" t="s">
        <v>255</v>
      </c>
      <c r="BM2094" s="4" t="s">
        <v>241</v>
      </c>
      <c r="BN2094" s="6">
        <f>0</f>
        <v>0</v>
      </c>
      <c r="BO2094" s="6">
        <f>0</f>
        <v>0</v>
      </c>
      <c r="BP2094" s="4" t="s">
        <v>256</v>
      </c>
      <c r="BQ2094" s="4" t="s">
        <v>257</v>
      </c>
      <c r="CE2094" s="4" t="s">
        <v>241</v>
      </c>
      <c r="CF2094" s="4" t="s">
        <v>241</v>
      </c>
      <c r="CJ2094" s="4" t="s">
        <v>276</v>
      </c>
      <c r="CK2094" s="4" t="s">
        <v>259</v>
      </c>
      <c r="CL2094" s="4" t="s">
        <v>241</v>
      </c>
      <c r="CO2094" s="5" t="s">
        <v>260</v>
      </c>
      <c r="CP2094" s="4" t="s">
        <v>241</v>
      </c>
      <c r="CQ2094" s="4" t="s">
        <v>261</v>
      </c>
      <c r="CR2094" s="4" t="s">
        <v>241</v>
      </c>
      <c r="CS2094" s="4" t="s">
        <v>241</v>
      </c>
      <c r="CT2094" s="4">
        <v>0</v>
      </c>
      <c r="CU2094" s="4" t="s">
        <v>262</v>
      </c>
      <c r="CV2094" s="4" t="s">
        <v>263</v>
      </c>
      <c r="CW2094" s="4" t="s">
        <v>263</v>
      </c>
      <c r="CX2094" s="4" t="s">
        <v>264</v>
      </c>
      <c r="DA2094" s="6">
        <f>1</f>
        <v>1</v>
      </c>
      <c r="DC2094" s="4" t="s">
        <v>325</v>
      </c>
      <c r="DD2094" s="4" t="s">
        <v>241</v>
      </c>
      <c r="DF2094" s="4" t="s">
        <v>325</v>
      </c>
      <c r="DG2094" s="6">
        <f>609</f>
        <v>609</v>
      </c>
      <c r="DI2094" s="4" t="s">
        <v>241</v>
      </c>
      <c r="DJ2094" s="4" t="s">
        <v>241</v>
      </c>
      <c r="DK2094" s="4" t="s">
        <v>241</v>
      </c>
      <c r="DL2094" s="4" t="s">
        <v>241</v>
      </c>
      <c r="DP2094" s="4" t="s">
        <v>241</v>
      </c>
      <c r="DQ2094" s="4" t="s">
        <v>241</v>
      </c>
      <c r="DR2094" s="4" t="s">
        <v>241</v>
      </c>
      <c r="DS2094" s="4" t="s">
        <v>241</v>
      </c>
      <c r="DV2094" s="4" t="s">
        <v>426</v>
      </c>
      <c r="DW2094" s="4" t="s">
        <v>1543</v>
      </c>
      <c r="HO2094" s="4" t="s">
        <v>267</v>
      </c>
    </row>
    <row r="2095" spans="1:223" ht="19.5" customHeight="1" x14ac:dyDescent="0.4">
      <c r="A2095" s="4">
        <v>1</v>
      </c>
      <c r="B2095" s="4" t="s">
        <v>239</v>
      </c>
      <c r="C2095" s="4">
        <v>3798</v>
      </c>
      <c r="D2095" s="4">
        <v>1</v>
      </c>
      <c r="E2095" s="4">
        <v>1</v>
      </c>
      <c r="F2095" s="4" t="s">
        <v>268</v>
      </c>
      <c r="G2095" s="4" t="s">
        <v>241</v>
      </c>
      <c r="H2095" s="4" t="s">
        <v>241</v>
      </c>
      <c r="I2095" s="4" t="s">
        <v>424</v>
      </c>
      <c r="J2095" s="4" t="s">
        <v>274</v>
      </c>
      <c r="K2095" s="4" t="s">
        <v>251</v>
      </c>
      <c r="L2095" s="4" t="s">
        <v>423</v>
      </c>
      <c r="M2095" s="5" t="s">
        <v>4115</v>
      </c>
      <c r="N2095" s="6">
        <f>435</f>
        <v>435</v>
      </c>
      <c r="O2095" s="4" t="s">
        <v>265</v>
      </c>
      <c r="P2095" s="6">
        <f>1</f>
        <v>1</v>
      </c>
      <c r="Q2095" s="6">
        <f>0</f>
        <v>0</v>
      </c>
      <c r="S2095" s="6">
        <f>0</f>
        <v>0</v>
      </c>
      <c r="T2095" s="6">
        <f>1</f>
        <v>1</v>
      </c>
      <c r="U2095" s="5" t="s">
        <v>245</v>
      </c>
      <c r="V2095" s="4" t="s">
        <v>270</v>
      </c>
      <c r="W2095" s="4" t="s">
        <v>271</v>
      </c>
      <c r="X2095" s="4" t="s">
        <v>273</v>
      </c>
      <c r="Y2095" s="4" t="s">
        <v>241</v>
      </c>
      <c r="AB2095" s="4" t="s">
        <v>241</v>
      </c>
      <c r="AD2095" s="5" t="s">
        <v>241</v>
      </c>
      <c r="AG2095" s="5" t="s">
        <v>246</v>
      </c>
      <c r="AH2095" s="4" t="s">
        <v>241</v>
      </c>
      <c r="AI2095" s="4" t="s">
        <v>247</v>
      </c>
      <c r="AJ2095" s="4" t="s">
        <v>248</v>
      </c>
      <c r="AZ2095" s="4" t="s">
        <v>249</v>
      </c>
      <c r="BA2095" s="4" t="s">
        <v>241</v>
      </c>
      <c r="BB2095" s="4" t="s">
        <v>250</v>
      </c>
      <c r="BC2095" s="4" t="s">
        <v>241</v>
      </c>
      <c r="BD2095" s="4" t="s">
        <v>252</v>
      </c>
      <c r="BE2095" s="4" t="s">
        <v>241</v>
      </c>
      <c r="BI2095" s="4" t="s">
        <v>253</v>
      </c>
      <c r="BJ2095" s="5" t="s">
        <v>246</v>
      </c>
      <c r="BK2095" s="4" t="s">
        <v>254</v>
      </c>
      <c r="BL2095" s="4" t="s">
        <v>255</v>
      </c>
      <c r="BM2095" s="4" t="s">
        <v>241</v>
      </c>
      <c r="BN2095" s="6">
        <f>0</f>
        <v>0</v>
      </c>
      <c r="BO2095" s="6">
        <f>0</f>
        <v>0</v>
      </c>
      <c r="BP2095" s="4" t="s">
        <v>256</v>
      </c>
      <c r="BQ2095" s="4" t="s">
        <v>257</v>
      </c>
      <c r="CE2095" s="4" t="s">
        <v>241</v>
      </c>
      <c r="CF2095" s="4" t="s">
        <v>241</v>
      </c>
      <c r="CJ2095" s="4" t="s">
        <v>276</v>
      </c>
      <c r="CK2095" s="4" t="s">
        <v>259</v>
      </c>
      <c r="CL2095" s="4" t="s">
        <v>241</v>
      </c>
      <c r="CO2095" s="5" t="s">
        <v>260</v>
      </c>
      <c r="CP2095" s="4" t="s">
        <v>241</v>
      </c>
      <c r="CQ2095" s="4" t="s">
        <v>261</v>
      </c>
      <c r="CR2095" s="4" t="s">
        <v>241</v>
      </c>
      <c r="CS2095" s="4" t="s">
        <v>241</v>
      </c>
      <c r="CT2095" s="4">
        <v>0</v>
      </c>
      <c r="CU2095" s="4" t="s">
        <v>262</v>
      </c>
      <c r="CV2095" s="4" t="s">
        <v>263</v>
      </c>
      <c r="CW2095" s="4" t="s">
        <v>263</v>
      </c>
      <c r="CX2095" s="4" t="s">
        <v>264</v>
      </c>
      <c r="DA2095" s="6">
        <f>1</f>
        <v>1</v>
      </c>
      <c r="DC2095" s="4" t="s">
        <v>325</v>
      </c>
      <c r="DD2095" s="4" t="s">
        <v>241</v>
      </c>
      <c r="DF2095" s="4" t="s">
        <v>325</v>
      </c>
      <c r="DG2095" s="6">
        <f>435</f>
        <v>435</v>
      </c>
      <c r="DI2095" s="4" t="s">
        <v>241</v>
      </c>
      <c r="DJ2095" s="4" t="s">
        <v>241</v>
      </c>
      <c r="DK2095" s="4" t="s">
        <v>241</v>
      </c>
      <c r="DL2095" s="4" t="s">
        <v>241</v>
      </c>
      <c r="DP2095" s="4" t="s">
        <v>241</v>
      </c>
      <c r="DQ2095" s="4" t="s">
        <v>241</v>
      </c>
      <c r="DR2095" s="4" t="s">
        <v>241</v>
      </c>
      <c r="DS2095" s="4" t="s">
        <v>241</v>
      </c>
      <c r="DV2095" s="4" t="s">
        <v>426</v>
      </c>
      <c r="DW2095" s="4" t="s">
        <v>1541</v>
      </c>
      <c r="HO2095" s="4" t="s">
        <v>267</v>
      </c>
    </row>
    <row r="2096" spans="1:223" ht="19.5" customHeight="1" x14ac:dyDescent="0.4">
      <c r="A2096" s="4">
        <v>1</v>
      </c>
      <c r="B2096" s="4" t="s">
        <v>239</v>
      </c>
      <c r="C2096" s="4">
        <v>3799</v>
      </c>
      <c r="D2096" s="4">
        <v>1</v>
      </c>
      <c r="E2096" s="4">
        <v>1</v>
      </c>
      <c r="F2096" s="4" t="s">
        <v>268</v>
      </c>
      <c r="G2096" s="4" t="s">
        <v>241</v>
      </c>
      <c r="H2096" s="4" t="s">
        <v>241</v>
      </c>
      <c r="I2096" s="4" t="s">
        <v>424</v>
      </c>
      <c r="J2096" s="4" t="s">
        <v>274</v>
      </c>
      <c r="K2096" s="4" t="s">
        <v>251</v>
      </c>
      <c r="L2096" s="4" t="s">
        <v>423</v>
      </c>
      <c r="M2096" s="5" t="s">
        <v>4117</v>
      </c>
      <c r="N2096" s="6">
        <f>1405</f>
        <v>1405</v>
      </c>
      <c r="O2096" s="4" t="s">
        <v>265</v>
      </c>
      <c r="P2096" s="6">
        <f>1</f>
        <v>1</v>
      </c>
      <c r="Q2096" s="6">
        <f>0</f>
        <v>0</v>
      </c>
      <c r="S2096" s="6">
        <f>0</f>
        <v>0</v>
      </c>
      <c r="T2096" s="6">
        <f>1</f>
        <v>1</v>
      </c>
      <c r="U2096" s="5" t="s">
        <v>245</v>
      </c>
      <c r="V2096" s="4" t="s">
        <v>270</v>
      </c>
      <c r="W2096" s="4" t="s">
        <v>271</v>
      </c>
      <c r="X2096" s="4" t="s">
        <v>273</v>
      </c>
      <c r="Y2096" s="4" t="s">
        <v>241</v>
      </c>
      <c r="AB2096" s="4" t="s">
        <v>241</v>
      </c>
      <c r="AD2096" s="5" t="s">
        <v>241</v>
      </c>
      <c r="AG2096" s="5" t="s">
        <v>246</v>
      </c>
      <c r="AH2096" s="4" t="s">
        <v>241</v>
      </c>
      <c r="AI2096" s="4" t="s">
        <v>247</v>
      </c>
      <c r="AJ2096" s="4" t="s">
        <v>248</v>
      </c>
      <c r="AZ2096" s="4" t="s">
        <v>249</v>
      </c>
      <c r="BA2096" s="4" t="s">
        <v>241</v>
      </c>
      <c r="BB2096" s="4" t="s">
        <v>250</v>
      </c>
      <c r="BC2096" s="4" t="s">
        <v>241</v>
      </c>
      <c r="BD2096" s="4" t="s">
        <v>252</v>
      </c>
      <c r="BE2096" s="4" t="s">
        <v>241</v>
      </c>
      <c r="BI2096" s="4" t="s">
        <v>253</v>
      </c>
      <c r="BJ2096" s="5" t="s">
        <v>246</v>
      </c>
      <c r="BK2096" s="4" t="s">
        <v>254</v>
      </c>
      <c r="BL2096" s="4" t="s">
        <v>255</v>
      </c>
      <c r="BM2096" s="4" t="s">
        <v>241</v>
      </c>
      <c r="BN2096" s="6">
        <f>0</f>
        <v>0</v>
      </c>
      <c r="BO2096" s="6">
        <f>0</f>
        <v>0</v>
      </c>
      <c r="BP2096" s="4" t="s">
        <v>256</v>
      </c>
      <c r="BQ2096" s="4" t="s">
        <v>257</v>
      </c>
      <c r="CE2096" s="4" t="s">
        <v>241</v>
      </c>
      <c r="CF2096" s="4" t="s">
        <v>241</v>
      </c>
      <c r="CJ2096" s="4" t="s">
        <v>276</v>
      </c>
      <c r="CK2096" s="4" t="s">
        <v>259</v>
      </c>
      <c r="CL2096" s="4" t="s">
        <v>241</v>
      </c>
      <c r="CO2096" s="5" t="s">
        <v>260</v>
      </c>
      <c r="CP2096" s="4" t="s">
        <v>241</v>
      </c>
      <c r="CQ2096" s="4" t="s">
        <v>261</v>
      </c>
      <c r="CR2096" s="4" t="s">
        <v>241</v>
      </c>
      <c r="CS2096" s="4" t="s">
        <v>241</v>
      </c>
      <c r="CT2096" s="4">
        <v>0</v>
      </c>
      <c r="CU2096" s="4" t="s">
        <v>262</v>
      </c>
      <c r="CV2096" s="4" t="s">
        <v>263</v>
      </c>
      <c r="CW2096" s="4" t="s">
        <v>263</v>
      </c>
      <c r="CX2096" s="4" t="s">
        <v>264</v>
      </c>
      <c r="DA2096" s="6">
        <f>1</f>
        <v>1</v>
      </c>
      <c r="DC2096" s="4" t="s">
        <v>325</v>
      </c>
      <c r="DD2096" s="4" t="s">
        <v>241</v>
      </c>
      <c r="DF2096" s="4" t="s">
        <v>325</v>
      </c>
      <c r="DG2096" s="6">
        <f>1405</f>
        <v>1405</v>
      </c>
      <c r="DI2096" s="4" t="s">
        <v>241</v>
      </c>
      <c r="DJ2096" s="4" t="s">
        <v>241</v>
      </c>
      <c r="DK2096" s="4" t="s">
        <v>241</v>
      </c>
      <c r="DL2096" s="4" t="s">
        <v>241</v>
      </c>
      <c r="DP2096" s="4" t="s">
        <v>241</v>
      </c>
      <c r="DQ2096" s="4" t="s">
        <v>241</v>
      </c>
      <c r="DR2096" s="4" t="s">
        <v>241</v>
      </c>
      <c r="DS2096" s="4" t="s">
        <v>241</v>
      </c>
      <c r="DV2096" s="4" t="s">
        <v>426</v>
      </c>
      <c r="DW2096" s="4" t="s">
        <v>1539</v>
      </c>
      <c r="HO2096" s="4" t="s">
        <v>267</v>
      </c>
    </row>
    <row r="2097" spans="1:223" ht="19.5" customHeight="1" x14ac:dyDescent="0.4">
      <c r="A2097" s="4">
        <v>1</v>
      </c>
      <c r="B2097" s="4" t="s">
        <v>239</v>
      </c>
      <c r="C2097" s="4">
        <v>3800</v>
      </c>
      <c r="D2097" s="4">
        <v>1</v>
      </c>
      <c r="E2097" s="4">
        <v>1</v>
      </c>
      <c r="F2097" s="4" t="s">
        <v>268</v>
      </c>
      <c r="G2097" s="4" t="s">
        <v>241</v>
      </c>
      <c r="H2097" s="4" t="s">
        <v>241</v>
      </c>
      <c r="I2097" s="4" t="s">
        <v>424</v>
      </c>
      <c r="J2097" s="4" t="s">
        <v>274</v>
      </c>
      <c r="K2097" s="4" t="s">
        <v>251</v>
      </c>
      <c r="L2097" s="4" t="s">
        <v>423</v>
      </c>
      <c r="M2097" s="5" t="s">
        <v>5003</v>
      </c>
      <c r="N2097" s="6">
        <f>96</f>
        <v>96</v>
      </c>
      <c r="O2097" s="4" t="s">
        <v>265</v>
      </c>
      <c r="P2097" s="6">
        <f>1</f>
        <v>1</v>
      </c>
      <c r="Q2097" s="6">
        <f>0</f>
        <v>0</v>
      </c>
      <c r="S2097" s="6">
        <f>0</f>
        <v>0</v>
      </c>
      <c r="T2097" s="6">
        <f>1</f>
        <v>1</v>
      </c>
      <c r="U2097" s="5" t="s">
        <v>245</v>
      </c>
      <c r="V2097" s="4" t="s">
        <v>270</v>
      </c>
      <c r="W2097" s="4" t="s">
        <v>271</v>
      </c>
      <c r="X2097" s="4" t="s">
        <v>273</v>
      </c>
      <c r="Y2097" s="4" t="s">
        <v>241</v>
      </c>
      <c r="AB2097" s="4" t="s">
        <v>241</v>
      </c>
      <c r="AD2097" s="5" t="s">
        <v>241</v>
      </c>
      <c r="AG2097" s="5" t="s">
        <v>246</v>
      </c>
      <c r="AH2097" s="4" t="s">
        <v>241</v>
      </c>
      <c r="AI2097" s="4" t="s">
        <v>247</v>
      </c>
      <c r="AJ2097" s="4" t="s">
        <v>248</v>
      </c>
      <c r="AZ2097" s="4" t="s">
        <v>249</v>
      </c>
      <c r="BA2097" s="4" t="s">
        <v>241</v>
      </c>
      <c r="BB2097" s="4" t="s">
        <v>250</v>
      </c>
      <c r="BC2097" s="4" t="s">
        <v>241</v>
      </c>
      <c r="BD2097" s="4" t="s">
        <v>252</v>
      </c>
      <c r="BE2097" s="4" t="s">
        <v>241</v>
      </c>
      <c r="BI2097" s="4" t="s">
        <v>253</v>
      </c>
      <c r="BJ2097" s="5" t="s">
        <v>246</v>
      </c>
      <c r="BK2097" s="4" t="s">
        <v>254</v>
      </c>
      <c r="BL2097" s="4" t="s">
        <v>255</v>
      </c>
      <c r="BM2097" s="4" t="s">
        <v>241</v>
      </c>
      <c r="BN2097" s="6">
        <f>0</f>
        <v>0</v>
      </c>
      <c r="BO2097" s="6">
        <f>0</f>
        <v>0</v>
      </c>
      <c r="BP2097" s="4" t="s">
        <v>256</v>
      </c>
      <c r="BQ2097" s="4" t="s">
        <v>257</v>
      </c>
      <c r="CE2097" s="4" t="s">
        <v>241</v>
      </c>
      <c r="CF2097" s="4" t="s">
        <v>241</v>
      </c>
      <c r="CJ2097" s="4" t="s">
        <v>276</v>
      </c>
      <c r="CK2097" s="4" t="s">
        <v>259</v>
      </c>
      <c r="CL2097" s="4" t="s">
        <v>241</v>
      </c>
      <c r="CO2097" s="5" t="s">
        <v>260</v>
      </c>
      <c r="CP2097" s="4" t="s">
        <v>241</v>
      </c>
      <c r="CQ2097" s="4" t="s">
        <v>261</v>
      </c>
      <c r="CR2097" s="4" t="s">
        <v>241</v>
      </c>
      <c r="CS2097" s="4" t="s">
        <v>241</v>
      </c>
      <c r="CT2097" s="4">
        <v>0</v>
      </c>
      <c r="CU2097" s="4" t="s">
        <v>262</v>
      </c>
      <c r="CV2097" s="4" t="s">
        <v>263</v>
      </c>
      <c r="CW2097" s="4" t="s">
        <v>263</v>
      </c>
      <c r="CX2097" s="4" t="s">
        <v>264</v>
      </c>
      <c r="DA2097" s="6">
        <f>1</f>
        <v>1</v>
      </c>
      <c r="DC2097" s="4" t="s">
        <v>325</v>
      </c>
      <c r="DD2097" s="4" t="s">
        <v>241</v>
      </c>
      <c r="DF2097" s="4" t="s">
        <v>325</v>
      </c>
      <c r="DG2097" s="6">
        <f>96</f>
        <v>96</v>
      </c>
      <c r="DI2097" s="4" t="s">
        <v>241</v>
      </c>
      <c r="DJ2097" s="4" t="s">
        <v>241</v>
      </c>
      <c r="DK2097" s="4" t="s">
        <v>241</v>
      </c>
      <c r="DL2097" s="4" t="s">
        <v>241</v>
      </c>
      <c r="DP2097" s="4" t="s">
        <v>241</v>
      </c>
      <c r="DQ2097" s="4" t="s">
        <v>241</v>
      </c>
      <c r="DR2097" s="4" t="s">
        <v>241</v>
      </c>
      <c r="DS2097" s="4" t="s">
        <v>241</v>
      </c>
      <c r="DV2097" s="4" t="s">
        <v>426</v>
      </c>
      <c r="DW2097" s="4" t="s">
        <v>1537</v>
      </c>
      <c r="HO2097" s="4" t="s">
        <v>267</v>
      </c>
    </row>
    <row r="2098" spans="1:223" ht="19.5" customHeight="1" x14ac:dyDescent="0.4">
      <c r="A2098" s="4">
        <v>1</v>
      </c>
      <c r="B2098" s="4" t="s">
        <v>239</v>
      </c>
      <c r="C2098" s="4">
        <v>3801</v>
      </c>
      <c r="D2098" s="4">
        <v>1</v>
      </c>
      <c r="E2098" s="4">
        <v>1</v>
      </c>
      <c r="F2098" s="4" t="s">
        <v>268</v>
      </c>
      <c r="G2098" s="4" t="s">
        <v>241</v>
      </c>
      <c r="H2098" s="4" t="s">
        <v>241</v>
      </c>
      <c r="I2098" s="4" t="s">
        <v>424</v>
      </c>
      <c r="J2098" s="4" t="s">
        <v>274</v>
      </c>
      <c r="K2098" s="4" t="s">
        <v>251</v>
      </c>
      <c r="L2098" s="4" t="s">
        <v>423</v>
      </c>
      <c r="M2098" s="5" t="s">
        <v>4120</v>
      </c>
      <c r="N2098" s="6">
        <f>72</f>
        <v>72</v>
      </c>
      <c r="O2098" s="4" t="s">
        <v>265</v>
      </c>
      <c r="P2098" s="6">
        <f>1</f>
        <v>1</v>
      </c>
      <c r="Q2098" s="6">
        <f>0</f>
        <v>0</v>
      </c>
      <c r="S2098" s="6">
        <f>0</f>
        <v>0</v>
      </c>
      <c r="T2098" s="6">
        <f>1</f>
        <v>1</v>
      </c>
      <c r="U2098" s="5" t="s">
        <v>245</v>
      </c>
      <c r="V2098" s="4" t="s">
        <v>270</v>
      </c>
      <c r="W2098" s="4" t="s">
        <v>271</v>
      </c>
      <c r="X2098" s="4" t="s">
        <v>273</v>
      </c>
      <c r="Y2098" s="4" t="s">
        <v>241</v>
      </c>
      <c r="AB2098" s="4" t="s">
        <v>241</v>
      </c>
      <c r="AD2098" s="5" t="s">
        <v>241</v>
      </c>
      <c r="AG2098" s="5" t="s">
        <v>246</v>
      </c>
      <c r="AH2098" s="4" t="s">
        <v>241</v>
      </c>
      <c r="AI2098" s="4" t="s">
        <v>247</v>
      </c>
      <c r="AJ2098" s="4" t="s">
        <v>248</v>
      </c>
      <c r="AZ2098" s="4" t="s">
        <v>249</v>
      </c>
      <c r="BA2098" s="4" t="s">
        <v>241</v>
      </c>
      <c r="BB2098" s="4" t="s">
        <v>250</v>
      </c>
      <c r="BC2098" s="4" t="s">
        <v>241</v>
      </c>
      <c r="BD2098" s="4" t="s">
        <v>252</v>
      </c>
      <c r="BE2098" s="4" t="s">
        <v>241</v>
      </c>
      <c r="BI2098" s="4" t="s">
        <v>253</v>
      </c>
      <c r="BJ2098" s="5" t="s">
        <v>246</v>
      </c>
      <c r="BK2098" s="4" t="s">
        <v>254</v>
      </c>
      <c r="BL2098" s="4" t="s">
        <v>255</v>
      </c>
      <c r="BM2098" s="4" t="s">
        <v>241</v>
      </c>
      <c r="BN2098" s="6">
        <f>0</f>
        <v>0</v>
      </c>
      <c r="BO2098" s="6">
        <f>0</f>
        <v>0</v>
      </c>
      <c r="BP2098" s="4" t="s">
        <v>256</v>
      </c>
      <c r="BQ2098" s="4" t="s">
        <v>257</v>
      </c>
      <c r="CE2098" s="4" t="s">
        <v>241</v>
      </c>
      <c r="CF2098" s="4" t="s">
        <v>241</v>
      </c>
      <c r="CJ2098" s="4" t="s">
        <v>276</v>
      </c>
      <c r="CK2098" s="4" t="s">
        <v>259</v>
      </c>
      <c r="CL2098" s="4" t="s">
        <v>241</v>
      </c>
      <c r="CO2098" s="5" t="s">
        <v>260</v>
      </c>
      <c r="CP2098" s="4" t="s">
        <v>241</v>
      </c>
      <c r="CQ2098" s="4" t="s">
        <v>261</v>
      </c>
      <c r="CR2098" s="4" t="s">
        <v>241</v>
      </c>
      <c r="CS2098" s="4" t="s">
        <v>241</v>
      </c>
      <c r="CT2098" s="4">
        <v>0</v>
      </c>
      <c r="CU2098" s="4" t="s">
        <v>262</v>
      </c>
      <c r="CV2098" s="4" t="s">
        <v>263</v>
      </c>
      <c r="CW2098" s="4" t="s">
        <v>263</v>
      </c>
      <c r="CX2098" s="4" t="s">
        <v>264</v>
      </c>
      <c r="DA2098" s="6">
        <f>1</f>
        <v>1</v>
      </c>
      <c r="DC2098" s="4" t="s">
        <v>325</v>
      </c>
      <c r="DD2098" s="4" t="s">
        <v>241</v>
      </c>
      <c r="DF2098" s="4" t="s">
        <v>325</v>
      </c>
      <c r="DG2098" s="6">
        <f>72</f>
        <v>72</v>
      </c>
      <c r="DI2098" s="4" t="s">
        <v>241</v>
      </c>
      <c r="DJ2098" s="4" t="s">
        <v>241</v>
      </c>
      <c r="DK2098" s="4" t="s">
        <v>241</v>
      </c>
      <c r="DL2098" s="4" t="s">
        <v>241</v>
      </c>
      <c r="DP2098" s="4" t="s">
        <v>241</v>
      </c>
      <c r="DQ2098" s="4" t="s">
        <v>241</v>
      </c>
      <c r="DR2098" s="4" t="s">
        <v>241</v>
      </c>
      <c r="DS2098" s="4" t="s">
        <v>241</v>
      </c>
      <c r="DV2098" s="4" t="s">
        <v>426</v>
      </c>
      <c r="DW2098" s="4" t="s">
        <v>1535</v>
      </c>
      <c r="HO2098" s="4" t="s">
        <v>267</v>
      </c>
    </row>
    <row r="2099" spans="1:223" ht="19.5" customHeight="1" x14ac:dyDescent="0.4">
      <c r="A2099" s="4">
        <v>1</v>
      </c>
      <c r="B2099" s="4" t="s">
        <v>239</v>
      </c>
      <c r="C2099" s="4">
        <v>3802</v>
      </c>
      <c r="D2099" s="4">
        <v>1</v>
      </c>
      <c r="E2099" s="4">
        <v>1</v>
      </c>
      <c r="F2099" s="4" t="s">
        <v>268</v>
      </c>
      <c r="G2099" s="4" t="s">
        <v>241</v>
      </c>
      <c r="H2099" s="4" t="s">
        <v>241</v>
      </c>
      <c r="I2099" s="4" t="s">
        <v>424</v>
      </c>
      <c r="J2099" s="4" t="s">
        <v>274</v>
      </c>
      <c r="K2099" s="4" t="s">
        <v>251</v>
      </c>
      <c r="L2099" s="4" t="s">
        <v>423</v>
      </c>
      <c r="M2099" s="5" t="s">
        <v>4122</v>
      </c>
      <c r="N2099" s="6">
        <f>177</f>
        <v>177</v>
      </c>
      <c r="O2099" s="4" t="s">
        <v>265</v>
      </c>
      <c r="P2099" s="6">
        <f>1</f>
        <v>1</v>
      </c>
      <c r="Q2099" s="6">
        <f>0</f>
        <v>0</v>
      </c>
      <c r="S2099" s="6">
        <f>0</f>
        <v>0</v>
      </c>
      <c r="T2099" s="6">
        <f>1</f>
        <v>1</v>
      </c>
      <c r="U2099" s="5" t="s">
        <v>245</v>
      </c>
      <c r="V2099" s="4" t="s">
        <v>270</v>
      </c>
      <c r="W2099" s="4" t="s">
        <v>271</v>
      </c>
      <c r="X2099" s="4" t="s">
        <v>273</v>
      </c>
      <c r="Y2099" s="4" t="s">
        <v>241</v>
      </c>
      <c r="AB2099" s="4" t="s">
        <v>241</v>
      </c>
      <c r="AD2099" s="5" t="s">
        <v>241</v>
      </c>
      <c r="AG2099" s="5" t="s">
        <v>246</v>
      </c>
      <c r="AH2099" s="4" t="s">
        <v>241</v>
      </c>
      <c r="AI2099" s="4" t="s">
        <v>247</v>
      </c>
      <c r="AJ2099" s="4" t="s">
        <v>248</v>
      </c>
      <c r="AZ2099" s="4" t="s">
        <v>249</v>
      </c>
      <c r="BA2099" s="4" t="s">
        <v>241</v>
      </c>
      <c r="BB2099" s="4" t="s">
        <v>250</v>
      </c>
      <c r="BC2099" s="4" t="s">
        <v>241</v>
      </c>
      <c r="BD2099" s="4" t="s">
        <v>252</v>
      </c>
      <c r="BE2099" s="4" t="s">
        <v>241</v>
      </c>
      <c r="BI2099" s="4" t="s">
        <v>253</v>
      </c>
      <c r="BJ2099" s="5" t="s">
        <v>246</v>
      </c>
      <c r="BK2099" s="4" t="s">
        <v>254</v>
      </c>
      <c r="BL2099" s="4" t="s">
        <v>255</v>
      </c>
      <c r="BM2099" s="4" t="s">
        <v>241</v>
      </c>
      <c r="BN2099" s="6">
        <f>0</f>
        <v>0</v>
      </c>
      <c r="BO2099" s="6">
        <f>0</f>
        <v>0</v>
      </c>
      <c r="BP2099" s="4" t="s">
        <v>256</v>
      </c>
      <c r="BQ2099" s="4" t="s">
        <v>257</v>
      </c>
      <c r="CE2099" s="4" t="s">
        <v>241</v>
      </c>
      <c r="CF2099" s="4" t="s">
        <v>241</v>
      </c>
      <c r="CJ2099" s="4" t="s">
        <v>276</v>
      </c>
      <c r="CK2099" s="4" t="s">
        <v>259</v>
      </c>
      <c r="CL2099" s="4" t="s">
        <v>241</v>
      </c>
      <c r="CO2099" s="5" t="s">
        <v>260</v>
      </c>
      <c r="CP2099" s="4" t="s">
        <v>241</v>
      </c>
      <c r="CQ2099" s="4" t="s">
        <v>261</v>
      </c>
      <c r="CR2099" s="4" t="s">
        <v>241</v>
      </c>
      <c r="CS2099" s="4" t="s">
        <v>241</v>
      </c>
      <c r="CT2099" s="4">
        <v>0</v>
      </c>
      <c r="CU2099" s="4" t="s">
        <v>262</v>
      </c>
      <c r="CV2099" s="4" t="s">
        <v>263</v>
      </c>
      <c r="CW2099" s="4" t="s">
        <v>263</v>
      </c>
      <c r="CX2099" s="4" t="s">
        <v>264</v>
      </c>
      <c r="DA2099" s="6">
        <f>1</f>
        <v>1</v>
      </c>
      <c r="DC2099" s="4" t="s">
        <v>325</v>
      </c>
      <c r="DD2099" s="4" t="s">
        <v>241</v>
      </c>
      <c r="DF2099" s="4" t="s">
        <v>325</v>
      </c>
      <c r="DG2099" s="6">
        <f>177</f>
        <v>177</v>
      </c>
      <c r="DI2099" s="4" t="s">
        <v>241</v>
      </c>
      <c r="DJ2099" s="4" t="s">
        <v>241</v>
      </c>
      <c r="DK2099" s="4" t="s">
        <v>241</v>
      </c>
      <c r="DL2099" s="4" t="s">
        <v>241</v>
      </c>
      <c r="DP2099" s="4" t="s">
        <v>241</v>
      </c>
      <c r="DQ2099" s="4" t="s">
        <v>241</v>
      </c>
      <c r="DR2099" s="4" t="s">
        <v>241</v>
      </c>
      <c r="DS2099" s="4" t="s">
        <v>241</v>
      </c>
      <c r="DV2099" s="4" t="s">
        <v>426</v>
      </c>
      <c r="DW2099" s="4" t="s">
        <v>1533</v>
      </c>
      <c r="HO2099" s="4" t="s">
        <v>267</v>
      </c>
    </row>
    <row r="2100" spans="1:223" ht="19.5" customHeight="1" x14ac:dyDescent="0.4">
      <c r="A2100" s="4">
        <v>1</v>
      </c>
      <c r="B2100" s="4" t="s">
        <v>239</v>
      </c>
      <c r="C2100" s="4">
        <v>3803</v>
      </c>
      <c r="D2100" s="4">
        <v>1</v>
      </c>
      <c r="E2100" s="4">
        <v>1</v>
      </c>
      <c r="F2100" s="4" t="s">
        <v>268</v>
      </c>
      <c r="G2100" s="4" t="s">
        <v>241</v>
      </c>
      <c r="H2100" s="4" t="s">
        <v>241</v>
      </c>
      <c r="I2100" s="4" t="s">
        <v>424</v>
      </c>
      <c r="J2100" s="4" t="s">
        <v>274</v>
      </c>
      <c r="K2100" s="4" t="s">
        <v>251</v>
      </c>
      <c r="L2100" s="4" t="s">
        <v>423</v>
      </c>
      <c r="M2100" s="5" t="s">
        <v>4123</v>
      </c>
      <c r="N2100" s="6">
        <f>776</f>
        <v>776</v>
      </c>
      <c r="O2100" s="4" t="s">
        <v>265</v>
      </c>
      <c r="P2100" s="6">
        <f>1</f>
        <v>1</v>
      </c>
      <c r="Q2100" s="6">
        <f>0</f>
        <v>0</v>
      </c>
      <c r="S2100" s="6">
        <f>0</f>
        <v>0</v>
      </c>
      <c r="T2100" s="6">
        <f>1</f>
        <v>1</v>
      </c>
      <c r="U2100" s="5" t="s">
        <v>245</v>
      </c>
      <c r="V2100" s="4" t="s">
        <v>270</v>
      </c>
      <c r="W2100" s="4" t="s">
        <v>271</v>
      </c>
      <c r="X2100" s="4" t="s">
        <v>273</v>
      </c>
      <c r="Y2100" s="4" t="s">
        <v>241</v>
      </c>
      <c r="AB2100" s="4" t="s">
        <v>241</v>
      </c>
      <c r="AD2100" s="5" t="s">
        <v>241</v>
      </c>
      <c r="AG2100" s="5" t="s">
        <v>246</v>
      </c>
      <c r="AH2100" s="4" t="s">
        <v>241</v>
      </c>
      <c r="AI2100" s="4" t="s">
        <v>247</v>
      </c>
      <c r="AJ2100" s="4" t="s">
        <v>248</v>
      </c>
      <c r="AZ2100" s="4" t="s">
        <v>249</v>
      </c>
      <c r="BA2100" s="4" t="s">
        <v>241</v>
      </c>
      <c r="BB2100" s="4" t="s">
        <v>250</v>
      </c>
      <c r="BC2100" s="4" t="s">
        <v>241</v>
      </c>
      <c r="BD2100" s="4" t="s">
        <v>252</v>
      </c>
      <c r="BE2100" s="4" t="s">
        <v>241</v>
      </c>
      <c r="BI2100" s="4" t="s">
        <v>253</v>
      </c>
      <c r="BJ2100" s="5" t="s">
        <v>246</v>
      </c>
      <c r="BK2100" s="4" t="s">
        <v>254</v>
      </c>
      <c r="BL2100" s="4" t="s">
        <v>255</v>
      </c>
      <c r="BM2100" s="4" t="s">
        <v>241</v>
      </c>
      <c r="BN2100" s="6">
        <f>0</f>
        <v>0</v>
      </c>
      <c r="BO2100" s="6">
        <f>0</f>
        <v>0</v>
      </c>
      <c r="BP2100" s="4" t="s">
        <v>256</v>
      </c>
      <c r="BQ2100" s="4" t="s">
        <v>257</v>
      </c>
      <c r="CE2100" s="4" t="s">
        <v>241</v>
      </c>
      <c r="CF2100" s="4" t="s">
        <v>241</v>
      </c>
      <c r="CJ2100" s="4" t="s">
        <v>276</v>
      </c>
      <c r="CK2100" s="4" t="s">
        <v>259</v>
      </c>
      <c r="CL2100" s="4" t="s">
        <v>241</v>
      </c>
      <c r="CO2100" s="5" t="s">
        <v>260</v>
      </c>
      <c r="CP2100" s="4" t="s">
        <v>241</v>
      </c>
      <c r="CQ2100" s="4" t="s">
        <v>261</v>
      </c>
      <c r="CR2100" s="4" t="s">
        <v>241</v>
      </c>
      <c r="CS2100" s="4" t="s">
        <v>241</v>
      </c>
      <c r="CT2100" s="4">
        <v>0</v>
      </c>
      <c r="CU2100" s="4" t="s">
        <v>262</v>
      </c>
      <c r="CV2100" s="4" t="s">
        <v>263</v>
      </c>
      <c r="CW2100" s="4" t="s">
        <v>263</v>
      </c>
      <c r="CX2100" s="4" t="s">
        <v>264</v>
      </c>
      <c r="DA2100" s="6">
        <f>1</f>
        <v>1</v>
      </c>
      <c r="DC2100" s="4" t="s">
        <v>325</v>
      </c>
      <c r="DD2100" s="4" t="s">
        <v>241</v>
      </c>
      <c r="DF2100" s="4" t="s">
        <v>325</v>
      </c>
      <c r="DG2100" s="6">
        <f>776</f>
        <v>776</v>
      </c>
      <c r="DI2100" s="4" t="s">
        <v>241</v>
      </c>
      <c r="DJ2100" s="4" t="s">
        <v>241</v>
      </c>
      <c r="DK2100" s="4" t="s">
        <v>241</v>
      </c>
      <c r="DL2100" s="4" t="s">
        <v>241</v>
      </c>
      <c r="DP2100" s="4" t="s">
        <v>241</v>
      </c>
      <c r="DQ2100" s="4" t="s">
        <v>241</v>
      </c>
      <c r="DR2100" s="4" t="s">
        <v>241</v>
      </c>
      <c r="DS2100" s="4" t="s">
        <v>241</v>
      </c>
      <c r="DV2100" s="4" t="s">
        <v>426</v>
      </c>
      <c r="DW2100" s="4" t="s">
        <v>1531</v>
      </c>
      <c r="HO2100" s="4" t="s">
        <v>267</v>
      </c>
    </row>
    <row r="2101" spans="1:223" ht="19.5" customHeight="1" x14ac:dyDescent="0.4">
      <c r="A2101" s="4">
        <v>1</v>
      </c>
      <c r="B2101" s="4" t="s">
        <v>239</v>
      </c>
      <c r="C2101" s="4">
        <v>3804</v>
      </c>
      <c r="D2101" s="4">
        <v>1</v>
      </c>
      <c r="E2101" s="4">
        <v>1</v>
      </c>
      <c r="F2101" s="4" t="s">
        <v>268</v>
      </c>
      <c r="G2101" s="4" t="s">
        <v>241</v>
      </c>
      <c r="H2101" s="4" t="s">
        <v>241</v>
      </c>
      <c r="I2101" s="4" t="s">
        <v>424</v>
      </c>
      <c r="J2101" s="4" t="s">
        <v>274</v>
      </c>
      <c r="K2101" s="4" t="s">
        <v>251</v>
      </c>
      <c r="L2101" s="4" t="s">
        <v>423</v>
      </c>
      <c r="M2101" s="5" t="s">
        <v>4126</v>
      </c>
      <c r="N2101" s="6">
        <f>178</f>
        <v>178</v>
      </c>
      <c r="O2101" s="4" t="s">
        <v>265</v>
      </c>
      <c r="P2101" s="6">
        <f>1</f>
        <v>1</v>
      </c>
      <c r="Q2101" s="6">
        <f>0</f>
        <v>0</v>
      </c>
      <c r="S2101" s="6">
        <f>0</f>
        <v>0</v>
      </c>
      <c r="T2101" s="6">
        <f>1</f>
        <v>1</v>
      </c>
      <c r="U2101" s="5" t="s">
        <v>245</v>
      </c>
      <c r="V2101" s="4" t="s">
        <v>270</v>
      </c>
      <c r="W2101" s="4" t="s">
        <v>271</v>
      </c>
      <c r="X2101" s="4" t="s">
        <v>273</v>
      </c>
      <c r="Y2101" s="4" t="s">
        <v>241</v>
      </c>
      <c r="AB2101" s="4" t="s">
        <v>241</v>
      </c>
      <c r="AD2101" s="5" t="s">
        <v>241</v>
      </c>
      <c r="AG2101" s="5" t="s">
        <v>246</v>
      </c>
      <c r="AH2101" s="4" t="s">
        <v>241</v>
      </c>
      <c r="AI2101" s="4" t="s">
        <v>247</v>
      </c>
      <c r="AJ2101" s="4" t="s">
        <v>248</v>
      </c>
      <c r="AZ2101" s="4" t="s">
        <v>249</v>
      </c>
      <c r="BA2101" s="4" t="s">
        <v>241</v>
      </c>
      <c r="BB2101" s="4" t="s">
        <v>250</v>
      </c>
      <c r="BC2101" s="4" t="s">
        <v>241</v>
      </c>
      <c r="BD2101" s="4" t="s">
        <v>252</v>
      </c>
      <c r="BE2101" s="4" t="s">
        <v>241</v>
      </c>
      <c r="BI2101" s="4" t="s">
        <v>253</v>
      </c>
      <c r="BJ2101" s="5" t="s">
        <v>246</v>
      </c>
      <c r="BK2101" s="4" t="s">
        <v>254</v>
      </c>
      <c r="BL2101" s="4" t="s">
        <v>255</v>
      </c>
      <c r="BM2101" s="4" t="s">
        <v>241</v>
      </c>
      <c r="BN2101" s="6">
        <f>0</f>
        <v>0</v>
      </c>
      <c r="BO2101" s="6">
        <f>0</f>
        <v>0</v>
      </c>
      <c r="BP2101" s="4" t="s">
        <v>256</v>
      </c>
      <c r="BQ2101" s="4" t="s">
        <v>257</v>
      </c>
      <c r="CE2101" s="4" t="s">
        <v>241</v>
      </c>
      <c r="CF2101" s="4" t="s">
        <v>241</v>
      </c>
      <c r="CJ2101" s="4" t="s">
        <v>276</v>
      </c>
      <c r="CK2101" s="4" t="s">
        <v>259</v>
      </c>
      <c r="CL2101" s="4" t="s">
        <v>241</v>
      </c>
      <c r="CO2101" s="5" t="s">
        <v>260</v>
      </c>
      <c r="CP2101" s="4" t="s">
        <v>241</v>
      </c>
      <c r="CQ2101" s="4" t="s">
        <v>261</v>
      </c>
      <c r="CR2101" s="4" t="s">
        <v>241</v>
      </c>
      <c r="CS2101" s="4" t="s">
        <v>241</v>
      </c>
      <c r="CT2101" s="4">
        <v>0</v>
      </c>
      <c r="CU2101" s="4" t="s">
        <v>262</v>
      </c>
      <c r="CV2101" s="4" t="s">
        <v>263</v>
      </c>
      <c r="CW2101" s="4" t="s">
        <v>263</v>
      </c>
      <c r="CX2101" s="4" t="s">
        <v>264</v>
      </c>
      <c r="DA2101" s="6">
        <f>1</f>
        <v>1</v>
      </c>
      <c r="DC2101" s="4" t="s">
        <v>325</v>
      </c>
      <c r="DD2101" s="4" t="s">
        <v>241</v>
      </c>
      <c r="DF2101" s="4" t="s">
        <v>325</v>
      </c>
      <c r="DG2101" s="6">
        <f>178</f>
        <v>178</v>
      </c>
      <c r="DI2101" s="4" t="s">
        <v>241</v>
      </c>
      <c r="DJ2101" s="4" t="s">
        <v>241</v>
      </c>
      <c r="DK2101" s="4" t="s">
        <v>241</v>
      </c>
      <c r="DL2101" s="4" t="s">
        <v>241</v>
      </c>
      <c r="DP2101" s="4" t="s">
        <v>241</v>
      </c>
      <c r="DQ2101" s="4" t="s">
        <v>241</v>
      </c>
      <c r="DR2101" s="4" t="s">
        <v>241</v>
      </c>
      <c r="DS2101" s="4" t="s">
        <v>241</v>
      </c>
      <c r="DV2101" s="4" t="s">
        <v>426</v>
      </c>
      <c r="DW2101" s="4" t="s">
        <v>1529</v>
      </c>
      <c r="HO2101" s="4" t="s">
        <v>267</v>
      </c>
    </row>
    <row r="2102" spans="1:223" ht="19.5" customHeight="1" x14ac:dyDescent="0.4">
      <c r="A2102" s="4">
        <v>1</v>
      </c>
      <c r="B2102" s="4" t="s">
        <v>239</v>
      </c>
      <c r="C2102" s="4">
        <v>3805</v>
      </c>
      <c r="D2102" s="4">
        <v>1</v>
      </c>
      <c r="E2102" s="4">
        <v>1</v>
      </c>
      <c r="F2102" s="4" t="s">
        <v>268</v>
      </c>
      <c r="G2102" s="4" t="s">
        <v>241</v>
      </c>
      <c r="H2102" s="4" t="s">
        <v>241</v>
      </c>
      <c r="I2102" s="4" t="s">
        <v>424</v>
      </c>
      <c r="J2102" s="4" t="s">
        <v>274</v>
      </c>
      <c r="K2102" s="4" t="s">
        <v>251</v>
      </c>
      <c r="L2102" s="4" t="s">
        <v>423</v>
      </c>
      <c r="M2102" s="5" t="s">
        <v>4130</v>
      </c>
      <c r="N2102" s="6">
        <f>108</f>
        <v>108</v>
      </c>
      <c r="O2102" s="4" t="s">
        <v>265</v>
      </c>
      <c r="P2102" s="6">
        <f>1</f>
        <v>1</v>
      </c>
      <c r="Q2102" s="6">
        <f>0</f>
        <v>0</v>
      </c>
      <c r="S2102" s="6">
        <f>0</f>
        <v>0</v>
      </c>
      <c r="T2102" s="6">
        <f>1</f>
        <v>1</v>
      </c>
      <c r="U2102" s="5" t="s">
        <v>245</v>
      </c>
      <c r="V2102" s="4" t="s">
        <v>270</v>
      </c>
      <c r="W2102" s="4" t="s">
        <v>271</v>
      </c>
      <c r="X2102" s="4" t="s">
        <v>273</v>
      </c>
      <c r="Y2102" s="4" t="s">
        <v>241</v>
      </c>
      <c r="AB2102" s="4" t="s">
        <v>241</v>
      </c>
      <c r="AD2102" s="5" t="s">
        <v>241</v>
      </c>
      <c r="AG2102" s="5" t="s">
        <v>246</v>
      </c>
      <c r="AH2102" s="4" t="s">
        <v>241</v>
      </c>
      <c r="AI2102" s="4" t="s">
        <v>247</v>
      </c>
      <c r="AJ2102" s="4" t="s">
        <v>248</v>
      </c>
      <c r="AZ2102" s="4" t="s">
        <v>249</v>
      </c>
      <c r="BA2102" s="4" t="s">
        <v>241</v>
      </c>
      <c r="BB2102" s="4" t="s">
        <v>250</v>
      </c>
      <c r="BC2102" s="4" t="s">
        <v>241</v>
      </c>
      <c r="BD2102" s="4" t="s">
        <v>252</v>
      </c>
      <c r="BE2102" s="4" t="s">
        <v>241</v>
      </c>
      <c r="BI2102" s="4" t="s">
        <v>253</v>
      </c>
      <c r="BJ2102" s="5" t="s">
        <v>246</v>
      </c>
      <c r="BK2102" s="4" t="s">
        <v>254</v>
      </c>
      <c r="BL2102" s="4" t="s">
        <v>255</v>
      </c>
      <c r="BM2102" s="4" t="s">
        <v>241</v>
      </c>
      <c r="BN2102" s="6">
        <f>0</f>
        <v>0</v>
      </c>
      <c r="BO2102" s="6">
        <f>0</f>
        <v>0</v>
      </c>
      <c r="BP2102" s="4" t="s">
        <v>256</v>
      </c>
      <c r="BQ2102" s="4" t="s">
        <v>257</v>
      </c>
      <c r="CE2102" s="4" t="s">
        <v>241</v>
      </c>
      <c r="CF2102" s="4" t="s">
        <v>241</v>
      </c>
      <c r="CJ2102" s="4" t="s">
        <v>276</v>
      </c>
      <c r="CK2102" s="4" t="s">
        <v>259</v>
      </c>
      <c r="CL2102" s="4" t="s">
        <v>241</v>
      </c>
      <c r="CO2102" s="5" t="s">
        <v>260</v>
      </c>
      <c r="CP2102" s="4" t="s">
        <v>241</v>
      </c>
      <c r="CQ2102" s="4" t="s">
        <v>261</v>
      </c>
      <c r="CR2102" s="4" t="s">
        <v>241</v>
      </c>
      <c r="CS2102" s="4" t="s">
        <v>241</v>
      </c>
      <c r="CT2102" s="4">
        <v>0</v>
      </c>
      <c r="CU2102" s="4" t="s">
        <v>262</v>
      </c>
      <c r="CV2102" s="4" t="s">
        <v>263</v>
      </c>
      <c r="CW2102" s="4" t="s">
        <v>263</v>
      </c>
      <c r="CX2102" s="4" t="s">
        <v>264</v>
      </c>
      <c r="DA2102" s="6">
        <f>1</f>
        <v>1</v>
      </c>
      <c r="DC2102" s="4" t="s">
        <v>325</v>
      </c>
      <c r="DD2102" s="4" t="s">
        <v>241</v>
      </c>
      <c r="DF2102" s="4" t="s">
        <v>325</v>
      </c>
      <c r="DG2102" s="6">
        <f>108</f>
        <v>108</v>
      </c>
      <c r="DI2102" s="4" t="s">
        <v>241</v>
      </c>
      <c r="DJ2102" s="4" t="s">
        <v>241</v>
      </c>
      <c r="DK2102" s="4" t="s">
        <v>241</v>
      </c>
      <c r="DL2102" s="4" t="s">
        <v>241</v>
      </c>
      <c r="DP2102" s="4" t="s">
        <v>241</v>
      </c>
      <c r="DQ2102" s="4" t="s">
        <v>241</v>
      </c>
      <c r="DR2102" s="4" t="s">
        <v>241</v>
      </c>
      <c r="DS2102" s="4" t="s">
        <v>241</v>
      </c>
      <c r="DV2102" s="4" t="s">
        <v>426</v>
      </c>
      <c r="DW2102" s="4" t="s">
        <v>1527</v>
      </c>
      <c r="HO2102" s="4" t="s">
        <v>267</v>
      </c>
    </row>
    <row r="2103" spans="1:223" ht="19.5" customHeight="1" x14ac:dyDescent="0.4">
      <c r="A2103" s="4">
        <v>1</v>
      </c>
      <c r="B2103" s="4" t="s">
        <v>239</v>
      </c>
      <c r="C2103" s="4">
        <v>3806</v>
      </c>
      <c r="D2103" s="4">
        <v>1</v>
      </c>
      <c r="E2103" s="4">
        <v>1</v>
      </c>
      <c r="F2103" s="4" t="s">
        <v>268</v>
      </c>
      <c r="G2103" s="4" t="s">
        <v>241</v>
      </c>
      <c r="H2103" s="4" t="s">
        <v>241</v>
      </c>
      <c r="I2103" s="4" t="s">
        <v>424</v>
      </c>
      <c r="J2103" s="4" t="s">
        <v>274</v>
      </c>
      <c r="K2103" s="4" t="s">
        <v>251</v>
      </c>
      <c r="L2103" s="4" t="s">
        <v>423</v>
      </c>
      <c r="M2103" s="5" t="s">
        <v>4135</v>
      </c>
      <c r="N2103" s="6">
        <f>167</f>
        <v>167</v>
      </c>
      <c r="O2103" s="4" t="s">
        <v>265</v>
      </c>
      <c r="P2103" s="6">
        <f>1</f>
        <v>1</v>
      </c>
      <c r="Q2103" s="6">
        <f>0</f>
        <v>0</v>
      </c>
      <c r="S2103" s="6">
        <f>0</f>
        <v>0</v>
      </c>
      <c r="T2103" s="6">
        <f>1</f>
        <v>1</v>
      </c>
      <c r="U2103" s="5" t="s">
        <v>245</v>
      </c>
      <c r="V2103" s="4" t="s">
        <v>270</v>
      </c>
      <c r="W2103" s="4" t="s">
        <v>271</v>
      </c>
      <c r="X2103" s="4" t="s">
        <v>273</v>
      </c>
      <c r="Y2103" s="4" t="s">
        <v>241</v>
      </c>
      <c r="AB2103" s="4" t="s">
        <v>241</v>
      </c>
      <c r="AD2103" s="5" t="s">
        <v>241</v>
      </c>
      <c r="AG2103" s="5" t="s">
        <v>246</v>
      </c>
      <c r="AH2103" s="4" t="s">
        <v>241</v>
      </c>
      <c r="AI2103" s="4" t="s">
        <v>247</v>
      </c>
      <c r="AJ2103" s="4" t="s">
        <v>248</v>
      </c>
      <c r="AZ2103" s="4" t="s">
        <v>249</v>
      </c>
      <c r="BA2103" s="4" t="s">
        <v>241</v>
      </c>
      <c r="BB2103" s="4" t="s">
        <v>250</v>
      </c>
      <c r="BC2103" s="4" t="s">
        <v>241</v>
      </c>
      <c r="BD2103" s="4" t="s">
        <v>252</v>
      </c>
      <c r="BE2103" s="4" t="s">
        <v>241</v>
      </c>
      <c r="BI2103" s="4" t="s">
        <v>253</v>
      </c>
      <c r="BJ2103" s="5" t="s">
        <v>246</v>
      </c>
      <c r="BK2103" s="4" t="s">
        <v>254</v>
      </c>
      <c r="BL2103" s="4" t="s">
        <v>255</v>
      </c>
      <c r="BM2103" s="4" t="s">
        <v>241</v>
      </c>
      <c r="BN2103" s="6">
        <f>0</f>
        <v>0</v>
      </c>
      <c r="BO2103" s="6">
        <f>0</f>
        <v>0</v>
      </c>
      <c r="BP2103" s="4" t="s">
        <v>256</v>
      </c>
      <c r="BQ2103" s="4" t="s">
        <v>257</v>
      </c>
      <c r="CE2103" s="4" t="s">
        <v>241</v>
      </c>
      <c r="CF2103" s="4" t="s">
        <v>241</v>
      </c>
      <c r="CJ2103" s="4" t="s">
        <v>276</v>
      </c>
      <c r="CK2103" s="4" t="s">
        <v>259</v>
      </c>
      <c r="CL2103" s="4" t="s">
        <v>241</v>
      </c>
      <c r="CO2103" s="5" t="s">
        <v>260</v>
      </c>
      <c r="CP2103" s="4" t="s">
        <v>241</v>
      </c>
      <c r="CQ2103" s="4" t="s">
        <v>261</v>
      </c>
      <c r="CR2103" s="4" t="s">
        <v>241</v>
      </c>
      <c r="CS2103" s="4" t="s">
        <v>241</v>
      </c>
      <c r="CT2103" s="4">
        <v>0</v>
      </c>
      <c r="CU2103" s="4" t="s">
        <v>262</v>
      </c>
      <c r="CV2103" s="4" t="s">
        <v>263</v>
      </c>
      <c r="CW2103" s="4" t="s">
        <v>263</v>
      </c>
      <c r="CX2103" s="4" t="s">
        <v>264</v>
      </c>
      <c r="DA2103" s="6">
        <f>1</f>
        <v>1</v>
      </c>
      <c r="DC2103" s="4" t="s">
        <v>325</v>
      </c>
      <c r="DD2103" s="4" t="s">
        <v>241</v>
      </c>
      <c r="DF2103" s="4" t="s">
        <v>325</v>
      </c>
      <c r="DG2103" s="6">
        <f>167</f>
        <v>167</v>
      </c>
      <c r="DI2103" s="4" t="s">
        <v>241</v>
      </c>
      <c r="DJ2103" s="4" t="s">
        <v>241</v>
      </c>
      <c r="DK2103" s="4" t="s">
        <v>241</v>
      </c>
      <c r="DL2103" s="4" t="s">
        <v>241</v>
      </c>
      <c r="DP2103" s="4" t="s">
        <v>241</v>
      </c>
      <c r="DQ2103" s="4" t="s">
        <v>241</v>
      </c>
      <c r="DR2103" s="4" t="s">
        <v>241</v>
      </c>
      <c r="DS2103" s="4" t="s">
        <v>241</v>
      </c>
      <c r="DV2103" s="4" t="s">
        <v>426</v>
      </c>
      <c r="DW2103" s="4" t="s">
        <v>1523</v>
      </c>
      <c r="HO2103" s="4" t="s">
        <v>267</v>
      </c>
    </row>
    <row r="2104" spans="1:223" ht="19.5" customHeight="1" x14ac:dyDescent="0.4">
      <c r="A2104" s="4">
        <v>1</v>
      </c>
      <c r="B2104" s="4" t="s">
        <v>239</v>
      </c>
      <c r="C2104" s="4">
        <v>3807</v>
      </c>
      <c r="D2104" s="4">
        <v>1</v>
      </c>
      <c r="E2104" s="4">
        <v>1</v>
      </c>
      <c r="F2104" s="4" t="s">
        <v>268</v>
      </c>
      <c r="G2104" s="4" t="s">
        <v>241</v>
      </c>
      <c r="H2104" s="4" t="s">
        <v>241</v>
      </c>
      <c r="I2104" s="4" t="s">
        <v>424</v>
      </c>
      <c r="J2104" s="4" t="s">
        <v>274</v>
      </c>
      <c r="K2104" s="4" t="s">
        <v>251</v>
      </c>
      <c r="L2104" s="4" t="s">
        <v>423</v>
      </c>
      <c r="M2104" s="5" t="s">
        <v>4141</v>
      </c>
      <c r="N2104" s="6">
        <f>1238</f>
        <v>1238</v>
      </c>
      <c r="O2104" s="4" t="s">
        <v>265</v>
      </c>
      <c r="P2104" s="6">
        <f>1</f>
        <v>1</v>
      </c>
      <c r="Q2104" s="6">
        <f>0</f>
        <v>0</v>
      </c>
      <c r="S2104" s="6">
        <f>0</f>
        <v>0</v>
      </c>
      <c r="T2104" s="6">
        <f>1</f>
        <v>1</v>
      </c>
      <c r="U2104" s="5" t="s">
        <v>245</v>
      </c>
      <c r="V2104" s="4" t="s">
        <v>270</v>
      </c>
      <c r="W2104" s="4" t="s">
        <v>271</v>
      </c>
      <c r="X2104" s="4" t="s">
        <v>273</v>
      </c>
      <c r="Y2104" s="4" t="s">
        <v>241</v>
      </c>
      <c r="AB2104" s="4" t="s">
        <v>241</v>
      </c>
      <c r="AD2104" s="5" t="s">
        <v>241</v>
      </c>
      <c r="AG2104" s="5" t="s">
        <v>246</v>
      </c>
      <c r="AH2104" s="4" t="s">
        <v>241</v>
      </c>
      <c r="AI2104" s="4" t="s">
        <v>247</v>
      </c>
      <c r="AJ2104" s="4" t="s">
        <v>248</v>
      </c>
      <c r="AZ2104" s="4" t="s">
        <v>249</v>
      </c>
      <c r="BA2104" s="4" t="s">
        <v>241</v>
      </c>
      <c r="BB2104" s="4" t="s">
        <v>250</v>
      </c>
      <c r="BC2104" s="4" t="s">
        <v>241</v>
      </c>
      <c r="BD2104" s="4" t="s">
        <v>252</v>
      </c>
      <c r="BE2104" s="4" t="s">
        <v>241</v>
      </c>
      <c r="BI2104" s="4" t="s">
        <v>253</v>
      </c>
      <c r="BJ2104" s="5" t="s">
        <v>246</v>
      </c>
      <c r="BK2104" s="4" t="s">
        <v>254</v>
      </c>
      <c r="BL2104" s="4" t="s">
        <v>255</v>
      </c>
      <c r="BM2104" s="4" t="s">
        <v>241</v>
      </c>
      <c r="BN2104" s="6">
        <f>0</f>
        <v>0</v>
      </c>
      <c r="BO2104" s="6">
        <f>0</f>
        <v>0</v>
      </c>
      <c r="BP2104" s="4" t="s">
        <v>256</v>
      </c>
      <c r="BQ2104" s="4" t="s">
        <v>257</v>
      </c>
      <c r="CE2104" s="4" t="s">
        <v>241</v>
      </c>
      <c r="CF2104" s="4" t="s">
        <v>241</v>
      </c>
      <c r="CJ2104" s="4" t="s">
        <v>276</v>
      </c>
      <c r="CK2104" s="4" t="s">
        <v>259</v>
      </c>
      <c r="CL2104" s="4" t="s">
        <v>241</v>
      </c>
      <c r="CO2104" s="5" t="s">
        <v>260</v>
      </c>
      <c r="CP2104" s="4" t="s">
        <v>241</v>
      </c>
      <c r="CQ2104" s="4" t="s">
        <v>261</v>
      </c>
      <c r="CR2104" s="4" t="s">
        <v>241</v>
      </c>
      <c r="CS2104" s="4" t="s">
        <v>241</v>
      </c>
      <c r="CT2104" s="4">
        <v>0</v>
      </c>
      <c r="CU2104" s="4" t="s">
        <v>262</v>
      </c>
      <c r="CV2104" s="4" t="s">
        <v>263</v>
      </c>
      <c r="CW2104" s="4" t="s">
        <v>263</v>
      </c>
      <c r="CX2104" s="4" t="s">
        <v>264</v>
      </c>
      <c r="DA2104" s="6">
        <f>1</f>
        <v>1</v>
      </c>
      <c r="DC2104" s="4" t="s">
        <v>325</v>
      </c>
      <c r="DD2104" s="4" t="s">
        <v>241</v>
      </c>
      <c r="DF2104" s="4" t="s">
        <v>325</v>
      </c>
      <c r="DG2104" s="6">
        <f>1238</f>
        <v>1238</v>
      </c>
      <c r="DI2104" s="4" t="s">
        <v>241</v>
      </c>
      <c r="DJ2104" s="4" t="s">
        <v>241</v>
      </c>
      <c r="DK2104" s="4" t="s">
        <v>241</v>
      </c>
      <c r="DL2104" s="4" t="s">
        <v>241</v>
      </c>
      <c r="DP2104" s="4" t="s">
        <v>241</v>
      </c>
      <c r="DQ2104" s="4" t="s">
        <v>241</v>
      </c>
      <c r="DR2104" s="4" t="s">
        <v>241</v>
      </c>
      <c r="DS2104" s="4" t="s">
        <v>241</v>
      </c>
      <c r="DV2104" s="4" t="s">
        <v>426</v>
      </c>
      <c r="DW2104" s="4" t="s">
        <v>1521</v>
      </c>
      <c r="HO2104" s="4" t="s">
        <v>267</v>
      </c>
    </row>
    <row r="2105" spans="1:223" ht="19.5" customHeight="1" x14ac:dyDescent="0.4">
      <c r="A2105" s="4">
        <v>1</v>
      </c>
      <c r="B2105" s="4" t="s">
        <v>239</v>
      </c>
      <c r="C2105" s="4">
        <v>3808</v>
      </c>
      <c r="D2105" s="4">
        <v>1</v>
      </c>
      <c r="E2105" s="4">
        <v>1</v>
      </c>
      <c r="F2105" s="4" t="s">
        <v>268</v>
      </c>
      <c r="G2105" s="4" t="s">
        <v>241</v>
      </c>
      <c r="H2105" s="4" t="s">
        <v>241</v>
      </c>
      <c r="I2105" s="4" t="s">
        <v>424</v>
      </c>
      <c r="J2105" s="4" t="s">
        <v>274</v>
      </c>
      <c r="K2105" s="4" t="s">
        <v>251</v>
      </c>
      <c r="L2105" s="4" t="s">
        <v>423</v>
      </c>
      <c r="M2105" s="5" t="s">
        <v>4145</v>
      </c>
      <c r="N2105" s="6">
        <f>329</f>
        <v>329</v>
      </c>
      <c r="O2105" s="4" t="s">
        <v>265</v>
      </c>
      <c r="P2105" s="6">
        <f>1</f>
        <v>1</v>
      </c>
      <c r="Q2105" s="6">
        <f>0</f>
        <v>0</v>
      </c>
      <c r="S2105" s="6">
        <f>0</f>
        <v>0</v>
      </c>
      <c r="T2105" s="6">
        <f>1</f>
        <v>1</v>
      </c>
      <c r="U2105" s="5" t="s">
        <v>245</v>
      </c>
      <c r="V2105" s="4" t="s">
        <v>270</v>
      </c>
      <c r="W2105" s="4" t="s">
        <v>271</v>
      </c>
      <c r="X2105" s="4" t="s">
        <v>273</v>
      </c>
      <c r="Y2105" s="4" t="s">
        <v>241</v>
      </c>
      <c r="AB2105" s="4" t="s">
        <v>241</v>
      </c>
      <c r="AD2105" s="5" t="s">
        <v>241</v>
      </c>
      <c r="AG2105" s="5" t="s">
        <v>246</v>
      </c>
      <c r="AH2105" s="4" t="s">
        <v>241</v>
      </c>
      <c r="AI2105" s="4" t="s">
        <v>247</v>
      </c>
      <c r="AJ2105" s="4" t="s">
        <v>248</v>
      </c>
      <c r="AZ2105" s="4" t="s">
        <v>249</v>
      </c>
      <c r="BA2105" s="4" t="s">
        <v>241</v>
      </c>
      <c r="BB2105" s="4" t="s">
        <v>250</v>
      </c>
      <c r="BC2105" s="4" t="s">
        <v>241</v>
      </c>
      <c r="BD2105" s="4" t="s">
        <v>252</v>
      </c>
      <c r="BE2105" s="4" t="s">
        <v>241</v>
      </c>
      <c r="BI2105" s="4" t="s">
        <v>253</v>
      </c>
      <c r="BJ2105" s="5" t="s">
        <v>246</v>
      </c>
      <c r="BK2105" s="4" t="s">
        <v>254</v>
      </c>
      <c r="BL2105" s="4" t="s">
        <v>255</v>
      </c>
      <c r="BM2105" s="4" t="s">
        <v>241</v>
      </c>
      <c r="BN2105" s="6">
        <f>0</f>
        <v>0</v>
      </c>
      <c r="BO2105" s="6">
        <f>0</f>
        <v>0</v>
      </c>
      <c r="BP2105" s="4" t="s">
        <v>256</v>
      </c>
      <c r="BQ2105" s="4" t="s">
        <v>257</v>
      </c>
      <c r="CE2105" s="4" t="s">
        <v>241</v>
      </c>
      <c r="CF2105" s="4" t="s">
        <v>241</v>
      </c>
      <c r="CJ2105" s="4" t="s">
        <v>276</v>
      </c>
      <c r="CK2105" s="4" t="s">
        <v>259</v>
      </c>
      <c r="CL2105" s="4" t="s">
        <v>241</v>
      </c>
      <c r="CO2105" s="5" t="s">
        <v>260</v>
      </c>
      <c r="CP2105" s="4" t="s">
        <v>241</v>
      </c>
      <c r="CQ2105" s="4" t="s">
        <v>261</v>
      </c>
      <c r="CR2105" s="4" t="s">
        <v>241</v>
      </c>
      <c r="CS2105" s="4" t="s">
        <v>241</v>
      </c>
      <c r="CT2105" s="4">
        <v>0</v>
      </c>
      <c r="CU2105" s="4" t="s">
        <v>262</v>
      </c>
      <c r="CV2105" s="4" t="s">
        <v>263</v>
      </c>
      <c r="CW2105" s="4" t="s">
        <v>263</v>
      </c>
      <c r="CX2105" s="4" t="s">
        <v>264</v>
      </c>
      <c r="DA2105" s="6">
        <f>1</f>
        <v>1</v>
      </c>
      <c r="DC2105" s="4" t="s">
        <v>325</v>
      </c>
      <c r="DD2105" s="4" t="s">
        <v>241</v>
      </c>
      <c r="DF2105" s="4" t="s">
        <v>325</v>
      </c>
      <c r="DG2105" s="6">
        <f>329</f>
        <v>329</v>
      </c>
      <c r="DI2105" s="4" t="s">
        <v>241</v>
      </c>
      <c r="DJ2105" s="4" t="s">
        <v>241</v>
      </c>
      <c r="DK2105" s="4" t="s">
        <v>241</v>
      </c>
      <c r="DL2105" s="4" t="s">
        <v>241</v>
      </c>
      <c r="DP2105" s="4" t="s">
        <v>241</v>
      </c>
      <c r="DQ2105" s="4" t="s">
        <v>241</v>
      </c>
      <c r="DR2105" s="4" t="s">
        <v>241</v>
      </c>
      <c r="DS2105" s="4" t="s">
        <v>241</v>
      </c>
      <c r="DV2105" s="4" t="s">
        <v>426</v>
      </c>
      <c r="DW2105" s="4" t="s">
        <v>1519</v>
      </c>
      <c r="HO2105" s="4" t="s">
        <v>267</v>
      </c>
    </row>
    <row r="2106" spans="1:223" ht="19.5" customHeight="1" x14ac:dyDescent="0.4">
      <c r="A2106" s="4">
        <v>1</v>
      </c>
      <c r="B2106" s="4" t="s">
        <v>239</v>
      </c>
      <c r="C2106" s="4">
        <v>3809</v>
      </c>
      <c r="D2106" s="4">
        <v>1</v>
      </c>
      <c r="E2106" s="4">
        <v>1</v>
      </c>
      <c r="F2106" s="4" t="s">
        <v>268</v>
      </c>
      <c r="G2106" s="4" t="s">
        <v>241</v>
      </c>
      <c r="H2106" s="4" t="s">
        <v>241</v>
      </c>
      <c r="I2106" s="4" t="s">
        <v>424</v>
      </c>
      <c r="J2106" s="4" t="s">
        <v>274</v>
      </c>
      <c r="K2106" s="4" t="s">
        <v>251</v>
      </c>
      <c r="L2106" s="4" t="s">
        <v>423</v>
      </c>
      <c r="M2106" s="5" t="s">
        <v>4147</v>
      </c>
      <c r="N2106" s="6">
        <f>45</f>
        <v>45</v>
      </c>
      <c r="O2106" s="4" t="s">
        <v>265</v>
      </c>
      <c r="P2106" s="6">
        <f>1</f>
        <v>1</v>
      </c>
      <c r="Q2106" s="6">
        <f>0</f>
        <v>0</v>
      </c>
      <c r="S2106" s="6">
        <f>0</f>
        <v>0</v>
      </c>
      <c r="T2106" s="6">
        <f>1</f>
        <v>1</v>
      </c>
      <c r="U2106" s="5" t="s">
        <v>245</v>
      </c>
      <c r="V2106" s="4" t="s">
        <v>270</v>
      </c>
      <c r="W2106" s="4" t="s">
        <v>271</v>
      </c>
      <c r="X2106" s="4" t="s">
        <v>273</v>
      </c>
      <c r="Y2106" s="4" t="s">
        <v>241</v>
      </c>
      <c r="AB2106" s="4" t="s">
        <v>241</v>
      </c>
      <c r="AD2106" s="5" t="s">
        <v>241</v>
      </c>
      <c r="AG2106" s="5" t="s">
        <v>246</v>
      </c>
      <c r="AH2106" s="4" t="s">
        <v>241</v>
      </c>
      <c r="AI2106" s="4" t="s">
        <v>247</v>
      </c>
      <c r="AJ2106" s="4" t="s">
        <v>248</v>
      </c>
      <c r="AZ2106" s="4" t="s">
        <v>249</v>
      </c>
      <c r="BA2106" s="4" t="s">
        <v>241</v>
      </c>
      <c r="BB2106" s="4" t="s">
        <v>250</v>
      </c>
      <c r="BC2106" s="4" t="s">
        <v>241</v>
      </c>
      <c r="BD2106" s="4" t="s">
        <v>252</v>
      </c>
      <c r="BE2106" s="4" t="s">
        <v>241</v>
      </c>
      <c r="BI2106" s="4" t="s">
        <v>253</v>
      </c>
      <c r="BJ2106" s="5" t="s">
        <v>246</v>
      </c>
      <c r="BK2106" s="4" t="s">
        <v>254</v>
      </c>
      <c r="BL2106" s="4" t="s">
        <v>255</v>
      </c>
      <c r="BM2106" s="4" t="s">
        <v>241</v>
      </c>
      <c r="BN2106" s="6">
        <f>0</f>
        <v>0</v>
      </c>
      <c r="BO2106" s="6">
        <f>0</f>
        <v>0</v>
      </c>
      <c r="BP2106" s="4" t="s">
        <v>256</v>
      </c>
      <c r="BQ2106" s="4" t="s">
        <v>257</v>
      </c>
      <c r="CE2106" s="4" t="s">
        <v>241</v>
      </c>
      <c r="CF2106" s="4" t="s">
        <v>241</v>
      </c>
      <c r="CJ2106" s="4" t="s">
        <v>276</v>
      </c>
      <c r="CK2106" s="4" t="s">
        <v>259</v>
      </c>
      <c r="CL2106" s="4" t="s">
        <v>241</v>
      </c>
      <c r="CO2106" s="5" t="s">
        <v>260</v>
      </c>
      <c r="CP2106" s="4" t="s">
        <v>241</v>
      </c>
      <c r="CQ2106" s="4" t="s">
        <v>261</v>
      </c>
      <c r="CR2106" s="4" t="s">
        <v>241</v>
      </c>
      <c r="CS2106" s="4" t="s">
        <v>241</v>
      </c>
      <c r="CT2106" s="4">
        <v>0</v>
      </c>
      <c r="CU2106" s="4" t="s">
        <v>262</v>
      </c>
      <c r="CV2106" s="4" t="s">
        <v>263</v>
      </c>
      <c r="CW2106" s="4" t="s">
        <v>263</v>
      </c>
      <c r="CX2106" s="4" t="s">
        <v>264</v>
      </c>
      <c r="DA2106" s="6">
        <f>1</f>
        <v>1</v>
      </c>
      <c r="DC2106" s="4" t="s">
        <v>325</v>
      </c>
      <c r="DD2106" s="4" t="s">
        <v>241</v>
      </c>
      <c r="DF2106" s="4" t="s">
        <v>325</v>
      </c>
      <c r="DG2106" s="6">
        <f>45</f>
        <v>45</v>
      </c>
      <c r="DI2106" s="4" t="s">
        <v>241</v>
      </c>
      <c r="DJ2106" s="4" t="s">
        <v>241</v>
      </c>
      <c r="DK2106" s="4" t="s">
        <v>241</v>
      </c>
      <c r="DL2106" s="4" t="s">
        <v>241</v>
      </c>
      <c r="DP2106" s="4" t="s">
        <v>241</v>
      </c>
      <c r="DQ2106" s="4" t="s">
        <v>241</v>
      </c>
      <c r="DR2106" s="4" t="s">
        <v>241</v>
      </c>
      <c r="DS2106" s="4" t="s">
        <v>241</v>
      </c>
      <c r="DV2106" s="4" t="s">
        <v>426</v>
      </c>
      <c r="DW2106" s="4" t="s">
        <v>1517</v>
      </c>
      <c r="HO2106" s="4" t="s">
        <v>267</v>
      </c>
    </row>
    <row r="2107" spans="1:223" ht="19.5" customHeight="1" x14ac:dyDescent="0.4">
      <c r="A2107" s="4">
        <v>1</v>
      </c>
      <c r="B2107" s="4" t="s">
        <v>239</v>
      </c>
      <c r="C2107" s="4">
        <v>3810</v>
      </c>
      <c r="D2107" s="4">
        <v>1</v>
      </c>
      <c r="E2107" s="4">
        <v>1</v>
      </c>
      <c r="F2107" s="4" t="s">
        <v>268</v>
      </c>
      <c r="G2107" s="4" t="s">
        <v>241</v>
      </c>
      <c r="H2107" s="4" t="s">
        <v>241</v>
      </c>
      <c r="I2107" s="4" t="s">
        <v>424</v>
      </c>
      <c r="J2107" s="4" t="s">
        <v>274</v>
      </c>
      <c r="K2107" s="4" t="s">
        <v>251</v>
      </c>
      <c r="L2107" s="4" t="s">
        <v>423</v>
      </c>
      <c r="M2107" s="5" t="s">
        <v>4153</v>
      </c>
      <c r="N2107" s="6">
        <f>5.98</f>
        <v>5.98</v>
      </c>
      <c r="O2107" s="4" t="s">
        <v>265</v>
      </c>
      <c r="P2107" s="6">
        <f>1</f>
        <v>1</v>
      </c>
      <c r="Q2107" s="6">
        <f>0</f>
        <v>0</v>
      </c>
      <c r="S2107" s="6">
        <f>0</f>
        <v>0</v>
      </c>
      <c r="T2107" s="6">
        <f>1</f>
        <v>1</v>
      </c>
      <c r="U2107" s="5" t="s">
        <v>245</v>
      </c>
      <c r="V2107" s="4" t="s">
        <v>270</v>
      </c>
      <c r="W2107" s="4" t="s">
        <v>271</v>
      </c>
      <c r="X2107" s="4" t="s">
        <v>273</v>
      </c>
      <c r="Y2107" s="4" t="s">
        <v>241</v>
      </c>
      <c r="AB2107" s="4" t="s">
        <v>241</v>
      </c>
      <c r="AD2107" s="5" t="s">
        <v>241</v>
      </c>
      <c r="AG2107" s="5" t="s">
        <v>246</v>
      </c>
      <c r="AH2107" s="4" t="s">
        <v>241</v>
      </c>
      <c r="AI2107" s="4" t="s">
        <v>247</v>
      </c>
      <c r="AJ2107" s="4" t="s">
        <v>248</v>
      </c>
      <c r="AZ2107" s="4" t="s">
        <v>249</v>
      </c>
      <c r="BA2107" s="4" t="s">
        <v>241</v>
      </c>
      <c r="BB2107" s="4" t="s">
        <v>250</v>
      </c>
      <c r="BC2107" s="4" t="s">
        <v>241</v>
      </c>
      <c r="BD2107" s="4" t="s">
        <v>252</v>
      </c>
      <c r="BE2107" s="4" t="s">
        <v>241</v>
      </c>
      <c r="BI2107" s="4" t="s">
        <v>253</v>
      </c>
      <c r="BJ2107" s="5" t="s">
        <v>246</v>
      </c>
      <c r="BK2107" s="4" t="s">
        <v>254</v>
      </c>
      <c r="BL2107" s="4" t="s">
        <v>255</v>
      </c>
      <c r="BM2107" s="4" t="s">
        <v>241</v>
      </c>
      <c r="BN2107" s="6">
        <f>0</f>
        <v>0</v>
      </c>
      <c r="BO2107" s="6">
        <f>0</f>
        <v>0</v>
      </c>
      <c r="BP2107" s="4" t="s">
        <v>256</v>
      </c>
      <c r="BQ2107" s="4" t="s">
        <v>257</v>
      </c>
      <c r="CE2107" s="4" t="s">
        <v>241</v>
      </c>
      <c r="CF2107" s="4" t="s">
        <v>241</v>
      </c>
      <c r="CJ2107" s="4" t="s">
        <v>276</v>
      </c>
      <c r="CK2107" s="4" t="s">
        <v>259</v>
      </c>
      <c r="CL2107" s="4" t="s">
        <v>241</v>
      </c>
      <c r="CO2107" s="5" t="s">
        <v>260</v>
      </c>
      <c r="CP2107" s="4" t="s">
        <v>241</v>
      </c>
      <c r="CQ2107" s="4" t="s">
        <v>261</v>
      </c>
      <c r="CR2107" s="4" t="s">
        <v>241</v>
      </c>
      <c r="CS2107" s="4" t="s">
        <v>241</v>
      </c>
      <c r="CT2107" s="4">
        <v>0</v>
      </c>
      <c r="CU2107" s="4" t="s">
        <v>262</v>
      </c>
      <c r="CV2107" s="4" t="s">
        <v>263</v>
      </c>
      <c r="CW2107" s="4" t="s">
        <v>263</v>
      </c>
      <c r="CX2107" s="4" t="s">
        <v>264</v>
      </c>
      <c r="DA2107" s="6">
        <f>1</f>
        <v>1</v>
      </c>
      <c r="DC2107" s="4" t="s">
        <v>325</v>
      </c>
      <c r="DD2107" s="4" t="s">
        <v>241</v>
      </c>
      <c r="DF2107" s="4" t="s">
        <v>325</v>
      </c>
      <c r="DG2107" s="6">
        <f>5.98</f>
        <v>5.98</v>
      </c>
      <c r="DI2107" s="4" t="s">
        <v>241</v>
      </c>
      <c r="DJ2107" s="4" t="s">
        <v>241</v>
      </c>
      <c r="DK2107" s="4" t="s">
        <v>241</v>
      </c>
      <c r="DL2107" s="4" t="s">
        <v>241</v>
      </c>
      <c r="DP2107" s="4" t="s">
        <v>241</v>
      </c>
      <c r="DQ2107" s="4" t="s">
        <v>241</v>
      </c>
      <c r="DR2107" s="4" t="s">
        <v>241</v>
      </c>
      <c r="DS2107" s="4" t="s">
        <v>241</v>
      </c>
      <c r="DV2107" s="4" t="s">
        <v>426</v>
      </c>
      <c r="DW2107" s="4" t="s">
        <v>1515</v>
      </c>
      <c r="HO2107" s="4" t="s">
        <v>267</v>
      </c>
    </row>
    <row r="2108" spans="1:223" ht="19.5" customHeight="1" x14ac:dyDescent="0.4">
      <c r="A2108" s="4">
        <v>1</v>
      </c>
      <c r="B2108" s="4" t="s">
        <v>239</v>
      </c>
      <c r="C2108" s="4">
        <v>3811</v>
      </c>
      <c r="D2108" s="4">
        <v>1</v>
      </c>
      <c r="E2108" s="4">
        <v>1</v>
      </c>
      <c r="F2108" s="4" t="s">
        <v>268</v>
      </c>
      <c r="G2108" s="4" t="s">
        <v>241</v>
      </c>
      <c r="H2108" s="4" t="s">
        <v>241</v>
      </c>
      <c r="I2108" s="4" t="s">
        <v>424</v>
      </c>
      <c r="J2108" s="4" t="s">
        <v>274</v>
      </c>
      <c r="K2108" s="4" t="s">
        <v>251</v>
      </c>
      <c r="L2108" s="4" t="s">
        <v>423</v>
      </c>
      <c r="M2108" s="5" t="s">
        <v>4155</v>
      </c>
      <c r="N2108" s="6">
        <f>434</f>
        <v>434</v>
      </c>
      <c r="O2108" s="4" t="s">
        <v>265</v>
      </c>
      <c r="P2108" s="6">
        <f>1</f>
        <v>1</v>
      </c>
      <c r="Q2108" s="6">
        <f>0</f>
        <v>0</v>
      </c>
      <c r="S2108" s="6">
        <f>0</f>
        <v>0</v>
      </c>
      <c r="T2108" s="6">
        <f>1</f>
        <v>1</v>
      </c>
      <c r="U2108" s="5" t="s">
        <v>245</v>
      </c>
      <c r="V2108" s="4" t="s">
        <v>270</v>
      </c>
      <c r="W2108" s="4" t="s">
        <v>271</v>
      </c>
      <c r="X2108" s="4" t="s">
        <v>273</v>
      </c>
      <c r="Y2108" s="4" t="s">
        <v>241</v>
      </c>
      <c r="AB2108" s="4" t="s">
        <v>241</v>
      </c>
      <c r="AD2108" s="5" t="s">
        <v>241</v>
      </c>
      <c r="AG2108" s="5" t="s">
        <v>246</v>
      </c>
      <c r="AH2108" s="4" t="s">
        <v>241</v>
      </c>
      <c r="AI2108" s="4" t="s">
        <v>247</v>
      </c>
      <c r="AJ2108" s="4" t="s">
        <v>248</v>
      </c>
      <c r="AZ2108" s="4" t="s">
        <v>249</v>
      </c>
      <c r="BA2108" s="4" t="s">
        <v>241</v>
      </c>
      <c r="BB2108" s="4" t="s">
        <v>250</v>
      </c>
      <c r="BC2108" s="4" t="s">
        <v>241</v>
      </c>
      <c r="BD2108" s="4" t="s">
        <v>252</v>
      </c>
      <c r="BE2108" s="4" t="s">
        <v>241</v>
      </c>
      <c r="BI2108" s="4" t="s">
        <v>253</v>
      </c>
      <c r="BJ2108" s="5" t="s">
        <v>246</v>
      </c>
      <c r="BK2108" s="4" t="s">
        <v>254</v>
      </c>
      <c r="BL2108" s="4" t="s">
        <v>255</v>
      </c>
      <c r="BM2108" s="4" t="s">
        <v>241</v>
      </c>
      <c r="BN2108" s="6">
        <f>0</f>
        <v>0</v>
      </c>
      <c r="BO2108" s="6">
        <f>0</f>
        <v>0</v>
      </c>
      <c r="BP2108" s="4" t="s">
        <v>256</v>
      </c>
      <c r="BQ2108" s="4" t="s">
        <v>257</v>
      </c>
      <c r="CE2108" s="4" t="s">
        <v>241</v>
      </c>
      <c r="CF2108" s="4" t="s">
        <v>241</v>
      </c>
      <c r="CJ2108" s="4" t="s">
        <v>276</v>
      </c>
      <c r="CK2108" s="4" t="s">
        <v>259</v>
      </c>
      <c r="CL2108" s="4" t="s">
        <v>241</v>
      </c>
      <c r="CO2108" s="5" t="s">
        <v>260</v>
      </c>
      <c r="CP2108" s="4" t="s">
        <v>241</v>
      </c>
      <c r="CQ2108" s="4" t="s">
        <v>261</v>
      </c>
      <c r="CR2108" s="4" t="s">
        <v>241</v>
      </c>
      <c r="CS2108" s="4" t="s">
        <v>241</v>
      </c>
      <c r="CT2108" s="4">
        <v>0</v>
      </c>
      <c r="CU2108" s="4" t="s">
        <v>262</v>
      </c>
      <c r="CV2108" s="4" t="s">
        <v>263</v>
      </c>
      <c r="CW2108" s="4" t="s">
        <v>263</v>
      </c>
      <c r="CX2108" s="4" t="s">
        <v>264</v>
      </c>
      <c r="DA2108" s="6">
        <f>1</f>
        <v>1</v>
      </c>
      <c r="DC2108" s="4" t="s">
        <v>325</v>
      </c>
      <c r="DD2108" s="4" t="s">
        <v>241</v>
      </c>
      <c r="DF2108" s="4" t="s">
        <v>325</v>
      </c>
      <c r="DG2108" s="6">
        <f>434</f>
        <v>434</v>
      </c>
      <c r="DI2108" s="4" t="s">
        <v>241</v>
      </c>
      <c r="DJ2108" s="4" t="s">
        <v>241</v>
      </c>
      <c r="DK2108" s="4" t="s">
        <v>241</v>
      </c>
      <c r="DL2108" s="4" t="s">
        <v>241</v>
      </c>
      <c r="DP2108" s="4" t="s">
        <v>241</v>
      </c>
      <c r="DQ2108" s="4" t="s">
        <v>241</v>
      </c>
      <c r="DR2108" s="4" t="s">
        <v>241</v>
      </c>
      <c r="DS2108" s="4" t="s">
        <v>241</v>
      </c>
      <c r="DV2108" s="4" t="s">
        <v>426</v>
      </c>
      <c r="DW2108" s="4" t="s">
        <v>1513</v>
      </c>
      <c r="HO2108" s="4" t="s">
        <v>267</v>
      </c>
    </row>
    <row r="2109" spans="1:223" ht="19.5" customHeight="1" x14ac:dyDescent="0.4">
      <c r="A2109" s="4">
        <v>1</v>
      </c>
      <c r="B2109" s="4" t="s">
        <v>239</v>
      </c>
      <c r="C2109" s="4">
        <v>3812</v>
      </c>
      <c r="D2109" s="4">
        <v>1</v>
      </c>
      <c r="E2109" s="4">
        <v>1</v>
      </c>
      <c r="F2109" s="4" t="s">
        <v>268</v>
      </c>
      <c r="G2109" s="4" t="s">
        <v>241</v>
      </c>
      <c r="H2109" s="4" t="s">
        <v>241</v>
      </c>
      <c r="I2109" s="4" t="s">
        <v>424</v>
      </c>
      <c r="J2109" s="4" t="s">
        <v>274</v>
      </c>
      <c r="K2109" s="4" t="s">
        <v>251</v>
      </c>
      <c r="L2109" s="4" t="s">
        <v>423</v>
      </c>
      <c r="M2109" s="5" t="s">
        <v>4158</v>
      </c>
      <c r="N2109" s="6">
        <f>1013</f>
        <v>1013</v>
      </c>
      <c r="O2109" s="4" t="s">
        <v>265</v>
      </c>
      <c r="P2109" s="6">
        <f>1</f>
        <v>1</v>
      </c>
      <c r="Q2109" s="6">
        <f>0</f>
        <v>0</v>
      </c>
      <c r="S2109" s="6">
        <f>0</f>
        <v>0</v>
      </c>
      <c r="T2109" s="6">
        <f>1</f>
        <v>1</v>
      </c>
      <c r="U2109" s="5" t="s">
        <v>245</v>
      </c>
      <c r="V2109" s="4" t="s">
        <v>270</v>
      </c>
      <c r="W2109" s="4" t="s">
        <v>271</v>
      </c>
      <c r="X2109" s="4" t="s">
        <v>273</v>
      </c>
      <c r="Y2109" s="4" t="s">
        <v>241</v>
      </c>
      <c r="AB2109" s="4" t="s">
        <v>241</v>
      </c>
      <c r="AD2109" s="5" t="s">
        <v>241</v>
      </c>
      <c r="AG2109" s="5" t="s">
        <v>246</v>
      </c>
      <c r="AH2109" s="4" t="s">
        <v>241</v>
      </c>
      <c r="AI2109" s="4" t="s">
        <v>247</v>
      </c>
      <c r="AJ2109" s="4" t="s">
        <v>248</v>
      </c>
      <c r="AZ2109" s="4" t="s">
        <v>249</v>
      </c>
      <c r="BA2109" s="4" t="s">
        <v>241</v>
      </c>
      <c r="BB2109" s="4" t="s">
        <v>250</v>
      </c>
      <c r="BC2109" s="4" t="s">
        <v>241</v>
      </c>
      <c r="BD2109" s="4" t="s">
        <v>252</v>
      </c>
      <c r="BE2109" s="4" t="s">
        <v>241</v>
      </c>
      <c r="BI2109" s="4" t="s">
        <v>253</v>
      </c>
      <c r="BJ2109" s="5" t="s">
        <v>246</v>
      </c>
      <c r="BK2109" s="4" t="s">
        <v>254</v>
      </c>
      <c r="BL2109" s="4" t="s">
        <v>255</v>
      </c>
      <c r="BM2109" s="4" t="s">
        <v>241</v>
      </c>
      <c r="BN2109" s="6">
        <f>0</f>
        <v>0</v>
      </c>
      <c r="BO2109" s="6">
        <f>0</f>
        <v>0</v>
      </c>
      <c r="BP2109" s="4" t="s">
        <v>256</v>
      </c>
      <c r="BQ2109" s="4" t="s">
        <v>257</v>
      </c>
      <c r="CE2109" s="4" t="s">
        <v>241</v>
      </c>
      <c r="CF2109" s="4" t="s">
        <v>241</v>
      </c>
      <c r="CJ2109" s="4" t="s">
        <v>276</v>
      </c>
      <c r="CK2109" s="4" t="s">
        <v>259</v>
      </c>
      <c r="CL2109" s="4" t="s">
        <v>241</v>
      </c>
      <c r="CO2109" s="5" t="s">
        <v>260</v>
      </c>
      <c r="CP2109" s="4" t="s">
        <v>241</v>
      </c>
      <c r="CQ2109" s="4" t="s">
        <v>261</v>
      </c>
      <c r="CR2109" s="4" t="s">
        <v>241</v>
      </c>
      <c r="CS2109" s="4" t="s">
        <v>241</v>
      </c>
      <c r="CT2109" s="4">
        <v>0</v>
      </c>
      <c r="CU2109" s="4" t="s">
        <v>262</v>
      </c>
      <c r="CV2109" s="4" t="s">
        <v>263</v>
      </c>
      <c r="CW2109" s="4" t="s">
        <v>263</v>
      </c>
      <c r="CX2109" s="4" t="s">
        <v>264</v>
      </c>
      <c r="DA2109" s="6">
        <f>1</f>
        <v>1</v>
      </c>
      <c r="DC2109" s="4" t="s">
        <v>325</v>
      </c>
      <c r="DD2109" s="4" t="s">
        <v>241</v>
      </c>
      <c r="DF2109" s="4" t="s">
        <v>325</v>
      </c>
      <c r="DG2109" s="6">
        <f>1013</f>
        <v>1013</v>
      </c>
      <c r="DI2109" s="4" t="s">
        <v>241</v>
      </c>
      <c r="DJ2109" s="4" t="s">
        <v>241</v>
      </c>
      <c r="DK2109" s="4" t="s">
        <v>241</v>
      </c>
      <c r="DL2109" s="4" t="s">
        <v>241</v>
      </c>
      <c r="DP2109" s="4" t="s">
        <v>241</v>
      </c>
      <c r="DQ2109" s="4" t="s">
        <v>241</v>
      </c>
      <c r="DR2109" s="4" t="s">
        <v>241</v>
      </c>
      <c r="DS2109" s="4" t="s">
        <v>241</v>
      </c>
      <c r="DV2109" s="4" t="s">
        <v>426</v>
      </c>
      <c r="DW2109" s="4" t="s">
        <v>1511</v>
      </c>
      <c r="HO2109" s="4" t="s">
        <v>267</v>
      </c>
    </row>
    <row r="2110" spans="1:223" ht="19.5" customHeight="1" x14ac:dyDescent="0.4">
      <c r="A2110" s="4">
        <v>1</v>
      </c>
      <c r="B2110" s="4" t="s">
        <v>239</v>
      </c>
      <c r="C2110" s="4">
        <v>3813</v>
      </c>
      <c r="D2110" s="4">
        <v>1</v>
      </c>
      <c r="E2110" s="4">
        <v>1</v>
      </c>
      <c r="F2110" s="4" t="s">
        <v>268</v>
      </c>
      <c r="G2110" s="4" t="s">
        <v>241</v>
      </c>
      <c r="H2110" s="4" t="s">
        <v>241</v>
      </c>
      <c r="I2110" s="4" t="s">
        <v>424</v>
      </c>
      <c r="J2110" s="4" t="s">
        <v>274</v>
      </c>
      <c r="K2110" s="4" t="s">
        <v>251</v>
      </c>
      <c r="L2110" s="4" t="s">
        <v>423</v>
      </c>
      <c r="M2110" s="5" t="s">
        <v>4162</v>
      </c>
      <c r="N2110" s="6">
        <f>322</f>
        <v>322</v>
      </c>
      <c r="O2110" s="4" t="s">
        <v>265</v>
      </c>
      <c r="P2110" s="6">
        <f>1</f>
        <v>1</v>
      </c>
      <c r="Q2110" s="6">
        <f>0</f>
        <v>0</v>
      </c>
      <c r="S2110" s="6">
        <f>0</f>
        <v>0</v>
      </c>
      <c r="T2110" s="6">
        <f>1</f>
        <v>1</v>
      </c>
      <c r="U2110" s="5" t="s">
        <v>245</v>
      </c>
      <c r="V2110" s="4" t="s">
        <v>270</v>
      </c>
      <c r="W2110" s="4" t="s">
        <v>271</v>
      </c>
      <c r="X2110" s="4" t="s">
        <v>273</v>
      </c>
      <c r="Y2110" s="4" t="s">
        <v>241</v>
      </c>
      <c r="AB2110" s="4" t="s">
        <v>241</v>
      </c>
      <c r="AD2110" s="5" t="s">
        <v>241</v>
      </c>
      <c r="AG2110" s="5" t="s">
        <v>246</v>
      </c>
      <c r="AH2110" s="4" t="s">
        <v>241</v>
      </c>
      <c r="AI2110" s="4" t="s">
        <v>247</v>
      </c>
      <c r="AJ2110" s="4" t="s">
        <v>248</v>
      </c>
      <c r="AZ2110" s="4" t="s">
        <v>249</v>
      </c>
      <c r="BA2110" s="4" t="s">
        <v>241</v>
      </c>
      <c r="BB2110" s="4" t="s">
        <v>250</v>
      </c>
      <c r="BC2110" s="4" t="s">
        <v>241</v>
      </c>
      <c r="BD2110" s="4" t="s">
        <v>252</v>
      </c>
      <c r="BE2110" s="4" t="s">
        <v>241</v>
      </c>
      <c r="BI2110" s="4" t="s">
        <v>253</v>
      </c>
      <c r="BJ2110" s="5" t="s">
        <v>246</v>
      </c>
      <c r="BK2110" s="4" t="s">
        <v>254</v>
      </c>
      <c r="BL2110" s="4" t="s">
        <v>255</v>
      </c>
      <c r="BM2110" s="4" t="s">
        <v>241</v>
      </c>
      <c r="BN2110" s="6">
        <f>0</f>
        <v>0</v>
      </c>
      <c r="BO2110" s="6">
        <f>0</f>
        <v>0</v>
      </c>
      <c r="BP2110" s="4" t="s">
        <v>256</v>
      </c>
      <c r="BQ2110" s="4" t="s">
        <v>257</v>
      </c>
      <c r="CE2110" s="4" t="s">
        <v>241</v>
      </c>
      <c r="CF2110" s="4" t="s">
        <v>241</v>
      </c>
      <c r="CJ2110" s="4" t="s">
        <v>276</v>
      </c>
      <c r="CK2110" s="4" t="s">
        <v>259</v>
      </c>
      <c r="CL2110" s="4" t="s">
        <v>241</v>
      </c>
      <c r="CO2110" s="5" t="s">
        <v>260</v>
      </c>
      <c r="CP2110" s="4" t="s">
        <v>241</v>
      </c>
      <c r="CQ2110" s="4" t="s">
        <v>261</v>
      </c>
      <c r="CR2110" s="4" t="s">
        <v>241</v>
      </c>
      <c r="CS2110" s="4" t="s">
        <v>241</v>
      </c>
      <c r="CT2110" s="4">
        <v>0</v>
      </c>
      <c r="CU2110" s="4" t="s">
        <v>262</v>
      </c>
      <c r="CV2110" s="4" t="s">
        <v>263</v>
      </c>
      <c r="CW2110" s="4" t="s">
        <v>263</v>
      </c>
      <c r="CX2110" s="4" t="s">
        <v>264</v>
      </c>
      <c r="DA2110" s="6">
        <f>1</f>
        <v>1</v>
      </c>
      <c r="DC2110" s="4" t="s">
        <v>325</v>
      </c>
      <c r="DD2110" s="4" t="s">
        <v>241</v>
      </c>
      <c r="DF2110" s="4" t="s">
        <v>325</v>
      </c>
      <c r="DG2110" s="6">
        <f>322</f>
        <v>322</v>
      </c>
      <c r="DI2110" s="4" t="s">
        <v>241</v>
      </c>
      <c r="DJ2110" s="4" t="s">
        <v>241</v>
      </c>
      <c r="DK2110" s="4" t="s">
        <v>241</v>
      </c>
      <c r="DL2110" s="4" t="s">
        <v>241</v>
      </c>
      <c r="DP2110" s="4" t="s">
        <v>241</v>
      </c>
      <c r="DQ2110" s="4" t="s">
        <v>241</v>
      </c>
      <c r="DR2110" s="4" t="s">
        <v>241</v>
      </c>
      <c r="DS2110" s="4" t="s">
        <v>241</v>
      </c>
      <c r="DV2110" s="4" t="s">
        <v>426</v>
      </c>
      <c r="DW2110" s="4" t="s">
        <v>1509</v>
      </c>
      <c r="HO2110" s="4" t="s">
        <v>267</v>
      </c>
    </row>
    <row r="2111" spans="1:223" ht="19.5" customHeight="1" x14ac:dyDescent="0.4">
      <c r="A2111" s="4">
        <v>1</v>
      </c>
      <c r="B2111" s="4" t="s">
        <v>239</v>
      </c>
      <c r="C2111" s="4">
        <v>3814</v>
      </c>
      <c r="D2111" s="4">
        <v>1</v>
      </c>
      <c r="E2111" s="4">
        <v>1</v>
      </c>
      <c r="F2111" s="4" t="s">
        <v>268</v>
      </c>
      <c r="G2111" s="4" t="s">
        <v>241</v>
      </c>
      <c r="H2111" s="4" t="s">
        <v>241</v>
      </c>
      <c r="I2111" s="4" t="s">
        <v>424</v>
      </c>
      <c r="J2111" s="4" t="s">
        <v>274</v>
      </c>
      <c r="K2111" s="4" t="s">
        <v>251</v>
      </c>
      <c r="L2111" s="4" t="s">
        <v>423</v>
      </c>
      <c r="M2111" s="5" t="s">
        <v>4169</v>
      </c>
      <c r="N2111" s="6">
        <f>527</f>
        <v>527</v>
      </c>
      <c r="O2111" s="4" t="s">
        <v>265</v>
      </c>
      <c r="P2111" s="6">
        <f>1</f>
        <v>1</v>
      </c>
      <c r="Q2111" s="6">
        <f>0</f>
        <v>0</v>
      </c>
      <c r="S2111" s="6">
        <f>0</f>
        <v>0</v>
      </c>
      <c r="T2111" s="6">
        <f>1</f>
        <v>1</v>
      </c>
      <c r="U2111" s="5" t="s">
        <v>245</v>
      </c>
      <c r="V2111" s="4" t="s">
        <v>270</v>
      </c>
      <c r="W2111" s="4" t="s">
        <v>271</v>
      </c>
      <c r="X2111" s="4" t="s">
        <v>273</v>
      </c>
      <c r="Y2111" s="4" t="s">
        <v>241</v>
      </c>
      <c r="AB2111" s="4" t="s">
        <v>241</v>
      </c>
      <c r="AD2111" s="5" t="s">
        <v>241</v>
      </c>
      <c r="AG2111" s="5" t="s">
        <v>246</v>
      </c>
      <c r="AH2111" s="4" t="s">
        <v>241</v>
      </c>
      <c r="AI2111" s="4" t="s">
        <v>247</v>
      </c>
      <c r="AJ2111" s="4" t="s">
        <v>248</v>
      </c>
      <c r="AZ2111" s="4" t="s">
        <v>249</v>
      </c>
      <c r="BA2111" s="4" t="s">
        <v>241</v>
      </c>
      <c r="BB2111" s="4" t="s">
        <v>250</v>
      </c>
      <c r="BC2111" s="4" t="s">
        <v>241</v>
      </c>
      <c r="BD2111" s="4" t="s">
        <v>252</v>
      </c>
      <c r="BE2111" s="4" t="s">
        <v>241</v>
      </c>
      <c r="BI2111" s="4" t="s">
        <v>253</v>
      </c>
      <c r="BJ2111" s="5" t="s">
        <v>246</v>
      </c>
      <c r="BK2111" s="4" t="s">
        <v>254</v>
      </c>
      <c r="BL2111" s="4" t="s">
        <v>255</v>
      </c>
      <c r="BM2111" s="4" t="s">
        <v>241</v>
      </c>
      <c r="BN2111" s="6">
        <f>0</f>
        <v>0</v>
      </c>
      <c r="BO2111" s="6">
        <f>0</f>
        <v>0</v>
      </c>
      <c r="BP2111" s="4" t="s">
        <v>256</v>
      </c>
      <c r="BQ2111" s="4" t="s">
        <v>257</v>
      </c>
      <c r="CE2111" s="4" t="s">
        <v>241</v>
      </c>
      <c r="CF2111" s="4" t="s">
        <v>241</v>
      </c>
      <c r="CJ2111" s="4" t="s">
        <v>276</v>
      </c>
      <c r="CK2111" s="4" t="s">
        <v>259</v>
      </c>
      <c r="CL2111" s="4" t="s">
        <v>241</v>
      </c>
      <c r="CO2111" s="5" t="s">
        <v>260</v>
      </c>
      <c r="CP2111" s="4" t="s">
        <v>241</v>
      </c>
      <c r="CQ2111" s="4" t="s">
        <v>261</v>
      </c>
      <c r="CR2111" s="4" t="s">
        <v>241</v>
      </c>
      <c r="CS2111" s="4" t="s">
        <v>241</v>
      </c>
      <c r="CT2111" s="4">
        <v>0</v>
      </c>
      <c r="CU2111" s="4" t="s">
        <v>262</v>
      </c>
      <c r="CV2111" s="4" t="s">
        <v>263</v>
      </c>
      <c r="CW2111" s="4" t="s">
        <v>263</v>
      </c>
      <c r="CX2111" s="4" t="s">
        <v>264</v>
      </c>
      <c r="DA2111" s="6">
        <f>1</f>
        <v>1</v>
      </c>
      <c r="DC2111" s="4" t="s">
        <v>325</v>
      </c>
      <c r="DD2111" s="4" t="s">
        <v>241</v>
      </c>
      <c r="DF2111" s="4" t="s">
        <v>325</v>
      </c>
      <c r="DG2111" s="6">
        <f>527</f>
        <v>527</v>
      </c>
      <c r="DI2111" s="4" t="s">
        <v>241</v>
      </c>
      <c r="DJ2111" s="4" t="s">
        <v>241</v>
      </c>
      <c r="DK2111" s="4" t="s">
        <v>241</v>
      </c>
      <c r="DL2111" s="4" t="s">
        <v>241</v>
      </c>
      <c r="DP2111" s="4" t="s">
        <v>241</v>
      </c>
      <c r="DQ2111" s="4" t="s">
        <v>241</v>
      </c>
      <c r="DR2111" s="4" t="s">
        <v>241</v>
      </c>
      <c r="DS2111" s="4" t="s">
        <v>241</v>
      </c>
      <c r="DV2111" s="4" t="s">
        <v>426</v>
      </c>
      <c r="DW2111" s="4" t="s">
        <v>1505</v>
      </c>
      <c r="HO2111" s="4" t="s">
        <v>267</v>
      </c>
    </row>
    <row r="2112" spans="1:223" ht="19.5" customHeight="1" x14ac:dyDescent="0.4">
      <c r="A2112" s="4">
        <v>1</v>
      </c>
      <c r="B2112" s="4" t="s">
        <v>239</v>
      </c>
      <c r="C2112" s="4">
        <v>3815</v>
      </c>
      <c r="D2112" s="4">
        <v>1</v>
      </c>
      <c r="E2112" s="4">
        <v>1</v>
      </c>
      <c r="F2112" s="4" t="s">
        <v>268</v>
      </c>
      <c r="G2112" s="4" t="s">
        <v>241</v>
      </c>
      <c r="H2112" s="4" t="s">
        <v>241</v>
      </c>
      <c r="I2112" s="4" t="s">
        <v>424</v>
      </c>
      <c r="J2112" s="4" t="s">
        <v>274</v>
      </c>
      <c r="K2112" s="4" t="s">
        <v>251</v>
      </c>
      <c r="L2112" s="4" t="s">
        <v>423</v>
      </c>
      <c r="M2112" s="5" t="s">
        <v>4171</v>
      </c>
      <c r="N2112" s="6">
        <f>205</f>
        <v>205</v>
      </c>
      <c r="O2112" s="4" t="s">
        <v>265</v>
      </c>
      <c r="P2112" s="6">
        <f>1</f>
        <v>1</v>
      </c>
      <c r="Q2112" s="6">
        <f>0</f>
        <v>0</v>
      </c>
      <c r="S2112" s="6">
        <f>0</f>
        <v>0</v>
      </c>
      <c r="T2112" s="6">
        <f>1</f>
        <v>1</v>
      </c>
      <c r="U2112" s="5" t="s">
        <v>245</v>
      </c>
      <c r="V2112" s="4" t="s">
        <v>270</v>
      </c>
      <c r="W2112" s="4" t="s">
        <v>271</v>
      </c>
      <c r="X2112" s="4" t="s">
        <v>273</v>
      </c>
      <c r="Y2112" s="4" t="s">
        <v>241</v>
      </c>
      <c r="AB2112" s="4" t="s">
        <v>241</v>
      </c>
      <c r="AD2112" s="5" t="s">
        <v>241</v>
      </c>
      <c r="AG2112" s="5" t="s">
        <v>246</v>
      </c>
      <c r="AH2112" s="4" t="s">
        <v>241</v>
      </c>
      <c r="AI2112" s="4" t="s">
        <v>247</v>
      </c>
      <c r="AJ2112" s="4" t="s">
        <v>248</v>
      </c>
      <c r="AZ2112" s="4" t="s">
        <v>249</v>
      </c>
      <c r="BA2112" s="4" t="s">
        <v>241</v>
      </c>
      <c r="BB2112" s="4" t="s">
        <v>250</v>
      </c>
      <c r="BC2112" s="4" t="s">
        <v>241</v>
      </c>
      <c r="BD2112" s="4" t="s">
        <v>252</v>
      </c>
      <c r="BE2112" s="4" t="s">
        <v>241</v>
      </c>
      <c r="BI2112" s="4" t="s">
        <v>253</v>
      </c>
      <c r="BJ2112" s="5" t="s">
        <v>246</v>
      </c>
      <c r="BK2112" s="4" t="s">
        <v>254</v>
      </c>
      <c r="BL2112" s="4" t="s">
        <v>255</v>
      </c>
      <c r="BM2112" s="4" t="s">
        <v>241</v>
      </c>
      <c r="BN2112" s="6">
        <f>0</f>
        <v>0</v>
      </c>
      <c r="BO2112" s="6">
        <f>0</f>
        <v>0</v>
      </c>
      <c r="BP2112" s="4" t="s">
        <v>256</v>
      </c>
      <c r="BQ2112" s="4" t="s">
        <v>257</v>
      </c>
      <c r="CE2112" s="4" t="s">
        <v>241</v>
      </c>
      <c r="CF2112" s="4" t="s">
        <v>241</v>
      </c>
      <c r="CJ2112" s="4" t="s">
        <v>276</v>
      </c>
      <c r="CK2112" s="4" t="s">
        <v>259</v>
      </c>
      <c r="CL2112" s="4" t="s">
        <v>241</v>
      </c>
      <c r="CO2112" s="5" t="s">
        <v>260</v>
      </c>
      <c r="CP2112" s="4" t="s">
        <v>241</v>
      </c>
      <c r="CQ2112" s="4" t="s">
        <v>261</v>
      </c>
      <c r="CR2112" s="4" t="s">
        <v>241</v>
      </c>
      <c r="CS2112" s="4" t="s">
        <v>241</v>
      </c>
      <c r="CT2112" s="4">
        <v>0</v>
      </c>
      <c r="CU2112" s="4" t="s">
        <v>262</v>
      </c>
      <c r="CV2112" s="4" t="s">
        <v>263</v>
      </c>
      <c r="CW2112" s="4" t="s">
        <v>263</v>
      </c>
      <c r="CX2112" s="4" t="s">
        <v>264</v>
      </c>
      <c r="DA2112" s="6">
        <f>1</f>
        <v>1</v>
      </c>
      <c r="DC2112" s="4" t="s">
        <v>325</v>
      </c>
      <c r="DD2112" s="4" t="s">
        <v>241</v>
      </c>
      <c r="DF2112" s="4" t="s">
        <v>325</v>
      </c>
      <c r="DG2112" s="6">
        <f>205</f>
        <v>205</v>
      </c>
      <c r="DI2112" s="4" t="s">
        <v>241</v>
      </c>
      <c r="DJ2112" s="4" t="s">
        <v>241</v>
      </c>
      <c r="DK2112" s="4" t="s">
        <v>241</v>
      </c>
      <c r="DL2112" s="4" t="s">
        <v>241</v>
      </c>
      <c r="DP2112" s="4" t="s">
        <v>241</v>
      </c>
      <c r="DQ2112" s="4" t="s">
        <v>241</v>
      </c>
      <c r="DR2112" s="4" t="s">
        <v>241</v>
      </c>
      <c r="DS2112" s="4" t="s">
        <v>241</v>
      </c>
      <c r="DV2112" s="4" t="s">
        <v>426</v>
      </c>
      <c r="DW2112" s="4" t="s">
        <v>1503</v>
      </c>
      <c r="HO2112" s="4" t="s">
        <v>267</v>
      </c>
    </row>
    <row r="2113" spans="1:223" ht="19.5" customHeight="1" x14ac:dyDescent="0.4">
      <c r="A2113" s="4">
        <v>1</v>
      </c>
      <c r="B2113" s="4" t="s">
        <v>239</v>
      </c>
      <c r="C2113" s="4">
        <v>3816</v>
      </c>
      <c r="D2113" s="4">
        <v>1</v>
      </c>
      <c r="E2113" s="4">
        <v>1</v>
      </c>
      <c r="F2113" s="4" t="s">
        <v>268</v>
      </c>
      <c r="G2113" s="4" t="s">
        <v>241</v>
      </c>
      <c r="H2113" s="4" t="s">
        <v>241</v>
      </c>
      <c r="I2113" s="4" t="s">
        <v>424</v>
      </c>
      <c r="J2113" s="4" t="s">
        <v>274</v>
      </c>
      <c r="K2113" s="4" t="s">
        <v>251</v>
      </c>
      <c r="L2113" s="4" t="s">
        <v>423</v>
      </c>
      <c r="M2113" s="5" t="s">
        <v>4175</v>
      </c>
      <c r="N2113" s="6">
        <f>1331</f>
        <v>1331</v>
      </c>
      <c r="O2113" s="4" t="s">
        <v>265</v>
      </c>
      <c r="P2113" s="6">
        <f>1</f>
        <v>1</v>
      </c>
      <c r="Q2113" s="6">
        <f>0</f>
        <v>0</v>
      </c>
      <c r="S2113" s="6">
        <f>0</f>
        <v>0</v>
      </c>
      <c r="T2113" s="6">
        <f>1</f>
        <v>1</v>
      </c>
      <c r="U2113" s="5" t="s">
        <v>245</v>
      </c>
      <c r="V2113" s="4" t="s">
        <v>270</v>
      </c>
      <c r="W2113" s="4" t="s">
        <v>271</v>
      </c>
      <c r="X2113" s="4" t="s">
        <v>273</v>
      </c>
      <c r="Y2113" s="4" t="s">
        <v>241</v>
      </c>
      <c r="AB2113" s="4" t="s">
        <v>241</v>
      </c>
      <c r="AD2113" s="5" t="s">
        <v>241</v>
      </c>
      <c r="AG2113" s="5" t="s">
        <v>246</v>
      </c>
      <c r="AH2113" s="4" t="s">
        <v>241</v>
      </c>
      <c r="AI2113" s="4" t="s">
        <v>247</v>
      </c>
      <c r="AJ2113" s="4" t="s">
        <v>248</v>
      </c>
      <c r="AZ2113" s="4" t="s">
        <v>249</v>
      </c>
      <c r="BA2113" s="4" t="s">
        <v>241</v>
      </c>
      <c r="BB2113" s="4" t="s">
        <v>250</v>
      </c>
      <c r="BC2113" s="4" t="s">
        <v>241</v>
      </c>
      <c r="BD2113" s="4" t="s">
        <v>252</v>
      </c>
      <c r="BE2113" s="4" t="s">
        <v>241</v>
      </c>
      <c r="BI2113" s="4" t="s">
        <v>253</v>
      </c>
      <c r="BJ2113" s="5" t="s">
        <v>246</v>
      </c>
      <c r="BK2113" s="4" t="s">
        <v>254</v>
      </c>
      <c r="BL2113" s="4" t="s">
        <v>255</v>
      </c>
      <c r="BM2113" s="4" t="s">
        <v>241</v>
      </c>
      <c r="BN2113" s="6">
        <f>0</f>
        <v>0</v>
      </c>
      <c r="BO2113" s="6">
        <f>0</f>
        <v>0</v>
      </c>
      <c r="BP2113" s="4" t="s">
        <v>256</v>
      </c>
      <c r="BQ2113" s="4" t="s">
        <v>257</v>
      </c>
      <c r="CE2113" s="4" t="s">
        <v>241</v>
      </c>
      <c r="CF2113" s="4" t="s">
        <v>241</v>
      </c>
      <c r="CJ2113" s="4" t="s">
        <v>276</v>
      </c>
      <c r="CK2113" s="4" t="s">
        <v>259</v>
      </c>
      <c r="CL2113" s="4" t="s">
        <v>241</v>
      </c>
      <c r="CO2113" s="5" t="s">
        <v>260</v>
      </c>
      <c r="CP2113" s="4" t="s">
        <v>241</v>
      </c>
      <c r="CQ2113" s="4" t="s">
        <v>261</v>
      </c>
      <c r="CR2113" s="4" t="s">
        <v>241</v>
      </c>
      <c r="CS2113" s="4" t="s">
        <v>241</v>
      </c>
      <c r="CT2113" s="4">
        <v>0</v>
      </c>
      <c r="CU2113" s="4" t="s">
        <v>262</v>
      </c>
      <c r="CV2113" s="4" t="s">
        <v>263</v>
      </c>
      <c r="CW2113" s="4" t="s">
        <v>263</v>
      </c>
      <c r="CX2113" s="4" t="s">
        <v>264</v>
      </c>
      <c r="DA2113" s="6">
        <f>1</f>
        <v>1</v>
      </c>
      <c r="DC2113" s="4" t="s">
        <v>325</v>
      </c>
      <c r="DD2113" s="4" t="s">
        <v>241</v>
      </c>
      <c r="DF2113" s="4" t="s">
        <v>325</v>
      </c>
      <c r="DG2113" s="6">
        <f>1331</f>
        <v>1331</v>
      </c>
      <c r="DI2113" s="4" t="s">
        <v>241</v>
      </c>
      <c r="DJ2113" s="4" t="s">
        <v>241</v>
      </c>
      <c r="DK2113" s="4" t="s">
        <v>241</v>
      </c>
      <c r="DL2113" s="4" t="s">
        <v>241</v>
      </c>
      <c r="DP2113" s="4" t="s">
        <v>241</v>
      </c>
      <c r="DQ2113" s="4" t="s">
        <v>241</v>
      </c>
      <c r="DR2113" s="4" t="s">
        <v>241</v>
      </c>
      <c r="DS2113" s="4" t="s">
        <v>241</v>
      </c>
      <c r="DV2113" s="4" t="s">
        <v>426</v>
      </c>
      <c r="DW2113" s="4" t="s">
        <v>1501</v>
      </c>
      <c r="HO2113" s="4" t="s">
        <v>267</v>
      </c>
    </row>
    <row r="2114" spans="1:223" ht="19.5" customHeight="1" x14ac:dyDescent="0.4">
      <c r="A2114" s="4">
        <v>1</v>
      </c>
      <c r="B2114" s="4" t="s">
        <v>239</v>
      </c>
      <c r="C2114" s="4">
        <v>3817</v>
      </c>
      <c r="D2114" s="4">
        <v>1</v>
      </c>
      <c r="E2114" s="4">
        <v>1</v>
      </c>
      <c r="F2114" s="4" t="s">
        <v>268</v>
      </c>
      <c r="G2114" s="4" t="s">
        <v>241</v>
      </c>
      <c r="H2114" s="4" t="s">
        <v>241</v>
      </c>
      <c r="I2114" s="4" t="s">
        <v>424</v>
      </c>
      <c r="J2114" s="4" t="s">
        <v>274</v>
      </c>
      <c r="K2114" s="4" t="s">
        <v>251</v>
      </c>
      <c r="L2114" s="4" t="s">
        <v>423</v>
      </c>
      <c r="M2114" s="5" t="s">
        <v>4177</v>
      </c>
      <c r="N2114" s="6">
        <f>359</f>
        <v>359</v>
      </c>
      <c r="O2114" s="4" t="s">
        <v>265</v>
      </c>
      <c r="P2114" s="6">
        <f>1</f>
        <v>1</v>
      </c>
      <c r="Q2114" s="6">
        <f>0</f>
        <v>0</v>
      </c>
      <c r="S2114" s="6">
        <f>0</f>
        <v>0</v>
      </c>
      <c r="T2114" s="6">
        <f>1</f>
        <v>1</v>
      </c>
      <c r="U2114" s="5" t="s">
        <v>245</v>
      </c>
      <c r="V2114" s="4" t="s">
        <v>270</v>
      </c>
      <c r="W2114" s="4" t="s">
        <v>271</v>
      </c>
      <c r="X2114" s="4" t="s">
        <v>273</v>
      </c>
      <c r="Y2114" s="4" t="s">
        <v>241</v>
      </c>
      <c r="AB2114" s="4" t="s">
        <v>241</v>
      </c>
      <c r="AD2114" s="5" t="s">
        <v>241</v>
      </c>
      <c r="AG2114" s="5" t="s">
        <v>246</v>
      </c>
      <c r="AH2114" s="4" t="s">
        <v>241</v>
      </c>
      <c r="AI2114" s="4" t="s">
        <v>247</v>
      </c>
      <c r="AJ2114" s="4" t="s">
        <v>248</v>
      </c>
      <c r="AZ2114" s="4" t="s">
        <v>249</v>
      </c>
      <c r="BA2114" s="4" t="s">
        <v>241</v>
      </c>
      <c r="BB2114" s="4" t="s">
        <v>250</v>
      </c>
      <c r="BC2114" s="4" t="s">
        <v>241</v>
      </c>
      <c r="BD2114" s="4" t="s">
        <v>252</v>
      </c>
      <c r="BE2114" s="4" t="s">
        <v>241</v>
      </c>
      <c r="BI2114" s="4" t="s">
        <v>253</v>
      </c>
      <c r="BJ2114" s="5" t="s">
        <v>246</v>
      </c>
      <c r="BK2114" s="4" t="s">
        <v>254</v>
      </c>
      <c r="BL2114" s="4" t="s">
        <v>255</v>
      </c>
      <c r="BM2114" s="4" t="s">
        <v>241</v>
      </c>
      <c r="BN2114" s="6">
        <f>0</f>
        <v>0</v>
      </c>
      <c r="BO2114" s="6">
        <f>0</f>
        <v>0</v>
      </c>
      <c r="BP2114" s="4" t="s">
        <v>256</v>
      </c>
      <c r="BQ2114" s="4" t="s">
        <v>257</v>
      </c>
      <c r="CE2114" s="4" t="s">
        <v>241</v>
      </c>
      <c r="CF2114" s="4" t="s">
        <v>241</v>
      </c>
      <c r="CJ2114" s="4" t="s">
        <v>276</v>
      </c>
      <c r="CK2114" s="4" t="s">
        <v>259</v>
      </c>
      <c r="CL2114" s="4" t="s">
        <v>241</v>
      </c>
      <c r="CO2114" s="5" t="s">
        <v>260</v>
      </c>
      <c r="CP2114" s="4" t="s">
        <v>241</v>
      </c>
      <c r="CQ2114" s="4" t="s">
        <v>261</v>
      </c>
      <c r="CR2114" s="4" t="s">
        <v>241</v>
      </c>
      <c r="CS2114" s="4" t="s">
        <v>241</v>
      </c>
      <c r="CT2114" s="4">
        <v>0</v>
      </c>
      <c r="CU2114" s="4" t="s">
        <v>262</v>
      </c>
      <c r="CV2114" s="4" t="s">
        <v>263</v>
      </c>
      <c r="CW2114" s="4" t="s">
        <v>263</v>
      </c>
      <c r="CX2114" s="4" t="s">
        <v>264</v>
      </c>
      <c r="DA2114" s="6">
        <f>1</f>
        <v>1</v>
      </c>
      <c r="DC2114" s="4" t="s">
        <v>325</v>
      </c>
      <c r="DD2114" s="4" t="s">
        <v>241</v>
      </c>
      <c r="DF2114" s="4" t="s">
        <v>325</v>
      </c>
      <c r="DG2114" s="6">
        <f>359</f>
        <v>359</v>
      </c>
      <c r="DI2114" s="4" t="s">
        <v>241</v>
      </c>
      <c r="DJ2114" s="4" t="s">
        <v>241</v>
      </c>
      <c r="DK2114" s="4" t="s">
        <v>241</v>
      </c>
      <c r="DL2114" s="4" t="s">
        <v>241</v>
      </c>
      <c r="DP2114" s="4" t="s">
        <v>241</v>
      </c>
      <c r="DQ2114" s="4" t="s">
        <v>241</v>
      </c>
      <c r="DR2114" s="4" t="s">
        <v>241</v>
      </c>
      <c r="DS2114" s="4" t="s">
        <v>241</v>
      </c>
      <c r="DV2114" s="4" t="s">
        <v>426</v>
      </c>
      <c r="DW2114" s="4" t="s">
        <v>1499</v>
      </c>
      <c r="HO2114" s="4" t="s">
        <v>267</v>
      </c>
    </row>
    <row r="2115" spans="1:223" ht="19.5" customHeight="1" x14ac:dyDescent="0.4">
      <c r="A2115" s="4">
        <v>1</v>
      </c>
      <c r="B2115" s="4" t="s">
        <v>239</v>
      </c>
      <c r="C2115" s="4">
        <v>3818</v>
      </c>
      <c r="D2115" s="4">
        <v>1</v>
      </c>
      <c r="E2115" s="4">
        <v>1</v>
      </c>
      <c r="F2115" s="4" t="s">
        <v>268</v>
      </c>
      <c r="G2115" s="4" t="s">
        <v>241</v>
      </c>
      <c r="H2115" s="4" t="s">
        <v>241</v>
      </c>
      <c r="I2115" s="4" t="s">
        <v>424</v>
      </c>
      <c r="J2115" s="4" t="s">
        <v>274</v>
      </c>
      <c r="K2115" s="4" t="s">
        <v>251</v>
      </c>
      <c r="L2115" s="4" t="s">
        <v>423</v>
      </c>
      <c r="M2115" s="5" t="s">
        <v>4185</v>
      </c>
      <c r="N2115" s="6">
        <f>445</f>
        <v>445</v>
      </c>
      <c r="O2115" s="4" t="s">
        <v>265</v>
      </c>
      <c r="P2115" s="6">
        <f>1</f>
        <v>1</v>
      </c>
      <c r="Q2115" s="6">
        <f>0</f>
        <v>0</v>
      </c>
      <c r="S2115" s="6">
        <f>0</f>
        <v>0</v>
      </c>
      <c r="T2115" s="6">
        <f>1</f>
        <v>1</v>
      </c>
      <c r="U2115" s="5" t="s">
        <v>245</v>
      </c>
      <c r="V2115" s="4" t="s">
        <v>270</v>
      </c>
      <c r="W2115" s="4" t="s">
        <v>271</v>
      </c>
      <c r="X2115" s="4" t="s">
        <v>273</v>
      </c>
      <c r="Y2115" s="4" t="s">
        <v>241</v>
      </c>
      <c r="AB2115" s="4" t="s">
        <v>241</v>
      </c>
      <c r="AD2115" s="5" t="s">
        <v>241</v>
      </c>
      <c r="AG2115" s="5" t="s">
        <v>246</v>
      </c>
      <c r="AH2115" s="4" t="s">
        <v>241</v>
      </c>
      <c r="AI2115" s="4" t="s">
        <v>247</v>
      </c>
      <c r="AJ2115" s="4" t="s">
        <v>248</v>
      </c>
      <c r="AZ2115" s="4" t="s">
        <v>249</v>
      </c>
      <c r="BA2115" s="4" t="s">
        <v>241</v>
      </c>
      <c r="BB2115" s="4" t="s">
        <v>250</v>
      </c>
      <c r="BC2115" s="4" t="s">
        <v>241</v>
      </c>
      <c r="BD2115" s="4" t="s">
        <v>252</v>
      </c>
      <c r="BE2115" s="4" t="s">
        <v>241</v>
      </c>
      <c r="BI2115" s="4" t="s">
        <v>253</v>
      </c>
      <c r="BJ2115" s="5" t="s">
        <v>246</v>
      </c>
      <c r="BK2115" s="4" t="s">
        <v>254</v>
      </c>
      <c r="BL2115" s="4" t="s">
        <v>255</v>
      </c>
      <c r="BM2115" s="4" t="s">
        <v>241</v>
      </c>
      <c r="BN2115" s="6">
        <f>0</f>
        <v>0</v>
      </c>
      <c r="BO2115" s="6">
        <f>0</f>
        <v>0</v>
      </c>
      <c r="BP2115" s="4" t="s">
        <v>256</v>
      </c>
      <c r="BQ2115" s="4" t="s">
        <v>257</v>
      </c>
      <c r="CE2115" s="4" t="s">
        <v>241</v>
      </c>
      <c r="CF2115" s="4" t="s">
        <v>241</v>
      </c>
      <c r="CJ2115" s="4" t="s">
        <v>276</v>
      </c>
      <c r="CK2115" s="4" t="s">
        <v>259</v>
      </c>
      <c r="CL2115" s="4" t="s">
        <v>241</v>
      </c>
      <c r="CO2115" s="5" t="s">
        <v>260</v>
      </c>
      <c r="CP2115" s="4" t="s">
        <v>241</v>
      </c>
      <c r="CQ2115" s="4" t="s">
        <v>261</v>
      </c>
      <c r="CR2115" s="4" t="s">
        <v>241</v>
      </c>
      <c r="CS2115" s="4" t="s">
        <v>241</v>
      </c>
      <c r="CT2115" s="4">
        <v>0</v>
      </c>
      <c r="CU2115" s="4" t="s">
        <v>262</v>
      </c>
      <c r="CV2115" s="4" t="s">
        <v>263</v>
      </c>
      <c r="CW2115" s="4" t="s">
        <v>263</v>
      </c>
      <c r="CX2115" s="4" t="s">
        <v>264</v>
      </c>
      <c r="DA2115" s="6">
        <f>1</f>
        <v>1</v>
      </c>
      <c r="DC2115" s="4" t="s">
        <v>325</v>
      </c>
      <c r="DD2115" s="4" t="s">
        <v>241</v>
      </c>
      <c r="DF2115" s="4" t="s">
        <v>325</v>
      </c>
      <c r="DG2115" s="6">
        <f>445</f>
        <v>445</v>
      </c>
      <c r="DI2115" s="4" t="s">
        <v>241</v>
      </c>
      <c r="DJ2115" s="4" t="s">
        <v>241</v>
      </c>
      <c r="DK2115" s="4" t="s">
        <v>241</v>
      </c>
      <c r="DL2115" s="4" t="s">
        <v>241</v>
      </c>
      <c r="DP2115" s="4" t="s">
        <v>241</v>
      </c>
      <c r="DQ2115" s="4" t="s">
        <v>241</v>
      </c>
      <c r="DR2115" s="4" t="s">
        <v>241</v>
      </c>
      <c r="DS2115" s="4" t="s">
        <v>241</v>
      </c>
      <c r="DV2115" s="4" t="s">
        <v>426</v>
      </c>
      <c r="DW2115" s="4" t="s">
        <v>1495</v>
      </c>
      <c r="HO2115" s="4" t="s">
        <v>267</v>
      </c>
    </row>
    <row r="2116" spans="1:223" ht="19.5" customHeight="1" x14ac:dyDescent="0.4">
      <c r="A2116" s="4">
        <v>1</v>
      </c>
      <c r="B2116" s="4" t="s">
        <v>239</v>
      </c>
      <c r="C2116" s="4">
        <v>3819</v>
      </c>
      <c r="D2116" s="4">
        <v>1</v>
      </c>
      <c r="E2116" s="4">
        <v>1</v>
      </c>
      <c r="F2116" s="4" t="s">
        <v>268</v>
      </c>
      <c r="G2116" s="4" t="s">
        <v>241</v>
      </c>
      <c r="H2116" s="4" t="s">
        <v>241</v>
      </c>
      <c r="I2116" s="4" t="s">
        <v>424</v>
      </c>
      <c r="J2116" s="4" t="s">
        <v>274</v>
      </c>
      <c r="K2116" s="4" t="s">
        <v>251</v>
      </c>
      <c r="L2116" s="4" t="s">
        <v>423</v>
      </c>
      <c r="M2116" s="5" t="s">
        <v>4187</v>
      </c>
      <c r="N2116" s="6">
        <f>272</f>
        <v>272</v>
      </c>
      <c r="O2116" s="4" t="s">
        <v>265</v>
      </c>
      <c r="P2116" s="6">
        <f>1</f>
        <v>1</v>
      </c>
      <c r="Q2116" s="6">
        <f>0</f>
        <v>0</v>
      </c>
      <c r="S2116" s="6">
        <f>0</f>
        <v>0</v>
      </c>
      <c r="T2116" s="6">
        <f>1</f>
        <v>1</v>
      </c>
      <c r="U2116" s="5" t="s">
        <v>245</v>
      </c>
      <c r="V2116" s="4" t="s">
        <v>270</v>
      </c>
      <c r="W2116" s="4" t="s">
        <v>271</v>
      </c>
      <c r="X2116" s="4" t="s">
        <v>273</v>
      </c>
      <c r="Y2116" s="4" t="s">
        <v>241</v>
      </c>
      <c r="AB2116" s="4" t="s">
        <v>241</v>
      </c>
      <c r="AD2116" s="5" t="s">
        <v>241</v>
      </c>
      <c r="AG2116" s="5" t="s">
        <v>246</v>
      </c>
      <c r="AH2116" s="4" t="s">
        <v>241</v>
      </c>
      <c r="AI2116" s="4" t="s">
        <v>247</v>
      </c>
      <c r="AJ2116" s="4" t="s">
        <v>248</v>
      </c>
      <c r="AZ2116" s="4" t="s">
        <v>249</v>
      </c>
      <c r="BA2116" s="4" t="s">
        <v>241</v>
      </c>
      <c r="BB2116" s="4" t="s">
        <v>250</v>
      </c>
      <c r="BC2116" s="4" t="s">
        <v>241</v>
      </c>
      <c r="BD2116" s="4" t="s">
        <v>252</v>
      </c>
      <c r="BE2116" s="4" t="s">
        <v>241</v>
      </c>
      <c r="BI2116" s="4" t="s">
        <v>253</v>
      </c>
      <c r="BJ2116" s="5" t="s">
        <v>246</v>
      </c>
      <c r="BK2116" s="4" t="s">
        <v>254</v>
      </c>
      <c r="BL2116" s="4" t="s">
        <v>255</v>
      </c>
      <c r="BM2116" s="4" t="s">
        <v>241</v>
      </c>
      <c r="BN2116" s="6">
        <f>0</f>
        <v>0</v>
      </c>
      <c r="BO2116" s="6">
        <f>0</f>
        <v>0</v>
      </c>
      <c r="BP2116" s="4" t="s">
        <v>256</v>
      </c>
      <c r="BQ2116" s="4" t="s">
        <v>257</v>
      </c>
      <c r="CE2116" s="4" t="s">
        <v>241</v>
      </c>
      <c r="CF2116" s="4" t="s">
        <v>241</v>
      </c>
      <c r="CJ2116" s="4" t="s">
        <v>276</v>
      </c>
      <c r="CK2116" s="4" t="s">
        <v>259</v>
      </c>
      <c r="CL2116" s="4" t="s">
        <v>241</v>
      </c>
      <c r="CO2116" s="5" t="s">
        <v>260</v>
      </c>
      <c r="CP2116" s="4" t="s">
        <v>241</v>
      </c>
      <c r="CQ2116" s="4" t="s">
        <v>261</v>
      </c>
      <c r="CR2116" s="4" t="s">
        <v>241</v>
      </c>
      <c r="CS2116" s="4" t="s">
        <v>241</v>
      </c>
      <c r="CT2116" s="4">
        <v>0</v>
      </c>
      <c r="CU2116" s="4" t="s">
        <v>262</v>
      </c>
      <c r="CV2116" s="4" t="s">
        <v>263</v>
      </c>
      <c r="CW2116" s="4" t="s">
        <v>263</v>
      </c>
      <c r="CX2116" s="4" t="s">
        <v>264</v>
      </c>
      <c r="DA2116" s="6">
        <f>1</f>
        <v>1</v>
      </c>
      <c r="DC2116" s="4" t="s">
        <v>325</v>
      </c>
      <c r="DD2116" s="4" t="s">
        <v>241</v>
      </c>
      <c r="DF2116" s="4" t="s">
        <v>325</v>
      </c>
      <c r="DG2116" s="6">
        <f>272</f>
        <v>272</v>
      </c>
      <c r="DI2116" s="4" t="s">
        <v>241</v>
      </c>
      <c r="DJ2116" s="4" t="s">
        <v>241</v>
      </c>
      <c r="DK2116" s="4" t="s">
        <v>241</v>
      </c>
      <c r="DL2116" s="4" t="s">
        <v>241</v>
      </c>
      <c r="DP2116" s="4" t="s">
        <v>241</v>
      </c>
      <c r="DQ2116" s="4" t="s">
        <v>241</v>
      </c>
      <c r="DR2116" s="4" t="s">
        <v>241</v>
      </c>
      <c r="DS2116" s="4" t="s">
        <v>241</v>
      </c>
      <c r="DV2116" s="4" t="s">
        <v>426</v>
      </c>
      <c r="DW2116" s="4" t="s">
        <v>1493</v>
      </c>
      <c r="HO2116" s="4" t="s">
        <v>267</v>
      </c>
    </row>
    <row r="2117" spans="1:223" ht="19.5" customHeight="1" x14ac:dyDescent="0.4">
      <c r="A2117" s="4">
        <v>1</v>
      </c>
      <c r="B2117" s="4" t="s">
        <v>239</v>
      </c>
      <c r="C2117" s="4">
        <v>3820</v>
      </c>
      <c r="D2117" s="4">
        <v>1</v>
      </c>
      <c r="E2117" s="4">
        <v>1</v>
      </c>
      <c r="F2117" s="4" t="s">
        <v>268</v>
      </c>
      <c r="G2117" s="4" t="s">
        <v>241</v>
      </c>
      <c r="H2117" s="4" t="s">
        <v>241</v>
      </c>
      <c r="I2117" s="4" t="s">
        <v>424</v>
      </c>
      <c r="J2117" s="4" t="s">
        <v>274</v>
      </c>
      <c r="K2117" s="4" t="s">
        <v>251</v>
      </c>
      <c r="L2117" s="4" t="s">
        <v>423</v>
      </c>
      <c r="M2117" s="5" t="s">
        <v>4190</v>
      </c>
      <c r="N2117" s="6">
        <f>967</f>
        <v>967</v>
      </c>
      <c r="O2117" s="4" t="s">
        <v>265</v>
      </c>
      <c r="P2117" s="6">
        <f>1</f>
        <v>1</v>
      </c>
      <c r="Q2117" s="6">
        <f>0</f>
        <v>0</v>
      </c>
      <c r="S2117" s="6">
        <f>0</f>
        <v>0</v>
      </c>
      <c r="T2117" s="6">
        <f>1</f>
        <v>1</v>
      </c>
      <c r="U2117" s="5" t="s">
        <v>245</v>
      </c>
      <c r="V2117" s="4" t="s">
        <v>270</v>
      </c>
      <c r="W2117" s="4" t="s">
        <v>271</v>
      </c>
      <c r="X2117" s="4" t="s">
        <v>273</v>
      </c>
      <c r="Y2117" s="4" t="s">
        <v>241</v>
      </c>
      <c r="AB2117" s="4" t="s">
        <v>241</v>
      </c>
      <c r="AD2117" s="5" t="s">
        <v>241</v>
      </c>
      <c r="AG2117" s="5" t="s">
        <v>246</v>
      </c>
      <c r="AH2117" s="4" t="s">
        <v>241</v>
      </c>
      <c r="AI2117" s="4" t="s">
        <v>247</v>
      </c>
      <c r="AJ2117" s="4" t="s">
        <v>248</v>
      </c>
      <c r="AZ2117" s="4" t="s">
        <v>249</v>
      </c>
      <c r="BA2117" s="4" t="s">
        <v>241</v>
      </c>
      <c r="BB2117" s="4" t="s">
        <v>250</v>
      </c>
      <c r="BC2117" s="4" t="s">
        <v>241</v>
      </c>
      <c r="BD2117" s="4" t="s">
        <v>252</v>
      </c>
      <c r="BE2117" s="4" t="s">
        <v>241</v>
      </c>
      <c r="BI2117" s="4" t="s">
        <v>253</v>
      </c>
      <c r="BJ2117" s="5" t="s">
        <v>246</v>
      </c>
      <c r="BK2117" s="4" t="s">
        <v>254</v>
      </c>
      <c r="BL2117" s="4" t="s">
        <v>255</v>
      </c>
      <c r="BM2117" s="4" t="s">
        <v>241</v>
      </c>
      <c r="BN2117" s="6">
        <f>0</f>
        <v>0</v>
      </c>
      <c r="BO2117" s="6">
        <f>0</f>
        <v>0</v>
      </c>
      <c r="BP2117" s="4" t="s">
        <v>256</v>
      </c>
      <c r="BQ2117" s="4" t="s">
        <v>257</v>
      </c>
      <c r="CE2117" s="4" t="s">
        <v>241</v>
      </c>
      <c r="CF2117" s="4" t="s">
        <v>241</v>
      </c>
      <c r="CJ2117" s="4" t="s">
        <v>276</v>
      </c>
      <c r="CK2117" s="4" t="s">
        <v>259</v>
      </c>
      <c r="CL2117" s="4" t="s">
        <v>241</v>
      </c>
      <c r="CO2117" s="5" t="s">
        <v>260</v>
      </c>
      <c r="CP2117" s="4" t="s">
        <v>241</v>
      </c>
      <c r="CQ2117" s="4" t="s">
        <v>261</v>
      </c>
      <c r="CR2117" s="4" t="s">
        <v>241</v>
      </c>
      <c r="CS2117" s="4" t="s">
        <v>241</v>
      </c>
      <c r="CT2117" s="4">
        <v>0</v>
      </c>
      <c r="CU2117" s="4" t="s">
        <v>262</v>
      </c>
      <c r="CV2117" s="4" t="s">
        <v>263</v>
      </c>
      <c r="CW2117" s="4" t="s">
        <v>263</v>
      </c>
      <c r="CX2117" s="4" t="s">
        <v>264</v>
      </c>
      <c r="DA2117" s="6">
        <f>1</f>
        <v>1</v>
      </c>
      <c r="DC2117" s="4" t="s">
        <v>325</v>
      </c>
      <c r="DD2117" s="4" t="s">
        <v>241</v>
      </c>
      <c r="DF2117" s="4" t="s">
        <v>325</v>
      </c>
      <c r="DG2117" s="6">
        <f>967</f>
        <v>967</v>
      </c>
      <c r="DI2117" s="4" t="s">
        <v>241</v>
      </c>
      <c r="DJ2117" s="4" t="s">
        <v>241</v>
      </c>
      <c r="DK2117" s="4" t="s">
        <v>241</v>
      </c>
      <c r="DL2117" s="4" t="s">
        <v>241</v>
      </c>
      <c r="DP2117" s="4" t="s">
        <v>241</v>
      </c>
      <c r="DQ2117" s="4" t="s">
        <v>241</v>
      </c>
      <c r="DR2117" s="4" t="s">
        <v>241</v>
      </c>
      <c r="DS2117" s="4" t="s">
        <v>241</v>
      </c>
      <c r="DV2117" s="4" t="s">
        <v>426</v>
      </c>
      <c r="DW2117" s="4" t="s">
        <v>1490</v>
      </c>
      <c r="HO2117" s="4" t="s">
        <v>267</v>
      </c>
    </row>
    <row r="2118" spans="1:223" ht="19.5" customHeight="1" x14ac:dyDescent="0.4">
      <c r="A2118" s="4">
        <v>1</v>
      </c>
      <c r="B2118" s="4" t="s">
        <v>239</v>
      </c>
      <c r="C2118" s="4">
        <v>3821</v>
      </c>
      <c r="D2118" s="4">
        <v>1</v>
      </c>
      <c r="E2118" s="4">
        <v>1</v>
      </c>
      <c r="F2118" s="4" t="s">
        <v>268</v>
      </c>
      <c r="G2118" s="4" t="s">
        <v>241</v>
      </c>
      <c r="H2118" s="4" t="s">
        <v>241</v>
      </c>
      <c r="I2118" s="4" t="s">
        <v>424</v>
      </c>
      <c r="J2118" s="4" t="s">
        <v>274</v>
      </c>
      <c r="K2118" s="4" t="s">
        <v>251</v>
      </c>
      <c r="L2118" s="4" t="s">
        <v>423</v>
      </c>
      <c r="M2118" s="5" t="s">
        <v>4191</v>
      </c>
      <c r="N2118" s="6">
        <f>1254</f>
        <v>1254</v>
      </c>
      <c r="O2118" s="4" t="s">
        <v>265</v>
      </c>
      <c r="P2118" s="6">
        <f>1</f>
        <v>1</v>
      </c>
      <c r="Q2118" s="6">
        <f>0</f>
        <v>0</v>
      </c>
      <c r="S2118" s="6">
        <f>0</f>
        <v>0</v>
      </c>
      <c r="T2118" s="6">
        <f>1</f>
        <v>1</v>
      </c>
      <c r="U2118" s="5" t="s">
        <v>245</v>
      </c>
      <c r="V2118" s="4" t="s">
        <v>270</v>
      </c>
      <c r="W2118" s="4" t="s">
        <v>271</v>
      </c>
      <c r="X2118" s="4" t="s">
        <v>273</v>
      </c>
      <c r="Y2118" s="4" t="s">
        <v>241</v>
      </c>
      <c r="AB2118" s="4" t="s">
        <v>241</v>
      </c>
      <c r="AD2118" s="5" t="s">
        <v>241</v>
      </c>
      <c r="AG2118" s="5" t="s">
        <v>246</v>
      </c>
      <c r="AH2118" s="4" t="s">
        <v>241</v>
      </c>
      <c r="AI2118" s="4" t="s">
        <v>247</v>
      </c>
      <c r="AJ2118" s="4" t="s">
        <v>248</v>
      </c>
      <c r="AZ2118" s="4" t="s">
        <v>249</v>
      </c>
      <c r="BA2118" s="4" t="s">
        <v>241</v>
      </c>
      <c r="BB2118" s="4" t="s">
        <v>250</v>
      </c>
      <c r="BC2118" s="4" t="s">
        <v>241</v>
      </c>
      <c r="BD2118" s="4" t="s">
        <v>252</v>
      </c>
      <c r="BE2118" s="4" t="s">
        <v>241</v>
      </c>
      <c r="BI2118" s="4" t="s">
        <v>253</v>
      </c>
      <c r="BJ2118" s="5" t="s">
        <v>246</v>
      </c>
      <c r="BK2118" s="4" t="s">
        <v>254</v>
      </c>
      <c r="BL2118" s="4" t="s">
        <v>255</v>
      </c>
      <c r="BM2118" s="4" t="s">
        <v>241</v>
      </c>
      <c r="BN2118" s="6">
        <f>0</f>
        <v>0</v>
      </c>
      <c r="BO2118" s="6">
        <f>0</f>
        <v>0</v>
      </c>
      <c r="BP2118" s="4" t="s">
        <v>256</v>
      </c>
      <c r="BQ2118" s="4" t="s">
        <v>257</v>
      </c>
      <c r="CE2118" s="4" t="s">
        <v>241</v>
      </c>
      <c r="CF2118" s="4" t="s">
        <v>241</v>
      </c>
      <c r="CJ2118" s="4" t="s">
        <v>276</v>
      </c>
      <c r="CK2118" s="4" t="s">
        <v>259</v>
      </c>
      <c r="CL2118" s="4" t="s">
        <v>241</v>
      </c>
      <c r="CO2118" s="5" t="s">
        <v>260</v>
      </c>
      <c r="CP2118" s="4" t="s">
        <v>241</v>
      </c>
      <c r="CQ2118" s="4" t="s">
        <v>261</v>
      </c>
      <c r="CR2118" s="4" t="s">
        <v>241</v>
      </c>
      <c r="CS2118" s="4" t="s">
        <v>241</v>
      </c>
      <c r="CT2118" s="4">
        <v>0</v>
      </c>
      <c r="CU2118" s="4" t="s">
        <v>262</v>
      </c>
      <c r="CV2118" s="4" t="s">
        <v>263</v>
      </c>
      <c r="CW2118" s="4" t="s">
        <v>263</v>
      </c>
      <c r="CX2118" s="4" t="s">
        <v>264</v>
      </c>
      <c r="DA2118" s="6">
        <f>1</f>
        <v>1</v>
      </c>
      <c r="DC2118" s="4" t="s">
        <v>325</v>
      </c>
      <c r="DD2118" s="4" t="s">
        <v>241</v>
      </c>
      <c r="DF2118" s="4" t="s">
        <v>325</v>
      </c>
      <c r="DG2118" s="6">
        <f>1254</f>
        <v>1254</v>
      </c>
      <c r="DI2118" s="4" t="s">
        <v>241</v>
      </c>
      <c r="DJ2118" s="4" t="s">
        <v>241</v>
      </c>
      <c r="DK2118" s="4" t="s">
        <v>241</v>
      </c>
      <c r="DL2118" s="4" t="s">
        <v>241</v>
      </c>
      <c r="DP2118" s="4" t="s">
        <v>241</v>
      </c>
      <c r="DQ2118" s="4" t="s">
        <v>241</v>
      </c>
      <c r="DR2118" s="4" t="s">
        <v>241</v>
      </c>
      <c r="DS2118" s="4" t="s">
        <v>241</v>
      </c>
      <c r="DV2118" s="4" t="s">
        <v>426</v>
      </c>
      <c r="DW2118" s="4" t="s">
        <v>1488</v>
      </c>
      <c r="HO2118" s="4" t="s">
        <v>267</v>
      </c>
    </row>
    <row r="2119" spans="1:223" ht="19.5" customHeight="1" x14ac:dyDescent="0.4">
      <c r="A2119" s="4">
        <v>1</v>
      </c>
      <c r="B2119" s="4" t="s">
        <v>239</v>
      </c>
      <c r="C2119" s="4">
        <v>3822</v>
      </c>
      <c r="D2119" s="4">
        <v>1</v>
      </c>
      <c r="E2119" s="4">
        <v>1</v>
      </c>
      <c r="F2119" s="4" t="s">
        <v>268</v>
      </c>
      <c r="G2119" s="4" t="s">
        <v>241</v>
      </c>
      <c r="H2119" s="4" t="s">
        <v>241</v>
      </c>
      <c r="I2119" s="4" t="s">
        <v>424</v>
      </c>
      <c r="J2119" s="4" t="s">
        <v>274</v>
      </c>
      <c r="K2119" s="4" t="s">
        <v>251</v>
      </c>
      <c r="L2119" s="4" t="s">
        <v>423</v>
      </c>
      <c r="M2119" s="5" t="s">
        <v>4197</v>
      </c>
      <c r="N2119" s="6">
        <f>806</f>
        <v>806</v>
      </c>
      <c r="O2119" s="4" t="s">
        <v>265</v>
      </c>
      <c r="P2119" s="6">
        <f>1</f>
        <v>1</v>
      </c>
      <c r="Q2119" s="6">
        <f>0</f>
        <v>0</v>
      </c>
      <c r="S2119" s="6">
        <f>0</f>
        <v>0</v>
      </c>
      <c r="T2119" s="6">
        <f>1</f>
        <v>1</v>
      </c>
      <c r="U2119" s="5" t="s">
        <v>245</v>
      </c>
      <c r="V2119" s="4" t="s">
        <v>270</v>
      </c>
      <c r="W2119" s="4" t="s">
        <v>271</v>
      </c>
      <c r="X2119" s="4" t="s">
        <v>273</v>
      </c>
      <c r="Y2119" s="4" t="s">
        <v>241</v>
      </c>
      <c r="AB2119" s="4" t="s">
        <v>241</v>
      </c>
      <c r="AD2119" s="5" t="s">
        <v>241</v>
      </c>
      <c r="AG2119" s="5" t="s">
        <v>246</v>
      </c>
      <c r="AH2119" s="4" t="s">
        <v>241</v>
      </c>
      <c r="AI2119" s="4" t="s">
        <v>247</v>
      </c>
      <c r="AJ2119" s="4" t="s">
        <v>248</v>
      </c>
      <c r="AZ2119" s="4" t="s">
        <v>249</v>
      </c>
      <c r="BA2119" s="4" t="s">
        <v>241</v>
      </c>
      <c r="BB2119" s="4" t="s">
        <v>250</v>
      </c>
      <c r="BC2119" s="4" t="s">
        <v>241</v>
      </c>
      <c r="BD2119" s="4" t="s">
        <v>252</v>
      </c>
      <c r="BE2119" s="4" t="s">
        <v>241</v>
      </c>
      <c r="BI2119" s="4" t="s">
        <v>253</v>
      </c>
      <c r="BJ2119" s="5" t="s">
        <v>246</v>
      </c>
      <c r="BK2119" s="4" t="s">
        <v>254</v>
      </c>
      <c r="BL2119" s="4" t="s">
        <v>255</v>
      </c>
      <c r="BM2119" s="4" t="s">
        <v>241</v>
      </c>
      <c r="BN2119" s="6">
        <f>0</f>
        <v>0</v>
      </c>
      <c r="BO2119" s="6">
        <f>0</f>
        <v>0</v>
      </c>
      <c r="BP2119" s="4" t="s">
        <v>256</v>
      </c>
      <c r="BQ2119" s="4" t="s">
        <v>257</v>
      </c>
      <c r="CE2119" s="4" t="s">
        <v>241</v>
      </c>
      <c r="CF2119" s="4" t="s">
        <v>241</v>
      </c>
      <c r="CJ2119" s="4" t="s">
        <v>276</v>
      </c>
      <c r="CK2119" s="4" t="s">
        <v>259</v>
      </c>
      <c r="CL2119" s="4" t="s">
        <v>241</v>
      </c>
      <c r="CO2119" s="5" t="s">
        <v>260</v>
      </c>
      <c r="CP2119" s="4" t="s">
        <v>241</v>
      </c>
      <c r="CQ2119" s="4" t="s">
        <v>261</v>
      </c>
      <c r="CR2119" s="4" t="s">
        <v>241</v>
      </c>
      <c r="CS2119" s="4" t="s">
        <v>241</v>
      </c>
      <c r="CT2119" s="4">
        <v>0</v>
      </c>
      <c r="CU2119" s="4" t="s">
        <v>262</v>
      </c>
      <c r="CV2119" s="4" t="s">
        <v>263</v>
      </c>
      <c r="CW2119" s="4" t="s">
        <v>263</v>
      </c>
      <c r="CX2119" s="4" t="s">
        <v>264</v>
      </c>
      <c r="DA2119" s="6">
        <f>1</f>
        <v>1</v>
      </c>
      <c r="DC2119" s="4" t="s">
        <v>325</v>
      </c>
      <c r="DD2119" s="4" t="s">
        <v>241</v>
      </c>
      <c r="DF2119" s="4" t="s">
        <v>325</v>
      </c>
      <c r="DG2119" s="6">
        <f>806</f>
        <v>806</v>
      </c>
      <c r="DI2119" s="4" t="s">
        <v>241</v>
      </c>
      <c r="DJ2119" s="4" t="s">
        <v>241</v>
      </c>
      <c r="DK2119" s="4" t="s">
        <v>241</v>
      </c>
      <c r="DL2119" s="4" t="s">
        <v>241</v>
      </c>
      <c r="DP2119" s="4" t="s">
        <v>241</v>
      </c>
      <c r="DQ2119" s="4" t="s">
        <v>241</v>
      </c>
      <c r="DR2119" s="4" t="s">
        <v>241</v>
      </c>
      <c r="DS2119" s="4" t="s">
        <v>241</v>
      </c>
      <c r="DV2119" s="4" t="s">
        <v>426</v>
      </c>
      <c r="DW2119" s="4" t="s">
        <v>1823</v>
      </c>
      <c r="HO2119" s="4" t="s">
        <v>267</v>
      </c>
    </row>
    <row r="2120" spans="1:223" ht="19.5" customHeight="1" x14ac:dyDescent="0.4">
      <c r="A2120" s="4">
        <v>1</v>
      </c>
      <c r="B2120" s="4" t="s">
        <v>239</v>
      </c>
      <c r="C2120" s="4">
        <v>3823</v>
      </c>
      <c r="D2120" s="4">
        <v>1</v>
      </c>
      <c r="E2120" s="4">
        <v>1</v>
      </c>
      <c r="F2120" s="4" t="s">
        <v>268</v>
      </c>
      <c r="G2120" s="4" t="s">
        <v>241</v>
      </c>
      <c r="H2120" s="4" t="s">
        <v>241</v>
      </c>
      <c r="I2120" s="4" t="s">
        <v>424</v>
      </c>
      <c r="J2120" s="4" t="s">
        <v>274</v>
      </c>
      <c r="K2120" s="4" t="s">
        <v>251</v>
      </c>
      <c r="L2120" s="4" t="s">
        <v>423</v>
      </c>
      <c r="M2120" s="5" t="s">
        <v>4201</v>
      </c>
      <c r="N2120" s="6">
        <f>559</f>
        <v>559</v>
      </c>
      <c r="O2120" s="4" t="s">
        <v>265</v>
      </c>
      <c r="P2120" s="6">
        <f>1</f>
        <v>1</v>
      </c>
      <c r="Q2120" s="6">
        <f>0</f>
        <v>0</v>
      </c>
      <c r="S2120" s="6">
        <f>0</f>
        <v>0</v>
      </c>
      <c r="T2120" s="6">
        <f>1</f>
        <v>1</v>
      </c>
      <c r="U2120" s="5" t="s">
        <v>245</v>
      </c>
      <c r="V2120" s="4" t="s">
        <v>270</v>
      </c>
      <c r="W2120" s="4" t="s">
        <v>271</v>
      </c>
      <c r="X2120" s="4" t="s">
        <v>273</v>
      </c>
      <c r="Y2120" s="4" t="s">
        <v>241</v>
      </c>
      <c r="AB2120" s="4" t="s">
        <v>241</v>
      </c>
      <c r="AD2120" s="5" t="s">
        <v>241</v>
      </c>
      <c r="AG2120" s="5" t="s">
        <v>246</v>
      </c>
      <c r="AH2120" s="4" t="s">
        <v>241</v>
      </c>
      <c r="AI2120" s="4" t="s">
        <v>247</v>
      </c>
      <c r="AJ2120" s="4" t="s">
        <v>248</v>
      </c>
      <c r="AZ2120" s="4" t="s">
        <v>249</v>
      </c>
      <c r="BA2120" s="4" t="s">
        <v>241</v>
      </c>
      <c r="BB2120" s="4" t="s">
        <v>250</v>
      </c>
      <c r="BC2120" s="4" t="s">
        <v>241</v>
      </c>
      <c r="BD2120" s="4" t="s">
        <v>252</v>
      </c>
      <c r="BE2120" s="4" t="s">
        <v>241</v>
      </c>
      <c r="BI2120" s="4" t="s">
        <v>253</v>
      </c>
      <c r="BJ2120" s="5" t="s">
        <v>246</v>
      </c>
      <c r="BK2120" s="4" t="s">
        <v>254</v>
      </c>
      <c r="BL2120" s="4" t="s">
        <v>255</v>
      </c>
      <c r="BM2120" s="4" t="s">
        <v>241</v>
      </c>
      <c r="BN2120" s="6">
        <f>0</f>
        <v>0</v>
      </c>
      <c r="BO2120" s="6">
        <f>0</f>
        <v>0</v>
      </c>
      <c r="BP2120" s="4" t="s">
        <v>256</v>
      </c>
      <c r="BQ2120" s="4" t="s">
        <v>257</v>
      </c>
      <c r="CE2120" s="4" t="s">
        <v>241</v>
      </c>
      <c r="CF2120" s="4" t="s">
        <v>241</v>
      </c>
      <c r="CJ2120" s="4" t="s">
        <v>276</v>
      </c>
      <c r="CK2120" s="4" t="s">
        <v>259</v>
      </c>
      <c r="CL2120" s="4" t="s">
        <v>241</v>
      </c>
      <c r="CO2120" s="5" t="s">
        <v>260</v>
      </c>
      <c r="CP2120" s="4" t="s">
        <v>241</v>
      </c>
      <c r="CQ2120" s="4" t="s">
        <v>261</v>
      </c>
      <c r="CR2120" s="4" t="s">
        <v>241</v>
      </c>
      <c r="CS2120" s="4" t="s">
        <v>241</v>
      </c>
      <c r="CT2120" s="4">
        <v>0</v>
      </c>
      <c r="CU2120" s="4" t="s">
        <v>262</v>
      </c>
      <c r="CV2120" s="4" t="s">
        <v>263</v>
      </c>
      <c r="CW2120" s="4" t="s">
        <v>263</v>
      </c>
      <c r="CX2120" s="4" t="s">
        <v>264</v>
      </c>
      <c r="DA2120" s="6">
        <f>1</f>
        <v>1</v>
      </c>
      <c r="DC2120" s="4" t="s">
        <v>325</v>
      </c>
      <c r="DD2120" s="4" t="s">
        <v>241</v>
      </c>
      <c r="DF2120" s="4" t="s">
        <v>325</v>
      </c>
      <c r="DG2120" s="6">
        <f>559</f>
        <v>559</v>
      </c>
      <c r="DI2120" s="4" t="s">
        <v>241</v>
      </c>
      <c r="DJ2120" s="4" t="s">
        <v>241</v>
      </c>
      <c r="DK2120" s="4" t="s">
        <v>241</v>
      </c>
      <c r="DL2120" s="4" t="s">
        <v>241</v>
      </c>
      <c r="DP2120" s="4" t="s">
        <v>241</v>
      </c>
      <c r="DQ2120" s="4" t="s">
        <v>241</v>
      </c>
      <c r="DR2120" s="4" t="s">
        <v>241</v>
      </c>
      <c r="DS2120" s="4" t="s">
        <v>241</v>
      </c>
      <c r="DV2120" s="4" t="s">
        <v>426</v>
      </c>
      <c r="DW2120" s="4" t="s">
        <v>1485</v>
      </c>
      <c r="HO2120" s="4" t="s">
        <v>267</v>
      </c>
    </row>
    <row r="2121" spans="1:223" ht="19.5" customHeight="1" x14ac:dyDescent="0.4">
      <c r="A2121" s="4">
        <v>1</v>
      </c>
      <c r="B2121" s="4" t="s">
        <v>239</v>
      </c>
      <c r="C2121" s="4">
        <v>3824</v>
      </c>
      <c r="D2121" s="4">
        <v>1</v>
      </c>
      <c r="E2121" s="4">
        <v>1</v>
      </c>
      <c r="F2121" s="4" t="s">
        <v>268</v>
      </c>
      <c r="G2121" s="4" t="s">
        <v>241</v>
      </c>
      <c r="H2121" s="4" t="s">
        <v>241</v>
      </c>
      <c r="I2121" s="4" t="s">
        <v>424</v>
      </c>
      <c r="J2121" s="4" t="s">
        <v>274</v>
      </c>
      <c r="K2121" s="4" t="s">
        <v>251</v>
      </c>
      <c r="L2121" s="4" t="s">
        <v>423</v>
      </c>
      <c r="M2121" s="5" t="s">
        <v>4205</v>
      </c>
      <c r="N2121" s="6">
        <f>148</f>
        <v>148</v>
      </c>
      <c r="O2121" s="4" t="s">
        <v>265</v>
      </c>
      <c r="P2121" s="6">
        <f>1</f>
        <v>1</v>
      </c>
      <c r="Q2121" s="6">
        <f>0</f>
        <v>0</v>
      </c>
      <c r="S2121" s="6">
        <f>0</f>
        <v>0</v>
      </c>
      <c r="T2121" s="6">
        <f>1</f>
        <v>1</v>
      </c>
      <c r="U2121" s="5" t="s">
        <v>245</v>
      </c>
      <c r="V2121" s="4" t="s">
        <v>270</v>
      </c>
      <c r="W2121" s="4" t="s">
        <v>271</v>
      </c>
      <c r="X2121" s="4" t="s">
        <v>273</v>
      </c>
      <c r="Y2121" s="4" t="s">
        <v>241</v>
      </c>
      <c r="AB2121" s="4" t="s">
        <v>241</v>
      </c>
      <c r="AD2121" s="5" t="s">
        <v>241</v>
      </c>
      <c r="AG2121" s="5" t="s">
        <v>246</v>
      </c>
      <c r="AH2121" s="4" t="s">
        <v>241</v>
      </c>
      <c r="AI2121" s="4" t="s">
        <v>247</v>
      </c>
      <c r="AJ2121" s="4" t="s">
        <v>248</v>
      </c>
      <c r="AZ2121" s="4" t="s">
        <v>249</v>
      </c>
      <c r="BA2121" s="4" t="s">
        <v>241</v>
      </c>
      <c r="BB2121" s="4" t="s">
        <v>250</v>
      </c>
      <c r="BC2121" s="4" t="s">
        <v>241</v>
      </c>
      <c r="BD2121" s="4" t="s">
        <v>252</v>
      </c>
      <c r="BE2121" s="4" t="s">
        <v>241</v>
      </c>
      <c r="BI2121" s="4" t="s">
        <v>253</v>
      </c>
      <c r="BJ2121" s="5" t="s">
        <v>246</v>
      </c>
      <c r="BK2121" s="4" t="s">
        <v>254</v>
      </c>
      <c r="BL2121" s="4" t="s">
        <v>255</v>
      </c>
      <c r="BM2121" s="4" t="s">
        <v>241</v>
      </c>
      <c r="BN2121" s="6">
        <f>0</f>
        <v>0</v>
      </c>
      <c r="BO2121" s="6">
        <f>0</f>
        <v>0</v>
      </c>
      <c r="BP2121" s="4" t="s">
        <v>256</v>
      </c>
      <c r="BQ2121" s="4" t="s">
        <v>257</v>
      </c>
      <c r="CE2121" s="4" t="s">
        <v>241</v>
      </c>
      <c r="CF2121" s="4" t="s">
        <v>241</v>
      </c>
      <c r="CJ2121" s="4" t="s">
        <v>276</v>
      </c>
      <c r="CK2121" s="4" t="s">
        <v>259</v>
      </c>
      <c r="CL2121" s="4" t="s">
        <v>241</v>
      </c>
      <c r="CO2121" s="5" t="s">
        <v>260</v>
      </c>
      <c r="CP2121" s="4" t="s">
        <v>241</v>
      </c>
      <c r="CQ2121" s="4" t="s">
        <v>261</v>
      </c>
      <c r="CR2121" s="4" t="s">
        <v>241</v>
      </c>
      <c r="CS2121" s="4" t="s">
        <v>241</v>
      </c>
      <c r="CT2121" s="4">
        <v>0</v>
      </c>
      <c r="CU2121" s="4" t="s">
        <v>262</v>
      </c>
      <c r="CV2121" s="4" t="s">
        <v>263</v>
      </c>
      <c r="CW2121" s="4" t="s">
        <v>263</v>
      </c>
      <c r="CX2121" s="4" t="s">
        <v>264</v>
      </c>
      <c r="DA2121" s="6">
        <f>1</f>
        <v>1</v>
      </c>
      <c r="DC2121" s="4" t="s">
        <v>325</v>
      </c>
      <c r="DD2121" s="4" t="s">
        <v>241</v>
      </c>
      <c r="DF2121" s="4" t="s">
        <v>325</v>
      </c>
      <c r="DG2121" s="6">
        <f>148</f>
        <v>148</v>
      </c>
      <c r="DI2121" s="4" t="s">
        <v>241</v>
      </c>
      <c r="DJ2121" s="4" t="s">
        <v>241</v>
      </c>
      <c r="DK2121" s="4" t="s">
        <v>241</v>
      </c>
      <c r="DL2121" s="4" t="s">
        <v>241</v>
      </c>
      <c r="DP2121" s="4" t="s">
        <v>241</v>
      </c>
      <c r="DQ2121" s="4" t="s">
        <v>241</v>
      </c>
      <c r="DR2121" s="4" t="s">
        <v>241</v>
      </c>
      <c r="DS2121" s="4" t="s">
        <v>241</v>
      </c>
      <c r="DV2121" s="4" t="s">
        <v>426</v>
      </c>
      <c r="DW2121" s="4" t="s">
        <v>1483</v>
      </c>
      <c r="HO2121" s="4" t="s">
        <v>267</v>
      </c>
    </row>
    <row r="2122" spans="1:223" ht="19.5" customHeight="1" x14ac:dyDescent="0.4">
      <c r="A2122" s="4">
        <v>1</v>
      </c>
      <c r="B2122" s="4" t="s">
        <v>239</v>
      </c>
      <c r="C2122" s="4">
        <v>3825</v>
      </c>
      <c r="D2122" s="4">
        <v>1</v>
      </c>
      <c r="E2122" s="4">
        <v>1</v>
      </c>
      <c r="F2122" s="4" t="s">
        <v>268</v>
      </c>
      <c r="G2122" s="4" t="s">
        <v>241</v>
      </c>
      <c r="H2122" s="4" t="s">
        <v>241</v>
      </c>
      <c r="I2122" s="4" t="s">
        <v>424</v>
      </c>
      <c r="J2122" s="4" t="s">
        <v>274</v>
      </c>
      <c r="K2122" s="4" t="s">
        <v>251</v>
      </c>
      <c r="L2122" s="4" t="s">
        <v>423</v>
      </c>
      <c r="M2122" s="5" t="s">
        <v>4206</v>
      </c>
      <c r="N2122" s="6">
        <f>407</f>
        <v>407</v>
      </c>
      <c r="O2122" s="4" t="s">
        <v>265</v>
      </c>
      <c r="P2122" s="6">
        <f>1</f>
        <v>1</v>
      </c>
      <c r="Q2122" s="6">
        <f>0</f>
        <v>0</v>
      </c>
      <c r="S2122" s="6">
        <f>0</f>
        <v>0</v>
      </c>
      <c r="T2122" s="6">
        <f>1</f>
        <v>1</v>
      </c>
      <c r="U2122" s="5" t="s">
        <v>245</v>
      </c>
      <c r="V2122" s="4" t="s">
        <v>270</v>
      </c>
      <c r="W2122" s="4" t="s">
        <v>271</v>
      </c>
      <c r="X2122" s="4" t="s">
        <v>273</v>
      </c>
      <c r="Y2122" s="4" t="s">
        <v>241</v>
      </c>
      <c r="AB2122" s="4" t="s">
        <v>241</v>
      </c>
      <c r="AD2122" s="5" t="s">
        <v>241</v>
      </c>
      <c r="AG2122" s="5" t="s">
        <v>246</v>
      </c>
      <c r="AH2122" s="4" t="s">
        <v>241</v>
      </c>
      <c r="AI2122" s="4" t="s">
        <v>247</v>
      </c>
      <c r="AJ2122" s="4" t="s">
        <v>248</v>
      </c>
      <c r="AZ2122" s="4" t="s">
        <v>249</v>
      </c>
      <c r="BA2122" s="4" t="s">
        <v>241</v>
      </c>
      <c r="BB2122" s="4" t="s">
        <v>250</v>
      </c>
      <c r="BC2122" s="4" t="s">
        <v>241</v>
      </c>
      <c r="BD2122" s="4" t="s">
        <v>252</v>
      </c>
      <c r="BE2122" s="4" t="s">
        <v>241</v>
      </c>
      <c r="BI2122" s="4" t="s">
        <v>253</v>
      </c>
      <c r="BJ2122" s="5" t="s">
        <v>246</v>
      </c>
      <c r="BK2122" s="4" t="s">
        <v>254</v>
      </c>
      <c r="BL2122" s="4" t="s">
        <v>255</v>
      </c>
      <c r="BM2122" s="4" t="s">
        <v>241</v>
      </c>
      <c r="BN2122" s="6">
        <f>0</f>
        <v>0</v>
      </c>
      <c r="BO2122" s="6">
        <f>0</f>
        <v>0</v>
      </c>
      <c r="BP2122" s="4" t="s">
        <v>256</v>
      </c>
      <c r="BQ2122" s="4" t="s">
        <v>257</v>
      </c>
      <c r="CE2122" s="4" t="s">
        <v>241</v>
      </c>
      <c r="CF2122" s="4" t="s">
        <v>241</v>
      </c>
      <c r="CJ2122" s="4" t="s">
        <v>276</v>
      </c>
      <c r="CK2122" s="4" t="s">
        <v>259</v>
      </c>
      <c r="CL2122" s="4" t="s">
        <v>241</v>
      </c>
      <c r="CO2122" s="5" t="s">
        <v>260</v>
      </c>
      <c r="CP2122" s="4" t="s">
        <v>241</v>
      </c>
      <c r="CQ2122" s="4" t="s">
        <v>261</v>
      </c>
      <c r="CR2122" s="4" t="s">
        <v>241</v>
      </c>
      <c r="CS2122" s="4" t="s">
        <v>241</v>
      </c>
      <c r="CT2122" s="4">
        <v>0</v>
      </c>
      <c r="CU2122" s="4" t="s">
        <v>262</v>
      </c>
      <c r="CV2122" s="4" t="s">
        <v>263</v>
      </c>
      <c r="CW2122" s="4" t="s">
        <v>263</v>
      </c>
      <c r="CX2122" s="4" t="s">
        <v>264</v>
      </c>
      <c r="DA2122" s="6">
        <f>1</f>
        <v>1</v>
      </c>
      <c r="DC2122" s="4" t="s">
        <v>325</v>
      </c>
      <c r="DD2122" s="4" t="s">
        <v>241</v>
      </c>
      <c r="DF2122" s="4" t="s">
        <v>325</v>
      </c>
      <c r="DG2122" s="6">
        <f>407</f>
        <v>407</v>
      </c>
      <c r="DI2122" s="4" t="s">
        <v>241</v>
      </c>
      <c r="DJ2122" s="4" t="s">
        <v>241</v>
      </c>
      <c r="DK2122" s="4" t="s">
        <v>241</v>
      </c>
      <c r="DL2122" s="4" t="s">
        <v>241</v>
      </c>
      <c r="DP2122" s="4" t="s">
        <v>241</v>
      </c>
      <c r="DQ2122" s="4" t="s">
        <v>241</v>
      </c>
      <c r="DR2122" s="4" t="s">
        <v>241</v>
      </c>
      <c r="DS2122" s="4" t="s">
        <v>241</v>
      </c>
      <c r="DV2122" s="4" t="s">
        <v>426</v>
      </c>
      <c r="DW2122" s="4" t="s">
        <v>1481</v>
      </c>
      <c r="HO2122" s="4" t="s">
        <v>267</v>
      </c>
    </row>
    <row r="2123" spans="1:223" ht="19.5" customHeight="1" x14ac:dyDescent="0.4">
      <c r="A2123" s="4">
        <v>1</v>
      </c>
      <c r="B2123" s="4" t="s">
        <v>239</v>
      </c>
      <c r="C2123" s="4">
        <v>3826</v>
      </c>
      <c r="D2123" s="4">
        <v>1</v>
      </c>
      <c r="E2123" s="4">
        <v>1</v>
      </c>
      <c r="F2123" s="4" t="s">
        <v>268</v>
      </c>
      <c r="G2123" s="4" t="s">
        <v>241</v>
      </c>
      <c r="H2123" s="4" t="s">
        <v>241</v>
      </c>
      <c r="I2123" s="4" t="s">
        <v>424</v>
      </c>
      <c r="J2123" s="4" t="s">
        <v>274</v>
      </c>
      <c r="K2123" s="4" t="s">
        <v>251</v>
      </c>
      <c r="L2123" s="4" t="s">
        <v>423</v>
      </c>
      <c r="M2123" s="5" t="s">
        <v>425</v>
      </c>
      <c r="N2123" s="6">
        <f>394</f>
        <v>394</v>
      </c>
      <c r="O2123" s="4" t="s">
        <v>265</v>
      </c>
      <c r="P2123" s="6">
        <f>1</f>
        <v>1</v>
      </c>
      <c r="Q2123" s="6">
        <f>0</f>
        <v>0</v>
      </c>
      <c r="S2123" s="6">
        <f>0</f>
        <v>0</v>
      </c>
      <c r="T2123" s="6">
        <f>1</f>
        <v>1</v>
      </c>
      <c r="U2123" s="5" t="s">
        <v>245</v>
      </c>
      <c r="V2123" s="4" t="s">
        <v>270</v>
      </c>
      <c r="W2123" s="4" t="s">
        <v>271</v>
      </c>
      <c r="X2123" s="4" t="s">
        <v>273</v>
      </c>
      <c r="Y2123" s="4" t="s">
        <v>241</v>
      </c>
      <c r="AB2123" s="4" t="s">
        <v>241</v>
      </c>
      <c r="AD2123" s="5" t="s">
        <v>241</v>
      </c>
      <c r="AG2123" s="5" t="s">
        <v>246</v>
      </c>
      <c r="AH2123" s="4" t="s">
        <v>241</v>
      </c>
      <c r="AI2123" s="4" t="s">
        <v>247</v>
      </c>
      <c r="AJ2123" s="4" t="s">
        <v>248</v>
      </c>
      <c r="AZ2123" s="4" t="s">
        <v>249</v>
      </c>
      <c r="BA2123" s="4" t="s">
        <v>241</v>
      </c>
      <c r="BB2123" s="4" t="s">
        <v>250</v>
      </c>
      <c r="BC2123" s="4" t="s">
        <v>241</v>
      </c>
      <c r="BD2123" s="4" t="s">
        <v>252</v>
      </c>
      <c r="BE2123" s="4" t="s">
        <v>241</v>
      </c>
      <c r="BI2123" s="4" t="s">
        <v>253</v>
      </c>
      <c r="BJ2123" s="5" t="s">
        <v>246</v>
      </c>
      <c r="BK2123" s="4" t="s">
        <v>254</v>
      </c>
      <c r="BL2123" s="4" t="s">
        <v>255</v>
      </c>
      <c r="BM2123" s="4" t="s">
        <v>241</v>
      </c>
      <c r="BN2123" s="6">
        <f>0</f>
        <v>0</v>
      </c>
      <c r="BO2123" s="6">
        <f>0</f>
        <v>0</v>
      </c>
      <c r="BP2123" s="4" t="s">
        <v>256</v>
      </c>
      <c r="BQ2123" s="4" t="s">
        <v>257</v>
      </c>
      <c r="CE2123" s="4" t="s">
        <v>241</v>
      </c>
      <c r="CF2123" s="4" t="s">
        <v>241</v>
      </c>
      <c r="CJ2123" s="4" t="s">
        <v>276</v>
      </c>
      <c r="CK2123" s="4" t="s">
        <v>259</v>
      </c>
      <c r="CL2123" s="4" t="s">
        <v>241</v>
      </c>
      <c r="CO2123" s="5" t="s">
        <v>260</v>
      </c>
      <c r="CP2123" s="4" t="s">
        <v>241</v>
      </c>
      <c r="CQ2123" s="4" t="s">
        <v>261</v>
      </c>
      <c r="CR2123" s="4" t="s">
        <v>241</v>
      </c>
      <c r="CS2123" s="4" t="s">
        <v>241</v>
      </c>
      <c r="CT2123" s="4">
        <v>0</v>
      </c>
      <c r="CU2123" s="4" t="s">
        <v>262</v>
      </c>
      <c r="CV2123" s="4" t="s">
        <v>263</v>
      </c>
      <c r="CW2123" s="4" t="s">
        <v>263</v>
      </c>
      <c r="CX2123" s="4" t="s">
        <v>264</v>
      </c>
      <c r="DA2123" s="6">
        <f>1</f>
        <v>1</v>
      </c>
      <c r="DC2123" s="4" t="s">
        <v>325</v>
      </c>
      <c r="DD2123" s="4" t="s">
        <v>241</v>
      </c>
      <c r="DF2123" s="4" t="s">
        <v>325</v>
      </c>
      <c r="DG2123" s="6">
        <f>394</f>
        <v>394</v>
      </c>
      <c r="DI2123" s="4" t="s">
        <v>241</v>
      </c>
      <c r="DJ2123" s="4" t="s">
        <v>241</v>
      </c>
      <c r="DK2123" s="4" t="s">
        <v>241</v>
      </c>
      <c r="DL2123" s="4" t="s">
        <v>241</v>
      </c>
      <c r="DP2123" s="4" t="s">
        <v>241</v>
      </c>
      <c r="DQ2123" s="4" t="s">
        <v>241</v>
      </c>
      <c r="DR2123" s="4" t="s">
        <v>241</v>
      </c>
      <c r="DS2123" s="4" t="s">
        <v>241</v>
      </c>
      <c r="DV2123" s="4" t="s">
        <v>426</v>
      </c>
      <c r="DW2123" s="4" t="s">
        <v>427</v>
      </c>
      <c r="HO2123" s="4" t="s">
        <v>267</v>
      </c>
    </row>
    <row r="2124" spans="1:223" ht="19.5" customHeight="1" x14ac:dyDescent="0.4">
      <c r="A2124" s="4">
        <v>1</v>
      </c>
      <c r="B2124" s="4" t="s">
        <v>239</v>
      </c>
      <c r="C2124" s="4">
        <v>3827</v>
      </c>
      <c r="D2124" s="4">
        <v>1</v>
      </c>
      <c r="E2124" s="4">
        <v>1</v>
      </c>
      <c r="F2124" s="4" t="s">
        <v>268</v>
      </c>
      <c r="G2124" s="4" t="s">
        <v>241</v>
      </c>
      <c r="H2124" s="4" t="s">
        <v>241</v>
      </c>
      <c r="I2124" s="4" t="s">
        <v>424</v>
      </c>
      <c r="J2124" s="4" t="s">
        <v>274</v>
      </c>
      <c r="K2124" s="4" t="s">
        <v>251</v>
      </c>
      <c r="L2124" s="4" t="s">
        <v>423</v>
      </c>
      <c r="M2124" s="5" t="s">
        <v>428</v>
      </c>
      <c r="N2124" s="6">
        <f>198</f>
        <v>198</v>
      </c>
      <c r="O2124" s="4" t="s">
        <v>265</v>
      </c>
      <c r="P2124" s="6">
        <f>1</f>
        <v>1</v>
      </c>
      <c r="Q2124" s="6">
        <f>0</f>
        <v>0</v>
      </c>
      <c r="S2124" s="6">
        <f>0</f>
        <v>0</v>
      </c>
      <c r="T2124" s="6">
        <f>1</f>
        <v>1</v>
      </c>
      <c r="U2124" s="5" t="s">
        <v>245</v>
      </c>
      <c r="V2124" s="4" t="s">
        <v>270</v>
      </c>
      <c r="W2124" s="4" t="s">
        <v>271</v>
      </c>
      <c r="X2124" s="4" t="s">
        <v>273</v>
      </c>
      <c r="Y2124" s="4" t="s">
        <v>241</v>
      </c>
      <c r="AB2124" s="4" t="s">
        <v>241</v>
      </c>
      <c r="AD2124" s="5" t="s">
        <v>241</v>
      </c>
      <c r="AG2124" s="5" t="s">
        <v>246</v>
      </c>
      <c r="AH2124" s="4" t="s">
        <v>241</v>
      </c>
      <c r="AI2124" s="4" t="s">
        <v>247</v>
      </c>
      <c r="AJ2124" s="4" t="s">
        <v>248</v>
      </c>
      <c r="AZ2124" s="4" t="s">
        <v>249</v>
      </c>
      <c r="BA2124" s="4" t="s">
        <v>241</v>
      </c>
      <c r="BB2124" s="4" t="s">
        <v>250</v>
      </c>
      <c r="BC2124" s="4" t="s">
        <v>241</v>
      </c>
      <c r="BD2124" s="4" t="s">
        <v>252</v>
      </c>
      <c r="BE2124" s="4" t="s">
        <v>241</v>
      </c>
      <c r="BI2124" s="4" t="s">
        <v>253</v>
      </c>
      <c r="BJ2124" s="5" t="s">
        <v>246</v>
      </c>
      <c r="BK2124" s="4" t="s">
        <v>254</v>
      </c>
      <c r="BL2124" s="4" t="s">
        <v>255</v>
      </c>
      <c r="BM2124" s="4" t="s">
        <v>241</v>
      </c>
      <c r="BN2124" s="6">
        <f>0</f>
        <v>0</v>
      </c>
      <c r="BO2124" s="6">
        <f>0</f>
        <v>0</v>
      </c>
      <c r="BP2124" s="4" t="s">
        <v>256</v>
      </c>
      <c r="BQ2124" s="4" t="s">
        <v>257</v>
      </c>
      <c r="CE2124" s="4" t="s">
        <v>241</v>
      </c>
      <c r="CF2124" s="4" t="s">
        <v>241</v>
      </c>
      <c r="CJ2124" s="4" t="s">
        <v>276</v>
      </c>
      <c r="CK2124" s="4" t="s">
        <v>259</v>
      </c>
      <c r="CL2124" s="4" t="s">
        <v>241</v>
      </c>
      <c r="CO2124" s="5" t="s">
        <v>260</v>
      </c>
      <c r="CP2124" s="4" t="s">
        <v>241</v>
      </c>
      <c r="CQ2124" s="4" t="s">
        <v>261</v>
      </c>
      <c r="CR2124" s="4" t="s">
        <v>241</v>
      </c>
      <c r="CS2124" s="4" t="s">
        <v>241</v>
      </c>
      <c r="CT2124" s="4">
        <v>0</v>
      </c>
      <c r="CU2124" s="4" t="s">
        <v>262</v>
      </c>
      <c r="CV2124" s="4" t="s">
        <v>263</v>
      </c>
      <c r="CW2124" s="4" t="s">
        <v>263</v>
      </c>
      <c r="CX2124" s="4" t="s">
        <v>264</v>
      </c>
      <c r="DA2124" s="6">
        <f>1</f>
        <v>1</v>
      </c>
      <c r="DC2124" s="4" t="s">
        <v>325</v>
      </c>
      <c r="DD2124" s="4" t="s">
        <v>241</v>
      </c>
      <c r="DF2124" s="4" t="s">
        <v>325</v>
      </c>
      <c r="DG2124" s="6">
        <f>198</f>
        <v>198</v>
      </c>
      <c r="DI2124" s="4" t="s">
        <v>241</v>
      </c>
      <c r="DJ2124" s="4" t="s">
        <v>241</v>
      </c>
      <c r="DK2124" s="4" t="s">
        <v>241</v>
      </c>
      <c r="DL2124" s="4" t="s">
        <v>241</v>
      </c>
      <c r="DP2124" s="4" t="s">
        <v>241</v>
      </c>
      <c r="DQ2124" s="4" t="s">
        <v>241</v>
      </c>
      <c r="DR2124" s="4" t="s">
        <v>241</v>
      </c>
      <c r="DS2124" s="4" t="s">
        <v>241</v>
      </c>
      <c r="DV2124" s="4" t="s">
        <v>426</v>
      </c>
      <c r="DW2124" s="4" t="s">
        <v>429</v>
      </c>
      <c r="HO2124" s="4" t="s">
        <v>267</v>
      </c>
    </row>
    <row r="2125" spans="1:223" ht="19.5" customHeight="1" x14ac:dyDescent="0.4">
      <c r="A2125" s="4">
        <v>1</v>
      </c>
      <c r="B2125" s="4" t="s">
        <v>239</v>
      </c>
      <c r="C2125" s="4">
        <v>3828</v>
      </c>
      <c r="D2125" s="4">
        <v>1</v>
      </c>
      <c r="E2125" s="4">
        <v>1</v>
      </c>
      <c r="F2125" s="4" t="s">
        <v>268</v>
      </c>
      <c r="G2125" s="4" t="s">
        <v>241</v>
      </c>
      <c r="H2125" s="4" t="s">
        <v>241</v>
      </c>
      <c r="I2125" s="4" t="s">
        <v>424</v>
      </c>
      <c r="J2125" s="4" t="s">
        <v>274</v>
      </c>
      <c r="K2125" s="4" t="s">
        <v>251</v>
      </c>
      <c r="L2125" s="4" t="s">
        <v>423</v>
      </c>
      <c r="M2125" s="5" t="s">
        <v>432</v>
      </c>
      <c r="N2125" s="6">
        <f>544</f>
        <v>544</v>
      </c>
      <c r="O2125" s="4" t="s">
        <v>265</v>
      </c>
      <c r="P2125" s="6">
        <f>1</f>
        <v>1</v>
      </c>
      <c r="Q2125" s="6">
        <f>0</f>
        <v>0</v>
      </c>
      <c r="S2125" s="6">
        <f>0</f>
        <v>0</v>
      </c>
      <c r="T2125" s="6">
        <f>1</f>
        <v>1</v>
      </c>
      <c r="U2125" s="5" t="s">
        <v>245</v>
      </c>
      <c r="V2125" s="4" t="s">
        <v>270</v>
      </c>
      <c r="W2125" s="4" t="s">
        <v>271</v>
      </c>
      <c r="X2125" s="4" t="s">
        <v>273</v>
      </c>
      <c r="Y2125" s="4" t="s">
        <v>241</v>
      </c>
      <c r="AB2125" s="4" t="s">
        <v>241</v>
      </c>
      <c r="AD2125" s="5" t="s">
        <v>241</v>
      </c>
      <c r="AG2125" s="5" t="s">
        <v>246</v>
      </c>
      <c r="AH2125" s="4" t="s">
        <v>241</v>
      </c>
      <c r="AI2125" s="4" t="s">
        <v>247</v>
      </c>
      <c r="AJ2125" s="4" t="s">
        <v>248</v>
      </c>
      <c r="AZ2125" s="4" t="s">
        <v>249</v>
      </c>
      <c r="BA2125" s="4" t="s">
        <v>241</v>
      </c>
      <c r="BB2125" s="4" t="s">
        <v>250</v>
      </c>
      <c r="BC2125" s="4" t="s">
        <v>241</v>
      </c>
      <c r="BD2125" s="4" t="s">
        <v>252</v>
      </c>
      <c r="BE2125" s="4" t="s">
        <v>241</v>
      </c>
      <c r="BI2125" s="4" t="s">
        <v>253</v>
      </c>
      <c r="BJ2125" s="5" t="s">
        <v>246</v>
      </c>
      <c r="BK2125" s="4" t="s">
        <v>254</v>
      </c>
      <c r="BL2125" s="4" t="s">
        <v>255</v>
      </c>
      <c r="BM2125" s="4" t="s">
        <v>241</v>
      </c>
      <c r="BN2125" s="6">
        <f>0</f>
        <v>0</v>
      </c>
      <c r="BO2125" s="6">
        <f>0</f>
        <v>0</v>
      </c>
      <c r="BP2125" s="4" t="s">
        <v>256</v>
      </c>
      <c r="BQ2125" s="4" t="s">
        <v>257</v>
      </c>
      <c r="CE2125" s="4" t="s">
        <v>241</v>
      </c>
      <c r="CF2125" s="4" t="s">
        <v>241</v>
      </c>
      <c r="CJ2125" s="4" t="s">
        <v>276</v>
      </c>
      <c r="CK2125" s="4" t="s">
        <v>259</v>
      </c>
      <c r="CL2125" s="4" t="s">
        <v>241</v>
      </c>
      <c r="CO2125" s="5" t="s">
        <v>260</v>
      </c>
      <c r="CP2125" s="4" t="s">
        <v>241</v>
      </c>
      <c r="CQ2125" s="4" t="s">
        <v>261</v>
      </c>
      <c r="CR2125" s="4" t="s">
        <v>241</v>
      </c>
      <c r="CS2125" s="4" t="s">
        <v>241</v>
      </c>
      <c r="CT2125" s="4">
        <v>0</v>
      </c>
      <c r="CU2125" s="4" t="s">
        <v>262</v>
      </c>
      <c r="CV2125" s="4" t="s">
        <v>263</v>
      </c>
      <c r="CW2125" s="4" t="s">
        <v>263</v>
      </c>
      <c r="CX2125" s="4" t="s">
        <v>264</v>
      </c>
      <c r="DA2125" s="6">
        <f>1</f>
        <v>1</v>
      </c>
      <c r="DC2125" s="4" t="s">
        <v>325</v>
      </c>
      <c r="DD2125" s="4" t="s">
        <v>241</v>
      </c>
      <c r="DF2125" s="4" t="s">
        <v>325</v>
      </c>
      <c r="DG2125" s="6">
        <f>544</f>
        <v>544</v>
      </c>
      <c r="DI2125" s="4" t="s">
        <v>241</v>
      </c>
      <c r="DJ2125" s="4" t="s">
        <v>241</v>
      </c>
      <c r="DK2125" s="4" t="s">
        <v>241</v>
      </c>
      <c r="DL2125" s="4" t="s">
        <v>241</v>
      </c>
      <c r="DP2125" s="4" t="s">
        <v>241</v>
      </c>
      <c r="DQ2125" s="4" t="s">
        <v>241</v>
      </c>
      <c r="DR2125" s="4" t="s">
        <v>241</v>
      </c>
      <c r="DS2125" s="4" t="s">
        <v>241</v>
      </c>
      <c r="DV2125" s="4" t="s">
        <v>426</v>
      </c>
      <c r="DW2125" s="4" t="s">
        <v>433</v>
      </c>
      <c r="HO2125" s="4" t="s">
        <v>267</v>
      </c>
    </row>
    <row r="2126" spans="1:223" ht="19.5" customHeight="1" x14ac:dyDescent="0.4">
      <c r="A2126" s="4">
        <v>1</v>
      </c>
      <c r="B2126" s="4" t="s">
        <v>239</v>
      </c>
      <c r="C2126" s="4">
        <v>3829</v>
      </c>
      <c r="D2126" s="4">
        <v>1</v>
      </c>
      <c r="E2126" s="4">
        <v>1</v>
      </c>
      <c r="F2126" s="4" t="s">
        <v>268</v>
      </c>
      <c r="G2126" s="4" t="s">
        <v>241</v>
      </c>
      <c r="H2126" s="4" t="s">
        <v>241</v>
      </c>
      <c r="I2126" s="4" t="s">
        <v>424</v>
      </c>
      <c r="J2126" s="4" t="s">
        <v>274</v>
      </c>
      <c r="K2126" s="4" t="s">
        <v>251</v>
      </c>
      <c r="L2126" s="4" t="s">
        <v>423</v>
      </c>
      <c r="M2126" s="5" t="s">
        <v>434</v>
      </c>
      <c r="N2126" s="6">
        <f>4.16</f>
        <v>4.16</v>
      </c>
      <c r="O2126" s="4" t="s">
        <v>265</v>
      </c>
      <c r="P2126" s="6">
        <f>1</f>
        <v>1</v>
      </c>
      <c r="Q2126" s="6">
        <f>0</f>
        <v>0</v>
      </c>
      <c r="S2126" s="6">
        <f>0</f>
        <v>0</v>
      </c>
      <c r="T2126" s="6">
        <f>1</f>
        <v>1</v>
      </c>
      <c r="U2126" s="5" t="s">
        <v>245</v>
      </c>
      <c r="V2126" s="4" t="s">
        <v>270</v>
      </c>
      <c r="W2126" s="4" t="s">
        <v>271</v>
      </c>
      <c r="X2126" s="4" t="s">
        <v>273</v>
      </c>
      <c r="Y2126" s="4" t="s">
        <v>241</v>
      </c>
      <c r="AB2126" s="4" t="s">
        <v>241</v>
      </c>
      <c r="AD2126" s="5" t="s">
        <v>241</v>
      </c>
      <c r="AG2126" s="5" t="s">
        <v>246</v>
      </c>
      <c r="AH2126" s="4" t="s">
        <v>241</v>
      </c>
      <c r="AI2126" s="4" t="s">
        <v>247</v>
      </c>
      <c r="AJ2126" s="4" t="s">
        <v>248</v>
      </c>
      <c r="AZ2126" s="4" t="s">
        <v>249</v>
      </c>
      <c r="BA2126" s="4" t="s">
        <v>241</v>
      </c>
      <c r="BB2126" s="4" t="s">
        <v>250</v>
      </c>
      <c r="BC2126" s="4" t="s">
        <v>241</v>
      </c>
      <c r="BD2126" s="4" t="s">
        <v>252</v>
      </c>
      <c r="BE2126" s="4" t="s">
        <v>241</v>
      </c>
      <c r="BI2126" s="4" t="s">
        <v>253</v>
      </c>
      <c r="BJ2126" s="5" t="s">
        <v>246</v>
      </c>
      <c r="BK2126" s="4" t="s">
        <v>254</v>
      </c>
      <c r="BL2126" s="4" t="s">
        <v>255</v>
      </c>
      <c r="BM2126" s="4" t="s">
        <v>241</v>
      </c>
      <c r="BN2126" s="6">
        <f>0</f>
        <v>0</v>
      </c>
      <c r="BO2126" s="6">
        <f>0</f>
        <v>0</v>
      </c>
      <c r="BP2126" s="4" t="s">
        <v>256</v>
      </c>
      <c r="BQ2126" s="4" t="s">
        <v>257</v>
      </c>
      <c r="CE2126" s="4" t="s">
        <v>241</v>
      </c>
      <c r="CF2126" s="4" t="s">
        <v>241</v>
      </c>
      <c r="CJ2126" s="4" t="s">
        <v>276</v>
      </c>
      <c r="CK2126" s="4" t="s">
        <v>259</v>
      </c>
      <c r="CL2126" s="4" t="s">
        <v>241</v>
      </c>
      <c r="CO2126" s="5" t="s">
        <v>260</v>
      </c>
      <c r="CP2126" s="4" t="s">
        <v>241</v>
      </c>
      <c r="CQ2126" s="4" t="s">
        <v>261</v>
      </c>
      <c r="CR2126" s="4" t="s">
        <v>241</v>
      </c>
      <c r="CS2126" s="4" t="s">
        <v>241</v>
      </c>
      <c r="CT2126" s="4">
        <v>0</v>
      </c>
      <c r="CU2126" s="4" t="s">
        <v>262</v>
      </c>
      <c r="CV2126" s="4" t="s">
        <v>263</v>
      </c>
      <c r="CW2126" s="4" t="s">
        <v>263</v>
      </c>
      <c r="CX2126" s="4" t="s">
        <v>264</v>
      </c>
      <c r="DA2126" s="6">
        <f>1</f>
        <v>1</v>
      </c>
      <c r="DC2126" s="4" t="s">
        <v>325</v>
      </c>
      <c r="DD2126" s="4" t="s">
        <v>241</v>
      </c>
      <c r="DF2126" s="4" t="s">
        <v>325</v>
      </c>
      <c r="DG2126" s="6">
        <f>4.16</f>
        <v>4.16</v>
      </c>
      <c r="DI2126" s="4" t="s">
        <v>241</v>
      </c>
      <c r="DJ2126" s="4" t="s">
        <v>241</v>
      </c>
      <c r="DK2126" s="4" t="s">
        <v>241</v>
      </c>
      <c r="DL2126" s="4" t="s">
        <v>241</v>
      </c>
      <c r="DP2126" s="4" t="s">
        <v>241</v>
      </c>
      <c r="DQ2126" s="4" t="s">
        <v>241</v>
      </c>
      <c r="DR2126" s="4" t="s">
        <v>241</v>
      </c>
      <c r="DS2126" s="4" t="s">
        <v>241</v>
      </c>
      <c r="DV2126" s="4" t="s">
        <v>426</v>
      </c>
      <c r="DW2126" s="4" t="s">
        <v>435</v>
      </c>
      <c r="HO2126" s="4" t="s">
        <v>267</v>
      </c>
    </row>
    <row r="2127" spans="1:223" ht="19.5" customHeight="1" x14ac:dyDescent="0.4">
      <c r="A2127" s="4">
        <v>1</v>
      </c>
      <c r="B2127" s="4" t="s">
        <v>239</v>
      </c>
      <c r="C2127" s="4">
        <v>3830</v>
      </c>
      <c r="D2127" s="4">
        <v>1</v>
      </c>
      <c r="E2127" s="4">
        <v>1</v>
      </c>
      <c r="F2127" s="4" t="s">
        <v>268</v>
      </c>
      <c r="G2127" s="4" t="s">
        <v>241</v>
      </c>
      <c r="H2127" s="4" t="s">
        <v>241</v>
      </c>
      <c r="I2127" s="4" t="s">
        <v>424</v>
      </c>
      <c r="J2127" s="4" t="s">
        <v>274</v>
      </c>
      <c r="K2127" s="4" t="s">
        <v>251</v>
      </c>
      <c r="L2127" s="4" t="s">
        <v>423</v>
      </c>
      <c r="M2127" s="5" t="s">
        <v>440</v>
      </c>
      <c r="N2127" s="6">
        <f>46</f>
        <v>46</v>
      </c>
      <c r="O2127" s="4" t="s">
        <v>265</v>
      </c>
      <c r="P2127" s="6">
        <f>1</f>
        <v>1</v>
      </c>
      <c r="Q2127" s="6">
        <f>0</f>
        <v>0</v>
      </c>
      <c r="S2127" s="6">
        <f>0</f>
        <v>0</v>
      </c>
      <c r="T2127" s="6">
        <f>1</f>
        <v>1</v>
      </c>
      <c r="U2127" s="5" t="s">
        <v>245</v>
      </c>
      <c r="V2127" s="4" t="s">
        <v>270</v>
      </c>
      <c r="W2127" s="4" t="s">
        <v>271</v>
      </c>
      <c r="X2127" s="4" t="s">
        <v>273</v>
      </c>
      <c r="Y2127" s="4" t="s">
        <v>241</v>
      </c>
      <c r="AB2127" s="4" t="s">
        <v>241</v>
      </c>
      <c r="AD2127" s="5" t="s">
        <v>241</v>
      </c>
      <c r="AG2127" s="5" t="s">
        <v>246</v>
      </c>
      <c r="AH2127" s="4" t="s">
        <v>241</v>
      </c>
      <c r="AI2127" s="4" t="s">
        <v>247</v>
      </c>
      <c r="AJ2127" s="4" t="s">
        <v>248</v>
      </c>
      <c r="AZ2127" s="4" t="s">
        <v>249</v>
      </c>
      <c r="BA2127" s="4" t="s">
        <v>241</v>
      </c>
      <c r="BB2127" s="4" t="s">
        <v>250</v>
      </c>
      <c r="BC2127" s="4" t="s">
        <v>241</v>
      </c>
      <c r="BD2127" s="4" t="s">
        <v>252</v>
      </c>
      <c r="BE2127" s="4" t="s">
        <v>241</v>
      </c>
      <c r="BI2127" s="4" t="s">
        <v>253</v>
      </c>
      <c r="BJ2127" s="5" t="s">
        <v>246</v>
      </c>
      <c r="BK2127" s="4" t="s">
        <v>254</v>
      </c>
      <c r="BL2127" s="4" t="s">
        <v>255</v>
      </c>
      <c r="BM2127" s="4" t="s">
        <v>241</v>
      </c>
      <c r="BN2127" s="6">
        <f>0</f>
        <v>0</v>
      </c>
      <c r="BO2127" s="6">
        <f>0</f>
        <v>0</v>
      </c>
      <c r="BP2127" s="4" t="s">
        <v>256</v>
      </c>
      <c r="BQ2127" s="4" t="s">
        <v>257</v>
      </c>
      <c r="CE2127" s="4" t="s">
        <v>241</v>
      </c>
      <c r="CF2127" s="4" t="s">
        <v>241</v>
      </c>
      <c r="CJ2127" s="4" t="s">
        <v>276</v>
      </c>
      <c r="CK2127" s="4" t="s">
        <v>259</v>
      </c>
      <c r="CL2127" s="4" t="s">
        <v>241</v>
      </c>
      <c r="CO2127" s="5" t="s">
        <v>260</v>
      </c>
      <c r="CP2127" s="4" t="s">
        <v>241</v>
      </c>
      <c r="CQ2127" s="4" t="s">
        <v>261</v>
      </c>
      <c r="CR2127" s="4" t="s">
        <v>241</v>
      </c>
      <c r="CS2127" s="4" t="s">
        <v>241</v>
      </c>
      <c r="CT2127" s="4">
        <v>0</v>
      </c>
      <c r="CU2127" s="4" t="s">
        <v>262</v>
      </c>
      <c r="CV2127" s="4" t="s">
        <v>263</v>
      </c>
      <c r="CW2127" s="4" t="s">
        <v>263</v>
      </c>
      <c r="CX2127" s="4" t="s">
        <v>264</v>
      </c>
      <c r="DA2127" s="6">
        <f>1</f>
        <v>1</v>
      </c>
      <c r="DC2127" s="4" t="s">
        <v>325</v>
      </c>
      <c r="DD2127" s="4" t="s">
        <v>241</v>
      </c>
      <c r="DF2127" s="4" t="s">
        <v>325</v>
      </c>
      <c r="DG2127" s="6">
        <f>46</f>
        <v>46</v>
      </c>
      <c r="DI2127" s="4" t="s">
        <v>241</v>
      </c>
      <c r="DJ2127" s="4" t="s">
        <v>241</v>
      </c>
      <c r="DK2127" s="4" t="s">
        <v>241</v>
      </c>
      <c r="DL2127" s="4" t="s">
        <v>241</v>
      </c>
      <c r="DP2127" s="4" t="s">
        <v>241</v>
      </c>
      <c r="DQ2127" s="4" t="s">
        <v>241</v>
      </c>
      <c r="DR2127" s="4" t="s">
        <v>241</v>
      </c>
      <c r="DS2127" s="4" t="s">
        <v>241</v>
      </c>
      <c r="DV2127" s="4" t="s">
        <v>426</v>
      </c>
      <c r="DW2127" s="4" t="s">
        <v>441</v>
      </c>
      <c r="HO2127" s="4" t="s">
        <v>267</v>
      </c>
    </row>
    <row r="2128" spans="1:223" ht="19.5" customHeight="1" x14ac:dyDescent="0.4">
      <c r="A2128" s="4">
        <v>1</v>
      </c>
      <c r="B2128" s="4" t="s">
        <v>239</v>
      </c>
      <c r="C2128" s="4">
        <v>3831</v>
      </c>
      <c r="D2128" s="4">
        <v>1</v>
      </c>
      <c r="E2128" s="4">
        <v>1</v>
      </c>
      <c r="F2128" s="4" t="s">
        <v>268</v>
      </c>
      <c r="G2128" s="4" t="s">
        <v>241</v>
      </c>
      <c r="H2128" s="4" t="s">
        <v>241</v>
      </c>
      <c r="I2128" s="4" t="s">
        <v>424</v>
      </c>
      <c r="J2128" s="4" t="s">
        <v>274</v>
      </c>
      <c r="K2128" s="4" t="s">
        <v>251</v>
      </c>
      <c r="L2128" s="4" t="s">
        <v>423</v>
      </c>
      <c r="M2128" s="5" t="s">
        <v>442</v>
      </c>
      <c r="N2128" s="6">
        <f>1409</f>
        <v>1409</v>
      </c>
      <c r="O2128" s="4" t="s">
        <v>265</v>
      </c>
      <c r="P2128" s="6">
        <f>1</f>
        <v>1</v>
      </c>
      <c r="Q2128" s="6">
        <f>0</f>
        <v>0</v>
      </c>
      <c r="S2128" s="6">
        <f>0</f>
        <v>0</v>
      </c>
      <c r="T2128" s="6">
        <f>1</f>
        <v>1</v>
      </c>
      <c r="U2128" s="5" t="s">
        <v>245</v>
      </c>
      <c r="V2128" s="4" t="s">
        <v>270</v>
      </c>
      <c r="W2128" s="4" t="s">
        <v>271</v>
      </c>
      <c r="X2128" s="4" t="s">
        <v>273</v>
      </c>
      <c r="Y2128" s="4" t="s">
        <v>241</v>
      </c>
      <c r="AB2128" s="4" t="s">
        <v>241</v>
      </c>
      <c r="AD2128" s="5" t="s">
        <v>241</v>
      </c>
      <c r="AG2128" s="5" t="s">
        <v>246</v>
      </c>
      <c r="AH2128" s="4" t="s">
        <v>241</v>
      </c>
      <c r="AI2128" s="4" t="s">
        <v>247</v>
      </c>
      <c r="AJ2128" s="4" t="s">
        <v>248</v>
      </c>
      <c r="AZ2128" s="4" t="s">
        <v>249</v>
      </c>
      <c r="BA2128" s="4" t="s">
        <v>241</v>
      </c>
      <c r="BB2128" s="4" t="s">
        <v>250</v>
      </c>
      <c r="BC2128" s="4" t="s">
        <v>241</v>
      </c>
      <c r="BD2128" s="4" t="s">
        <v>252</v>
      </c>
      <c r="BE2128" s="4" t="s">
        <v>241</v>
      </c>
      <c r="BI2128" s="4" t="s">
        <v>253</v>
      </c>
      <c r="BJ2128" s="5" t="s">
        <v>246</v>
      </c>
      <c r="BK2128" s="4" t="s">
        <v>254</v>
      </c>
      <c r="BL2128" s="4" t="s">
        <v>255</v>
      </c>
      <c r="BM2128" s="4" t="s">
        <v>241</v>
      </c>
      <c r="BN2128" s="6">
        <f>0</f>
        <v>0</v>
      </c>
      <c r="BO2128" s="6">
        <f>0</f>
        <v>0</v>
      </c>
      <c r="BP2128" s="4" t="s">
        <v>256</v>
      </c>
      <c r="BQ2128" s="4" t="s">
        <v>257</v>
      </c>
      <c r="CE2128" s="4" t="s">
        <v>241</v>
      </c>
      <c r="CF2128" s="4" t="s">
        <v>241</v>
      </c>
      <c r="CJ2128" s="4" t="s">
        <v>276</v>
      </c>
      <c r="CK2128" s="4" t="s">
        <v>259</v>
      </c>
      <c r="CL2128" s="4" t="s">
        <v>241</v>
      </c>
      <c r="CO2128" s="5" t="s">
        <v>260</v>
      </c>
      <c r="CP2128" s="4" t="s">
        <v>241</v>
      </c>
      <c r="CQ2128" s="4" t="s">
        <v>261</v>
      </c>
      <c r="CR2128" s="4" t="s">
        <v>241</v>
      </c>
      <c r="CS2128" s="4" t="s">
        <v>241</v>
      </c>
      <c r="CT2128" s="4">
        <v>0</v>
      </c>
      <c r="CU2128" s="4" t="s">
        <v>262</v>
      </c>
      <c r="CV2128" s="4" t="s">
        <v>263</v>
      </c>
      <c r="CW2128" s="4" t="s">
        <v>263</v>
      </c>
      <c r="CX2128" s="4" t="s">
        <v>264</v>
      </c>
      <c r="DA2128" s="6">
        <f>1</f>
        <v>1</v>
      </c>
      <c r="DC2128" s="4" t="s">
        <v>325</v>
      </c>
      <c r="DD2128" s="4" t="s">
        <v>241</v>
      </c>
      <c r="DF2128" s="4" t="s">
        <v>325</v>
      </c>
      <c r="DG2128" s="6">
        <f>1409</f>
        <v>1409</v>
      </c>
      <c r="DI2128" s="4" t="s">
        <v>241</v>
      </c>
      <c r="DJ2128" s="4" t="s">
        <v>241</v>
      </c>
      <c r="DK2128" s="4" t="s">
        <v>241</v>
      </c>
      <c r="DL2128" s="4" t="s">
        <v>241</v>
      </c>
      <c r="DP2128" s="4" t="s">
        <v>241</v>
      </c>
      <c r="DQ2128" s="4" t="s">
        <v>241</v>
      </c>
      <c r="DR2128" s="4" t="s">
        <v>241</v>
      </c>
      <c r="DS2128" s="4" t="s">
        <v>241</v>
      </c>
      <c r="DV2128" s="4" t="s">
        <v>426</v>
      </c>
      <c r="DW2128" s="4" t="s">
        <v>443</v>
      </c>
      <c r="HO2128" s="4" t="s">
        <v>267</v>
      </c>
    </row>
    <row r="2129" spans="1:223" ht="19.5" customHeight="1" x14ac:dyDescent="0.4">
      <c r="A2129" s="4">
        <v>1</v>
      </c>
      <c r="B2129" s="4" t="s">
        <v>239</v>
      </c>
      <c r="C2129" s="4">
        <v>3832</v>
      </c>
      <c r="D2129" s="4">
        <v>1</v>
      </c>
      <c r="E2129" s="4">
        <v>1</v>
      </c>
      <c r="F2129" s="4" t="s">
        <v>268</v>
      </c>
      <c r="G2129" s="4" t="s">
        <v>241</v>
      </c>
      <c r="H2129" s="4" t="s">
        <v>241</v>
      </c>
      <c r="I2129" s="4" t="s">
        <v>424</v>
      </c>
      <c r="J2129" s="4" t="s">
        <v>274</v>
      </c>
      <c r="K2129" s="4" t="s">
        <v>251</v>
      </c>
      <c r="L2129" s="4" t="s">
        <v>423</v>
      </c>
      <c r="M2129" s="5" t="s">
        <v>445</v>
      </c>
      <c r="N2129" s="6">
        <f>996</f>
        <v>996</v>
      </c>
      <c r="O2129" s="4" t="s">
        <v>265</v>
      </c>
      <c r="P2129" s="6">
        <f>1</f>
        <v>1</v>
      </c>
      <c r="Q2129" s="6">
        <f>0</f>
        <v>0</v>
      </c>
      <c r="S2129" s="6">
        <f>0</f>
        <v>0</v>
      </c>
      <c r="T2129" s="6">
        <f>1</f>
        <v>1</v>
      </c>
      <c r="U2129" s="5" t="s">
        <v>245</v>
      </c>
      <c r="V2129" s="4" t="s">
        <v>270</v>
      </c>
      <c r="W2129" s="4" t="s">
        <v>271</v>
      </c>
      <c r="X2129" s="4" t="s">
        <v>273</v>
      </c>
      <c r="Y2129" s="4" t="s">
        <v>241</v>
      </c>
      <c r="AB2129" s="4" t="s">
        <v>241</v>
      </c>
      <c r="AD2129" s="5" t="s">
        <v>241</v>
      </c>
      <c r="AG2129" s="5" t="s">
        <v>246</v>
      </c>
      <c r="AH2129" s="4" t="s">
        <v>241</v>
      </c>
      <c r="AI2129" s="4" t="s">
        <v>247</v>
      </c>
      <c r="AJ2129" s="4" t="s">
        <v>248</v>
      </c>
      <c r="AZ2129" s="4" t="s">
        <v>249</v>
      </c>
      <c r="BA2129" s="4" t="s">
        <v>241</v>
      </c>
      <c r="BB2129" s="4" t="s">
        <v>250</v>
      </c>
      <c r="BC2129" s="4" t="s">
        <v>241</v>
      </c>
      <c r="BD2129" s="4" t="s">
        <v>252</v>
      </c>
      <c r="BE2129" s="4" t="s">
        <v>241</v>
      </c>
      <c r="BI2129" s="4" t="s">
        <v>253</v>
      </c>
      <c r="BJ2129" s="5" t="s">
        <v>246</v>
      </c>
      <c r="BK2129" s="4" t="s">
        <v>254</v>
      </c>
      <c r="BL2129" s="4" t="s">
        <v>255</v>
      </c>
      <c r="BM2129" s="4" t="s">
        <v>241</v>
      </c>
      <c r="BN2129" s="6">
        <f>0</f>
        <v>0</v>
      </c>
      <c r="BO2129" s="6">
        <f>0</f>
        <v>0</v>
      </c>
      <c r="BP2129" s="4" t="s">
        <v>256</v>
      </c>
      <c r="BQ2129" s="4" t="s">
        <v>257</v>
      </c>
      <c r="CE2129" s="4" t="s">
        <v>241</v>
      </c>
      <c r="CF2129" s="4" t="s">
        <v>241</v>
      </c>
      <c r="CJ2129" s="4" t="s">
        <v>276</v>
      </c>
      <c r="CK2129" s="4" t="s">
        <v>259</v>
      </c>
      <c r="CL2129" s="4" t="s">
        <v>241</v>
      </c>
      <c r="CO2129" s="5" t="s">
        <v>260</v>
      </c>
      <c r="CP2129" s="4" t="s">
        <v>241</v>
      </c>
      <c r="CQ2129" s="4" t="s">
        <v>261</v>
      </c>
      <c r="CR2129" s="4" t="s">
        <v>241</v>
      </c>
      <c r="CS2129" s="4" t="s">
        <v>241</v>
      </c>
      <c r="CT2129" s="4">
        <v>0</v>
      </c>
      <c r="CU2129" s="4" t="s">
        <v>262</v>
      </c>
      <c r="CV2129" s="4" t="s">
        <v>263</v>
      </c>
      <c r="CW2129" s="4" t="s">
        <v>263</v>
      </c>
      <c r="CX2129" s="4" t="s">
        <v>264</v>
      </c>
      <c r="DA2129" s="6">
        <f>1</f>
        <v>1</v>
      </c>
      <c r="DC2129" s="4" t="s">
        <v>325</v>
      </c>
      <c r="DD2129" s="4" t="s">
        <v>241</v>
      </c>
      <c r="DF2129" s="4" t="s">
        <v>325</v>
      </c>
      <c r="DG2129" s="6">
        <f>996</f>
        <v>996</v>
      </c>
      <c r="DI2129" s="4" t="s">
        <v>241</v>
      </c>
      <c r="DJ2129" s="4" t="s">
        <v>241</v>
      </c>
      <c r="DK2129" s="4" t="s">
        <v>241</v>
      </c>
      <c r="DL2129" s="4" t="s">
        <v>241</v>
      </c>
      <c r="DP2129" s="4" t="s">
        <v>241</v>
      </c>
      <c r="DQ2129" s="4" t="s">
        <v>241</v>
      </c>
      <c r="DR2129" s="4" t="s">
        <v>241</v>
      </c>
      <c r="DS2129" s="4" t="s">
        <v>241</v>
      </c>
      <c r="DV2129" s="4" t="s">
        <v>426</v>
      </c>
      <c r="DW2129" s="4" t="s">
        <v>446</v>
      </c>
      <c r="HO2129" s="4" t="s">
        <v>267</v>
      </c>
    </row>
    <row r="2130" spans="1:223" ht="19.5" customHeight="1" x14ac:dyDescent="0.4">
      <c r="A2130" s="4">
        <v>1</v>
      </c>
      <c r="B2130" s="4" t="s">
        <v>239</v>
      </c>
      <c r="C2130" s="4">
        <v>3833</v>
      </c>
      <c r="D2130" s="4">
        <v>1</v>
      </c>
      <c r="E2130" s="4">
        <v>1</v>
      </c>
      <c r="F2130" s="4" t="s">
        <v>268</v>
      </c>
      <c r="G2130" s="4" t="s">
        <v>241</v>
      </c>
      <c r="H2130" s="4" t="s">
        <v>241</v>
      </c>
      <c r="I2130" s="4" t="s">
        <v>424</v>
      </c>
      <c r="J2130" s="4" t="s">
        <v>274</v>
      </c>
      <c r="K2130" s="4" t="s">
        <v>251</v>
      </c>
      <c r="L2130" s="4" t="s">
        <v>423</v>
      </c>
      <c r="M2130" s="5" t="s">
        <v>447</v>
      </c>
      <c r="N2130" s="6">
        <f>93</f>
        <v>93</v>
      </c>
      <c r="O2130" s="4" t="s">
        <v>265</v>
      </c>
      <c r="P2130" s="6">
        <f>1</f>
        <v>1</v>
      </c>
      <c r="Q2130" s="6">
        <f>0</f>
        <v>0</v>
      </c>
      <c r="S2130" s="6">
        <f>0</f>
        <v>0</v>
      </c>
      <c r="T2130" s="6">
        <f>1</f>
        <v>1</v>
      </c>
      <c r="U2130" s="5" t="s">
        <v>245</v>
      </c>
      <c r="V2130" s="4" t="s">
        <v>270</v>
      </c>
      <c r="W2130" s="4" t="s">
        <v>271</v>
      </c>
      <c r="X2130" s="4" t="s">
        <v>273</v>
      </c>
      <c r="Y2130" s="4" t="s">
        <v>241</v>
      </c>
      <c r="AB2130" s="4" t="s">
        <v>241</v>
      </c>
      <c r="AD2130" s="5" t="s">
        <v>241</v>
      </c>
      <c r="AG2130" s="5" t="s">
        <v>246</v>
      </c>
      <c r="AH2130" s="4" t="s">
        <v>241</v>
      </c>
      <c r="AI2130" s="4" t="s">
        <v>247</v>
      </c>
      <c r="AJ2130" s="4" t="s">
        <v>248</v>
      </c>
      <c r="AZ2130" s="4" t="s">
        <v>249</v>
      </c>
      <c r="BA2130" s="4" t="s">
        <v>241</v>
      </c>
      <c r="BB2130" s="4" t="s">
        <v>250</v>
      </c>
      <c r="BC2130" s="4" t="s">
        <v>241</v>
      </c>
      <c r="BD2130" s="4" t="s">
        <v>252</v>
      </c>
      <c r="BE2130" s="4" t="s">
        <v>241</v>
      </c>
      <c r="BI2130" s="4" t="s">
        <v>253</v>
      </c>
      <c r="BJ2130" s="5" t="s">
        <v>246</v>
      </c>
      <c r="BK2130" s="4" t="s">
        <v>254</v>
      </c>
      <c r="BL2130" s="4" t="s">
        <v>255</v>
      </c>
      <c r="BM2130" s="4" t="s">
        <v>241</v>
      </c>
      <c r="BN2130" s="6">
        <f>0</f>
        <v>0</v>
      </c>
      <c r="BO2130" s="6">
        <f>0</f>
        <v>0</v>
      </c>
      <c r="BP2130" s="4" t="s">
        <v>256</v>
      </c>
      <c r="BQ2130" s="4" t="s">
        <v>257</v>
      </c>
      <c r="CE2130" s="4" t="s">
        <v>241</v>
      </c>
      <c r="CF2130" s="4" t="s">
        <v>241</v>
      </c>
      <c r="CJ2130" s="4" t="s">
        <v>276</v>
      </c>
      <c r="CK2130" s="4" t="s">
        <v>259</v>
      </c>
      <c r="CL2130" s="4" t="s">
        <v>241</v>
      </c>
      <c r="CO2130" s="5" t="s">
        <v>260</v>
      </c>
      <c r="CP2130" s="4" t="s">
        <v>241</v>
      </c>
      <c r="CQ2130" s="4" t="s">
        <v>261</v>
      </c>
      <c r="CR2130" s="4" t="s">
        <v>241</v>
      </c>
      <c r="CS2130" s="4" t="s">
        <v>241</v>
      </c>
      <c r="CT2130" s="4">
        <v>0</v>
      </c>
      <c r="CU2130" s="4" t="s">
        <v>262</v>
      </c>
      <c r="CV2130" s="4" t="s">
        <v>263</v>
      </c>
      <c r="CW2130" s="4" t="s">
        <v>263</v>
      </c>
      <c r="CX2130" s="4" t="s">
        <v>264</v>
      </c>
      <c r="DA2130" s="6">
        <f>1</f>
        <v>1</v>
      </c>
      <c r="DC2130" s="4" t="s">
        <v>325</v>
      </c>
      <c r="DD2130" s="4" t="s">
        <v>241</v>
      </c>
      <c r="DF2130" s="4" t="s">
        <v>325</v>
      </c>
      <c r="DG2130" s="6">
        <f>93</f>
        <v>93</v>
      </c>
      <c r="DI2130" s="4" t="s">
        <v>241</v>
      </c>
      <c r="DJ2130" s="4" t="s">
        <v>241</v>
      </c>
      <c r="DK2130" s="4" t="s">
        <v>241</v>
      </c>
      <c r="DL2130" s="4" t="s">
        <v>241</v>
      </c>
      <c r="DP2130" s="4" t="s">
        <v>241</v>
      </c>
      <c r="DQ2130" s="4" t="s">
        <v>241</v>
      </c>
      <c r="DR2130" s="4" t="s">
        <v>241</v>
      </c>
      <c r="DS2130" s="4" t="s">
        <v>241</v>
      </c>
      <c r="DV2130" s="4" t="s">
        <v>426</v>
      </c>
      <c r="DW2130" s="4" t="s">
        <v>448</v>
      </c>
      <c r="HO2130" s="4" t="s">
        <v>267</v>
      </c>
    </row>
    <row r="2131" spans="1:223" ht="19.5" customHeight="1" x14ac:dyDescent="0.4">
      <c r="A2131" s="4">
        <v>1</v>
      </c>
      <c r="B2131" s="4" t="s">
        <v>239</v>
      </c>
      <c r="C2131" s="4">
        <v>3834</v>
      </c>
      <c r="D2131" s="4">
        <v>1</v>
      </c>
      <c r="E2131" s="4">
        <v>1</v>
      </c>
      <c r="F2131" s="4" t="s">
        <v>268</v>
      </c>
      <c r="G2131" s="4" t="s">
        <v>241</v>
      </c>
      <c r="H2131" s="4" t="s">
        <v>241</v>
      </c>
      <c r="I2131" s="4" t="s">
        <v>424</v>
      </c>
      <c r="J2131" s="4" t="s">
        <v>274</v>
      </c>
      <c r="K2131" s="4" t="s">
        <v>251</v>
      </c>
      <c r="L2131" s="4" t="s">
        <v>423</v>
      </c>
      <c r="M2131" s="5" t="s">
        <v>455</v>
      </c>
      <c r="N2131" s="6">
        <f>623</f>
        <v>623</v>
      </c>
      <c r="O2131" s="4" t="s">
        <v>265</v>
      </c>
      <c r="P2131" s="6">
        <f>1</f>
        <v>1</v>
      </c>
      <c r="Q2131" s="6">
        <f>0</f>
        <v>0</v>
      </c>
      <c r="S2131" s="6">
        <f>0</f>
        <v>0</v>
      </c>
      <c r="T2131" s="6">
        <f>1</f>
        <v>1</v>
      </c>
      <c r="U2131" s="5" t="s">
        <v>245</v>
      </c>
      <c r="V2131" s="4" t="s">
        <v>270</v>
      </c>
      <c r="W2131" s="4" t="s">
        <v>271</v>
      </c>
      <c r="X2131" s="4" t="s">
        <v>273</v>
      </c>
      <c r="Y2131" s="4" t="s">
        <v>241</v>
      </c>
      <c r="AB2131" s="4" t="s">
        <v>241</v>
      </c>
      <c r="AD2131" s="5" t="s">
        <v>241</v>
      </c>
      <c r="AG2131" s="5" t="s">
        <v>246</v>
      </c>
      <c r="AH2131" s="4" t="s">
        <v>241</v>
      </c>
      <c r="AI2131" s="4" t="s">
        <v>247</v>
      </c>
      <c r="AJ2131" s="4" t="s">
        <v>248</v>
      </c>
      <c r="AZ2131" s="4" t="s">
        <v>249</v>
      </c>
      <c r="BA2131" s="4" t="s">
        <v>241</v>
      </c>
      <c r="BB2131" s="4" t="s">
        <v>250</v>
      </c>
      <c r="BC2131" s="4" t="s">
        <v>241</v>
      </c>
      <c r="BD2131" s="4" t="s">
        <v>252</v>
      </c>
      <c r="BE2131" s="4" t="s">
        <v>241</v>
      </c>
      <c r="BI2131" s="4" t="s">
        <v>253</v>
      </c>
      <c r="BJ2131" s="5" t="s">
        <v>246</v>
      </c>
      <c r="BK2131" s="4" t="s">
        <v>254</v>
      </c>
      <c r="BL2131" s="4" t="s">
        <v>255</v>
      </c>
      <c r="BM2131" s="4" t="s">
        <v>241</v>
      </c>
      <c r="BN2131" s="6">
        <f>0</f>
        <v>0</v>
      </c>
      <c r="BO2131" s="6">
        <f>0</f>
        <v>0</v>
      </c>
      <c r="BP2131" s="4" t="s">
        <v>256</v>
      </c>
      <c r="BQ2131" s="4" t="s">
        <v>257</v>
      </c>
      <c r="CE2131" s="4" t="s">
        <v>241</v>
      </c>
      <c r="CF2131" s="4" t="s">
        <v>241</v>
      </c>
      <c r="CJ2131" s="4" t="s">
        <v>276</v>
      </c>
      <c r="CK2131" s="4" t="s">
        <v>259</v>
      </c>
      <c r="CL2131" s="4" t="s">
        <v>241</v>
      </c>
      <c r="CO2131" s="5" t="s">
        <v>260</v>
      </c>
      <c r="CP2131" s="4" t="s">
        <v>241</v>
      </c>
      <c r="CQ2131" s="4" t="s">
        <v>261</v>
      </c>
      <c r="CR2131" s="4" t="s">
        <v>241</v>
      </c>
      <c r="CS2131" s="4" t="s">
        <v>241</v>
      </c>
      <c r="CT2131" s="4">
        <v>0</v>
      </c>
      <c r="CU2131" s="4" t="s">
        <v>262</v>
      </c>
      <c r="CV2131" s="4" t="s">
        <v>263</v>
      </c>
      <c r="CW2131" s="4" t="s">
        <v>263</v>
      </c>
      <c r="CX2131" s="4" t="s">
        <v>264</v>
      </c>
      <c r="DA2131" s="6">
        <f>1</f>
        <v>1</v>
      </c>
      <c r="DC2131" s="4" t="s">
        <v>325</v>
      </c>
      <c r="DD2131" s="4" t="s">
        <v>241</v>
      </c>
      <c r="DF2131" s="4" t="s">
        <v>325</v>
      </c>
      <c r="DG2131" s="6">
        <f>623</f>
        <v>623</v>
      </c>
      <c r="DI2131" s="4" t="s">
        <v>241</v>
      </c>
      <c r="DJ2131" s="4" t="s">
        <v>241</v>
      </c>
      <c r="DK2131" s="4" t="s">
        <v>241</v>
      </c>
      <c r="DL2131" s="4" t="s">
        <v>241</v>
      </c>
      <c r="DP2131" s="4" t="s">
        <v>241</v>
      </c>
      <c r="DQ2131" s="4" t="s">
        <v>241</v>
      </c>
      <c r="DR2131" s="4" t="s">
        <v>241</v>
      </c>
      <c r="DS2131" s="4" t="s">
        <v>241</v>
      </c>
      <c r="DV2131" s="4" t="s">
        <v>426</v>
      </c>
      <c r="DW2131" s="4" t="s">
        <v>456</v>
      </c>
      <c r="HO2131" s="4" t="s">
        <v>267</v>
      </c>
    </row>
    <row r="2132" spans="1:223" ht="19.5" customHeight="1" x14ac:dyDescent="0.4">
      <c r="A2132" s="4">
        <v>1</v>
      </c>
      <c r="B2132" s="4" t="s">
        <v>239</v>
      </c>
      <c r="C2132" s="4">
        <v>3835</v>
      </c>
      <c r="D2132" s="4">
        <v>1</v>
      </c>
      <c r="E2132" s="4">
        <v>1</v>
      </c>
      <c r="F2132" s="4" t="s">
        <v>268</v>
      </c>
      <c r="G2132" s="4" t="s">
        <v>241</v>
      </c>
      <c r="H2132" s="4" t="s">
        <v>241</v>
      </c>
      <c r="I2132" s="4" t="s">
        <v>424</v>
      </c>
      <c r="J2132" s="4" t="s">
        <v>274</v>
      </c>
      <c r="K2132" s="4" t="s">
        <v>251</v>
      </c>
      <c r="L2132" s="4" t="s">
        <v>423</v>
      </c>
      <c r="M2132" s="5" t="s">
        <v>457</v>
      </c>
      <c r="N2132" s="6">
        <f>336</f>
        <v>336</v>
      </c>
      <c r="O2132" s="4" t="s">
        <v>265</v>
      </c>
      <c r="P2132" s="6">
        <f>1</f>
        <v>1</v>
      </c>
      <c r="Q2132" s="6">
        <f>0</f>
        <v>0</v>
      </c>
      <c r="S2132" s="6">
        <f>0</f>
        <v>0</v>
      </c>
      <c r="T2132" s="6">
        <f>1</f>
        <v>1</v>
      </c>
      <c r="U2132" s="5" t="s">
        <v>245</v>
      </c>
      <c r="V2132" s="4" t="s">
        <v>270</v>
      </c>
      <c r="W2132" s="4" t="s">
        <v>271</v>
      </c>
      <c r="X2132" s="4" t="s">
        <v>273</v>
      </c>
      <c r="Y2132" s="4" t="s">
        <v>241</v>
      </c>
      <c r="AB2132" s="4" t="s">
        <v>241</v>
      </c>
      <c r="AD2132" s="5" t="s">
        <v>241</v>
      </c>
      <c r="AG2132" s="5" t="s">
        <v>246</v>
      </c>
      <c r="AH2132" s="4" t="s">
        <v>241</v>
      </c>
      <c r="AI2132" s="4" t="s">
        <v>247</v>
      </c>
      <c r="AJ2132" s="4" t="s">
        <v>248</v>
      </c>
      <c r="AZ2132" s="4" t="s">
        <v>249</v>
      </c>
      <c r="BA2132" s="4" t="s">
        <v>241</v>
      </c>
      <c r="BB2132" s="4" t="s">
        <v>250</v>
      </c>
      <c r="BC2132" s="4" t="s">
        <v>241</v>
      </c>
      <c r="BD2132" s="4" t="s">
        <v>252</v>
      </c>
      <c r="BE2132" s="4" t="s">
        <v>241</v>
      </c>
      <c r="BI2132" s="4" t="s">
        <v>253</v>
      </c>
      <c r="BJ2132" s="5" t="s">
        <v>246</v>
      </c>
      <c r="BK2132" s="4" t="s">
        <v>254</v>
      </c>
      <c r="BL2132" s="4" t="s">
        <v>255</v>
      </c>
      <c r="BM2132" s="4" t="s">
        <v>241</v>
      </c>
      <c r="BN2132" s="6">
        <f>0</f>
        <v>0</v>
      </c>
      <c r="BO2132" s="6">
        <f>0</f>
        <v>0</v>
      </c>
      <c r="BP2132" s="4" t="s">
        <v>256</v>
      </c>
      <c r="BQ2132" s="4" t="s">
        <v>257</v>
      </c>
      <c r="CE2132" s="4" t="s">
        <v>241</v>
      </c>
      <c r="CF2132" s="4" t="s">
        <v>241</v>
      </c>
      <c r="CJ2132" s="4" t="s">
        <v>276</v>
      </c>
      <c r="CK2132" s="4" t="s">
        <v>259</v>
      </c>
      <c r="CL2132" s="4" t="s">
        <v>241</v>
      </c>
      <c r="CO2132" s="5" t="s">
        <v>260</v>
      </c>
      <c r="CP2132" s="4" t="s">
        <v>241</v>
      </c>
      <c r="CQ2132" s="4" t="s">
        <v>261</v>
      </c>
      <c r="CR2132" s="4" t="s">
        <v>241</v>
      </c>
      <c r="CS2132" s="4" t="s">
        <v>241</v>
      </c>
      <c r="CT2132" s="4">
        <v>0</v>
      </c>
      <c r="CU2132" s="4" t="s">
        <v>262</v>
      </c>
      <c r="CV2132" s="4" t="s">
        <v>263</v>
      </c>
      <c r="CW2132" s="4" t="s">
        <v>263</v>
      </c>
      <c r="CX2132" s="4" t="s">
        <v>264</v>
      </c>
      <c r="DA2132" s="6">
        <f>1</f>
        <v>1</v>
      </c>
      <c r="DC2132" s="4" t="s">
        <v>325</v>
      </c>
      <c r="DD2132" s="4" t="s">
        <v>241</v>
      </c>
      <c r="DF2132" s="4" t="s">
        <v>325</v>
      </c>
      <c r="DG2132" s="6">
        <f>336</f>
        <v>336</v>
      </c>
      <c r="DI2132" s="4" t="s">
        <v>241</v>
      </c>
      <c r="DJ2132" s="4" t="s">
        <v>241</v>
      </c>
      <c r="DK2132" s="4" t="s">
        <v>241</v>
      </c>
      <c r="DL2132" s="4" t="s">
        <v>241</v>
      </c>
      <c r="DP2132" s="4" t="s">
        <v>241</v>
      </c>
      <c r="DQ2132" s="4" t="s">
        <v>241</v>
      </c>
      <c r="DR2132" s="4" t="s">
        <v>241</v>
      </c>
      <c r="DS2132" s="4" t="s">
        <v>241</v>
      </c>
      <c r="DV2132" s="4" t="s">
        <v>426</v>
      </c>
      <c r="DW2132" s="4" t="s">
        <v>458</v>
      </c>
      <c r="HO2132" s="4" t="s">
        <v>267</v>
      </c>
    </row>
    <row r="2133" spans="1:223" ht="19.5" customHeight="1" x14ac:dyDescent="0.4">
      <c r="A2133" s="4">
        <v>1</v>
      </c>
      <c r="B2133" s="4" t="s">
        <v>239</v>
      </c>
      <c r="C2133" s="4">
        <v>3836</v>
      </c>
      <c r="D2133" s="4">
        <v>1</v>
      </c>
      <c r="E2133" s="4">
        <v>1</v>
      </c>
      <c r="F2133" s="4" t="s">
        <v>268</v>
      </c>
      <c r="G2133" s="4" t="s">
        <v>241</v>
      </c>
      <c r="H2133" s="4" t="s">
        <v>241</v>
      </c>
      <c r="I2133" s="4" t="s">
        <v>424</v>
      </c>
      <c r="J2133" s="4" t="s">
        <v>274</v>
      </c>
      <c r="K2133" s="4" t="s">
        <v>251</v>
      </c>
      <c r="L2133" s="4" t="s">
        <v>423</v>
      </c>
      <c r="M2133" s="5" t="s">
        <v>461</v>
      </c>
      <c r="N2133" s="6">
        <f>92</f>
        <v>92</v>
      </c>
      <c r="O2133" s="4" t="s">
        <v>265</v>
      </c>
      <c r="P2133" s="6">
        <f>1</f>
        <v>1</v>
      </c>
      <c r="Q2133" s="6">
        <f>0</f>
        <v>0</v>
      </c>
      <c r="S2133" s="6">
        <f>0</f>
        <v>0</v>
      </c>
      <c r="T2133" s="6">
        <f>1</f>
        <v>1</v>
      </c>
      <c r="U2133" s="5" t="s">
        <v>245</v>
      </c>
      <c r="V2133" s="4" t="s">
        <v>270</v>
      </c>
      <c r="W2133" s="4" t="s">
        <v>271</v>
      </c>
      <c r="X2133" s="4" t="s">
        <v>273</v>
      </c>
      <c r="Y2133" s="4" t="s">
        <v>241</v>
      </c>
      <c r="AB2133" s="4" t="s">
        <v>241</v>
      </c>
      <c r="AD2133" s="5" t="s">
        <v>241</v>
      </c>
      <c r="AG2133" s="5" t="s">
        <v>246</v>
      </c>
      <c r="AH2133" s="4" t="s">
        <v>241</v>
      </c>
      <c r="AI2133" s="4" t="s">
        <v>247</v>
      </c>
      <c r="AJ2133" s="4" t="s">
        <v>248</v>
      </c>
      <c r="AZ2133" s="4" t="s">
        <v>249</v>
      </c>
      <c r="BA2133" s="4" t="s">
        <v>241</v>
      </c>
      <c r="BB2133" s="4" t="s">
        <v>250</v>
      </c>
      <c r="BC2133" s="4" t="s">
        <v>241</v>
      </c>
      <c r="BD2133" s="4" t="s">
        <v>252</v>
      </c>
      <c r="BE2133" s="4" t="s">
        <v>241</v>
      </c>
      <c r="BI2133" s="4" t="s">
        <v>253</v>
      </c>
      <c r="BJ2133" s="5" t="s">
        <v>246</v>
      </c>
      <c r="BK2133" s="4" t="s">
        <v>254</v>
      </c>
      <c r="BL2133" s="4" t="s">
        <v>255</v>
      </c>
      <c r="BM2133" s="4" t="s">
        <v>241</v>
      </c>
      <c r="BN2133" s="6">
        <f>0</f>
        <v>0</v>
      </c>
      <c r="BO2133" s="6">
        <f>0</f>
        <v>0</v>
      </c>
      <c r="BP2133" s="4" t="s">
        <v>256</v>
      </c>
      <c r="BQ2133" s="4" t="s">
        <v>257</v>
      </c>
      <c r="CE2133" s="4" t="s">
        <v>241</v>
      </c>
      <c r="CF2133" s="4" t="s">
        <v>241</v>
      </c>
      <c r="CJ2133" s="4" t="s">
        <v>276</v>
      </c>
      <c r="CK2133" s="4" t="s">
        <v>259</v>
      </c>
      <c r="CL2133" s="4" t="s">
        <v>241</v>
      </c>
      <c r="CO2133" s="5" t="s">
        <v>260</v>
      </c>
      <c r="CP2133" s="4" t="s">
        <v>241</v>
      </c>
      <c r="CQ2133" s="4" t="s">
        <v>261</v>
      </c>
      <c r="CR2133" s="4" t="s">
        <v>241</v>
      </c>
      <c r="CS2133" s="4" t="s">
        <v>241</v>
      </c>
      <c r="CT2133" s="4">
        <v>0</v>
      </c>
      <c r="CU2133" s="4" t="s">
        <v>262</v>
      </c>
      <c r="CV2133" s="4" t="s">
        <v>263</v>
      </c>
      <c r="CW2133" s="4" t="s">
        <v>263</v>
      </c>
      <c r="CX2133" s="4" t="s">
        <v>264</v>
      </c>
      <c r="DA2133" s="6">
        <f>1</f>
        <v>1</v>
      </c>
      <c r="DC2133" s="4" t="s">
        <v>325</v>
      </c>
      <c r="DD2133" s="4" t="s">
        <v>241</v>
      </c>
      <c r="DF2133" s="4" t="s">
        <v>325</v>
      </c>
      <c r="DG2133" s="6">
        <f>92</f>
        <v>92</v>
      </c>
      <c r="DI2133" s="4" t="s">
        <v>241</v>
      </c>
      <c r="DJ2133" s="4" t="s">
        <v>241</v>
      </c>
      <c r="DK2133" s="4" t="s">
        <v>241</v>
      </c>
      <c r="DL2133" s="4" t="s">
        <v>241</v>
      </c>
      <c r="DP2133" s="4" t="s">
        <v>241</v>
      </c>
      <c r="DQ2133" s="4" t="s">
        <v>241</v>
      </c>
      <c r="DR2133" s="4" t="s">
        <v>241</v>
      </c>
      <c r="DS2133" s="4" t="s">
        <v>241</v>
      </c>
      <c r="DV2133" s="4" t="s">
        <v>426</v>
      </c>
      <c r="DW2133" s="4" t="s">
        <v>462</v>
      </c>
      <c r="HO2133" s="4" t="s">
        <v>267</v>
      </c>
    </row>
    <row r="2134" spans="1:223" ht="19.5" customHeight="1" x14ac:dyDescent="0.4">
      <c r="A2134" s="4">
        <v>1</v>
      </c>
      <c r="B2134" s="4" t="s">
        <v>239</v>
      </c>
      <c r="C2134" s="4">
        <v>3837</v>
      </c>
      <c r="D2134" s="4">
        <v>1</v>
      </c>
      <c r="E2134" s="4">
        <v>1</v>
      </c>
      <c r="F2134" s="4" t="s">
        <v>268</v>
      </c>
      <c r="G2134" s="4" t="s">
        <v>241</v>
      </c>
      <c r="H2134" s="4" t="s">
        <v>241</v>
      </c>
      <c r="I2134" s="4" t="s">
        <v>424</v>
      </c>
      <c r="J2134" s="4" t="s">
        <v>274</v>
      </c>
      <c r="K2134" s="4" t="s">
        <v>251</v>
      </c>
      <c r="L2134" s="4" t="s">
        <v>423</v>
      </c>
      <c r="M2134" s="5" t="s">
        <v>463</v>
      </c>
      <c r="N2134" s="6">
        <f>99</f>
        <v>99</v>
      </c>
      <c r="O2134" s="4" t="s">
        <v>265</v>
      </c>
      <c r="P2134" s="6">
        <f>1</f>
        <v>1</v>
      </c>
      <c r="Q2134" s="6">
        <f>0</f>
        <v>0</v>
      </c>
      <c r="S2134" s="6">
        <f>0</f>
        <v>0</v>
      </c>
      <c r="T2134" s="6">
        <f>1</f>
        <v>1</v>
      </c>
      <c r="U2134" s="5" t="s">
        <v>245</v>
      </c>
      <c r="V2134" s="4" t="s">
        <v>270</v>
      </c>
      <c r="W2134" s="4" t="s">
        <v>271</v>
      </c>
      <c r="X2134" s="4" t="s">
        <v>273</v>
      </c>
      <c r="Y2134" s="4" t="s">
        <v>241</v>
      </c>
      <c r="AB2134" s="4" t="s">
        <v>241</v>
      </c>
      <c r="AD2134" s="5" t="s">
        <v>241</v>
      </c>
      <c r="AG2134" s="5" t="s">
        <v>246</v>
      </c>
      <c r="AH2134" s="4" t="s">
        <v>241</v>
      </c>
      <c r="AI2134" s="4" t="s">
        <v>247</v>
      </c>
      <c r="AJ2134" s="4" t="s">
        <v>248</v>
      </c>
      <c r="AZ2134" s="4" t="s">
        <v>249</v>
      </c>
      <c r="BA2134" s="4" t="s">
        <v>241</v>
      </c>
      <c r="BB2134" s="4" t="s">
        <v>250</v>
      </c>
      <c r="BC2134" s="4" t="s">
        <v>241</v>
      </c>
      <c r="BD2134" s="4" t="s">
        <v>252</v>
      </c>
      <c r="BE2134" s="4" t="s">
        <v>241</v>
      </c>
      <c r="BI2134" s="4" t="s">
        <v>253</v>
      </c>
      <c r="BJ2134" s="5" t="s">
        <v>246</v>
      </c>
      <c r="BK2134" s="4" t="s">
        <v>254</v>
      </c>
      <c r="BL2134" s="4" t="s">
        <v>255</v>
      </c>
      <c r="BM2134" s="4" t="s">
        <v>241</v>
      </c>
      <c r="BN2134" s="6">
        <f>0</f>
        <v>0</v>
      </c>
      <c r="BO2134" s="6">
        <f>0</f>
        <v>0</v>
      </c>
      <c r="BP2134" s="4" t="s">
        <v>256</v>
      </c>
      <c r="BQ2134" s="4" t="s">
        <v>257</v>
      </c>
      <c r="CE2134" s="4" t="s">
        <v>241</v>
      </c>
      <c r="CF2134" s="4" t="s">
        <v>241</v>
      </c>
      <c r="CJ2134" s="4" t="s">
        <v>276</v>
      </c>
      <c r="CK2134" s="4" t="s">
        <v>259</v>
      </c>
      <c r="CL2134" s="4" t="s">
        <v>241</v>
      </c>
      <c r="CO2134" s="5" t="s">
        <v>260</v>
      </c>
      <c r="CP2134" s="4" t="s">
        <v>241</v>
      </c>
      <c r="CQ2134" s="4" t="s">
        <v>261</v>
      </c>
      <c r="CR2134" s="4" t="s">
        <v>241</v>
      </c>
      <c r="CS2134" s="4" t="s">
        <v>241</v>
      </c>
      <c r="CT2134" s="4">
        <v>0</v>
      </c>
      <c r="CU2134" s="4" t="s">
        <v>262</v>
      </c>
      <c r="CV2134" s="4" t="s">
        <v>263</v>
      </c>
      <c r="CW2134" s="4" t="s">
        <v>263</v>
      </c>
      <c r="CX2134" s="4" t="s">
        <v>264</v>
      </c>
      <c r="DA2134" s="6">
        <f>1</f>
        <v>1</v>
      </c>
      <c r="DC2134" s="4" t="s">
        <v>325</v>
      </c>
      <c r="DD2134" s="4" t="s">
        <v>241</v>
      </c>
      <c r="DF2134" s="4" t="s">
        <v>325</v>
      </c>
      <c r="DG2134" s="6">
        <f>99</f>
        <v>99</v>
      </c>
      <c r="DI2134" s="4" t="s">
        <v>241</v>
      </c>
      <c r="DJ2134" s="4" t="s">
        <v>241</v>
      </c>
      <c r="DK2134" s="4" t="s">
        <v>241</v>
      </c>
      <c r="DL2134" s="4" t="s">
        <v>241</v>
      </c>
      <c r="DP2134" s="4" t="s">
        <v>241</v>
      </c>
      <c r="DQ2134" s="4" t="s">
        <v>241</v>
      </c>
      <c r="DR2134" s="4" t="s">
        <v>241</v>
      </c>
      <c r="DS2134" s="4" t="s">
        <v>241</v>
      </c>
      <c r="DV2134" s="4" t="s">
        <v>426</v>
      </c>
      <c r="DW2134" s="4" t="s">
        <v>464</v>
      </c>
      <c r="HO2134" s="4" t="s">
        <v>267</v>
      </c>
    </row>
    <row r="2135" spans="1:223" ht="19.5" customHeight="1" x14ac:dyDescent="0.4">
      <c r="A2135" s="4">
        <v>1</v>
      </c>
      <c r="B2135" s="4" t="s">
        <v>239</v>
      </c>
      <c r="C2135" s="4">
        <v>3838</v>
      </c>
      <c r="D2135" s="4">
        <v>1</v>
      </c>
      <c r="E2135" s="4">
        <v>1</v>
      </c>
      <c r="F2135" s="4" t="s">
        <v>268</v>
      </c>
      <c r="G2135" s="4" t="s">
        <v>241</v>
      </c>
      <c r="H2135" s="4" t="s">
        <v>241</v>
      </c>
      <c r="I2135" s="4" t="s">
        <v>424</v>
      </c>
      <c r="J2135" s="4" t="s">
        <v>274</v>
      </c>
      <c r="K2135" s="4" t="s">
        <v>251</v>
      </c>
      <c r="L2135" s="4" t="s">
        <v>423</v>
      </c>
      <c r="M2135" s="5" t="s">
        <v>467</v>
      </c>
      <c r="N2135" s="6">
        <f>10</f>
        <v>10</v>
      </c>
      <c r="O2135" s="4" t="s">
        <v>265</v>
      </c>
      <c r="P2135" s="6">
        <f>1</f>
        <v>1</v>
      </c>
      <c r="Q2135" s="6">
        <f>0</f>
        <v>0</v>
      </c>
      <c r="S2135" s="6">
        <f>0</f>
        <v>0</v>
      </c>
      <c r="T2135" s="6">
        <f>1</f>
        <v>1</v>
      </c>
      <c r="U2135" s="5" t="s">
        <v>245</v>
      </c>
      <c r="V2135" s="4" t="s">
        <v>270</v>
      </c>
      <c r="W2135" s="4" t="s">
        <v>271</v>
      </c>
      <c r="X2135" s="4" t="s">
        <v>273</v>
      </c>
      <c r="Y2135" s="4" t="s">
        <v>241</v>
      </c>
      <c r="AB2135" s="4" t="s">
        <v>241</v>
      </c>
      <c r="AD2135" s="5" t="s">
        <v>241</v>
      </c>
      <c r="AG2135" s="5" t="s">
        <v>246</v>
      </c>
      <c r="AH2135" s="4" t="s">
        <v>241</v>
      </c>
      <c r="AI2135" s="4" t="s">
        <v>247</v>
      </c>
      <c r="AJ2135" s="4" t="s">
        <v>248</v>
      </c>
      <c r="AZ2135" s="4" t="s">
        <v>249</v>
      </c>
      <c r="BA2135" s="4" t="s">
        <v>241</v>
      </c>
      <c r="BB2135" s="4" t="s">
        <v>250</v>
      </c>
      <c r="BC2135" s="4" t="s">
        <v>241</v>
      </c>
      <c r="BD2135" s="4" t="s">
        <v>252</v>
      </c>
      <c r="BE2135" s="4" t="s">
        <v>241</v>
      </c>
      <c r="BI2135" s="4" t="s">
        <v>253</v>
      </c>
      <c r="BJ2135" s="5" t="s">
        <v>246</v>
      </c>
      <c r="BK2135" s="4" t="s">
        <v>254</v>
      </c>
      <c r="BL2135" s="4" t="s">
        <v>255</v>
      </c>
      <c r="BM2135" s="4" t="s">
        <v>241</v>
      </c>
      <c r="BN2135" s="6">
        <f>0</f>
        <v>0</v>
      </c>
      <c r="BO2135" s="6">
        <f>0</f>
        <v>0</v>
      </c>
      <c r="BP2135" s="4" t="s">
        <v>256</v>
      </c>
      <c r="BQ2135" s="4" t="s">
        <v>257</v>
      </c>
      <c r="CE2135" s="4" t="s">
        <v>241</v>
      </c>
      <c r="CF2135" s="4" t="s">
        <v>241</v>
      </c>
      <c r="CJ2135" s="4" t="s">
        <v>276</v>
      </c>
      <c r="CK2135" s="4" t="s">
        <v>259</v>
      </c>
      <c r="CL2135" s="4" t="s">
        <v>241</v>
      </c>
      <c r="CO2135" s="5" t="s">
        <v>260</v>
      </c>
      <c r="CP2135" s="4" t="s">
        <v>241</v>
      </c>
      <c r="CQ2135" s="4" t="s">
        <v>261</v>
      </c>
      <c r="CR2135" s="4" t="s">
        <v>241</v>
      </c>
      <c r="CS2135" s="4" t="s">
        <v>241</v>
      </c>
      <c r="CT2135" s="4">
        <v>0</v>
      </c>
      <c r="CU2135" s="4" t="s">
        <v>262</v>
      </c>
      <c r="CV2135" s="4" t="s">
        <v>263</v>
      </c>
      <c r="CW2135" s="4" t="s">
        <v>263</v>
      </c>
      <c r="CX2135" s="4" t="s">
        <v>264</v>
      </c>
      <c r="DA2135" s="6">
        <f>1</f>
        <v>1</v>
      </c>
      <c r="DC2135" s="4" t="s">
        <v>325</v>
      </c>
      <c r="DD2135" s="4" t="s">
        <v>241</v>
      </c>
      <c r="DF2135" s="4" t="s">
        <v>325</v>
      </c>
      <c r="DG2135" s="6">
        <f>10</f>
        <v>10</v>
      </c>
      <c r="DI2135" s="4" t="s">
        <v>241</v>
      </c>
      <c r="DJ2135" s="4" t="s">
        <v>241</v>
      </c>
      <c r="DK2135" s="4" t="s">
        <v>241</v>
      </c>
      <c r="DL2135" s="4" t="s">
        <v>241</v>
      </c>
      <c r="DP2135" s="4" t="s">
        <v>241</v>
      </c>
      <c r="DQ2135" s="4" t="s">
        <v>241</v>
      </c>
      <c r="DR2135" s="4" t="s">
        <v>241</v>
      </c>
      <c r="DS2135" s="4" t="s">
        <v>241</v>
      </c>
      <c r="DV2135" s="4" t="s">
        <v>426</v>
      </c>
      <c r="DW2135" s="4" t="s">
        <v>468</v>
      </c>
      <c r="HO2135" s="4" t="s">
        <v>267</v>
      </c>
    </row>
    <row r="2136" spans="1:223" ht="19.5" customHeight="1" x14ac:dyDescent="0.4">
      <c r="A2136" s="4">
        <v>1</v>
      </c>
      <c r="B2136" s="4" t="s">
        <v>239</v>
      </c>
      <c r="C2136" s="4">
        <v>3839</v>
      </c>
      <c r="D2136" s="4">
        <v>1</v>
      </c>
      <c r="E2136" s="4">
        <v>1</v>
      </c>
      <c r="F2136" s="4" t="s">
        <v>268</v>
      </c>
      <c r="G2136" s="4" t="s">
        <v>241</v>
      </c>
      <c r="H2136" s="4" t="s">
        <v>241</v>
      </c>
      <c r="I2136" s="4" t="s">
        <v>424</v>
      </c>
      <c r="J2136" s="4" t="s">
        <v>274</v>
      </c>
      <c r="K2136" s="4" t="s">
        <v>251</v>
      </c>
      <c r="L2136" s="4" t="s">
        <v>423</v>
      </c>
      <c r="M2136" s="5" t="s">
        <v>469</v>
      </c>
      <c r="N2136" s="6">
        <f>897</f>
        <v>897</v>
      </c>
      <c r="O2136" s="4" t="s">
        <v>265</v>
      </c>
      <c r="P2136" s="6">
        <f>1</f>
        <v>1</v>
      </c>
      <c r="Q2136" s="6">
        <f>0</f>
        <v>0</v>
      </c>
      <c r="S2136" s="6">
        <f>0</f>
        <v>0</v>
      </c>
      <c r="T2136" s="6">
        <f>1</f>
        <v>1</v>
      </c>
      <c r="U2136" s="5" t="s">
        <v>245</v>
      </c>
      <c r="V2136" s="4" t="s">
        <v>270</v>
      </c>
      <c r="W2136" s="4" t="s">
        <v>271</v>
      </c>
      <c r="X2136" s="4" t="s">
        <v>273</v>
      </c>
      <c r="Y2136" s="4" t="s">
        <v>241</v>
      </c>
      <c r="AB2136" s="4" t="s">
        <v>241</v>
      </c>
      <c r="AD2136" s="5" t="s">
        <v>241</v>
      </c>
      <c r="AG2136" s="5" t="s">
        <v>246</v>
      </c>
      <c r="AH2136" s="4" t="s">
        <v>241</v>
      </c>
      <c r="AI2136" s="4" t="s">
        <v>247</v>
      </c>
      <c r="AJ2136" s="4" t="s">
        <v>248</v>
      </c>
      <c r="AZ2136" s="4" t="s">
        <v>249</v>
      </c>
      <c r="BA2136" s="4" t="s">
        <v>241</v>
      </c>
      <c r="BB2136" s="4" t="s">
        <v>250</v>
      </c>
      <c r="BC2136" s="4" t="s">
        <v>241</v>
      </c>
      <c r="BD2136" s="4" t="s">
        <v>252</v>
      </c>
      <c r="BE2136" s="4" t="s">
        <v>241</v>
      </c>
      <c r="BI2136" s="4" t="s">
        <v>253</v>
      </c>
      <c r="BJ2136" s="5" t="s">
        <v>246</v>
      </c>
      <c r="BK2136" s="4" t="s">
        <v>254</v>
      </c>
      <c r="BL2136" s="4" t="s">
        <v>255</v>
      </c>
      <c r="BM2136" s="4" t="s">
        <v>241</v>
      </c>
      <c r="BN2136" s="6">
        <f>0</f>
        <v>0</v>
      </c>
      <c r="BO2136" s="6">
        <f>0</f>
        <v>0</v>
      </c>
      <c r="BP2136" s="4" t="s">
        <v>256</v>
      </c>
      <c r="BQ2136" s="4" t="s">
        <v>257</v>
      </c>
      <c r="CE2136" s="4" t="s">
        <v>241</v>
      </c>
      <c r="CF2136" s="4" t="s">
        <v>241</v>
      </c>
      <c r="CJ2136" s="4" t="s">
        <v>276</v>
      </c>
      <c r="CK2136" s="4" t="s">
        <v>259</v>
      </c>
      <c r="CL2136" s="4" t="s">
        <v>241</v>
      </c>
      <c r="CO2136" s="5" t="s">
        <v>260</v>
      </c>
      <c r="CP2136" s="4" t="s">
        <v>241</v>
      </c>
      <c r="CQ2136" s="4" t="s">
        <v>261</v>
      </c>
      <c r="CR2136" s="4" t="s">
        <v>241</v>
      </c>
      <c r="CS2136" s="4" t="s">
        <v>241</v>
      </c>
      <c r="CT2136" s="4">
        <v>0</v>
      </c>
      <c r="CU2136" s="4" t="s">
        <v>262</v>
      </c>
      <c r="CV2136" s="4" t="s">
        <v>263</v>
      </c>
      <c r="CW2136" s="4" t="s">
        <v>263</v>
      </c>
      <c r="CX2136" s="4" t="s">
        <v>264</v>
      </c>
      <c r="DA2136" s="6">
        <f>1</f>
        <v>1</v>
      </c>
      <c r="DC2136" s="4" t="s">
        <v>325</v>
      </c>
      <c r="DD2136" s="4" t="s">
        <v>241</v>
      </c>
      <c r="DF2136" s="4" t="s">
        <v>325</v>
      </c>
      <c r="DG2136" s="6">
        <f>897</f>
        <v>897</v>
      </c>
      <c r="DI2136" s="4" t="s">
        <v>241</v>
      </c>
      <c r="DJ2136" s="4" t="s">
        <v>241</v>
      </c>
      <c r="DK2136" s="4" t="s">
        <v>241</v>
      </c>
      <c r="DL2136" s="4" t="s">
        <v>241</v>
      </c>
      <c r="DP2136" s="4" t="s">
        <v>241</v>
      </c>
      <c r="DQ2136" s="4" t="s">
        <v>241</v>
      </c>
      <c r="DR2136" s="4" t="s">
        <v>241</v>
      </c>
      <c r="DS2136" s="4" t="s">
        <v>241</v>
      </c>
      <c r="DV2136" s="4" t="s">
        <v>426</v>
      </c>
      <c r="DW2136" s="4" t="s">
        <v>470</v>
      </c>
      <c r="HO2136" s="4" t="s">
        <v>267</v>
      </c>
    </row>
    <row r="2137" spans="1:223" ht="19.5" customHeight="1" x14ac:dyDescent="0.4">
      <c r="A2137" s="4">
        <v>1</v>
      </c>
      <c r="B2137" s="4" t="s">
        <v>239</v>
      </c>
      <c r="C2137" s="4">
        <v>3840</v>
      </c>
      <c r="D2137" s="4">
        <v>1</v>
      </c>
      <c r="E2137" s="4">
        <v>1</v>
      </c>
      <c r="F2137" s="4" t="s">
        <v>268</v>
      </c>
      <c r="G2137" s="4" t="s">
        <v>241</v>
      </c>
      <c r="H2137" s="4" t="s">
        <v>241</v>
      </c>
      <c r="I2137" s="4" t="s">
        <v>424</v>
      </c>
      <c r="J2137" s="4" t="s">
        <v>274</v>
      </c>
      <c r="K2137" s="4" t="s">
        <v>251</v>
      </c>
      <c r="L2137" s="4" t="s">
        <v>423</v>
      </c>
      <c r="M2137" s="5" t="s">
        <v>4344</v>
      </c>
      <c r="N2137" s="6">
        <f>77</f>
        <v>77</v>
      </c>
      <c r="O2137" s="4" t="s">
        <v>265</v>
      </c>
      <c r="P2137" s="6">
        <f>1</f>
        <v>1</v>
      </c>
      <c r="Q2137" s="6">
        <f>0</f>
        <v>0</v>
      </c>
      <c r="S2137" s="6">
        <f>0</f>
        <v>0</v>
      </c>
      <c r="T2137" s="6">
        <f>1</f>
        <v>1</v>
      </c>
      <c r="U2137" s="5" t="s">
        <v>245</v>
      </c>
      <c r="V2137" s="4" t="s">
        <v>270</v>
      </c>
      <c r="W2137" s="4" t="s">
        <v>271</v>
      </c>
      <c r="X2137" s="4" t="s">
        <v>273</v>
      </c>
      <c r="Y2137" s="4" t="s">
        <v>241</v>
      </c>
      <c r="AB2137" s="4" t="s">
        <v>241</v>
      </c>
      <c r="AD2137" s="5" t="s">
        <v>241</v>
      </c>
      <c r="AG2137" s="5" t="s">
        <v>246</v>
      </c>
      <c r="AH2137" s="4" t="s">
        <v>241</v>
      </c>
      <c r="AI2137" s="4" t="s">
        <v>247</v>
      </c>
      <c r="AJ2137" s="4" t="s">
        <v>248</v>
      </c>
      <c r="AZ2137" s="4" t="s">
        <v>249</v>
      </c>
      <c r="BA2137" s="4" t="s">
        <v>241</v>
      </c>
      <c r="BB2137" s="4" t="s">
        <v>250</v>
      </c>
      <c r="BC2137" s="4" t="s">
        <v>241</v>
      </c>
      <c r="BD2137" s="4" t="s">
        <v>252</v>
      </c>
      <c r="BE2137" s="4" t="s">
        <v>241</v>
      </c>
      <c r="BI2137" s="4" t="s">
        <v>253</v>
      </c>
      <c r="BJ2137" s="5" t="s">
        <v>246</v>
      </c>
      <c r="BK2137" s="4" t="s">
        <v>254</v>
      </c>
      <c r="BL2137" s="4" t="s">
        <v>255</v>
      </c>
      <c r="BM2137" s="4" t="s">
        <v>241</v>
      </c>
      <c r="BN2137" s="6">
        <f>0</f>
        <v>0</v>
      </c>
      <c r="BO2137" s="6">
        <f>0</f>
        <v>0</v>
      </c>
      <c r="BP2137" s="4" t="s">
        <v>256</v>
      </c>
      <c r="BQ2137" s="4" t="s">
        <v>257</v>
      </c>
      <c r="CE2137" s="4" t="s">
        <v>241</v>
      </c>
      <c r="CF2137" s="4" t="s">
        <v>241</v>
      </c>
      <c r="CJ2137" s="4" t="s">
        <v>276</v>
      </c>
      <c r="CK2137" s="4" t="s">
        <v>259</v>
      </c>
      <c r="CL2137" s="4" t="s">
        <v>241</v>
      </c>
      <c r="CO2137" s="5" t="s">
        <v>260</v>
      </c>
      <c r="CP2137" s="4" t="s">
        <v>241</v>
      </c>
      <c r="CQ2137" s="4" t="s">
        <v>261</v>
      </c>
      <c r="CR2137" s="4" t="s">
        <v>241</v>
      </c>
      <c r="CS2137" s="4" t="s">
        <v>241</v>
      </c>
      <c r="CT2137" s="4">
        <v>0</v>
      </c>
      <c r="CU2137" s="4" t="s">
        <v>262</v>
      </c>
      <c r="CV2137" s="4" t="s">
        <v>263</v>
      </c>
      <c r="CW2137" s="4" t="s">
        <v>263</v>
      </c>
      <c r="CX2137" s="4" t="s">
        <v>264</v>
      </c>
      <c r="DA2137" s="6">
        <f>1</f>
        <v>1</v>
      </c>
      <c r="DC2137" s="4" t="s">
        <v>325</v>
      </c>
      <c r="DD2137" s="4" t="s">
        <v>241</v>
      </c>
      <c r="DF2137" s="4" t="s">
        <v>325</v>
      </c>
      <c r="DG2137" s="6">
        <f>77</f>
        <v>77</v>
      </c>
      <c r="DI2137" s="4" t="s">
        <v>241</v>
      </c>
      <c r="DJ2137" s="4" t="s">
        <v>241</v>
      </c>
      <c r="DK2137" s="4" t="s">
        <v>241</v>
      </c>
      <c r="DL2137" s="4" t="s">
        <v>241</v>
      </c>
      <c r="DP2137" s="4" t="s">
        <v>241</v>
      </c>
      <c r="DQ2137" s="4" t="s">
        <v>241</v>
      </c>
      <c r="DR2137" s="4" t="s">
        <v>241</v>
      </c>
      <c r="DS2137" s="4" t="s">
        <v>241</v>
      </c>
      <c r="DV2137" s="4" t="s">
        <v>426</v>
      </c>
      <c r="DW2137" s="4" t="s">
        <v>1457</v>
      </c>
      <c r="HO2137" s="4" t="s">
        <v>267</v>
      </c>
    </row>
    <row r="2138" spans="1:223" ht="19.5" customHeight="1" x14ac:dyDescent="0.4">
      <c r="A2138" s="4">
        <v>1</v>
      </c>
      <c r="B2138" s="4" t="s">
        <v>239</v>
      </c>
      <c r="C2138" s="4">
        <v>3841</v>
      </c>
      <c r="D2138" s="4">
        <v>1</v>
      </c>
      <c r="E2138" s="4">
        <v>1</v>
      </c>
      <c r="F2138" s="4" t="s">
        <v>268</v>
      </c>
      <c r="G2138" s="4" t="s">
        <v>241</v>
      </c>
      <c r="H2138" s="4" t="s">
        <v>241</v>
      </c>
      <c r="I2138" s="4" t="s">
        <v>424</v>
      </c>
      <c r="J2138" s="4" t="s">
        <v>274</v>
      </c>
      <c r="K2138" s="4" t="s">
        <v>251</v>
      </c>
      <c r="L2138" s="4" t="s">
        <v>423</v>
      </c>
      <c r="M2138" s="5" t="s">
        <v>475</v>
      </c>
      <c r="N2138" s="6">
        <f>1181</f>
        <v>1181</v>
      </c>
      <c r="O2138" s="4" t="s">
        <v>265</v>
      </c>
      <c r="P2138" s="6">
        <f>1</f>
        <v>1</v>
      </c>
      <c r="Q2138" s="6">
        <f>0</f>
        <v>0</v>
      </c>
      <c r="S2138" s="6">
        <f>0</f>
        <v>0</v>
      </c>
      <c r="T2138" s="6">
        <f>1</f>
        <v>1</v>
      </c>
      <c r="U2138" s="5" t="s">
        <v>245</v>
      </c>
      <c r="V2138" s="4" t="s">
        <v>270</v>
      </c>
      <c r="W2138" s="4" t="s">
        <v>271</v>
      </c>
      <c r="X2138" s="4" t="s">
        <v>273</v>
      </c>
      <c r="Y2138" s="4" t="s">
        <v>241</v>
      </c>
      <c r="AB2138" s="4" t="s">
        <v>241</v>
      </c>
      <c r="AD2138" s="5" t="s">
        <v>241</v>
      </c>
      <c r="AG2138" s="5" t="s">
        <v>246</v>
      </c>
      <c r="AH2138" s="4" t="s">
        <v>241</v>
      </c>
      <c r="AI2138" s="4" t="s">
        <v>247</v>
      </c>
      <c r="AJ2138" s="4" t="s">
        <v>248</v>
      </c>
      <c r="AZ2138" s="4" t="s">
        <v>249</v>
      </c>
      <c r="BA2138" s="4" t="s">
        <v>241</v>
      </c>
      <c r="BB2138" s="4" t="s">
        <v>250</v>
      </c>
      <c r="BC2138" s="4" t="s">
        <v>241</v>
      </c>
      <c r="BD2138" s="4" t="s">
        <v>252</v>
      </c>
      <c r="BE2138" s="4" t="s">
        <v>241</v>
      </c>
      <c r="BI2138" s="4" t="s">
        <v>253</v>
      </c>
      <c r="BJ2138" s="5" t="s">
        <v>246</v>
      </c>
      <c r="BK2138" s="4" t="s">
        <v>254</v>
      </c>
      <c r="BL2138" s="4" t="s">
        <v>255</v>
      </c>
      <c r="BM2138" s="4" t="s">
        <v>241</v>
      </c>
      <c r="BN2138" s="6">
        <f>0</f>
        <v>0</v>
      </c>
      <c r="BO2138" s="6">
        <f>0</f>
        <v>0</v>
      </c>
      <c r="BP2138" s="4" t="s">
        <v>256</v>
      </c>
      <c r="BQ2138" s="4" t="s">
        <v>257</v>
      </c>
      <c r="CE2138" s="4" t="s">
        <v>241</v>
      </c>
      <c r="CF2138" s="4" t="s">
        <v>241</v>
      </c>
      <c r="CJ2138" s="4" t="s">
        <v>276</v>
      </c>
      <c r="CK2138" s="4" t="s">
        <v>259</v>
      </c>
      <c r="CL2138" s="4" t="s">
        <v>241</v>
      </c>
      <c r="CO2138" s="5" t="s">
        <v>260</v>
      </c>
      <c r="CP2138" s="4" t="s">
        <v>241</v>
      </c>
      <c r="CQ2138" s="4" t="s">
        <v>261</v>
      </c>
      <c r="CR2138" s="4" t="s">
        <v>241</v>
      </c>
      <c r="CS2138" s="4" t="s">
        <v>241</v>
      </c>
      <c r="CT2138" s="4">
        <v>0</v>
      </c>
      <c r="CU2138" s="4" t="s">
        <v>262</v>
      </c>
      <c r="CV2138" s="4" t="s">
        <v>263</v>
      </c>
      <c r="CW2138" s="4" t="s">
        <v>263</v>
      </c>
      <c r="CX2138" s="4" t="s">
        <v>264</v>
      </c>
      <c r="DA2138" s="6">
        <f>1</f>
        <v>1</v>
      </c>
      <c r="DC2138" s="4" t="s">
        <v>325</v>
      </c>
      <c r="DD2138" s="4" t="s">
        <v>241</v>
      </c>
      <c r="DF2138" s="4" t="s">
        <v>325</v>
      </c>
      <c r="DG2138" s="6">
        <f>1181</f>
        <v>1181</v>
      </c>
      <c r="DI2138" s="4" t="s">
        <v>241</v>
      </c>
      <c r="DJ2138" s="4" t="s">
        <v>241</v>
      </c>
      <c r="DK2138" s="4" t="s">
        <v>241</v>
      </c>
      <c r="DL2138" s="4" t="s">
        <v>241</v>
      </c>
      <c r="DP2138" s="4" t="s">
        <v>241</v>
      </c>
      <c r="DQ2138" s="4" t="s">
        <v>241</v>
      </c>
      <c r="DR2138" s="4" t="s">
        <v>241</v>
      </c>
      <c r="DS2138" s="4" t="s">
        <v>241</v>
      </c>
      <c r="DV2138" s="4" t="s">
        <v>426</v>
      </c>
      <c r="DW2138" s="4" t="s">
        <v>476</v>
      </c>
      <c r="HO2138" s="4" t="s">
        <v>267</v>
      </c>
    </row>
    <row r="2139" spans="1:223" ht="19.5" customHeight="1" x14ac:dyDescent="0.4">
      <c r="A2139" s="4">
        <v>1</v>
      </c>
      <c r="B2139" s="4" t="s">
        <v>239</v>
      </c>
      <c r="C2139" s="4">
        <v>3842</v>
      </c>
      <c r="D2139" s="4">
        <v>1</v>
      </c>
      <c r="E2139" s="4">
        <v>1</v>
      </c>
      <c r="F2139" s="4" t="s">
        <v>268</v>
      </c>
      <c r="G2139" s="4" t="s">
        <v>241</v>
      </c>
      <c r="H2139" s="4" t="s">
        <v>241</v>
      </c>
      <c r="I2139" s="4" t="s">
        <v>424</v>
      </c>
      <c r="J2139" s="4" t="s">
        <v>274</v>
      </c>
      <c r="K2139" s="4" t="s">
        <v>251</v>
      </c>
      <c r="L2139" s="4" t="s">
        <v>423</v>
      </c>
      <c r="M2139" s="5" t="s">
        <v>485</v>
      </c>
      <c r="N2139" s="6">
        <f>188</f>
        <v>188</v>
      </c>
      <c r="O2139" s="4" t="s">
        <v>265</v>
      </c>
      <c r="P2139" s="6">
        <f>1</f>
        <v>1</v>
      </c>
      <c r="Q2139" s="6">
        <f>0</f>
        <v>0</v>
      </c>
      <c r="S2139" s="6">
        <f>0</f>
        <v>0</v>
      </c>
      <c r="T2139" s="6">
        <f>1</f>
        <v>1</v>
      </c>
      <c r="U2139" s="5" t="s">
        <v>245</v>
      </c>
      <c r="V2139" s="4" t="s">
        <v>270</v>
      </c>
      <c r="W2139" s="4" t="s">
        <v>271</v>
      </c>
      <c r="X2139" s="4" t="s">
        <v>273</v>
      </c>
      <c r="Y2139" s="4" t="s">
        <v>241</v>
      </c>
      <c r="AB2139" s="4" t="s">
        <v>241</v>
      </c>
      <c r="AD2139" s="5" t="s">
        <v>241</v>
      </c>
      <c r="AG2139" s="5" t="s">
        <v>246</v>
      </c>
      <c r="AH2139" s="4" t="s">
        <v>241</v>
      </c>
      <c r="AI2139" s="4" t="s">
        <v>247</v>
      </c>
      <c r="AJ2139" s="4" t="s">
        <v>248</v>
      </c>
      <c r="AZ2139" s="4" t="s">
        <v>249</v>
      </c>
      <c r="BA2139" s="4" t="s">
        <v>241</v>
      </c>
      <c r="BB2139" s="4" t="s">
        <v>250</v>
      </c>
      <c r="BC2139" s="4" t="s">
        <v>241</v>
      </c>
      <c r="BD2139" s="4" t="s">
        <v>252</v>
      </c>
      <c r="BE2139" s="4" t="s">
        <v>241</v>
      </c>
      <c r="BI2139" s="4" t="s">
        <v>253</v>
      </c>
      <c r="BJ2139" s="5" t="s">
        <v>246</v>
      </c>
      <c r="BK2139" s="4" t="s">
        <v>254</v>
      </c>
      <c r="BL2139" s="4" t="s">
        <v>255</v>
      </c>
      <c r="BM2139" s="4" t="s">
        <v>241</v>
      </c>
      <c r="BN2139" s="6">
        <f>0</f>
        <v>0</v>
      </c>
      <c r="BO2139" s="6">
        <f>0</f>
        <v>0</v>
      </c>
      <c r="BP2139" s="4" t="s">
        <v>256</v>
      </c>
      <c r="BQ2139" s="4" t="s">
        <v>257</v>
      </c>
      <c r="CE2139" s="4" t="s">
        <v>241</v>
      </c>
      <c r="CF2139" s="4" t="s">
        <v>241</v>
      </c>
      <c r="CJ2139" s="4" t="s">
        <v>276</v>
      </c>
      <c r="CK2139" s="4" t="s">
        <v>259</v>
      </c>
      <c r="CL2139" s="4" t="s">
        <v>241</v>
      </c>
      <c r="CO2139" s="5" t="s">
        <v>260</v>
      </c>
      <c r="CP2139" s="4" t="s">
        <v>241</v>
      </c>
      <c r="CQ2139" s="4" t="s">
        <v>261</v>
      </c>
      <c r="CR2139" s="4" t="s">
        <v>241</v>
      </c>
      <c r="CS2139" s="4" t="s">
        <v>241</v>
      </c>
      <c r="CT2139" s="4">
        <v>0</v>
      </c>
      <c r="CU2139" s="4" t="s">
        <v>262</v>
      </c>
      <c r="CV2139" s="4" t="s">
        <v>263</v>
      </c>
      <c r="CW2139" s="4" t="s">
        <v>263</v>
      </c>
      <c r="CX2139" s="4" t="s">
        <v>264</v>
      </c>
      <c r="DA2139" s="6">
        <f>1</f>
        <v>1</v>
      </c>
      <c r="DC2139" s="4" t="s">
        <v>325</v>
      </c>
      <c r="DD2139" s="4" t="s">
        <v>241</v>
      </c>
      <c r="DF2139" s="4" t="s">
        <v>325</v>
      </c>
      <c r="DG2139" s="6">
        <f>188</f>
        <v>188</v>
      </c>
      <c r="DI2139" s="4" t="s">
        <v>241</v>
      </c>
      <c r="DJ2139" s="4" t="s">
        <v>241</v>
      </c>
      <c r="DK2139" s="4" t="s">
        <v>241</v>
      </c>
      <c r="DL2139" s="4" t="s">
        <v>241</v>
      </c>
      <c r="DP2139" s="4" t="s">
        <v>241</v>
      </c>
      <c r="DQ2139" s="4" t="s">
        <v>241</v>
      </c>
      <c r="DR2139" s="4" t="s">
        <v>241</v>
      </c>
      <c r="DS2139" s="4" t="s">
        <v>241</v>
      </c>
      <c r="DV2139" s="4" t="s">
        <v>426</v>
      </c>
      <c r="DW2139" s="4" t="s">
        <v>486</v>
      </c>
      <c r="HO2139" s="4" t="s">
        <v>267</v>
      </c>
    </row>
    <row r="2140" spans="1:223" ht="19.5" customHeight="1" x14ac:dyDescent="0.4">
      <c r="A2140" s="4">
        <v>1</v>
      </c>
      <c r="B2140" s="4" t="s">
        <v>239</v>
      </c>
      <c r="C2140" s="4">
        <v>3843</v>
      </c>
      <c r="D2140" s="4">
        <v>1</v>
      </c>
      <c r="E2140" s="4">
        <v>1</v>
      </c>
      <c r="F2140" s="4" t="s">
        <v>268</v>
      </c>
      <c r="G2140" s="4" t="s">
        <v>241</v>
      </c>
      <c r="H2140" s="4" t="s">
        <v>241</v>
      </c>
      <c r="I2140" s="4" t="s">
        <v>424</v>
      </c>
      <c r="J2140" s="4" t="s">
        <v>274</v>
      </c>
      <c r="K2140" s="4" t="s">
        <v>251</v>
      </c>
      <c r="L2140" s="4" t="s">
        <v>423</v>
      </c>
      <c r="M2140" s="5" t="s">
        <v>487</v>
      </c>
      <c r="N2140" s="6">
        <f>850</f>
        <v>850</v>
      </c>
      <c r="O2140" s="4" t="s">
        <v>265</v>
      </c>
      <c r="P2140" s="6">
        <f>1</f>
        <v>1</v>
      </c>
      <c r="Q2140" s="6">
        <f>0</f>
        <v>0</v>
      </c>
      <c r="S2140" s="6">
        <f>0</f>
        <v>0</v>
      </c>
      <c r="T2140" s="6">
        <f>1</f>
        <v>1</v>
      </c>
      <c r="U2140" s="5" t="s">
        <v>245</v>
      </c>
      <c r="V2140" s="4" t="s">
        <v>270</v>
      </c>
      <c r="W2140" s="4" t="s">
        <v>271</v>
      </c>
      <c r="X2140" s="4" t="s">
        <v>273</v>
      </c>
      <c r="Y2140" s="4" t="s">
        <v>241</v>
      </c>
      <c r="AB2140" s="4" t="s">
        <v>241</v>
      </c>
      <c r="AD2140" s="5" t="s">
        <v>241</v>
      </c>
      <c r="AG2140" s="5" t="s">
        <v>246</v>
      </c>
      <c r="AH2140" s="4" t="s">
        <v>241</v>
      </c>
      <c r="AI2140" s="4" t="s">
        <v>247</v>
      </c>
      <c r="AJ2140" s="4" t="s">
        <v>248</v>
      </c>
      <c r="AZ2140" s="4" t="s">
        <v>249</v>
      </c>
      <c r="BA2140" s="4" t="s">
        <v>241</v>
      </c>
      <c r="BB2140" s="4" t="s">
        <v>250</v>
      </c>
      <c r="BC2140" s="4" t="s">
        <v>241</v>
      </c>
      <c r="BD2140" s="4" t="s">
        <v>252</v>
      </c>
      <c r="BE2140" s="4" t="s">
        <v>241</v>
      </c>
      <c r="BI2140" s="4" t="s">
        <v>253</v>
      </c>
      <c r="BJ2140" s="5" t="s">
        <v>246</v>
      </c>
      <c r="BK2140" s="4" t="s">
        <v>254</v>
      </c>
      <c r="BL2140" s="4" t="s">
        <v>255</v>
      </c>
      <c r="BM2140" s="4" t="s">
        <v>241</v>
      </c>
      <c r="BN2140" s="6">
        <f>0</f>
        <v>0</v>
      </c>
      <c r="BO2140" s="6">
        <f>0</f>
        <v>0</v>
      </c>
      <c r="BP2140" s="4" t="s">
        <v>256</v>
      </c>
      <c r="BQ2140" s="4" t="s">
        <v>257</v>
      </c>
      <c r="CE2140" s="4" t="s">
        <v>241</v>
      </c>
      <c r="CF2140" s="4" t="s">
        <v>241</v>
      </c>
      <c r="CJ2140" s="4" t="s">
        <v>276</v>
      </c>
      <c r="CK2140" s="4" t="s">
        <v>259</v>
      </c>
      <c r="CL2140" s="4" t="s">
        <v>241</v>
      </c>
      <c r="CO2140" s="5" t="s">
        <v>260</v>
      </c>
      <c r="CP2140" s="4" t="s">
        <v>241</v>
      </c>
      <c r="CQ2140" s="4" t="s">
        <v>261</v>
      </c>
      <c r="CR2140" s="4" t="s">
        <v>241</v>
      </c>
      <c r="CS2140" s="4" t="s">
        <v>241</v>
      </c>
      <c r="CT2140" s="4">
        <v>0</v>
      </c>
      <c r="CU2140" s="4" t="s">
        <v>262</v>
      </c>
      <c r="CV2140" s="4" t="s">
        <v>263</v>
      </c>
      <c r="CW2140" s="4" t="s">
        <v>263</v>
      </c>
      <c r="CX2140" s="4" t="s">
        <v>264</v>
      </c>
      <c r="DA2140" s="6">
        <f>1</f>
        <v>1</v>
      </c>
      <c r="DC2140" s="4" t="s">
        <v>325</v>
      </c>
      <c r="DD2140" s="4" t="s">
        <v>241</v>
      </c>
      <c r="DF2140" s="4" t="s">
        <v>325</v>
      </c>
      <c r="DG2140" s="6">
        <f>850</f>
        <v>850</v>
      </c>
      <c r="DI2140" s="4" t="s">
        <v>241</v>
      </c>
      <c r="DJ2140" s="4" t="s">
        <v>241</v>
      </c>
      <c r="DK2140" s="4" t="s">
        <v>241</v>
      </c>
      <c r="DL2140" s="4" t="s">
        <v>241</v>
      </c>
      <c r="DP2140" s="4" t="s">
        <v>241</v>
      </c>
      <c r="DQ2140" s="4" t="s">
        <v>241</v>
      </c>
      <c r="DR2140" s="4" t="s">
        <v>241</v>
      </c>
      <c r="DS2140" s="4" t="s">
        <v>241</v>
      </c>
      <c r="DV2140" s="4" t="s">
        <v>426</v>
      </c>
      <c r="DW2140" s="4" t="s">
        <v>488</v>
      </c>
      <c r="HO2140" s="4" t="s">
        <v>267</v>
      </c>
    </row>
    <row r="2141" spans="1:223" ht="19.5" customHeight="1" x14ac:dyDescent="0.4">
      <c r="A2141" s="4">
        <v>1</v>
      </c>
      <c r="B2141" s="4" t="s">
        <v>239</v>
      </c>
      <c r="C2141" s="4">
        <v>3844</v>
      </c>
      <c r="D2141" s="4">
        <v>1</v>
      </c>
      <c r="E2141" s="4">
        <v>1</v>
      </c>
      <c r="F2141" s="4" t="s">
        <v>268</v>
      </c>
      <c r="G2141" s="4" t="s">
        <v>241</v>
      </c>
      <c r="H2141" s="4" t="s">
        <v>241</v>
      </c>
      <c r="I2141" s="4" t="s">
        <v>424</v>
      </c>
      <c r="J2141" s="4" t="s">
        <v>274</v>
      </c>
      <c r="K2141" s="4" t="s">
        <v>251</v>
      </c>
      <c r="L2141" s="4" t="s">
        <v>423</v>
      </c>
      <c r="M2141" s="5" t="s">
        <v>490</v>
      </c>
      <c r="N2141" s="6">
        <f>155</f>
        <v>155</v>
      </c>
      <c r="O2141" s="4" t="s">
        <v>265</v>
      </c>
      <c r="P2141" s="6">
        <f>1</f>
        <v>1</v>
      </c>
      <c r="Q2141" s="6">
        <f>0</f>
        <v>0</v>
      </c>
      <c r="S2141" s="6">
        <f>0</f>
        <v>0</v>
      </c>
      <c r="T2141" s="6">
        <f>1</f>
        <v>1</v>
      </c>
      <c r="U2141" s="5" t="s">
        <v>245</v>
      </c>
      <c r="V2141" s="4" t="s">
        <v>270</v>
      </c>
      <c r="W2141" s="4" t="s">
        <v>271</v>
      </c>
      <c r="X2141" s="4" t="s">
        <v>273</v>
      </c>
      <c r="Y2141" s="4" t="s">
        <v>241</v>
      </c>
      <c r="AB2141" s="4" t="s">
        <v>241</v>
      </c>
      <c r="AD2141" s="5" t="s">
        <v>241</v>
      </c>
      <c r="AG2141" s="5" t="s">
        <v>246</v>
      </c>
      <c r="AH2141" s="4" t="s">
        <v>241</v>
      </c>
      <c r="AI2141" s="4" t="s">
        <v>247</v>
      </c>
      <c r="AJ2141" s="4" t="s">
        <v>248</v>
      </c>
      <c r="AZ2141" s="4" t="s">
        <v>249</v>
      </c>
      <c r="BA2141" s="4" t="s">
        <v>241</v>
      </c>
      <c r="BB2141" s="4" t="s">
        <v>250</v>
      </c>
      <c r="BC2141" s="4" t="s">
        <v>241</v>
      </c>
      <c r="BD2141" s="4" t="s">
        <v>252</v>
      </c>
      <c r="BE2141" s="4" t="s">
        <v>241</v>
      </c>
      <c r="BI2141" s="4" t="s">
        <v>253</v>
      </c>
      <c r="BJ2141" s="5" t="s">
        <v>246</v>
      </c>
      <c r="BK2141" s="4" t="s">
        <v>254</v>
      </c>
      <c r="BL2141" s="4" t="s">
        <v>255</v>
      </c>
      <c r="BM2141" s="4" t="s">
        <v>241</v>
      </c>
      <c r="BN2141" s="6">
        <f>0</f>
        <v>0</v>
      </c>
      <c r="BO2141" s="6">
        <f>0</f>
        <v>0</v>
      </c>
      <c r="BP2141" s="4" t="s">
        <v>256</v>
      </c>
      <c r="BQ2141" s="4" t="s">
        <v>257</v>
      </c>
      <c r="CE2141" s="4" t="s">
        <v>241</v>
      </c>
      <c r="CF2141" s="4" t="s">
        <v>241</v>
      </c>
      <c r="CJ2141" s="4" t="s">
        <v>276</v>
      </c>
      <c r="CK2141" s="4" t="s">
        <v>259</v>
      </c>
      <c r="CL2141" s="4" t="s">
        <v>241</v>
      </c>
      <c r="CO2141" s="5" t="s">
        <v>260</v>
      </c>
      <c r="CP2141" s="4" t="s">
        <v>241</v>
      </c>
      <c r="CQ2141" s="4" t="s">
        <v>261</v>
      </c>
      <c r="CR2141" s="4" t="s">
        <v>241</v>
      </c>
      <c r="CS2141" s="4" t="s">
        <v>241</v>
      </c>
      <c r="CT2141" s="4">
        <v>0</v>
      </c>
      <c r="CU2141" s="4" t="s">
        <v>262</v>
      </c>
      <c r="CV2141" s="4" t="s">
        <v>263</v>
      </c>
      <c r="CW2141" s="4" t="s">
        <v>263</v>
      </c>
      <c r="CX2141" s="4" t="s">
        <v>264</v>
      </c>
      <c r="DA2141" s="6">
        <f>1</f>
        <v>1</v>
      </c>
      <c r="DC2141" s="4" t="s">
        <v>325</v>
      </c>
      <c r="DD2141" s="4" t="s">
        <v>241</v>
      </c>
      <c r="DF2141" s="4" t="s">
        <v>325</v>
      </c>
      <c r="DG2141" s="6">
        <f>155</f>
        <v>155</v>
      </c>
      <c r="DI2141" s="4" t="s">
        <v>241</v>
      </c>
      <c r="DJ2141" s="4" t="s">
        <v>241</v>
      </c>
      <c r="DK2141" s="4" t="s">
        <v>241</v>
      </c>
      <c r="DL2141" s="4" t="s">
        <v>241</v>
      </c>
      <c r="DP2141" s="4" t="s">
        <v>241</v>
      </c>
      <c r="DQ2141" s="4" t="s">
        <v>241</v>
      </c>
      <c r="DR2141" s="4" t="s">
        <v>241</v>
      </c>
      <c r="DS2141" s="4" t="s">
        <v>241</v>
      </c>
      <c r="DV2141" s="4" t="s">
        <v>426</v>
      </c>
      <c r="DW2141" s="4" t="s">
        <v>491</v>
      </c>
      <c r="HO2141" s="4" t="s">
        <v>267</v>
      </c>
    </row>
    <row r="2142" spans="1:223" ht="19.5" customHeight="1" x14ac:dyDescent="0.4">
      <c r="A2142" s="4">
        <v>1</v>
      </c>
      <c r="B2142" s="4" t="s">
        <v>239</v>
      </c>
      <c r="C2142" s="4">
        <v>3845</v>
      </c>
      <c r="D2142" s="4">
        <v>1</v>
      </c>
      <c r="E2142" s="4">
        <v>1</v>
      </c>
      <c r="F2142" s="4" t="s">
        <v>268</v>
      </c>
      <c r="G2142" s="4" t="s">
        <v>241</v>
      </c>
      <c r="H2142" s="4" t="s">
        <v>241</v>
      </c>
      <c r="I2142" s="4" t="s">
        <v>424</v>
      </c>
      <c r="J2142" s="4" t="s">
        <v>274</v>
      </c>
      <c r="K2142" s="4" t="s">
        <v>251</v>
      </c>
      <c r="L2142" s="4" t="s">
        <v>423</v>
      </c>
      <c r="M2142" s="5" t="s">
        <v>492</v>
      </c>
      <c r="N2142" s="6">
        <f>534</f>
        <v>534</v>
      </c>
      <c r="O2142" s="4" t="s">
        <v>265</v>
      </c>
      <c r="P2142" s="6">
        <f>1</f>
        <v>1</v>
      </c>
      <c r="Q2142" s="6">
        <f>0</f>
        <v>0</v>
      </c>
      <c r="S2142" s="6">
        <f>0</f>
        <v>0</v>
      </c>
      <c r="T2142" s="6">
        <f>1</f>
        <v>1</v>
      </c>
      <c r="U2142" s="5" t="s">
        <v>245</v>
      </c>
      <c r="V2142" s="4" t="s">
        <v>270</v>
      </c>
      <c r="W2142" s="4" t="s">
        <v>271</v>
      </c>
      <c r="X2142" s="4" t="s">
        <v>273</v>
      </c>
      <c r="Y2142" s="4" t="s">
        <v>241</v>
      </c>
      <c r="AB2142" s="4" t="s">
        <v>241</v>
      </c>
      <c r="AD2142" s="5" t="s">
        <v>241</v>
      </c>
      <c r="AG2142" s="5" t="s">
        <v>246</v>
      </c>
      <c r="AH2142" s="4" t="s">
        <v>241</v>
      </c>
      <c r="AI2142" s="4" t="s">
        <v>247</v>
      </c>
      <c r="AJ2142" s="4" t="s">
        <v>248</v>
      </c>
      <c r="AZ2142" s="4" t="s">
        <v>249</v>
      </c>
      <c r="BA2142" s="4" t="s">
        <v>241</v>
      </c>
      <c r="BB2142" s="4" t="s">
        <v>250</v>
      </c>
      <c r="BC2142" s="4" t="s">
        <v>241</v>
      </c>
      <c r="BD2142" s="4" t="s">
        <v>252</v>
      </c>
      <c r="BE2142" s="4" t="s">
        <v>241</v>
      </c>
      <c r="BI2142" s="4" t="s">
        <v>253</v>
      </c>
      <c r="BJ2142" s="5" t="s">
        <v>246</v>
      </c>
      <c r="BK2142" s="4" t="s">
        <v>254</v>
      </c>
      <c r="BL2142" s="4" t="s">
        <v>255</v>
      </c>
      <c r="BM2142" s="4" t="s">
        <v>241</v>
      </c>
      <c r="BN2142" s="6">
        <f>0</f>
        <v>0</v>
      </c>
      <c r="BO2142" s="6">
        <f>0</f>
        <v>0</v>
      </c>
      <c r="BP2142" s="4" t="s">
        <v>256</v>
      </c>
      <c r="BQ2142" s="4" t="s">
        <v>257</v>
      </c>
      <c r="CE2142" s="4" t="s">
        <v>241</v>
      </c>
      <c r="CF2142" s="4" t="s">
        <v>241</v>
      </c>
      <c r="CJ2142" s="4" t="s">
        <v>276</v>
      </c>
      <c r="CK2142" s="4" t="s">
        <v>259</v>
      </c>
      <c r="CL2142" s="4" t="s">
        <v>241</v>
      </c>
      <c r="CO2142" s="5" t="s">
        <v>260</v>
      </c>
      <c r="CP2142" s="4" t="s">
        <v>241</v>
      </c>
      <c r="CQ2142" s="4" t="s">
        <v>261</v>
      </c>
      <c r="CR2142" s="4" t="s">
        <v>241</v>
      </c>
      <c r="CS2142" s="4" t="s">
        <v>241</v>
      </c>
      <c r="CT2142" s="4">
        <v>0</v>
      </c>
      <c r="CU2142" s="4" t="s">
        <v>262</v>
      </c>
      <c r="CV2142" s="4" t="s">
        <v>263</v>
      </c>
      <c r="CW2142" s="4" t="s">
        <v>263</v>
      </c>
      <c r="CX2142" s="4" t="s">
        <v>264</v>
      </c>
      <c r="DA2142" s="6">
        <f>1</f>
        <v>1</v>
      </c>
      <c r="DC2142" s="4" t="s">
        <v>325</v>
      </c>
      <c r="DD2142" s="4" t="s">
        <v>241</v>
      </c>
      <c r="DF2142" s="4" t="s">
        <v>325</v>
      </c>
      <c r="DG2142" s="6">
        <f>534</f>
        <v>534</v>
      </c>
      <c r="DI2142" s="4" t="s">
        <v>241</v>
      </c>
      <c r="DJ2142" s="4" t="s">
        <v>241</v>
      </c>
      <c r="DK2142" s="4" t="s">
        <v>241</v>
      </c>
      <c r="DL2142" s="4" t="s">
        <v>241</v>
      </c>
      <c r="DP2142" s="4" t="s">
        <v>241</v>
      </c>
      <c r="DQ2142" s="4" t="s">
        <v>241</v>
      </c>
      <c r="DR2142" s="4" t="s">
        <v>241</v>
      </c>
      <c r="DS2142" s="4" t="s">
        <v>241</v>
      </c>
      <c r="DV2142" s="4" t="s">
        <v>426</v>
      </c>
      <c r="DW2142" s="4" t="s">
        <v>493</v>
      </c>
      <c r="HO2142" s="4" t="s">
        <v>267</v>
      </c>
    </row>
    <row r="2143" spans="1:223" ht="19.5" customHeight="1" x14ac:dyDescent="0.4">
      <c r="A2143" s="4">
        <v>1</v>
      </c>
      <c r="B2143" s="4" t="s">
        <v>239</v>
      </c>
      <c r="C2143" s="4">
        <v>3846</v>
      </c>
      <c r="D2143" s="4">
        <v>1</v>
      </c>
      <c r="E2143" s="4">
        <v>1</v>
      </c>
      <c r="F2143" s="4" t="s">
        <v>268</v>
      </c>
      <c r="G2143" s="4" t="s">
        <v>241</v>
      </c>
      <c r="H2143" s="4" t="s">
        <v>241</v>
      </c>
      <c r="I2143" s="4" t="s">
        <v>424</v>
      </c>
      <c r="J2143" s="4" t="s">
        <v>274</v>
      </c>
      <c r="K2143" s="4" t="s">
        <v>251</v>
      </c>
      <c r="L2143" s="4" t="s">
        <v>423</v>
      </c>
      <c r="M2143" s="5" t="s">
        <v>498</v>
      </c>
      <c r="N2143" s="6">
        <f>123</f>
        <v>123</v>
      </c>
      <c r="O2143" s="4" t="s">
        <v>265</v>
      </c>
      <c r="P2143" s="6">
        <f>1</f>
        <v>1</v>
      </c>
      <c r="Q2143" s="6">
        <f>0</f>
        <v>0</v>
      </c>
      <c r="S2143" s="6">
        <f>0</f>
        <v>0</v>
      </c>
      <c r="T2143" s="6">
        <f>1</f>
        <v>1</v>
      </c>
      <c r="U2143" s="5" t="s">
        <v>245</v>
      </c>
      <c r="V2143" s="4" t="s">
        <v>270</v>
      </c>
      <c r="W2143" s="4" t="s">
        <v>271</v>
      </c>
      <c r="X2143" s="4" t="s">
        <v>273</v>
      </c>
      <c r="Y2143" s="4" t="s">
        <v>241</v>
      </c>
      <c r="AB2143" s="4" t="s">
        <v>241</v>
      </c>
      <c r="AD2143" s="5" t="s">
        <v>241</v>
      </c>
      <c r="AG2143" s="5" t="s">
        <v>246</v>
      </c>
      <c r="AH2143" s="4" t="s">
        <v>241</v>
      </c>
      <c r="AI2143" s="4" t="s">
        <v>247</v>
      </c>
      <c r="AJ2143" s="4" t="s">
        <v>248</v>
      </c>
      <c r="AZ2143" s="4" t="s">
        <v>249</v>
      </c>
      <c r="BA2143" s="4" t="s">
        <v>241</v>
      </c>
      <c r="BB2143" s="4" t="s">
        <v>250</v>
      </c>
      <c r="BC2143" s="4" t="s">
        <v>241</v>
      </c>
      <c r="BD2143" s="4" t="s">
        <v>252</v>
      </c>
      <c r="BE2143" s="4" t="s">
        <v>241</v>
      </c>
      <c r="BI2143" s="4" t="s">
        <v>253</v>
      </c>
      <c r="BJ2143" s="5" t="s">
        <v>246</v>
      </c>
      <c r="BK2143" s="4" t="s">
        <v>254</v>
      </c>
      <c r="BL2143" s="4" t="s">
        <v>255</v>
      </c>
      <c r="BM2143" s="4" t="s">
        <v>241</v>
      </c>
      <c r="BN2143" s="6">
        <f>0</f>
        <v>0</v>
      </c>
      <c r="BO2143" s="6">
        <f>0</f>
        <v>0</v>
      </c>
      <c r="BP2143" s="4" t="s">
        <v>256</v>
      </c>
      <c r="BQ2143" s="4" t="s">
        <v>257</v>
      </c>
      <c r="CE2143" s="4" t="s">
        <v>241</v>
      </c>
      <c r="CF2143" s="4" t="s">
        <v>241</v>
      </c>
      <c r="CJ2143" s="4" t="s">
        <v>276</v>
      </c>
      <c r="CK2143" s="4" t="s">
        <v>259</v>
      </c>
      <c r="CL2143" s="4" t="s">
        <v>241</v>
      </c>
      <c r="CO2143" s="5" t="s">
        <v>260</v>
      </c>
      <c r="CP2143" s="4" t="s">
        <v>241</v>
      </c>
      <c r="CQ2143" s="4" t="s">
        <v>261</v>
      </c>
      <c r="CR2143" s="4" t="s">
        <v>241</v>
      </c>
      <c r="CS2143" s="4" t="s">
        <v>241</v>
      </c>
      <c r="CT2143" s="4">
        <v>0</v>
      </c>
      <c r="CU2143" s="4" t="s">
        <v>262</v>
      </c>
      <c r="CV2143" s="4" t="s">
        <v>263</v>
      </c>
      <c r="CW2143" s="4" t="s">
        <v>263</v>
      </c>
      <c r="CX2143" s="4" t="s">
        <v>264</v>
      </c>
      <c r="DA2143" s="6">
        <f>1</f>
        <v>1</v>
      </c>
      <c r="DC2143" s="4" t="s">
        <v>325</v>
      </c>
      <c r="DD2143" s="4" t="s">
        <v>241</v>
      </c>
      <c r="DF2143" s="4" t="s">
        <v>325</v>
      </c>
      <c r="DG2143" s="6">
        <f>123</f>
        <v>123</v>
      </c>
      <c r="DI2143" s="4" t="s">
        <v>241</v>
      </c>
      <c r="DJ2143" s="4" t="s">
        <v>241</v>
      </c>
      <c r="DK2143" s="4" t="s">
        <v>241</v>
      </c>
      <c r="DL2143" s="4" t="s">
        <v>241</v>
      </c>
      <c r="DP2143" s="4" t="s">
        <v>241</v>
      </c>
      <c r="DQ2143" s="4" t="s">
        <v>241</v>
      </c>
      <c r="DR2143" s="4" t="s">
        <v>241</v>
      </c>
      <c r="DS2143" s="4" t="s">
        <v>241</v>
      </c>
      <c r="DV2143" s="4" t="s">
        <v>426</v>
      </c>
      <c r="DW2143" s="4" t="s">
        <v>499</v>
      </c>
      <c r="HO2143" s="4" t="s">
        <v>267</v>
      </c>
    </row>
    <row r="2144" spans="1:223" ht="19.5" customHeight="1" x14ac:dyDescent="0.4">
      <c r="A2144" s="4">
        <v>1</v>
      </c>
      <c r="B2144" s="4" t="s">
        <v>239</v>
      </c>
      <c r="C2144" s="4">
        <v>3847</v>
      </c>
      <c r="D2144" s="4">
        <v>1</v>
      </c>
      <c r="E2144" s="4">
        <v>1</v>
      </c>
      <c r="F2144" s="4" t="s">
        <v>268</v>
      </c>
      <c r="G2144" s="4" t="s">
        <v>241</v>
      </c>
      <c r="H2144" s="4" t="s">
        <v>241</v>
      </c>
      <c r="I2144" s="4" t="s">
        <v>424</v>
      </c>
      <c r="J2144" s="4" t="s">
        <v>274</v>
      </c>
      <c r="K2144" s="4" t="s">
        <v>251</v>
      </c>
      <c r="L2144" s="4" t="s">
        <v>423</v>
      </c>
      <c r="M2144" s="5" t="s">
        <v>500</v>
      </c>
      <c r="N2144" s="6">
        <f>424</f>
        <v>424</v>
      </c>
      <c r="O2144" s="4" t="s">
        <v>265</v>
      </c>
      <c r="P2144" s="6">
        <f>1</f>
        <v>1</v>
      </c>
      <c r="Q2144" s="6">
        <f>0</f>
        <v>0</v>
      </c>
      <c r="S2144" s="6">
        <f>0</f>
        <v>0</v>
      </c>
      <c r="T2144" s="6">
        <f>1</f>
        <v>1</v>
      </c>
      <c r="U2144" s="5" t="s">
        <v>245</v>
      </c>
      <c r="V2144" s="4" t="s">
        <v>270</v>
      </c>
      <c r="W2144" s="4" t="s">
        <v>271</v>
      </c>
      <c r="X2144" s="4" t="s">
        <v>273</v>
      </c>
      <c r="Y2144" s="4" t="s">
        <v>241</v>
      </c>
      <c r="AB2144" s="4" t="s">
        <v>241</v>
      </c>
      <c r="AD2144" s="5" t="s">
        <v>241</v>
      </c>
      <c r="AG2144" s="5" t="s">
        <v>246</v>
      </c>
      <c r="AH2144" s="4" t="s">
        <v>241</v>
      </c>
      <c r="AI2144" s="4" t="s">
        <v>247</v>
      </c>
      <c r="AJ2144" s="4" t="s">
        <v>248</v>
      </c>
      <c r="AZ2144" s="4" t="s">
        <v>249</v>
      </c>
      <c r="BA2144" s="4" t="s">
        <v>241</v>
      </c>
      <c r="BB2144" s="4" t="s">
        <v>250</v>
      </c>
      <c r="BC2144" s="4" t="s">
        <v>241</v>
      </c>
      <c r="BD2144" s="4" t="s">
        <v>252</v>
      </c>
      <c r="BE2144" s="4" t="s">
        <v>241</v>
      </c>
      <c r="BI2144" s="4" t="s">
        <v>253</v>
      </c>
      <c r="BJ2144" s="5" t="s">
        <v>246</v>
      </c>
      <c r="BK2144" s="4" t="s">
        <v>254</v>
      </c>
      <c r="BL2144" s="4" t="s">
        <v>255</v>
      </c>
      <c r="BM2144" s="4" t="s">
        <v>241</v>
      </c>
      <c r="BN2144" s="6">
        <f>0</f>
        <v>0</v>
      </c>
      <c r="BO2144" s="6">
        <f>0</f>
        <v>0</v>
      </c>
      <c r="BP2144" s="4" t="s">
        <v>256</v>
      </c>
      <c r="BQ2144" s="4" t="s">
        <v>257</v>
      </c>
      <c r="CE2144" s="4" t="s">
        <v>241</v>
      </c>
      <c r="CF2144" s="4" t="s">
        <v>241</v>
      </c>
      <c r="CJ2144" s="4" t="s">
        <v>276</v>
      </c>
      <c r="CK2144" s="4" t="s">
        <v>259</v>
      </c>
      <c r="CL2144" s="4" t="s">
        <v>241</v>
      </c>
      <c r="CO2144" s="5" t="s">
        <v>260</v>
      </c>
      <c r="CP2144" s="4" t="s">
        <v>241</v>
      </c>
      <c r="CQ2144" s="4" t="s">
        <v>261</v>
      </c>
      <c r="CR2144" s="4" t="s">
        <v>241</v>
      </c>
      <c r="CS2144" s="4" t="s">
        <v>241</v>
      </c>
      <c r="CT2144" s="4">
        <v>0</v>
      </c>
      <c r="CU2144" s="4" t="s">
        <v>262</v>
      </c>
      <c r="CV2144" s="4" t="s">
        <v>263</v>
      </c>
      <c r="CW2144" s="4" t="s">
        <v>263</v>
      </c>
      <c r="CX2144" s="4" t="s">
        <v>264</v>
      </c>
      <c r="DA2144" s="6">
        <f>1</f>
        <v>1</v>
      </c>
      <c r="DC2144" s="4" t="s">
        <v>325</v>
      </c>
      <c r="DD2144" s="4" t="s">
        <v>241</v>
      </c>
      <c r="DF2144" s="4" t="s">
        <v>325</v>
      </c>
      <c r="DG2144" s="6">
        <f>424</f>
        <v>424</v>
      </c>
      <c r="DI2144" s="4" t="s">
        <v>241</v>
      </c>
      <c r="DJ2144" s="4" t="s">
        <v>241</v>
      </c>
      <c r="DK2144" s="4" t="s">
        <v>241</v>
      </c>
      <c r="DL2144" s="4" t="s">
        <v>241</v>
      </c>
      <c r="DP2144" s="4" t="s">
        <v>241</v>
      </c>
      <c r="DQ2144" s="4" t="s">
        <v>241</v>
      </c>
      <c r="DR2144" s="4" t="s">
        <v>241</v>
      </c>
      <c r="DS2144" s="4" t="s">
        <v>241</v>
      </c>
      <c r="DV2144" s="4" t="s">
        <v>426</v>
      </c>
      <c r="DW2144" s="4" t="s">
        <v>501</v>
      </c>
      <c r="HO2144" s="4" t="s">
        <v>267</v>
      </c>
    </row>
    <row r="2145" spans="1:223" ht="19.5" customHeight="1" x14ac:dyDescent="0.4">
      <c r="A2145" s="4">
        <v>1</v>
      </c>
      <c r="B2145" s="4" t="s">
        <v>239</v>
      </c>
      <c r="C2145" s="4">
        <v>3848</v>
      </c>
      <c r="D2145" s="4">
        <v>1</v>
      </c>
      <c r="E2145" s="4">
        <v>1</v>
      </c>
      <c r="F2145" s="4" t="s">
        <v>268</v>
      </c>
      <c r="G2145" s="4" t="s">
        <v>241</v>
      </c>
      <c r="H2145" s="4" t="s">
        <v>241</v>
      </c>
      <c r="I2145" s="4" t="s">
        <v>424</v>
      </c>
      <c r="J2145" s="4" t="s">
        <v>274</v>
      </c>
      <c r="K2145" s="4" t="s">
        <v>251</v>
      </c>
      <c r="L2145" s="4" t="s">
        <v>423</v>
      </c>
      <c r="M2145" s="5" t="s">
        <v>4346</v>
      </c>
      <c r="N2145" s="6">
        <f>434</f>
        <v>434</v>
      </c>
      <c r="O2145" s="4" t="s">
        <v>265</v>
      </c>
      <c r="P2145" s="6">
        <f>1</f>
        <v>1</v>
      </c>
      <c r="Q2145" s="6">
        <f>0</f>
        <v>0</v>
      </c>
      <c r="S2145" s="6">
        <f>0</f>
        <v>0</v>
      </c>
      <c r="T2145" s="6">
        <f>1</f>
        <v>1</v>
      </c>
      <c r="U2145" s="5" t="s">
        <v>245</v>
      </c>
      <c r="V2145" s="4" t="s">
        <v>270</v>
      </c>
      <c r="W2145" s="4" t="s">
        <v>271</v>
      </c>
      <c r="X2145" s="4" t="s">
        <v>273</v>
      </c>
      <c r="Y2145" s="4" t="s">
        <v>241</v>
      </c>
      <c r="AB2145" s="4" t="s">
        <v>241</v>
      </c>
      <c r="AD2145" s="5" t="s">
        <v>241</v>
      </c>
      <c r="AG2145" s="5" t="s">
        <v>246</v>
      </c>
      <c r="AH2145" s="4" t="s">
        <v>241</v>
      </c>
      <c r="AI2145" s="4" t="s">
        <v>247</v>
      </c>
      <c r="AJ2145" s="4" t="s">
        <v>248</v>
      </c>
      <c r="AZ2145" s="4" t="s">
        <v>249</v>
      </c>
      <c r="BA2145" s="4" t="s">
        <v>241</v>
      </c>
      <c r="BB2145" s="4" t="s">
        <v>250</v>
      </c>
      <c r="BC2145" s="4" t="s">
        <v>241</v>
      </c>
      <c r="BD2145" s="4" t="s">
        <v>252</v>
      </c>
      <c r="BE2145" s="4" t="s">
        <v>241</v>
      </c>
      <c r="BI2145" s="4" t="s">
        <v>253</v>
      </c>
      <c r="BJ2145" s="5" t="s">
        <v>246</v>
      </c>
      <c r="BK2145" s="4" t="s">
        <v>254</v>
      </c>
      <c r="BL2145" s="4" t="s">
        <v>255</v>
      </c>
      <c r="BM2145" s="4" t="s">
        <v>241</v>
      </c>
      <c r="BN2145" s="6">
        <f>0</f>
        <v>0</v>
      </c>
      <c r="BO2145" s="6">
        <f>0</f>
        <v>0</v>
      </c>
      <c r="BP2145" s="4" t="s">
        <v>256</v>
      </c>
      <c r="BQ2145" s="4" t="s">
        <v>257</v>
      </c>
      <c r="CE2145" s="4" t="s">
        <v>241</v>
      </c>
      <c r="CF2145" s="4" t="s">
        <v>241</v>
      </c>
      <c r="CJ2145" s="4" t="s">
        <v>276</v>
      </c>
      <c r="CK2145" s="4" t="s">
        <v>259</v>
      </c>
      <c r="CL2145" s="4" t="s">
        <v>241</v>
      </c>
      <c r="CO2145" s="5" t="s">
        <v>260</v>
      </c>
      <c r="CP2145" s="4" t="s">
        <v>241</v>
      </c>
      <c r="CQ2145" s="4" t="s">
        <v>261</v>
      </c>
      <c r="CR2145" s="4" t="s">
        <v>241</v>
      </c>
      <c r="CS2145" s="4" t="s">
        <v>241</v>
      </c>
      <c r="CT2145" s="4">
        <v>0</v>
      </c>
      <c r="CU2145" s="4" t="s">
        <v>262</v>
      </c>
      <c r="CV2145" s="4" t="s">
        <v>263</v>
      </c>
      <c r="CW2145" s="4" t="s">
        <v>263</v>
      </c>
      <c r="CX2145" s="4" t="s">
        <v>264</v>
      </c>
      <c r="DA2145" s="6">
        <f>1</f>
        <v>1</v>
      </c>
      <c r="DC2145" s="4" t="s">
        <v>325</v>
      </c>
      <c r="DD2145" s="4" t="s">
        <v>241</v>
      </c>
      <c r="DF2145" s="4" t="s">
        <v>325</v>
      </c>
      <c r="DG2145" s="6">
        <f>434</f>
        <v>434</v>
      </c>
      <c r="DI2145" s="4" t="s">
        <v>241</v>
      </c>
      <c r="DJ2145" s="4" t="s">
        <v>241</v>
      </c>
      <c r="DK2145" s="4" t="s">
        <v>241</v>
      </c>
      <c r="DL2145" s="4" t="s">
        <v>241</v>
      </c>
      <c r="DP2145" s="4" t="s">
        <v>241</v>
      </c>
      <c r="DQ2145" s="4" t="s">
        <v>241</v>
      </c>
      <c r="DR2145" s="4" t="s">
        <v>241</v>
      </c>
      <c r="DS2145" s="4" t="s">
        <v>241</v>
      </c>
      <c r="DV2145" s="4" t="s">
        <v>426</v>
      </c>
      <c r="DW2145" s="4" t="s">
        <v>1444</v>
      </c>
      <c r="HO2145" s="4" t="s">
        <v>267</v>
      </c>
    </row>
    <row r="2146" spans="1:223" ht="19.5" customHeight="1" x14ac:dyDescent="0.4">
      <c r="A2146" s="4">
        <v>1</v>
      </c>
      <c r="B2146" s="4" t="s">
        <v>239</v>
      </c>
      <c r="C2146" s="4">
        <v>3849</v>
      </c>
      <c r="D2146" s="4">
        <v>1</v>
      </c>
      <c r="E2146" s="4">
        <v>1</v>
      </c>
      <c r="F2146" s="4" t="s">
        <v>268</v>
      </c>
      <c r="G2146" s="4" t="s">
        <v>241</v>
      </c>
      <c r="H2146" s="4" t="s">
        <v>241</v>
      </c>
      <c r="I2146" s="4" t="s">
        <v>424</v>
      </c>
      <c r="J2146" s="4" t="s">
        <v>274</v>
      </c>
      <c r="K2146" s="4" t="s">
        <v>251</v>
      </c>
      <c r="L2146" s="4" t="s">
        <v>423</v>
      </c>
      <c r="M2146" s="5" t="s">
        <v>504</v>
      </c>
      <c r="N2146" s="6">
        <f>357</f>
        <v>357</v>
      </c>
      <c r="O2146" s="4" t="s">
        <v>265</v>
      </c>
      <c r="P2146" s="6">
        <f>1</f>
        <v>1</v>
      </c>
      <c r="Q2146" s="6">
        <f>0</f>
        <v>0</v>
      </c>
      <c r="S2146" s="6">
        <f>0</f>
        <v>0</v>
      </c>
      <c r="T2146" s="6">
        <f>1</f>
        <v>1</v>
      </c>
      <c r="U2146" s="5" t="s">
        <v>245</v>
      </c>
      <c r="V2146" s="4" t="s">
        <v>270</v>
      </c>
      <c r="W2146" s="4" t="s">
        <v>271</v>
      </c>
      <c r="X2146" s="4" t="s">
        <v>273</v>
      </c>
      <c r="Y2146" s="4" t="s">
        <v>241</v>
      </c>
      <c r="AB2146" s="4" t="s">
        <v>241</v>
      </c>
      <c r="AD2146" s="5" t="s">
        <v>241</v>
      </c>
      <c r="AG2146" s="5" t="s">
        <v>246</v>
      </c>
      <c r="AH2146" s="4" t="s">
        <v>241</v>
      </c>
      <c r="AI2146" s="4" t="s">
        <v>247</v>
      </c>
      <c r="AJ2146" s="4" t="s">
        <v>248</v>
      </c>
      <c r="AZ2146" s="4" t="s">
        <v>249</v>
      </c>
      <c r="BA2146" s="4" t="s">
        <v>241</v>
      </c>
      <c r="BB2146" s="4" t="s">
        <v>250</v>
      </c>
      <c r="BC2146" s="4" t="s">
        <v>241</v>
      </c>
      <c r="BD2146" s="4" t="s">
        <v>252</v>
      </c>
      <c r="BE2146" s="4" t="s">
        <v>241</v>
      </c>
      <c r="BI2146" s="4" t="s">
        <v>253</v>
      </c>
      <c r="BJ2146" s="5" t="s">
        <v>246</v>
      </c>
      <c r="BK2146" s="4" t="s">
        <v>254</v>
      </c>
      <c r="BL2146" s="4" t="s">
        <v>255</v>
      </c>
      <c r="BM2146" s="4" t="s">
        <v>241</v>
      </c>
      <c r="BN2146" s="6">
        <f>0</f>
        <v>0</v>
      </c>
      <c r="BO2146" s="6">
        <f>0</f>
        <v>0</v>
      </c>
      <c r="BP2146" s="4" t="s">
        <v>256</v>
      </c>
      <c r="BQ2146" s="4" t="s">
        <v>257</v>
      </c>
      <c r="CE2146" s="4" t="s">
        <v>241</v>
      </c>
      <c r="CF2146" s="4" t="s">
        <v>241</v>
      </c>
      <c r="CJ2146" s="4" t="s">
        <v>276</v>
      </c>
      <c r="CK2146" s="4" t="s">
        <v>259</v>
      </c>
      <c r="CL2146" s="4" t="s">
        <v>241</v>
      </c>
      <c r="CO2146" s="5" t="s">
        <v>260</v>
      </c>
      <c r="CP2146" s="4" t="s">
        <v>241</v>
      </c>
      <c r="CQ2146" s="4" t="s">
        <v>261</v>
      </c>
      <c r="CR2146" s="4" t="s">
        <v>241</v>
      </c>
      <c r="CS2146" s="4" t="s">
        <v>241</v>
      </c>
      <c r="CT2146" s="4">
        <v>0</v>
      </c>
      <c r="CU2146" s="4" t="s">
        <v>262</v>
      </c>
      <c r="CV2146" s="4" t="s">
        <v>263</v>
      </c>
      <c r="CW2146" s="4" t="s">
        <v>263</v>
      </c>
      <c r="CX2146" s="4" t="s">
        <v>264</v>
      </c>
      <c r="DA2146" s="6">
        <f>1</f>
        <v>1</v>
      </c>
      <c r="DC2146" s="4" t="s">
        <v>325</v>
      </c>
      <c r="DD2146" s="4" t="s">
        <v>241</v>
      </c>
      <c r="DF2146" s="4" t="s">
        <v>325</v>
      </c>
      <c r="DG2146" s="6">
        <f>357</f>
        <v>357</v>
      </c>
      <c r="DI2146" s="4" t="s">
        <v>241</v>
      </c>
      <c r="DJ2146" s="4" t="s">
        <v>241</v>
      </c>
      <c r="DK2146" s="4" t="s">
        <v>241</v>
      </c>
      <c r="DL2146" s="4" t="s">
        <v>241</v>
      </c>
      <c r="DP2146" s="4" t="s">
        <v>241</v>
      </c>
      <c r="DQ2146" s="4" t="s">
        <v>241</v>
      </c>
      <c r="DR2146" s="4" t="s">
        <v>241</v>
      </c>
      <c r="DS2146" s="4" t="s">
        <v>241</v>
      </c>
      <c r="DV2146" s="4" t="s">
        <v>426</v>
      </c>
      <c r="DW2146" s="4" t="s">
        <v>505</v>
      </c>
      <c r="HO2146" s="4" t="s">
        <v>267</v>
      </c>
    </row>
    <row r="2147" spans="1:223" ht="19.5" customHeight="1" x14ac:dyDescent="0.4">
      <c r="A2147" s="4">
        <v>1</v>
      </c>
      <c r="B2147" s="4" t="s">
        <v>239</v>
      </c>
      <c r="C2147" s="4">
        <v>3850</v>
      </c>
      <c r="D2147" s="4">
        <v>1</v>
      </c>
      <c r="E2147" s="4">
        <v>1</v>
      </c>
      <c r="F2147" s="4" t="s">
        <v>268</v>
      </c>
      <c r="G2147" s="4" t="s">
        <v>241</v>
      </c>
      <c r="H2147" s="4" t="s">
        <v>241</v>
      </c>
      <c r="I2147" s="4" t="s">
        <v>424</v>
      </c>
      <c r="J2147" s="4" t="s">
        <v>274</v>
      </c>
      <c r="K2147" s="4" t="s">
        <v>251</v>
      </c>
      <c r="L2147" s="4" t="s">
        <v>423</v>
      </c>
      <c r="M2147" s="5" t="s">
        <v>512</v>
      </c>
      <c r="N2147" s="6">
        <f>304</f>
        <v>304</v>
      </c>
      <c r="O2147" s="4" t="s">
        <v>265</v>
      </c>
      <c r="P2147" s="6">
        <f>1</f>
        <v>1</v>
      </c>
      <c r="Q2147" s="6">
        <f>0</f>
        <v>0</v>
      </c>
      <c r="S2147" s="6">
        <f>0</f>
        <v>0</v>
      </c>
      <c r="T2147" s="6">
        <f>1</f>
        <v>1</v>
      </c>
      <c r="U2147" s="5" t="s">
        <v>245</v>
      </c>
      <c r="V2147" s="4" t="s">
        <v>270</v>
      </c>
      <c r="W2147" s="4" t="s">
        <v>271</v>
      </c>
      <c r="X2147" s="4" t="s">
        <v>273</v>
      </c>
      <c r="Y2147" s="4" t="s">
        <v>241</v>
      </c>
      <c r="AB2147" s="4" t="s">
        <v>241</v>
      </c>
      <c r="AD2147" s="5" t="s">
        <v>241</v>
      </c>
      <c r="AG2147" s="5" t="s">
        <v>246</v>
      </c>
      <c r="AH2147" s="4" t="s">
        <v>241</v>
      </c>
      <c r="AI2147" s="4" t="s">
        <v>247</v>
      </c>
      <c r="AJ2147" s="4" t="s">
        <v>248</v>
      </c>
      <c r="AZ2147" s="4" t="s">
        <v>249</v>
      </c>
      <c r="BA2147" s="4" t="s">
        <v>241</v>
      </c>
      <c r="BB2147" s="4" t="s">
        <v>250</v>
      </c>
      <c r="BC2147" s="4" t="s">
        <v>241</v>
      </c>
      <c r="BD2147" s="4" t="s">
        <v>252</v>
      </c>
      <c r="BE2147" s="4" t="s">
        <v>241</v>
      </c>
      <c r="BI2147" s="4" t="s">
        <v>253</v>
      </c>
      <c r="BJ2147" s="5" t="s">
        <v>246</v>
      </c>
      <c r="BK2147" s="4" t="s">
        <v>254</v>
      </c>
      <c r="BL2147" s="4" t="s">
        <v>255</v>
      </c>
      <c r="BM2147" s="4" t="s">
        <v>241</v>
      </c>
      <c r="BN2147" s="6">
        <f>0</f>
        <v>0</v>
      </c>
      <c r="BO2147" s="6">
        <f>0</f>
        <v>0</v>
      </c>
      <c r="BP2147" s="4" t="s">
        <v>256</v>
      </c>
      <c r="BQ2147" s="4" t="s">
        <v>257</v>
      </c>
      <c r="CE2147" s="4" t="s">
        <v>241</v>
      </c>
      <c r="CF2147" s="4" t="s">
        <v>241</v>
      </c>
      <c r="CJ2147" s="4" t="s">
        <v>276</v>
      </c>
      <c r="CK2147" s="4" t="s">
        <v>259</v>
      </c>
      <c r="CL2147" s="4" t="s">
        <v>241</v>
      </c>
      <c r="CO2147" s="5" t="s">
        <v>260</v>
      </c>
      <c r="CP2147" s="4" t="s">
        <v>241</v>
      </c>
      <c r="CQ2147" s="4" t="s">
        <v>261</v>
      </c>
      <c r="CR2147" s="4" t="s">
        <v>241</v>
      </c>
      <c r="CS2147" s="4" t="s">
        <v>241</v>
      </c>
      <c r="CT2147" s="4">
        <v>0</v>
      </c>
      <c r="CU2147" s="4" t="s">
        <v>262</v>
      </c>
      <c r="CV2147" s="4" t="s">
        <v>263</v>
      </c>
      <c r="CW2147" s="4" t="s">
        <v>263</v>
      </c>
      <c r="CX2147" s="4" t="s">
        <v>264</v>
      </c>
      <c r="DA2147" s="6">
        <f>1</f>
        <v>1</v>
      </c>
      <c r="DC2147" s="4" t="s">
        <v>325</v>
      </c>
      <c r="DD2147" s="4" t="s">
        <v>241</v>
      </c>
      <c r="DF2147" s="4" t="s">
        <v>325</v>
      </c>
      <c r="DG2147" s="6">
        <f>304</f>
        <v>304</v>
      </c>
      <c r="DI2147" s="4" t="s">
        <v>241</v>
      </c>
      <c r="DJ2147" s="4" t="s">
        <v>241</v>
      </c>
      <c r="DK2147" s="4" t="s">
        <v>241</v>
      </c>
      <c r="DL2147" s="4" t="s">
        <v>241</v>
      </c>
      <c r="DP2147" s="4" t="s">
        <v>241</v>
      </c>
      <c r="DQ2147" s="4" t="s">
        <v>241</v>
      </c>
      <c r="DR2147" s="4" t="s">
        <v>241</v>
      </c>
      <c r="DS2147" s="4" t="s">
        <v>241</v>
      </c>
      <c r="DV2147" s="4" t="s">
        <v>426</v>
      </c>
      <c r="DW2147" s="4" t="s">
        <v>513</v>
      </c>
      <c r="HO2147" s="4" t="s">
        <v>267</v>
      </c>
    </row>
    <row r="2148" spans="1:223" ht="19.5" customHeight="1" x14ac:dyDescent="0.4">
      <c r="A2148" s="4">
        <v>1</v>
      </c>
      <c r="B2148" s="4" t="s">
        <v>239</v>
      </c>
      <c r="C2148" s="4">
        <v>3851</v>
      </c>
      <c r="D2148" s="4">
        <v>1</v>
      </c>
      <c r="E2148" s="4">
        <v>1</v>
      </c>
      <c r="F2148" s="4" t="s">
        <v>268</v>
      </c>
      <c r="G2148" s="4" t="s">
        <v>241</v>
      </c>
      <c r="H2148" s="4" t="s">
        <v>241</v>
      </c>
      <c r="I2148" s="4" t="s">
        <v>424</v>
      </c>
      <c r="J2148" s="4" t="s">
        <v>274</v>
      </c>
      <c r="K2148" s="4" t="s">
        <v>251</v>
      </c>
      <c r="L2148" s="4" t="s">
        <v>423</v>
      </c>
      <c r="M2148" s="5" t="s">
        <v>514</v>
      </c>
      <c r="N2148" s="6">
        <f>774</f>
        <v>774</v>
      </c>
      <c r="O2148" s="4" t="s">
        <v>265</v>
      </c>
      <c r="P2148" s="6">
        <f>1</f>
        <v>1</v>
      </c>
      <c r="Q2148" s="6">
        <f>0</f>
        <v>0</v>
      </c>
      <c r="S2148" s="6">
        <f>0</f>
        <v>0</v>
      </c>
      <c r="T2148" s="6">
        <f>1</f>
        <v>1</v>
      </c>
      <c r="U2148" s="5" t="s">
        <v>245</v>
      </c>
      <c r="V2148" s="4" t="s">
        <v>270</v>
      </c>
      <c r="W2148" s="4" t="s">
        <v>271</v>
      </c>
      <c r="X2148" s="4" t="s">
        <v>273</v>
      </c>
      <c r="Y2148" s="4" t="s">
        <v>241</v>
      </c>
      <c r="AB2148" s="4" t="s">
        <v>241</v>
      </c>
      <c r="AD2148" s="5" t="s">
        <v>241</v>
      </c>
      <c r="AG2148" s="5" t="s">
        <v>246</v>
      </c>
      <c r="AH2148" s="4" t="s">
        <v>241</v>
      </c>
      <c r="AI2148" s="4" t="s">
        <v>247</v>
      </c>
      <c r="AJ2148" s="4" t="s">
        <v>248</v>
      </c>
      <c r="AZ2148" s="4" t="s">
        <v>249</v>
      </c>
      <c r="BA2148" s="4" t="s">
        <v>241</v>
      </c>
      <c r="BB2148" s="4" t="s">
        <v>250</v>
      </c>
      <c r="BC2148" s="4" t="s">
        <v>241</v>
      </c>
      <c r="BD2148" s="4" t="s">
        <v>252</v>
      </c>
      <c r="BE2148" s="4" t="s">
        <v>241</v>
      </c>
      <c r="BI2148" s="4" t="s">
        <v>253</v>
      </c>
      <c r="BJ2148" s="5" t="s">
        <v>246</v>
      </c>
      <c r="BK2148" s="4" t="s">
        <v>254</v>
      </c>
      <c r="BL2148" s="4" t="s">
        <v>255</v>
      </c>
      <c r="BM2148" s="4" t="s">
        <v>241</v>
      </c>
      <c r="BN2148" s="6">
        <f>0</f>
        <v>0</v>
      </c>
      <c r="BO2148" s="6">
        <f>0</f>
        <v>0</v>
      </c>
      <c r="BP2148" s="4" t="s">
        <v>256</v>
      </c>
      <c r="BQ2148" s="4" t="s">
        <v>257</v>
      </c>
      <c r="CE2148" s="4" t="s">
        <v>241</v>
      </c>
      <c r="CF2148" s="4" t="s">
        <v>241</v>
      </c>
      <c r="CJ2148" s="4" t="s">
        <v>276</v>
      </c>
      <c r="CK2148" s="4" t="s">
        <v>259</v>
      </c>
      <c r="CL2148" s="4" t="s">
        <v>241</v>
      </c>
      <c r="CO2148" s="5" t="s">
        <v>260</v>
      </c>
      <c r="CP2148" s="4" t="s">
        <v>241</v>
      </c>
      <c r="CQ2148" s="4" t="s">
        <v>261</v>
      </c>
      <c r="CR2148" s="4" t="s">
        <v>241</v>
      </c>
      <c r="CS2148" s="4" t="s">
        <v>241</v>
      </c>
      <c r="CT2148" s="4">
        <v>0</v>
      </c>
      <c r="CU2148" s="4" t="s">
        <v>262</v>
      </c>
      <c r="CV2148" s="4" t="s">
        <v>263</v>
      </c>
      <c r="CW2148" s="4" t="s">
        <v>263</v>
      </c>
      <c r="CX2148" s="4" t="s">
        <v>264</v>
      </c>
      <c r="DA2148" s="6">
        <f>1</f>
        <v>1</v>
      </c>
      <c r="DC2148" s="4" t="s">
        <v>325</v>
      </c>
      <c r="DD2148" s="4" t="s">
        <v>241</v>
      </c>
      <c r="DF2148" s="4" t="s">
        <v>325</v>
      </c>
      <c r="DG2148" s="6">
        <f>774</f>
        <v>774</v>
      </c>
      <c r="DI2148" s="4" t="s">
        <v>241</v>
      </c>
      <c r="DJ2148" s="4" t="s">
        <v>241</v>
      </c>
      <c r="DK2148" s="4" t="s">
        <v>241</v>
      </c>
      <c r="DL2148" s="4" t="s">
        <v>241</v>
      </c>
      <c r="DP2148" s="4" t="s">
        <v>241</v>
      </c>
      <c r="DQ2148" s="4" t="s">
        <v>241</v>
      </c>
      <c r="DR2148" s="4" t="s">
        <v>241</v>
      </c>
      <c r="DS2148" s="4" t="s">
        <v>241</v>
      </c>
      <c r="DV2148" s="4" t="s">
        <v>426</v>
      </c>
      <c r="DW2148" s="4" t="s">
        <v>515</v>
      </c>
      <c r="HO2148" s="4" t="s">
        <v>267</v>
      </c>
    </row>
    <row r="2149" spans="1:223" ht="19.5" customHeight="1" x14ac:dyDescent="0.4">
      <c r="A2149" s="4">
        <v>1</v>
      </c>
      <c r="B2149" s="4" t="s">
        <v>239</v>
      </c>
      <c r="C2149" s="4">
        <v>3852</v>
      </c>
      <c r="D2149" s="4">
        <v>1</v>
      </c>
      <c r="E2149" s="4">
        <v>1</v>
      </c>
      <c r="F2149" s="4" t="s">
        <v>268</v>
      </c>
      <c r="G2149" s="4" t="s">
        <v>241</v>
      </c>
      <c r="H2149" s="4" t="s">
        <v>241</v>
      </c>
      <c r="I2149" s="4" t="s">
        <v>424</v>
      </c>
      <c r="J2149" s="4" t="s">
        <v>274</v>
      </c>
      <c r="K2149" s="4" t="s">
        <v>251</v>
      </c>
      <c r="L2149" s="4" t="s">
        <v>423</v>
      </c>
      <c r="M2149" s="5" t="s">
        <v>518</v>
      </c>
      <c r="N2149" s="6">
        <f>204</f>
        <v>204</v>
      </c>
      <c r="O2149" s="4" t="s">
        <v>265</v>
      </c>
      <c r="P2149" s="6">
        <f>1</f>
        <v>1</v>
      </c>
      <c r="Q2149" s="6">
        <f>0</f>
        <v>0</v>
      </c>
      <c r="S2149" s="6">
        <f>0</f>
        <v>0</v>
      </c>
      <c r="T2149" s="6">
        <f>1</f>
        <v>1</v>
      </c>
      <c r="U2149" s="5" t="s">
        <v>245</v>
      </c>
      <c r="V2149" s="4" t="s">
        <v>270</v>
      </c>
      <c r="W2149" s="4" t="s">
        <v>271</v>
      </c>
      <c r="X2149" s="4" t="s">
        <v>273</v>
      </c>
      <c r="Y2149" s="4" t="s">
        <v>241</v>
      </c>
      <c r="AB2149" s="4" t="s">
        <v>241</v>
      </c>
      <c r="AD2149" s="5" t="s">
        <v>241</v>
      </c>
      <c r="AG2149" s="5" t="s">
        <v>246</v>
      </c>
      <c r="AH2149" s="4" t="s">
        <v>241</v>
      </c>
      <c r="AI2149" s="4" t="s">
        <v>247</v>
      </c>
      <c r="AJ2149" s="4" t="s">
        <v>248</v>
      </c>
      <c r="AZ2149" s="4" t="s">
        <v>249</v>
      </c>
      <c r="BA2149" s="4" t="s">
        <v>241</v>
      </c>
      <c r="BB2149" s="4" t="s">
        <v>250</v>
      </c>
      <c r="BC2149" s="4" t="s">
        <v>241</v>
      </c>
      <c r="BD2149" s="4" t="s">
        <v>252</v>
      </c>
      <c r="BE2149" s="4" t="s">
        <v>241</v>
      </c>
      <c r="BI2149" s="4" t="s">
        <v>253</v>
      </c>
      <c r="BJ2149" s="5" t="s">
        <v>246</v>
      </c>
      <c r="BK2149" s="4" t="s">
        <v>254</v>
      </c>
      <c r="BL2149" s="4" t="s">
        <v>255</v>
      </c>
      <c r="BM2149" s="4" t="s">
        <v>241</v>
      </c>
      <c r="BN2149" s="6">
        <f>0</f>
        <v>0</v>
      </c>
      <c r="BO2149" s="6">
        <f>0</f>
        <v>0</v>
      </c>
      <c r="BP2149" s="4" t="s">
        <v>256</v>
      </c>
      <c r="BQ2149" s="4" t="s">
        <v>257</v>
      </c>
      <c r="CE2149" s="4" t="s">
        <v>241</v>
      </c>
      <c r="CF2149" s="4" t="s">
        <v>241</v>
      </c>
      <c r="CJ2149" s="4" t="s">
        <v>276</v>
      </c>
      <c r="CK2149" s="4" t="s">
        <v>259</v>
      </c>
      <c r="CL2149" s="4" t="s">
        <v>241</v>
      </c>
      <c r="CO2149" s="5" t="s">
        <v>260</v>
      </c>
      <c r="CP2149" s="4" t="s">
        <v>241</v>
      </c>
      <c r="CQ2149" s="4" t="s">
        <v>261</v>
      </c>
      <c r="CR2149" s="4" t="s">
        <v>241</v>
      </c>
      <c r="CS2149" s="4" t="s">
        <v>241</v>
      </c>
      <c r="CT2149" s="4">
        <v>0</v>
      </c>
      <c r="CU2149" s="4" t="s">
        <v>262</v>
      </c>
      <c r="CV2149" s="4" t="s">
        <v>263</v>
      </c>
      <c r="CW2149" s="4" t="s">
        <v>263</v>
      </c>
      <c r="CX2149" s="4" t="s">
        <v>264</v>
      </c>
      <c r="DA2149" s="6">
        <f>1</f>
        <v>1</v>
      </c>
      <c r="DC2149" s="4" t="s">
        <v>325</v>
      </c>
      <c r="DD2149" s="4" t="s">
        <v>241</v>
      </c>
      <c r="DF2149" s="4" t="s">
        <v>325</v>
      </c>
      <c r="DG2149" s="6">
        <f>204</f>
        <v>204</v>
      </c>
      <c r="DI2149" s="4" t="s">
        <v>241</v>
      </c>
      <c r="DJ2149" s="4" t="s">
        <v>241</v>
      </c>
      <c r="DK2149" s="4" t="s">
        <v>241</v>
      </c>
      <c r="DL2149" s="4" t="s">
        <v>241</v>
      </c>
      <c r="DP2149" s="4" t="s">
        <v>241</v>
      </c>
      <c r="DQ2149" s="4" t="s">
        <v>241</v>
      </c>
      <c r="DR2149" s="4" t="s">
        <v>241</v>
      </c>
      <c r="DS2149" s="4" t="s">
        <v>241</v>
      </c>
      <c r="DV2149" s="4" t="s">
        <v>426</v>
      </c>
      <c r="DW2149" s="4" t="s">
        <v>519</v>
      </c>
      <c r="HO2149" s="4" t="s">
        <v>267</v>
      </c>
    </row>
    <row r="2150" spans="1:223" ht="19.5" customHeight="1" x14ac:dyDescent="0.4">
      <c r="A2150" s="4">
        <v>1</v>
      </c>
      <c r="B2150" s="4" t="s">
        <v>239</v>
      </c>
      <c r="C2150" s="4">
        <v>3853</v>
      </c>
      <c r="D2150" s="4">
        <v>1</v>
      </c>
      <c r="E2150" s="4">
        <v>1</v>
      </c>
      <c r="F2150" s="4" t="s">
        <v>268</v>
      </c>
      <c r="G2150" s="4" t="s">
        <v>241</v>
      </c>
      <c r="H2150" s="4" t="s">
        <v>241</v>
      </c>
      <c r="I2150" s="4" t="s">
        <v>424</v>
      </c>
      <c r="J2150" s="4" t="s">
        <v>274</v>
      </c>
      <c r="K2150" s="4" t="s">
        <v>251</v>
      </c>
      <c r="L2150" s="4" t="s">
        <v>423</v>
      </c>
      <c r="M2150" s="5" t="s">
        <v>520</v>
      </c>
      <c r="N2150" s="6">
        <f>1500</f>
        <v>1500</v>
      </c>
      <c r="O2150" s="4" t="s">
        <v>265</v>
      </c>
      <c r="P2150" s="6">
        <f>1</f>
        <v>1</v>
      </c>
      <c r="Q2150" s="6">
        <f>0</f>
        <v>0</v>
      </c>
      <c r="S2150" s="6">
        <f>0</f>
        <v>0</v>
      </c>
      <c r="T2150" s="6">
        <f>1</f>
        <v>1</v>
      </c>
      <c r="U2150" s="5" t="s">
        <v>245</v>
      </c>
      <c r="V2150" s="4" t="s">
        <v>270</v>
      </c>
      <c r="W2150" s="4" t="s">
        <v>271</v>
      </c>
      <c r="X2150" s="4" t="s">
        <v>273</v>
      </c>
      <c r="Y2150" s="4" t="s">
        <v>241</v>
      </c>
      <c r="AB2150" s="4" t="s">
        <v>241</v>
      </c>
      <c r="AD2150" s="5" t="s">
        <v>241</v>
      </c>
      <c r="AG2150" s="5" t="s">
        <v>246</v>
      </c>
      <c r="AH2150" s="4" t="s">
        <v>241</v>
      </c>
      <c r="AI2150" s="4" t="s">
        <v>247</v>
      </c>
      <c r="AJ2150" s="4" t="s">
        <v>248</v>
      </c>
      <c r="AZ2150" s="4" t="s">
        <v>249</v>
      </c>
      <c r="BA2150" s="4" t="s">
        <v>241</v>
      </c>
      <c r="BB2150" s="4" t="s">
        <v>250</v>
      </c>
      <c r="BC2150" s="4" t="s">
        <v>241</v>
      </c>
      <c r="BD2150" s="4" t="s">
        <v>252</v>
      </c>
      <c r="BE2150" s="4" t="s">
        <v>241</v>
      </c>
      <c r="BI2150" s="4" t="s">
        <v>253</v>
      </c>
      <c r="BJ2150" s="5" t="s">
        <v>246</v>
      </c>
      <c r="BK2150" s="4" t="s">
        <v>254</v>
      </c>
      <c r="BL2150" s="4" t="s">
        <v>255</v>
      </c>
      <c r="BM2150" s="4" t="s">
        <v>241</v>
      </c>
      <c r="BN2150" s="6">
        <f>0</f>
        <v>0</v>
      </c>
      <c r="BO2150" s="6">
        <f>0</f>
        <v>0</v>
      </c>
      <c r="BP2150" s="4" t="s">
        <v>256</v>
      </c>
      <c r="BQ2150" s="4" t="s">
        <v>257</v>
      </c>
      <c r="CE2150" s="4" t="s">
        <v>241</v>
      </c>
      <c r="CF2150" s="4" t="s">
        <v>241</v>
      </c>
      <c r="CJ2150" s="4" t="s">
        <v>276</v>
      </c>
      <c r="CK2150" s="4" t="s">
        <v>259</v>
      </c>
      <c r="CL2150" s="4" t="s">
        <v>241</v>
      </c>
      <c r="CO2150" s="5" t="s">
        <v>260</v>
      </c>
      <c r="CP2150" s="4" t="s">
        <v>241</v>
      </c>
      <c r="CQ2150" s="4" t="s">
        <v>261</v>
      </c>
      <c r="CR2150" s="4" t="s">
        <v>241</v>
      </c>
      <c r="CS2150" s="4" t="s">
        <v>241</v>
      </c>
      <c r="CT2150" s="4">
        <v>0</v>
      </c>
      <c r="CU2150" s="4" t="s">
        <v>262</v>
      </c>
      <c r="CV2150" s="4" t="s">
        <v>263</v>
      </c>
      <c r="CW2150" s="4" t="s">
        <v>263</v>
      </c>
      <c r="CX2150" s="4" t="s">
        <v>264</v>
      </c>
      <c r="DA2150" s="6">
        <f>1</f>
        <v>1</v>
      </c>
      <c r="DC2150" s="4" t="s">
        <v>325</v>
      </c>
      <c r="DD2150" s="4" t="s">
        <v>241</v>
      </c>
      <c r="DF2150" s="4" t="s">
        <v>325</v>
      </c>
      <c r="DG2150" s="6">
        <f>1500</f>
        <v>1500</v>
      </c>
      <c r="DI2150" s="4" t="s">
        <v>241</v>
      </c>
      <c r="DJ2150" s="4" t="s">
        <v>241</v>
      </c>
      <c r="DK2150" s="4" t="s">
        <v>241</v>
      </c>
      <c r="DL2150" s="4" t="s">
        <v>241</v>
      </c>
      <c r="DP2150" s="4" t="s">
        <v>241</v>
      </c>
      <c r="DQ2150" s="4" t="s">
        <v>241</v>
      </c>
      <c r="DR2150" s="4" t="s">
        <v>241</v>
      </c>
      <c r="DS2150" s="4" t="s">
        <v>241</v>
      </c>
      <c r="DV2150" s="4" t="s">
        <v>426</v>
      </c>
      <c r="DW2150" s="4" t="s">
        <v>521</v>
      </c>
      <c r="HO2150" s="4" t="s">
        <v>267</v>
      </c>
    </row>
    <row r="2151" spans="1:223" ht="19.5" customHeight="1" x14ac:dyDescent="0.4">
      <c r="A2151" s="4">
        <v>1</v>
      </c>
      <c r="B2151" s="4" t="s">
        <v>239</v>
      </c>
      <c r="C2151" s="4">
        <v>3854</v>
      </c>
      <c r="D2151" s="4">
        <v>1</v>
      </c>
      <c r="E2151" s="4">
        <v>1</v>
      </c>
      <c r="F2151" s="4" t="s">
        <v>268</v>
      </c>
      <c r="G2151" s="4" t="s">
        <v>241</v>
      </c>
      <c r="H2151" s="4" t="s">
        <v>241</v>
      </c>
      <c r="I2151" s="4" t="s">
        <v>424</v>
      </c>
      <c r="J2151" s="4" t="s">
        <v>274</v>
      </c>
      <c r="K2151" s="4" t="s">
        <v>251</v>
      </c>
      <c r="L2151" s="4" t="s">
        <v>423</v>
      </c>
      <c r="M2151" s="5" t="s">
        <v>526</v>
      </c>
      <c r="N2151" s="6">
        <f>1646</f>
        <v>1646</v>
      </c>
      <c r="O2151" s="4" t="s">
        <v>265</v>
      </c>
      <c r="P2151" s="6">
        <f>1</f>
        <v>1</v>
      </c>
      <c r="Q2151" s="6">
        <f>0</f>
        <v>0</v>
      </c>
      <c r="S2151" s="6">
        <f>0</f>
        <v>0</v>
      </c>
      <c r="T2151" s="6">
        <f>1</f>
        <v>1</v>
      </c>
      <c r="U2151" s="5" t="s">
        <v>245</v>
      </c>
      <c r="V2151" s="4" t="s">
        <v>270</v>
      </c>
      <c r="W2151" s="4" t="s">
        <v>271</v>
      </c>
      <c r="X2151" s="4" t="s">
        <v>273</v>
      </c>
      <c r="Y2151" s="4" t="s">
        <v>241</v>
      </c>
      <c r="AB2151" s="4" t="s">
        <v>241</v>
      </c>
      <c r="AD2151" s="5" t="s">
        <v>241</v>
      </c>
      <c r="AG2151" s="5" t="s">
        <v>246</v>
      </c>
      <c r="AH2151" s="4" t="s">
        <v>241</v>
      </c>
      <c r="AI2151" s="4" t="s">
        <v>247</v>
      </c>
      <c r="AJ2151" s="4" t="s">
        <v>248</v>
      </c>
      <c r="AZ2151" s="4" t="s">
        <v>249</v>
      </c>
      <c r="BA2151" s="4" t="s">
        <v>241</v>
      </c>
      <c r="BB2151" s="4" t="s">
        <v>250</v>
      </c>
      <c r="BC2151" s="4" t="s">
        <v>241</v>
      </c>
      <c r="BD2151" s="4" t="s">
        <v>252</v>
      </c>
      <c r="BE2151" s="4" t="s">
        <v>241</v>
      </c>
      <c r="BI2151" s="4" t="s">
        <v>253</v>
      </c>
      <c r="BJ2151" s="5" t="s">
        <v>246</v>
      </c>
      <c r="BK2151" s="4" t="s">
        <v>254</v>
      </c>
      <c r="BL2151" s="4" t="s">
        <v>255</v>
      </c>
      <c r="BM2151" s="4" t="s">
        <v>241</v>
      </c>
      <c r="BN2151" s="6">
        <f>0</f>
        <v>0</v>
      </c>
      <c r="BO2151" s="6">
        <f>0</f>
        <v>0</v>
      </c>
      <c r="BP2151" s="4" t="s">
        <v>256</v>
      </c>
      <c r="BQ2151" s="4" t="s">
        <v>257</v>
      </c>
      <c r="CE2151" s="4" t="s">
        <v>241</v>
      </c>
      <c r="CF2151" s="4" t="s">
        <v>241</v>
      </c>
      <c r="CJ2151" s="4" t="s">
        <v>276</v>
      </c>
      <c r="CK2151" s="4" t="s">
        <v>259</v>
      </c>
      <c r="CL2151" s="4" t="s">
        <v>241</v>
      </c>
      <c r="CO2151" s="5" t="s">
        <v>260</v>
      </c>
      <c r="CP2151" s="4" t="s">
        <v>241</v>
      </c>
      <c r="CQ2151" s="4" t="s">
        <v>261</v>
      </c>
      <c r="CR2151" s="4" t="s">
        <v>241</v>
      </c>
      <c r="CS2151" s="4" t="s">
        <v>241</v>
      </c>
      <c r="CT2151" s="4">
        <v>0</v>
      </c>
      <c r="CU2151" s="4" t="s">
        <v>262</v>
      </c>
      <c r="CV2151" s="4" t="s">
        <v>263</v>
      </c>
      <c r="CW2151" s="4" t="s">
        <v>263</v>
      </c>
      <c r="CX2151" s="4" t="s">
        <v>264</v>
      </c>
      <c r="DA2151" s="6">
        <f>1</f>
        <v>1</v>
      </c>
      <c r="DC2151" s="4" t="s">
        <v>325</v>
      </c>
      <c r="DD2151" s="4" t="s">
        <v>241</v>
      </c>
      <c r="DF2151" s="4" t="s">
        <v>325</v>
      </c>
      <c r="DG2151" s="6">
        <f>1646</f>
        <v>1646</v>
      </c>
      <c r="DI2151" s="4" t="s">
        <v>241</v>
      </c>
      <c r="DJ2151" s="4" t="s">
        <v>241</v>
      </c>
      <c r="DK2151" s="4" t="s">
        <v>241</v>
      </c>
      <c r="DL2151" s="4" t="s">
        <v>241</v>
      </c>
      <c r="DP2151" s="4" t="s">
        <v>241</v>
      </c>
      <c r="DQ2151" s="4" t="s">
        <v>241</v>
      </c>
      <c r="DR2151" s="4" t="s">
        <v>241</v>
      </c>
      <c r="DS2151" s="4" t="s">
        <v>241</v>
      </c>
      <c r="DV2151" s="4" t="s">
        <v>426</v>
      </c>
      <c r="DW2151" s="4" t="s">
        <v>527</v>
      </c>
      <c r="HO2151" s="4" t="s">
        <v>267</v>
      </c>
    </row>
    <row r="2152" spans="1:223" ht="19.5" customHeight="1" x14ac:dyDescent="0.4">
      <c r="A2152" s="4">
        <v>1</v>
      </c>
      <c r="B2152" s="4" t="s">
        <v>239</v>
      </c>
      <c r="C2152" s="4">
        <v>3855</v>
      </c>
      <c r="D2152" s="4">
        <v>1</v>
      </c>
      <c r="E2152" s="4">
        <v>1</v>
      </c>
      <c r="F2152" s="4" t="s">
        <v>268</v>
      </c>
      <c r="G2152" s="4" t="s">
        <v>241</v>
      </c>
      <c r="H2152" s="4" t="s">
        <v>241</v>
      </c>
      <c r="I2152" s="4" t="s">
        <v>424</v>
      </c>
      <c r="J2152" s="4" t="s">
        <v>274</v>
      </c>
      <c r="K2152" s="4" t="s">
        <v>251</v>
      </c>
      <c r="L2152" s="4" t="s">
        <v>423</v>
      </c>
      <c r="M2152" s="5" t="s">
        <v>528</v>
      </c>
      <c r="N2152" s="6">
        <f>284</f>
        <v>284</v>
      </c>
      <c r="O2152" s="4" t="s">
        <v>265</v>
      </c>
      <c r="P2152" s="6">
        <f>1</f>
        <v>1</v>
      </c>
      <c r="Q2152" s="6">
        <f>0</f>
        <v>0</v>
      </c>
      <c r="S2152" s="6">
        <f>0</f>
        <v>0</v>
      </c>
      <c r="T2152" s="6">
        <f>1</f>
        <v>1</v>
      </c>
      <c r="U2152" s="5" t="s">
        <v>245</v>
      </c>
      <c r="V2152" s="4" t="s">
        <v>270</v>
      </c>
      <c r="W2152" s="4" t="s">
        <v>271</v>
      </c>
      <c r="X2152" s="4" t="s">
        <v>273</v>
      </c>
      <c r="Y2152" s="4" t="s">
        <v>241</v>
      </c>
      <c r="AB2152" s="4" t="s">
        <v>241</v>
      </c>
      <c r="AD2152" s="5" t="s">
        <v>241</v>
      </c>
      <c r="AG2152" s="5" t="s">
        <v>246</v>
      </c>
      <c r="AH2152" s="4" t="s">
        <v>241</v>
      </c>
      <c r="AI2152" s="4" t="s">
        <v>247</v>
      </c>
      <c r="AJ2152" s="4" t="s">
        <v>248</v>
      </c>
      <c r="AZ2152" s="4" t="s">
        <v>249</v>
      </c>
      <c r="BA2152" s="4" t="s">
        <v>241</v>
      </c>
      <c r="BB2152" s="4" t="s">
        <v>250</v>
      </c>
      <c r="BC2152" s="4" t="s">
        <v>241</v>
      </c>
      <c r="BD2152" s="4" t="s">
        <v>252</v>
      </c>
      <c r="BE2152" s="4" t="s">
        <v>241</v>
      </c>
      <c r="BI2152" s="4" t="s">
        <v>253</v>
      </c>
      <c r="BJ2152" s="5" t="s">
        <v>246</v>
      </c>
      <c r="BK2152" s="4" t="s">
        <v>254</v>
      </c>
      <c r="BL2152" s="4" t="s">
        <v>255</v>
      </c>
      <c r="BM2152" s="4" t="s">
        <v>241</v>
      </c>
      <c r="BN2152" s="6">
        <f>0</f>
        <v>0</v>
      </c>
      <c r="BO2152" s="6">
        <f>0</f>
        <v>0</v>
      </c>
      <c r="BP2152" s="4" t="s">
        <v>256</v>
      </c>
      <c r="BQ2152" s="4" t="s">
        <v>257</v>
      </c>
      <c r="CE2152" s="4" t="s">
        <v>241</v>
      </c>
      <c r="CF2152" s="4" t="s">
        <v>241</v>
      </c>
      <c r="CJ2152" s="4" t="s">
        <v>276</v>
      </c>
      <c r="CK2152" s="4" t="s">
        <v>259</v>
      </c>
      <c r="CL2152" s="4" t="s">
        <v>241</v>
      </c>
      <c r="CO2152" s="5" t="s">
        <v>260</v>
      </c>
      <c r="CP2152" s="4" t="s">
        <v>241</v>
      </c>
      <c r="CQ2152" s="4" t="s">
        <v>261</v>
      </c>
      <c r="CR2152" s="4" t="s">
        <v>241</v>
      </c>
      <c r="CS2152" s="4" t="s">
        <v>241</v>
      </c>
      <c r="CT2152" s="4">
        <v>0</v>
      </c>
      <c r="CU2152" s="4" t="s">
        <v>262</v>
      </c>
      <c r="CV2152" s="4" t="s">
        <v>263</v>
      </c>
      <c r="CW2152" s="4" t="s">
        <v>263</v>
      </c>
      <c r="CX2152" s="4" t="s">
        <v>264</v>
      </c>
      <c r="DA2152" s="6">
        <f>1</f>
        <v>1</v>
      </c>
      <c r="DC2152" s="4" t="s">
        <v>325</v>
      </c>
      <c r="DD2152" s="4" t="s">
        <v>241</v>
      </c>
      <c r="DF2152" s="4" t="s">
        <v>325</v>
      </c>
      <c r="DG2152" s="6">
        <f>284</f>
        <v>284</v>
      </c>
      <c r="DI2152" s="4" t="s">
        <v>241</v>
      </c>
      <c r="DJ2152" s="4" t="s">
        <v>241</v>
      </c>
      <c r="DK2152" s="4" t="s">
        <v>241</v>
      </c>
      <c r="DL2152" s="4" t="s">
        <v>241</v>
      </c>
      <c r="DP2152" s="4" t="s">
        <v>241</v>
      </c>
      <c r="DQ2152" s="4" t="s">
        <v>241</v>
      </c>
      <c r="DR2152" s="4" t="s">
        <v>241</v>
      </c>
      <c r="DS2152" s="4" t="s">
        <v>241</v>
      </c>
      <c r="DV2152" s="4" t="s">
        <v>426</v>
      </c>
      <c r="DW2152" s="4" t="s">
        <v>529</v>
      </c>
      <c r="HO2152" s="4" t="s">
        <v>267</v>
      </c>
    </row>
    <row r="2153" spans="1:223" ht="19.5" customHeight="1" x14ac:dyDescent="0.4">
      <c r="A2153" s="4">
        <v>1</v>
      </c>
      <c r="B2153" s="4" t="s">
        <v>239</v>
      </c>
      <c r="C2153" s="4">
        <v>3856</v>
      </c>
      <c r="D2153" s="4">
        <v>1</v>
      </c>
      <c r="E2153" s="4">
        <v>1</v>
      </c>
      <c r="F2153" s="4" t="s">
        <v>268</v>
      </c>
      <c r="G2153" s="4" t="s">
        <v>241</v>
      </c>
      <c r="H2153" s="4" t="s">
        <v>241</v>
      </c>
      <c r="I2153" s="4" t="s">
        <v>424</v>
      </c>
      <c r="J2153" s="4" t="s">
        <v>274</v>
      </c>
      <c r="K2153" s="4" t="s">
        <v>251</v>
      </c>
      <c r="L2153" s="4" t="s">
        <v>423</v>
      </c>
      <c r="M2153" s="5" t="s">
        <v>534</v>
      </c>
      <c r="N2153" s="6">
        <f>145</f>
        <v>145</v>
      </c>
      <c r="O2153" s="4" t="s">
        <v>265</v>
      </c>
      <c r="P2153" s="6">
        <f>1</f>
        <v>1</v>
      </c>
      <c r="Q2153" s="6">
        <f>0</f>
        <v>0</v>
      </c>
      <c r="S2153" s="6">
        <f>0</f>
        <v>0</v>
      </c>
      <c r="T2153" s="6">
        <f>1</f>
        <v>1</v>
      </c>
      <c r="U2153" s="5" t="s">
        <v>245</v>
      </c>
      <c r="V2153" s="4" t="s">
        <v>270</v>
      </c>
      <c r="W2153" s="4" t="s">
        <v>271</v>
      </c>
      <c r="X2153" s="4" t="s">
        <v>273</v>
      </c>
      <c r="Y2153" s="4" t="s">
        <v>241</v>
      </c>
      <c r="AB2153" s="4" t="s">
        <v>241</v>
      </c>
      <c r="AD2153" s="5" t="s">
        <v>241</v>
      </c>
      <c r="AG2153" s="5" t="s">
        <v>246</v>
      </c>
      <c r="AH2153" s="4" t="s">
        <v>241</v>
      </c>
      <c r="AI2153" s="4" t="s">
        <v>247</v>
      </c>
      <c r="AJ2153" s="4" t="s">
        <v>248</v>
      </c>
      <c r="AZ2153" s="4" t="s">
        <v>249</v>
      </c>
      <c r="BA2153" s="4" t="s">
        <v>241</v>
      </c>
      <c r="BB2153" s="4" t="s">
        <v>250</v>
      </c>
      <c r="BC2153" s="4" t="s">
        <v>241</v>
      </c>
      <c r="BD2153" s="4" t="s">
        <v>252</v>
      </c>
      <c r="BE2153" s="4" t="s">
        <v>241</v>
      </c>
      <c r="BI2153" s="4" t="s">
        <v>253</v>
      </c>
      <c r="BJ2153" s="5" t="s">
        <v>246</v>
      </c>
      <c r="BK2153" s="4" t="s">
        <v>254</v>
      </c>
      <c r="BL2153" s="4" t="s">
        <v>255</v>
      </c>
      <c r="BM2153" s="4" t="s">
        <v>241</v>
      </c>
      <c r="BN2153" s="6">
        <f>0</f>
        <v>0</v>
      </c>
      <c r="BO2153" s="6">
        <f>0</f>
        <v>0</v>
      </c>
      <c r="BP2153" s="4" t="s">
        <v>256</v>
      </c>
      <c r="BQ2153" s="4" t="s">
        <v>257</v>
      </c>
      <c r="CE2153" s="4" t="s">
        <v>241</v>
      </c>
      <c r="CF2153" s="4" t="s">
        <v>241</v>
      </c>
      <c r="CJ2153" s="4" t="s">
        <v>276</v>
      </c>
      <c r="CK2153" s="4" t="s">
        <v>259</v>
      </c>
      <c r="CL2153" s="4" t="s">
        <v>241</v>
      </c>
      <c r="CO2153" s="5" t="s">
        <v>260</v>
      </c>
      <c r="CP2153" s="4" t="s">
        <v>241</v>
      </c>
      <c r="CQ2153" s="4" t="s">
        <v>261</v>
      </c>
      <c r="CR2153" s="4" t="s">
        <v>241</v>
      </c>
      <c r="CS2153" s="4" t="s">
        <v>241</v>
      </c>
      <c r="CT2153" s="4">
        <v>0</v>
      </c>
      <c r="CU2153" s="4" t="s">
        <v>262</v>
      </c>
      <c r="CV2153" s="4" t="s">
        <v>263</v>
      </c>
      <c r="CW2153" s="4" t="s">
        <v>263</v>
      </c>
      <c r="CX2153" s="4" t="s">
        <v>264</v>
      </c>
      <c r="DA2153" s="6">
        <f>1</f>
        <v>1</v>
      </c>
      <c r="DC2153" s="4" t="s">
        <v>325</v>
      </c>
      <c r="DD2153" s="4" t="s">
        <v>241</v>
      </c>
      <c r="DF2153" s="4" t="s">
        <v>325</v>
      </c>
      <c r="DG2153" s="6">
        <f>145</f>
        <v>145</v>
      </c>
      <c r="DI2153" s="4" t="s">
        <v>241</v>
      </c>
      <c r="DJ2153" s="4" t="s">
        <v>241</v>
      </c>
      <c r="DK2153" s="4" t="s">
        <v>241</v>
      </c>
      <c r="DL2153" s="4" t="s">
        <v>241</v>
      </c>
      <c r="DP2153" s="4" t="s">
        <v>241</v>
      </c>
      <c r="DQ2153" s="4" t="s">
        <v>241</v>
      </c>
      <c r="DR2153" s="4" t="s">
        <v>241</v>
      </c>
      <c r="DS2153" s="4" t="s">
        <v>241</v>
      </c>
      <c r="DV2153" s="4" t="s">
        <v>426</v>
      </c>
      <c r="DW2153" s="4" t="s">
        <v>535</v>
      </c>
      <c r="HO2153" s="4" t="s">
        <v>267</v>
      </c>
    </row>
    <row r="2154" spans="1:223" ht="19.5" customHeight="1" x14ac:dyDescent="0.4">
      <c r="A2154" s="4">
        <v>1</v>
      </c>
      <c r="B2154" s="4" t="s">
        <v>239</v>
      </c>
      <c r="C2154" s="4">
        <v>3857</v>
      </c>
      <c r="D2154" s="4">
        <v>1</v>
      </c>
      <c r="E2154" s="4">
        <v>1</v>
      </c>
      <c r="F2154" s="4" t="s">
        <v>268</v>
      </c>
      <c r="G2154" s="4" t="s">
        <v>241</v>
      </c>
      <c r="H2154" s="4" t="s">
        <v>241</v>
      </c>
      <c r="I2154" s="4" t="s">
        <v>424</v>
      </c>
      <c r="J2154" s="4" t="s">
        <v>274</v>
      </c>
      <c r="K2154" s="4" t="s">
        <v>251</v>
      </c>
      <c r="L2154" s="4" t="s">
        <v>423</v>
      </c>
      <c r="M2154" s="5" t="s">
        <v>536</v>
      </c>
      <c r="N2154" s="6">
        <f>52</f>
        <v>52</v>
      </c>
      <c r="O2154" s="4" t="s">
        <v>265</v>
      </c>
      <c r="P2154" s="6">
        <f>1</f>
        <v>1</v>
      </c>
      <c r="Q2154" s="6">
        <f>0</f>
        <v>0</v>
      </c>
      <c r="S2154" s="6">
        <f>0</f>
        <v>0</v>
      </c>
      <c r="T2154" s="6">
        <f>1</f>
        <v>1</v>
      </c>
      <c r="U2154" s="5" t="s">
        <v>245</v>
      </c>
      <c r="V2154" s="4" t="s">
        <v>270</v>
      </c>
      <c r="W2154" s="4" t="s">
        <v>271</v>
      </c>
      <c r="X2154" s="4" t="s">
        <v>273</v>
      </c>
      <c r="Y2154" s="4" t="s">
        <v>241</v>
      </c>
      <c r="AB2154" s="4" t="s">
        <v>241</v>
      </c>
      <c r="AD2154" s="5" t="s">
        <v>241</v>
      </c>
      <c r="AG2154" s="5" t="s">
        <v>246</v>
      </c>
      <c r="AH2154" s="4" t="s">
        <v>241</v>
      </c>
      <c r="AI2154" s="4" t="s">
        <v>247</v>
      </c>
      <c r="AJ2154" s="4" t="s">
        <v>248</v>
      </c>
      <c r="AZ2154" s="4" t="s">
        <v>249</v>
      </c>
      <c r="BA2154" s="4" t="s">
        <v>241</v>
      </c>
      <c r="BB2154" s="4" t="s">
        <v>250</v>
      </c>
      <c r="BC2154" s="4" t="s">
        <v>241</v>
      </c>
      <c r="BD2154" s="4" t="s">
        <v>252</v>
      </c>
      <c r="BE2154" s="4" t="s">
        <v>241</v>
      </c>
      <c r="BI2154" s="4" t="s">
        <v>253</v>
      </c>
      <c r="BJ2154" s="5" t="s">
        <v>246</v>
      </c>
      <c r="BK2154" s="4" t="s">
        <v>254</v>
      </c>
      <c r="BL2154" s="4" t="s">
        <v>255</v>
      </c>
      <c r="BM2154" s="4" t="s">
        <v>241</v>
      </c>
      <c r="BN2154" s="6">
        <f>0</f>
        <v>0</v>
      </c>
      <c r="BO2154" s="6">
        <f>0</f>
        <v>0</v>
      </c>
      <c r="BP2154" s="4" t="s">
        <v>256</v>
      </c>
      <c r="BQ2154" s="4" t="s">
        <v>257</v>
      </c>
      <c r="CE2154" s="4" t="s">
        <v>241</v>
      </c>
      <c r="CF2154" s="4" t="s">
        <v>241</v>
      </c>
      <c r="CJ2154" s="4" t="s">
        <v>276</v>
      </c>
      <c r="CK2154" s="4" t="s">
        <v>259</v>
      </c>
      <c r="CL2154" s="4" t="s">
        <v>241</v>
      </c>
      <c r="CO2154" s="5" t="s">
        <v>260</v>
      </c>
      <c r="CP2154" s="4" t="s">
        <v>241</v>
      </c>
      <c r="CQ2154" s="4" t="s">
        <v>261</v>
      </c>
      <c r="CR2154" s="4" t="s">
        <v>241</v>
      </c>
      <c r="CS2154" s="4" t="s">
        <v>241</v>
      </c>
      <c r="CT2154" s="4">
        <v>0</v>
      </c>
      <c r="CU2154" s="4" t="s">
        <v>262</v>
      </c>
      <c r="CV2154" s="4" t="s">
        <v>263</v>
      </c>
      <c r="CW2154" s="4" t="s">
        <v>263</v>
      </c>
      <c r="CX2154" s="4" t="s">
        <v>264</v>
      </c>
      <c r="DA2154" s="6">
        <f>1</f>
        <v>1</v>
      </c>
      <c r="DC2154" s="4" t="s">
        <v>325</v>
      </c>
      <c r="DD2154" s="4" t="s">
        <v>241</v>
      </c>
      <c r="DF2154" s="4" t="s">
        <v>325</v>
      </c>
      <c r="DG2154" s="6">
        <f>52</f>
        <v>52</v>
      </c>
      <c r="DI2154" s="4" t="s">
        <v>241</v>
      </c>
      <c r="DJ2154" s="4" t="s">
        <v>241</v>
      </c>
      <c r="DK2154" s="4" t="s">
        <v>241</v>
      </c>
      <c r="DL2154" s="4" t="s">
        <v>241</v>
      </c>
      <c r="DP2154" s="4" t="s">
        <v>241</v>
      </c>
      <c r="DQ2154" s="4" t="s">
        <v>241</v>
      </c>
      <c r="DR2154" s="4" t="s">
        <v>241</v>
      </c>
      <c r="DS2154" s="4" t="s">
        <v>241</v>
      </c>
      <c r="DV2154" s="4" t="s">
        <v>426</v>
      </c>
      <c r="DW2154" s="4" t="s">
        <v>537</v>
      </c>
      <c r="HO2154" s="4" t="s">
        <v>267</v>
      </c>
    </row>
    <row r="2155" spans="1:223" ht="19.5" customHeight="1" x14ac:dyDescent="0.4">
      <c r="A2155" s="4">
        <v>1</v>
      </c>
      <c r="B2155" s="4" t="s">
        <v>239</v>
      </c>
      <c r="C2155" s="4">
        <v>3858</v>
      </c>
      <c r="D2155" s="4">
        <v>1</v>
      </c>
      <c r="E2155" s="4">
        <v>1</v>
      </c>
      <c r="F2155" s="4" t="s">
        <v>268</v>
      </c>
      <c r="G2155" s="4" t="s">
        <v>241</v>
      </c>
      <c r="H2155" s="4" t="s">
        <v>241</v>
      </c>
      <c r="I2155" s="4" t="s">
        <v>424</v>
      </c>
      <c r="J2155" s="4" t="s">
        <v>274</v>
      </c>
      <c r="K2155" s="4" t="s">
        <v>251</v>
      </c>
      <c r="L2155" s="4" t="s">
        <v>423</v>
      </c>
      <c r="M2155" s="5" t="s">
        <v>548</v>
      </c>
      <c r="N2155" s="6">
        <f>108</f>
        <v>108</v>
      </c>
      <c r="O2155" s="4" t="s">
        <v>265</v>
      </c>
      <c r="P2155" s="6">
        <f>1</f>
        <v>1</v>
      </c>
      <c r="Q2155" s="6">
        <f>0</f>
        <v>0</v>
      </c>
      <c r="S2155" s="6">
        <f>0</f>
        <v>0</v>
      </c>
      <c r="T2155" s="6">
        <f>1</f>
        <v>1</v>
      </c>
      <c r="U2155" s="5" t="s">
        <v>245</v>
      </c>
      <c r="V2155" s="4" t="s">
        <v>270</v>
      </c>
      <c r="W2155" s="4" t="s">
        <v>271</v>
      </c>
      <c r="X2155" s="4" t="s">
        <v>273</v>
      </c>
      <c r="Y2155" s="4" t="s">
        <v>241</v>
      </c>
      <c r="AB2155" s="4" t="s">
        <v>241</v>
      </c>
      <c r="AD2155" s="5" t="s">
        <v>241</v>
      </c>
      <c r="AG2155" s="5" t="s">
        <v>246</v>
      </c>
      <c r="AH2155" s="4" t="s">
        <v>241</v>
      </c>
      <c r="AI2155" s="4" t="s">
        <v>247</v>
      </c>
      <c r="AJ2155" s="4" t="s">
        <v>248</v>
      </c>
      <c r="AZ2155" s="4" t="s">
        <v>249</v>
      </c>
      <c r="BA2155" s="4" t="s">
        <v>241</v>
      </c>
      <c r="BB2155" s="4" t="s">
        <v>250</v>
      </c>
      <c r="BC2155" s="4" t="s">
        <v>241</v>
      </c>
      <c r="BD2155" s="4" t="s">
        <v>252</v>
      </c>
      <c r="BE2155" s="4" t="s">
        <v>241</v>
      </c>
      <c r="BI2155" s="4" t="s">
        <v>253</v>
      </c>
      <c r="BJ2155" s="5" t="s">
        <v>246</v>
      </c>
      <c r="BK2155" s="4" t="s">
        <v>254</v>
      </c>
      <c r="BL2155" s="4" t="s">
        <v>255</v>
      </c>
      <c r="BM2155" s="4" t="s">
        <v>241</v>
      </c>
      <c r="BN2155" s="6">
        <f>0</f>
        <v>0</v>
      </c>
      <c r="BO2155" s="6">
        <f>0</f>
        <v>0</v>
      </c>
      <c r="BP2155" s="4" t="s">
        <v>256</v>
      </c>
      <c r="BQ2155" s="4" t="s">
        <v>257</v>
      </c>
      <c r="CE2155" s="4" t="s">
        <v>241</v>
      </c>
      <c r="CF2155" s="4" t="s">
        <v>241</v>
      </c>
      <c r="CJ2155" s="4" t="s">
        <v>276</v>
      </c>
      <c r="CK2155" s="4" t="s">
        <v>259</v>
      </c>
      <c r="CL2155" s="4" t="s">
        <v>241</v>
      </c>
      <c r="CO2155" s="5" t="s">
        <v>260</v>
      </c>
      <c r="CP2155" s="4" t="s">
        <v>241</v>
      </c>
      <c r="CQ2155" s="4" t="s">
        <v>261</v>
      </c>
      <c r="CR2155" s="4" t="s">
        <v>241</v>
      </c>
      <c r="CS2155" s="4" t="s">
        <v>241</v>
      </c>
      <c r="CT2155" s="4">
        <v>0</v>
      </c>
      <c r="CU2155" s="4" t="s">
        <v>262</v>
      </c>
      <c r="CV2155" s="4" t="s">
        <v>263</v>
      </c>
      <c r="CW2155" s="4" t="s">
        <v>263</v>
      </c>
      <c r="CX2155" s="4" t="s">
        <v>264</v>
      </c>
      <c r="DA2155" s="6">
        <f>1</f>
        <v>1</v>
      </c>
      <c r="DC2155" s="4" t="s">
        <v>325</v>
      </c>
      <c r="DD2155" s="4" t="s">
        <v>241</v>
      </c>
      <c r="DF2155" s="4" t="s">
        <v>325</v>
      </c>
      <c r="DG2155" s="6">
        <f>108</f>
        <v>108</v>
      </c>
      <c r="DI2155" s="4" t="s">
        <v>241</v>
      </c>
      <c r="DJ2155" s="4" t="s">
        <v>241</v>
      </c>
      <c r="DK2155" s="4" t="s">
        <v>241</v>
      </c>
      <c r="DL2155" s="4" t="s">
        <v>241</v>
      </c>
      <c r="DP2155" s="4" t="s">
        <v>241</v>
      </c>
      <c r="DQ2155" s="4" t="s">
        <v>241</v>
      </c>
      <c r="DR2155" s="4" t="s">
        <v>241</v>
      </c>
      <c r="DS2155" s="4" t="s">
        <v>241</v>
      </c>
      <c r="DV2155" s="4" t="s">
        <v>426</v>
      </c>
      <c r="DW2155" s="4" t="s">
        <v>549</v>
      </c>
      <c r="HO2155" s="4" t="s">
        <v>267</v>
      </c>
    </row>
    <row r="2156" spans="1:223" ht="19.5" customHeight="1" x14ac:dyDescent="0.4">
      <c r="A2156" s="4">
        <v>1</v>
      </c>
      <c r="B2156" s="4" t="s">
        <v>239</v>
      </c>
      <c r="C2156" s="4">
        <v>3859</v>
      </c>
      <c r="D2156" s="4">
        <v>1</v>
      </c>
      <c r="E2156" s="4">
        <v>1</v>
      </c>
      <c r="F2156" s="4" t="s">
        <v>268</v>
      </c>
      <c r="G2156" s="4" t="s">
        <v>241</v>
      </c>
      <c r="H2156" s="4" t="s">
        <v>241</v>
      </c>
      <c r="I2156" s="4" t="s">
        <v>424</v>
      </c>
      <c r="J2156" s="4" t="s">
        <v>274</v>
      </c>
      <c r="K2156" s="4" t="s">
        <v>251</v>
      </c>
      <c r="L2156" s="4" t="s">
        <v>423</v>
      </c>
      <c r="M2156" s="5" t="s">
        <v>550</v>
      </c>
      <c r="N2156" s="6">
        <f>465</f>
        <v>465</v>
      </c>
      <c r="O2156" s="4" t="s">
        <v>265</v>
      </c>
      <c r="P2156" s="6">
        <f>1</f>
        <v>1</v>
      </c>
      <c r="Q2156" s="6">
        <f>0</f>
        <v>0</v>
      </c>
      <c r="S2156" s="6">
        <f>0</f>
        <v>0</v>
      </c>
      <c r="T2156" s="6">
        <f>1</f>
        <v>1</v>
      </c>
      <c r="U2156" s="5" t="s">
        <v>245</v>
      </c>
      <c r="V2156" s="4" t="s">
        <v>270</v>
      </c>
      <c r="W2156" s="4" t="s">
        <v>271</v>
      </c>
      <c r="X2156" s="4" t="s">
        <v>273</v>
      </c>
      <c r="Y2156" s="4" t="s">
        <v>241</v>
      </c>
      <c r="AB2156" s="4" t="s">
        <v>241</v>
      </c>
      <c r="AD2156" s="5" t="s">
        <v>241</v>
      </c>
      <c r="AG2156" s="5" t="s">
        <v>246</v>
      </c>
      <c r="AH2156" s="4" t="s">
        <v>241</v>
      </c>
      <c r="AI2156" s="4" t="s">
        <v>247</v>
      </c>
      <c r="AJ2156" s="4" t="s">
        <v>248</v>
      </c>
      <c r="AZ2156" s="4" t="s">
        <v>249</v>
      </c>
      <c r="BA2156" s="4" t="s">
        <v>241</v>
      </c>
      <c r="BB2156" s="4" t="s">
        <v>250</v>
      </c>
      <c r="BC2156" s="4" t="s">
        <v>241</v>
      </c>
      <c r="BD2156" s="4" t="s">
        <v>252</v>
      </c>
      <c r="BE2156" s="4" t="s">
        <v>241</v>
      </c>
      <c r="BI2156" s="4" t="s">
        <v>253</v>
      </c>
      <c r="BJ2156" s="5" t="s">
        <v>246</v>
      </c>
      <c r="BK2156" s="4" t="s">
        <v>254</v>
      </c>
      <c r="BL2156" s="4" t="s">
        <v>255</v>
      </c>
      <c r="BM2156" s="4" t="s">
        <v>241</v>
      </c>
      <c r="BN2156" s="6">
        <f>0</f>
        <v>0</v>
      </c>
      <c r="BO2156" s="6">
        <f>0</f>
        <v>0</v>
      </c>
      <c r="BP2156" s="4" t="s">
        <v>256</v>
      </c>
      <c r="BQ2156" s="4" t="s">
        <v>257</v>
      </c>
      <c r="CE2156" s="4" t="s">
        <v>241</v>
      </c>
      <c r="CF2156" s="4" t="s">
        <v>241</v>
      </c>
      <c r="CJ2156" s="4" t="s">
        <v>276</v>
      </c>
      <c r="CK2156" s="4" t="s">
        <v>259</v>
      </c>
      <c r="CL2156" s="4" t="s">
        <v>241</v>
      </c>
      <c r="CO2156" s="5" t="s">
        <v>260</v>
      </c>
      <c r="CP2156" s="4" t="s">
        <v>241</v>
      </c>
      <c r="CQ2156" s="4" t="s">
        <v>261</v>
      </c>
      <c r="CR2156" s="4" t="s">
        <v>241</v>
      </c>
      <c r="CS2156" s="4" t="s">
        <v>241</v>
      </c>
      <c r="CT2156" s="4">
        <v>0</v>
      </c>
      <c r="CU2156" s="4" t="s">
        <v>262</v>
      </c>
      <c r="CV2156" s="4" t="s">
        <v>263</v>
      </c>
      <c r="CW2156" s="4" t="s">
        <v>263</v>
      </c>
      <c r="CX2156" s="4" t="s">
        <v>264</v>
      </c>
      <c r="DA2156" s="6">
        <f>1</f>
        <v>1</v>
      </c>
      <c r="DC2156" s="4" t="s">
        <v>325</v>
      </c>
      <c r="DD2156" s="4" t="s">
        <v>241</v>
      </c>
      <c r="DF2156" s="4" t="s">
        <v>325</v>
      </c>
      <c r="DG2156" s="6">
        <f>465</f>
        <v>465</v>
      </c>
      <c r="DI2156" s="4" t="s">
        <v>241</v>
      </c>
      <c r="DJ2156" s="4" t="s">
        <v>241</v>
      </c>
      <c r="DK2156" s="4" t="s">
        <v>241</v>
      </c>
      <c r="DL2156" s="4" t="s">
        <v>241</v>
      </c>
      <c r="DP2156" s="4" t="s">
        <v>241</v>
      </c>
      <c r="DQ2156" s="4" t="s">
        <v>241</v>
      </c>
      <c r="DR2156" s="4" t="s">
        <v>241</v>
      </c>
      <c r="DS2156" s="4" t="s">
        <v>241</v>
      </c>
      <c r="DV2156" s="4" t="s">
        <v>426</v>
      </c>
      <c r="DW2156" s="4" t="s">
        <v>551</v>
      </c>
      <c r="HO2156" s="4" t="s">
        <v>267</v>
      </c>
    </row>
    <row r="2157" spans="1:223" ht="19.5" customHeight="1" x14ac:dyDescent="0.4">
      <c r="A2157" s="4">
        <v>1</v>
      </c>
      <c r="B2157" s="4" t="s">
        <v>239</v>
      </c>
      <c r="C2157" s="4">
        <v>3860</v>
      </c>
      <c r="D2157" s="4">
        <v>1</v>
      </c>
      <c r="E2157" s="4">
        <v>1</v>
      </c>
      <c r="F2157" s="4" t="s">
        <v>268</v>
      </c>
      <c r="G2157" s="4" t="s">
        <v>241</v>
      </c>
      <c r="H2157" s="4" t="s">
        <v>241</v>
      </c>
      <c r="I2157" s="4" t="s">
        <v>424</v>
      </c>
      <c r="J2157" s="4" t="s">
        <v>274</v>
      </c>
      <c r="K2157" s="4" t="s">
        <v>251</v>
      </c>
      <c r="L2157" s="4" t="s">
        <v>423</v>
      </c>
      <c r="M2157" s="5" t="s">
        <v>554</v>
      </c>
      <c r="N2157" s="6">
        <f>936</f>
        <v>936</v>
      </c>
      <c r="O2157" s="4" t="s">
        <v>265</v>
      </c>
      <c r="P2157" s="6">
        <f>1</f>
        <v>1</v>
      </c>
      <c r="Q2157" s="6">
        <f>0</f>
        <v>0</v>
      </c>
      <c r="S2157" s="6">
        <f>0</f>
        <v>0</v>
      </c>
      <c r="T2157" s="6">
        <f>1</f>
        <v>1</v>
      </c>
      <c r="U2157" s="5" t="s">
        <v>245</v>
      </c>
      <c r="V2157" s="4" t="s">
        <v>270</v>
      </c>
      <c r="W2157" s="4" t="s">
        <v>271</v>
      </c>
      <c r="X2157" s="4" t="s">
        <v>273</v>
      </c>
      <c r="Y2157" s="4" t="s">
        <v>241</v>
      </c>
      <c r="AB2157" s="4" t="s">
        <v>241</v>
      </c>
      <c r="AD2157" s="5" t="s">
        <v>241</v>
      </c>
      <c r="AG2157" s="5" t="s">
        <v>246</v>
      </c>
      <c r="AH2157" s="4" t="s">
        <v>241</v>
      </c>
      <c r="AI2157" s="4" t="s">
        <v>247</v>
      </c>
      <c r="AJ2157" s="4" t="s">
        <v>248</v>
      </c>
      <c r="AZ2157" s="4" t="s">
        <v>249</v>
      </c>
      <c r="BA2157" s="4" t="s">
        <v>241</v>
      </c>
      <c r="BB2157" s="4" t="s">
        <v>250</v>
      </c>
      <c r="BC2157" s="4" t="s">
        <v>241</v>
      </c>
      <c r="BD2157" s="4" t="s">
        <v>252</v>
      </c>
      <c r="BE2157" s="4" t="s">
        <v>241</v>
      </c>
      <c r="BI2157" s="4" t="s">
        <v>253</v>
      </c>
      <c r="BJ2157" s="5" t="s">
        <v>246</v>
      </c>
      <c r="BK2157" s="4" t="s">
        <v>254</v>
      </c>
      <c r="BL2157" s="4" t="s">
        <v>255</v>
      </c>
      <c r="BM2157" s="4" t="s">
        <v>241</v>
      </c>
      <c r="BN2157" s="6">
        <f>0</f>
        <v>0</v>
      </c>
      <c r="BO2157" s="6">
        <f>0</f>
        <v>0</v>
      </c>
      <c r="BP2157" s="4" t="s">
        <v>256</v>
      </c>
      <c r="BQ2157" s="4" t="s">
        <v>257</v>
      </c>
      <c r="CE2157" s="4" t="s">
        <v>241</v>
      </c>
      <c r="CF2157" s="4" t="s">
        <v>241</v>
      </c>
      <c r="CJ2157" s="4" t="s">
        <v>276</v>
      </c>
      <c r="CK2157" s="4" t="s">
        <v>259</v>
      </c>
      <c r="CL2157" s="4" t="s">
        <v>241</v>
      </c>
      <c r="CO2157" s="5" t="s">
        <v>260</v>
      </c>
      <c r="CP2157" s="4" t="s">
        <v>241</v>
      </c>
      <c r="CQ2157" s="4" t="s">
        <v>261</v>
      </c>
      <c r="CR2157" s="4" t="s">
        <v>241</v>
      </c>
      <c r="CS2157" s="4" t="s">
        <v>241</v>
      </c>
      <c r="CT2157" s="4">
        <v>0</v>
      </c>
      <c r="CU2157" s="4" t="s">
        <v>262</v>
      </c>
      <c r="CV2157" s="4" t="s">
        <v>263</v>
      </c>
      <c r="CW2157" s="4" t="s">
        <v>263</v>
      </c>
      <c r="CX2157" s="4" t="s">
        <v>264</v>
      </c>
      <c r="DA2157" s="6">
        <f>1</f>
        <v>1</v>
      </c>
      <c r="DC2157" s="4" t="s">
        <v>325</v>
      </c>
      <c r="DD2157" s="4" t="s">
        <v>241</v>
      </c>
      <c r="DF2157" s="4" t="s">
        <v>325</v>
      </c>
      <c r="DG2157" s="6">
        <f>936</f>
        <v>936</v>
      </c>
      <c r="DI2157" s="4" t="s">
        <v>241</v>
      </c>
      <c r="DJ2157" s="4" t="s">
        <v>241</v>
      </c>
      <c r="DK2157" s="4" t="s">
        <v>241</v>
      </c>
      <c r="DL2157" s="4" t="s">
        <v>241</v>
      </c>
      <c r="DP2157" s="4" t="s">
        <v>241</v>
      </c>
      <c r="DQ2157" s="4" t="s">
        <v>241</v>
      </c>
      <c r="DR2157" s="4" t="s">
        <v>241</v>
      </c>
      <c r="DS2157" s="4" t="s">
        <v>241</v>
      </c>
      <c r="DV2157" s="4" t="s">
        <v>426</v>
      </c>
      <c r="DW2157" s="4" t="s">
        <v>555</v>
      </c>
      <c r="HO2157" s="4" t="s">
        <v>267</v>
      </c>
    </row>
    <row r="2158" spans="1:223" ht="19.5" customHeight="1" x14ac:dyDescent="0.4">
      <c r="A2158" s="4">
        <v>1</v>
      </c>
      <c r="B2158" s="4" t="s">
        <v>239</v>
      </c>
      <c r="C2158" s="4">
        <v>3861</v>
      </c>
      <c r="D2158" s="4">
        <v>1</v>
      </c>
      <c r="E2158" s="4">
        <v>1</v>
      </c>
      <c r="F2158" s="4" t="s">
        <v>268</v>
      </c>
      <c r="G2158" s="4" t="s">
        <v>241</v>
      </c>
      <c r="H2158" s="4" t="s">
        <v>241</v>
      </c>
      <c r="I2158" s="4" t="s">
        <v>424</v>
      </c>
      <c r="J2158" s="4" t="s">
        <v>274</v>
      </c>
      <c r="K2158" s="4" t="s">
        <v>251</v>
      </c>
      <c r="L2158" s="4" t="s">
        <v>423</v>
      </c>
      <c r="M2158" s="5" t="s">
        <v>556</v>
      </c>
      <c r="N2158" s="6">
        <f>1091</f>
        <v>1091</v>
      </c>
      <c r="O2158" s="4" t="s">
        <v>265</v>
      </c>
      <c r="P2158" s="6">
        <f>1</f>
        <v>1</v>
      </c>
      <c r="Q2158" s="6">
        <f>0</f>
        <v>0</v>
      </c>
      <c r="S2158" s="6">
        <f>0</f>
        <v>0</v>
      </c>
      <c r="T2158" s="6">
        <f>1</f>
        <v>1</v>
      </c>
      <c r="U2158" s="5" t="s">
        <v>245</v>
      </c>
      <c r="V2158" s="4" t="s">
        <v>270</v>
      </c>
      <c r="W2158" s="4" t="s">
        <v>271</v>
      </c>
      <c r="X2158" s="4" t="s">
        <v>273</v>
      </c>
      <c r="Y2158" s="4" t="s">
        <v>241</v>
      </c>
      <c r="AB2158" s="4" t="s">
        <v>241</v>
      </c>
      <c r="AD2158" s="5" t="s">
        <v>241</v>
      </c>
      <c r="AG2158" s="5" t="s">
        <v>246</v>
      </c>
      <c r="AH2158" s="4" t="s">
        <v>241</v>
      </c>
      <c r="AI2158" s="4" t="s">
        <v>247</v>
      </c>
      <c r="AJ2158" s="4" t="s">
        <v>248</v>
      </c>
      <c r="AZ2158" s="4" t="s">
        <v>249</v>
      </c>
      <c r="BA2158" s="4" t="s">
        <v>241</v>
      </c>
      <c r="BB2158" s="4" t="s">
        <v>250</v>
      </c>
      <c r="BC2158" s="4" t="s">
        <v>241</v>
      </c>
      <c r="BD2158" s="4" t="s">
        <v>252</v>
      </c>
      <c r="BE2158" s="4" t="s">
        <v>241</v>
      </c>
      <c r="BI2158" s="4" t="s">
        <v>253</v>
      </c>
      <c r="BJ2158" s="5" t="s">
        <v>246</v>
      </c>
      <c r="BK2158" s="4" t="s">
        <v>254</v>
      </c>
      <c r="BL2158" s="4" t="s">
        <v>255</v>
      </c>
      <c r="BM2158" s="4" t="s">
        <v>241</v>
      </c>
      <c r="BN2158" s="6">
        <f>0</f>
        <v>0</v>
      </c>
      <c r="BO2158" s="6">
        <f>0</f>
        <v>0</v>
      </c>
      <c r="BP2158" s="4" t="s">
        <v>256</v>
      </c>
      <c r="BQ2158" s="4" t="s">
        <v>257</v>
      </c>
      <c r="CE2158" s="4" t="s">
        <v>241</v>
      </c>
      <c r="CF2158" s="4" t="s">
        <v>241</v>
      </c>
      <c r="CJ2158" s="4" t="s">
        <v>276</v>
      </c>
      <c r="CK2158" s="4" t="s">
        <v>259</v>
      </c>
      <c r="CL2158" s="4" t="s">
        <v>241</v>
      </c>
      <c r="CO2158" s="5" t="s">
        <v>260</v>
      </c>
      <c r="CP2158" s="4" t="s">
        <v>241</v>
      </c>
      <c r="CQ2158" s="4" t="s">
        <v>261</v>
      </c>
      <c r="CR2158" s="4" t="s">
        <v>241</v>
      </c>
      <c r="CS2158" s="4" t="s">
        <v>241</v>
      </c>
      <c r="CT2158" s="4">
        <v>0</v>
      </c>
      <c r="CU2158" s="4" t="s">
        <v>262</v>
      </c>
      <c r="CV2158" s="4" t="s">
        <v>263</v>
      </c>
      <c r="CW2158" s="4" t="s">
        <v>263</v>
      </c>
      <c r="CX2158" s="4" t="s">
        <v>264</v>
      </c>
      <c r="DA2158" s="6">
        <f>1</f>
        <v>1</v>
      </c>
      <c r="DC2158" s="4" t="s">
        <v>325</v>
      </c>
      <c r="DD2158" s="4" t="s">
        <v>241</v>
      </c>
      <c r="DF2158" s="4" t="s">
        <v>325</v>
      </c>
      <c r="DG2158" s="6">
        <f>1091</f>
        <v>1091</v>
      </c>
      <c r="DI2158" s="4" t="s">
        <v>241</v>
      </c>
      <c r="DJ2158" s="4" t="s">
        <v>241</v>
      </c>
      <c r="DK2158" s="4" t="s">
        <v>241</v>
      </c>
      <c r="DL2158" s="4" t="s">
        <v>241</v>
      </c>
      <c r="DP2158" s="4" t="s">
        <v>241</v>
      </c>
      <c r="DQ2158" s="4" t="s">
        <v>241</v>
      </c>
      <c r="DR2158" s="4" t="s">
        <v>241</v>
      </c>
      <c r="DS2158" s="4" t="s">
        <v>241</v>
      </c>
      <c r="DV2158" s="4" t="s">
        <v>426</v>
      </c>
      <c r="DW2158" s="4" t="s">
        <v>557</v>
      </c>
      <c r="HO2158" s="4" t="s">
        <v>267</v>
      </c>
    </row>
    <row r="2159" spans="1:223" ht="19.5" customHeight="1" x14ac:dyDescent="0.4">
      <c r="A2159" s="4">
        <v>1</v>
      </c>
      <c r="B2159" s="4" t="s">
        <v>239</v>
      </c>
      <c r="C2159" s="4">
        <v>3862</v>
      </c>
      <c r="D2159" s="4">
        <v>1</v>
      </c>
      <c r="E2159" s="4">
        <v>1</v>
      </c>
      <c r="F2159" s="4" t="s">
        <v>268</v>
      </c>
      <c r="G2159" s="4" t="s">
        <v>241</v>
      </c>
      <c r="H2159" s="4" t="s">
        <v>241</v>
      </c>
      <c r="I2159" s="4" t="s">
        <v>424</v>
      </c>
      <c r="J2159" s="4" t="s">
        <v>274</v>
      </c>
      <c r="K2159" s="4" t="s">
        <v>251</v>
      </c>
      <c r="L2159" s="4" t="s">
        <v>423</v>
      </c>
      <c r="M2159" s="5" t="s">
        <v>562</v>
      </c>
      <c r="N2159" s="6">
        <f>824</f>
        <v>824</v>
      </c>
      <c r="O2159" s="4" t="s">
        <v>265</v>
      </c>
      <c r="P2159" s="6">
        <f>1</f>
        <v>1</v>
      </c>
      <c r="Q2159" s="6">
        <f>0</f>
        <v>0</v>
      </c>
      <c r="S2159" s="6">
        <f>0</f>
        <v>0</v>
      </c>
      <c r="T2159" s="6">
        <f>1</f>
        <v>1</v>
      </c>
      <c r="U2159" s="5" t="s">
        <v>245</v>
      </c>
      <c r="V2159" s="4" t="s">
        <v>270</v>
      </c>
      <c r="W2159" s="4" t="s">
        <v>271</v>
      </c>
      <c r="X2159" s="4" t="s">
        <v>273</v>
      </c>
      <c r="Y2159" s="4" t="s">
        <v>241</v>
      </c>
      <c r="AB2159" s="4" t="s">
        <v>241</v>
      </c>
      <c r="AD2159" s="5" t="s">
        <v>241</v>
      </c>
      <c r="AG2159" s="5" t="s">
        <v>246</v>
      </c>
      <c r="AH2159" s="4" t="s">
        <v>241</v>
      </c>
      <c r="AI2159" s="4" t="s">
        <v>247</v>
      </c>
      <c r="AJ2159" s="4" t="s">
        <v>248</v>
      </c>
      <c r="AZ2159" s="4" t="s">
        <v>249</v>
      </c>
      <c r="BA2159" s="4" t="s">
        <v>241</v>
      </c>
      <c r="BB2159" s="4" t="s">
        <v>250</v>
      </c>
      <c r="BC2159" s="4" t="s">
        <v>241</v>
      </c>
      <c r="BD2159" s="4" t="s">
        <v>252</v>
      </c>
      <c r="BE2159" s="4" t="s">
        <v>241</v>
      </c>
      <c r="BI2159" s="4" t="s">
        <v>253</v>
      </c>
      <c r="BJ2159" s="5" t="s">
        <v>246</v>
      </c>
      <c r="BK2159" s="4" t="s">
        <v>254</v>
      </c>
      <c r="BL2159" s="4" t="s">
        <v>255</v>
      </c>
      <c r="BM2159" s="4" t="s">
        <v>241</v>
      </c>
      <c r="BN2159" s="6">
        <f>0</f>
        <v>0</v>
      </c>
      <c r="BO2159" s="6">
        <f>0</f>
        <v>0</v>
      </c>
      <c r="BP2159" s="4" t="s">
        <v>256</v>
      </c>
      <c r="BQ2159" s="4" t="s">
        <v>257</v>
      </c>
      <c r="CE2159" s="4" t="s">
        <v>241</v>
      </c>
      <c r="CF2159" s="4" t="s">
        <v>241</v>
      </c>
      <c r="CJ2159" s="4" t="s">
        <v>276</v>
      </c>
      <c r="CK2159" s="4" t="s">
        <v>259</v>
      </c>
      <c r="CL2159" s="4" t="s">
        <v>241</v>
      </c>
      <c r="CO2159" s="5" t="s">
        <v>260</v>
      </c>
      <c r="CP2159" s="4" t="s">
        <v>241</v>
      </c>
      <c r="CQ2159" s="4" t="s">
        <v>261</v>
      </c>
      <c r="CR2159" s="4" t="s">
        <v>241</v>
      </c>
      <c r="CS2159" s="4" t="s">
        <v>241</v>
      </c>
      <c r="CT2159" s="4">
        <v>0</v>
      </c>
      <c r="CU2159" s="4" t="s">
        <v>262</v>
      </c>
      <c r="CV2159" s="4" t="s">
        <v>263</v>
      </c>
      <c r="CW2159" s="4" t="s">
        <v>263</v>
      </c>
      <c r="CX2159" s="4" t="s">
        <v>264</v>
      </c>
      <c r="DA2159" s="6">
        <f>1</f>
        <v>1</v>
      </c>
      <c r="DC2159" s="4" t="s">
        <v>325</v>
      </c>
      <c r="DD2159" s="4" t="s">
        <v>241</v>
      </c>
      <c r="DF2159" s="4" t="s">
        <v>325</v>
      </c>
      <c r="DG2159" s="6">
        <f>824</f>
        <v>824</v>
      </c>
      <c r="DI2159" s="4" t="s">
        <v>241</v>
      </c>
      <c r="DJ2159" s="4" t="s">
        <v>241</v>
      </c>
      <c r="DK2159" s="4" t="s">
        <v>241</v>
      </c>
      <c r="DL2159" s="4" t="s">
        <v>241</v>
      </c>
      <c r="DP2159" s="4" t="s">
        <v>241</v>
      </c>
      <c r="DQ2159" s="4" t="s">
        <v>241</v>
      </c>
      <c r="DR2159" s="4" t="s">
        <v>241</v>
      </c>
      <c r="DS2159" s="4" t="s">
        <v>241</v>
      </c>
      <c r="DV2159" s="4" t="s">
        <v>426</v>
      </c>
      <c r="DW2159" s="4" t="s">
        <v>563</v>
      </c>
      <c r="HO2159" s="4" t="s">
        <v>267</v>
      </c>
    </row>
    <row r="2160" spans="1:223" ht="19.5" customHeight="1" x14ac:dyDescent="0.4">
      <c r="A2160" s="4">
        <v>1</v>
      </c>
      <c r="B2160" s="4" t="s">
        <v>239</v>
      </c>
      <c r="C2160" s="4">
        <v>3863</v>
      </c>
      <c r="D2160" s="4">
        <v>1</v>
      </c>
      <c r="E2160" s="4">
        <v>1</v>
      </c>
      <c r="F2160" s="4" t="s">
        <v>268</v>
      </c>
      <c r="G2160" s="4" t="s">
        <v>241</v>
      </c>
      <c r="H2160" s="4" t="s">
        <v>241</v>
      </c>
      <c r="I2160" s="4" t="s">
        <v>424</v>
      </c>
      <c r="J2160" s="4" t="s">
        <v>274</v>
      </c>
      <c r="K2160" s="4" t="s">
        <v>251</v>
      </c>
      <c r="L2160" s="4" t="s">
        <v>423</v>
      </c>
      <c r="M2160" s="5" t="s">
        <v>564</v>
      </c>
      <c r="N2160" s="6">
        <f>269</f>
        <v>269</v>
      </c>
      <c r="O2160" s="4" t="s">
        <v>265</v>
      </c>
      <c r="P2160" s="6">
        <f>1</f>
        <v>1</v>
      </c>
      <c r="Q2160" s="6">
        <f>0</f>
        <v>0</v>
      </c>
      <c r="S2160" s="6">
        <f>0</f>
        <v>0</v>
      </c>
      <c r="T2160" s="6">
        <f>1</f>
        <v>1</v>
      </c>
      <c r="U2160" s="5" t="s">
        <v>245</v>
      </c>
      <c r="V2160" s="4" t="s">
        <v>270</v>
      </c>
      <c r="W2160" s="4" t="s">
        <v>271</v>
      </c>
      <c r="X2160" s="4" t="s">
        <v>273</v>
      </c>
      <c r="Y2160" s="4" t="s">
        <v>241</v>
      </c>
      <c r="AB2160" s="4" t="s">
        <v>241</v>
      </c>
      <c r="AD2160" s="5" t="s">
        <v>241</v>
      </c>
      <c r="AG2160" s="5" t="s">
        <v>246</v>
      </c>
      <c r="AH2160" s="4" t="s">
        <v>241</v>
      </c>
      <c r="AI2160" s="4" t="s">
        <v>247</v>
      </c>
      <c r="AJ2160" s="4" t="s">
        <v>248</v>
      </c>
      <c r="AZ2160" s="4" t="s">
        <v>249</v>
      </c>
      <c r="BA2160" s="4" t="s">
        <v>241</v>
      </c>
      <c r="BB2160" s="4" t="s">
        <v>250</v>
      </c>
      <c r="BC2160" s="4" t="s">
        <v>241</v>
      </c>
      <c r="BD2160" s="4" t="s">
        <v>252</v>
      </c>
      <c r="BE2160" s="4" t="s">
        <v>241</v>
      </c>
      <c r="BI2160" s="4" t="s">
        <v>253</v>
      </c>
      <c r="BJ2160" s="5" t="s">
        <v>246</v>
      </c>
      <c r="BK2160" s="4" t="s">
        <v>254</v>
      </c>
      <c r="BL2160" s="4" t="s">
        <v>255</v>
      </c>
      <c r="BM2160" s="4" t="s">
        <v>241</v>
      </c>
      <c r="BN2160" s="6">
        <f>0</f>
        <v>0</v>
      </c>
      <c r="BO2160" s="6">
        <f>0</f>
        <v>0</v>
      </c>
      <c r="BP2160" s="4" t="s">
        <v>256</v>
      </c>
      <c r="BQ2160" s="4" t="s">
        <v>257</v>
      </c>
      <c r="CE2160" s="4" t="s">
        <v>241</v>
      </c>
      <c r="CF2160" s="4" t="s">
        <v>241</v>
      </c>
      <c r="CJ2160" s="4" t="s">
        <v>276</v>
      </c>
      <c r="CK2160" s="4" t="s">
        <v>259</v>
      </c>
      <c r="CL2160" s="4" t="s">
        <v>241</v>
      </c>
      <c r="CO2160" s="5" t="s">
        <v>260</v>
      </c>
      <c r="CP2160" s="4" t="s">
        <v>241</v>
      </c>
      <c r="CQ2160" s="4" t="s">
        <v>261</v>
      </c>
      <c r="CR2160" s="4" t="s">
        <v>241</v>
      </c>
      <c r="CS2160" s="4" t="s">
        <v>241</v>
      </c>
      <c r="CT2160" s="4">
        <v>0</v>
      </c>
      <c r="CU2160" s="4" t="s">
        <v>262</v>
      </c>
      <c r="CV2160" s="4" t="s">
        <v>263</v>
      </c>
      <c r="CW2160" s="4" t="s">
        <v>263</v>
      </c>
      <c r="CX2160" s="4" t="s">
        <v>264</v>
      </c>
      <c r="DA2160" s="6">
        <f>1</f>
        <v>1</v>
      </c>
      <c r="DC2160" s="4" t="s">
        <v>325</v>
      </c>
      <c r="DD2160" s="4" t="s">
        <v>241</v>
      </c>
      <c r="DF2160" s="4" t="s">
        <v>325</v>
      </c>
      <c r="DG2160" s="6">
        <f>269</f>
        <v>269</v>
      </c>
      <c r="DI2160" s="4" t="s">
        <v>241</v>
      </c>
      <c r="DJ2160" s="4" t="s">
        <v>241</v>
      </c>
      <c r="DK2160" s="4" t="s">
        <v>241</v>
      </c>
      <c r="DL2160" s="4" t="s">
        <v>241</v>
      </c>
      <c r="DP2160" s="4" t="s">
        <v>241</v>
      </c>
      <c r="DQ2160" s="4" t="s">
        <v>241</v>
      </c>
      <c r="DR2160" s="4" t="s">
        <v>241</v>
      </c>
      <c r="DS2160" s="4" t="s">
        <v>241</v>
      </c>
      <c r="DV2160" s="4" t="s">
        <v>426</v>
      </c>
      <c r="DW2160" s="4" t="s">
        <v>565</v>
      </c>
      <c r="HO2160" s="4" t="s">
        <v>267</v>
      </c>
    </row>
    <row r="2161" spans="1:223" ht="19.5" customHeight="1" x14ac:dyDescent="0.4">
      <c r="A2161" s="4">
        <v>1</v>
      </c>
      <c r="B2161" s="4" t="s">
        <v>239</v>
      </c>
      <c r="C2161" s="4">
        <v>3864</v>
      </c>
      <c r="D2161" s="4">
        <v>1</v>
      </c>
      <c r="E2161" s="4">
        <v>1</v>
      </c>
      <c r="F2161" s="4" t="s">
        <v>268</v>
      </c>
      <c r="G2161" s="4" t="s">
        <v>241</v>
      </c>
      <c r="H2161" s="4" t="s">
        <v>241</v>
      </c>
      <c r="I2161" s="4" t="s">
        <v>424</v>
      </c>
      <c r="J2161" s="4" t="s">
        <v>274</v>
      </c>
      <c r="K2161" s="4" t="s">
        <v>251</v>
      </c>
      <c r="L2161" s="4" t="s">
        <v>423</v>
      </c>
      <c r="M2161" s="5" t="s">
        <v>566</v>
      </c>
      <c r="N2161" s="6">
        <f>888</f>
        <v>888</v>
      </c>
      <c r="O2161" s="4" t="s">
        <v>265</v>
      </c>
      <c r="P2161" s="6">
        <f>1</f>
        <v>1</v>
      </c>
      <c r="Q2161" s="6">
        <f>0</f>
        <v>0</v>
      </c>
      <c r="S2161" s="6">
        <f>0</f>
        <v>0</v>
      </c>
      <c r="T2161" s="6">
        <f>1</f>
        <v>1</v>
      </c>
      <c r="U2161" s="5" t="s">
        <v>245</v>
      </c>
      <c r="V2161" s="4" t="s">
        <v>270</v>
      </c>
      <c r="W2161" s="4" t="s">
        <v>271</v>
      </c>
      <c r="X2161" s="4" t="s">
        <v>273</v>
      </c>
      <c r="Y2161" s="4" t="s">
        <v>241</v>
      </c>
      <c r="AB2161" s="4" t="s">
        <v>241</v>
      </c>
      <c r="AD2161" s="5" t="s">
        <v>241</v>
      </c>
      <c r="AG2161" s="5" t="s">
        <v>246</v>
      </c>
      <c r="AH2161" s="4" t="s">
        <v>241</v>
      </c>
      <c r="AI2161" s="4" t="s">
        <v>247</v>
      </c>
      <c r="AJ2161" s="4" t="s">
        <v>248</v>
      </c>
      <c r="AZ2161" s="4" t="s">
        <v>249</v>
      </c>
      <c r="BA2161" s="4" t="s">
        <v>241</v>
      </c>
      <c r="BB2161" s="4" t="s">
        <v>250</v>
      </c>
      <c r="BC2161" s="4" t="s">
        <v>241</v>
      </c>
      <c r="BD2161" s="4" t="s">
        <v>252</v>
      </c>
      <c r="BE2161" s="4" t="s">
        <v>241</v>
      </c>
      <c r="BI2161" s="4" t="s">
        <v>253</v>
      </c>
      <c r="BJ2161" s="5" t="s">
        <v>246</v>
      </c>
      <c r="BK2161" s="4" t="s">
        <v>254</v>
      </c>
      <c r="BL2161" s="4" t="s">
        <v>255</v>
      </c>
      <c r="BM2161" s="4" t="s">
        <v>241</v>
      </c>
      <c r="BN2161" s="6">
        <f>0</f>
        <v>0</v>
      </c>
      <c r="BO2161" s="6">
        <f>0</f>
        <v>0</v>
      </c>
      <c r="BP2161" s="4" t="s">
        <v>256</v>
      </c>
      <c r="BQ2161" s="4" t="s">
        <v>257</v>
      </c>
      <c r="CE2161" s="4" t="s">
        <v>241</v>
      </c>
      <c r="CF2161" s="4" t="s">
        <v>241</v>
      </c>
      <c r="CJ2161" s="4" t="s">
        <v>276</v>
      </c>
      <c r="CK2161" s="4" t="s">
        <v>259</v>
      </c>
      <c r="CL2161" s="4" t="s">
        <v>241</v>
      </c>
      <c r="CO2161" s="5" t="s">
        <v>260</v>
      </c>
      <c r="CP2161" s="4" t="s">
        <v>241</v>
      </c>
      <c r="CQ2161" s="4" t="s">
        <v>261</v>
      </c>
      <c r="CR2161" s="4" t="s">
        <v>241</v>
      </c>
      <c r="CS2161" s="4" t="s">
        <v>241</v>
      </c>
      <c r="CT2161" s="4">
        <v>0</v>
      </c>
      <c r="CU2161" s="4" t="s">
        <v>262</v>
      </c>
      <c r="CV2161" s="4" t="s">
        <v>263</v>
      </c>
      <c r="CW2161" s="4" t="s">
        <v>263</v>
      </c>
      <c r="CX2161" s="4" t="s">
        <v>264</v>
      </c>
      <c r="DA2161" s="6">
        <f>1</f>
        <v>1</v>
      </c>
      <c r="DC2161" s="4" t="s">
        <v>325</v>
      </c>
      <c r="DD2161" s="4" t="s">
        <v>241</v>
      </c>
      <c r="DF2161" s="4" t="s">
        <v>325</v>
      </c>
      <c r="DG2161" s="6">
        <f>888</f>
        <v>888</v>
      </c>
      <c r="DI2161" s="4" t="s">
        <v>241</v>
      </c>
      <c r="DJ2161" s="4" t="s">
        <v>241</v>
      </c>
      <c r="DK2161" s="4" t="s">
        <v>241</v>
      </c>
      <c r="DL2161" s="4" t="s">
        <v>241</v>
      </c>
      <c r="DP2161" s="4" t="s">
        <v>241</v>
      </c>
      <c r="DQ2161" s="4" t="s">
        <v>241</v>
      </c>
      <c r="DR2161" s="4" t="s">
        <v>241</v>
      </c>
      <c r="DS2161" s="4" t="s">
        <v>241</v>
      </c>
      <c r="DV2161" s="4" t="s">
        <v>426</v>
      </c>
      <c r="DW2161" s="4" t="s">
        <v>567</v>
      </c>
      <c r="HO2161" s="4" t="s">
        <v>267</v>
      </c>
    </row>
    <row r="2162" spans="1:223" ht="19.5" customHeight="1" x14ac:dyDescent="0.4">
      <c r="A2162" s="4">
        <v>1</v>
      </c>
      <c r="B2162" s="4" t="s">
        <v>239</v>
      </c>
      <c r="C2162" s="4">
        <v>3865</v>
      </c>
      <c r="D2162" s="4">
        <v>1</v>
      </c>
      <c r="E2162" s="4">
        <v>1</v>
      </c>
      <c r="F2162" s="4" t="s">
        <v>268</v>
      </c>
      <c r="G2162" s="4" t="s">
        <v>241</v>
      </c>
      <c r="H2162" s="4" t="s">
        <v>241</v>
      </c>
      <c r="I2162" s="4" t="s">
        <v>424</v>
      </c>
      <c r="J2162" s="4" t="s">
        <v>274</v>
      </c>
      <c r="K2162" s="4" t="s">
        <v>251</v>
      </c>
      <c r="L2162" s="4" t="s">
        <v>423</v>
      </c>
      <c r="M2162" s="5" t="s">
        <v>570</v>
      </c>
      <c r="N2162" s="6">
        <f>1978</f>
        <v>1978</v>
      </c>
      <c r="O2162" s="4" t="s">
        <v>265</v>
      </c>
      <c r="P2162" s="6">
        <f>1</f>
        <v>1</v>
      </c>
      <c r="Q2162" s="6">
        <f>0</f>
        <v>0</v>
      </c>
      <c r="S2162" s="6">
        <f>0</f>
        <v>0</v>
      </c>
      <c r="T2162" s="6">
        <f>1</f>
        <v>1</v>
      </c>
      <c r="U2162" s="5" t="s">
        <v>245</v>
      </c>
      <c r="V2162" s="4" t="s">
        <v>270</v>
      </c>
      <c r="W2162" s="4" t="s">
        <v>271</v>
      </c>
      <c r="X2162" s="4" t="s">
        <v>273</v>
      </c>
      <c r="Y2162" s="4" t="s">
        <v>241</v>
      </c>
      <c r="AB2162" s="4" t="s">
        <v>241</v>
      </c>
      <c r="AD2162" s="5" t="s">
        <v>241</v>
      </c>
      <c r="AG2162" s="5" t="s">
        <v>246</v>
      </c>
      <c r="AH2162" s="4" t="s">
        <v>241</v>
      </c>
      <c r="AI2162" s="4" t="s">
        <v>247</v>
      </c>
      <c r="AJ2162" s="4" t="s">
        <v>248</v>
      </c>
      <c r="AZ2162" s="4" t="s">
        <v>249</v>
      </c>
      <c r="BA2162" s="4" t="s">
        <v>241</v>
      </c>
      <c r="BB2162" s="4" t="s">
        <v>250</v>
      </c>
      <c r="BC2162" s="4" t="s">
        <v>241</v>
      </c>
      <c r="BD2162" s="4" t="s">
        <v>252</v>
      </c>
      <c r="BE2162" s="4" t="s">
        <v>241</v>
      </c>
      <c r="BI2162" s="4" t="s">
        <v>253</v>
      </c>
      <c r="BJ2162" s="5" t="s">
        <v>246</v>
      </c>
      <c r="BK2162" s="4" t="s">
        <v>254</v>
      </c>
      <c r="BL2162" s="4" t="s">
        <v>255</v>
      </c>
      <c r="BM2162" s="4" t="s">
        <v>241</v>
      </c>
      <c r="BN2162" s="6">
        <f>0</f>
        <v>0</v>
      </c>
      <c r="BO2162" s="6">
        <f>0</f>
        <v>0</v>
      </c>
      <c r="BP2162" s="4" t="s">
        <v>256</v>
      </c>
      <c r="BQ2162" s="4" t="s">
        <v>257</v>
      </c>
      <c r="CE2162" s="4" t="s">
        <v>241</v>
      </c>
      <c r="CF2162" s="4" t="s">
        <v>241</v>
      </c>
      <c r="CJ2162" s="4" t="s">
        <v>276</v>
      </c>
      <c r="CK2162" s="4" t="s">
        <v>259</v>
      </c>
      <c r="CL2162" s="4" t="s">
        <v>241</v>
      </c>
      <c r="CO2162" s="5" t="s">
        <v>260</v>
      </c>
      <c r="CP2162" s="4" t="s">
        <v>241</v>
      </c>
      <c r="CQ2162" s="4" t="s">
        <v>261</v>
      </c>
      <c r="CR2162" s="4" t="s">
        <v>241</v>
      </c>
      <c r="CS2162" s="4" t="s">
        <v>241</v>
      </c>
      <c r="CT2162" s="4">
        <v>0</v>
      </c>
      <c r="CU2162" s="4" t="s">
        <v>262</v>
      </c>
      <c r="CV2162" s="4" t="s">
        <v>263</v>
      </c>
      <c r="CW2162" s="4" t="s">
        <v>263</v>
      </c>
      <c r="CX2162" s="4" t="s">
        <v>264</v>
      </c>
      <c r="DA2162" s="6">
        <f>1</f>
        <v>1</v>
      </c>
      <c r="DC2162" s="4" t="s">
        <v>325</v>
      </c>
      <c r="DD2162" s="4" t="s">
        <v>241</v>
      </c>
      <c r="DF2162" s="4" t="s">
        <v>325</v>
      </c>
      <c r="DG2162" s="6">
        <f>1978</f>
        <v>1978</v>
      </c>
      <c r="DI2162" s="4" t="s">
        <v>241</v>
      </c>
      <c r="DJ2162" s="4" t="s">
        <v>241</v>
      </c>
      <c r="DK2162" s="4" t="s">
        <v>241</v>
      </c>
      <c r="DL2162" s="4" t="s">
        <v>241</v>
      </c>
      <c r="DP2162" s="4" t="s">
        <v>241</v>
      </c>
      <c r="DQ2162" s="4" t="s">
        <v>241</v>
      </c>
      <c r="DR2162" s="4" t="s">
        <v>241</v>
      </c>
      <c r="DS2162" s="4" t="s">
        <v>241</v>
      </c>
      <c r="DV2162" s="4" t="s">
        <v>426</v>
      </c>
      <c r="DW2162" s="4" t="s">
        <v>571</v>
      </c>
      <c r="HO2162" s="4" t="s">
        <v>267</v>
      </c>
    </row>
    <row r="2163" spans="1:223" ht="19.5" customHeight="1" x14ac:dyDescent="0.4">
      <c r="A2163" s="4">
        <v>1</v>
      </c>
      <c r="B2163" s="4" t="s">
        <v>239</v>
      </c>
      <c r="C2163" s="4">
        <v>3866</v>
      </c>
      <c r="D2163" s="4">
        <v>1</v>
      </c>
      <c r="E2163" s="4">
        <v>1</v>
      </c>
      <c r="F2163" s="4" t="s">
        <v>268</v>
      </c>
      <c r="G2163" s="4" t="s">
        <v>241</v>
      </c>
      <c r="H2163" s="4" t="s">
        <v>241</v>
      </c>
      <c r="I2163" s="4" t="s">
        <v>424</v>
      </c>
      <c r="J2163" s="4" t="s">
        <v>274</v>
      </c>
      <c r="K2163" s="4" t="s">
        <v>251</v>
      </c>
      <c r="L2163" s="4" t="s">
        <v>423</v>
      </c>
      <c r="M2163" s="5" t="s">
        <v>576</v>
      </c>
      <c r="N2163" s="6">
        <f>73</f>
        <v>73</v>
      </c>
      <c r="O2163" s="4" t="s">
        <v>265</v>
      </c>
      <c r="P2163" s="6">
        <f>1</f>
        <v>1</v>
      </c>
      <c r="Q2163" s="6">
        <f>0</f>
        <v>0</v>
      </c>
      <c r="S2163" s="6">
        <f>0</f>
        <v>0</v>
      </c>
      <c r="T2163" s="6">
        <f>1</f>
        <v>1</v>
      </c>
      <c r="U2163" s="5" t="s">
        <v>245</v>
      </c>
      <c r="V2163" s="4" t="s">
        <v>270</v>
      </c>
      <c r="W2163" s="4" t="s">
        <v>271</v>
      </c>
      <c r="X2163" s="4" t="s">
        <v>273</v>
      </c>
      <c r="Y2163" s="4" t="s">
        <v>241</v>
      </c>
      <c r="AB2163" s="4" t="s">
        <v>241</v>
      </c>
      <c r="AD2163" s="5" t="s">
        <v>241</v>
      </c>
      <c r="AG2163" s="5" t="s">
        <v>246</v>
      </c>
      <c r="AH2163" s="4" t="s">
        <v>241</v>
      </c>
      <c r="AI2163" s="4" t="s">
        <v>247</v>
      </c>
      <c r="AJ2163" s="4" t="s">
        <v>248</v>
      </c>
      <c r="AZ2163" s="4" t="s">
        <v>249</v>
      </c>
      <c r="BA2163" s="4" t="s">
        <v>241</v>
      </c>
      <c r="BB2163" s="4" t="s">
        <v>250</v>
      </c>
      <c r="BC2163" s="4" t="s">
        <v>241</v>
      </c>
      <c r="BD2163" s="4" t="s">
        <v>252</v>
      </c>
      <c r="BE2163" s="4" t="s">
        <v>241</v>
      </c>
      <c r="BI2163" s="4" t="s">
        <v>253</v>
      </c>
      <c r="BJ2163" s="5" t="s">
        <v>246</v>
      </c>
      <c r="BK2163" s="4" t="s">
        <v>254</v>
      </c>
      <c r="BL2163" s="4" t="s">
        <v>255</v>
      </c>
      <c r="BM2163" s="4" t="s">
        <v>241</v>
      </c>
      <c r="BN2163" s="6">
        <f>0</f>
        <v>0</v>
      </c>
      <c r="BO2163" s="6">
        <f>0</f>
        <v>0</v>
      </c>
      <c r="BP2163" s="4" t="s">
        <v>256</v>
      </c>
      <c r="BQ2163" s="4" t="s">
        <v>257</v>
      </c>
      <c r="CE2163" s="4" t="s">
        <v>241</v>
      </c>
      <c r="CF2163" s="4" t="s">
        <v>241</v>
      </c>
      <c r="CJ2163" s="4" t="s">
        <v>276</v>
      </c>
      <c r="CK2163" s="4" t="s">
        <v>259</v>
      </c>
      <c r="CL2163" s="4" t="s">
        <v>241</v>
      </c>
      <c r="CO2163" s="5" t="s">
        <v>260</v>
      </c>
      <c r="CP2163" s="4" t="s">
        <v>241</v>
      </c>
      <c r="CQ2163" s="4" t="s">
        <v>261</v>
      </c>
      <c r="CR2163" s="4" t="s">
        <v>241</v>
      </c>
      <c r="CS2163" s="4" t="s">
        <v>241</v>
      </c>
      <c r="CT2163" s="4">
        <v>0</v>
      </c>
      <c r="CU2163" s="4" t="s">
        <v>262</v>
      </c>
      <c r="CV2163" s="4" t="s">
        <v>263</v>
      </c>
      <c r="CW2163" s="4" t="s">
        <v>263</v>
      </c>
      <c r="CX2163" s="4" t="s">
        <v>264</v>
      </c>
      <c r="DA2163" s="6">
        <f>1</f>
        <v>1</v>
      </c>
      <c r="DC2163" s="4" t="s">
        <v>325</v>
      </c>
      <c r="DD2163" s="4" t="s">
        <v>241</v>
      </c>
      <c r="DF2163" s="4" t="s">
        <v>325</v>
      </c>
      <c r="DG2163" s="6">
        <f>73</f>
        <v>73</v>
      </c>
      <c r="DI2163" s="4" t="s">
        <v>241</v>
      </c>
      <c r="DJ2163" s="4" t="s">
        <v>241</v>
      </c>
      <c r="DK2163" s="4" t="s">
        <v>241</v>
      </c>
      <c r="DL2163" s="4" t="s">
        <v>241</v>
      </c>
      <c r="DP2163" s="4" t="s">
        <v>241</v>
      </c>
      <c r="DQ2163" s="4" t="s">
        <v>241</v>
      </c>
      <c r="DR2163" s="4" t="s">
        <v>241</v>
      </c>
      <c r="DS2163" s="4" t="s">
        <v>241</v>
      </c>
      <c r="DV2163" s="4" t="s">
        <v>426</v>
      </c>
      <c r="DW2163" s="4" t="s">
        <v>577</v>
      </c>
      <c r="HO2163" s="4" t="s">
        <v>267</v>
      </c>
    </row>
    <row r="2164" spans="1:223" ht="19.5" customHeight="1" x14ac:dyDescent="0.4">
      <c r="A2164" s="4">
        <v>1</v>
      </c>
      <c r="B2164" s="4" t="s">
        <v>239</v>
      </c>
      <c r="C2164" s="4">
        <v>3867</v>
      </c>
      <c r="D2164" s="4">
        <v>1</v>
      </c>
      <c r="E2164" s="4">
        <v>1</v>
      </c>
      <c r="F2164" s="4" t="s">
        <v>268</v>
      </c>
      <c r="G2164" s="4" t="s">
        <v>241</v>
      </c>
      <c r="H2164" s="4" t="s">
        <v>241</v>
      </c>
      <c r="I2164" s="4" t="s">
        <v>424</v>
      </c>
      <c r="J2164" s="4" t="s">
        <v>274</v>
      </c>
      <c r="K2164" s="4" t="s">
        <v>251</v>
      </c>
      <c r="L2164" s="4" t="s">
        <v>423</v>
      </c>
      <c r="M2164" s="5" t="s">
        <v>580</v>
      </c>
      <c r="N2164" s="6">
        <f>514</f>
        <v>514</v>
      </c>
      <c r="O2164" s="4" t="s">
        <v>265</v>
      </c>
      <c r="P2164" s="6">
        <f>1</f>
        <v>1</v>
      </c>
      <c r="Q2164" s="6">
        <f>0</f>
        <v>0</v>
      </c>
      <c r="S2164" s="6">
        <f>0</f>
        <v>0</v>
      </c>
      <c r="T2164" s="6">
        <f>1</f>
        <v>1</v>
      </c>
      <c r="U2164" s="5" t="s">
        <v>245</v>
      </c>
      <c r="V2164" s="4" t="s">
        <v>270</v>
      </c>
      <c r="W2164" s="4" t="s">
        <v>271</v>
      </c>
      <c r="X2164" s="4" t="s">
        <v>273</v>
      </c>
      <c r="Y2164" s="4" t="s">
        <v>241</v>
      </c>
      <c r="AB2164" s="4" t="s">
        <v>241</v>
      </c>
      <c r="AD2164" s="5" t="s">
        <v>241</v>
      </c>
      <c r="AG2164" s="5" t="s">
        <v>246</v>
      </c>
      <c r="AH2164" s="4" t="s">
        <v>241</v>
      </c>
      <c r="AI2164" s="4" t="s">
        <v>247</v>
      </c>
      <c r="AJ2164" s="4" t="s">
        <v>248</v>
      </c>
      <c r="AZ2164" s="4" t="s">
        <v>249</v>
      </c>
      <c r="BA2164" s="4" t="s">
        <v>241</v>
      </c>
      <c r="BB2164" s="4" t="s">
        <v>250</v>
      </c>
      <c r="BC2164" s="4" t="s">
        <v>241</v>
      </c>
      <c r="BD2164" s="4" t="s">
        <v>252</v>
      </c>
      <c r="BE2164" s="4" t="s">
        <v>241</v>
      </c>
      <c r="BI2164" s="4" t="s">
        <v>253</v>
      </c>
      <c r="BJ2164" s="5" t="s">
        <v>246</v>
      </c>
      <c r="BK2164" s="4" t="s">
        <v>254</v>
      </c>
      <c r="BL2164" s="4" t="s">
        <v>255</v>
      </c>
      <c r="BM2164" s="4" t="s">
        <v>241</v>
      </c>
      <c r="BN2164" s="6">
        <f>0</f>
        <v>0</v>
      </c>
      <c r="BO2164" s="6">
        <f>0</f>
        <v>0</v>
      </c>
      <c r="BP2164" s="4" t="s">
        <v>256</v>
      </c>
      <c r="BQ2164" s="4" t="s">
        <v>257</v>
      </c>
      <c r="CE2164" s="4" t="s">
        <v>241</v>
      </c>
      <c r="CF2164" s="4" t="s">
        <v>241</v>
      </c>
      <c r="CJ2164" s="4" t="s">
        <v>276</v>
      </c>
      <c r="CK2164" s="4" t="s">
        <v>259</v>
      </c>
      <c r="CL2164" s="4" t="s">
        <v>241</v>
      </c>
      <c r="CO2164" s="5" t="s">
        <v>260</v>
      </c>
      <c r="CP2164" s="4" t="s">
        <v>241</v>
      </c>
      <c r="CQ2164" s="4" t="s">
        <v>261</v>
      </c>
      <c r="CR2164" s="4" t="s">
        <v>241</v>
      </c>
      <c r="CS2164" s="4" t="s">
        <v>241</v>
      </c>
      <c r="CT2164" s="4">
        <v>0</v>
      </c>
      <c r="CU2164" s="4" t="s">
        <v>262</v>
      </c>
      <c r="CV2164" s="4" t="s">
        <v>263</v>
      </c>
      <c r="CW2164" s="4" t="s">
        <v>263</v>
      </c>
      <c r="CX2164" s="4" t="s">
        <v>264</v>
      </c>
      <c r="DA2164" s="6">
        <f>1</f>
        <v>1</v>
      </c>
      <c r="DC2164" s="4" t="s">
        <v>325</v>
      </c>
      <c r="DD2164" s="4" t="s">
        <v>241</v>
      </c>
      <c r="DF2164" s="4" t="s">
        <v>325</v>
      </c>
      <c r="DG2164" s="6">
        <f>514</f>
        <v>514</v>
      </c>
      <c r="DI2164" s="4" t="s">
        <v>241</v>
      </c>
      <c r="DJ2164" s="4" t="s">
        <v>241</v>
      </c>
      <c r="DK2164" s="4" t="s">
        <v>241</v>
      </c>
      <c r="DL2164" s="4" t="s">
        <v>241</v>
      </c>
      <c r="DP2164" s="4" t="s">
        <v>241</v>
      </c>
      <c r="DQ2164" s="4" t="s">
        <v>241</v>
      </c>
      <c r="DR2164" s="4" t="s">
        <v>241</v>
      </c>
      <c r="DS2164" s="4" t="s">
        <v>241</v>
      </c>
      <c r="DV2164" s="4" t="s">
        <v>426</v>
      </c>
      <c r="DW2164" s="4" t="s">
        <v>581</v>
      </c>
      <c r="HO2164" s="4" t="s">
        <v>267</v>
      </c>
    </row>
    <row r="2165" spans="1:223" ht="19.5" customHeight="1" x14ac:dyDescent="0.4">
      <c r="A2165" s="4">
        <v>1</v>
      </c>
      <c r="B2165" s="4" t="s">
        <v>239</v>
      </c>
      <c r="C2165" s="4">
        <v>3868</v>
      </c>
      <c r="D2165" s="4">
        <v>1</v>
      </c>
      <c r="E2165" s="4">
        <v>1</v>
      </c>
      <c r="F2165" s="4" t="s">
        <v>268</v>
      </c>
      <c r="G2165" s="4" t="s">
        <v>241</v>
      </c>
      <c r="H2165" s="4" t="s">
        <v>241</v>
      </c>
      <c r="I2165" s="4" t="s">
        <v>424</v>
      </c>
      <c r="J2165" s="4" t="s">
        <v>274</v>
      </c>
      <c r="K2165" s="4" t="s">
        <v>251</v>
      </c>
      <c r="L2165" s="4" t="s">
        <v>423</v>
      </c>
      <c r="M2165" s="5" t="s">
        <v>3674</v>
      </c>
      <c r="N2165" s="6">
        <f>10</f>
        <v>10</v>
      </c>
      <c r="O2165" s="4" t="s">
        <v>265</v>
      </c>
      <c r="P2165" s="6">
        <f>1</f>
        <v>1</v>
      </c>
      <c r="Q2165" s="6">
        <f>0</f>
        <v>0</v>
      </c>
      <c r="S2165" s="6">
        <f>0</f>
        <v>0</v>
      </c>
      <c r="T2165" s="6">
        <f>1</f>
        <v>1</v>
      </c>
      <c r="U2165" s="5" t="s">
        <v>245</v>
      </c>
      <c r="V2165" s="4" t="s">
        <v>270</v>
      </c>
      <c r="W2165" s="4" t="s">
        <v>271</v>
      </c>
      <c r="X2165" s="4" t="s">
        <v>273</v>
      </c>
      <c r="Y2165" s="4" t="s">
        <v>241</v>
      </c>
      <c r="AB2165" s="4" t="s">
        <v>241</v>
      </c>
      <c r="AD2165" s="5" t="s">
        <v>241</v>
      </c>
      <c r="AG2165" s="5" t="s">
        <v>246</v>
      </c>
      <c r="AH2165" s="4" t="s">
        <v>241</v>
      </c>
      <c r="AI2165" s="4" t="s">
        <v>247</v>
      </c>
      <c r="AJ2165" s="4" t="s">
        <v>248</v>
      </c>
      <c r="AZ2165" s="4" t="s">
        <v>249</v>
      </c>
      <c r="BA2165" s="4" t="s">
        <v>241</v>
      </c>
      <c r="BB2165" s="4" t="s">
        <v>250</v>
      </c>
      <c r="BC2165" s="4" t="s">
        <v>241</v>
      </c>
      <c r="BD2165" s="4" t="s">
        <v>252</v>
      </c>
      <c r="BE2165" s="4" t="s">
        <v>241</v>
      </c>
      <c r="BI2165" s="4" t="s">
        <v>253</v>
      </c>
      <c r="BJ2165" s="5" t="s">
        <v>246</v>
      </c>
      <c r="BK2165" s="4" t="s">
        <v>254</v>
      </c>
      <c r="BL2165" s="4" t="s">
        <v>255</v>
      </c>
      <c r="BM2165" s="4" t="s">
        <v>241</v>
      </c>
      <c r="BN2165" s="6">
        <f>0</f>
        <v>0</v>
      </c>
      <c r="BO2165" s="6">
        <f>0</f>
        <v>0</v>
      </c>
      <c r="BP2165" s="4" t="s">
        <v>256</v>
      </c>
      <c r="BQ2165" s="4" t="s">
        <v>257</v>
      </c>
      <c r="CE2165" s="4" t="s">
        <v>241</v>
      </c>
      <c r="CF2165" s="4" t="s">
        <v>241</v>
      </c>
      <c r="CJ2165" s="4" t="s">
        <v>276</v>
      </c>
      <c r="CK2165" s="4" t="s">
        <v>259</v>
      </c>
      <c r="CL2165" s="4" t="s">
        <v>241</v>
      </c>
      <c r="CO2165" s="5" t="s">
        <v>260</v>
      </c>
      <c r="CP2165" s="4" t="s">
        <v>241</v>
      </c>
      <c r="CQ2165" s="4" t="s">
        <v>261</v>
      </c>
      <c r="CR2165" s="4" t="s">
        <v>241</v>
      </c>
      <c r="CS2165" s="4" t="s">
        <v>241</v>
      </c>
      <c r="CT2165" s="4">
        <v>0</v>
      </c>
      <c r="CU2165" s="4" t="s">
        <v>262</v>
      </c>
      <c r="CV2165" s="4" t="s">
        <v>263</v>
      </c>
      <c r="CW2165" s="4" t="s">
        <v>263</v>
      </c>
      <c r="CX2165" s="4" t="s">
        <v>264</v>
      </c>
      <c r="DA2165" s="6">
        <f>1</f>
        <v>1</v>
      </c>
      <c r="DC2165" s="4" t="s">
        <v>325</v>
      </c>
      <c r="DD2165" s="4" t="s">
        <v>241</v>
      </c>
      <c r="DF2165" s="4" t="s">
        <v>325</v>
      </c>
      <c r="DG2165" s="6">
        <f>10</f>
        <v>10</v>
      </c>
      <c r="DI2165" s="4" t="s">
        <v>241</v>
      </c>
      <c r="DJ2165" s="4" t="s">
        <v>241</v>
      </c>
      <c r="DK2165" s="4" t="s">
        <v>241</v>
      </c>
      <c r="DL2165" s="4" t="s">
        <v>241</v>
      </c>
      <c r="DP2165" s="4" t="s">
        <v>241</v>
      </c>
      <c r="DQ2165" s="4" t="s">
        <v>241</v>
      </c>
      <c r="DR2165" s="4" t="s">
        <v>241</v>
      </c>
      <c r="DS2165" s="4" t="s">
        <v>241</v>
      </c>
      <c r="DV2165" s="4" t="s">
        <v>426</v>
      </c>
      <c r="DW2165" s="4" t="s">
        <v>1352</v>
      </c>
      <c r="HO2165" s="4" t="s">
        <v>267</v>
      </c>
    </row>
    <row r="2166" spans="1:223" ht="19.5" customHeight="1" x14ac:dyDescent="0.4">
      <c r="A2166" s="4">
        <v>1</v>
      </c>
      <c r="B2166" s="4" t="s">
        <v>239</v>
      </c>
      <c r="C2166" s="4">
        <v>3869</v>
      </c>
      <c r="D2166" s="4">
        <v>1</v>
      </c>
      <c r="E2166" s="4">
        <v>1</v>
      </c>
      <c r="F2166" s="4" t="s">
        <v>268</v>
      </c>
      <c r="G2166" s="4" t="s">
        <v>241</v>
      </c>
      <c r="H2166" s="4" t="s">
        <v>241</v>
      </c>
      <c r="I2166" s="4" t="s">
        <v>424</v>
      </c>
      <c r="J2166" s="4" t="s">
        <v>274</v>
      </c>
      <c r="K2166" s="4" t="s">
        <v>251</v>
      </c>
      <c r="L2166" s="4" t="s">
        <v>423</v>
      </c>
      <c r="M2166" s="5" t="s">
        <v>586</v>
      </c>
      <c r="N2166" s="6">
        <f>23</f>
        <v>23</v>
      </c>
      <c r="O2166" s="4" t="s">
        <v>265</v>
      </c>
      <c r="P2166" s="6">
        <f>1</f>
        <v>1</v>
      </c>
      <c r="Q2166" s="6">
        <f>0</f>
        <v>0</v>
      </c>
      <c r="S2166" s="6">
        <f>0</f>
        <v>0</v>
      </c>
      <c r="T2166" s="6">
        <f>1</f>
        <v>1</v>
      </c>
      <c r="U2166" s="5" t="s">
        <v>245</v>
      </c>
      <c r="V2166" s="4" t="s">
        <v>270</v>
      </c>
      <c r="W2166" s="4" t="s">
        <v>271</v>
      </c>
      <c r="X2166" s="4" t="s">
        <v>273</v>
      </c>
      <c r="Y2166" s="4" t="s">
        <v>241</v>
      </c>
      <c r="AB2166" s="4" t="s">
        <v>241</v>
      </c>
      <c r="AD2166" s="5" t="s">
        <v>241</v>
      </c>
      <c r="AG2166" s="5" t="s">
        <v>246</v>
      </c>
      <c r="AH2166" s="4" t="s">
        <v>241</v>
      </c>
      <c r="AI2166" s="4" t="s">
        <v>247</v>
      </c>
      <c r="AJ2166" s="4" t="s">
        <v>248</v>
      </c>
      <c r="AZ2166" s="4" t="s">
        <v>249</v>
      </c>
      <c r="BA2166" s="4" t="s">
        <v>241</v>
      </c>
      <c r="BB2166" s="4" t="s">
        <v>250</v>
      </c>
      <c r="BC2166" s="4" t="s">
        <v>241</v>
      </c>
      <c r="BD2166" s="4" t="s">
        <v>252</v>
      </c>
      <c r="BE2166" s="4" t="s">
        <v>241</v>
      </c>
      <c r="BI2166" s="4" t="s">
        <v>253</v>
      </c>
      <c r="BJ2166" s="5" t="s">
        <v>246</v>
      </c>
      <c r="BK2166" s="4" t="s">
        <v>254</v>
      </c>
      <c r="BL2166" s="4" t="s">
        <v>255</v>
      </c>
      <c r="BM2166" s="4" t="s">
        <v>241</v>
      </c>
      <c r="BN2166" s="6">
        <f>0</f>
        <v>0</v>
      </c>
      <c r="BO2166" s="6">
        <f>0</f>
        <v>0</v>
      </c>
      <c r="BP2166" s="4" t="s">
        <v>256</v>
      </c>
      <c r="BQ2166" s="4" t="s">
        <v>257</v>
      </c>
      <c r="CE2166" s="4" t="s">
        <v>241</v>
      </c>
      <c r="CF2166" s="4" t="s">
        <v>241</v>
      </c>
      <c r="CJ2166" s="4" t="s">
        <v>276</v>
      </c>
      <c r="CK2166" s="4" t="s">
        <v>259</v>
      </c>
      <c r="CL2166" s="4" t="s">
        <v>241</v>
      </c>
      <c r="CO2166" s="5" t="s">
        <v>260</v>
      </c>
      <c r="CP2166" s="4" t="s">
        <v>241</v>
      </c>
      <c r="CQ2166" s="4" t="s">
        <v>261</v>
      </c>
      <c r="CR2166" s="4" t="s">
        <v>241</v>
      </c>
      <c r="CS2166" s="4" t="s">
        <v>241</v>
      </c>
      <c r="CT2166" s="4">
        <v>0</v>
      </c>
      <c r="CU2166" s="4" t="s">
        <v>262</v>
      </c>
      <c r="CV2166" s="4" t="s">
        <v>263</v>
      </c>
      <c r="CW2166" s="4" t="s">
        <v>263</v>
      </c>
      <c r="CX2166" s="4" t="s">
        <v>264</v>
      </c>
      <c r="DA2166" s="6">
        <f>1</f>
        <v>1</v>
      </c>
      <c r="DC2166" s="4" t="s">
        <v>325</v>
      </c>
      <c r="DD2166" s="4" t="s">
        <v>241</v>
      </c>
      <c r="DF2166" s="4" t="s">
        <v>325</v>
      </c>
      <c r="DG2166" s="6">
        <f>23</f>
        <v>23</v>
      </c>
      <c r="DI2166" s="4" t="s">
        <v>241</v>
      </c>
      <c r="DJ2166" s="4" t="s">
        <v>241</v>
      </c>
      <c r="DK2166" s="4" t="s">
        <v>241</v>
      </c>
      <c r="DL2166" s="4" t="s">
        <v>241</v>
      </c>
      <c r="DP2166" s="4" t="s">
        <v>241</v>
      </c>
      <c r="DQ2166" s="4" t="s">
        <v>241</v>
      </c>
      <c r="DR2166" s="4" t="s">
        <v>241</v>
      </c>
      <c r="DS2166" s="4" t="s">
        <v>241</v>
      </c>
      <c r="DV2166" s="4" t="s">
        <v>426</v>
      </c>
      <c r="DW2166" s="4" t="s">
        <v>587</v>
      </c>
      <c r="HO2166" s="4" t="s">
        <v>267</v>
      </c>
    </row>
    <row r="2167" spans="1:223" ht="19.5" customHeight="1" x14ac:dyDescent="0.4">
      <c r="A2167" s="4">
        <v>1</v>
      </c>
      <c r="B2167" s="4" t="s">
        <v>239</v>
      </c>
      <c r="C2167" s="4">
        <v>3870</v>
      </c>
      <c r="D2167" s="4">
        <v>1</v>
      </c>
      <c r="E2167" s="4">
        <v>1</v>
      </c>
      <c r="F2167" s="4" t="s">
        <v>268</v>
      </c>
      <c r="G2167" s="4" t="s">
        <v>241</v>
      </c>
      <c r="H2167" s="4" t="s">
        <v>241</v>
      </c>
      <c r="I2167" s="4" t="s">
        <v>424</v>
      </c>
      <c r="J2167" s="4" t="s">
        <v>274</v>
      </c>
      <c r="K2167" s="4" t="s">
        <v>251</v>
      </c>
      <c r="L2167" s="4" t="s">
        <v>423</v>
      </c>
      <c r="M2167" s="5" t="s">
        <v>588</v>
      </c>
      <c r="N2167" s="6">
        <f>759</f>
        <v>759</v>
      </c>
      <c r="O2167" s="4" t="s">
        <v>265</v>
      </c>
      <c r="P2167" s="6">
        <f>1</f>
        <v>1</v>
      </c>
      <c r="Q2167" s="6">
        <f>0</f>
        <v>0</v>
      </c>
      <c r="S2167" s="6">
        <f>0</f>
        <v>0</v>
      </c>
      <c r="T2167" s="6">
        <f>1</f>
        <v>1</v>
      </c>
      <c r="U2167" s="5" t="s">
        <v>245</v>
      </c>
      <c r="V2167" s="4" t="s">
        <v>270</v>
      </c>
      <c r="W2167" s="4" t="s">
        <v>271</v>
      </c>
      <c r="X2167" s="4" t="s">
        <v>273</v>
      </c>
      <c r="Y2167" s="4" t="s">
        <v>241</v>
      </c>
      <c r="AB2167" s="4" t="s">
        <v>241</v>
      </c>
      <c r="AD2167" s="5" t="s">
        <v>241</v>
      </c>
      <c r="AG2167" s="5" t="s">
        <v>246</v>
      </c>
      <c r="AH2167" s="4" t="s">
        <v>241</v>
      </c>
      <c r="AI2167" s="4" t="s">
        <v>247</v>
      </c>
      <c r="AJ2167" s="4" t="s">
        <v>248</v>
      </c>
      <c r="AZ2167" s="4" t="s">
        <v>249</v>
      </c>
      <c r="BA2167" s="4" t="s">
        <v>241</v>
      </c>
      <c r="BB2167" s="4" t="s">
        <v>250</v>
      </c>
      <c r="BC2167" s="4" t="s">
        <v>241</v>
      </c>
      <c r="BD2167" s="4" t="s">
        <v>252</v>
      </c>
      <c r="BE2167" s="4" t="s">
        <v>241</v>
      </c>
      <c r="BI2167" s="4" t="s">
        <v>253</v>
      </c>
      <c r="BJ2167" s="5" t="s">
        <v>246</v>
      </c>
      <c r="BK2167" s="4" t="s">
        <v>254</v>
      </c>
      <c r="BL2167" s="4" t="s">
        <v>255</v>
      </c>
      <c r="BM2167" s="4" t="s">
        <v>241</v>
      </c>
      <c r="BN2167" s="6">
        <f>0</f>
        <v>0</v>
      </c>
      <c r="BO2167" s="6">
        <f>0</f>
        <v>0</v>
      </c>
      <c r="BP2167" s="4" t="s">
        <v>256</v>
      </c>
      <c r="BQ2167" s="4" t="s">
        <v>257</v>
      </c>
      <c r="CE2167" s="4" t="s">
        <v>241</v>
      </c>
      <c r="CF2167" s="4" t="s">
        <v>241</v>
      </c>
      <c r="CJ2167" s="4" t="s">
        <v>276</v>
      </c>
      <c r="CK2167" s="4" t="s">
        <v>259</v>
      </c>
      <c r="CL2167" s="4" t="s">
        <v>241</v>
      </c>
      <c r="CO2167" s="5" t="s">
        <v>260</v>
      </c>
      <c r="CP2167" s="4" t="s">
        <v>241</v>
      </c>
      <c r="CQ2167" s="4" t="s">
        <v>261</v>
      </c>
      <c r="CR2167" s="4" t="s">
        <v>241</v>
      </c>
      <c r="CS2167" s="4" t="s">
        <v>241</v>
      </c>
      <c r="CT2167" s="4">
        <v>0</v>
      </c>
      <c r="CU2167" s="4" t="s">
        <v>262</v>
      </c>
      <c r="CV2167" s="4" t="s">
        <v>263</v>
      </c>
      <c r="CW2167" s="4" t="s">
        <v>263</v>
      </c>
      <c r="CX2167" s="4" t="s">
        <v>264</v>
      </c>
      <c r="DA2167" s="6">
        <f>1</f>
        <v>1</v>
      </c>
      <c r="DC2167" s="4" t="s">
        <v>325</v>
      </c>
      <c r="DD2167" s="4" t="s">
        <v>241</v>
      </c>
      <c r="DF2167" s="4" t="s">
        <v>325</v>
      </c>
      <c r="DG2167" s="6">
        <f>759</f>
        <v>759</v>
      </c>
      <c r="DI2167" s="4" t="s">
        <v>241</v>
      </c>
      <c r="DJ2167" s="4" t="s">
        <v>241</v>
      </c>
      <c r="DK2167" s="4" t="s">
        <v>241</v>
      </c>
      <c r="DL2167" s="4" t="s">
        <v>241</v>
      </c>
      <c r="DP2167" s="4" t="s">
        <v>241</v>
      </c>
      <c r="DQ2167" s="4" t="s">
        <v>241</v>
      </c>
      <c r="DR2167" s="4" t="s">
        <v>241</v>
      </c>
      <c r="DS2167" s="4" t="s">
        <v>241</v>
      </c>
      <c r="DV2167" s="4" t="s">
        <v>426</v>
      </c>
      <c r="DW2167" s="4" t="s">
        <v>589</v>
      </c>
      <c r="HO2167" s="4" t="s">
        <v>267</v>
      </c>
    </row>
    <row r="2168" spans="1:223" ht="19.5" customHeight="1" x14ac:dyDescent="0.4">
      <c r="A2168" s="4">
        <v>1</v>
      </c>
      <c r="B2168" s="4" t="s">
        <v>239</v>
      </c>
      <c r="C2168" s="4">
        <v>3871</v>
      </c>
      <c r="D2168" s="4">
        <v>1</v>
      </c>
      <c r="E2168" s="4">
        <v>1</v>
      </c>
      <c r="F2168" s="4" t="s">
        <v>268</v>
      </c>
      <c r="G2168" s="4" t="s">
        <v>241</v>
      </c>
      <c r="H2168" s="4" t="s">
        <v>241</v>
      </c>
      <c r="I2168" s="4" t="s">
        <v>424</v>
      </c>
      <c r="J2168" s="4" t="s">
        <v>274</v>
      </c>
      <c r="K2168" s="4" t="s">
        <v>251</v>
      </c>
      <c r="L2168" s="4" t="s">
        <v>423</v>
      </c>
      <c r="M2168" s="5" t="s">
        <v>592</v>
      </c>
      <c r="N2168" s="6">
        <f>1238</f>
        <v>1238</v>
      </c>
      <c r="O2168" s="4" t="s">
        <v>265</v>
      </c>
      <c r="P2168" s="6">
        <f>1</f>
        <v>1</v>
      </c>
      <c r="Q2168" s="6">
        <f>0</f>
        <v>0</v>
      </c>
      <c r="S2168" s="6">
        <f>0</f>
        <v>0</v>
      </c>
      <c r="T2168" s="6">
        <f>1</f>
        <v>1</v>
      </c>
      <c r="U2168" s="5" t="s">
        <v>245</v>
      </c>
      <c r="V2168" s="4" t="s">
        <v>270</v>
      </c>
      <c r="W2168" s="4" t="s">
        <v>271</v>
      </c>
      <c r="X2168" s="4" t="s">
        <v>273</v>
      </c>
      <c r="Y2168" s="4" t="s">
        <v>241</v>
      </c>
      <c r="AB2168" s="4" t="s">
        <v>241</v>
      </c>
      <c r="AD2168" s="5" t="s">
        <v>241</v>
      </c>
      <c r="AG2168" s="5" t="s">
        <v>246</v>
      </c>
      <c r="AH2168" s="4" t="s">
        <v>241</v>
      </c>
      <c r="AI2168" s="4" t="s">
        <v>247</v>
      </c>
      <c r="AJ2168" s="4" t="s">
        <v>248</v>
      </c>
      <c r="AZ2168" s="4" t="s">
        <v>249</v>
      </c>
      <c r="BA2168" s="4" t="s">
        <v>241</v>
      </c>
      <c r="BB2168" s="4" t="s">
        <v>250</v>
      </c>
      <c r="BC2168" s="4" t="s">
        <v>241</v>
      </c>
      <c r="BD2168" s="4" t="s">
        <v>252</v>
      </c>
      <c r="BE2168" s="4" t="s">
        <v>241</v>
      </c>
      <c r="BI2168" s="4" t="s">
        <v>253</v>
      </c>
      <c r="BJ2168" s="5" t="s">
        <v>246</v>
      </c>
      <c r="BK2168" s="4" t="s">
        <v>254</v>
      </c>
      <c r="BL2168" s="4" t="s">
        <v>255</v>
      </c>
      <c r="BM2168" s="4" t="s">
        <v>241</v>
      </c>
      <c r="BN2168" s="6">
        <f>0</f>
        <v>0</v>
      </c>
      <c r="BO2168" s="6">
        <f>0</f>
        <v>0</v>
      </c>
      <c r="BP2168" s="4" t="s">
        <v>256</v>
      </c>
      <c r="BQ2168" s="4" t="s">
        <v>257</v>
      </c>
      <c r="CE2168" s="4" t="s">
        <v>241</v>
      </c>
      <c r="CF2168" s="4" t="s">
        <v>241</v>
      </c>
      <c r="CJ2168" s="4" t="s">
        <v>276</v>
      </c>
      <c r="CK2168" s="4" t="s">
        <v>259</v>
      </c>
      <c r="CL2168" s="4" t="s">
        <v>241</v>
      </c>
      <c r="CO2168" s="5" t="s">
        <v>260</v>
      </c>
      <c r="CP2168" s="4" t="s">
        <v>241</v>
      </c>
      <c r="CQ2168" s="4" t="s">
        <v>261</v>
      </c>
      <c r="CR2168" s="4" t="s">
        <v>241</v>
      </c>
      <c r="CS2168" s="4" t="s">
        <v>241</v>
      </c>
      <c r="CT2168" s="4">
        <v>0</v>
      </c>
      <c r="CU2168" s="4" t="s">
        <v>262</v>
      </c>
      <c r="CV2168" s="4" t="s">
        <v>263</v>
      </c>
      <c r="CW2168" s="4" t="s">
        <v>263</v>
      </c>
      <c r="CX2168" s="4" t="s">
        <v>264</v>
      </c>
      <c r="DA2168" s="6">
        <f>1</f>
        <v>1</v>
      </c>
      <c r="DC2168" s="4" t="s">
        <v>325</v>
      </c>
      <c r="DD2168" s="4" t="s">
        <v>241</v>
      </c>
      <c r="DF2168" s="4" t="s">
        <v>325</v>
      </c>
      <c r="DG2168" s="6">
        <f>1238</f>
        <v>1238</v>
      </c>
      <c r="DI2168" s="4" t="s">
        <v>241</v>
      </c>
      <c r="DJ2168" s="4" t="s">
        <v>241</v>
      </c>
      <c r="DK2168" s="4" t="s">
        <v>241</v>
      </c>
      <c r="DL2168" s="4" t="s">
        <v>241</v>
      </c>
      <c r="DP2168" s="4" t="s">
        <v>241</v>
      </c>
      <c r="DQ2168" s="4" t="s">
        <v>241</v>
      </c>
      <c r="DR2168" s="4" t="s">
        <v>241</v>
      </c>
      <c r="DS2168" s="4" t="s">
        <v>241</v>
      </c>
      <c r="DV2168" s="4" t="s">
        <v>426</v>
      </c>
      <c r="DW2168" s="4" t="s">
        <v>593</v>
      </c>
      <c r="HO2168" s="4" t="s">
        <v>267</v>
      </c>
    </row>
    <row r="2169" spans="1:223" ht="19.5" customHeight="1" x14ac:dyDescent="0.4">
      <c r="A2169" s="4">
        <v>1</v>
      </c>
      <c r="B2169" s="4" t="s">
        <v>239</v>
      </c>
      <c r="C2169" s="4">
        <v>3872</v>
      </c>
      <c r="D2169" s="4">
        <v>1</v>
      </c>
      <c r="E2169" s="4">
        <v>1</v>
      </c>
      <c r="F2169" s="4" t="s">
        <v>268</v>
      </c>
      <c r="G2169" s="4" t="s">
        <v>241</v>
      </c>
      <c r="H2169" s="4" t="s">
        <v>241</v>
      </c>
      <c r="I2169" s="4" t="s">
        <v>424</v>
      </c>
      <c r="J2169" s="4" t="s">
        <v>274</v>
      </c>
      <c r="K2169" s="4" t="s">
        <v>251</v>
      </c>
      <c r="L2169" s="4" t="s">
        <v>423</v>
      </c>
      <c r="M2169" s="5" t="s">
        <v>777</v>
      </c>
      <c r="N2169" s="6">
        <f>2061</f>
        <v>2061</v>
      </c>
      <c r="O2169" s="4" t="s">
        <v>265</v>
      </c>
      <c r="P2169" s="6">
        <f>1</f>
        <v>1</v>
      </c>
      <c r="Q2169" s="6">
        <f>0</f>
        <v>0</v>
      </c>
      <c r="S2169" s="6">
        <f>0</f>
        <v>0</v>
      </c>
      <c r="T2169" s="6">
        <f>1</f>
        <v>1</v>
      </c>
      <c r="U2169" s="5" t="s">
        <v>245</v>
      </c>
      <c r="V2169" s="4" t="s">
        <v>270</v>
      </c>
      <c r="W2169" s="4" t="s">
        <v>271</v>
      </c>
      <c r="X2169" s="4" t="s">
        <v>273</v>
      </c>
      <c r="Y2169" s="4" t="s">
        <v>241</v>
      </c>
      <c r="AB2169" s="4" t="s">
        <v>241</v>
      </c>
      <c r="AD2169" s="5" t="s">
        <v>241</v>
      </c>
      <c r="AG2169" s="5" t="s">
        <v>246</v>
      </c>
      <c r="AH2169" s="4" t="s">
        <v>241</v>
      </c>
      <c r="AI2169" s="4" t="s">
        <v>247</v>
      </c>
      <c r="AJ2169" s="4" t="s">
        <v>248</v>
      </c>
      <c r="AZ2169" s="4" t="s">
        <v>249</v>
      </c>
      <c r="BA2169" s="4" t="s">
        <v>241</v>
      </c>
      <c r="BB2169" s="4" t="s">
        <v>250</v>
      </c>
      <c r="BC2169" s="4" t="s">
        <v>241</v>
      </c>
      <c r="BD2169" s="4" t="s">
        <v>252</v>
      </c>
      <c r="BE2169" s="4" t="s">
        <v>241</v>
      </c>
      <c r="BI2169" s="4" t="s">
        <v>253</v>
      </c>
      <c r="BJ2169" s="5" t="s">
        <v>246</v>
      </c>
      <c r="BK2169" s="4" t="s">
        <v>254</v>
      </c>
      <c r="BL2169" s="4" t="s">
        <v>255</v>
      </c>
      <c r="BM2169" s="4" t="s">
        <v>241</v>
      </c>
      <c r="BN2169" s="6">
        <f>0</f>
        <v>0</v>
      </c>
      <c r="BO2169" s="6">
        <f>0</f>
        <v>0</v>
      </c>
      <c r="BP2169" s="4" t="s">
        <v>256</v>
      </c>
      <c r="BQ2169" s="4" t="s">
        <v>257</v>
      </c>
      <c r="CE2169" s="4" t="s">
        <v>241</v>
      </c>
      <c r="CF2169" s="4" t="s">
        <v>241</v>
      </c>
      <c r="CJ2169" s="4" t="s">
        <v>276</v>
      </c>
      <c r="CK2169" s="4" t="s">
        <v>259</v>
      </c>
      <c r="CL2169" s="4" t="s">
        <v>241</v>
      </c>
      <c r="CO2169" s="5" t="s">
        <v>260</v>
      </c>
      <c r="CP2169" s="4" t="s">
        <v>241</v>
      </c>
      <c r="CQ2169" s="4" t="s">
        <v>261</v>
      </c>
      <c r="CR2169" s="4" t="s">
        <v>241</v>
      </c>
      <c r="CS2169" s="4" t="s">
        <v>241</v>
      </c>
      <c r="CT2169" s="4">
        <v>0</v>
      </c>
      <c r="CU2169" s="4" t="s">
        <v>262</v>
      </c>
      <c r="CV2169" s="4" t="s">
        <v>263</v>
      </c>
      <c r="CW2169" s="4" t="s">
        <v>263</v>
      </c>
      <c r="CX2169" s="4" t="s">
        <v>264</v>
      </c>
      <c r="DA2169" s="6">
        <f>1</f>
        <v>1</v>
      </c>
      <c r="DC2169" s="4" t="s">
        <v>325</v>
      </c>
      <c r="DD2169" s="4" t="s">
        <v>241</v>
      </c>
      <c r="DF2169" s="4" t="s">
        <v>325</v>
      </c>
      <c r="DG2169" s="6">
        <f>2061</f>
        <v>2061</v>
      </c>
      <c r="DI2169" s="4" t="s">
        <v>241</v>
      </c>
      <c r="DJ2169" s="4" t="s">
        <v>241</v>
      </c>
      <c r="DK2169" s="4" t="s">
        <v>241</v>
      </c>
      <c r="DL2169" s="4" t="s">
        <v>241</v>
      </c>
      <c r="DP2169" s="4" t="s">
        <v>241</v>
      </c>
      <c r="DQ2169" s="4" t="s">
        <v>241</v>
      </c>
      <c r="DR2169" s="4" t="s">
        <v>241</v>
      </c>
      <c r="DS2169" s="4" t="s">
        <v>241</v>
      </c>
      <c r="DV2169" s="4" t="s">
        <v>426</v>
      </c>
      <c r="DW2169" s="4" t="s">
        <v>778</v>
      </c>
      <c r="HO2169" s="4" t="s">
        <v>267</v>
      </c>
    </row>
    <row r="2170" spans="1:223" ht="19.5" customHeight="1" x14ac:dyDescent="0.4">
      <c r="A2170" s="4">
        <v>1</v>
      </c>
      <c r="B2170" s="4" t="s">
        <v>239</v>
      </c>
      <c r="C2170" s="4">
        <v>3873</v>
      </c>
      <c r="D2170" s="4">
        <v>1</v>
      </c>
      <c r="E2170" s="4">
        <v>1</v>
      </c>
      <c r="F2170" s="4" t="s">
        <v>268</v>
      </c>
      <c r="G2170" s="4" t="s">
        <v>241</v>
      </c>
      <c r="H2170" s="4" t="s">
        <v>241</v>
      </c>
      <c r="I2170" s="4" t="s">
        <v>424</v>
      </c>
      <c r="J2170" s="4" t="s">
        <v>274</v>
      </c>
      <c r="K2170" s="4" t="s">
        <v>251</v>
      </c>
      <c r="L2170" s="4" t="s">
        <v>423</v>
      </c>
      <c r="M2170" s="5" t="s">
        <v>600</v>
      </c>
      <c r="N2170" s="6">
        <f>2277</f>
        <v>2277</v>
      </c>
      <c r="O2170" s="4" t="s">
        <v>265</v>
      </c>
      <c r="P2170" s="6">
        <f>1</f>
        <v>1</v>
      </c>
      <c r="Q2170" s="6">
        <f>0</f>
        <v>0</v>
      </c>
      <c r="S2170" s="6">
        <f>0</f>
        <v>0</v>
      </c>
      <c r="T2170" s="6">
        <f>1</f>
        <v>1</v>
      </c>
      <c r="U2170" s="5" t="s">
        <v>245</v>
      </c>
      <c r="V2170" s="4" t="s">
        <v>270</v>
      </c>
      <c r="W2170" s="4" t="s">
        <v>271</v>
      </c>
      <c r="X2170" s="4" t="s">
        <v>273</v>
      </c>
      <c r="Y2170" s="4" t="s">
        <v>241</v>
      </c>
      <c r="AB2170" s="4" t="s">
        <v>241</v>
      </c>
      <c r="AD2170" s="5" t="s">
        <v>241</v>
      </c>
      <c r="AG2170" s="5" t="s">
        <v>246</v>
      </c>
      <c r="AH2170" s="4" t="s">
        <v>241</v>
      </c>
      <c r="AI2170" s="4" t="s">
        <v>247</v>
      </c>
      <c r="AJ2170" s="4" t="s">
        <v>248</v>
      </c>
      <c r="AZ2170" s="4" t="s">
        <v>249</v>
      </c>
      <c r="BA2170" s="4" t="s">
        <v>241</v>
      </c>
      <c r="BB2170" s="4" t="s">
        <v>250</v>
      </c>
      <c r="BC2170" s="4" t="s">
        <v>241</v>
      </c>
      <c r="BD2170" s="4" t="s">
        <v>252</v>
      </c>
      <c r="BE2170" s="4" t="s">
        <v>241</v>
      </c>
      <c r="BI2170" s="4" t="s">
        <v>253</v>
      </c>
      <c r="BJ2170" s="5" t="s">
        <v>246</v>
      </c>
      <c r="BK2170" s="4" t="s">
        <v>254</v>
      </c>
      <c r="BL2170" s="4" t="s">
        <v>255</v>
      </c>
      <c r="BM2170" s="4" t="s">
        <v>241</v>
      </c>
      <c r="BN2170" s="6">
        <f>0</f>
        <v>0</v>
      </c>
      <c r="BO2170" s="6">
        <f>0</f>
        <v>0</v>
      </c>
      <c r="BP2170" s="4" t="s">
        <v>256</v>
      </c>
      <c r="BQ2170" s="4" t="s">
        <v>257</v>
      </c>
      <c r="CE2170" s="4" t="s">
        <v>241</v>
      </c>
      <c r="CF2170" s="4" t="s">
        <v>241</v>
      </c>
      <c r="CJ2170" s="4" t="s">
        <v>276</v>
      </c>
      <c r="CK2170" s="4" t="s">
        <v>259</v>
      </c>
      <c r="CL2170" s="4" t="s">
        <v>241</v>
      </c>
      <c r="CO2170" s="5" t="s">
        <v>260</v>
      </c>
      <c r="CP2170" s="4" t="s">
        <v>241</v>
      </c>
      <c r="CQ2170" s="4" t="s">
        <v>261</v>
      </c>
      <c r="CR2170" s="4" t="s">
        <v>241</v>
      </c>
      <c r="CS2170" s="4" t="s">
        <v>241</v>
      </c>
      <c r="CT2170" s="4">
        <v>0</v>
      </c>
      <c r="CU2170" s="4" t="s">
        <v>262</v>
      </c>
      <c r="CV2170" s="4" t="s">
        <v>263</v>
      </c>
      <c r="CW2170" s="4" t="s">
        <v>263</v>
      </c>
      <c r="CX2170" s="4" t="s">
        <v>264</v>
      </c>
      <c r="DA2170" s="6">
        <f>1</f>
        <v>1</v>
      </c>
      <c r="DC2170" s="4" t="s">
        <v>325</v>
      </c>
      <c r="DD2170" s="4" t="s">
        <v>241</v>
      </c>
      <c r="DF2170" s="4" t="s">
        <v>325</v>
      </c>
      <c r="DG2170" s="6">
        <f>2277</f>
        <v>2277</v>
      </c>
      <c r="DI2170" s="4" t="s">
        <v>241</v>
      </c>
      <c r="DJ2170" s="4" t="s">
        <v>241</v>
      </c>
      <c r="DK2170" s="4" t="s">
        <v>241</v>
      </c>
      <c r="DL2170" s="4" t="s">
        <v>241</v>
      </c>
      <c r="DP2170" s="4" t="s">
        <v>241</v>
      </c>
      <c r="DQ2170" s="4" t="s">
        <v>241</v>
      </c>
      <c r="DR2170" s="4" t="s">
        <v>241</v>
      </c>
      <c r="DS2170" s="4" t="s">
        <v>241</v>
      </c>
      <c r="DV2170" s="4" t="s">
        <v>426</v>
      </c>
      <c r="DW2170" s="4" t="s">
        <v>601</v>
      </c>
      <c r="HO2170" s="4" t="s">
        <v>267</v>
      </c>
    </row>
    <row r="2171" spans="1:223" ht="19.5" customHeight="1" x14ac:dyDescent="0.4">
      <c r="A2171" s="4">
        <v>1</v>
      </c>
      <c r="B2171" s="4" t="s">
        <v>239</v>
      </c>
      <c r="C2171" s="4">
        <v>3874</v>
      </c>
      <c r="D2171" s="4">
        <v>1</v>
      </c>
      <c r="E2171" s="4">
        <v>1</v>
      </c>
      <c r="F2171" s="4" t="s">
        <v>268</v>
      </c>
      <c r="G2171" s="4" t="s">
        <v>241</v>
      </c>
      <c r="H2171" s="4" t="s">
        <v>241</v>
      </c>
      <c r="I2171" s="4" t="s">
        <v>424</v>
      </c>
      <c r="J2171" s="4" t="s">
        <v>274</v>
      </c>
      <c r="K2171" s="4" t="s">
        <v>251</v>
      </c>
      <c r="L2171" s="4" t="s">
        <v>423</v>
      </c>
      <c r="M2171" s="5" t="s">
        <v>606</v>
      </c>
      <c r="N2171" s="6">
        <f>2690</f>
        <v>2690</v>
      </c>
      <c r="O2171" s="4" t="s">
        <v>265</v>
      </c>
      <c r="P2171" s="6">
        <f>1</f>
        <v>1</v>
      </c>
      <c r="Q2171" s="6">
        <f>0</f>
        <v>0</v>
      </c>
      <c r="S2171" s="6">
        <f>0</f>
        <v>0</v>
      </c>
      <c r="T2171" s="6">
        <f>1</f>
        <v>1</v>
      </c>
      <c r="U2171" s="5" t="s">
        <v>245</v>
      </c>
      <c r="V2171" s="4" t="s">
        <v>270</v>
      </c>
      <c r="W2171" s="4" t="s">
        <v>271</v>
      </c>
      <c r="X2171" s="4" t="s">
        <v>273</v>
      </c>
      <c r="Y2171" s="4" t="s">
        <v>241</v>
      </c>
      <c r="AB2171" s="4" t="s">
        <v>241</v>
      </c>
      <c r="AD2171" s="5" t="s">
        <v>241</v>
      </c>
      <c r="AG2171" s="5" t="s">
        <v>246</v>
      </c>
      <c r="AH2171" s="4" t="s">
        <v>241</v>
      </c>
      <c r="AI2171" s="4" t="s">
        <v>247</v>
      </c>
      <c r="AJ2171" s="4" t="s">
        <v>248</v>
      </c>
      <c r="AZ2171" s="4" t="s">
        <v>249</v>
      </c>
      <c r="BA2171" s="4" t="s">
        <v>241</v>
      </c>
      <c r="BB2171" s="4" t="s">
        <v>250</v>
      </c>
      <c r="BC2171" s="4" t="s">
        <v>241</v>
      </c>
      <c r="BD2171" s="4" t="s">
        <v>252</v>
      </c>
      <c r="BE2171" s="4" t="s">
        <v>241</v>
      </c>
      <c r="BI2171" s="4" t="s">
        <v>253</v>
      </c>
      <c r="BJ2171" s="5" t="s">
        <v>246</v>
      </c>
      <c r="BK2171" s="4" t="s">
        <v>254</v>
      </c>
      <c r="BL2171" s="4" t="s">
        <v>255</v>
      </c>
      <c r="BM2171" s="4" t="s">
        <v>241</v>
      </c>
      <c r="BN2171" s="6">
        <f>0</f>
        <v>0</v>
      </c>
      <c r="BO2171" s="6">
        <f>0</f>
        <v>0</v>
      </c>
      <c r="BP2171" s="4" t="s">
        <v>256</v>
      </c>
      <c r="BQ2171" s="4" t="s">
        <v>257</v>
      </c>
      <c r="CE2171" s="4" t="s">
        <v>241</v>
      </c>
      <c r="CF2171" s="4" t="s">
        <v>241</v>
      </c>
      <c r="CJ2171" s="4" t="s">
        <v>276</v>
      </c>
      <c r="CK2171" s="4" t="s">
        <v>259</v>
      </c>
      <c r="CL2171" s="4" t="s">
        <v>241</v>
      </c>
      <c r="CO2171" s="5" t="s">
        <v>260</v>
      </c>
      <c r="CP2171" s="4" t="s">
        <v>241</v>
      </c>
      <c r="CQ2171" s="4" t="s">
        <v>261</v>
      </c>
      <c r="CR2171" s="4" t="s">
        <v>241</v>
      </c>
      <c r="CS2171" s="4" t="s">
        <v>241</v>
      </c>
      <c r="CT2171" s="4">
        <v>0</v>
      </c>
      <c r="CU2171" s="4" t="s">
        <v>262</v>
      </c>
      <c r="CV2171" s="4" t="s">
        <v>263</v>
      </c>
      <c r="CW2171" s="4" t="s">
        <v>263</v>
      </c>
      <c r="CX2171" s="4" t="s">
        <v>264</v>
      </c>
      <c r="DA2171" s="6">
        <f>1</f>
        <v>1</v>
      </c>
      <c r="DC2171" s="4" t="s">
        <v>325</v>
      </c>
      <c r="DD2171" s="4" t="s">
        <v>241</v>
      </c>
      <c r="DF2171" s="4" t="s">
        <v>325</v>
      </c>
      <c r="DG2171" s="6">
        <f>2690</f>
        <v>2690</v>
      </c>
      <c r="DI2171" s="4" t="s">
        <v>241</v>
      </c>
      <c r="DJ2171" s="4" t="s">
        <v>241</v>
      </c>
      <c r="DK2171" s="4" t="s">
        <v>241</v>
      </c>
      <c r="DL2171" s="4" t="s">
        <v>241</v>
      </c>
      <c r="DP2171" s="4" t="s">
        <v>241</v>
      </c>
      <c r="DQ2171" s="4" t="s">
        <v>241</v>
      </c>
      <c r="DR2171" s="4" t="s">
        <v>241</v>
      </c>
      <c r="DS2171" s="4" t="s">
        <v>241</v>
      </c>
      <c r="DV2171" s="4" t="s">
        <v>426</v>
      </c>
      <c r="DW2171" s="4" t="s">
        <v>607</v>
      </c>
      <c r="HO2171" s="4" t="s">
        <v>267</v>
      </c>
    </row>
    <row r="2172" spans="1:223" ht="19.5" customHeight="1" x14ac:dyDescent="0.4">
      <c r="A2172" s="4">
        <v>1</v>
      </c>
      <c r="B2172" s="4" t="s">
        <v>239</v>
      </c>
      <c r="C2172" s="4">
        <v>3875</v>
      </c>
      <c r="D2172" s="4">
        <v>1</v>
      </c>
      <c r="E2172" s="4">
        <v>1</v>
      </c>
      <c r="F2172" s="4" t="s">
        <v>268</v>
      </c>
      <c r="G2172" s="4" t="s">
        <v>241</v>
      </c>
      <c r="H2172" s="4" t="s">
        <v>241</v>
      </c>
      <c r="I2172" s="4" t="s">
        <v>424</v>
      </c>
      <c r="J2172" s="4" t="s">
        <v>274</v>
      </c>
      <c r="K2172" s="4" t="s">
        <v>251</v>
      </c>
      <c r="L2172" s="4" t="s">
        <v>423</v>
      </c>
      <c r="M2172" s="5" t="s">
        <v>610</v>
      </c>
      <c r="N2172" s="6">
        <f>331</f>
        <v>331</v>
      </c>
      <c r="O2172" s="4" t="s">
        <v>265</v>
      </c>
      <c r="P2172" s="6">
        <f>1</f>
        <v>1</v>
      </c>
      <c r="Q2172" s="6">
        <f>0</f>
        <v>0</v>
      </c>
      <c r="S2172" s="6">
        <f>0</f>
        <v>0</v>
      </c>
      <c r="T2172" s="6">
        <f>1</f>
        <v>1</v>
      </c>
      <c r="U2172" s="5" t="s">
        <v>245</v>
      </c>
      <c r="V2172" s="4" t="s">
        <v>270</v>
      </c>
      <c r="W2172" s="4" t="s">
        <v>271</v>
      </c>
      <c r="X2172" s="4" t="s">
        <v>273</v>
      </c>
      <c r="Y2172" s="4" t="s">
        <v>241</v>
      </c>
      <c r="AB2172" s="4" t="s">
        <v>241</v>
      </c>
      <c r="AD2172" s="5" t="s">
        <v>241</v>
      </c>
      <c r="AG2172" s="5" t="s">
        <v>246</v>
      </c>
      <c r="AH2172" s="4" t="s">
        <v>241</v>
      </c>
      <c r="AI2172" s="4" t="s">
        <v>247</v>
      </c>
      <c r="AJ2172" s="4" t="s">
        <v>248</v>
      </c>
      <c r="AZ2172" s="4" t="s">
        <v>249</v>
      </c>
      <c r="BA2172" s="4" t="s">
        <v>241</v>
      </c>
      <c r="BB2172" s="4" t="s">
        <v>250</v>
      </c>
      <c r="BC2172" s="4" t="s">
        <v>241</v>
      </c>
      <c r="BD2172" s="4" t="s">
        <v>252</v>
      </c>
      <c r="BE2172" s="4" t="s">
        <v>241</v>
      </c>
      <c r="BI2172" s="4" t="s">
        <v>253</v>
      </c>
      <c r="BJ2172" s="5" t="s">
        <v>246</v>
      </c>
      <c r="BK2172" s="4" t="s">
        <v>254</v>
      </c>
      <c r="BL2172" s="4" t="s">
        <v>255</v>
      </c>
      <c r="BM2172" s="4" t="s">
        <v>241</v>
      </c>
      <c r="BN2172" s="6">
        <f>0</f>
        <v>0</v>
      </c>
      <c r="BO2172" s="6">
        <f>0</f>
        <v>0</v>
      </c>
      <c r="BP2172" s="4" t="s">
        <v>256</v>
      </c>
      <c r="BQ2172" s="4" t="s">
        <v>257</v>
      </c>
      <c r="CE2172" s="4" t="s">
        <v>241</v>
      </c>
      <c r="CF2172" s="4" t="s">
        <v>241</v>
      </c>
      <c r="CJ2172" s="4" t="s">
        <v>276</v>
      </c>
      <c r="CK2172" s="4" t="s">
        <v>259</v>
      </c>
      <c r="CL2172" s="4" t="s">
        <v>241</v>
      </c>
      <c r="CO2172" s="5" t="s">
        <v>260</v>
      </c>
      <c r="CP2172" s="4" t="s">
        <v>241</v>
      </c>
      <c r="CQ2172" s="4" t="s">
        <v>261</v>
      </c>
      <c r="CR2172" s="4" t="s">
        <v>241</v>
      </c>
      <c r="CS2172" s="4" t="s">
        <v>241</v>
      </c>
      <c r="CT2172" s="4">
        <v>0</v>
      </c>
      <c r="CU2172" s="4" t="s">
        <v>262</v>
      </c>
      <c r="CV2172" s="4" t="s">
        <v>263</v>
      </c>
      <c r="CW2172" s="4" t="s">
        <v>263</v>
      </c>
      <c r="CX2172" s="4" t="s">
        <v>264</v>
      </c>
      <c r="DA2172" s="6">
        <f>1</f>
        <v>1</v>
      </c>
      <c r="DC2172" s="4" t="s">
        <v>325</v>
      </c>
      <c r="DD2172" s="4" t="s">
        <v>241</v>
      </c>
      <c r="DF2172" s="4" t="s">
        <v>325</v>
      </c>
      <c r="DG2172" s="6">
        <f>331</f>
        <v>331</v>
      </c>
      <c r="DI2172" s="4" t="s">
        <v>241</v>
      </c>
      <c r="DJ2172" s="4" t="s">
        <v>241</v>
      </c>
      <c r="DK2172" s="4" t="s">
        <v>241</v>
      </c>
      <c r="DL2172" s="4" t="s">
        <v>241</v>
      </c>
      <c r="DP2172" s="4" t="s">
        <v>241</v>
      </c>
      <c r="DQ2172" s="4" t="s">
        <v>241</v>
      </c>
      <c r="DR2172" s="4" t="s">
        <v>241</v>
      </c>
      <c r="DS2172" s="4" t="s">
        <v>241</v>
      </c>
      <c r="DV2172" s="4" t="s">
        <v>426</v>
      </c>
      <c r="DW2172" s="4" t="s">
        <v>611</v>
      </c>
      <c r="HO2172" s="4" t="s">
        <v>267</v>
      </c>
    </row>
    <row r="2173" spans="1:223" ht="19.5" customHeight="1" x14ac:dyDescent="0.4">
      <c r="A2173" s="4">
        <v>1</v>
      </c>
      <c r="B2173" s="4" t="s">
        <v>239</v>
      </c>
      <c r="C2173" s="4">
        <v>3876</v>
      </c>
      <c r="D2173" s="4">
        <v>1</v>
      </c>
      <c r="E2173" s="4">
        <v>1</v>
      </c>
      <c r="F2173" s="4" t="s">
        <v>268</v>
      </c>
      <c r="G2173" s="4" t="s">
        <v>241</v>
      </c>
      <c r="H2173" s="4" t="s">
        <v>241</v>
      </c>
      <c r="I2173" s="4" t="s">
        <v>424</v>
      </c>
      <c r="J2173" s="4" t="s">
        <v>274</v>
      </c>
      <c r="K2173" s="4" t="s">
        <v>251</v>
      </c>
      <c r="L2173" s="4" t="s">
        <v>423</v>
      </c>
      <c r="M2173" s="5" t="s">
        <v>616</v>
      </c>
      <c r="N2173" s="6">
        <f>90</f>
        <v>90</v>
      </c>
      <c r="O2173" s="4" t="s">
        <v>265</v>
      </c>
      <c r="P2173" s="6">
        <f>1</f>
        <v>1</v>
      </c>
      <c r="Q2173" s="6">
        <f>0</f>
        <v>0</v>
      </c>
      <c r="S2173" s="6">
        <f>0</f>
        <v>0</v>
      </c>
      <c r="T2173" s="6">
        <f>1</f>
        <v>1</v>
      </c>
      <c r="U2173" s="5" t="s">
        <v>245</v>
      </c>
      <c r="V2173" s="4" t="s">
        <v>270</v>
      </c>
      <c r="W2173" s="4" t="s">
        <v>271</v>
      </c>
      <c r="X2173" s="4" t="s">
        <v>273</v>
      </c>
      <c r="Y2173" s="4" t="s">
        <v>241</v>
      </c>
      <c r="AB2173" s="4" t="s">
        <v>241</v>
      </c>
      <c r="AD2173" s="5" t="s">
        <v>241</v>
      </c>
      <c r="AG2173" s="5" t="s">
        <v>246</v>
      </c>
      <c r="AH2173" s="4" t="s">
        <v>241</v>
      </c>
      <c r="AI2173" s="4" t="s">
        <v>247</v>
      </c>
      <c r="AJ2173" s="4" t="s">
        <v>248</v>
      </c>
      <c r="AZ2173" s="4" t="s">
        <v>249</v>
      </c>
      <c r="BA2173" s="4" t="s">
        <v>241</v>
      </c>
      <c r="BB2173" s="4" t="s">
        <v>250</v>
      </c>
      <c r="BC2173" s="4" t="s">
        <v>241</v>
      </c>
      <c r="BD2173" s="4" t="s">
        <v>252</v>
      </c>
      <c r="BE2173" s="4" t="s">
        <v>241</v>
      </c>
      <c r="BI2173" s="4" t="s">
        <v>253</v>
      </c>
      <c r="BJ2173" s="5" t="s">
        <v>246</v>
      </c>
      <c r="BK2173" s="4" t="s">
        <v>254</v>
      </c>
      <c r="BL2173" s="4" t="s">
        <v>255</v>
      </c>
      <c r="BM2173" s="4" t="s">
        <v>241</v>
      </c>
      <c r="BN2173" s="6">
        <f>0</f>
        <v>0</v>
      </c>
      <c r="BO2173" s="6">
        <f>0</f>
        <v>0</v>
      </c>
      <c r="BP2173" s="4" t="s">
        <v>256</v>
      </c>
      <c r="BQ2173" s="4" t="s">
        <v>257</v>
      </c>
      <c r="CE2173" s="4" t="s">
        <v>241</v>
      </c>
      <c r="CF2173" s="4" t="s">
        <v>241</v>
      </c>
      <c r="CJ2173" s="4" t="s">
        <v>276</v>
      </c>
      <c r="CK2173" s="4" t="s">
        <v>259</v>
      </c>
      <c r="CL2173" s="4" t="s">
        <v>241</v>
      </c>
      <c r="CO2173" s="5" t="s">
        <v>260</v>
      </c>
      <c r="CP2173" s="4" t="s">
        <v>241</v>
      </c>
      <c r="CQ2173" s="4" t="s">
        <v>261</v>
      </c>
      <c r="CR2173" s="4" t="s">
        <v>241</v>
      </c>
      <c r="CS2173" s="4" t="s">
        <v>241</v>
      </c>
      <c r="CT2173" s="4">
        <v>0</v>
      </c>
      <c r="CU2173" s="4" t="s">
        <v>262</v>
      </c>
      <c r="CV2173" s="4" t="s">
        <v>263</v>
      </c>
      <c r="CW2173" s="4" t="s">
        <v>263</v>
      </c>
      <c r="CX2173" s="4" t="s">
        <v>264</v>
      </c>
      <c r="DA2173" s="6">
        <f>1</f>
        <v>1</v>
      </c>
      <c r="DC2173" s="4" t="s">
        <v>325</v>
      </c>
      <c r="DD2173" s="4" t="s">
        <v>241</v>
      </c>
      <c r="DF2173" s="4" t="s">
        <v>325</v>
      </c>
      <c r="DG2173" s="6">
        <f>90</f>
        <v>90</v>
      </c>
      <c r="DI2173" s="4" t="s">
        <v>241</v>
      </c>
      <c r="DJ2173" s="4" t="s">
        <v>241</v>
      </c>
      <c r="DK2173" s="4" t="s">
        <v>241</v>
      </c>
      <c r="DL2173" s="4" t="s">
        <v>241</v>
      </c>
      <c r="DP2173" s="4" t="s">
        <v>241</v>
      </c>
      <c r="DQ2173" s="4" t="s">
        <v>241</v>
      </c>
      <c r="DR2173" s="4" t="s">
        <v>241</v>
      </c>
      <c r="DS2173" s="4" t="s">
        <v>241</v>
      </c>
      <c r="DV2173" s="4" t="s">
        <v>426</v>
      </c>
      <c r="DW2173" s="4" t="s">
        <v>617</v>
      </c>
      <c r="HO2173" s="4" t="s">
        <v>267</v>
      </c>
    </row>
    <row r="2174" spans="1:223" ht="19.5" customHeight="1" x14ac:dyDescent="0.4">
      <c r="A2174" s="4">
        <v>1</v>
      </c>
      <c r="B2174" s="4" t="s">
        <v>239</v>
      </c>
      <c r="C2174" s="4">
        <v>3877</v>
      </c>
      <c r="D2174" s="4">
        <v>1</v>
      </c>
      <c r="E2174" s="4">
        <v>1</v>
      </c>
      <c r="F2174" s="4" t="s">
        <v>268</v>
      </c>
      <c r="G2174" s="4" t="s">
        <v>241</v>
      </c>
      <c r="H2174" s="4" t="s">
        <v>241</v>
      </c>
      <c r="I2174" s="4" t="s">
        <v>424</v>
      </c>
      <c r="J2174" s="4" t="s">
        <v>274</v>
      </c>
      <c r="K2174" s="4" t="s">
        <v>251</v>
      </c>
      <c r="L2174" s="4" t="s">
        <v>423</v>
      </c>
      <c r="M2174" s="5" t="s">
        <v>620</v>
      </c>
      <c r="N2174" s="6">
        <f>92</f>
        <v>92</v>
      </c>
      <c r="O2174" s="4" t="s">
        <v>265</v>
      </c>
      <c r="P2174" s="6">
        <f>1</f>
        <v>1</v>
      </c>
      <c r="Q2174" s="6">
        <f>0</f>
        <v>0</v>
      </c>
      <c r="S2174" s="6">
        <f>0</f>
        <v>0</v>
      </c>
      <c r="T2174" s="6">
        <f>1</f>
        <v>1</v>
      </c>
      <c r="U2174" s="5" t="s">
        <v>245</v>
      </c>
      <c r="V2174" s="4" t="s">
        <v>270</v>
      </c>
      <c r="W2174" s="4" t="s">
        <v>271</v>
      </c>
      <c r="X2174" s="4" t="s">
        <v>273</v>
      </c>
      <c r="Y2174" s="4" t="s">
        <v>241</v>
      </c>
      <c r="AB2174" s="4" t="s">
        <v>241</v>
      </c>
      <c r="AD2174" s="5" t="s">
        <v>241</v>
      </c>
      <c r="AG2174" s="5" t="s">
        <v>246</v>
      </c>
      <c r="AH2174" s="4" t="s">
        <v>241</v>
      </c>
      <c r="AI2174" s="4" t="s">
        <v>247</v>
      </c>
      <c r="AJ2174" s="4" t="s">
        <v>248</v>
      </c>
      <c r="AZ2174" s="4" t="s">
        <v>249</v>
      </c>
      <c r="BA2174" s="4" t="s">
        <v>241</v>
      </c>
      <c r="BB2174" s="4" t="s">
        <v>250</v>
      </c>
      <c r="BC2174" s="4" t="s">
        <v>241</v>
      </c>
      <c r="BD2174" s="4" t="s">
        <v>252</v>
      </c>
      <c r="BE2174" s="4" t="s">
        <v>241</v>
      </c>
      <c r="BI2174" s="4" t="s">
        <v>253</v>
      </c>
      <c r="BJ2174" s="5" t="s">
        <v>246</v>
      </c>
      <c r="BK2174" s="4" t="s">
        <v>254</v>
      </c>
      <c r="BL2174" s="4" t="s">
        <v>255</v>
      </c>
      <c r="BM2174" s="4" t="s">
        <v>241</v>
      </c>
      <c r="BN2174" s="6">
        <f>0</f>
        <v>0</v>
      </c>
      <c r="BO2174" s="6">
        <f>0</f>
        <v>0</v>
      </c>
      <c r="BP2174" s="4" t="s">
        <v>256</v>
      </c>
      <c r="BQ2174" s="4" t="s">
        <v>257</v>
      </c>
      <c r="CE2174" s="4" t="s">
        <v>241</v>
      </c>
      <c r="CF2174" s="4" t="s">
        <v>241</v>
      </c>
      <c r="CJ2174" s="4" t="s">
        <v>276</v>
      </c>
      <c r="CK2174" s="4" t="s">
        <v>259</v>
      </c>
      <c r="CL2174" s="4" t="s">
        <v>241</v>
      </c>
      <c r="CO2174" s="5" t="s">
        <v>260</v>
      </c>
      <c r="CP2174" s="4" t="s">
        <v>241</v>
      </c>
      <c r="CQ2174" s="4" t="s">
        <v>261</v>
      </c>
      <c r="CR2174" s="4" t="s">
        <v>241</v>
      </c>
      <c r="CS2174" s="4" t="s">
        <v>241</v>
      </c>
      <c r="CT2174" s="4">
        <v>0</v>
      </c>
      <c r="CU2174" s="4" t="s">
        <v>262</v>
      </c>
      <c r="CV2174" s="4" t="s">
        <v>263</v>
      </c>
      <c r="CW2174" s="4" t="s">
        <v>263</v>
      </c>
      <c r="CX2174" s="4" t="s">
        <v>264</v>
      </c>
      <c r="DA2174" s="6">
        <f>1</f>
        <v>1</v>
      </c>
      <c r="DC2174" s="4" t="s">
        <v>325</v>
      </c>
      <c r="DD2174" s="4" t="s">
        <v>241</v>
      </c>
      <c r="DF2174" s="4" t="s">
        <v>325</v>
      </c>
      <c r="DG2174" s="6">
        <f>92</f>
        <v>92</v>
      </c>
      <c r="DI2174" s="4" t="s">
        <v>241</v>
      </c>
      <c r="DJ2174" s="4" t="s">
        <v>241</v>
      </c>
      <c r="DK2174" s="4" t="s">
        <v>241</v>
      </c>
      <c r="DL2174" s="4" t="s">
        <v>241</v>
      </c>
      <c r="DP2174" s="4" t="s">
        <v>241</v>
      </c>
      <c r="DQ2174" s="4" t="s">
        <v>241</v>
      </c>
      <c r="DR2174" s="4" t="s">
        <v>241</v>
      </c>
      <c r="DS2174" s="4" t="s">
        <v>241</v>
      </c>
      <c r="DV2174" s="4" t="s">
        <v>426</v>
      </c>
      <c r="DW2174" s="4" t="s">
        <v>621</v>
      </c>
      <c r="HO2174" s="4" t="s">
        <v>267</v>
      </c>
    </row>
    <row r="2175" spans="1:223" ht="19.5" customHeight="1" x14ac:dyDescent="0.4">
      <c r="A2175" s="4">
        <v>1</v>
      </c>
      <c r="B2175" s="4" t="s">
        <v>239</v>
      </c>
      <c r="C2175" s="4">
        <v>3878</v>
      </c>
      <c r="D2175" s="4">
        <v>1</v>
      </c>
      <c r="E2175" s="4">
        <v>1</v>
      </c>
      <c r="F2175" s="4" t="s">
        <v>268</v>
      </c>
      <c r="G2175" s="4" t="s">
        <v>241</v>
      </c>
      <c r="H2175" s="4" t="s">
        <v>241</v>
      </c>
      <c r="I2175" s="4" t="s">
        <v>424</v>
      </c>
      <c r="J2175" s="4" t="s">
        <v>274</v>
      </c>
      <c r="K2175" s="4" t="s">
        <v>251</v>
      </c>
      <c r="L2175" s="4" t="s">
        <v>423</v>
      </c>
      <c r="M2175" s="5" t="s">
        <v>624</v>
      </c>
      <c r="N2175" s="6">
        <f>895</f>
        <v>895</v>
      </c>
      <c r="O2175" s="4" t="s">
        <v>265</v>
      </c>
      <c r="P2175" s="6">
        <f>1</f>
        <v>1</v>
      </c>
      <c r="Q2175" s="6">
        <f>0</f>
        <v>0</v>
      </c>
      <c r="S2175" s="6">
        <f>0</f>
        <v>0</v>
      </c>
      <c r="T2175" s="6">
        <f>1</f>
        <v>1</v>
      </c>
      <c r="U2175" s="5" t="s">
        <v>245</v>
      </c>
      <c r="V2175" s="4" t="s">
        <v>270</v>
      </c>
      <c r="W2175" s="4" t="s">
        <v>271</v>
      </c>
      <c r="X2175" s="4" t="s">
        <v>273</v>
      </c>
      <c r="Y2175" s="4" t="s">
        <v>241</v>
      </c>
      <c r="AB2175" s="4" t="s">
        <v>241</v>
      </c>
      <c r="AD2175" s="5" t="s">
        <v>241</v>
      </c>
      <c r="AG2175" s="5" t="s">
        <v>246</v>
      </c>
      <c r="AH2175" s="4" t="s">
        <v>241</v>
      </c>
      <c r="AI2175" s="4" t="s">
        <v>247</v>
      </c>
      <c r="AJ2175" s="4" t="s">
        <v>248</v>
      </c>
      <c r="AZ2175" s="4" t="s">
        <v>249</v>
      </c>
      <c r="BA2175" s="4" t="s">
        <v>241</v>
      </c>
      <c r="BB2175" s="4" t="s">
        <v>250</v>
      </c>
      <c r="BC2175" s="4" t="s">
        <v>241</v>
      </c>
      <c r="BD2175" s="4" t="s">
        <v>252</v>
      </c>
      <c r="BE2175" s="4" t="s">
        <v>241</v>
      </c>
      <c r="BI2175" s="4" t="s">
        <v>253</v>
      </c>
      <c r="BJ2175" s="5" t="s">
        <v>246</v>
      </c>
      <c r="BK2175" s="4" t="s">
        <v>254</v>
      </c>
      <c r="BL2175" s="4" t="s">
        <v>255</v>
      </c>
      <c r="BM2175" s="4" t="s">
        <v>241</v>
      </c>
      <c r="BN2175" s="6">
        <f>0</f>
        <v>0</v>
      </c>
      <c r="BO2175" s="6">
        <f>0</f>
        <v>0</v>
      </c>
      <c r="BP2175" s="4" t="s">
        <v>256</v>
      </c>
      <c r="BQ2175" s="4" t="s">
        <v>257</v>
      </c>
      <c r="CE2175" s="4" t="s">
        <v>241</v>
      </c>
      <c r="CF2175" s="4" t="s">
        <v>241</v>
      </c>
      <c r="CJ2175" s="4" t="s">
        <v>276</v>
      </c>
      <c r="CK2175" s="4" t="s">
        <v>259</v>
      </c>
      <c r="CL2175" s="4" t="s">
        <v>241</v>
      </c>
      <c r="CO2175" s="5" t="s">
        <v>260</v>
      </c>
      <c r="CP2175" s="4" t="s">
        <v>241</v>
      </c>
      <c r="CQ2175" s="4" t="s">
        <v>261</v>
      </c>
      <c r="CR2175" s="4" t="s">
        <v>241</v>
      </c>
      <c r="CS2175" s="4" t="s">
        <v>241</v>
      </c>
      <c r="CT2175" s="4">
        <v>0</v>
      </c>
      <c r="CU2175" s="4" t="s">
        <v>262</v>
      </c>
      <c r="CV2175" s="4" t="s">
        <v>263</v>
      </c>
      <c r="CW2175" s="4" t="s">
        <v>263</v>
      </c>
      <c r="CX2175" s="4" t="s">
        <v>264</v>
      </c>
      <c r="DA2175" s="6">
        <f>1</f>
        <v>1</v>
      </c>
      <c r="DC2175" s="4" t="s">
        <v>325</v>
      </c>
      <c r="DD2175" s="4" t="s">
        <v>241</v>
      </c>
      <c r="DF2175" s="4" t="s">
        <v>325</v>
      </c>
      <c r="DG2175" s="6">
        <f>895</f>
        <v>895</v>
      </c>
      <c r="DI2175" s="4" t="s">
        <v>241</v>
      </c>
      <c r="DJ2175" s="4" t="s">
        <v>241</v>
      </c>
      <c r="DK2175" s="4" t="s">
        <v>241</v>
      </c>
      <c r="DL2175" s="4" t="s">
        <v>241</v>
      </c>
      <c r="DP2175" s="4" t="s">
        <v>241</v>
      </c>
      <c r="DQ2175" s="4" t="s">
        <v>241</v>
      </c>
      <c r="DR2175" s="4" t="s">
        <v>241</v>
      </c>
      <c r="DS2175" s="4" t="s">
        <v>241</v>
      </c>
      <c r="DV2175" s="4" t="s">
        <v>426</v>
      </c>
      <c r="DW2175" s="4" t="s">
        <v>625</v>
      </c>
      <c r="HO2175" s="4" t="s">
        <v>267</v>
      </c>
    </row>
    <row r="2176" spans="1:223" ht="19.5" customHeight="1" x14ac:dyDescent="0.4">
      <c r="A2176" s="4">
        <v>1</v>
      </c>
      <c r="B2176" s="4" t="s">
        <v>239</v>
      </c>
      <c r="C2176" s="4">
        <v>3879</v>
      </c>
      <c r="D2176" s="4">
        <v>1</v>
      </c>
      <c r="E2176" s="4">
        <v>1</v>
      </c>
      <c r="F2176" s="4" t="s">
        <v>268</v>
      </c>
      <c r="G2176" s="4" t="s">
        <v>241</v>
      </c>
      <c r="H2176" s="4" t="s">
        <v>241</v>
      </c>
      <c r="I2176" s="4" t="s">
        <v>424</v>
      </c>
      <c r="J2176" s="4" t="s">
        <v>274</v>
      </c>
      <c r="K2176" s="4" t="s">
        <v>251</v>
      </c>
      <c r="L2176" s="4" t="s">
        <v>423</v>
      </c>
      <c r="M2176" s="5" t="s">
        <v>626</v>
      </c>
      <c r="N2176" s="6">
        <f>656</f>
        <v>656</v>
      </c>
      <c r="O2176" s="4" t="s">
        <v>265</v>
      </c>
      <c r="P2176" s="6">
        <f>1</f>
        <v>1</v>
      </c>
      <c r="Q2176" s="6">
        <f>0</f>
        <v>0</v>
      </c>
      <c r="S2176" s="6">
        <f>0</f>
        <v>0</v>
      </c>
      <c r="T2176" s="6">
        <f>1</f>
        <v>1</v>
      </c>
      <c r="U2176" s="5" t="s">
        <v>245</v>
      </c>
      <c r="V2176" s="4" t="s">
        <v>270</v>
      </c>
      <c r="W2176" s="4" t="s">
        <v>271</v>
      </c>
      <c r="X2176" s="4" t="s">
        <v>273</v>
      </c>
      <c r="Y2176" s="4" t="s">
        <v>241</v>
      </c>
      <c r="AB2176" s="4" t="s">
        <v>241</v>
      </c>
      <c r="AD2176" s="5" t="s">
        <v>241</v>
      </c>
      <c r="AG2176" s="5" t="s">
        <v>246</v>
      </c>
      <c r="AH2176" s="4" t="s">
        <v>241</v>
      </c>
      <c r="AI2176" s="4" t="s">
        <v>247</v>
      </c>
      <c r="AJ2176" s="4" t="s">
        <v>248</v>
      </c>
      <c r="AZ2176" s="4" t="s">
        <v>249</v>
      </c>
      <c r="BA2176" s="4" t="s">
        <v>241</v>
      </c>
      <c r="BB2176" s="4" t="s">
        <v>250</v>
      </c>
      <c r="BC2176" s="4" t="s">
        <v>241</v>
      </c>
      <c r="BD2176" s="4" t="s">
        <v>252</v>
      </c>
      <c r="BE2176" s="4" t="s">
        <v>241</v>
      </c>
      <c r="BI2176" s="4" t="s">
        <v>253</v>
      </c>
      <c r="BJ2176" s="5" t="s">
        <v>246</v>
      </c>
      <c r="BK2176" s="4" t="s">
        <v>254</v>
      </c>
      <c r="BL2176" s="4" t="s">
        <v>255</v>
      </c>
      <c r="BM2176" s="4" t="s">
        <v>241</v>
      </c>
      <c r="BN2176" s="6">
        <f>0</f>
        <v>0</v>
      </c>
      <c r="BO2176" s="6">
        <f>0</f>
        <v>0</v>
      </c>
      <c r="BP2176" s="4" t="s">
        <v>256</v>
      </c>
      <c r="BQ2176" s="4" t="s">
        <v>257</v>
      </c>
      <c r="CE2176" s="4" t="s">
        <v>241</v>
      </c>
      <c r="CF2176" s="4" t="s">
        <v>241</v>
      </c>
      <c r="CJ2176" s="4" t="s">
        <v>276</v>
      </c>
      <c r="CK2176" s="4" t="s">
        <v>259</v>
      </c>
      <c r="CL2176" s="4" t="s">
        <v>241</v>
      </c>
      <c r="CO2176" s="5" t="s">
        <v>260</v>
      </c>
      <c r="CP2176" s="4" t="s">
        <v>241</v>
      </c>
      <c r="CQ2176" s="4" t="s">
        <v>261</v>
      </c>
      <c r="CR2176" s="4" t="s">
        <v>241</v>
      </c>
      <c r="CS2176" s="4" t="s">
        <v>241</v>
      </c>
      <c r="CT2176" s="4">
        <v>0</v>
      </c>
      <c r="CU2176" s="4" t="s">
        <v>262</v>
      </c>
      <c r="CV2176" s="4" t="s">
        <v>263</v>
      </c>
      <c r="CW2176" s="4" t="s">
        <v>263</v>
      </c>
      <c r="CX2176" s="4" t="s">
        <v>264</v>
      </c>
      <c r="DA2176" s="6">
        <f>1</f>
        <v>1</v>
      </c>
      <c r="DC2176" s="4" t="s">
        <v>325</v>
      </c>
      <c r="DD2176" s="4" t="s">
        <v>241</v>
      </c>
      <c r="DF2176" s="4" t="s">
        <v>325</v>
      </c>
      <c r="DG2176" s="6">
        <f>656</f>
        <v>656</v>
      </c>
      <c r="DI2176" s="4" t="s">
        <v>241</v>
      </c>
      <c r="DJ2176" s="4" t="s">
        <v>241</v>
      </c>
      <c r="DK2176" s="4" t="s">
        <v>241</v>
      </c>
      <c r="DL2176" s="4" t="s">
        <v>241</v>
      </c>
      <c r="DP2176" s="4" t="s">
        <v>241</v>
      </c>
      <c r="DQ2176" s="4" t="s">
        <v>241</v>
      </c>
      <c r="DR2176" s="4" t="s">
        <v>241</v>
      </c>
      <c r="DS2176" s="4" t="s">
        <v>241</v>
      </c>
      <c r="DV2176" s="4" t="s">
        <v>426</v>
      </c>
      <c r="DW2176" s="4" t="s">
        <v>627</v>
      </c>
      <c r="HO2176" s="4" t="s">
        <v>267</v>
      </c>
    </row>
    <row r="2177" spans="1:223" ht="19.5" customHeight="1" x14ac:dyDescent="0.4">
      <c r="A2177" s="4">
        <v>1</v>
      </c>
      <c r="B2177" s="4" t="s">
        <v>239</v>
      </c>
      <c r="C2177" s="4">
        <v>3880</v>
      </c>
      <c r="D2177" s="4">
        <v>1</v>
      </c>
      <c r="E2177" s="4">
        <v>1</v>
      </c>
      <c r="F2177" s="4" t="s">
        <v>268</v>
      </c>
      <c r="G2177" s="4" t="s">
        <v>241</v>
      </c>
      <c r="H2177" s="4" t="s">
        <v>241</v>
      </c>
      <c r="I2177" s="4" t="s">
        <v>424</v>
      </c>
      <c r="J2177" s="4" t="s">
        <v>274</v>
      </c>
      <c r="K2177" s="4" t="s">
        <v>251</v>
      </c>
      <c r="L2177" s="4" t="s">
        <v>423</v>
      </c>
      <c r="M2177" s="5" t="s">
        <v>631</v>
      </c>
      <c r="N2177" s="6">
        <f>324</f>
        <v>324</v>
      </c>
      <c r="O2177" s="4" t="s">
        <v>265</v>
      </c>
      <c r="P2177" s="6">
        <f>1</f>
        <v>1</v>
      </c>
      <c r="Q2177" s="6">
        <f>0</f>
        <v>0</v>
      </c>
      <c r="S2177" s="6">
        <f>0</f>
        <v>0</v>
      </c>
      <c r="T2177" s="6">
        <f>1</f>
        <v>1</v>
      </c>
      <c r="U2177" s="5" t="s">
        <v>245</v>
      </c>
      <c r="V2177" s="4" t="s">
        <v>270</v>
      </c>
      <c r="W2177" s="4" t="s">
        <v>271</v>
      </c>
      <c r="X2177" s="4" t="s">
        <v>273</v>
      </c>
      <c r="Y2177" s="4" t="s">
        <v>241</v>
      </c>
      <c r="AB2177" s="4" t="s">
        <v>241</v>
      </c>
      <c r="AD2177" s="5" t="s">
        <v>241</v>
      </c>
      <c r="AG2177" s="5" t="s">
        <v>246</v>
      </c>
      <c r="AH2177" s="4" t="s">
        <v>241</v>
      </c>
      <c r="AI2177" s="4" t="s">
        <v>247</v>
      </c>
      <c r="AJ2177" s="4" t="s">
        <v>248</v>
      </c>
      <c r="AZ2177" s="4" t="s">
        <v>249</v>
      </c>
      <c r="BA2177" s="4" t="s">
        <v>241</v>
      </c>
      <c r="BB2177" s="4" t="s">
        <v>250</v>
      </c>
      <c r="BC2177" s="4" t="s">
        <v>241</v>
      </c>
      <c r="BD2177" s="4" t="s">
        <v>252</v>
      </c>
      <c r="BE2177" s="4" t="s">
        <v>241</v>
      </c>
      <c r="BI2177" s="4" t="s">
        <v>253</v>
      </c>
      <c r="BJ2177" s="5" t="s">
        <v>246</v>
      </c>
      <c r="BK2177" s="4" t="s">
        <v>254</v>
      </c>
      <c r="BL2177" s="4" t="s">
        <v>255</v>
      </c>
      <c r="BM2177" s="4" t="s">
        <v>241</v>
      </c>
      <c r="BN2177" s="6">
        <f>0</f>
        <v>0</v>
      </c>
      <c r="BO2177" s="6">
        <f>0</f>
        <v>0</v>
      </c>
      <c r="BP2177" s="4" t="s">
        <v>256</v>
      </c>
      <c r="BQ2177" s="4" t="s">
        <v>257</v>
      </c>
      <c r="CE2177" s="4" t="s">
        <v>241</v>
      </c>
      <c r="CF2177" s="4" t="s">
        <v>241</v>
      </c>
      <c r="CJ2177" s="4" t="s">
        <v>276</v>
      </c>
      <c r="CK2177" s="4" t="s">
        <v>259</v>
      </c>
      <c r="CL2177" s="4" t="s">
        <v>241</v>
      </c>
      <c r="CO2177" s="5" t="s">
        <v>260</v>
      </c>
      <c r="CP2177" s="4" t="s">
        <v>241</v>
      </c>
      <c r="CQ2177" s="4" t="s">
        <v>261</v>
      </c>
      <c r="CR2177" s="4" t="s">
        <v>241</v>
      </c>
      <c r="CS2177" s="4" t="s">
        <v>241</v>
      </c>
      <c r="CT2177" s="4">
        <v>0</v>
      </c>
      <c r="CU2177" s="4" t="s">
        <v>262</v>
      </c>
      <c r="CV2177" s="4" t="s">
        <v>263</v>
      </c>
      <c r="CW2177" s="4" t="s">
        <v>263</v>
      </c>
      <c r="CX2177" s="4" t="s">
        <v>264</v>
      </c>
      <c r="DA2177" s="6">
        <f>1</f>
        <v>1</v>
      </c>
      <c r="DC2177" s="4" t="s">
        <v>325</v>
      </c>
      <c r="DD2177" s="4" t="s">
        <v>241</v>
      </c>
      <c r="DF2177" s="4" t="s">
        <v>325</v>
      </c>
      <c r="DG2177" s="6">
        <f>324</f>
        <v>324</v>
      </c>
      <c r="DI2177" s="4" t="s">
        <v>241</v>
      </c>
      <c r="DJ2177" s="4" t="s">
        <v>241</v>
      </c>
      <c r="DK2177" s="4" t="s">
        <v>241</v>
      </c>
      <c r="DL2177" s="4" t="s">
        <v>241</v>
      </c>
      <c r="DP2177" s="4" t="s">
        <v>241</v>
      </c>
      <c r="DQ2177" s="4" t="s">
        <v>241</v>
      </c>
      <c r="DR2177" s="4" t="s">
        <v>241</v>
      </c>
      <c r="DS2177" s="4" t="s">
        <v>241</v>
      </c>
      <c r="DV2177" s="4" t="s">
        <v>426</v>
      </c>
      <c r="DW2177" s="4" t="s">
        <v>632</v>
      </c>
      <c r="HO2177" s="4" t="s">
        <v>267</v>
      </c>
    </row>
    <row r="2178" spans="1:223" ht="19.5" customHeight="1" x14ac:dyDescent="0.4">
      <c r="A2178" s="4">
        <v>1</v>
      </c>
      <c r="B2178" s="4" t="s">
        <v>239</v>
      </c>
      <c r="C2178" s="4">
        <v>3881</v>
      </c>
      <c r="D2178" s="4">
        <v>1</v>
      </c>
      <c r="E2178" s="4">
        <v>1</v>
      </c>
      <c r="F2178" s="4" t="s">
        <v>268</v>
      </c>
      <c r="G2178" s="4" t="s">
        <v>241</v>
      </c>
      <c r="H2178" s="4" t="s">
        <v>241</v>
      </c>
      <c r="I2178" s="4" t="s">
        <v>424</v>
      </c>
      <c r="J2178" s="4" t="s">
        <v>274</v>
      </c>
      <c r="K2178" s="4" t="s">
        <v>251</v>
      </c>
      <c r="L2178" s="4" t="s">
        <v>423</v>
      </c>
      <c r="M2178" s="5" t="s">
        <v>3941</v>
      </c>
      <c r="N2178" s="6">
        <f>658</f>
        <v>658</v>
      </c>
      <c r="O2178" s="4" t="s">
        <v>265</v>
      </c>
      <c r="P2178" s="6">
        <f>1</f>
        <v>1</v>
      </c>
      <c r="Q2178" s="6">
        <f>0</f>
        <v>0</v>
      </c>
      <c r="S2178" s="6">
        <f>0</f>
        <v>0</v>
      </c>
      <c r="T2178" s="6">
        <f>1</f>
        <v>1</v>
      </c>
      <c r="U2178" s="5" t="s">
        <v>245</v>
      </c>
      <c r="V2178" s="4" t="s">
        <v>270</v>
      </c>
      <c r="W2178" s="4" t="s">
        <v>271</v>
      </c>
      <c r="X2178" s="4" t="s">
        <v>273</v>
      </c>
      <c r="Y2178" s="4" t="s">
        <v>241</v>
      </c>
      <c r="AB2178" s="4" t="s">
        <v>241</v>
      </c>
      <c r="AD2178" s="5" t="s">
        <v>241</v>
      </c>
      <c r="AG2178" s="5" t="s">
        <v>246</v>
      </c>
      <c r="AH2178" s="4" t="s">
        <v>241</v>
      </c>
      <c r="AI2178" s="4" t="s">
        <v>247</v>
      </c>
      <c r="AJ2178" s="4" t="s">
        <v>248</v>
      </c>
      <c r="AZ2178" s="4" t="s">
        <v>249</v>
      </c>
      <c r="BA2178" s="4" t="s">
        <v>241</v>
      </c>
      <c r="BB2178" s="4" t="s">
        <v>250</v>
      </c>
      <c r="BC2178" s="4" t="s">
        <v>241</v>
      </c>
      <c r="BD2178" s="4" t="s">
        <v>252</v>
      </c>
      <c r="BE2178" s="4" t="s">
        <v>241</v>
      </c>
      <c r="BI2178" s="4" t="s">
        <v>253</v>
      </c>
      <c r="BJ2178" s="5" t="s">
        <v>246</v>
      </c>
      <c r="BK2178" s="4" t="s">
        <v>254</v>
      </c>
      <c r="BL2178" s="4" t="s">
        <v>255</v>
      </c>
      <c r="BM2178" s="4" t="s">
        <v>241</v>
      </c>
      <c r="BN2178" s="6">
        <f>0</f>
        <v>0</v>
      </c>
      <c r="BO2178" s="6">
        <f>0</f>
        <v>0</v>
      </c>
      <c r="BP2178" s="4" t="s">
        <v>256</v>
      </c>
      <c r="BQ2178" s="4" t="s">
        <v>257</v>
      </c>
      <c r="CE2178" s="4" t="s">
        <v>241</v>
      </c>
      <c r="CF2178" s="4" t="s">
        <v>241</v>
      </c>
      <c r="CJ2178" s="4" t="s">
        <v>276</v>
      </c>
      <c r="CK2178" s="4" t="s">
        <v>259</v>
      </c>
      <c r="CL2178" s="4" t="s">
        <v>241</v>
      </c>
      <c r="CO2178" s="5" t="s">
        <v>260</v>
      </c>
      <c r="CP2178" s="4" t="s">
        <v>241</v>
      </c>
      <c r="CQ2178" s="4" t="s">
        <v>261</v>
      </c>
      <c r="CR2178" s="4" t="s">
        <v>241</v>
      </c>
      <c r="CS2178" s="4" t="s">
        <v>241</v>
      </c>
      <c r="CT2178" s="4">
        <v>0</v>
      </c>
      <c r="CU2178" s="4" t="s">
        <v>262</v>
      </c>
      <c r="CV2178" s="4" t="s">
        <v>263</v>
      </c>
      <c r="CW2178" s="4" t="s">
        <v>263</v>
      </c>
      <c r="CX2178" s="4" t="s">
        <v>264</v>
      </c>
      <c r="DA2178" s="6">
        <f>1</f>
        <v>1</v>
      </c>
      <c r="DC2178" s="4" t="s">
        <v>325</v>
      </c>
      <c r="DD2178" s="4" t="s">
        <v>241</v>
      </c>
      <c r="DF2178" s="4" t="s">
        <v>325</v>
      </c>
      <c r="DG2178" s="6">
        <f>658</f>
        <v>658</v>
      </c>
      <c r="DI2178" s="4" t="s">
        <v>241</v>
      </c>
      <c r="DJ2178" s="4" t="s">
        <v>241</v>
      </c>
      <c r="DK2178" s="4" t="s">
        <v>241</v>
      </c>
      <c r="DL2178" s="4" t="s">
        <v>241</v>
      </c>
      <c r="DP2178" s="4" t="s">
        <v>241</v>
      </c>
      <c r="DQ2178" s="4" t="s">
        <v>241</v>
      </c>
      <c r="DR2178" s="4" t="s">
        <v>241</v>
      </c>
      <c r="DS2178" s="4" t="s">
        <v>241</v>
      </c>
      <c r="DV2178" s="4" t="s">
        <v>426</v>
      </c>
      <c r="DW2178" s="4" t="s">
        <v>1300</v>
      </c>
      <c r="HO2178" s="4" t="s">
        <v>267</v>
      </c>
    </row>
    <row r="2179" spans="1:223" ht="19.5" customHeight="1" x14ac:dyDescent="0.4">
      <c r="A2179" s="4">
        <v>1</v>
      </c>
      <c r="B2179" s="4" t="s">
        <v>239</v>
      </c>
      <c r="C2179" s="4">
        <v>3882</v>
      </c>
      <c r="D2179" s="4">
        <v>1</v>
      </c>
      <c r="E2179" s="4">
        <v>1</v>
      </c>
      <c r="F2179" s="4" t="s">
        <v>268</v>
      </c>
      <c r="G2179" s="4" t="s">
        <v>241</v>
      </c>
      <c r="H2179" s="4" t="s">
        <v>241</v>
      </c>
      <c r="I2179" s="4" t="s">
        <v>424</v>
      </c>
      <c r="J2179" s="4" t="s">
        <v>274</v>
      </c>
      <c r="K2179" s="4" t="s">
        <v>251</v>
      </c>
      <c r="L2179" s="4" t="s">
        <v>423</v>
      </c>
      <c r="M2179" s="5" t="s">
        <v>3667</v>
      </c>
      <c r="N2179" s="6">
        <f>75</f>
        <v>75</v>
      </c>
      <c r="O2179" s="4" t="s">
        <v>265</v>
      </c>
      <c r="P2179" s="6">
        <f>1</f>
        <v>1</v>
      </c>
      <c r="Q2179" s="6">
        <f>0</f>
        <v>0</v>
      </c>
      <c r="S2179" s="6">
        <f>0</f>
        <v>0</v>
      </c>
      <c r="T2179" s="6">
        <f>1</f>
        <v>1</v>
      </c>
      <c r="U2179" s="5" t="s">
        <v>245</v>
      </c>
      <c r="V2179" s="4" t="s">
        <v>270</v>
      </c>
      <c r="W2179" s="4" t="s">
        <v>271</v>
      </c>
      <c r="X2179" s="4" t="s">
        <v>273</v>
      </c>
      <c r="Y2179" s="4" t="s">
        <v>241</v>
      </c>
      <c r="AB2179" s="4" t="s">
        <v>241</v>
      </c>
      <c r="AD2179" s="5" t="s">
        <v>241</v>
      </c>
      <c r="AG2179" s="5" t="s">
        <v>246</v>
      </c>
      <c r="AH2179" s="4" t="s">
        <v>241</v>
      </c>
      <c r="AI2179" s="4" t="s">
        <v>247</v>
      </c>
      <c r="AJ2179" s="4" t="s">
        <v>248</v>
      </c>
      <c r="AZ2179" s="4" t="s">
        <v>249</v>
      </c>
      <c r="BA2179" s="4" t="s">
        <v>241</v>
      </c>
      <c r="BB2179" s="4" t="s">
        <v>250</v>
      </c>
      <c r="BC2179" s="4" t="s">
        <v>241</v>
      </c>
      <c r="BD2179" s="4" t="s">
        <v>252</v>
      </c>
      <c r="BE2179" s="4" t="s">
        <v>241</v>
      </c>
      <c r="BI2179" s="4" t="s">
        <v>253</v>
      </c>
      <c r="BJ2179" s="5" t="s">
        <v>246</v>
      </c>
      <c r="BK2179" s="4" t="s">
        <v>254</v>
      </c>
      <c r="BL2179" s="4" t="s">
        <v>255</v>
      </c>
      <c r="BM2179" s="4" t="s">
        <v>241</v>
      </c>
      <c r="BN2179" s="6">
        <f>0</f>
        <v>0</v>
      </c>
      <c r="BO2179" s="6">
        <f>0</f>
        <v>0</v>
      </c>
      <c r="BP2179" s="4" t="s">
        <v>256</v>
      </c>
      <c r="BQ2179" s="4" t="s">
        <v>257</v>
      </c>
      <c r="CE2179" s="4" t="s">
        <v>241</v>
      </c>
      <c r="CF2179" s="4" t="s">
        <v>241</v>
      </c>
      <c r="CJ2179" s="4" t="s">
        <v>276</v>
      </c>
      <c r="CK2179" s="4" t="s">
        <v>259</v>
      </c>
      <c r="CL2179" s="4" t="s">
        <v>241</v>
      </c>
      <c r="CO2179" s="5" t="s">
        <v>260</v>
      </c>
      <c r="CP2179" s="4" t="s">
        <v>241</v>
      </c>
      <c r="CQ2179" s="4" t="s">
        <v>261</v>
      </c>
      <c r="CR2179" s="4" t="s">
        <v>241</v>
      </c>
      <c r="CS2179" s="4" t="s">
        <v>241</v>
      </c>
      <c r="CT2179" s="4">
        <v>0</v>
      </c>
      <c r="CU2179" s="4" t="s">
        <v>262</v>
      </c>
      <c r="CV2179" s="4" t="s">
        <v>263</v>
      </c>
      <c r="CW2179" s="4" t="s">
        <v>263</v>
      </c>
      <c r="CX2179" s="4" t="s">
        <v>264</v>
      </c>
      <c r="DA2179" s="6">
        <f>1</f>
        <v>1</v>
      </c>
      <c r="DC2179" s="4" t="s">
        <v>325</v>
      </c>
      <c r="DD2179" s="4" t="s">
        <v>241</v>
      </c>
      <c r="DF2179" s="4" t="s">
        <v>325</v>
      </c>
      <c r="DG2179" s="6">
        <f>75</f>
        <v>75</v>
      </c>
      <c r="DI2179" s="4" t="s">
        <v>241</v>
      </c>
      <c r="DJ2179" s="4" t="s">
        <v>241</v>
      </c>
      <c r="DK2179" s="4" t="s">
        <v>241</v>
      </c>
      <c r="DL2179" s="4" t="s">
        <v>241</v>
      </c>
      <c r="DP2179" s="4" t="s">
        <v>241</v>
      </c>
      <c r="DQ2179" s="4" t="s">
        <v>241</v>
      </c>
      <c r="DR2179" s="4" t="s">
        <v>241</v>
      </c>
      <c r="DS2179" s="4" t="s">
        <v>241</v>
      </c>
      <c r="DV2179" s="4" t="s">
        <v>426</v>
      </c>
      <c r="DW2179" s="4" t="s">
        <v>1294</v>
      </c>
      <c r="HO2179" s="4" t="s">
        <v>267</v>
      </c>
    </row>
    <row r="2180" spans="1:223" ht="19.5" customHeight="1" x14ac:dyDescent="0.4">
      <c r="A2180" s="4">
        <v>1</v>
      </c>
      <c r="B2180" s="4" t="s">
        <v>239</v>
      </c>
      <c r="C2180" s="4">
        <v>3883</v>
      </c>
      <c r="D2180" s="4">
        <v>1</v>
      </c>
      <c r="E2180" s="4">
        <v>1</v>
      </c>
      <c r="F2180" s="4" t="s">
        <v>268</v>
      </c>
      <c r="G2180" s="4" t="s">
        <v>241</v>
      </c>
      <c r="H2180" s="4" t="s">
        <v>241</v>
      </c>
      <c r="I2180" s="4" t="s">
        <v>424</v>
      </c>
      <c r="J2180" s="4" t="s">
        <v>274</v>
      </c>
      <c r="K2180" s="4" t="s">
        <v>251</v>
      </c>
      <c r="L2180" s="4" t="s">
        <v>423</v>
      </c>
      <c r="M2180" s="5" t="s">
        <v>637</v>
      </c>
      <c r="N2180" s="6">
        <f>2691</f>
        <v>2691</v>
      </c>
      <c r="O2180" s="4" t="s">
        <v>265</v>
      </c>
      <c r="P2180" s="6">
        <f>1</f>
        <v>1</v>
      </c>
      <c r="Q2180" s="6">
        <f>0</f>
        <v>0</v>
      </c>
      <c r="S2180" s="6">
        <f>0</f>
        <v>0</v>
      </c>
      <c r="T2180" s="6">
        <f>1</f>
        <v>1</v>
      </c>
      <c r="U2180" s="5" t="s">
        <v>245</v>
      </c>
      <c r="V2180" s="4" t="s">
        <v>270</v>
      </c>
      <c r="W2180" s="4" t="s">
        <v>271</v>
      </c>
      <c r="X2180" s="4" t="s">
        <v>273</v>
      </c>
      <c r="Y2180" s="4" t="s">
        <v>241</v>
      </c>
      <c r="AB2180" s="4" t="s">
        <v>241</v>
      </c>
      <c r="AD2180" s="5" t="s">
        <v>241</v>
      </c>
      <c r="AG2180" s="5" t="s">
        <v>246</v>
      </c>
      <c r="AH2180" s="4" t="s">
        <v>241</v>
      </c>
      <c r="AI2180" s="4" t="s">
        <v>247</v>
      </c>
      <c r="AJ2180" s="4" t="s">
        <v>248</v>
      </c>
      <c r="AZ2180" s="4" t="s">
        <v>249</v>
      </c>
      <c r="BA2180" s="4" t="s">
        <v>241</v>
      </c>
      <c r="BB2180" s="4" t="s">
        <v>250</v>
      </c>
      <c r="BC2180" s="4" t="s">
        <v>241</v>
      </c>
      <c r="BD2180" s="4" t="s">
        <v>252</v>
      </c>
      <c r="BE2180" s="4" t="s">
        <v>241</v>
      </c>
      <c r="BI2180" s="4" t="s">
        <v>253</v>
      </c>
      <c r="BJ2180" s="5" t="s">
        <v>246</v>
      </c>
      <c r="BK2180" s="4" t="s">
        <v>254</v>
      </c>
      <c r="BL2180" s="4" t="s">
        <v>255</v>
      </c>
      <c r="BM2180" s="4" t="s">
        <v>241</v>
      </c>
      <c r="BN2180" s="6">
        <f>0</f>
        <v>0</v>
      </c>
      <c r="BO2180" s="6">
        <f>0</f>
        <v>0</v>
      </c>
      <c r="BP2180" s="4" t="s">
        <v>256</v>
      </c>
      <c r="BQ2180" s="4" t="s">
        <v>257</v>
      </c>
      <c r="CE2180" s="4" t="s">
        <v>241</v>
      </c>
      <c r="CF2180" s="4" t="s">
        <v>241</v>
      </c>
      <c r="CJ2180" s="4" t="s">
        <v>276</v>
      </c>
      <c r="CK2180" s="4" t="s">
        <v>259</v>
      </c>
      <c r="CL2180" s="4" t="s">
        <v>241</v>
      </c>
      <c r="CO2180" s="5" t="s">
        <v>260</v>
      </c>
      <c r="CP2180" s="4" t="s">
        <v>241</v>
      </c>
      <c r="CQ2180" s="4" t="s">
        <v>261</v>
      </c>
      <c r="CR2180" s="4" t="s">
        <v>241</v>
      </c>
      <c r="CS2180" s="4" t="s">
        <v>241</v>
      </c>
      <c r="CT2180" s="4">
        <v>0</v>
      </c>
      <c r="CU2180" s="4" t="s">
        <v>262</v>
      </c>
      <c r="CV2180" s="4" t="s">
        <v>263</v>
      </c>
      <c r="CW2180" s="4" t="s">
        <v>263</v>
      </c>
      <c r="CX2180" s="4" t="s">
        <v>264</v>
      </c>
      <c r="DA2180" s="6">
        <f>1</f>
        <v>1</v>
      </c>
      <c r="DC2180" s="4" t="s">
        <v>325</v>
      </c>
      <c r="DD2180" s="4" t="s">
        <v>241</v>
      </c>
      <c r="DF2180" s="4" t="s">
        <v>325</v>
      </c>
      <c r="DG2180" s="6">
        <f>2691</f>
        <v>2691</v>
      </c>
      <c r="DI2180" s="4" t="s">
        <v>241</v>
      </c>
      <c r="DJ2180" s="4" t="s">
        <v>241</v>
      </c>
      <c r="DK2180" s="4" t="s">
        <v>241</v>
      </c>
      <c r="DL2180" s="4" t="s">
        <v>241</v>
      </c>
      <c r="DP2180" s="4" t="s">
        <v>241</v>
      </c>
      <c r="DQ2180" s="4" t="s">
        <v>241</v>
      </c>
      <c r="DR2180" s="4" t="s">
        <v>241</v>
      </c>
      <c r="DS2180" s="4" t="s">
        <v>241</v>
      </c>
      <c r="DV2180" s="4" t="s">
        <v>426</v>
      </c>
      <c r="DW2180" s="4" t="s">
        <v>638</v>
      </c>
      <c r="HO2180" s="4" t="s">
        <v>267</v>
      </c>
    </row>
    <row r="2181" spans="1:223" ht="19.5" customHeight="1" x14ac:dyDescent="0.4">
      <c r="A2181" s="4">
        <v>1</v>
      </c>
      <c r="B2181" s="4" t="s">
        <v>239</v>
      </c>
      <c r="C2181" s="4">
        <v>3884</v>
      </c>
      <c r="D2181" s="4">
        <v>1</v>
      </c>
      <c r="E2181" s="4">
        <v>1</v>
      </c>
      <c r="F2181" s="4" t="s">
        <v>268</v>
      </c>
      <c r="G2181" s="4" t="s">
        <v>241</v>
      </c>
      <c r="H2181" s="4" t="s">
        <v>241</v>
      </c>
      <c r="I2181" s="4" t="s">
        <v>424</v>
      </c>
      <c r="J2181" s="4" t="s">
        <v>274</v>
      </c>
      <c r="K2181" s="4" t="s">
        <v>251</v>
      </c>
      <c r="L2181" s="4" t="s">
        <v>423</v>
      </c>
      <c r="M2181" s="5" t="s">
        <v>3833</v>
      </c>
      <c r="N2181" s="6">
        <f>132</f>
        <v>132</v>
      </c>
      <c r="O2181" s="4" t="s">
        <v>265</v>
      </c>
      <c r="P2181" s="6">
        <f>1</f>
        <v>1</v>
      </c>
      <c r="Q2181" s="6">
        <f>0</f>
        <v>0</v>
      </c>
      <c r="S2181" s="6">
        <f>0</f>
        <v>0</v>
      </c>
      <c r="T2181" s="6">
        <f>1</f>
        <v>1</v>
      </c>
      <c r="U2181" s="5" t="s">
        <v>245</v>
      </c>
      <c r="V2181" s="4" t="s">
        <v>270</v>
      </c>
      <c r="W2181" s="4" t="s">
        <v>271</v>
      </c>
      <c r="X2181" s="4" t="s">
        <v>273</v>
      </c>
      <c r="Y2181" s="4" t="s">
        <v>241</v>
      </c>
      <c r="AB2181" s="4" t="s">
        <v>241</v>
      </c>
      <c r="AD2181" s="5" t="s">
        <v>241</v>
      </c>
      <c r="AG2181" s="5" t="s">
        <v>246</v>
      </c>
      <c r="AH2181" s="4" t="s">
        <v>241</v>
      </c>
      <c r="AI2181" s="4" t="s">
        <v>247</v>
      </c>
      <c r="AJ2181" s="4" t="s">
        <v>248</v>
      </c>
      <c r="AZ2181" s="4" t="s">
        <v>249</v>
      </c>
      <c r="BA2181" s="4" t="s">
        <v>241</v>
      </c>
      <c r="BB2181" s="4" t="s">
        <v>250</v>
      </c>
      <c r="BC2181" s="4" t="s">
        <v>241</v>
      </c>
      <c r="BD2181" s="4" t="s">
        <v>252</v>
      </c>
      <c r="BE2181" s="4" t="s">
        <v>241</v>
      </c>
      <c r="BI2181" s="4" t="s">
        <v>253</v>
      </c>
      <c r="BJ2181" s="5" t="s">
        <v>246</v>
      </c>
      <c r="BK2181" s="4" t="s">
        <v>254</v>
      </c>
      <c r="BL2181" s="4" t="s">
        <v>255</v>
      </c>
      <c r="BM2181" s="4" t="s">
        <v>241</v>
      </c>
      <c r="BN2181" s="6">
        <f>0</f>
        <v>0</v>
      </c>
      <c r="BO2181" s="6">
        <f>0</f>
        <v>0</v>
      </c>
      <c r="BP2181" s="4" t="s">
        <v>256</v>
      </c>
      <c r="BQ2181" s="4" t="s">
        <v>257</v>
      </c>
      <c r="CE2181" s="4" t="s">
        <v>241</v>
      </c>
      <c r="CF2181" s="4" t="s">
        <v>241</v>
      </c>
      <c r="CJ2181" s="4" t="s">
        <v>276</v>
      </c>
      <c r="CK2181" s="4" t="s">
        <v>259</v>
      </c>
      <c r="CL2181" s="4" t="s">
        <v>241</v>
      </c>
      <c r="CO2181" s="5" t="s">
        <v>260</v>
      </c>
      <c r="CP2181" s="4" t="s">
        <v>241</v>
      </c>
      <c r="CQ2181" s="4" t="s">
        <v>261</v>
      </c>
      <c r="CR2181" s="4" t="s">
        <v>241</v>
      </c>
      <c r="CS2181" s="4" t="s">
        <v>241</v>
      </c>
      <c r="CT2181" s="4">
        <v>0</v>
      </c>
      <c r="CU2181" s="4" t="s">
        <v>262</v>
      </c>
      <c r="CV2181" s="4" t="s">
        <v>263</v>
      </c>
      <c r="CW2181" s="4" t="s">
        <v>263</v>
      </c>
      <c r="CX2181" s="4" t="s">
        <v>264</v>
      </c>
      <c r="DA2181" s="6">
        <f>1</f>
        <v>1</v>
      </c>
      <c r="DC2181" s="4" t="s">
        <v>325</v>
      </c>
      <c r="DD2181" s="4" t="s">
        <v>241</v>
      </c>
      <c r="DF2181" s="4" t="s">
        <v>325</v>
      </c>
      <c r="DG2181" s="6">
        <f>132</f>
        <v>132</v>
      </c>
      <c r="DI2181" s="4" t="s">
        <v>241</v>
      </c>
      <c r="DJ2181" s="4" t="s">
        <v>241</v>
      </c>
      <c r="DK2181" s="4" t="s">
        <v>241</v>
      </c>
      <c r="DL2181" s="4" t="s">
        <v>241</v>
      </c>
      <c r="DP2181" s="4" t="s">
        <v>241</v>
      </c>
      <c r="DQ2181" s="4" t="s">
        <v>241</v>
      </c>
      <c r="DR2181" s="4" t="s">
        <v>241</v>
      </c>
      <c r="DS2181" s="4" t="s">
        <v>241</v>
      </c>
      <c r="DV2181" s="4" t="s">
        <v>426</v>
      </c>
      <c r="DW2181" s="4" t="s">
        <v>1288</v>
      </c>
      <c r="HO2181" s="4" t="s">
        <v>267</v>
      </c>
    </row>
    <row r="2182" spans="1:223" ht="19.5" customHeight="1" x14ac:dyDescent="0.4">
      <c r="A2182" s="4">
        <v>1</v>
      </c>
      <c r="B2182" s="4" t="s">
        <v>239</v>
      </c>
      <c r="C2182" s="4">
        <v>3885</v>
      </c>
      <c r="D2182" s="4">
        <v>1</v>
      </c>
      <c r="E2182" s="4">
        <v>1</v>
      </c>
      <c r="F2182" s="4" t="s">
        <v>268</v>
      </c>
      <c r="G2182" s="4" t="s">
        <v>241</v>
      </c>
      <c r="H2182" s="4" t="s">
        <v>241</v>
      </c>
      <c r="I2182" s="4" t="s">
        <v>424</v>
      </c>
      <c r="J2182" s="4" t="s">
        <v>274</v>
      </c>
      <c r="K2182" s="4" t="s">
        <v>251</v>
      </c>
      <c r="L2182" s="4" t="s">
        <v>423</v>
      </c>
      <c r="M2182" s="5" t="s">
        <v>3945</v>
      </c>
      <c r="N2182" s="6">
        <f>208</f>
        <v>208</v>
      </c>
      <c r="O2182" s="4" t="s">
        <v>265</v>
      </c>
      <c r="P2182" s="6">
        <f>1</f>
        <v>1</v>
      </c>
      <c r="Q2182" s="6">
        <f>0</f>
        <v>0</v>
      </c>
      <c r="S2182" s="6">
        <f>0</f>
        <v>0</v>
      </c>
      <c r="T2182" s="6">
        <f>1</f>
        <v>1</v>
      </c>
      <c r="U2182" s="5" t="s">
        <v>245</v>
      </c>
      <c r="V2182" s="4" t="s">
        <v>270</v>
      </c>
      <c r="W2182" s="4" t="s">
        <v>271</v>
      </c>
      <c r="X2182" s="4" t="s">
        <v>273</v>
      </c>
      <c r="Y2182" s="4" t="s">
        <v>241</v>
      </c>
      <c r="AB2182" s="4" t="s">
        <v>241</v>
      </c>
      <c r="AD2182" s="5" t="s">
        <v>241</v>
      </c>
      <c r="AG2182" s="5" t="s">
        <v>246</v>
      </c>
      <c r="AH2182" s="4" t="s">
        <v>241</v>
      </c>
      <c r="AI2182" s="4" t="s">
        <v>247</v>
      </c>
      <c r="AJ2182" s="4" t="s">
        <v>248</v>
      </c>
      <c r="AZ2182" s="4" t="s">
        <v>249</v>
      </c>
      <c r="BA2182" s="4" t="s">
        <v>241</v>
      </c>
      <c r="BB2182" s="4" t="s">
        <v>250</v>
      </c>
      <c r="BC2182" s="4" t="s">
        <v>241</v>
      </c>
      <c r="BD2182" s="4" t="s">
        <v>252</v>
      </c>
      <c r="BE2182" s="4" t="s">
        <v>241</v>
      </c>
      <c r="BI2182" s="4" t="s">
        <v>253</v>
      </c>
      <c r="BJ2182" s="5" t="s">
        <v>246</v>
      </c>
      <c r="BK2182" s="4" t="s">
        <v>254</v>
      </c>
      <c r="BL2182" s="4" t="s">
        <v>255</v>
      </c>
      <c r="BM2182" s="4" t="s">
        <v>241</v>
      </c>
      <c r="BN2182" s="6">
        <f>0</f>
        <v>0</v>
      </c>
      <c r="BO2182" s="6">
        <f>0</f>
        <v>0</v>
      </c>
      <c r="BP2182" s="4" t="s">
        <v>256</v>
      </c>
      <c r="BQ2182" s="4" t="s">
        <v>257</v>
      </c>
      <c r="CE2182" s="4" t="s">
        <v>241</v>
      </c>
      <c r="CF2182" s="4" t="s">
        <v>241</v>
      </c>
      <c r="CJ2182" s="4" t="s">
        <v>276</v>
      </c>
      <c r="CK2182" s="4" t="s">
        <v>259</v>
      </c>
      <c r="CL2182" s="4" t="s">
        <v>241</v>
      </c>
      <c r="CO2182" s="5" t="s">
        <v>260</v>
      </c>
      <c r="CP2182" s="4" t="s">
        <v>241</v>
      </c>
      <c r="CQ2182" s="4" t="s">
        <v>261</v>
      </c>
      <c r="CR2182" s="4" t="s">
        <v>241</v>
      </c>
      <c r="CS2182" s="4" t="s">
        <v>241</v>
      </c>
      <c r="CT2182" s="4">
        <v>0</v>
      </c>
      <c r="CU2182" s="4" t="s">
        <v>262</v>
      </c>
      <c r="CV2182" s="4" t="s">
        <v>263</v>
      </c>
      <c r="CW2182" s="4" t="s">
        <v>263</v>
      </c>
      <c r="CX2182" s="4" t="s">
        <v>264</v>
      </c>
      <c r="DA2182" s="6">
        <f>1</f>
        <v>1</v>
      </c>
      <c r="DC2182" s="4" t="s">
        <v>325</v>
      </c>
      <c r="DD2182" s="4" t="s">
        <v>241</v>
      </c>
      <c r="DF2182" s="4" t="s">
        <v>325</v>
      </c>
      <c r="DG2182" s="6">
        <f>208</f>
        <v>208</v>
      </c>
      <c r="DI2182" s="4" t="s">
        <v>241</v>
      </c>
      <c r="DJ2182" s="4" t="s">
        <v>241</v>
      </c>
      <c r="DK2182" s="4" t="s">
        <v>241</v>
      </c>
      <c r="DL2182" s="4" t="s">
        <v>241</v>
      </c>
      <c r="DP2182" s="4" t="s">
        <v>241</v>
      </c>
      <c r="DQ2182" s="4" t="s">
        <v>241</v>
      </c>
      <c r="DR2182" s="4" t="s">
        <v>241</v>
      </c>
      <c r="DS2182" s="4" t="s">
        <v>241</v>
      </c>
      <c r="DV2182" s="4" t="s">
        <v>426</v>
      </c>
      <c r="DW2182" s="4" t="s">
        <v>1285</v>
      </c>
      <c r="HO2182" s="4" t="s">
        <v>267</v>
      </c>
    </row>
    <row r="2183" spans="1:223" ht="19.5" customHeight="1" x14ac:dyDescent="0.4">
      <c r="A2183" s="4">
        <v>1</v>
      </c>
      <c r="B2183" s="4" t="s">
        <v>239</v>
      </c>
      <c r="C2183" s="4">
        <v>3886</v>
      </c>
      <c r="D2183" s="4">
        <v>1</v>
      </c>
      <c r="E2183" s="4">
        <v>1</v>
      </c>
      <c r="F2183" s="4" t="s">
        <v>268</v>
      </c>
      <c r="G2183" s="4" t="s">
        <v>241</v>
      </c>
      <c r="H2183" s="4" t="s">
        <v>241</v>
      </c>
      <c r="I2183" s="4" t="s">
        <v>424</v>
      </c>
      <c r="J2183" s="4" t="s">
        <v>274</v>
      </c>
      <c r="K2183" s="4" t="s">
        <v>251</v>
      </c>
      <c r="L2183" s="4" t="s">
        <v>423</v>
      </c>
      <c r="M2183" s="5" t="s">
        <v>773</v>
      </c>
      <c r="N2183" s="6">
        <f>117</f>
        <v>117</v>
      </c>
      <c r="O2183" s="4" t="s">
        <v>265</v>
      </c>
      <c r="P2183" s="6">
        <f>1</f>
        <v>1</v>
      </c>
      <c r="Q2183" s="6">
        <f>0</f>
        <v>0</v>
      </c>
      <c r="S2183" s="6">
        <f>0</f>
        <v>0</v>
      </c>
      <c r="T2183" s="6">
        <f>1</f>
        <v>1</v>
      </c>
      <c r="U2183" s="5" t="s">
        <v>245</v>
      </c>
      <c r="V2183" s="4" t="s">
        <v>270</v>
      </c>
      <c r="W2183" s="4" t="s">
        <v>271</v>
      </c>
      <c r="X2183" s="4" t="s">
        <v>273</v>
      </c>
      <c r="Y2183" s="4" t="s">
        <v>241</v>
      </c>
      <c r="AB2183" s="4" t="s">
        <v>241</v>
      </c>
      <c r="AD2183" s="5" t="s">
        <v>241</v>
      </c>
      <c r="AG2183" s="5" t="s">
        <v>246</v>
      </c>
      <c r="AH2183" s="4" t="s">
        <v>241</v>
      </c>
      <c r="AI2183" s="4" t="s">
        <v>247</v>
      </c>
      <c r="AJ2183" s="4" t="s">
        <v>248</v>
      </c>
      <c r="AZ2183" s="4" t="s">
        <v>249</v>
      </c>
      <c r="BA2183" s="4" t="s">
        <v>241</v>
      </c>
      <c r="BB2183" s="4" t="s">
        <v>250</v>
      </c>
      <c r="BC2183" s="4" t="s">
        <v>241</v>
      </c>
      <c r="BD2183" s="4" t="s">
        <v>252</v>
      </c>
      <c r="BE2183" s="4" t="s">
        <v>241</v>
      </c>
      <c r="BI2183" s="4" t="s">
        <v>253</v>
      </c>
      <c r="BJ2183" s="5" t="s">
        <v>246</v>
      </c>
      <c r="BK2183" s="4" t="s">
        <v>254</v>
      </c>
      <c r="BL2183" s="4" t="s">
        <v>255</v>
      </c>
      <c r="BM2183" s="4" t="s">
        <v>241</v>
      </c>
      <c r="BN2183" s="6">
        <f>0</f>
        <v>0</v>
      </c>
      <c r="BO2183" s="6">
        <f>0</f>
        <v>0</v>
      </c>
      <c r="BP2183" s="4" t="s">
        <v>256</v>
      </c>
      <c r="BQ2183" s="4" t="s">
        <v>257</v>
      </c>
      <c r="CE2183" s="4" t="s">
        <v>241</v>
      </c>
      <c r="CF2183" s="4" t="s">
        <v>241</v>
      </c>
      <c r="CJ2183" s="4" t="s">
        <v>276</v>
      </c>
      <c r="CK2183" s="4" t="s">
        <v>259</v>
      </c>
      <c r="CL2183" s="4" t="s">
        <v>241</v>
      </c>
      <c r="CO2183" s="5" t="s">
        <v>260</v>
      </c>
      <c r="CP2183" s="4" t="s">
        <v>241</v>
      </c>
      <c r="CQ2183" s="4" t="s">
        <v>261</v>
      </c>
      <c r="CR2183" s="4" t="s">
        <v>241</v>
      </c>
      <c r="CS2183" s="4" t="s">
        <v>241</v>
      </c>
      <c r="CT2183" s="4">
        <v>0</v>
      </c>
      <c r="CU2183" s="4" t="s">
        <v>262</v>
      </c>
      <c r="CV2183" s="4" t="s">
        <v>263</v>
      </c>
      <c r="CW2183" s="4" t="s">
        <v>263</v>
      </c>
      <c r="CX2183" s="4" t="s">
        <v>264</v>
      </c>
      <c r="DA2183" s="6">
        <f>1</f>
        <v>1</v>
      </c>
      <c r="DC2183" s="4" t="s">
        <v>325</v>
      </c>
      <c r="DD2183" s="4" t="s">
        <v>241</v>
      </c>
      <c r="DF2183" s="4" t="s">
        <v>325</v>
      </c>
      <c r="DG2183" s="6">
        <f>117</f>
        <v>117</v>
      </c>
      <c r="DI2183" s="4" t="s">
        <v>241</v>
      </c>
      <c r="DJ2183" s="4" t="s">
        <v>241</v>
      </c>
      <c r="DK2183" s="4" t="s">
        <v>241</v>
      </c>
      <c r="DL2183" s="4" t="s">
        <v>241</v>
      </c>
      <c r="DP2183" s="4" t="s">
        <v>241</v>
      </c>
      <c r="DQ2183" s="4" t="s">
        <v>241</v>
      </c>
      <c r="DR2183" s="4" t="s">
        <v>241</v>
      </c>
      <c r="DS2183" s="4" t="s">
        <v>241</v>
      </c>
      <c r="DV2183" s="4" t="s">
        <v>426</v>
      </c>
      <c r="DW2183" s="4" t="s">
        <v>774</v>
      </c>
      <c r="HO2183" s="4" t="s">
        <v>267</v>
      </c>
    </row>
    <row r="2184" spans="1:223" ht="19.5" customHeight="1" x14ac:dyDescent="0.4">
      <c r="A2184" s="4">
        <v>1</v>
      </c>
      <c r="B2184" s="4" t="s">
        <v>239</v>
      </c>
      <c r="C2184" s="4">
        <v>3887</v>
      </c>
      <c r="D2184" s="4">
        <v>1</v>
      </c>
      <c r="E2184" s="4">
        <v>1</v>
      </c>
      <c r="F2184" s="4" t="s">
        <v>268</v>
      </c>
      <c r="G2184" s="4" t="s">
        <v>241</v>
      </c>
      <c r="H2184" s="4" t="s">
        <v>241</v>
      </c>
      <c r="I2184" s="4" t="s">
        <v>424</v>
      </c>
      <c r="J2184" s="4" t="s">
        <v>274</v>
      </c>
      <c r="K2184" s="4" t="s">
        <v>251</v>
      </c>
      <c r="L2184" s="4" t="s">
        <v>423</v>
      </c>
      <c r="M2184" s="5" t="s">
        <v>865</v>
      </c>
      <c r="N2184" s="6">
        <f>20</f>
        <v>20</v>
      </c>
      <c r="O2184" s="4" t="s">
        <v>265</v>
      </c>
      <c r="P2184" s="6">
        <f>1</f>
        <v>1</v>
      </c>
      <c r="Q2184" s="6">
        <f>0</f>
        <v>0</v>
      </c>
      <c r="S2184" s="6">
        <f>0</f>
        <v>0</v>
      </c>
      <c r="T2184" s="6">
        <f>1</f>
        <v>1</v>
      </c>
      <c r="U2184" s="5" t="s">
        <v>245</v>
      </c>
      <c r="V2184" s="4" t="s">
        <v>270</v>
      </c>
      <c r="W2184" s="4" t="s">
        <v>271</v>
      </c>
      <c r="X2184" s="4" t="s">
        <v>273</v>
      </c>
      <c r="Y2184" s="4" t="s">
        <v>241</v>
      </c>
      <c r="AB2184" s="4" t="s">
        <v>241</v>
      </c>
      <c r="AD2184" s="5" t="s">
        <v>241</v>
      </c>
      <c r="AG2184" s="5" t="s">
        <v>246</v>
      </c>
      <c r="AH2184" s="4" t="s">
        <v>241</v>
      </c>
      <c r="AI2184" s="4" t="s">
        <v>247</v>
      </c>
      <c r="AJ2184" s="4" t="s">
        <v>248</v>
      </c>
      <c r="AZ2184" s="4" t="s">
        <v>249</v>
      </c>
      <c r="BA2184" s="4" t="s">
        <v>241</v>
      </c>
      <c r="BB2184" s="4" t="s">
        <v>250</v>
      </c>
      <c r="BC2184" s="4" t="s">
        <v>241</v>
      </c>
      <c r="BD2184" s="4" t="s">
        <v>252</v>
      </c>
      <c r="BE2184" s="4" t="s">
        <v>241</v>
      </c>
      <c r="BI2184" s="4" t="s">
        <v>253</v>
      </c>
      <c r="BJ2184" s="5" t="s">
        <v>246</v>
      </c>
      <c r="BK2184" s="4" t="s">
        <v>254</v>
      </c>
      <c r="BL2184" s="4" t="s">
        <v>255</v>
      </c>
      <c r="BM2184" s="4" t="s">
        <v>241</v>
      </c>
      <c r="BN2184" s="6">
        <f>0</f>
        <v>0</v>
      </c>
      <c r="BO2184" s="6">
        <f>0</f>
        <v>0</v>
      </c>
      <c r="BP2184" s="4" t="s">
        <v>256</v>
      </c>
      <c r="BQ2184" s="4" t="s">
        <v>257</v>
      </c>
      <c r="CE2184" s="4" t="s">
        <v>241</v>
      </c>
      <c r="CF2184" s="4" t="s">
        <v>241</v>
      </c>
      <c r="CJ2184" s="4" t="s">
        <v>276</v>
      </c>
      <c r="CK2184" s="4" t="s">
        <v>259</v>
      </c>
      <c r="CL2184" s="4" t="s">
        <v>241</v>
      </c>
      <c r="CO2184" s="5" t="s">
        <v>260</v>
      </c>
      <c r="CP2184" s="4" t="s">
        <v>241</v>
      </c>
      <c r="CQ2184" s="4" t="s">
        <v>261</v>
      </c>
      <c r="CR2184" s="4" t="s">
        <v>241</v>
      </c>
      <c r="CS2184" s="4" t="s">
        <v>241</v>
      </c>
      <c r="CT2184" s="4">
        <v>0</v>
      </c>
      <c r="CU2184" s="4" t="s">
        <v>262</v>
      </c>
      <c r="CV2184" s="4" t="s">
        <v>263</v>
      </c>
      <c r="CW2184" s="4" t="s">
        <v>263</v>
      </c>
      <c r="CX2184" s="4" t="s">
        <v>264</v>
      </c>
      <c r="DA2184" s="6">
        <f>1</f>
        <v>1</v>
      </c>
      <c r="DC2184" s="4" t="s">
        <v>325</v>
      </c>
      <c r="DD2184" s="4" t="s">
        <v>241</v>
      </c>
      <c r="DF2184" s="4" t="s">
        <v>325</v>
      </c>
      <c r="DG2184" s="6">
        <f>20</f>
        <v>20</v>
      </c>
      <c r="DI2184" s="4" t="s">
        <v>241</v>
      </c>
      <c r="DJ2184" s="4" t="s">
        <v>241</v>
      </c>
      <c r="DK2184" s="4" t="s">
        <v>241</v>
      </c>
      <c r="DL2184" s="4" t="s">
        <v>241</v>
      </c>
      <c r="DP2184" s="4" t="s">
        <v>241</v>
      </c>
      <c r="DQ2184" s="4" t="s">
        <v>241</v>
      </c>
      <c r="DR2184" s="4" t="s">
        <v>241</v>
      </c>
      <c r="DS2184" s="4" t="s">
        <v>241</v>
      </c>
      <c r="DV2184" s="4" t="s">
        <v>426</v>
      </c>
      <c r="DW2184" s="4" t="s">
        <v>866</v>
      </c>
      <c r="HO2184" s="4" t="s">
        <v>267</v>
      </c>
    </row>
    <row r="2185" spans="1:223" ht="19.5" customHeight="1" x14ac:dyDescent="0.4">
      <c r="A2185" s="4">
        <v>1</v>
      </c>
      <c r="B2185" s="4" t="s">
        <v>239</v>
      </c>
      <c r="C2185" s="4">
        <v>3888</v>
      </c>
      <c r="D2185" s="4">
        <v>1</v>
      </c>
      <c r="E2185" s="4">
        <v>1</v>
      </c>
      <c r="F2185" s="4" t="s">
        <v>268</v>
      </c>
      <c r="G2185" s="4" t="s">
        <v>241</v>
      </c>
      <c r="H2185" s="4" t="s">
        <v>241</v>
      </c>
      <c r="I2185" s="4" t="s">
        <v>424</v>
      </c>
      <c r="J2185" s="4" t="s">
        <v>274</v>
      </c>
      <c r="K2185" s="4" t="s">
        <v>251</v>
      </c>
      <c r="L2185" s="4" t="s">
        <v>423</v>
      </c>
      <c r="M2185" s="5" t="s">
        <v>4114</v>
      </c>
      <c r="N2185" s="6">
        <f>103</f>
        <v>103</v>
      </c>
      <c r="O2185" s="4" t="s">
        <v>265</v>
      </c>
      <c r="P2185" s="6">
        <f>1</f>
        <v>1</v>
      </c>
      <c r="Q2185" s="6">
        <f>0</f>
        <v>0</v>
      </c>
      <c r="S2185" s="6">
        <f>0</f>
        <v>0</v>
      </c>
      <c r="T2185" s="6">
        <f>1</f>
        <v>1</v>
      </c>
      <c r="U2185" s="5" t="s">
        <v>245</v>
      </c>
      <c r="V2185" s="4" t="s">
        <v>270</v>
      </c>
      <c r="W2185" s="4" t="s">
        <v>271</v>
      </c>
      <c r="X2185" s="4" t="s">
        <v>273</v>
      </c>
      <c r="Y2185" s="4" t="s">
        <v>241</v>
      </c>
      <c r="AB2185" s="4" t="s">
        <v>241</v>
      </c>
      <c r="AD2185" s="5" t="s">
        <v>241</v>
      </c>
      <c r="AG2185" s="5" t="s">
        <v>246</v>
      </c>
      <c r="AH2185" s="4" t="s">
        <v>241</v>
      </c>
      <c r="AI2185" s="4" t="s">
        <v>247</v>
      </c>
      <c r="AJ2185" s="4" t="s">
        <v>248</v>
      </c>
      <c r="AZ2185" s="4" t="s">
        <v>249</v>
      </c>
      <c r="BA2185" s="4" t="s">
        <v>241</v>
      </c>
      <c r="BB2185" s="4" t="s">
        <v>250</v>
      </c>
      <c r="BC2185" s="4" t="s">
        <v>241</v>
      </c>
      <c r="BD2185" s="4" t="s">
        <v>252</v>
      </c>
      <c r="BE2185" s="4" t="s">
        <v>241</v>
      </c>
      <c r="BI2185" s="4" t="s">
        <v>253</v>
      </c>
      <c r="BJ2185" s="5" t="s">
        <v>246</v>
      </c>
      <c r="BK2185" s="4" t="s">
        <v>254</v>
      </c>
      <c r="BL2185" s="4" t="s">
        <v>255</v>
      </c>
      <c r="BM2185" s="4" t="s">
        <v>241</v>
      </c>
      <c r="BN2185" s="6">
        <f>0</f>
        <v>0</v>
      </c>
      <c r="BO2185" s="6">
        <f>0</f>
        <v>0</v>
      </c>
      <c r="BP2185" s="4" t="s">
        <v>256</v>
      </c>
      <c r="BQ2185" s="4" t="s">
        <v>257</v>
      </c>
      <c r="CE2185" s="4" t="s">
        <v>241</v>
      </c>
      <c r="CF2185" s="4" t="s">
        <v>241</v>
      </c>
      <c r="CJ2185" s="4" t="s">
        <v>276</v>
      </c>
      <c r="CK2185" s="4" t="s">
        <v>259</v>
      </c>
      <c r="CL2185" s="4" t="s">
        <v>241</v>
      </c>
      <c r="CO2185" s="5" t="s">
        <v>260</v>
      </c>
      <c r="CP2185" s="4" t="s">
        <v>241</v>
      </c>
      <c r="CQ2185" s="4" t="s">
        <v>261</v>
      </c>
      <c r="CR2185" s="4" t="s">
        <v>241</v>
      </c>
      <c r="CS2185" s="4" t="s">
        <v>241</v>
      </c>
      <c r="CT2185" s="4">
        <v>0</v>
      </c>
      <c r="CU2185" s="4" t="s">
        <v>262</v>
      </c>
      <c r="CV2185" s="4" t="s">
        <v>263</v>
      </c>
      <c r="CW2185" s="4" t="s">
        <v>263</v>
      </c>
      <c r="CX2185" s="4" t="s">
        <v>264</v>
      </c>
      <c r="DA2185" s="6">
        <f>1</f>
        <v>1</v>
      </c>
      <c r="DC2185" s="4" t="s">
        <v>325</v>
      </c>
      <c r="DD2185" s="4" t="s">
        <v>241</v>
      </c>
      <c r="DF2185" s="4" t="s">
        <v>325</v>
      </c>
      <c r="DG2185" s="6">
        <f>103</f>
        <v>103</v>
      </c>
      <c r="DI2185" s="4" t="s">
        <v>241</v>
      </c>
      <c r="DJ2185" s="4" t="s">
        <v>241</v>
      </c>
      <c r="DK2185" s="4" t="s">
        <v>241</v>
      </c>
      <c r="DL2185" s="4" t="s">
        <v>241</v>
      </c>
      <c r="DP2185" s="4" t="s">
        <v>241</v>
      </c>
      <c r="DQ2185" s="4" t="s">
        <v>241</v>
      </c>
      <c r="DR2185" s="4" t="s">
        <v>241</v>
      </c>
      <c r="DS2185" s="4" t="s">
        <v>241</v>
      </c>
      <c r="DV2185" s="4" t="s">
        <v>426</v>
      </c>
      <c r="DW2185" s="4" t="s">
        <v>1272</v>
      </c>
      <c r="HO2185" s="4" t="s">
        <v>267</v>
      </c>
    </row>
    <row r="2186" spans="1:223" ht="19.5" customHeight="1" x14ac:dyDescent="0.4">
      <c r="A2186" s="4">
        <v>1</v>
      </c>
      <c r="B2186" s="4" t="s">
        <v>239</v>
      </c>
      <c r="C2186" s="4">
        <v>3889</v>
      </c>
      <c r="D2186" s="4">
        <v>1</v>
      </c>
      <c r="E2186" s="4">
        <v>1</v>
      </c>
      <c r="F2186" s="4" t="s">
        <v>268</v>
      </c>
      <c r="G2186" s="4" t="s">
        <v>241</v>
      </c>
      <c r="H2186" s="4" t="s">
        <v>241</v>
      </c>
      <c r="I2186" s="4" t="s">
        <v>424</v>
      </c>
      <c r="J2186" s="4" t="s">
        <v>274</v>
      </c>
      <c r="K2186" s="4" t="s">
        <v>251</v>
      </c>
      <c r="L2186" s="4" t="s">
        <v>423</v>
      </c>
      <c r="M2186" s="5" t="s">
        <v>651</v>
      </c>
      <c r="N2186" s="6">
        <f>488</f>
        <v>488</v>
      </c>
      <c r="O2186" s="4" t="s">
        <v>265</v>
      </c>
      <c r="P2186" s="6">
        <f>1</f>
        <v>1</v>
      </c>
      <c r="Q2186" s="6">
        <f>0</f>
        <v>0</v>
      </c>
      <c r="S2186" s="6">
        <f>0</f>
        <v>0</v>
      </c>
      <c r="T2186" s="6">
        <f>1</f>
        <v>1</v>
      </c>
      <c r="U2186" s="5" t="s">
        <v>245</v>
      </c>
      <c r="V2186" s="4" t="s">
        <v>270</v>
      </c>
      <c r="W2186" s="4" t="s">
        <v>271</v>
      </c>
      <c r="X2186" s="4" t="s">
        <v>273</v>
      </c>
      <c r="Y2186" s="4" t="s">
        <v>241</v>
      </c>
      <c r="AB2186" s="4" t="s">
        <v>241</v>
      </c>
      <c r="AD2186" s="5" t="s">
        <v>241</v>
      </c>
      <c r="AG2186" s="5" t="s">
        <v>246</v>
      </c>
      <c r="AH2186" s="4" t="s">
        <v>241</v>
      </c>
      <c r="AI2186" s="4" t="s">
        <v>247</v>
      </c>
      <c r="AJ2186" s="4" t="s">
        <v>248</v>
      </c>
      <c r="AZ2186" s="4" t="s">
        <v>249</v>
      </c>
      <c r="BA2186" s="4" t="s">
        <v>241</v>
      </c>
      <c r="BB2186" s="4" t="s">
        <v>250</v>
      </c>
      <c r="BC2186" s="4" t="s">
        <v>241</v>
      </c>
      <c r="BD2186" s="4" t="s">
        <v>252</v>
      </c>
      <c r="BE2186" s="4" t="s">
        <v>241</v>
      </c>
      <c r="BI2186" s="4" t="s">
        <v>253</v>
      </c>
      <c r="BJ2186" s="5" t="s">
        <v>246</v>
      </c>
      <c r="BK2186" s="4" t="s">
        <v>254</v>
      </c>
      <c r="BL2186" s="4" t="s">
        <v>255</v>
      </c>
      <c r="BM2186" s="4" t="s">
        <v>241</v>
      </c>
      <c r="BN2186" s="6">
        <f>0</f>
        <v>0</v>
      </c>
      <c r="BO2186" s="6">
        <f>0</f>
        <v>0</v>
      </c>
      <c r="BP2186" s="4" t="s">
        <v>256</v>
      </c>
      <c r="BQ2186" s="4" t="s">
        <v>257</v>
      </c>
      <c r="CE2186" s="4" t="s">
        <v>241</v>
      </c>
      <c r="CF2186" s="4" t="s">
        <v>241</v>
      </c>
      <c r="CJ2186" s="4" t="s">
        <v>276</v>
      </c>
      <c r="CK2186" s="4" t="s">
        <v>259</v>
      </c>
      <c r="CL2186" s="4" t="s">
        <v>241</v>
      </c>
      <c r="CO2186" s="5" t="s">
        <v>260</v>
      </c>
      <c r="CP2186" s="4" t="s">
        <v>241</v>
      </c>
      <c r="CQ2186" s="4" t="s">
        <v>261</v>
      </c>
      <c r="CR2186" s="4" t="s">
        <v>241</v>
      </c>
      <c r="CS2186" s="4" t="s">
        <v>241</v>
      </c>
      <c r="CT2186" s="4">
        <v>0</v>
      </c>
      <c r="CU2186" s="4" t="s">
        <v>262</v>
      </c>
      <c r="CV2186" s="4" t="s">
        <v>263</v>
      </c>
      <c r="CW2186" s="4" t="s">
        <v>263</v>
      </c>
      <c r="CX2186" s="4" t="s">
        <v>264</v>
      </c>
      <c r="DA2186" s="6">
        <f>1</f>
        <v>1</v>
      </c>
      <c r="DC2186" s="4" t="s">
        <v>325</v>
      </c>
      <c r="DD2186" s="4" t="s">
        <v>241</v>
      </c>
      <c r="DF2186" s="4" t="s">
        <v>325</v>
      </c>
      <c r="DG2186" s="6">
        <f>488</f>
        <v>488</v>
      </c>
      <c r="DI2186" s="4" t="s">
        <v>241</v>
      </c>
      <c r="DJ2186" s="4" t="s">
        <v>241</v>
      </c>
      <c r="DK2186" s="4" t="s">
        <v>241</v>
      </c>
      <c r="DL2186" s="4" t="s">
        <v>241</v>
      </c>
      <c r="DP2186" s="4" t="s">
        <v>241</v>
      </c>
      <c r="DQ2186" s="4" t="s">
        <v>241</v>
      </c>
      <c r="DR2186" s="4" t="s">
        <v>241</v>
      </c>
      <c r="DS2186" s="4" t="s">
        <v>241</v>
      </c>
      <c r="DV2186" s="4" t="s">
        <v>426</v>
      </c>
      <c r="DW2186" s="4" t="s">
        <v>652</v>
      </c>
      <c r="HO2186" s="4" t="s">
        <v>267</v>
      </c>
    </row>
    <row r="2187" spans="1:223" ht="19.5" customHeight="1" x14ac:dyDescent="0.4">
      <c r="A2187" s="4">
        <v>1</v>
      </c>
      <c r="B2187" s="4" t="s">
        <v>239</v>
      </c>
      <c r="C2187" s="4">
        <v>3890</v>
      </c>
      <c r="D2187" s="4">
        <v>1</v>
      </c>
      <c r="E2187" s="4">
        <v>1</v>
      </c>
      <c r="F2187" s="4" t="s">
        <v>268</v>
      </c>
      <c r="G2187" s="4" t="s">
        <v>241</v>
      </c>
      <c r="H2187" s="4" t="s">
        <v>241</v>
      </c>
      <c r="I2187" s="4" t="s">
        <v>424</v>
      </c>
      <c r="J2187" s="4" t="s">
        <v>274</v>
      </c>
      <c r="K2187" s="4" t="s">
        <v>251</v>
      </c>
      <c r="L2187" s="4" t="s">
        <v>423</v>
      </c>
      <c r="M2187" s="5" t="s">
        <v>659</v>
      </c>
      <c r="N2187" s="6">
        <f>1303</f>
        <v>1303</v>
      </c>
      <c r="O2187" s="4" t="s">
        <v>265</v>
      </c>
      <c r="P2187" s="6">
        <f>1</f>
        <v>1</v>
      </c>
      <c r="Q2187" s="6">
        <f>0</f>
        <v>0</v>
      </c>
      <c r="S2187" s="6">
        <f>0</f>
        <v>0</v>
      </c>
      <c r="T2187" s="6">
        <f>1</f>
        <v>1</v>
      </c>
      <c r="U2187" s="5" t="s">
        <v>245</v>
      </c>
      <c r="V2187" s="4" t="s">
        <v>270</v>
      </c>
      <c r="W2187" s="4" t="s">
        <v>271</v>
      </c>
      <c r="X2187" s="4" t="s">
        <v>273</v>
      </c>
      <c r="Y2187" s="4" t="s">
        <v>241</v>
      </c>
      <c r="AB2187" s="4" t="s">
        <v>241</v>
      </c>
      <c r="AD2187" s="5" t="s">
        <v>241</v>
      </c>
      <c r="AG2187" s="5" t="s">
        <v>246</v>
      </c>
      <c r="AH2187" s="4" t="s">
        <v>241</v>
      </c>
      <c r="AI2187" s="4" t="s">
        <v>247</v>
      </c>
      <c r="AJ2187" s="4" t="s">
        <v>248</v>
      </c>
      <c r="AZ2187" s="4" t="s">
        <v>249</v>
      </c>
      <c r="BA2187" s="4" t="s">
        <v>241</v>
      </c>
      <c r="BB2187" s="4" t="s">
        <v>250</v>
      </c>
      <c r="BC2187" s="4" t="s">
        <v>241</v>
      </c>
      <c r="BD2187" s="4" t="s">
        <v>252</v>
      </c>
      <c r="BE2187" s="4" t="s">
        <v>241</v>
      </c>
      <c r="BI2187" s="4" t="s">
        <v>253</v>
      </c>
      <c r="BJ2187" s="5" t="s">
        <v>246</v>
      </c>
      <c r="BK2187" s="4" t="s">
        <v>254</v>
      </c>
      <c r="BL2187" s="4" t="s">
        <v>255</v>
      </c>
      <c r="BM2187" s="4" t="s">
        <v>241</v>
      </c>
      <c r="BN2187" s="6">
        <f>0</f>
        <v>0</v>
      </c>
      <c r="BO2187" s="6">
        <f>0</f>
        <v>0</v>
      </c>
      <c r="BP2187" s="4" t="s">
        <v>256</v>
      </c>
      <c r="BQ2187" s="4" t="s">
        <v>257</v>
      </c>
      <c r="CE2187" s="4" t="s">
        <v>241</v>
      </c>
      <c r="CF2187" s="4" t="s">
        <v>241</v>
      </c>
      <c r="CJ2187" s="4" t="s">
        <v>276</v>
      </c>
      <c r="CK2187" s="4" t="s">
        <v>259</v>
      </c>
      <c r="CL2187" s="4" t="s">
        <v>241</v>
      </c>
      <c r="CO2187" s="5" t="s">
        <v>260</v>
      </c>
      <c r="CP2187" s="4" t="s">
        <v>241</v>
      </c>
      <c r="CQ2187" s="4" t="s">
        <v>261</v>
      </c>
      <c r="CR2187" s="4" t="s">
        <v>241</v>
      </c>
      <c r="CS2187" s="4" t="s">
        <v>241</v>
      </c>
      <c r="CT2187" s="4">
        <v>0</v>
      </c>
      <c r="CU2187" s="4" t="s">
        <v>262</v>
      </c>
      <c r="CV2187" s="4" t="s">
        <v>263</v>
      </c>
      <c r="CW2187" s="4" t="s">
        <v>263</v>
      </c>
      <c r="CX2187" s="4" t="s">
        <v>264</v>
      </c>
      <c r="DA2187" s="6">
        <f>1</f>
        <v>1</v>
      </c>
      <c r="DC2187" s="4" t="s">
        <v>325</v>
      </c>
      <c r="DD2187" s="4" t="s">
        <v>241</v>
      </c>
      <c r="DF2187" s="4" t="s">
        <v>325</v>
      </c>
      <c r="DG2187" s="6">
        <f>1303</f>
        <v>1303</v>
      </c>
      <c r="DI2187" s="4" t="s">
        <v>241</v>
      </c>
      <c r="DJ2187" s="4" t="s">
        <v>241</v>
      </c>
      <c r="DK2187" s="4" t="s">
        <v>241</v>
      </c>
      <c r="DL2187" s="4" t="s">
        <v>241</v>
      </c>
      <c r="DP2187" s="4" t="s">
        <v>241</v>
      </c>
      <c r="DQ2187" s="4" t="s">
        <v>241</v>
      </c>
      <c r="DR2187" s="4" t="s">
        <v>241</v>
      </c>
      <c r="DS2187" s="4" t="s">
        <v>241</v>
      </c>
      <c r="DV2187" s="4" t="s">
        <v>426</v>
      </c>
      <c r="DW2187" s="4" t="s">
        <v>660</v>
      </c>
      <c r="HO2187" s="4" t="s">
        <v>267</v>
      </c>
    </row>
    <row r="2188" spans="1:223" ht="19.5" customHeight="1" x14ac:dyDescent="0.4">
      <c r="A2188" s="4">
        <v>1</v>
      </c>
      <c r="B2188" s="4" t="s">
        <v>239</v>
      </c>
      <c r="C2188" s="4">
        <v>3891</v>
      </c>
      <c r="D2188" s="4">
        <v>1</v>
      </c>
      <c r="E2188" s="4">
        <v>1</v>
      </c>
      <c r="F2188" s="4" t="s">
        <v>268</v>
      </c>
      <c r="G2188" s="4" t="s">
        <v>241</v>
      </c>
      <c r="H2188" s="4" t="s">
        <v>241</v>
      </c>
      <c r="I2188" s="4" t="s">
        <v>424</v>
      </c>
      <c r="J2188" s="4" t="s">
        <v>274</v>
      </c>
      <c r="K2188" s="4" t="s">
        <v>251</v>
      </c>
      <c r="L2188" s="4" t="s">
        <v>423</v>
      </c>
      <c r="M2188" s="5" t="s">
        <v>3892</v>
      </c>
      <c r="N2188" s="6">
        <f>110</f>
        <v>110</v>
      </c>
      <c r="O2188" s="4" t="s">
        <v>265</v>
      </c>
      <c r="P2188" s="6">
        <f>1</f>
        <v>1</v>
      </c>
      <c r="Q2188" s="6">
        <f>0</f>
        <v>0</v>
      </c>
      <c r="S2188" s="6">
        <f>0</f>
        <v>0</v>
      </c>
      <c r="T2188" s="6">
        <f>1</f>
        <v>1</v>
      </c>
      <c r="U2188" s="5" t="s">
        <v>245</v>
      </c>
      <c r="V2188" s="4" t="s">
        <v>270</v>
      </c>
      <c r="W2188" s="4" t="s">
        <v>271</v>
      </c>
      <c r="X2188" s="4" t="s">
        <v>273</v>
      </c>
      <c r="Y2188" s="4" t="s">
        <v>241</v>
      </c>
      <c r="AB2188" s="4" t="s">
        <v>241</v>
      </c>
      <c r="AD2188" s="5" t="s">
        <v>241</v>
      </c>
      <c r="AG2188" s="5" t="s">
        <v>246</v>
      </c>
      <c r="AH2188" s="4" t="s">
        <v>241</v>
      </c>
      <c r="AI2188" s="4" t="s">
        <v>247</v>
      </c>
      <c r="AJ2188" s="4" t="s">
        <v>248</v>
      </c>
      <c r="AZ2188" s="4" t="s">
        <v>249</v>
      </c>
      <c r="BA2188" s="4" t="s">
        <v>241</v>
      </c>
      <c r="BB2188" s="4" t="s">
        <v>250</v>
      </c>
      <c r="BC2188" s="4" t="s">
        <v>241</v>
      </c>
      <c r="BD2188" s="4" t="s">
        <v>252</v>
      </c>
      <c r="BE2188" s="4" t="s">
        <v>241</v>
      </c>
      <c r="BI2188" s="4" t="s">
        <v>253</v>
      </c>
      <c r="BJ2188" s="5" t="s">
        <v>246</v>
      </c>
      <c r="BK2188" s="4" t="s">
        <v>254</v>
      </c>
      <c r="BL2188" s="4" t="s">
        <v>255</v>
      </c>
      <c r="BM2188" s="4" t="s">
        <v>241</v>
      </c>
      <c r="BN2188" s="6">
        <f>0</f>
        <v>0</v>
      </c>
      <c r="BO2188" s="6">
        <f>0</f>
        <v>0</v>
      </c>
      <c r="BP2188" s="4" t="s">
        <v>256</v>
      </c>
      <c r="BQ2188" s="4" t="s">
        <v>257</v>
      </c>
      <c r="CE2188" s="4" t="s">
        <v>241</v>
      </c>
      <c r="CF2188" s="4" t="s">
        <v>241</v>
      </c>
      <c r="CJ2188" s="4" t="s">
        <v>276</v>
      </c>
      <c r="CK2188" s="4" t="s">
        <v>259</v>
      </c>
      <c r="CL2188" s="4" t="s">
        <v>241</v>
      </c>
      <c r="CO2188" s="5" t="s">
        <v>260</v>
      </c>
      <c r="CP2188" s="4" t="s">
        <v>241</v>
      </c>
      <c r="CQ2188" s="4" t="s">
        <v>261</v>
      </c>
      <c r="CR2188" s="4" t="s">
        <v>241</v>
      </c>
      <c r="CS2188" s="4" t="s">
        <v>241</v>
      </c>
      <c r="CT2188" s="4">
        <v>0</v>
      </c>
      <c r="CU2188" s="4" t="s">
        <v>262</v>
      </c>
      <c r="CV2188" s="4" t="s">
        <v>263</v>
      </c>
      <c r="CW2188" s="4" t="s">
        <v>263</v>
      </c>
      <c r="CX2188" s="4" t="s">
        <v>264</v>
      </c>
      <c r="DA2188" s="6">
        <f>1</f>
        <v>1</v>
      </c>
      <c r="DC2188" s="4" t="s">
        <v>325</v>
      </c>
      <c r="DD2188" s="4" t="s">
        <v>241</v>
      </c>
      <c r="DF2188" s="4" t="s">
        <v>325</v>
      </c>
      <c r="DG2188" s="6">
        <f>110</f>
        <v>110</v>
      </c>
      <c r="DI2188" s="4" t="s">
        <v>241</v>
      </c>
      <c r="DJ2188" s="4" t="s">
        <v>241</v>
      </c>
      <c r="DK2188" s="4" t="s">
        <v>241</v>
      </c>
      <c r="DL2188" s="4" t="s">
        <v>241</v>
      </c>
      <c r="DP2188" s="4" t="s">
        <v>241</v>
      </c>
      <c r="DQ2188" s="4" t="s">
        <v>241</v>
      </c>
      <c r="DR2188" s="4" t="s">
        <v>241</v>
      </c>
      <c r="DS2188" s="4" t="s">
        <v>241</v>
      </c>
      <c r="DV2188" s="4" t="s">
        <v>426</v>
      </c>
      <c r="DW2188" s="4" t="s">
        <v>1259</v>
      </c>
      <c r="HO2188" s="4" t="s">
        <v>267</v>
      </c>
    </row>
    <row r="2189" spans="1:223" ht="19.5" customHeight="1" x14ac:dyDescent="0.4">
      <c r="A2189" s="4">
        <v>1</v>
      </c>
      <c r="B2189" s="4" t="s">
        <v>239</v>
      </c>
      <c r="C2189" s="4">
        <v>3892</v>
      </c>
      <c r="D2189" s="4">
        <v>1</v>
      </c>
      <c r="E2189" s="4">
        <v>1</v>
      </c>
      <c r="F2189" s="4" t="s">
        <v>268</v>
      </c>
      <c r="G2189" s="4" t="s">
        <v>241</v>
      </c>
      <c r="H2189" s="4" t="s">
        <v>241</v>
      </c>
      <c r="I2189" s="4" t="s">
        <v>424</v>
      </c>
      <c r="J2189" s="4" t="s">
        <v>274</v>
      </c>
      <c r="K2189" s="4" t="s">
        <v>251</v>
      </c>
      <c r="L2189" s="4" t="s">
        <v>423</v>
      </c>
      <c r="M2189" s="5" t="s">
        <v>3258</v>
      </c>
      <c r="N2189" s="6">
        <f>704</f>
        <v>704</v>
      </c>
      <c r="O2189" s="4" t="s">
        <v>265</v>
      </c>
      <c r="P2189" s="6">
        <f>1</f>
        <v>1</v>
      </c>
      <c r="Q2189" s="6">
        <f>0</f>
        <v>0</v>
      </c>
      <c r="S2189" s="6">
        <f>0</f>
        <v>0</v>
      </c>
      <c r="T2189" s="6">
        <f>1</f>
        <v>1</v>
      </c>
      <c r="U2189" s="5" t="s">
        <v>245</v>
      </c>
      <c r="V2189" s="4" t="s">
        <v>270</v>
      </c>
      <c r="W2189" s="4" t="s">
        <v>271</v>
      </c>
      <c r="X2189" s="4" t="s">
        <v>273</v>
      </c>
      <c r="Y2189" s="4" t="s">
        <v>241</v>
      </c>
      <c r="AB2189" s="4" t="s">
        <v>241</v>
      </c>
      <c r="AD2189" s="5" t="s">
        <v>241</v>
      </c>
      <c r="AG2189" s="5" t="s">
        <v>246</v>
      </c>
      <c r="AH2189" s="4" t="s">
        <v>241</v>
      </c>
      <c r="AI2189" s="4" t="s">
        <v>247</v>
      </c>
      <c r="AJ2189" s="4" t="s">
        <v>248</v>
      </c>
      <c r="AZ2189" s="4" t="s">
        <v>249</v>
      </c>
      <c r="BA2189" s="4" t="s">
        <v>241</v>
      </c>
      <c r="BB2189" s="4" t="s">
        <v>250</v>
      </c>
      <c r="BC2189" s="4" t="s">
        <v>241</v>
      </c>
      <c r="BD2189" s="4" t="s">
        <v>252</v>
      </c>
      <c r="BE2189" s="4" t="s">
        <v>241</v>
      </c>
      <c r="BI2189" s="4" t="s">
        <v>253</v>
      </c>
      <c r="BJ2189" s="5" t="s">
        <v>246</v>
      </c>
      <c r="BK2189" s="4" t="s">
        <v>254</v>
      </c>
      <c r="BL2189" s="4" t="s">
        <v>255</v>
      </c>
      <c r="BM2189" s="4" t="s">
        <v>241</v>
      </c>
      <c r="BN2189" s="6">
        <f>0</f>
        <v>0</v>
      </c>
      <c r="BO2189" s="6">
        <f>0</f>
        <v>0</v>
      </c>
      <c r="BP2189" s="4" t="s">
        <v>256</v>
      </c>
      <c r="BQ2189" s="4" t="s">
        <v>257</v>
      </c>
      <c r="CE2189" s="4" t="s">
        <v>241</v>
      </c>
      <c r="CF2189" s="4" t="s">
        <v>241</v>
      </c>
      <c r="CJ2189" s="4" t="s">
        <v>276</v>
      </c>
      <c r="CK2189" s="4" t="s">
        <v>259</v>
      </c>
      <c r="CL2189" s="4" t="s">
        <v>241</v>
      </c>
      <c r="CO2189" s="5" t="s">
        <v>260</v>
      </c>
      <c r="CP2189" s="4" t="s">
        <v>241</v>
      </c>
      <c r="CQ2189" s="4" t="s">
        <v>261</v>
      </c>
      <c r="CR2189" s="4" t="s">
        <v>241</v>
      </c>
      <c r="CS2189" s="4" t="s">
        <v>241</v>
      </c>
      <c r="CT2189" s="4">
        <v>0</v>
      </c>
      <c r="CU2189" s="4" t="s">
        <v>262</v>
      </c>
      <c r="CV2189" s="4" t="s">
        <v>263</v>
      </c>
      <c r="CW2189" s="4" t="s">
        <v>263</v>
      </c>
      <c r="CX2189" s="4" t="s">
        <v>264</v>
      </c>
      <c r="DA2189" s="6">
        <f>1</f>
        <v>1</v>
      </c>
      <c r="DC2189" s="4" t="s">
        <v>325</v>
      </c>
      <c r="DD2189" s="4" t="s">
        <v>241</v>
      </c>
      <c r="DF2189" s="4" t="s">
        <v>325</v>
      </c>
      <c r="DG2189" s="6">
        <f>704</f>
        <v>704</v>
      </c>
      <c r="DI2189" s="4" t="s">
        <v>241</v>
      </c>
      <c r="DJ2189" s="4" t="s">
        <v>241</v>
      </c>
      <c r="DK2189" s="4" t="s">
        <v>241</v>
      </c>
      <c r="DL2189" s="4" t="s">
        <v>241</v>
      </c>
      <c r="DP2189" s="4" t="s">
        <v>241</v>
      </c>
      <c r="DQ2189" s="4" t="s">
        <v>241</v>
      </c>
      <c r="DR2189" s="4" t="s">
        <v>241</v>
      </c>
      <c r="DS2189" s="4" t="s">
        <v>241</v>
      </c>
      <c r="DV2189" s="4" t="s">
        <v>426</v>
      </c>
      <c r="DW2189" s="4" t="s">
        <v>1254</v>
      </c>
      <c r="HO2189" s="4" t="s">
        <v>267</v>
      </c>
    </row>
    <row r="2190" spans="1:223" ht="19.5" customHeight="1" x14ac:dyDescent="0.4">
      <c r="A2190" s="4">
        <v>1</v>
      </c>
      <c r="B2190" s="4" t="s">
        <v>239</v>
      </c>
      <c r="C2190" s="4">
        <v>3893</v>
      </c>
      <c r="D2190" s="4">
        <v>1</v>
      </c>
      <c r="E2190" s="4">
        <v>1</v>
      </c>
      <c r="F2190" s="4" t="s">
        <v>268</v>
      </c>
      <c r="G2190" s="4" t="s">
        <v>241</v>
      </c>
      <c r="H2190" s="4" t="s">
        <v>241</v>
      </c>
      <c r="I2190" s="4" t="s">
        <v>424</v>
      </c>
      <c r="J2190" s="4" t="s">
        <v>274</v>
      </c>
      <c r="K2190" s="4" t="s">
        <v>251</v>
      </c>
      <c r="L2190" s="4" t="s">
        <v>423</v>
      </c>
      <c r="M2190" s="5" t="s">
        <v>3405</v>
      </c>
      <c r="N2190" s="6">
        <f>308</f>
        <v>308</v>
      </c>
      <c r="O2190" s="4" t="s">
        <v>265</v>
      </c>
      <c r="P2190" s="6">
        <f>1</f>
        <v>1</v>
      </c>
      <c r="Q2190" s="6">
        <f>0</f>
        <v>0</v>
      </c>
      <c r="S2190" s="6">
        <f>0</f>
        <v>0</v>
      </c>
      <c r="T2190" s="6">
        <f>1</f>
        <v>1</v>
      </c>
      <c r="U2190" s="5" t="s">
        <v>245</v>
      </c>
      <c r="V2190" s="4" t="s">
        <v>270</v>
      </c>
      <c r="W2190" s="4" t="s">
        <v>271</v>
      </c>
      <c r="X2190" s="4" t="s">
        <v>273</v>
      </c>
      <c r="Y2190" s="4" t="s">
        <v>241</v>
      </c>
      <c r="AB2190" s="4" t="s">
        <v>241</v>
      </c>
      <c r="AD2190" s="5" t="s">
        <v>241</v>
      </c>
      <c r="AG2190" s="5" t="s">
        <v>246</v>
      </c>
      <c r="AH2190" s="4" t="s">
        <v>241</v>
      </c>
      <c r="AI2190" s="4" t="s">
        <v>247</v>
      </c>
      <c r="AJ2190" s="4" t="s">
        <v>248</v>
      </c>
      <c r="AZ2190" s="4" t="s">
        <v>249</v>
      </c>
      <c r="BA2190" s="4" t="s">
        <v>241</v>
      </c>
      <c r="BB2190" s="4" t="s">
        <v>250</v>
      </c>
      <c r="BC2190" s="4" t="s">
        <v>241</v>
      </c>
      <c r="BD2190" s="4" t="s">
        <v>252</v>
      </c>
      <c r="BE2190" s="4" t="s">
        <v>241</v>
      </c>
      <c r="BI2190" s="4" t="s">
        <v>253</v>
      </c>
      <c r="BJ2190" s="5" t="s">
        <v>246</v>
      </c>
      <c r="BK2190" s="4" t="s">
        <v>254</v>
      </c>
      <c r="BL2190" s="4" t="s">
        <v>255</v>
      </c>
      <c r="BM2190" s="4" t="s">
        <v>241</v>
      </c>
      <c r="BN2190" s="6">
        <f>0</f>
        <v>0</v>
      </c>
      <c r="BO2190" s="6">
        <f>0</f>
        <v>0</v>
      </c>
      <c r="BP2190" s="4" t="s">
        <v>256</v>
      </c>
      <c r="BQ2190" s="4" t="s">
        <v>257</v>
      </c>
      <c r="CE2190" s="4" t="s">
        <v>241</v>
      </c>
      <c r="CF2190" s="4" t="s">
        <v>241</v>
      </c>
      <c r="CJ2190" s="4" t="s">
        <v>276</v>
      </c>
      <c r="CK2190" s="4" t="s">
        <v>259</v>
      </c>
      <c r="CL2190" s="4" t="s">
        <v>241</v>
      </c>
      <c r="CO2190" s="5" t="s">
        <v>260</v>
      </c>
      <c r="CP2190" s="4" t="s">
        <v>241</v>
      </c>
      <c r="CQ2190" s="4" t="s">
        <v>261</v>
      </c>
      <c r="CR2190" s="4" t="s">
        <v>241</v>
      </c>
      <c r="CS2190" s="4" t="s">
        <v>241</v>
      </c>
      <c r="CT2190" s="4">
        <v>0</v>
      </c>
      <c r="CU2190" s="4" t="s">
        <v>262</v>
      </c>
      <c r="CV2190" s="4" t="s">
        <v>263</v>
      </c>
      <c r="CW2190" s="4" t="s">
        <v>263</v>
      </c>
      <c r="CX2190" s="4" t="s">
        <v>264</v>
      </c>
      <c r="DA2190" s="6">
        <f>1</f>
        <v>1</v>
      </c>
      <c r="DC2190" s="4" t="s">
        <v>325</v>
      </c>
      <c r="DD2190" s="4" t="s">
        <v>241</v>
      </c>
      <c r="DF2190" s="4" t="s">
        <v>325</v>
      </c>
      <c r="DG2190" s="6">
        <f>308</f>
        <v>308</v>
      </c>
      <c r="DI2190" s="4" t="s">
        <v>241</v>
      </c>
      <c r="DJ2190" s="4" t="s">
        <v>241</v>
      </c>
      <c r="DK2190" s="4" t="s">
        <v>241</v>
      </c>
      <c r="DL2190" s="4" t="s">
        <v>241</v>
      </c>
      <c r="DP2190" s="4" t="s">
        <v>241</v>
      </c>
      <c r="DQ2190" s="4" t="s">
        <v>241</v>
      </c>
      <c r="DR2190" s="4" t="s">
        <v>241</v>
      </c>
      <c r="DS2190" s="4" t="s">
        <v>241</v>
      </c>
      <c r="DV2190" s="4" t="s">
        <v>426</v>
      </c>
      <c r="DW2190" s="4" t="s">
        <v>1248</v>
      </c>
      <c r="HO2190" s="4" t="s">
        <v>267</v>
      </c>
    </row>
    <row r="2191" spans="1:223" ht="19.5" customHeight="1" x14ac:dyDescent="0.4">
      <c r="A2191" s="4">
        <v>1</v>
      </c>
      <c r="B2191" s="4" t="s">
        <v>239</v>
      </c>
      <c r="C2191" s="4">
        <v>3894</v>
      </c>
      <c r="D2191" s="4">
        <v>1</v>
      </c>
      <c r="E2191" s="4">
        <v>1</v>
      </c>
      <c r="F2191" s="4" t="s">
        <v>268</v>
      </c>
      <c r="G2191" s="4" t="s">
        <v>241</v>
      </c>
      <c r="H2191" s="4" t="s">
        <v>241</v>
      </c>
      <c r="I2191" s="4" t="s">
        <v>424</v>
      </c>
      <c r="J2191" s="4" t="s">
        <v>274</v>
      </c>
      <c r="K2191" s="4" t="s">
        <v>251</v>
      </c>
      <c r="L2191" s="4" t="s">
        <v>423</v>
      </c>
      <c r="M2191" s="5" t="s">
        <v>3656</v>
      </c>
      <c r="N2191" s="6">
        <f>29</f>
        <v>29</v>
      </c>
      <c r="O2191" s="4" t="s">
        <v>265</v>
      </c>
      <c r="P2191" s="6">
        <f>1</f>
        <v>1</v>
      </c>
      <c r="Q2191" s="6">
        <f>0</f>
        <v>0</v>
      </c>
      <c r="S2191" s="6">
        <f>0</f>
        <v>0</v>
      </c>
      <c r="T2191" s="6">
        <f>1</f>
        <v>1</v>
      </c>
      <c r="U2191" s="5" t="s">
        <v>245</v>
      </c>
      <c r="V2191" s="4" t="s">
        <v>270</v>
      </c>
      <c r="W2191" s="4" t="s">
        <v>271</v>
      </c>
      <c r="X2191" s="4" t="s">
        <v>273</v>
      </c>
      <c r="Y2191" s="4" t="s">
        <v>241</v>
      </c>
      <c r="AB2191" s="4" t="s">
        <v>241</v>
      </c>
      <c r="AD2191" s="5" t="s">
        <v>241</v>
      </c>
      <c r="AG2191" s="5" t="s">
        <v>246</v>
      </c>
      <c r="AH2191" s="4" t="s">
        <v>241</v>
      </c>
      <c r="AI2191" s="4" t="s">
        <v>247</v>
      </c>
      <c r="AJ2191" s="4" t="s">
        <v>248</v>
      </c>
      <c r="AZ2191" s="4" t="s">
        <v>249</v>
      </c>
      <c r="BA2191" s="4" t="s">
        <v>241</v>
      </c>
      <c r="BB2191" s="4" t="s">
        <v>250</v>
      </c>
      <c r="BC2191" s="4" t="s">
        <v>241</v>
      </c>
      <c r="BD2191" s="4" t="s">
        <v>252</v>
      </c>
      <c r="BE2191" s="4" t="s">
        <v>241</v>
      </c>
      <c r="BI2191" s="4" t="s">
        <v>253</v>
      </c>
      <c r="BJ2191" s="5" t="s">
        <v>246</v>
      </c>
      <c r="BK2191" s="4" t="s">
        <v>254</v>
      </c>
      <c r="BL2191" s="4" t="s">
        <v>255</v>
      </c>
      <c r="BM2191" s="4" t="s">
        <v>241</v>
      </c>
      <c r="BN2191" s="6">
        <f>0</f>
        <v>0</v>
      </c>
      <c r="BO2191" s="6">
        <f>0</f>
        <v>0</v>
      </c>
      <c r="BP2191" s="4" t="s">
        <v>256</v>
      </c>
      <c r="BQ2191" s="4" t="s">
        <v>257</v>
      </c>
      <c r="CE2191" s="4" t="s">
        <v>241</v>
      </c>
      <c r="CF2191" s="4" t="s">
        <v>241</v>
      </c>
      <c r="CJ2191" s="4" t="s">
        <v>276</v>
      </c>
      <c r="CK2191" s="4" t="s">
        <v>259</v>
      </c>
      <c r="CL2191" s="4" t="s">
        <v>241</v>
      </c>
      <c r="CO2191" s="5" t="s">
        <v>260</v>
      </c>
      <c r="CP2191" s="4" t="s">
        <v>241</v>
      </c>
      <c r="CQ2191" s="4" t="s">
        <v>261</v>
      </c>
      <c r="CR2191" s="4" t="s">
        <v>241</v>
      </c>
      <c r="CS2191" s="4" t="s">
        <v>241</v>
      </c>
      <c r="CT2191" s="4">
        <v>0</v>
      </c>
      <c r="CU2191" s="4" t="s">
        <v>262</v>
      </c>
      <c r="CV2191" s="4" t="s">
        <v>263</v>
      </c>
      <c r="CW2191" s="4" t="s">
        <v>263</v>
      </c>
      <c r="CX2191" s="4" t="s">
        <v>264</v>
      </c>
      <c r="DA2191" s="6">
        <f>1</f>
        <v>1</v>
      </c>
      <c r="DC2191" s="4" t="s">
        <v>325</v>
      </c>
      <c r="DD2191" s="4" t="s">
        <v>241</v>
      </c>
      <c r="DF2191" s="4" t="s">
        <v>325</v>
      </c>
      <c r="DG2191" s="6">
        <f>29</f>
        <v>29</v>
      </c>
      <c r="DI2191" s="4" t="s">
        <v>241</v>
      </c>
      <c r="DJ2191" s="4" t="s">
        <v>241</v>
      </c>
      <c r="DK2191" s="4" t="s">
        <v>241</v>
      </c>
      <c r="DL2191" s="4" t="s">
        <v>241</v>
      </c>
      <c r="DP2191" s="4" t="s">
        <v>241</v>
      </c>
      <c r="DQ2191" s="4" t="s">
        <v>241</v>
      </c>
      <c r="DR2191" s="4" t="s">
        <v>241</v>
      </c>
      <c r="DS2191" s="4" t="s">
        <v>241</v>
      </c>
      <c r="DV2191" s="4" t="s">
        <v>426</v>
      </c>
      <c r="DW2191" s="4" t="s">
        <v>1242</v>
      </c>
      <c r="HO2191" s="4" t="s">
        <v>267</v>
      </c>
    </row>
    <row r="2192" spans="1:223" ht="19.5" customHeight="1" x14ac:dyDescent="0.4">
      <c r="A2192" s="4">
        <v>1</v>
      </c>
      <c r="B2192" s="4" t="s">
        <v>239</v>
      </c>
      <c r="C2192" s="4">
        <v>3895</v>
      </c>
      <c r="D2192" s="4">
        <v>1</v>
      </c>
      <c r="E2192" s="4">
        <v>1</v>
      </c>
      <c r="F2192" s="4" t="s">
        <v>268</v>
      </c>
      <c r="G2192" s="4" t="s">
        <v>241</v>
      </c>
      <c r="H2192" s="4" t="s">
        <v>241</v>
      </c>
      <c r="I2192" s="4" t="s">
        <v>424</v>
      </c>
      <c r="J2192" s="4" t="s">
        <v>274</v>
      </c>
      <c r="K2192" s="4" t="s">
        <v>251</v>
      </c>
      <c r="L2192" s="4" t="s">
        <v>423</v>
      </c>
      <c r="M2192" s="5" t="s">
        <v>3642</v>
      </c>
      <c r="N2192" s="6">
        <f>143</f>
        <v>143</v>
      </c>
      <c r="O2192" s="4" t="s">
        <v>265</v>
      </c>
      <c r="P2192" s="6">
        <f>1</f>
        <v>1</v>
      </c>
      <c r="Q2192" s="6">
        <f>0</f>
        <v>0</v>
      </c>
      <c r="S2192" s="6">
        <f>0</f>
        <v>0</v>
      </c>
      <c r="T2192" s="6">
        <f>1</f>
        <v>1</v>
      </c>
      <c r="U2192" s="5" t="s">
        <v>245</v>
      </c>
      <c r="V2192" s="4" t="s">
        <v>270</v>
      </c>
      <c r="W2192" s="4" t="s">
        <v>271</v>
      </c>
      <c r="X2192" s="4" t="s">
        <v>273</v>
      </c>
      <c r="Y2192" s="4" t="s">
        <v>241</v>
      </c>
      <c r="AB2192" s="4" t="s">
        <v>241</v>
      </c>
      <c r="AD2192" s="5" t="s">
        <v>241</v>
      </c>
      <c r="AG2192" s="5" t="s">
        <v>246</v>
      </c>
      <c r="AH2192" s="4" t="s">
        <v>241</v>
      </c>
      <c r="AI2192" s="4" t="s">
        <v>247</v>
      </c>
      <c r="AJ2192" s="4" t="s">
        <v>248</v>
      </c>
      <c r="AZ2192" s="4" t="s">
        <v>249</v>
      </c>
      <c r="BA2192" s="4" t="s">
        <v>241</v>
      </c>
      <c r="BB2192" s="4" t="s">
        <v>250</v>
      </c>
      <c r="BC2192" s="4" t="s">
        <v>241</v>
      </c>
      <c r="BD2192" s="4" t="s">
        <v>252</v>
      </c>
      <c r="BE2192" s="4" t="s">
        <v>241</v>
      </c>
      <c r="BI2192" s="4" t="s">
        <v>253</v>
      </c>
      <c r="BJ2192" s="5" t="s">
        <v>246</v>
      </c>
      <c r="BK2192" s="4" t="s">
        <v>254</v>
      </c>
      <c r="BL2192" s="4" t="s">
        <v>255</v>
      </c>
      <c r="BM2192" s="4" t="s">
        <v>241</v>
      </c>
      <c r="BN2192" s="6">
        <f>0</f>
        <v>0</v>
      </c>
      <c r="BO2192" s="6">
        <f>0</f>
        <v>0</v>
      </c>
      <c r="BP2192" s="4" t="s">
        <v>256</v>
      </c>
      <c r="BQ2192" s="4" t="s">
        <v>257</v>
      </c>
      <c r="CE2192" s="4" t="s">
        <v>241</v>
      </c>
      <c r="CF2192" s="4" t="s">
        <v>241</v>
      </c>
      <c r="CJ2192" s="4" t="s">
        <v>276</v>
      </c>
      <c r="CK2192" s="4" t="s">
        <v>259</v>
      </c>
      <c r="CL2192" s="4" t="s">
        <v>241</v>
      </c>
      <c r="CO2192" s="5" t="s">
        <v>260</v>
      </c>
      <c r="CP2192" s="4" t="s">
        <v>241</v>
      </c>
      <c r="CQ2192" s="4" t="s">
        <v>261</v>
      </c>
      <c r="CR2192" s="4" t="s">
        <v>241</v>
      </c>
      <c r="CS2192" s="4" t="s">
        <v>241</v>
      </c>
      <c r="CT2192" s="4">
        <v>0</v>
      </c>
      <c r="CU2192" s="4" t="s">
        <v>262</v>
      </c>
      <c r="CV2192" s="4" t="s">
        <v>263</v>
      </c>
      <c r="CW2192" s="4" t="s">
        <v>263</v>
      </c>
      <c r="CX2192" s="4" t="s">
        <v>264</v>
      </c>
      <c r="DA2192" s="6">
        <f>1</f>
        <v>1</v>
      </c>
      <c r="DC2192" s="4" t="s">
        <v>325</v>
      </c>
      <c r="DD2192" s="4" t="s">
        <v>241</v>
      </c>
      <c r="DF2192" s="4" t="s">
        <v>325</v>
      </c>
      <c r="DG2192" s="6">
        <f>143</f>
        <v>143</v>
      </c>
      <c r="DI2192" s="4" t="s">
        <v>241</v>
      </c>
      <c r="DJ2192" s="4" t="s">
        <v>241</v>
      </c>
      <c r="DK2192" s="4" t="s">
        <v>241</v>
      </c>
      <c r="DL2192" s="4" t="s">
        <v>241</v>
      </c>
      <c r="DP2192" s="4" t="s">
        <v>241</v>
      </c>
      <c r="DQ2192" s="4" t="s">
        <v>241</v>
      </c>
      <c r="DR2192" s="4" t="s">
        <v>241</v>
      </c>
      <c r="DS2192" s="4" t="s">
        <v>241</v>
      </c>
      <c r="DV2192" s="4" t="s">
        <v>426</v>
      </c>
      <c r="DW2192" s="4" t="s">
        <v>1238</v>
      </c>
      <c r="HO2192" s="4" t="s">
        <v>267</v>
      </c>
    </row>
    <row r="2193" spans="1:223" ht="19.5" customHeight="1" x14ac:dyDescent="0.4">
      <c r="A2193" s="4">
        <v>1</v>
      </c>
      <c r="B2193" s="4" t="s">
        <v>239</v>
      </c>
      <c r="C2193" s="4">
        <v>3896</v>
      </c>
      <c r="D2193" s="4">
        <v>1</v>
      </c>
      <c r="E2193" s="4">
        <v>1</v>
      </c>
      <c r="F2193" s="4" t="s">
        <v>268</v>
      </c>
      <c r="G2193" s="4" t="s">
        <v>241</v>
      </c>
      <c r="H2193" s="4" t="s">
        <v>241</v>
      </c>
      <c r="I2193" s="4" t="s">
        <v>424</v>
      </c>
      <c r="J2193" s="4" t="s">
        <v>274</v>
      </c>
      <c r="K2193" s="4" t="s">
        <v>251</v>
      </c>
      <c r="L2193" s="4" t="s">
        <v>423</v>
      </c>
      <c r="M2193" s="5" t="s">
        <v>3685</v>
      </c>
      <c r="N2193" s="6">
        <f>696</f>
        <v>696</v>
      </c>
      <c r="O2193" s="4" t="s">
        <v>265</v>
      </c>
      <c r="P2193" s="6">
        <f>1</f>
        <v>1</v>
      </c>
      <c r="Q2193" s="6">
        <f>0</f>
        <v>0</v>
      </c>
      <c r="S2193" s="6">
        <f>0</f>
        <v>0</v>
      </c>
      <c r="T2193" s="6">
        <f>1</f>
        <v>1</v>
      </c>
      <c r="U2193" s="5" t="s">
        <v>245</v>
      </c>
      <c r="V2193" s="4" t="s">
        <v>270</v>
      </c>
      <c r="W2193" s="4" t="s">
        <v>271</v>
      </c>
      <c r="X2193" s="4" t="s">
        <v>273</v>
      </c>
      <c r="Y2193" s="4" t="s">
        <v>241</v>
      </c>
      <c r="AB2193" s="4" t="s">
        <v>241</v>
      </c>
      <c r="AD2193" s="5" t="s">
        <v>241</v>
      </c>
      <c r="AG2193" s="5" t="s">
        <v>246</v>
      </c>
      <c r="AH2193" s="4" t="s">
        <v>241</v>
      </c>
      <c r="AI2193" s="4" t="s">
        <v>247</v>
      </c>
      <c r="AJ2193" s="4" t="s">
        <v>248</v>
      </c>
      <c r="AZ2193" s="4" t="s">
        <v>249</v>
      </c>
      <c r="BA2193" s="4" t="s">
        <v>241</v>
      </c>
      <c r="BB2193" s="4" t="s">
        <v>250</v>
      </c>
      <c r="BC2193" s="4" t="s">
        <v>241</v>
      </c>
      <c r="BD2193" s="4" t="s">
        <v>252</v>
      </c>
      <c r="BE2193" s="4" t="s">
        <v>241</v>
      </c>
      <c r="BI2193" s="4" t="s">
        <v>253</v>
      </c>
      <c r="BJ2193" s="5" t="s">
        <v>246</v>
      </c>
      <c r="BK2193" s="4" t="s">
        <v>254</v>
      </c>
      <c r="BL2193" s="4" t="s">
        <v>255</v>
      </c>
      <c r="BM2193" s="4" t="s">
        <v>241</v>
      </c>
      <c r="BN2193" s="6">
        <f>0</f>
        <v>0</v>
      </c>
      <c r="BO2193" s="6">
        <f>0</f>
        <v>0</v>
      </c>
      <c r="BP2193" s="4" t="s">
        <v>256</v>
      </c>
      <c r="BQ2193" s="4" t="s">
        <v>257</v>
      </c>
      <c r="CE2193" s="4" t="s">
        <v>241</v>
      </c>
      <c r="CF2193" s="4" t="s">
        <v>241</v>
      </c>
      <c r="CJ2193" s="4" t="s">
        <v>276</v>
      </c>
      <c r="CK2193" s="4" t="s">
        <v>259</v>
      </c>
      <c r="CL2193" s="4" t="s">
        <v>241</v>
      </c>
      <c r="CO2193" s="5" t="s">
        <v>260</v>
      </c>
      <c r="CP2193" s="4" t="s">
        <v>241</v>
      </c>
      <c r="CQ2193" s="4" t="s">
        <v>261</v>
      </c>
      <c r="CR2193" s="4" t="s">
        <v>241</v>
      </c>
      <c r="CS2193" s="4" t="s">
        <v>241</v>
      </c>
      <c r="CT2193" s="4">
        <v>0</v>
      </c>
      <c r="CU2193" s="4" t="s">
        <v>262</v>
      </c>
      <c r="CV2193" s="4" t="s">
        <v>263</v>
      </c>
      <c r="CW2193" s="4" t="s">
        <v>263</v>
      </c>
      <c r="CX2193" s="4" t="s">
        <v>264</v>
      </c>
      <c r="DA2193" s="6">
        <f>1</f>
        <v>1</v>
      </c>
      <c r="DC2193" s="4" t="s">
        <v>325</v>
      </c>
      <c r="DD2193" s="4" t="s">
        <v>241</v>
      </c>
      <c r="DF2193" s="4" t="s">
        <v>325</v>
      </c>
      <c r="DG2193" s="6">
        <f>696</f>
        <v>696</v>
      </c>
      <c r="DI2193" s="4" t="s">
        <v>241</v>
      </c>
      <c r="DJ2193" s="4" t="s">
        <v>241</v>
      </c>
      <c r="DK2193" s="4" t="s">
        <v>241</v>
      </c>
      <c r="DL2193" s="4" t="s">
        <v>241</v>
      </c>
      <c r="DP2193" s="4" t="s">
        <v>241</v>
      </c>
      <c r="DQ2193" s="4" t="s">
        <v>241</v>
      </c>
      <c r="DR2193" s="4" t="s">
        <v>241</v>
      </c>
      <c r="DS2193" s="4" t="s">
        <v>241</v>
      </c>
      <c r="DV2193" s="4" t="s">
        <v>426</v>
      </c>
      <c r="DW2193" s="4" t="s">
        <v>1234</v>
      </c>
      <c r="HO2193" s="4" t="s">
        <v>267</v>
      </c>
    </row>
    <row r="2194" spans="1:223" ht="19.5" customHeight="1" x14ac:dyDescent="0.4">
      <c r="A2194" s="4">
        <v>1</v>
      </c>
      <c r="B2194" s="4" t="s">
        <v>239</v>
      </c>
      <c r="C2194" s="4">
        <v>3897</v>
      </c>
      <c r="D2194" s="4">
        <v>1</v>
      </c>
      <c r="E2194" s="4">
        <v>1</v>
      </c>
      <c r="F2194" s="4" t="s">
        <v>268</v>
      </c>
      <c r="G2194" s="4" t="s">
        <v>241</v>
      </c>
      <c r="H2194" s="4" t="s">
        <v>241</v>
      </c>
      <c r="I2194" s="4" t="s">
        <v>424</v>
      </c>
      <c r="J2194" s="4" t="s">
        <v>274</v>
      </c>
      <c r="K2194" s="4" t="s">
        <v>251</v>
      </c>
      <c r="L2194" s="4" t="s">
        <v>423</v>
      </c>
      <c r="M2194" s="5" t="s">
        <v>594</v>
      </c>
      <c r="N2194" s="6">
        <f>428</f>
        <v>428</v>
      </c>
      <c r="O2194" s="4" t="s">
        <v>265</v>
      </c>
      <c r="P2194" s="6">
        <f>1</f>
        <v>1</v>
      </c>
      <c r="Q2194" s="6">
        <f>0</f>
        <v>0</v>
      </c>
      <c r="S2194" s="6">
        <f>0</f>
        <v>0</v>
      </c>
      <c r="T2194" s="6">
        <f>1</f>
        <v>1</v>
      </c>
      <c r="U2194" s="5" t="s">
        <v>245</v>
      </c>
      <c r="V2194" s="4" t="s">
        <v>270</v>
      </c>
      <c r="W2194" s="4" t="s">
        <v>271</v>
      </c>
      <c r="X2194" s="4" t="s">
        <v>273</v>
      </c>
      <c r="Y2194" s="4" t="s">
        <v>241</v>
      </c>
      <c r="AB2194" s="4" t="s">
        <v>241</v>
      </c>
      <c r="AD2194" s="5" t="s">
        <v>241</v>
      </c>
      <c r="AG2194" s="5" t="s">
        <v>246</v>
      </c>
      <c r="AH2194" s="4" t="s">
        <v>241</v>
      </c>
      <c r="AI2194" s="4" t="s">
        <v>247</v>
      </c>
      <c r="AJ2194" s="4" t="s">
        <v>248</v>
      </c>
      <c r="AZ2194" s="4" t="s">
        <v>249</v>
      </c>
      <c r="BA2194" s="4" t="s">
        <v>241</v>
      </c>
      <c r="BB2194" s="4" t="s">
        <v>250</v>
      </c>
      <c r="BC2194" s="4" t="s">
        <v>241</v>
      </c>
      <c r="BD2194" s="4" t="s">
        <v>252</v>
      </c>
      <c r="BE2194" s="4" t="s">
        <v>241</v>
      </c>
      <c r="BI2194" s="4" t="s">
        <v>253</v>
      </c>
      <c r="BJ2194" s="5" t="s">
        <v>246</v>
      </c>
      <c r="BK2194" s="4" t="s">
        <v>254</v>
      </c>
      <c r="BL2194" s="4" t="s">
        <v>255</v>
      </c>
      <c r="BM2194" s="4" t="s">
        <v>241</v>
      </c>
      <c r="BN2194" s="6">
        <f>0</f>
        <v>0</v>
      </c>
      <c r="BO2194" s="6">
        <f>0</f>
        <v>0</v>
      </c>
      <c r="BP2194" s="4" t="s">
        <v>256</v>
      </c>
      <c r="BQ2194" s="4" t="s">
        <v>257</v>
      </c>
      <c r="CE2194" s="4" t="s">
        <v>241</v>
      </c>
      <c r="CF2194" s="4" t="s">
        <v>241</v>
      </c>
      <c r="CJ2194" s="4" t="s">
        <v>276</v>
      </c>
      <c r="CK2194" s="4" t="s">
        <v>259</v>
      </c>
      <c r="CL2194" s="4" t="s">
        <v>241</v>
      </c>
      <c r="CO2194" s="5" t="s">
        <v>260</v>
      </c>
      <c r="CP2194" s="4" t="s">
        <v>241</v>
      </c>
      <c r="CQ2194" s="4" t="s">
        <v>261</v>
      </c>
      <c r="CR2194" s="4" t="s">
        <v>241</v>
      </c>
      <c r="CS2194" s="4" t="s">
        <v>241</v>
      </c>
      <c r="CT2194" s="4">
        <v>0</v>
      </c>
      <c r="CU2194" s="4" t="s">
        <v>262</v>
      </c>
      <c r="CV2194" s="4" t="s">
        <v>263</v>
      </c>
      <c r="CW2194" s="4" t="s">
        <v>263</v>
      </c>
      <c r="CX2194" s="4" t="s">
        <v>264</v>
      </c>
      <c r="DA2194" s="6">
        <f>1</f>
        <v>1</v>
      </c>
      <c r="DC2194" s="4" t="s">
        <v>325</v>
      </c>
      <c r="DD2194" s="4" t="s">
        <v>241</v>
      </c>
      <c r="DF2194" s="4" t="s">
        <v>325</v>
      </c>
      <c r="DG2194" s="6">
        <f>428</f>
        <v>428</v>
      </c>
      <c r="DI2194" s="4" t="s">
        <v>241</v>
      </c>
      <c r="DJ2194" s="4" t="s">
        <v>241</v>
      </c>
      <c r="DK2194" s="4" t="s">
        <v>241</v>
      </c>
      <c r="DL2194" s="4" t="s">
        <v>241</v>
      </c>
      <c r="DP2194" s="4" t="s">
        <v>241</v>
      </c>
      <c r="DQ2194" s="4" t="s">
        <v>241</v>
      </c>
      <c r="DR2194" s="4" t="s">
        <v>241</v>
      </c>
      <c r="DS2194" s="4" t="s">
        <v>241</v>
      </c>
      <c r="DV2194" s="4" t="s">
        <v>426</v>
      </c>
      <c r="DW2194" s="4" t="s">
        <v>595</v>
      </c>
      <c r="HO2194" s="4" t="s">
        <v>267</v>
      </c>
    </row>
    <row r="2195" spans="1:223" ht="19.5" customHeight="1" x14ac:dyDescent="0.4">
      <c r="A2195" s="4">
        <v>1</v>
      </c>
      <c r="B2195" s="4" t="s">
        <v>239</v>
      </c>
      <c r="C2195" s="4">
        <v>3898</v>
      </c>
      <c r="D2195" s="4">
        <v>1</v>
      </c>
      <c r="E2195" s="4">
        <v>1</v>
      </c>
      <c r="F2195" s="4" t="s">
        <v>268</v>
      </c>
      <c r="G2195" s="4" t="s">
        <v>241</v>
      </c>
      <c r="H2195" s="4" t="s">
        <v>241</v>
      </c>
      <c r="I2195" s="4" t="s">
        <v>424</v>
      </c>
      <c r="J2195" s="4" t="s">
        <v>274</v>
      </c>
      <c r="K2195" s="4" t="s">
        <v>251</v>
      </c>
      <c r="L2195" s="4" t="s">
        <v>423</v>
      </c>
      <c r="M2195" s="5" t="s">
        <v>3660</v>
      </c>
      <c r="N2195" s="6">
        <f>113</f>
        <v>113</v>
      </c>
      <c r="O2195" s="4" t="s">
        <v>265</v>
      </c>
      <c r="P2195" s="6">
        <f>1</f>
        <v>1</v>
      </c>
      <c r="Q2195" s="6">
        <f>0</f>
        <v>0</v>
      </c>
      <c r="S2195" s="6">
        <f>0</f>
        <v>0</v>
      </c>
      <c r="T2195" s="6">
        <f>1</f>
        <v>1</v>
      </c>
      <c r="U2195" s="5" t="s">
        <v>245</v>
      </c>
      <c r="V2195" s="4" t="s">
        <v>270</v>
      </c>
      <c r="W2195" s="4" t="s">
        <v>271</v>
      </c>
      <c r="X2195" s="4" t="s">
        <v>273</v>
      </c>
      <c r="Y2195" s="4" t="s">
        <v>241</v>
      </c>
      <c r="AB2195" s="4" t="s">
        <v>241</v>
      </c>
      <c r="AD2195" s="5" t="s">
        <v>241</v>
      </c>
      <c r="AG2195" s="5" t="s">
        <v>246</v>
      </c>
      <c r="AH2195" s="4" t="s">
        <v>241</v>
      </c>
      <c r="AI2195" s="4" t="s">
        <v>247</v>
      </c>
      <c r="AJ2195" s="4" t="s">
        <v>248</v>
      </c>
      <c r="AZ2195" s="4" t="s">
        <v>249</v>
      </c>
      <c r="BA2195" s="4" t="s">
        <v>241</v>
      </c>
      <c r="BB2195" s="4" t="s">
        <v>250</v>
      </c>
      <c r="BC2195" s="4" t="s">
        <v>241</v>
      </c>
      <c r="BD2195" s="4" t="s">
        <v>252</v>
      </c>
      <c r="BE2195" s="4" t="s">
        <v>241</v>
      </c>
      <c r="BI2195" s="4" t="s">
        <v>253</v>
      </c>
      <c r="BJ2195" s="5" t="s">
        <v>246</v>
      </c>
      <c r="BK2195" s="4" t="s">
        <v>254</v>
      </c>
      <c r="BL2195" s="4" t="s">
        <v>255</v>
      </c>
      <c r="BM2195" s="4" t="s">
        <v>241</v>
      </c>
      <c r="BN2195" s="6">
        <f>0</f>
        <v>0</v>
      </c>
      <c r="BO2195" s="6">
        <f>0</f>
        <v>0</v>
      </c>
      <c r="BP2195" s="4" t="s">
        <v>256</v>
      </c>
      <c r="BQ2195" s="4" t="s">
        <v>257</v>
      </c>
      <c r="CE2195" s="4" t="s">
        <v>241</v>
      </c>
      <c r="CF2195" s="4" t="s">
        <v>241</v>
      </c>
      <c r="CJ2195" s="4" t="s">
        <v>276</v>
      </c>
      <c r="CK2195" s="4" t="s">
        <v>259</v>
      </c>
      <c r="CL2195" s="4" t="s">
        <v>241</v>
      </c>
      <c r="CO2195" s="5" t="s">
        <v>260</v>
      </c>
      <c r="CP2195" s="4" t="s">
        <v>241</v>
      </c>
      <c r="CQ2195" s="4" t="s">
        <v>261</v>
      </c>
      <c r="CR2195" s="4" t="s">
        <v>241</v>
      </c>
      <c r="CS2195" s="4" t="s">
        <v>241</v>
      </c>
      <c r="CT2195" s="4">
        <v>0</v>
      </c>
      <c r="CU2195" s="4" t="s">
        <v>262</v>
      </c>
      <c r="CV2195" s="4" t="s">
        <v>263</v>
      </c>
      <c r="CW2195" s="4" t="s">
        <v>263</v>
      </c>
      <c r="CX2195" s="4" t="s">
        <v>264</v>
      </c>
      <c r="DA2195" s="6">
        <f>1</f>
        <v>1</v>
      </c>
      <c r="DC2195" s="4" t="s">
        <v>325</v>
      </c>
      <c r="DD2195" s="4" t="s">
        <v>241</v>
      </c>
      <c r="DF2195" s="4" t="s">
        <v>325</v>
      </c>
      <c r="DG2195" s="6">
        <f>113</f>
        <v>113</v>
      </c>
      <c r="DI2195" s="4" t="s">
        <v>241</v>
      </c>
      <c r="DJ2195" s="4" t="s">
        <v>241</v>
      </c>
      <c r="DK2195" s="4" t="s">
        <v>241</v>
      </c>
      <c r="DL2195" s="4" t="s">
        <v>241</v>
      </c>
      <c r="DP2195" s="4" t="s">
        <v>241</v>
      </c>
      <c r="DQ2195" s="4" t="s">
        <v>241</v>
      </c>
      <c r="DR2195" s="4" t="s">
        <v>241</v>
      </c>
      <c r="DS2195" s="4" t="s">
        <v>241</v>
      </c>
      <c r="DV2195" s="4" t="s">
        <v>426</v>
      </c>
      <c r="DW2195" s="4" t="s">
        <v>1228</v>
      </c>
      <c r="HO2195" s="4" t="s">
        <v>267</v>
      </c>
    </row>
    <row r="2196" spans="1:223" ht="19.5" customHeight="1" x14ac:dyDescent="0.4">
      <c r="A2196" s="4">
        <v>1</v>
      </c>
      <c r="B2196" s="4" t="s">
        <v>239</v>
      </c>
      <c r="C2196" s="4">
        <v>3899</v>
      </c>
      <c r="D2196" s="4">
        <v>1</v>
      </c>
      <c r="E2196" s="4">
        <v>1</v>
      </c>
      <c r="F2196" s="4" t="s">
        <v>268</v>
      </c>
      <c r="G2196" s="4" t="s">
        <v>241</v>
      </c>
      <c r="H2196" s="4" t="s">
        <v>241</v>
      </c>
      <c r="I2196" s="4" t="s">
        <v>424</v>
      </c>
      <c r="J2196" s="4" t="s">
        <v>274</v>
      </c>
      <c r="K2196" s="4" t="s">
        <v>251</v>
      </c>
      <c r="L2196" s="4" t="s">
        <v>423</v>
      </c>
      <c r="M2196" s="5" t="s">
        <v>3774</v>
      </c>
      <c r="N2196" s="6">
        <f>688</f>
        <v>688</v>
      </c>
      <c r="O2196" s="4" t="s">
        <v>265</v>
      </c>
      <c r="P2196" s="6">
        <f>1</f>
        <v>1</v>
      </c>
      <c r="Q2196" s="6">
        <f>0</f>
        <v>0</v>
      </c>
      <c r="S2196" s="6">
        <f>0</f>
        <v>0</v>
      </c>
      <c r="T2196" s="6">
        <f>1</f>
        <v>1</v>
      </c>
      <c r="U2196" s="5" t="s">
        <v>245</v>
      </c>
      <c r="V2196" s="4" t="s">
        <v>270</v>
      </c>
      <c r="W2196" s="4" t="s">
        <v>271</v>
      </c>
      <c r="X2196" s="4" t="s">
        <v>273</v>
      </c>
      <c r="Y2196" s="4" t="s">
        <v>241</v>
      </c>
      <c r="AB2196" s="4" t="s">
        <v>241</v>
      </c>
      <c r="AD2196" s="5" t="s">
        <v>241</v>
      </c>
      <c r="AG2196" s="5" t="s">
        <v>246</v>
      </c>
      <c r="AH2196" s="4" t="s">
        <v>241</v>
      </c>
      <c r="AI2196" s="4" t="s">
        <v>247</v>
      </c>
      <c r="AJ2196" s="4" t="s">
        <v>248</v>
      </c>
      <c r="AZ2196" s="4" t="s">
        <v>249</v>
      </c>
      <c r="BA2196" s="4" t="s">
        <v>241</v>
      </c>
      <c r="BB2196" s="4" t="s">
        <v>250</v>
      </c>
      <c r="BC2196" s="4" t="s">
        <v>241</v>
      </c>
      <c r="BD2196" s="4" t="s">
        <v>252</v>
      </c>
      <c r="BE2196" s="4" t="s">
        <v>241</v>
      </c>
      <c r="BI2196" s="4" t="s">
        <v>253</v>
      </c>
      <c r="BJ2196" s="5" t="s">
        <v>246</v>
      </c>
      <c r="BK2196" s="4" t="s">
        <v>254</v>
      </c>
      <c r="BL2196" s="4" t="s">
        <v>255</v>
      </c>
      <c r="BM2196" s="4" t="s">
        <v>241</v>
      </c>
      <c r="BN2196" s="6">
        <f>0</f>
        <v>0</v>
      </c>
      <c r="BO2196" s="6">
        <f>0</f>
        <v>0</v>
      </c>
      <c r="BP2196" s="4" t="s">
        <v>256</v>
      </c>
      <c r="BQ2196" s="4" t="s">
        <v>257</v>
      </c>
      <c r="CE2196" s="4" t="s">
        <v>241</v>
      </c>
      <c r="CF2196" s="4" t="s">
        <v>241</v>
      </c>
      <c r="CJ2196" s="4" t="s">
        <v>276</v>
      </c>
      <c r="CK2196" s="4" t="s">
        <v>259</v>
      </c>
      <c r="CL2196" s="4" t="s">
        <v>241</v>
      </c>
      <c r="CO2196" s="5" t="s">
        <v>260</v>
      </c>
      <c r="CP2196" s="4" t="s">
        <v>241</v>
      </c>
      <c r="CQ2196" s="4" t="s">
        <v>261</v>
      </c>
      <c r="CR2196" s="4" t="s">
        <v>241</v>
      </c>
      <c r="CS2196" s="4" t="s">
        <v>241</v>
      </c>
      <c r="CT2196" s="4">
        <v>0</v>
      </c>
      <c r="CU2196" s="4" t="s">
        <v>262</v>
      </c>
      <c r="CV2196" s="4" t="s">
        <v>263</v>
      </c>
      <c r="CW2196" s="4" t="s">
        <v>263</v>
      </c>
      <c r="CX2196" s="4" t="s">
        <v>264</v>
      </c>
      <c r="DA2196" s="6">
        <f>1</f>
        <v>1</v>
      </c>
      <c r="DC2196" s="4" t="s">
        <v>325</v>
      </c>
      <c r="DD2196" s="4" t="s">
        <v>241</v>
      </c>
      <c r="DF2196" s="4" t="s">
        <v>325</v>
      </c>
      <c r="DG2196" s="6">
        <f>688</f>
        <v>688</v>
      </c>
      <c r="DI2196" s="4" t="s">
        <v>241</v>
      </c>
      <c r="DJ2196" s="4" t="s">
        <v>241</v>
      </c>
      <c r="DK2196" s="4" t="s">
        <v>241</v>
      </c>
      <c r="DL2196" s="4" t="s">
        <v>241</v>
      </c>
      <c r="DP2196" s="4" t="s">
        <v>241</v>
      </c>
      <c r="DQ2196" s="4" t="s">
        <v>241</v>
      </c>
      <c r="DR2196" s="4" t="s">
        <v>241</v>
      </c>
      <c r="DS2196" s="4" t="s">
        <v>241</v>
      </c>
      <c r="DV2196" s="4" t="s">
        <v>426</v>
      </c>
      <c r="DW2196" s="4" t="s">
        <v>1223</v>
      </c>
      <c r="HO2196" s="4" t="s">
        <v>267</v>
      </c>
    </row>
    <row r="2197" spans="1:223" ht="19.5" customHeight="1" x14ac:dyDescent="0.4">
      <c r="A2197" s="4">
        <v>1</v>
      </c>
      <c r="B2197" s="4" t="s">
        <v>239</v>
      </c>
      <c r="C2197" s="4">
        <v>3900</v>
      </c>
      <c r="D2197" s="4">
        <v>1</v>
      </c>
      <c r="E2197" s="4">
        <v>1</v>
      </c>
      <c r="F2197" s="4" t="s">
        <v>268</v>
      </c>
      <c r="G2197" s="4" t="s">
        <v>241</v>
      </c>
      <c r="H2197" s="4" t="s">
        <v>241</v>
      </c>
      <c r="I2197" s="4" t="s">
        <v>424</v>
      </c>
      <c r="J2197" s="4" t="s">
        <v>274</v>
      </c>
      <c r="K2197" s="4" t="s">
        <v>251</v>
      </c>
      <c r="L2197" s="4" t="s">
        <v>423</v>
      </c>
      <c r="M2197" s="5" t="s">
        <v>3701</v>
      </c>
      <c r="N2197" s="6">
        <f>130</f>
        <v>130</v>
      </c>
      <c r="O2197" s="4" t="s">
        <v>265</v>
      </c>
      <c r="P2197" s="6">
        <f>1</f>
        <v>1</v>
      </c>
      <c r="Q2197" s="6">
        <f>0</f>
        <v>0</v>
      </c>
      <c r="S2197" s="6">
        <f>0</f>
        <v>0</v>
      </c>
      <c r="T2197" s="6">
        <f>1</f>
        <v>1</v>
      </c>
      <c r="U2197" s="5" t="s">
        <v>245</v>
      </c>
      <c r="V2197" s="4" t="s">
        <v>270</v>
      </c>
      <c r="W2197" s="4" t="s">
        <v>271</v>
      </c>
      <c r="X2197" s="4" t="s">
        <v>273</v>
      </c>
      <c r="Y2197" s="4" t="s">
        <v>241</v>
      </c>
      <c r="AB2197" s="4" t="s">
        <v>241</v>
      </c>
      <c r="AD2197" s="5" t="s">
        <v>241</v>
      </c>
      <c r="AG2197" s="5" t="s">
        <v>246</v>
      </c>
      <c r="AH2197" s="4" t="s">
        <v>241</v>
      </c>
      <c r="AI2197" s="4" t="s">
        <v>247</v>
      </c>
      <c r="AJ2197" s="4" t="s">
        <v>248</v>
      </c>
      <c r="AZ2197" s="4" t="s">
        <v>249</v>
      </c>
      <c r="BA2197" s="4" t="s">
        <v>241</v>
      </c>
      <c r="BB2197" s="4" t="s">
        <v>250</v>
      </c>
      <c r="BC2197" s="4" t="s">
        <v>241</v>
      </c>
      <c r="BD2197" s="4" t="s">
        <v>252</v>
      </c>
      <c r="BE2197" s="4" t="s">
        <v>241</v>
      </c>
      <c r="BI2197" s="4" t="s">
        <v>253</v>
      </c>
      <c r="BJ2197" s="5" t="s">
        <v>246</v>
      </c>
      <c r="BK2197" s="4" t="s">
        <v>254</v>
      </c>
      <c r="BL2197" s="4" t="s">
        <v>255</v>
      </c>
      <c r="BM2197" s="4" t="s">
        <v>241</v>
      </c>
      <c r="BN2197" s="6">
        <f>0</f>
        <v>0</v>
      </c>
      <c r="BO2197" s="6">
        <f>0</f>
        <v>0</v>
      </c>
      <c r="BP2197" s="4" t="s">
        <v>256</v>
      </c>
      <c r="BQ2197" s="4" t="s">
        <v>257</v>
      </c>
      <c r="CE2197" s="4" t="s">
        <v>241</v>
      </c>
      <c r="CF2197" s="4" t="s">
        <v>241</v>
      </c>
      <c r="CJ2197" s="4" t="s">
        <v>276</v>
      </c>
      <c r="CK2197" s="4" t="s">
        <v>259</v>
      </c>
      <c r="CL2197" s="4" t="s">
        <v>241</v>
      </c>
      <c r="CO2197" s="5" t="s">
        <v>260</v>
      </c>
      <c r="CP2197" s="4" t="s">
        <v>241</v>
      </c>
      <c r="CQ2197" s="4" t="s">
        <v>261</v>
      </c>
      <c r="CR2197" s="4" t="s">
        <v>241</v>
      </c>
      <c r="CS2197" s="4" t="s">
        <v>241</v>
      </c>
      <c r="CT2197" s="4">
        <v>0</v>
      </c>
      <c r="CU2197" s="4" t="s">
        <v>262</v>
      </c>
      <c r="CV2197" s="4" t="s">
        <v>263</v>
      </c>
      <c r="CW2197" s="4" t="s">
        <v>263</v>
      </c>
      <c r="CX2197" s="4" t="s">
        <v>264</v>
      </c>
      <c r="DA2197" s="6">
        <f>1</f>
        <v>1</v>
      </c>
      <c r="DC2197" s="4" t="s">
        <v>325</v>
      </c>
      <c r="DD2197" s="4" t="s">
        <v>241</v>
      </c>
      <c r="DF2197" s="4" t="s">
        <v>325</v>
      </c>
      <c r="DG2197" s="6">
        <f>130</f>
        <v>130</v>
      </c>
      <c r="DI2197" s="4" t="s">
        <v>241</v>
      </c>
      <c r="DJ2197" s="4" t="s">
        <v>241</v>
      </c>
      <c r="DK2197" s="4" t="s">
        <v>241</v>
      </c>
      <c r="DL2197" s="4" t="s">
        <v>241</v>
      </c>
      <c r="DP2197" s="4" t="s">
        <v>241</v>
      </c>
      <c r="DQ2197" s="4" t="s">
        <v>241</v>
      </c>
      <c r="DR2197" s="4" t="s">
        <v>241</v>
      </c>
      <c r="DS2197" s="4" t="s">
        <v>241</v>
      </c>
      <c r="DV2197" s="4" t="s">
        <v>426</v>
      </c>
      <c r="DW2197" s="4" t="s">
        <v>1218</v>
      </c>
      <c r="HO2197" s="4" t="s">
        <v>267</v>
      </c>
    </row>
    <row r="2198" spans="1:223" ht="19.5" customHeight="1" x14ac:dyDescent="0.4">
      <c r="A2198" s="4">
        <v>1</v>
      </c>
      <c r="B2198" s="4" t="s">
        <v>239</v>
      </c>
      <c r="C2198" s="4">
        <v>3901</v>
      </c>
      <c r="D2198" s="4">
        <v>1</v>
      </c>
      <c r="E2198" s="4">
        <v>1</v>
      </c>
      <c r="F2198" s="4" t="s">
        <v>268</v>
      </c>
      <c r="G2198" s="4" t="s">
        <v>241</v>
      </c>
      <c r="H2198" s="4" t="s">
        <v>241</v>
      </c>
      <c r="I2198" s="4" t="s">
        <v>424</v>
      </c>
      <c r="J2198" s="4" t="s">
        <v>274</v>
      </c>
      <c r="K2198" s="4" t="s">
        <v>251</v>
      </c>
      <c r="L2198" s="4" t="s">
        <v>423</v>
      </c>
      <c r="M2198" s="5" t="s">
        <v>3398</v>
      </c>
      <c r="N2198" s="6">
        <f>1170</f>
        <v>1170</v>
      </c>
      <c r="O2198" s="4" t="s">
        <v>265</v>
      </c>
      <c r="P2198" s="6">
        <f>1</f>
        <v>1</v>
      </c>
      <c r="Q2198" s="6">
        <f>0</f>
        <v>0</v>
      </c>
      <c r="S2198" s="6">
        <f>0</f>
        <v>0</v>
      </c>
      <c r="T2198" s="6">
        <f>1</f>
        <v>1</v>
      </c>
      <c r="U2198" s="5" t="s">
        <v>245</v>
      </c>
      <c r="V2198" s="4" t="s">
        <v>270</v>
      </c>
      <c r="W2198" s="4" t="s">
        <v>271</v>
      </c>
      <c r="X2198" s="4" t="s">
        <v>273</v>
      </c>
      <c r="Y2198" s="4" t="s">
        <v>241</v>
      </c>
      <c r="AB2198" s="4" t="s">
        <v>241</v>
      </c>
      <c r="AD2198" s="5" t="s">
        <v>241</v>
      </c>
      <c r="AG2198" s="5" t="s">
        <v>246</v>
      </c>
      <c r="AH2198" s="4" t="s">
        <v>241</v>
      </c>
      <c r="AI2198" s="4" t="s">
        <v>247</v>
      </c>
      <c r="AJ2198" s="4" t="s">
        <v>248</v>
      </c>
      <c r="AZ2198" s="4" t="s">
        <v>249</v>
      </c>
      <c r="BA2198" s="4" t="s">
        <v>241</v>
      </c>
      <c r="BB2198" s="4" t="s">
        <v>250</v>
      </c>
      <c r="BC2198" s="4" t="s">
        <v>241</v>
      </c>
      <c r="BD2198" s="4" t="s">
        <v>252</v>
      </c>
      <c r="BE2198" s="4" t="s">
        <v>241</v>
      </c>
      <c r="BI2198" s="4" t="s">
        <v>253</v>
      </c>
      <c r="BJ2198" s="5" t="s">
        <v>246</v>
      </c>
      <c r="BK2198" s="4" t="s">
        <v>254</v>
      </c>
      <c r="BL2198" s="4" t="s">
        <v>255</v>
      </c>
      <c r="BM2198" s="4" t="s">
        <v>241</v>
      </c>
      <c r="BN2198" s="6">
        <f>0</f>
        <v>0</v>
      </c>
      <c r="BO2198" s="6">
        <f>0</f>
        <v>0</v>
      </c>
      <c r="BP2198" s="4" t="s">
        <v>256</v>
      </c>
      <c r="BQ2198" s="4" t="s">
        <v>257</v>
      </c>
      <c r="CE2198" s="4" t="s">
        <v>241</v>
      </c>
      <c r="CF2198" s="4" t="s">
        <v>241</v>
      </c>
      <c r="CJ2198" s="4" t="s">
        <v>276</v>
      </c>
      <c r="CK2198" s="4" t="s">
        <v>259</v>
      </c>
      <c r="CL2198" s="4" t="s">
        <v>241</v>
      </c>
      <c r="CO2198" s="5" t="s">
        <v>260</v>
      </c>
      <c r="CP2198" s="4" t="s">
        <v>241</v>
      </c>
      <c r="CQ2198" s="4" t="s">
        <v>261</v>
      </c>
      <c r="CR2198" s="4" t="s">
        <v>241</v>
      </c>
      <c r="CS2198" s="4" t="s">
        <v>241</v>
      </c>
      <c r="CT2198" s="4">
        <v>0</v>
      </c>
      <c r="CU2198" s="4" t="s">
        <v>262</v>
      </c>
      <c r="CV2198" s="4" t="s">
        <v>263</v>
      </c>
      <c r="CW2198" s="4" t="s">
        <v>263</v>
      </c>
      <c r="CX2198" s="4" t="s">
        <v>264</v>
      </c>
      <c r="DA2198" s="6">
        <f>1</f>
        <v>1</v>
      </c>
      <c r="DC2198" s="4" t="s">
        <v>325</v>
      </c>
      <c r="DD2198" s="4" t="s">
        <v>241</v>
      </c>
      <c r="DF2198" s="4" t="s">
        <v>325</v>
      </c>
      <c r="DG2198" s="6">
        <f>1170</f>
        <v>1170</v>
      </c>
      <c r="DI2198" s="4" t="s">
        <v>241</v>
      </c>
      <c r="DJ2198" s="4" t="s">
        <v>241</v>
      </c>
      <c r="DK2198" s="4" t="s">
        <v>241</v>
      </c>
      <c r="DL2198" s="4" t="s">
        <v>241</v>
      </c>
      <c r="DP2198" s="4" t="s">
        <v>241</v>
      </c>
      <c r="DQ2198" s="4" t="s">
        <v>241</v>
      </c>
      <c r="DR2198" s="4" t="s">
        <v>241</v>
      </c>
      <c r="DS2198" s="4" t="s">
        <v>241</v>
      </c>
      <c r="DV2198" s="4" t="s">
        <v>426</v>
      </c>
      <c r="DW2198" s="4" t="s">
        <v>1213</v>
      </c>
      <c r="HO2198" s="4" t="s">
        <v>267</v>
      </c>
    </row>
    <row r="2199" spans="1:223" ht="19.5" customHeight="1" x14ac:dyDescent="0.4">
      <c r="A2199" s="4">
        <v>1</v>
      </c>
      <c r="B2199" s="4" t="s">
        <v>239</v>
      </c>
      <c r="C2199" s="4">
        <v>3902</v>
      </c>
      <c r="D2199" s="4">
        <v>1</v>
      </c>
      <c r="E2199" s="4">
        <v>1</v>
      </c>
      <c r="F2199" s="4" t="s">
        <v>268</v>
      </c>
      <c r="G2199" s="4" t="s">
        <v>241</v>
      </c>
      <c r="H2199" s="4" t="s">
        <v>241</v>
      </c>
      <c r="I2199" s="4" t="s">
        <v>424</v>
      </c>
      <c r="J2199" s="4" t="s">
        <v>274</v>
      </c>
      <c r="K2199" s="4" t="s">
        <v>251</v>
      </c>
      <c r="L2199" s="4" t="s">
        <v>423</v>
      </c>
      <c r="M2199" s="5" t="s">
        <v>680</v>
      </c>
      <c r="N2199" s="6">
        <f>363</f>
        <v>363</v>
      </c>
      <c r="O2199" s="4" t="s">
        <v>265</v>
      </c>
      <c r="P2199" s="6">
        <f>1</f>
        <v>1</v>
      </c>
      <c r="Q2199" s="6">
        <f>0</f>
        <v>0</v>
      </c>
      <c r="S2199" s="6">
        <f>0</f>
        <v>0</v>
      </c>
      <c r="T2199" s="6">
        <f>1</f>
        <v>1</v>
      </c>
      <c r="U2199" s="5" t="s">
        <v>245</v>
      </c>
      <c r="V2199" s="4" t="s">
        <v>270</v>
      </c>
      <c r="W2199" s="4" t="s">
        <v>271</v>
      </c>
      <c r="X2199" s="4" t="s">
        <v>273</v>
      </c>
      <c r="Y2199" s="4" t="s">
        <v>241</v>
      </c>
      <c r="AB2199" s="4" t="s">
        <v>241</v>
      </c>
      <c r="AD2199" s="5" t="s">
        <v>241</v>
      </c>
      <c r="AG2199" s="5" t="s">
        <v>246</v>
      </c>
      <c r="AH2199" s="4" t="s">
        <v>241</v>
      </c>
      <c r="AI2199" s="4" t="s">
        <v>247</v>
      </c>
      <c r="AJ2199" s="4" t="s">
        <v>248</v>
      </c>
      <c r="AZ2199" s="4" t="s">
        <v>249</v>
      </c>
      <c r="BA2199" s="4" t="s">
        <v>241</v>
      </c>
      <c r="BB2199" s="4" t="s">
        <v>250</v>
      </c>
      <c r="BC2199" s="4" t="s">
        <v>241</v>
      </c>
      <c r="BD2199" s="4" t="s">
        <v>252</v>
      </c>
      <c r="BE2199" s="4" t="s">
        <v>241</v>
      </c>
      <c r="BI2199" s="4" t="s">
        <v>253</v>
      </c>
      <c r="BJ2199" s="5" t="s">
        <v>246</v>
      </c>
      <c r="BK2199" s="4" t="s">
        <v>254</v>
      </c>
      <c r="BL2199" s="4" t="s">
        <v>255</v>
      </c>
      <c r="BM2199" s="4" t="s">
        <v>241</v>
      </c>
      <c r="BN2199" s="6">
        <f>0</f>
        <v>0</v>
      </c>
      <c r="BO2199" s="6">
        <f>0</f>
        <v>0</v>
      </c>
      <c r="BP2199" s="4" t="s">
        <v>256</v>
      </c>
      <c r="BQ2199" s="4" t="s">
        <v>257</v>
      </c>
      <c r="CE2199" s="4" t="s">
        <v>241</v>
      </c>
      <c r="CF2199" s="4" t="s">
        <v>241</v>
      </c>
      <c r="CJ2199" s="4" t="s">
        <v>276</v>
      </c>
      <c r="CK2199" s="4" t="s">
        <v>259</v>
      </c>
      <c r="CL2199" s="4" t="s">
        <v>241</v>
      </c>
      <c r="CO2199" s="5" t="s">
        <v>260</v>
      </c>
      <c r="CP2199" s="4" t="s">
        <v>241</v>
      </c>
      <c r="CQ2199" s="4" t="s">
        <v>261</v>
      </c>
      <c r="CR2199" s="4" t="s">
        <v>241</v>
      </c>
      <c r="CS2199" s="4" t="s">
        <v>241</v>
      </c>
      <c r="CT2199" s="4">
        <v>0</v>
      </c>
      <c r="CU2199" s="4" t="s">
        <v>262</v>
      </c>
      <c r="CV2199" s="4" t="s">
        <v>263</v>
      </c>
      <c r="CW2199" s="4" t="s">
        <v>263</v>
      </c>
      <c r="CX2199" s="4" t="s">
        <v>264</v>
      </c>
      <c r="DA2199" s="6">
        <f>1</f>
        <v>1</v>
      </c>
      <c r="DC2199" s="4" t="s">
        <v>325</v>
      </c>
      <c r="DD2199" s="4" t="s">
        <v>241</v>
      </c>
      <c r="DF2199" s="4" t="s">
        <v>325</v>
      </c>
      <c r="DG2199" s="6">
        <f>363</f>
        <v>363</v>
      </c>
      <c r="DI2199" s="4" t="s">
        <v>241</v>
      </c>
      <c r="DJ2199" s="4" t="s">
        <v>241</v>
      </c>
      <c r="DK2199" s="4" t="s">
        <v>241</v>
      </c>
      <c r="DL2199" s="4" t="s">
        <v>241</v>
      </c>
      <c r="DP2199" s="4" t="s">
        <v>241</v>
      </c>
      <c r="DQ2199" s="4" t="s">
        <v>241</v>
      </c>
      <c r="DR2199" s="4" t="s">
        <v>241</v>
      </c>
      <c r="DS2199" s="4" t="s">
        <v>241</v>
      </c>
      <c r="DV2199" s="4" t="s">
        <v>426</v>
      </c>
      <c r="DW2199" s="4" t="s">
        <v>681</v>
      </c>
      <c r="HO2199" s="4" t="s">
        <v>267</v>
      </c>
    </row>
    <row r="2200" spans="1:223" ht="19.5" customHeight="1" x14ac:dyDescent="0.4">
      <c r="A2200" s="4">
        <v>1</v>
      </c>
      <c r="B2200" s="4" t="s">
        <v>239</v>
      </c>
      <c r="C2200" s="4">
        <v>3903</v>
      </c>
      <c r="D2200" s="4">
        <v>1</v>
      </c>
      <c r="E2200" s="4">
        <v>1</v>
      </c>
      <c r="F2200" s="4" t="s">
        <v>268</v>
      </c>
      <c r="G2200" s="4" t="s">
        <v>241</v>
      </c>
      <c r="H2200" s="4" t="s">
        <v>241</v>
      </c>
      <c r="I2200" s="4" t="s">
        <v>424</v>
      </c>
      <c r="J2200" s="4" t="s">
        <v>274</v>
      </c>
      <c r="K2200" s="4" t="s">
        <v>251</v>
      </c>
      <c r="L2200" s="4" t="s">
        <v>423</v>
      </c>
      <c r="M2200" s="5" t="s">
        <v>3800</v>
      </c>
      <c r="N2200" s="6">
        <f>88</f>
        <v>88</v>
      </c>
      <c r="O2200" s="4" t="s">
        <v>265</v>
      </c>
      <c r="P2200" s="6">
        <f>1</f>
        <v>1</v>
      </c>
      <c r="Q2200" s="6">
        <f>0</f>
        <v>0</v>
      </c>
      <c r="S2200" s="6">
        <f>0</f>
        <v>0</v>
      </c>
      <c r="T2200" s="6">
        <f>1</f>
        <v>1</v>
      </c>
      <c r="U2200" s="5" t="s">
        <v>245</v>
      </c>
      <c r="V2200" s="4" t="s">
        <v>270</v>
      </c>
      <c r="W2200" s="4" t="s">
        <v>271</v>
      </c>
      <c r="X2200" s="4" t="s">
        <v>273</v>
      </c>
      <c r="Y2200" s="4" t="s">
        <v>241</v>
      </c>
      <c r="AB2200" s="4" t="s">
        <v>241</v>
      </c>
      <c r="AD2200" s="5" t="s">
        <v>241</v>
      </c>
      <c r="AG2200" s="5" t="s">
        <v>246</v>
      </c>
      <c r="AH2200" s="4" t="s">
        <v>241</v>
      </c>
      <c r="AI2200" s="4" t="s">
        <v>247</v>
      </c>
      <c r="AJ2200" s="4" t="s">
        <v>248</v>
      </c>
      <c r="AZ2200" s="4" t="s">
        <v>249</v>
      </c>
      <c r="BA2200" s="4" t="s">
        <v>241</v>
      </c>
      <c r="BB2200" s="4" t="s">
        <v>250</v>
      </c>
      <c r="BC2200" s="4" t="s">
        <v>241</v>
      </c>
      <c r="BD2200" s="4" t="s">
        <v>252</v>
      </c>
      <c r="BE2200" s="4" t="s">
        <v>241</v>
      </c>
      <c r="BI2200" s="4" t="s">
        <v>253</v>
      </c>
      <c r="BJ2200" s="5" t="s">
        <v>246</v>
      </c>
      <c r="BK2200" s="4" t="s">
        <v>254</v>
      </c>
      <c r="BL2200" s="4" t="s">
        <v>255</v>
      </c>
      <c r="BM2200" s="4" t="s">
        <v>241</v>
      </c>
      <c r="BN2200" s="6">
        <f>0</f>
        <v>0</v>
      </c>
      <c r="BO2200" s="6">
        <f>0</f>
        <v>0</v>
      </c>
      <c r="BP2200" s="4" t="s">
        <v>256</v>
      </c>
      <c r="BQ2200" s="4" t="s">
        <v>257</v>
      </c>
      <c r="CE2200" s="4" t="s">
        <v>241</v>
      </c>
      <c r="CF2200" s="4" t="s">
        <v>241</v>
      </c>
      <c r="CJ2200" s="4" t="s">
        <v>276</v>
      </c>
      <c r="CK2200" s="4" t="s">
        <v>259</v>
      </c>
      <c r="CL2200" s="4" t="s">
        <v>241</v>
      </c>
      <c r="CO2200" s="5" t="s">
        <v>260</v>
      </c>
      <c r="CP2200" s="4" t="s">
        <v>241</v>
      </c>
      <c r="CQ2200" s="4" t="s">
        <v>261</v>
      </c>
      <c r="CR2200" s="4" t="s">
        <v>241</v>
      </c>
      <c r="CS2200" s="4" t="s">
        <v>241</v>
      </c>
      <c r="CT2200" s="4">
        <v>0</v>
      </c>
      <c r="CU2200" s="4" t="s">
        <v>262</v>
      </c>
      <c r="CV2200" s="4" t="s">
        <v>263</v>
      </c>
      <c r="CW2200" s="4" t="s">
        <v>263</v>
      </c>
      <c r="CX2200" s="4" t="s">
        <v>264</v>
      </c>
      <c r="DA2200" s="6">
        <f>1</f>
        <v>1</v>
      </c>
      <c r="DC2200" s="4" t="s">
        <v>325</v>
      </c>
      <c r="DD2200" s="4" t="s">
        <v>241</v>
      </c>
      <c r="DF2200" s="4" t="s">
        <v>325</v>
      </c>
      <c r="DG2200" s="6">
        <f>88</f>
        <v>88</v>
      </c>
      <c r="DI2200" s="4" t="s">
        <v>241</v>
      </c>
      <c r="DJ2200" s="4" t="s">
        <v>241</v>
      </c>
      <c r="DK2200" s="4" t="s">
        <v>241</v>
      </c>
      <c r="DL2200" s="4" t="s">
        <v>241</v>
      </c>
      <c r="DP2200" s="4" t="s">
        <v>241</v>
      </c>
      <c r="DQ2200" s="4" t="s">
        <v>241</v>
      </c>
      <c r="DR2200" s="4" t="s">
        <v>241</v>
      </c>
      <c r="DS2200" s="4" t="s">
        <v>241</v>
      </c>
      <c r="DV2200" s="4" t="s">
        <v>426</v>
      </c>
      <c r="DW2200" s="4" t="s">
        <v>1187</v>
      </c>
      <c r="HO2200" s="4" t="s">
        <v>267</v>
      </c>
    </row>
    <row r="2201" spans="1:223" ht="19.5" customHeight="1" x14ac:dyDescent="0.4">
      <c r="A2201" s="4">
        <v>1</v>
      </c>
      <c r="B2201" s="4" t="s">
        <v>239</v>
      </c>
      <c r="C2201" s="4">
        <v>3904</v>
      </c>
      <c r="D2201" s="4">
        <v>1</v>
      </c>
      <c r="E2201" s="4">
        <v>1</v>
      </c>
      <c r="F2201" s="4" t="s">
        <v>268</v>
      </c>
      <c r="G2201" s="4" t="s">
        <v>241</v>
      </c>
      <c r="H2201" s="4" t="s">
        <v>241</v>
      </c>
      <c r="I2201" s="4" t="s">
        <v>424</v>
      </c>
      <c r="J2201" s="4" t="s">
        <v>274</v>
      </c>
      <c r="K2201" s="4" t="s">
        <v>251</v>
      </c>
      <c r="L2201" s="4" t="s">
        <v>423</v>
      </c>
      <c r="M2201" s="5" t="s">
        <v>4387</v>
      </c>
      <c r="N2201" s="6">
        <f>1056</f>
        <v>1056</v>
      </c>
      <c r="O2201" s="4" t="s">
        <v>265</v>
      </c>
      <c r="P2201" s="6">
        <f>1</f>
        <v>1</v>
      </c>
      <c r="Q2201" s="6">
        <f>0</f>
        <v>0</v>
      </c>
      <c r="S2201" s="6">
        <f>0</f>
        <v>0</v>
      </c>
      <c r="T2201" s="6">
        <f>1</f>
        <v>1</v>
      </c>
      <c r="U2201" s="5" t="s">
        <v>245</v>
      </c>
      <c r="V2201" s="4" t="s">
        <v>270</v>
      </c>
      <c r="W2201" s="4" t="s">
        <v>271</v>
      </c>
      <c r="X2201" s="4" t="s">
        <v>273</v>
      </c>
      <c r="Y2201" s="4" t="s">
        <v>241</v>
      </c>
      <c r="AB2201" s="4" t="s">
        <v>241</v>
      </c>
      <c r="AD2201" s="5" t="s">
        <v>241</v>
      </c>
      <c r="AG2201" s="5" t="s">
        <v>246</v>
      </c>
      <c r="AH2201" s="4" t="s">
        <v>241</v>
      </c>
      <c r="AI2201" s="4" t="s">
        <v>247</v>
      </c>
      <c r="AJ2201" s="4" t="s">
        <v>248</v>
      </c>
      <c r="AZ2201" s="4" t="s">
        <v>249</v>
      </c>
      <c r="BA2201" s="4" t="s">
        <v>241</v>
      </c>
      <c r="BB2201" s="4" t="s">
        <v>250</v>
      </c>
      <c r="BC2201" s="4" t="s">
        <v>241</v>
      </c>
      <c r="BD2201" s="4" t="s">
        <v>252</v>
      </c>
      <c r="BE2201" s="4" t="s">
        <v>241</v>
      </c>
      <c r="BI2201" s="4" t="s">
        <v>253</v>
      </c>
      <c r="BJ2201" s="5" t="s">
        <v>246</v>
      </c>
      <c r="BK2201" s="4" t="s">
        <v>254</v>
      </c>
      <c r="BL2201" s="4" t="s">
        <v>255</v>
      </c>
      <c r="BM2201" s="4" t="s">
        <v>241</v>
      </c>
      <c r="BN2201" s="6">
        <f>0</f>
        <v>0</v>
      </c>
      <c r="BO2201" s="6">
        <f>0</f>
        <v>0</v>
      </c>
      <c r="BP2201" s="4" t="s">
        <v>256</v>
      </c>
      <c r="BQ2201" s="4" t="s">
        <v>257</v>
      </c>
      <c r="CE2201" s="4" t="s">
        <v>241</v>
      </c>
      <c r="CF2201" s="4" t="s">
        <v>241</v>
      </c>
      <c r="CJ2201" s="4" t="s">
        <v>276</v>
      </c>
      <c r="CK2201" s="4" t="s">
        <v>259</v>
      </c>
      <c r="CL2201" s="4" t="s">
        <v>241</v>
      </c>
      <c r="CO2201" s="5" t="s">
        <v>260</v>
      </c>
      <c r="CP2201" s="4" t="s">
        <v>241</v>
      </c>
      <c r="CQ2201" s="4" t="s">
        <v>261</v>
      </c>
      <c r="CR2201" s="4" t="s">
        <v>241</v>
      </c>
      <c r="CS2201" s="4" t="s">
        <v>241</v>
      </c>
      <c r="CT2201" s="4">
        <v>0</v>
      </c>
      <c r="CU2201" s="4" t="s">
        <v>262</v>
      </c>
      <c r="CV2201" s="4" t="s">
        <v>263</v>
      </c>
      <c r="CW2201" s="4" t="s">
        <v>263</v>
      </c>
      <c r="CX2201" s="4" t="s">
        <v>264</v>
      </c>
      <c r="DA2201" s="6">
        <f>1</f>
        <v>1</v>
      </c>
      <c r="DC2201" s="4" t="s">
        <v>325</v>
      </c>
      <c r="DD2201" s="4" t="s">
        <v>241</v>
      </c>
      <c r="DF2201" s="4" t="s">
        <v>325</v>
      </c>
      <c r="DG2201" s="6">
        <f>1056</f>
        <v>1056</v>
      </c>
      <c r="DI2201" s="4" t="s">
        <v>241</v>
      </c>
      <c r="DJ2201" s="4" t="s">
        <v>241</v>
      </c>
      <c r="DK2201" s="4" t="s">
        <v>241</v>
      </c>
      <c r="DL2201" s="4" t="s">
        <v>241</v>
      </c>
      <c r="DP2201" s="4" t="s">
        <v>241</v>
      </c>
      <c r="DQ2201" s="4" t="s">
        <v>241</v>
      </c>
      <c r="DR2201" s="4" t="s">
        <v>241</v>
      </c>
      <c r="DS2201" s="4" t="s">
        <v>241</v>
      </c>
      <c r="DV2201" s="4" t="s">
        <v>426</v>
      </c>
      <c r="DW2201" s="4" t="s">
        <v>1182</v>
      </c>
      <c r="HO2201" s="4" t="s">
        <v>267</v>
      </c>
    </row>
    <row r="2202" spans="1:223" ht="19.5" customHeight="1" x14ac:dyDescent="0.4">
      <c r="A2202" s="4">
        <v>1</v>
      </c>
      <c r="B2202" s="4" t="s">
        <v>239</v>
      </c>
      <c r="C2202" s="4">
        <v>3905</v>
      </c>
      <c r="D2202" s="4">
        <v>1</v>
      </c>
      <c r="E2202" s="4">
        <v>1</v>
      </c>
      <c r="F2202" s="4" t="s">
        <v>268</v>
      </c>
      <c r="G2202" s="4" t="s">
        <v>241</v>
      </c>
      <c r="H2202" s="4" t="s">
        <v>241</v>
      </c>
      <c r="I2202" s="4" t="s">
        <v>424</v>
      </c>
      <c r="J2202" s="4" t="s">
        <v>274</v>
      </c>
      <c r="K2202" s="4" t="s">
        <v>251</v>
      </c>
      <c r="L2202" s="4" t="s">
        <v>423</v>
      </c>
      <c r="M2202" s="5" t="s">
        <v>693</v>
      </c>
      <c r="N2202" s="6">
        <f>300</f>
        <v>300</v>
      </c>
      <c r="O2202" s="4" t="s">
        <v>265</v>
      </c>
      <c r="P2202" s="6">
        <f>1</f>
        <v>1</v>
      </c>
      <c r="Q2202" s="6">
        <f>0</f>
        <v>0</v>
      </c>
      <c r="S2202" s="6">
        <f>0</f>
        <v>0</v>
      </c>
      <c r="T2202" s="6">
        <f>1</f>
        <v>1</v>
      </c>
      <c r="U2202" s="5" t="s">
        <v>245</v>
      </c>
      <c r="V2202" s="4" t="s">
        <v>270</v>
      </c>
      <c r="W2202" s="4" t="s">
        <v>271</v>
      </c>
      <c r="X2202" s="4" t="s">
        <v>273</v>
      </c>
      <c r="Y2202" s="4" t="s">
        <v>241</v>
      </c>
      <c r="AB2202" s="4" t="s">
        <v>241</v>
      </c>
      <c r="AD2202" s="5" t="s">
        <v>241</v>
      </c>
      <c r="AG2202" s="5" t="s">
        <v>246</v>
      </c>
      <c r="AH2202" s="4" t="s">
        <v>241</v>
      </c>
      <c r="AI2202" s="4" t="s">
        <v>247</v>
      </c>
      <c r="AJ2202" s="4" t="s">
        <v>248</v>
      </c>
      <c r="AZ2202" s="4" t="s">
        <v>249</v>
      </c>
      <c r="BA2202" s="4" t="s">
        <v>241</v>
      </c>
      <c r="BB2202" s="4" t="s">
        <v>250</v>
      </c>
      <c r="BC2202" s="4" t="s">
        <v>241</v>
      </c>
      <c r="BD2202" s="4" t="s">
        <v>252</v>
      </c>
      <c r="BE2202" s="4" t="s">
        <v>241</v>
      </c>
      <c r="BI2202" s="4" t="s">
        <v>253</v>
      </c>
      <c r="BJ2202" s="5" t="s">
        <v>246</v>
      </c>
      <c r="BK2202" s="4" t="s">
        <v>254</v>
      </c>
      <c r="BL2202" s="4" t="s">
        <v>255</v>
      </c>
      <c r="BM2202" s="4" t="s">
        <v>241</v>
      </c>
      <c r="BN2202" s="6">
        <f>0</f>
        <v>0</v>
      </c>
      <c r="BO2202" s="6">
        <f>0</f>
        <v>0</v>
      </c>
      <c r="BP2202" s="4" t="s">
        <v>256</v>
      </c>
      <c r="BQ2202" s="4" t="s">
        <v>257</v>
      </c>
      <c r="CE2202" s="4" t="s">
        <v>241</v>
      </c>
      <c r="CF2202" s="4" t="s">
        <v>241</v>
      </c>
      <c r="CJ2202" s="4" t="s">
        <v>276</v>
      </c>
      <c r="CK2202" s="4" t="s">
        <v>259</v>
      </c>
      <c r="CL2202" s="4" t="s">
        <v>241</v>
      </c>
      <c r="CO2202" s="5" t="s">
        <v>260</v>
      </c>
      <c r="CP2202" s="4" t="s">
        <v>241</v>
      </c>
      <c r="CQ2202" s="4" t="s">
        <v>261</v>
      </c>
      <c r="CR2202" s="4" t="s">
        <v>241</v>
      </c>
      <c r="CS2202" s="4" t="s">
        <v>241</v>
      </c>
      <c r="CT2202" s="4">
        <v>0</v>
      </c>
      <c r="CU2202" s="4" t="s">
        <v>262</v>
      </c>
      <c r="CV2202" s="4" t="s">
        <v>263</v>
      </c>
      <c r="CW2202" s="4" t="s">
        <v>263</v>
      </c>
      <c r="CX2202" s="4" t="s">
        <v>264</v>
      </c>
      <c r="DA2202" s="6">
        <f>1</f>
        <v>1</v>
      </c>
      <c r="DC2202" s="4" t="s">
        <v>325</v>
      </c>
      <c r="DD2202" s="4" t="s">
        <v>241</v>
      </c>
      <c r="DF2202" s="4" t="s">
        <v>325</v>
      </c>
      <c r="DG2202" s="6">
        <f>300</f>
        <v>300</v>
      </c>
      <c r="DI2202" s="4" t="s">
        <v>241</v>
      </c>
      <c r="DJ2202" s="4" t="s">
        <v>241</v>
      </c>
      <c r="DK2202" s="4" t="s">
        <v>241</v>
      </c>
      <c r="DL2202" s="4" t="s">
        <v>241</v>
      </c>
      <c r="DP2202" s="4" t="s">
        <v>241</v>
      </c>
      <c r="DQ2202" s="4" t="s">
        <v>241</v>
      </c>
      <c r="DR2202" s="4" t="s">
        <v>241</v>
      </c>
      <c r="DS2202" s="4" t="s">
        <v>241</v>
      </c>
      <c r="DV2202" s="4" t="s">
        <v>426</v>
      </c>
      <c r="DW2202" s="4" t="s">
        <v>694</v>
      </c>
      <c r="HO2202" s="4" t="s">
        <v>267</v>
      </c>
    </row>
    <row r="2203" spans="1:223" ht="19.5" customHeight="1" x14ac:dyDescent="0.4">
      <c r="A2203" s="4">
        <v>1</v>
      </c>
      <c r="B2203" s="4" t="s">
        <v>239</v>
      </c>
      <c r="C2203" s="4">
        <v>3906</v>
      </c>
      <c r="D2203" s="4">
        <v>1</v>
      </c>
      <c r="E2203" s="4">
        <v>1</v>
      </c>
      <c r="F2203" s="4" t="s">
        <v>268</v>
      </c>
      <c r="G2203" s="4" t="s">
        <v>241</v>
      </c>
      <c r="H2203" s="4" t="s">
        <v>241</v>
      </c>
      <c r="I2203" s="4" t="s">
        <v>424</v>
      </c>
      <c r="J2203" s="4" t="s">
        <v>274</v>
      </c>
      <c r="K2203" s="4" t="s">
        <v>251</v>
      </c>
      <c r="L2203" s="4" t="s">
        <v>423</v>
      </c>
      <c r="M2203" s="5" t="s">
        <v>699</v>
      </c>
      <c r="N2203" s="6">
        <f>1262</f>
        <v>1262</v>
      </c>
      <c r="O2203" s="4" t="s">
        <v>265</v>
      </c>
      <c r="P2203" s="6">
        <f>1</f>
        <v>1</v>
      </c>
      <c r="Q2203" s="6">
        <f>0</f>
        <v>0</v>
      </c>
      <c r="S2203" s="6">
        <f>0</f>
        <v>0</v>
      </c>
      <c r="T2203" s="6">
        <f>1</f>
        <v>1</v>
      </c>
      <c r="U2203" s="5" t="s">
        <v>245</v>
      </c>
      <c r="V2203" s="4" t="s">
        <v>270</v>
      </c>
      <c r="W2203" s="4" t="s">
        <v>271</v>
      </c>
      <c r="X2203" s="4" t="s">
        <v>273</v>
      </c>
      <c r="Y2203" s="4" t="s">
        <v>241</v>
      </c>
      <c r="AB2203" s="4" t="s">
        <v>241</v>
      </c>
      <c r="AD2203" s="5" t="s">
        <v>241</v>
      </c>
      <c r="AG2203" s="5" t="s">
        <v>246</v>
      </c>
      <c r="AH2203" s="4" t="s">
        <v>241</v>
      </c>
      <c r="AI2203" s="4" t="s">
        <v>247</v>
      </c>
      <c r="AJ2203" s="4" t="s">
        <v>248</v>
      </c>
      <c r="AZ2203" s="4" t="s">
        <v>249</v>
      </c>
      <c r="BA2203" s="4" t="s">
        <v>241</v>
      </c>
      <c r="BB2203" s="4" t="s">
        <v>250</v>
      </c>
      <c r="BC2203" s="4" t="s">
        <v>241</v>
      </c>
      <c r="BD2203" s="4" t="s">
        <v>252</v>
      </c>
      <c r="BE2203" s="4" t="s">
        <v>241</v>
      </c>
      <c r="BI2203" s="4" t="s">
        <v>253</v>
      </c>
      <c r="BJ2203" s="5" t="s">
        <v>246</v>
      </c>
      <c r="BK2203" s="4" t="s">
        <v>254</v>
      </c>
      <c r="BL2203" s="4" t="s">
        <v>255</v>
      </c>
      <c r="BM2203" s="4" t="s">
        <v>241</v>
      </c>
      <c r="BN2203" s="6">
        <f>0</f>
        <v>0</v>
      </c>
      <c r="BO2203" s="6">
        <f>0</f>
        <v>0</v>
      </c>
      <c r="BP2203" s="4" t="s">
        <v>256</v>
      </c>
      <c r="BQ2203" s="4" t="s">
        <v>257</v>
      </c>
      <c r="CE2203" s="4" t="s">
        <v>241</v>
      </c>
      <c r="CF2203" s="4" t="s">
        <v>241</v>
      </c>
      <c r="CJ2203" s="4" t="s">
        <v>276</v>
      </c>
      <c r="CK2203" s="4" t="s">
        <v>259</v>
      </c>
      <c r="CL2203" s="4" t="s">
        <v>241</v>
      </c>
      <c r="CO2203" s="5" t="s">
        <v>260</v>
      </c>
      <c r="CP2203" s="4" t="s">
        <v>241</v>
      </c>
      <c r="CQ2203" s="4" t="s">
        <v>261</v>
      </c>
      <c r="CR2203" s="4" t="s">
        <v>241</v>
      </c>
      <c r="CS2203" s="4" t="s">
        <v>241</v>
      </c>
      <c r="CT2203" s="4">
        <v>0</v>
      </c>
      <c r="CU2203" s="4" t="s">
        <v>262</v>
      </c>
      <c r="CV2203" s="4" t="s">
        <v>263</v>
      </c>
      <c r="CW2203" s="4" t="s">
        <v>263</v>
      </c>
      <c r="CX2203" s="4" t="s">
        <v>264</v>
      </c>
      <c r="DA2203" s="6">
        <f>1</f>
        <v>1</v>
      </c>
      <c r="DC2203" s="4" t="s">
        <v>325</v>
      </c>
      <c r="DD2203" s="4" t="s">
        <v>241</v>
      </c>
      <c r="DF2203" s="4" t="s">
        <v>325</v>
      </c>
      <c r="DG2203" s="6">
        <f>1262</f>
        <v>1262</v>
      </c>
      <c r="DI2203" s="4" t="s">
        <v>241</v>
      </c>
      <c r="DJ2203" s="4" t="s">
        <v>241</v>
      </c>
      <c r="DK2203" s="4" t="s">
        <v>241</v>
      </c>
      <c r="DL2203" s="4" t="s">
        <v>241</v>
      </c>
      <c r="DP2203" s="4" t="s">
        <v>241</v>
      </c>
      <c r="DQ2203" s="4" t="s">
        <v>241</v>
      </c>
      <c r="DR2203" s="4" t="s">
        <v>241</v>
      </c>
      <c r="DS2203" s="4" t="s">
        <v>241</v>
      </c>
      <c r="DV2203" s="4" t="s">
        <v>426</v>
      </c>
      <c r="DW2203" s="4" t="s">
        <v>700</v>
      </c>
      <c r="HO2203" s="4" t="s">
        <v>267</v>
      </c>
    </row>
    <row r="2204" spans="1:223" ht="19.5" customHeight="1" x14ac:dyDescent="0.4">
      <c r="A2204" s="4">
        <v>1</v>
      </c>
      <c r="B2204" s="4" t="s">
        <v>239</v>
      </c>
      <c r="C2204" s="4">
        <v>3907</v>
      </c>
      <c r="D2204" s="4">
        <v>1</v>
      </c>
      <c r="E2204" s="4">
        <v>1</v>
      </c>
      <c r="F2204" s="4" t="s">
        <v>268</v>
      </c>
      <c r="G2204" s="4" t="s">
        <v>241</v>
      </c>
      <c r="H2204" s="4" t="s">
        <v>241</v>
      </c>
      <c r="I2204" s="4" t="s">
        <v>424</v>
      </c>
      <c r="J2204" s="4" t="s">
        <v>274</v>
      </c>
      <c r="K2204" s="4" t="s">
        <v>251</v>
      </c>
      <c r="L2204" s="4" t="s">
        <v>423</v>
      </c>
      <c r="M2204" s="5" t="s">
        <v>701</v>
      </c>
      <c r="N2204" s="6">
        <f>1895</f>
        <v>1895</v>
      </c>
      <c r="O2204" s="4" t="s">
        <v>265</v>
      </c>
      <c r="P2204" s="6">
        <f>1</f>
        <v>1</v>
      </c>
      <c r="Q2204" s="6">
        <f>0</f>
        <v>0</v>
      </c>
      <c r="S2204" s="6">
        <f>0</f>
        <v>0</v>
      </c>
      <c r="T2204" s="6">
        <f>1</f>
        <v>1</v>
      </c>
      <c r="U2204" s="5" t="s">
        <v>245</v>
      </c>
      <c r="V2204" s="4" t="s">
        <v>270</v>
      </c>
      <c r="W2204" s="4" t="s">
        <v>271</v>
      </c>
      <c r="X2204" s="4" t="s">
        <v>273</v>
      </c>
      <c r="Y2204" s="4" t="s">
        <v>241</v>
      </c>
      <c r="AB2204" s="4" t="s">
        <v>241</v>
      </c>
      <c r="AD2204" s="5" t="s">
        <v>241</v>
      </c>
      <c r="AG2204" s="5" t="s">
        <v>246</v>
      </c>
      <c r="AH2204" s="4" t="s">
        <v>241</v>
      </c>
      <c r="AI2204" s="4" t="s">
        <v>247</v>
      </c>
      <c r="AJ2204" s="4" t="s">
        <v>248</v>
      </c>
      <c r="AZ2204" s="4" t="s">
        <v>249</v>
      </c>
      <c r="BA2204" s="4" t="s">
        <v>241</v>
      </c>
      <c r="BB2204" s="4" t="s">
        <v>250</v>
      </c>
      <c r="BC2204" s="4" t="s">
        <v>241</v>
      </c>
      <c r="BD2204" s="4" t="s">
        <v>252</v>
      </c>
      <c r="BE2204" s="4" t="s">
        <v>241</v>
      </c>
      <c r="BI2204" s="4" t="s">
        <v>253</v>
      </c>
      <c r="BJ2204" s="5" t="s">
        <v>246</v>
      </c>
      <c r="BK2204" s="4" t="s">
        <v>254</v>
      </c>
      <c r="BL2204" s="4" t="s">
        <v>255</v>
      </c>
      <c r="BM2204" s="4" t="s">
        <v>241</v>
      </c>
      <c r="BN2204" s="6">
        <f>0</f>
        <v>0</v>
      </c>
      <c r="BO2204" s="6">
        <f>0</f>
        <v>0</v>
      </c>
      <c r="BP2204" s="4" t="s">
        <v>256</v>
      </c>
      <c r="BQ2204" s="4" t="s">
        <v>257</v>
      </c>
      <c r="CE2204" s="4" t="s">
        <v>241</v>
      </c>
      <c r="CF2204" s="4" t="s">
        <v>241</v>
      </c>
      <c r="CJ2204" s="4" t="s">
        <v>276</v>
      </c>
      <c r="CK2204" s="4" t="s">
        <v>259</v>
      </c>
      <c r="CL2204" s="4" t="s">
        <v>241</v>
      </c>
      <c r="CO2204" s="5" t="s">
        <v>260</v>
      </c>
      <c r="CP2204" s="4" t="s">
        <v>241</v>
      </c>
      <c r="CQ2204" s="4" t="s">
        <v>261</v>
      </c>
      <c r="CR2204" s="4" t="s">
        <v>241</v>
      </c>
      <c r="CS2204" s="4" t="s">
        <v>241</v>
      </c>
      <c r="CT2204" s="4">
        <v>0</v>
      </c>
      <c r="CU2204" s="4" t="s">
        <v>262</v>
      </c>
      <c r="CV2204" s="4" t="s">
        <v>263</v>
      </c>
      <c r="CW2204" s="4" t="s">
        <v>263</v>
      </c>
      <c r="CX2204" s="4" t="s">
        <v>264</v>
      </c>
      <c r="DA2204" s="6">
        <f>1</f>
        <v>1</v>
      </c>
      <c r="DC2204" s="4" t="s">
        <v>325</v>
      </c>
      <c r="DD2204" s="4" t="s">
        <v>241</v>
      </c>
      <c r="DF2204" s="4" t="s">
        <v>325</v>
      </c>
      <c r="DG2204" s="6">
        <f>1895</f>
        <v>1895</v>
      </c>
      <c r="DI2204" s="4" t="s">
        <v>241</v>
      </c>
      <c r="DJ2204" s="4" t="s">
        <v>241</v>
      </c>
      <c r="DK2204" s="4" t="s">
        <v>241</v>
      </c>
      <c r="DL2204" s="4" t="s">
        <v>241</v>
      </c>
      <c r="DP2204" s="4" t="s">
        <v>241</v>
      </c>
      <c r="DQ2204" s="4" t="s">
        <v>241</v>
      </c>
      <c r="DR2204" s="4" t="s">
        <v>241</v>
      </c>
      <c r="DS2204" s="4" t="s">
        <v>241</v>
      </c>
      <c r="DV2204" s="4" t="s">
        <v>426</v>
      </c>
      <c r="DW2204" s="4" t="s">
        <v>702</v>
      </c>
      <c r="HO2204" s="4" t="s">
        <v>267</v>
      </c>
    </row>
    <row r="2205" spans="1:223" ht="19.5" customHeight="1" x14ac:dyDescent="0.4">
      <c r="A2205" s="4">
        <v>1</v>
      </c>
      <c r="B2205" s="4" t="s">
        <v>239</v>
      </c>
      <c r="C2205" s="4">
        <v>3908</v>
      </c>
      <c r="D2205" s="4">
        <v>1</v>
      </c>
      <c r="E2205" s="4">
        <v>1</v>
      </c>
      <c r="F2205" s="4" t="s">
        <v>268</v>
      </c>
      <c r="G2205" s="4" t="s">
        <v>241</v>
      </c>
      <c r="H2205" s="4" t="s">
        <v>241</v>
      </c>
      <c r="I2205" s="4" t="s">
        <v>424</v>
      </c>
      <c r="J2205" s="4" t="s">
        <v>274</v>
      </c>
      <c r="K2205" s="4" t="s">
        <v>251</v>
      </c>
      <c r="L2205" s="4" t="s">
        <v>423</v>
      </c>
      <c r="M2205" s="5" t="s">
        <v>705</v>
      </c>
      <c r="N2205" s="6">
        <f>342</f>
        <v>342</v>
      </c>
      <c r="O2205" s="4" t="s">
        <v>265</v>
      </c>
      <c r="P2205" s="6">
        <f>1</f>
        <v>1</v>
      </c>
      <c r="Q2205" s="6">
        <f>0</f>
        <v>0</v>
      </c>
      <c r="S2205" s="6">
        <f>0</f>
        <v>0</v>
      </c>
      <c r="T2205" s="6">
        <f>1</f>
        <v>1</v>
      </c>
      <c r="U2205" s="5" t="s">
        <v>245</v>
      </c>
      <c r="V2205" s="4" t="s">
        <v>270</v>
      </c>
      <c r="W2205" s="4" t="s">
        <v>271</v>
      </c>
      <c r="X2205" s="4" t="s">
        <v>273</v>
      </c>
      <c r="Y2205" s="4" t="s">
        <v>241</v>
      </c>
      <c r="AB2205" s="4" t="s">
        <v>241</v>
      </c>
      <c r="AD2205" s="5" t="s">
        <v>241</v>
      </c>
      <c r="AG2205" s="5" t="s">
        <v>246</v>
      </c>
      <c r="AH2205" s="4" t="s">
        <v>241</v>
      </c>
      <c r="AI2205" s="4" t="s">
        <v>247</v>
      </c>
      <c r="AJ2205" s="4" t="s">
        <v>248</v>
      </c>
      <c r="AZ2205" s="4" t="s">
        <v>249</v>
      </c>
      <c r="BA2205" s="4" t="s">
        <v>241</v>
      </c>
      <c r="BB2205" s="4" t="s">
        <v>250</v>
      </c>
      <c r="BC2205" s="4" t="s">
        <v>241</v>
      </c>
      <c r="BD2205" s="4" t="s">
        <v>252</v>
      </c>
      <c r="BE2205" s="4" t="s">
        <v>241</v>
      </c>
      <c r="BI2205" s="4" t="s">
        <v>253</v>
      </c>
      <c r="BJ2205" s="5" t="s">
        <v>246</v>
      </c>
      <c r="BK2205" s="4" t="s">
        <v>254</v>
      </c>
      <c r="BL2205" s="4" t="s">
        <v>255</v>
      </c>
      <c r="BM2205" s="4" t="s">
        <v>241</v>
      </c>
      <c r="BN2205" s="6">
        <f>0</f>
        <v>0</v>
      </c>
      <c r="BO2205" s="6">
        <f>0</f>
        <v>0</v>
      </c>
      <c r="BP2205" s="4" t="s">
        <v>256</v>
      </c>
      <c r="BQ2205" s="4" t="s">
        <v>257</v>
      </c>
      <c r="CE2205" s="4" t="s">
        <v>241</v>
      </c>
      <c r="CF2205" s="4" t="s">
        <v>241</v>
      </c>
      <c r="CJ2205" s="4" t="s">
        <v>276</v>
      </c>
      <c r="CK2205" s="4" t="s">
        <v>259</v>
      </c>
      <c r="CL2205" s="4" t="s">
        <v>241</v>
      </c>
      <c r="CO2205" s="5" t="s">
        <v>260</v>
      </c>
      <c r="CP2205" s="4" t="s">
        <v>241</v>
      </c>
      <c r="CQ2205" s="4" t="s">
        <v>261</v>
      </c>
      <c r="CR2205" s="4" t="s">
        <v>241</v>
      </c>
      <c r="CS2205" s="4" t="s">
        <v>241</v>
      </c>
      <c r="CT2205" s="4">
        <v>0</v>
      </c>
      <c r="CU2205" s="4" t="s">
        <v>262</v>
      </c>
      <c r="CV2205" s="4" t="s">
        <v>263</v>
      </c>
      <c r="CW2205" s="4" t="s">
        <v>263</v>
      </c>
      <c r="CX2205" s="4" t="s">
        <v>264</v>
      </c>
      <c r="DA2205" s="6">
        <f>1</f>
        <v>1</v>
      </c>
      <c r="DC2205" s="4" t="s">
        <v>325</v>
      </c>
      <c r="DD2205" s="4" t="s">
        <v>241</v>
      </c>
      <c r="DF2205" s="4" t="s">
        <v>325</v>
      </c>
      <c r="DG2205" s="6">
        <f>342</f>
        <v>342</v>
      </c>
      <c r="DI2205" s="4" t="s">
        <v>241</v>
      </c>
      <c r="DJ2205" s="4" t="s">
        <v>241</v>
      </c>
      <c r="DK2205" s="4" t="s">
        <v>241</v>
      </c>
      <c r="DL2205" s="4" t="s">
        <v>241</v>
      </c>
      <c r="DP2205" s="4" t="s">
        <v>241</v>
      </c>
      <c r="DQ2205" s="4" t="s">
        <v>241</v>
      </c>
      <c r="DR2205" s="4" t="s">
        <v>241</v>
      </c>
      <c r="DS2205" s="4" t="s">
        <v>241</v>
      </c>
      <c r="DV2205" s="4" t="s">
        <v>426</v>
      </c>
      <c r="DW2205" s="4" t="s">
        <v>706</v>
      </c>
      <c r="HO2205" s="4" t="s">
        <v>267</v>
      </c>
    </row>
    <row r="2206" spans="1:223" ht="19.5" customHeight="1" x14ac:dyDescent="0.4">
      <c r="A2206" s="4">
        <v>1</v>
      </c>
      <c r="B2206" s="4" t="s">
        <v>239</v>
      </c>
      <c r="C2206" s="4">
        <v>3909</v>
      </c>
      <c r="D2206" s="4">
        <v>1</v>
      </c>
      <c r="E2206" s="4">
        <v>1</v>
      </c>
      <c r="F2206" s="4" t="s">
        <v>268</v>
      </c>
      <c r="G2206" s="4" t="s">
        <v>241</v>
      </c>
      <c r="H2206" s="4" t="s">
        <v>241</v>
      </c>
      <c r="I2206" s="4" t="s">
        <v>424</v>
      </c>
      <c r="J2206" s="4" t="s">
        <v>274</v>
      </c>
      <c r="K2206" s="4" t="s">
        <v>251</v>
      </c>
      <c r="L2206" s="4" t="s">
        <v>423</v>
      </c>
      <c r="M2206" s="5" t="s">
        <v>709</v>
      </c>
      <c r="N2206" s="6">
        <f>155</f>
        <v>155</v>
      </c>
      <c r="O2206" s="4" t="s">
        <v>265</v>
      </c>
      <c r="P2206" s="6">
        <f>1</f>
        <v>1</v>
      </c>
      <c r="Q2206" s="6">
        <f>0</f>
        <v>0</v>
      </c>
      <c r="S2206" s="6">
        <f>0</f>
        <v>0</v>
      </c>
      <c r="T2206" s="6">
        <f>1</f>
        <v>1</v>
      </c>
      <c r="U2206" s="5" t="s">
        <v>245</v>
      </c>
      <c r="V2206" s="4" t="s">
        <v>270</v>
      </c>
      <c r="W2206" s="4" t="s">
        <v>271</v>
      </c>
      <c r="X2206" s="4" t="s">
        <v>273</v>
      </c>
      <c r="Y2206" s="4" t="s">
        <v>241</v>
      </c>
      <c r="AB2206" s="4" t="s">
        <v>241</v>
      </c>
      <c r="AD2206" s="5" t="s">
        <v>241</v>
      </c>
      <c r="AG2206" s="5" t="s">
        <v>246</v>
      </c>
      <c r="AH2206" s="4" t="s">
        <v>241</v>
      </c>
      <c r="AI2206" s="4" t="s">
        <v>247</v>
      </c>
      <c r="AJ2206" s="4" t="s">
        <v>248</v>
      </c>
      <c r="AZ2206" s="4" t="s">
        <v>249</v>
      </c>
      <c r="BA2206" s="4" t="s">
        <v>241</v>
      </c>
      <c r="BB2206" s="4" t="s">
        <v>250</v>
      </c>
      <c r="BC2206" s="4" t="s">
        <v>241</v>
      </c>
      <c r="BD2206" s="4" t="s">
        <v>252</v>
      </c>
      <c r="BE2206" s="4" t="s">
        <v>241</v>
      </c>
      <c r="BI2206" s="4" t="s">
        <v>253</v>
      </c>
      <c r="BJ2206" s="5" t="s">
        <v>246</v>
      </c>
      <c r="BK2206" s="4" t="s">
        <v>254</v>
      </c>
      <c r="BL2206" s="4" t="s">
        <v>255</v>
      </c>
      <c r="BM2206" s="4" t="s">
        <v>241</v>
      </c>
      <c r="BN2206" s="6">
        <f>0</f>
        <v>0</v>
      </c>
      <c r="BO2206" s="6">
        <f>0</f>
        <v>0</v>
      </c>
      <c r="BP2206" s="4" t="s">
        <v>256</v>
      </c>
      <c r="BQ2206" s="4" t="s">
        <v>257</v>
      </c>
      <c r="CE2206" s="4" t="s">
        <v>241</v>
      </c>
      <c r="CF2206" s="4" t="s">
        <v>241</v>
      </c>
      <c r="CJ2206" s="4" t="s">
        <v>276</v>
      </c>
      <c r="CK2206" s="4" t="s">
        <v>259</v>
      </c>
      <c r="CL2206" s="4" t="s">
        <v>241</v>
      </c>
      <c r="CO2206" s="5" t="s">
        <v>260</v>
      </c>
      <c r="CP2206" s="4" t="s">
        <v>241</v>
      </c>
      <c r="CQ2206" s="4" t="s">
        <v>261</v>
      </c>
      <c r="CR2206" s="4" t="s">
        <v>241</v>
      </c>
      <c r="CS2206" s="4" t="s">
        <v>241</v>
      </c>
      <c r="CT2206" s="4">
        <v>0</v>
      </c>
      <c r="CU2206" s="4" t="s">
        <v>262</v>
      </c>
      <c r="CV2206" s="4" t="s">
        <v>263</v>
      </c>
      <c r="CW2206" s="4" t="s">
        <v>263</v>
      </c>
      <c r="CX2206" s="4" t="s">
        <v>264</v>
      </c>
      <c r="DA2206" s="6">
        <f>1</f>
        <v>1</v>
      </c>
      <c r="DC2206" s="4" t="s">
        <v>325</v>
      </c>
      <c r="DD2206" s="4" t="s">
        <v>241</v>
      </c>
      <c r="DF2206" s="4" t="s">
        <v>325</v>
      </c>
      <c r="DG2206" s="6">
        <f>155</f>
        <v>155</v>
      </c>
      <c r="DI2206" s="4" t="s">
        <v>241</v>
      </c>
      <c r="DJ2206" s="4" t="s">
        <v>241</v>
      </c>
      <c r="DK2206" s="4" t="s">
        <v>241</v>
      </c>
      <c r="DL2206" s="4" t="s">
        <v>241</v>
      </c>
      <c r="DP2206" s="4" t="s">
        <v>241</v>
      </c>
      <c r="DQ2206" s="4" t="s">
        <v>241</v>
      </c>
      <c r="DR2206" s="4" t="s">
        <v>241</v>
      </c>
      <c r="DS2206" s="4" t="s">
        <v>241</v>
      </c>
      <c r="DV2206" s="4" t="s">
        <v>426</v>
      </c>
      <c r="DW2206" s="4" t="s">
        <v>710</v>
      </c>
      <c r="HO2206" s="4" t="s">
        <v>267</v>
      </c>
    </row>
    <row r="2207" spans="1:223" ht="19.5" customHeight="1" x14ac:dyDescent="0.4">
      <c r="A2207" s="4">
        <v>1</v>
      </c>
      <c r="B2207" s="4" t="s">
        <v>239</v>
      </c>
      <c r="C2207" s="4">
        <v>3910</v>
      </c>
      <c r="D2207" s="4">
        <v>1</v>
      </c>
      <c r="E2207" s="4">
        <v>1</v>
      </c>
      <c r="F2207" s="4" t="s">
        <v>268</v>
      </c>
      <c r="G2207" s="4" t="s">
        <v>241</v>
      </c>
      <c r="H2207" s="4" t="s">
        <v>241</v>
      </c>
      <c r="I2207" s="4" t="s">
        <v>424</v>
      </c>
      <c r="J2207" s="4" t="s">
        <v>274</v>
      </c>
      <c r="K2207" s="4" t="s">
        <v>251</v>
      </c>
      <c r="L2207" s="4" t="s">
        <v>423</v>
      </c>
      <c r="M2207" s="5" t="s">
        <v>713</v>
      </c>
      <c r="N2207" s="6">
        <f>1260</f>
        <v>1260</v>
      </c>
      <c r="O2207" s="4" t="s">
        <v>265</v>
      </c>
      <c r="P2207" s="6">
        <f>1</f>
        <v>1</v>
      </c>
      <c r="Q2207" s="6">
        <f>0</f>
        <v>0</v>
      </c>
      <c r="S2207" s="6">
        <f>0</f>
        <v>0</v>
      </c>
      <c r="T2207" s="6">
        <f>1</f>
        <v>1</v>
      </c>
      <c r="U2207" s="5" t="s">
        <v>245</v>
      </c>
      <c r="V2207" s="4" t="s">
        <v>270</v>
      </c>
      <c r="W2207" s="4" t="s">
        <v>271</v>
      </c>
      <c r="X2207" s="4" t="s">
        <v>273</v>
      </c>
      <c r="Y2207" s="4" t="s">
        <v>241</v>
      </c>
      <c r="AB2207" s="4" t="s">
        <v>241</v>
      </c>
      <c r="AD2207" s="5" t="s">
        <v>241</v>
      </c>
      <c r="AG2207" s="5" t="s">
        <v>246</v>
      </c>
      <c r="AH2207" s="4" t="s">
        <v>241</v>
      </c>
      <c r="AI2207" s="4" t="s">
        <v>247</v>
      </c>
      <c r="AJ2207" s="4" t="s">
        <v>248</v>
      </c>
      <c r="AZ2207" s="4" t="s">
        <v>249</v>
      </c>
      <c r="BA2207" s="4" t="s">
        <v>241</v>
      </c>
      <c r="BB2207" s="4" t="s">
        <v>250</v>
      </c>
      <c r="BC2207" s="4" t="s">
        <v>241</v>
      </c>
      <c r="BD2207" s="4" t="s">
        <v>252</v>
      </c>
      <c r="BE2207" s="4" t="s">
        <v>241</v>
      </c>
      <c r="BI2207" s="4" t="s">
        <v>253</v>
      </c>
      <c r="BJ2207" s="5" t="s">
        <v>246</v>
      </c>
      <c r="BK2207" s="4" t="s">
        <v>254</v>
      </c>
      <c r="BL2207" s="4" t="s">
        <v>255</v>
      </c>
      <c r="BM2207" s="4" t="s">
        <v>241</v>
      </c>
      <c r="BN2207" s="6">
        <f>0</f>
        <v>0</v>
      </c>
      <c r="BO2207" s="6">
        <f>0</f>
        <v>0</v>
      </c>
      <c r="BP2207" s="4" t="s">
        <v>256</v>
      </c>
      <c r="BQ2207" s="4" t="s">
        <v>257</v>
      </c>
      <c r="CE2207" s="4" t="s">
        <v>241</v>
      </c>
      <c r="CF2207" s="4" t="s">
        <v>241</v>
      </c>
      <c r="CJ2207" s="4" t="s">
        <v>276</v>
      </c>
      <c r="CK2207" s="4" t="s">
        <v>259</v>
      </c>
      <c r="CL2207" s="4" t="s">
        <v>241</v>
      </c>
      <c r="CO2207" s="5" t="s">
        <v>260</v>
      </c>
      <c r="CP2207" s="4" t="s">
        <v>241</v>
      </c>
      <c r="CQ2207" s="4" t="s">
        <v>261</v>
      </c>
      <c r="CR2207" s="4" t="s">
        <v>241</v>
      </c>
      <c r="CS2207" s="4" t="s">
        <v>241</v>
      </c>
      <c r="CT2207" s="4">
        <v>0</v>
      </c>
      <c r="CU2207" s="4" t="s">
        <v>262</v>
      </c>
      <c r="CV2207" s="4" t="s">
        <v>263</v>
      </c>
      <c r="CW2207" s="4" t="s">
        <v>263</v>
      </c>
      <c r="CX2207" s="4" t="s">
        <v>264</v>
      </c>
      <c r="DA2207" s="6">
        <f>1</f>
        <v>1</v>
      </c>
      <c r="DC2207" s="4" t="s">
        <v>325</v>
      </c>
      <c r="DD2207" s="4" t="s">
        <v>241</v>
      </c>
      <c r="DF2207" s="4" t="s">
        <v>325</v>
      </c>
      <c r="DG2207" s="6">
        <f>1260</f>
        <v>1260</v>
      </c>
      <c r="DI2207" s="4" t="s">
        <v>241</v>
      </c>
      <c r="DJ2207" s="4" t="s">
        <v>241</v>
      </c>
      <c r="DK2207" s="4" t="s">
        <v>241</v>
      </c>
      <c r="DL2207" s="4" t="s">
        <v>241</v>
      </c>
      <c r="DP2207" s="4" t="s">
        <v>241</v>
      </c>
      <c r="DQ2207" s="4" t="s">
        <v>241</v>
      </c>
      <c r="DR2207" s="4" t="s">
        <v>241</v>
      </c>
      <c r="DS2207" s="4" t="s">
        <v>241</v>
      </c>
      <c r="DV2207" s="4" t="s">
        <v>426</v>
      </c>
      <c r="DW2207" s="4" t="s">
        <v>714</v>
      </c>
      <c r="HO2207" s="4" t="s">
        <v>267</v>
      </c>
    </row>
    <row r="2208" spans="1:223" ht="19.5" customHeight="1" x14ac:dyDescent="0.4">
      <c r="A2208" s="4">
        <v>1</v>
      </c>
      <c r="B2208" s="4" t="s">
        <v>239</v>
      </c>
      <c r="C2208" s="4">
        <v>3911</v>
      </c>
      <c r="D2208" s="4">
        <v>1</v>
      </c>
      <c r="E2208" s="4">
        <v>1</v>
      </c>
      <c r="F2208" s="4" t="s">
        <v>268</v>
      </c>
      <c r="G2208" s="4" t="s">
        <v>241</v>
      </c>
      <c r="H2208" s="4" t="s">
        <v>241</v>
      </c>
      <c r="I2208" s="4" t="s">
        <v>424</v>
      </c>
      <c r="J2208" s="4" t="s">
        <v>274</v>
      </c>
      <c r="K2208" s="4" t="s">
        <v>251</v>
      </c>
      <c r="L2208" s="4" t="s">
        <v>423</v>
      </c>
      <c r="M2208" s="5" t="s">
        <v>3485</v>
      </c>
      <c r="N2208" s="6">
        <f>788</f>
        <v>788</v>
      </c>
      <c r="O2208" s="4" t="s">
        <v>265</v>
      </c>
      <c r="P2208" s="6">
        <f>1</f>
        <v>1</v>
      </c>
      <c r="Q2208" s="6">
        <f>0</f>
        <v>0</v>
      </c>
      <c r="S2208" s="6">
        <f>0</f>
        <v>0</v>
      </c>
      <c r="T2208" s="6">
        <f>1</f>
        <v>1</v>
      </c>
      <c r="U2208" s="5" t="s">
        <v>245</v>
      </c>
      <c r="V2208" s="4" t="s">
        <v>270</v>
      </c>
      <c r="W2208" s="4" t="s">
        <v>271</v>
      </c>
      <c r="X2208" s="4" t="s">
        <v>273</v>
      </c>
      <c r="Y2208" s="4" t="s">
        <v>241</v>
      </c>
      <c r="AB2208" s="4" t="s">
        <v>241</v>
      </c>
      <c r="AD2208" s="5" t="s">
        <v>241</v>
      </c>
      <c r="AG2208" s="5" t="s">
        <v>246</v>
      </c>
      <c r="AH2208" s="4" t="s">
        <v>241</v>
      </c>
      <c r="AI2208" s="4" t="s">
        <v>247</v>
      </c>
      <c r="AJ2208" s="4" t="s">
        <v>248</v>
      </c>
      <c r="AZ2208" s="4" t="s">
        <v>249</v>
      </c>
      <c r="BA2208" s="4" t="s">
        <v>241</v>
      </c>
      <c r="BB2208" s="4" t="s">
        <v>250</v>
      </c>
      <c r="BC2208" s="4" t="s">
        <v>241</v>
      </c>
      <c r="BD2208" s="4" t="s">
        <v>252</v>
      </c>
      <c r="BE2208" s="4" t="s">
        <v>241</v>
      </c>
      <c r="BI2208" s="4" t="s">
        <v>253</v>
      </c>
      <c r="BJ2208" s="5" t="s">
        <v>246</v>
      </c>
      <c r="BK2208" s="4" t="s">
        <v>254</v>
      </c>
      <c r="BL2208" s="4" t="s">
        <v>255</v>
      </c>
      <c r="BM2208" s="4" t="s">
        <v>241</v>
      </c>
      <c r="BN2208" s="6">
        <f>0</f>
        <v>0</v>
      </c>
      <c r="BO2208" s="6">
        <f>0</f>
        <v>0</v>
      </c>
      <c r="BP2208" s="4" t="s">
        <v>256</v>
      </c>
      <c r="BQ2208" s="4" t="s">
        <v>257</v>
      </c>
      <c r="CE2208" s="4" t="s">
        <v>241</v>
      </c>
      <c r="CF2208" s="4" t="s">
        <v>241</v>
      </c>
      <c r="CJ2208" s="4" t="s">
        <v>276</v>
      </c>
      <c r="CK2208" s="4" t="s">
        <v>259</v>
      </c>
      <c r="CL2208" s="4" t="s">
        <v>241</v>
      </c>
      <c r="CO2208" s="5" t="s">
        <v>260</v>
      </c>
      <c r="CP2208" s="4" t="s">
        <v>241</v>
      </c>
      <c r="CQ2208" s="4" t="s">
        <v>261</v>
      </c>
      <c r="CR2208" s="4" t="s">
        <v>241</v>
      </c>
      <c r="CS2208" s="4" t="s">
        <v>241</v>
      </c>
      <c r="CT2208" s="4">
        <v>0</v>
      </c>
      <c r="CU2208" s="4" t="s">
        <v>262</v>
      </c>
      <c r="CV2208" s="4" t="s">
        <v>263</v>
      </c>
      <c r="CW2208" s="4" t="s">
        <v>263</v>
      </c>
      <c r="CX2208" s="4" t="s">
        <v>264</v>
      </c>
      <c r="DA2208" s="6">
        <f>1</f>
        <v>1</v>
      </c>
      <c r="DC2208" s="4" t="s">
        <v>325</v>
      </c>
      <c r="DD2208" s="4" t="s">
        <v>241</v>
      </c>
      <c r="DF2208" s="4" t="s">
        <v>325</v>
      </c>
      <c r="DG2208" s="6">
        <f>788</f>
        <v>788</v>
      </c>
      <c r="DI2208" s="4" t="s">
        <v>241</v>
      </c>
      <c r="DJ2208" s="4" t="s">
        <v>241</v>
      </c>
      <c r="DK2208" s="4" t="s">
        <v>241</v>
      </c>
      <c r="DL2208" s="4" t="s">
        <v>241</v>
      </c>
      <c r="DP2208" s="4" t="s">
        <v>241</v>
      </c>
      <c r="DQ2208" s="4" t="s">
        <v>241</v>
      </c>
      <c r="DR2208" s="4" t="s">
        <v>241</v>
      </c>
      <c r="DS2208" s="4" t="s">
        <v>241</v>
      </c>
      <c r="DV2208" s="4" t="s">
        <v>426</v>
      </c>
      <c r="DW2208" s="4" t="s">
        <v>1157</v>
      </c>
      <c r="HO2208" s="4" t="s">
        <v>267</v>
      </c>
    </row>
    <row r="2209" spans="1:223" ht="19.5" customHeight="1" x14ac:dyDescent="0.4">
      <c r="A2209" s="4">
        <v>1</v>
      </c>
      <c r="B2209" s="4" t="s">
        <v>239</v>
      </c>
      <c r="C2209" s="4">
        <v>3912</v>
      </c>
      <c r="D2209" s="4">
        <v>1</v>
      </c>
      <c r="E2209" s="4">
        <v>1</v>
      </c>
      <c r="F2209" s="4" t="s">
        <v>268</v>
      </c>
      <c r="G2209" s="4" t="s">
        <v>241</v>
      </c>
      <c r="H2209" s="4" t="s">
        <v>241</v>
      </c>
      <c r="I2209" s="4" t="s">
        <v>424</v>
      </c>
      <c r="J2209" s="4" t="s">
        <v>274</v>
      </c>
      <c r="K2209" s="4" t="s">
        <v>251</v>
      </c>
      <c r="L2209" s="4" t="s">
        <v>423</v>
      </c>
      <c r="M2209" s="5" t="s">
        <v>720</v>
      </c>
      <c r="N2209" s="6">
        <f>653</f>
        <v>653</v>
      </c>
      <c r="O2209" s="4" t="s">
        <v>265</v>
      </c>
      <c r="P2209" s="6">
        <f>1</f>
        <v>1</v>
      </c>
      <c r="Q2209" s="6">
        <f>0</f>
        <v>0</v>
      </c>
      <c r="S2209" s="6">
        <f>0</f>
        <v>0</v>
      </c>
      <c r="T2209" s="6">
        <f>1</f>
        <v>1</v>
      </c>
      <c r="U2209" s="5" t="s">
        <v>245</v>
      </c>
      <c r="V2209" s="4" t="s">
        <v>270</v>
      </c>
      <c r="W2209" s="4" t="s">
        <v>271</v>
      </c>
      <c r="X2209" s="4" t="s">
        <v>273</v>
      </c>
      <c r="Y2209" s="4" t="s">
        <v>241</v>
      </c>
      <c r="AB2209" s="4" t="s">
        <v>241</v>
      </c>
      <c r="AD2209" s="5" t="s">
        <v>241</v>
      </c>
      <c r="AG2209" s="5" t="s">
        <v>246</v>
      </c>
      <c r="AH2209" s="4" t="s">
        <v>241</v>
      </c>
      <c r="AI2209" s="4" t="s">
        <v>247</v>
      </c>
      <c r="AJ2209" s="4" t="s">
        <v>248</v>
      </c>
      <c r="AZ2209" s="4" t="s">
        <v>249</v>
      </c>
      <c r="BA2209" s="4" t="s">
        <v>241</v>
      </c>
      <c r="BB2209" s="4" t="s">
        <v>250</v>
      </c>
      <c r="BC2209" s="4" t="s">
        <v>241</v>
      </c>
      <c r="BD2209" s="4" t="s">
        <v>252</v>
      </c>
      <c r="BE2209" s="4" t="s">
        <v>241</v>
      </c>
      <c r="BI2209" s="4" t="s">
        <v>253</v>
      </c>
      <c r="BJ2209" s="5" t="s">
        <v>246</v>
      </c>
      <c r="BK2209" s="4" t="s">
        <v>254</v>
      </c>
      <c r="BL2209" s="4" t="s">
        <v>255</v>
      </c>
      <c r="BM2209" s="4" t="s">
        <v>241</v>
      </c>
      <c r="BN2209" s="6">
        <f>0</f>
        <v>0</v>
      </c>
      <c r="BO2209" s="6">
        <f>0</f>
        <v>0</v>
      </c>
      <c r="BP2209" s="4" t="s">
        <v>256</v>
      </c>
      <c r="BQ2209" s="4" t="s">
        <v>257</v>
      </c>
      <c r="CE2209" s="4" t="s">
        <v>241</v>
      </c>
      <c r="CF2209" s="4" t="s">
        <v>241</v>
      </c>
      <c r="CJ2209" s="4" t="s">
        <v>276</v>
      </c>
      <c r="CK2209" s="4" t="s">
        <v>259</v>
      </c>
      <c r="CL2209" s="4" t="s">
        <v>241</v>
      </c>
      <c r="CO2209" s="5" t="s">
        <v>260</v>
      </c>
      <c r="CP2209" s="4" t="s">
        <v>241</v>
      </c>
      <c r="CQ2209" s="4" t="s">
        <v>261</v>
      </c>
      <c r="CR2209" s="4" t="s">
        <v>241</v>
      </c>
      <c r="CS2209" s="4" t="s">
        <v>241</v>
      </c>
      <c r="CT2209" s="4">
        <v>0</v>
      </c>
      <c r="CU2209" s="4" t="s">
        <v>262</v>
      </c>
      <c r="CV2209" s="4" t="s">
        <v>263</v>
      </c>
      <c r="CW2209" s="4" t="s">
        <v>263</v>
      </c>
      <c r="CX2209" s="4" t="s">
        <v>264</v>
      </c>
      <c r="DA2209" s="6">
        <f>1</f>
        <v>1</v>
      </c>
      <c r="DC2209" s="4" t="s">
        <v>325</v>
      </c>
      <c r="DD2209" s="4" t="s">
        <v>241</v>
      </c>
      <c r="DF2209" s="4" t="s">
        <v>325</v>
      </c>
      <c r="DG2209" s="6">
        <f>653</f>
        <v>653</v>
      </c>
      <c r="DI2209" s="4" t="s">
        <v>241</v>
      </c>
      <c r="DJ2209" s="4" t="s">
        <v>241</v>
      </c>
      <c r="DK2209" s="4" t="s">
        <v>241</v>
      </c>
      <c r="DL2209" s="4" t="s">
        <v>241</v>
      </c>
      <c r="DP2209" s="4" t="s">
        <v>241</v>
      </c>
      <c r="DQ2209" s="4" t="s">
        <v>241</v>
      </c>
      <c r="DR2209" s="4" t="s">
        <v>241</v>
      </c>
      <c r="DS2209" s="4" t="s">
        <v>241</v>
      </c>
      <c r="DV2209" s="4" t="s">
        <v>426</v>
      </c>
      <c r="DW2209" s="4" t="s">
        <v>721</v>
      </c>
      <c r="HO2209" s="4" t="s">
        <v>267</v>
      </c>
    </row>
    <row r="2210" spans="1:223" ht="19.5" customHeight="1" x14ac:dyDescent="0.4">
      <c r="A2210" s="4">
        <v>1</v>
      </c>
      <c r="B2210" s="4" t="s">
        <v>239</v>
      </c>
      <c r="C2210" s="4">
        <v>3913</v>
      </c>
      <c r="D2210" s="4">
        <v>1</v>
      </c>
      <c r="E2210" s="4">
        <v>1</v>
      </c>
      <c r="F2210" s="4" t="s">
        <v>268</v>
      </c>
      <c r="G2210" s="4" t="s">
        <v>241</v>
      </c>
      <c r="H2210" s="4" t="s">
        <v>241</v>
      </c>
      <c r="I2210" s="4" t="s">
        <v>424</v>
      </c>
      <c r="J2210" s="4" t="s">
        <v>274</v>
      </c>
      <c r="K2210" s="4" t="s">
        <v>251</v>
      </c>
      <c r="L2210" s="4" t="s">
        <v>423</v>
      </c>
      <c r="M2210" s="5" t="s">
        <v>724</v>
      </c>
      <c r="N2210" s="6">
        <f>1916</f>
        <v>1916</v>
      </c>
      <c r="O2210" s="4" t="s">
        <v>265</v>
      </c>
      <c r="P2210" s="6">
        <f>1</f>
        <v>1</v>
      </c>
      <c r="Q2210" s="6">
        <f>0</f>
        <v>0</v>
      </c>
      <c r="S2210" s="6">
        <f>0</f>
        <v>0</v>
      </c>
      <c r="T2210" s="6">
        <f>1</f>
        <v>1</v>
      </c>
      <c r="U2210" s="5" t="s">
        <v>245</v>
      </c>
      <c r="V2210" s="4" t="s">
        <v>270</v>
      </c>
      <c r="W2210" s="4" t="s">
        <v>271</v>
      </c>
      <c r="X2210" s="4" t="s">
        <v>273</v>
      </c>
      <c r="Y2210" s="4" t="s">
        <v>241</v>
      </c>
      <c r="AB2210" s="4" t="s">
        <v>241</v>
      </c>
      <c r="AD2210" s="5" t="s">
        <v>241</v>
      </c>
      <c r="AG2210" s="5" t="s">
        <v>246</v>
      </c>
      <c r="AH2210" s="4" t="s">
        <v>241</v>
      </c>
      <c r="AI2210" s="4" t="s">
        <v>247</v>
      </c>
      <c r="AJ2210" s="4" t="s">
        <v>248</v>
      </c>
      <c r="AZ2210" s="4" t="s">
        <v>249</v>
      </c>
      <c r="BA2210" s="4" t="s">
        <v>241</v>
      </c>
      <c r="BB2210" s="4" t="s">
        <v>250</v>
      </c>
      <c r="BC2210" s="4" t="s">
        <v>241</v>
      </c>
      <c r="BD2210" s="4" t="s">
        <v>252</v>
      </c>
      <c r="BE2210" s="4" t="s">
        <v>241</v>
      </c>
      <c r="BI2210" s="4" t="s">
        <v>253</v>
      </c>
      <c r="BJ2210" s="5" t="s">
        <v>246</v>
      </c>
      <c r="BK2210" s="4" t="s">
        <v>254</v>
      </c>
      <c r="BL2210" s="4" t="s">
        <v>255</v>
      </c>
      <c r="BM2210" s="4" t="s">
        <v>241</v>
      </c>
      <c r="BN2210" s="6">
        <f>0</f>
        <v>0</v>
      </c>
      <c r="BO2210" s="6">
        <f>0</f>
        <v>0</v>
      </c>
      <c r="BP2210" s="4" t="s">
        <v>256</v>
      </c>
      <c r="BQ2210" s="4" t="s">
        <v>257</v>
      </c>
      <c r="CE2210" s="4" t="s">
        <v>241</v>
      </c>
      <c r="CF2210" s="4" t="s">
        <v>241</v>
      </c>
      <c r="CJ2210" s="4" t="s">
        <v>276</v>
      </c>
      <c r="CK2210" s="4" t="s">
        <v>259</v>
      </c>
      <c r="CL2210" s="4" t="s">
        <v>241</v>
      </c>
      <c r="CO2210" s="5" t="s">
        <v>260</v>
      </c>
      <c r="CP2210" s="4" t="s">
        <v>241</v>
      </c>
      <c r="CQ2210" s="4" t="s">
        <v>261</v>
      </c>
      <c r="CR2210" s="4" t="s">
        <v>241</v>
      </c>
      <c r="CS2210" s="4" t="s">
        <v>241</v>
      </c>
      <c r="CT2210" s="4">
        <v>0</v>
      </c>
      <c r="CU2210" s="4" t="s">
        <v>262</v>
      </c>
      <c r="CV2210" s="4" t="s">
        <v>263</v>
      </c>
      <c r="CW2210" s="4" t="s">
        <v>263</v>
      </c>
      <c r="CX2210" s="4" t="s">
        <v>264</v>
      </c>
      <c r="DA2210" s="6">
        <f>1</f>
        <v>1</v>
      </c>
      <c r="DC2210" s="4" t="s">
        <v>325</v>
      </c>
      <c r="DD2210" s="4" t="s">
        <v>241</v>
      </c>
      <c r="DF2210" s="4" t="s">
        <v>325</v>
      </c>
      <c r="DG2210" s="6">
        <f>1916</f>
        <v>1916</v>
      </c>
      <c r="DI2210" s="4" t="s">
        <v>241</v>
      </c>
      <c r="DJ2210" s="4" t="s">
        <v>241</v>
      </c>
      <c r="DK2210" s="4" t="s">
        <v>241</v>
      </c>
      <c r="DL2210" s="4" t="s">
        <v>241</v>
      </c>
      <c r="DP2210" s="4" t="s">
        <v>241</v>
      </c>
      <c r="DQ2210" s="4" t="s">
        <v>241</v>
      </c>
      <c r="DR2210" s="4" t="s">
        <v>241</v>
      </c>
      <c r="DS2210" s="4" t="s">
        <v>241</v>
      </c>
      <c r="DV2210" s="4" t="s">
        <v>426</v>
      </c>
      <c r="DW2210" s="4" t="s">
        <v>725</v>
      </c>
      <c r="HO2210" s="4" t="s">
        <v>267</v>
      </c>
    </row>
    <row r="2211" spans="1:223" ht="19.5" customHeight="1" x14ac:dyDescent="0.4">
      <c r="A2211" s="4">
        <v>1</v>
      </c>
      <c r="B2211" s="4" t="s">
        <v>239</v>
      </c>
      <c r="C2211" s="4">
        <v>3914</v>
      </c>
      <c r="D2211" s="4">
        <v>1</v>
      </c>
      <c r="E2211" s="4">
        <v>1</v>
      </c>
      <c r="F2211" s="4" t="s">
        <v>268</v>
      </c>
      <c r="G2211" s="4" t="s">
        <v>241</v>
      </c>
      <c r="H2211" s="4" t="s">
        <v>241</v>
      </c>
      <c r="I2211" s="4" t="s">
        <v>424</v>
      </c>
      <c r="J2211" s="4" t="s">
        <v>274</v>
      </c>
      <c r="K2211" s="4" t="s">
        <v>251</v>
      </c>
      <c r="L2211" s="4" t="s">
        <v>423</v>
      </c>
      <c r="M2211" s="5" t="s">
        <v>730</v>
      </c>
      <c r="N2211" s="6">
        <f>1430</f>
        <v>1430</v>
      </c>
      <c r="O2211" s="4" t="s">
        <v>265</v>
      </c>
      <c r="P2211" s="6">
        <f>1</f>
        <v>1</v>
      </c>
      <c r="Q2211" s="6">
        <f>0</f>
        <v>0</v>
      </c>
      <c r="S2211" s="6">
        <f>0</f>
        <v>0</v>
      </c>
      <c r="T2211" s="6">
        <f>1</f>
        <v>1</v>
      </c>
      <c r="U2211" s="5" t="s">
        <v>245</v>
      </c>
      <c r="V2211" s="4" t="s">
        <v>270</v>
      </c>
      <c r="W2211" s="4" t="s">
        <v>271</v>
      </c>
      <c r="X2211" s="4" t="s">
        <v>273</v>
      </c>
      <c r="Y2211" s="4" t="s">
        <v>241</v>
      </c>
      <c r="AB2211" s="4" t="s">
        <v>241</v>
      </c>
      <c r="AD2211" s="5" t="s">
        <v>241</v>
      </c>
      <c r="AG2211" s="5" t="s">
        <v>246</v>
      </c>
      <c r="AH2211" s="4" t="s">
        <v>241</v>
      </c>
      <c r="AI2211" s="4" t="s">
        <v>247</v>
      </c>
      <c r="AJ2211" s="4" t="s">
        <v>248</v>
      </c>
      <c r="AZ2211" s="4" t="s">
        <v>249</v>
      </c>
      <c r="BA2211" s="4" t="s">
        <v>241</v>
      </c>
      <c r="BB2211" s="4" t="s">
        <v>250</v>
      </c>
      <c r="BC2211" s="4" t="s">
        <v>241</v>
      </c>
      <c r="BD2211" s="4" t="s">
        <v>252</v>
      </c>
      <c r="BE2211" s="4" t="s">
        <v>241</v>
      </c>
      <c r="BI2211" s="4" t="s">
        <v>253</v>
      </c>
      <c r="BJ2211" s="5" t="s">
        <v>246</v>
      </c>
      <c r="BK2211" s="4" t="s">
        <v>254</v>
      </c>
      <c r="BL2211" s="4" t="s">
        <v>255</v>
      </c>
      <c r="BM2211" s="4" t="s">
        <v>241</v>
      </c>
      <c r="BN2211" s="6">
        <f>0</f>
        <v>0</v>
      </c>
      <c r="BO2211" s="6">
        <f>0</f>
        <v>0</v>
      </c>
      <c r="BP2211" s="4" t="s">
        <v>256</v>
      </c>
      <c r="BQ2211" s="4" t="s">
        <v>257</v>
      </c>
      <c r="CE2211" s="4" t="s">
        <v>241</v>
      </c>
      <c r="CF2211" s="4" t="s">
        <v>241</v>
      </c>
      <c r="CJ2211" s="4" t="s">
        <v>276</v>
      </c>
      <c r="CK2211" s="4" t="s">
        <v>259</v>
      </c>
      <c r="CL2211" s="4" t="s">
        <v>241</v>
      </c>
      <c r="CO2211" s="5" t="s">
        <v>260</v>
      </c>
      <c r="CP2211" s="4" t="s">
        <v>241</v>
      </c>
      <c r="CQ2211" s="4" t="s">
        <v>261</v>
      </c>
      <c r="CR2211" s="4" t="s">
        <v>241</v>
      </c>
      <c r="CS2211" s="4" t="s">
        <v>241</v>
      </c>
      <c r="CT2211" s="4">
        <v>0</v>
      </c>
      <c r="CU2211" s="4" t="s">
        <v>262</v>
      </c>
      <c r="CV2211" s="4" t="s">
        <v>263</v>
      </c>
      <c r="CW2211" s="4" t="s">
        <v>263</v>
      </c>
      <c r="CX2211" s="4" t="s">
        <v>264</v>
      </c>
      <c r="DA2211" s="6">
        <f>1</f>
        <v>1</v>
      </c>
      <c r="DC2211" s="4" t="s">
        <v>325</v>
      </c>
      <c r="DD2211" s="4" t="s">
        <v>241</v>
      </c>
      <c r="DF2211" s="4" t="s">
        <v>325</v>
      </c>
      <c r="DG2211" s="6">
        <f>1430</f>
        <v>1430</v>
      </c>
      <c r="DI2211" s="4" t="s">
        <v>241</v>
      </c>
      <c r="DJ2211" s="4" t="s">
        <v>241</v>
      </c>
      <c r="DK2211" s="4" t="s">
        <v>241</v>
      </c>
      <c r="DL2211" s="4" t="s">
        <v>241</v>
      </c>
      <c r="DP2211" s="4" t="s">
        <v>241</v>
      </c>
      <c r="DQ2211" s="4" t="s">
        <v>241</v>
      </c>
      <c r="DR2211" s="4" t="s">
        <v>241</v>
      </c>
      <c r="DS2211" s="4" t="s">
        <v>241</v>
      </c>
      <c r="DV2211" s="4" t="s">
        <v>426</v>
      </c>
      <c r="DW2211" s="4" t="s">
        <v>731</v>
      </c>
      <c r="HO2211" s="4" t="s">
        <v>267</v>
      </c>
    </row>
    <row r="2212" spans="1:223" ht="19.5" customHeight="1" x14ac:dyDescent="0.4">
      <c r="A2212" s="4">
        <v>1</v>
      </c>
      <c r="B2212" s="4" t="s">
        <v>239</v>
      </c>
      <c r="C2212" s="4">
        <v>3915</v>
      </c>
      <c r="D2212" s="4">
        <v>1</v>
      </c>
      <c r="E2212" s="4">
        <v>1</v>
      </c>
      <c r="F2212" s="4" t="s">
        <v>268</v>
      </c>
      <c r="G2212" s="4" t="s">
        <v>241</v>
      </c>
      <c r="H2212" s="4" t="s">
        <v>241</v>
      </c>
      <c r="I2212" s="4" t="s">
        <v>424</v>
      </c>
      <c r="J2212" s="4" t="s">
        <v>274</v>
      </c>
      <c r="K2212" s="4" t="s">
        <v>251</v>
      </c>
      <c r="L2212" s="4" t="s">
        <v>423</v>
      </c>
      <c r="M2212" s="5" t="s">
        <v>4420</v>
      </c>
      <c r="N2212" s="6">
        <f>407</f>
        <v>407</v>
      </c>
      <c r="O2212" s="4" t="s">
        <v>265</v>
      </c>
      <c r="P2212" s="6">
        <f>1</f>
        <v>1</v>
      </c>
      <c r="Q2212" s="6">
        <f>0</f>
        <v>0</v>
      </c>
      <c r="S2212" s="6">
        <f>0</f>
        <v>0</v>
      </c>
      <c r="T2212" s="6">
        <f>1</f>
        <v>1</v>
      </c>
      <c r="U2212" s="5" t="s">
        <v>245</v>
      </c>
      <c r="V2212" s="4" t="s">
        <v>270</v>
      </c>
      <c r="W2212" s="4" t="s">
        <v>271</v>
      </c>
      <c r="X2212" s="4" t="s">
        <v>273</v>
      </c>
      <c r="Y2212" s="4" t="s">
        <v>241</v>
      </c>
      <c r="AB2212" s="4" t="s">
        <v>241</v>
      </c>
      <c r="AD2212" s="5" t="s">
        <v>241</v>
      </c>
      <c r="AG2212" s="5" t="s">
        <v>246</v>
      </c>
      <c r="AH2212" s="4" t="s">
        <v>241</v>
      </c>
      <c r="AI2212" s="4" t="s">
        <v>247</v>
      </c>
      <c r="AJ2212" s="4" t="s">
        <v>248</v>
      </c>
      <c r="AZ2212" s="4" t="s">
        <v>249</v>
      </c>
      <c r="BA2212" s="4" t="s">
        <v>241</v>
      </c>
      <c r="BB2212" s="4" t="s">
        <v>250</v>
      </c>
      <c r="BC2212" s="4" t="s">
        <v>241</v>
      </c>
      <c r="BD2212" s="4" t="s">
        <v>252</v>
      </c>
      <c r="BE2212" s="4" t="s">
        <v>241</v>
      </c>
      <c r="BI2212" s="4" t="s">
        <v>253</v>
      </c>
      <c r="BJ2212" s="5" t="s">
        <v>246</v>
      </c>
      <c r="BK2212" s="4" t="s">
        <v>254</v>
      </c>
      <c r="BL2212" s="4" t="s">
        <v>255</v>
      </c>
      <c r="BM2212" s="4" t="s">
        <v>241</v>
      </c>
      <c r="BN2212" s="6">
        <f>0</f>
        <v>0</v>
      </c>
      <c r="BO2212" s="6">
        <f>0</f>
        <v>0</v>
      </c>
      <c r="BP2212" s="4" t="s">
        <v>256</v>
      </c>
      <c r="BQ2212" s="4" t="s">
        <v>257</v>
      </c>
      <c r="CE2212" s="4" t="s">
        <v>241</v>
      </c>
      <c r="CF2212" s="4" t="s">
        <v>241</v>
      </c>
      <c r="CJ2212" s="4" t="s">
        <v>276</v>
      </c>
      <c r="CK2212" s="4" t="s">
        <v>259</v>
      </c>
      <c r="CL2212" s="4" t="s">
        <v>241</v>
      </c>
      <c r="CO2212" s="5" t="s">
        <v>260</v>
      </c>
      <c r="CP2212" s="4" t="s">
        <v>241</v>
      </c>
      <c r="CQ2212" s="4" t="s">
        <v>261</v>
      </c>
      <c r="CR2212" s="4" t="s">
        <v>241</v>
      </c>
      <c r="CS2212" s="4" t="s">
        <v>241</v>
      </c>
      <c r="CT2212" s="4">
        <v>0</v>
      </c>
      <c r="CU2212" s="4" t="s">
        <v>262</v>
      </c>
      <c r="CV2212" s="4" t="s">
        <v>263</v>
      </c>
      <c r="CW2212" s="4" t="s">
        <v>263</v>
      </c>
      <c r="CX2212" s="4" t="s">
        <v>264</v>
      </c>
      <c r="DA2212" s="6">
        <f>1</f>
        <v>1</v>
      </c>
      <c r="DC2212" s="4" t="s">
        <v>325</v>
      </c>
      <c r="DD2212" s="4" t="s">
        <v>241</v>
      </c>
      <c r="DF2212" s="4" t="s">
        <v>325</v>
      </c>
      <c r="DG2212" s="6">
        <f>407</f>
        <v>407</v>
      </c>
      <c r="DI2212" s="4" t="s">
        <v>241</v>
      </c>
      <c r="DJ2212" s="4" t="s">
        <v>241</v>
      </c>
      <c r="DK2212" s="4" t="s">
        <v>241</v>
      </c>
      <c r="DL2212" s="4" t="s">
        <v>241</v>
      </c>
      <c r="DP2212" s="4" t="s">
        <v>241</v>
      </c>
      <c r="DQ2212" s="4" t="s">
        <v>241</v>
      </c>
      <c r="DR2212" s="4" t="s">
        <v>241</v>
      </c>
      <c r="DS2212" s="4" t="s">
        <v>241</v>
      </c>
      <c r="DV2212" s="4" t="s">
        <v>426</v>
      </c>
      <c r="DW2212" s="4" t="s">
        <v>1142</v>
      </c>
      <c r="HO2212" s="4" t="s">
        <v>267</v>
      </c>
    </row>
    <row r="2213" spans="1:223" ht="19.5" customHeight="1" x14ac:dyDescent="0.4">
      <c r="A2213" s="4">
        <v>1</v>
      </c>
      <c r="B2213" s="4" t="s">
        <v>239</v>
      </c>
      <c r="C2213" s="4">
        <v>3916</v>
      </c>
      <c r="D2213" s="4">
        <v>1</v>
      </c>
      <c r="E2213" s="4">
        <v>1</v>
      </c>
      <c r="F2213" s="4" t="s">
        <v>268</v>
      </c>
      <c r="G2213" s="4" t="s">
        <v>241</v>
      </c>
      <c r="H2213" s="4" t="s">
        <v>241</v>
      </c>
      <c r="I2213" s="4" t="s">
        <v>424</v>
      </c>
      <c r="J2213" s="4" t="s">
        <v>274</v>
      </c>
      <c r="K2213" s="4" t="s">
        <v>251</v>
      </c>
      <c r="L2213" s="4" t="s">
        <v>423</v>
      </c>
      <c r="M2213" s="5" t="s">
        <v>738</v>
      </c>
      <c r="N2213" s="6">
        <f>305</f>
        <v>305</v>
      </c>
      <c r="O2213" s="4" t="s">
        <v>265</v>
      </c>
      <c r="P2213" s="6">
        <f>1</f>
        <v>1</v>
      </c>
      <c r="Q2213" s="6">
        <f>0</f>
        <v>0</v>
      </c>
      <c r="S2213" s="6">
        <f>0</f>
        <v>0</v>
      </c>
      <c r="T2213" s="6">
        <f>1</f>
        <v>1</v>
      </c>
      <c r="U2213" s="5" t="s">
        <v>245</v>
      </c>
      <c r="V2213" s="4" t="s">
        <v>270</v>
      </c>
      <c r="W2213" s="4" t="s">
        <v>271</v>
      </c>
      <c r="X2213" s="4" t="s">
        <v>273</v>
      </c>
      <c r="Y2213" s="4" t="s">
        <v>241</v>
      </c>
      <c r="AB2213" s="4" t="s">
        <v>241</v>
      </c>
      <c r="AD2213" s="5" t="s">
        <v>241</v>
      </c>
      <c r="AG2213" s="5" t="s">
        <v>246</v>
      </c>
      <c r="AH2213" s="4" t="s">
        <v>241</v>
      </c>
      <c r="AI2213" s="4" t="s">
        <v>247</v>
      </c>
      <c r="AJ2213" s="4" t="s">
        <v>248</v>
      </c>
      <c r="AZ2213" s="4" t="s">
        <v>249</v>
      </c>
      <c r="BA2213" s="4" t="s">
        <v>241</v>
      </c>
      <c r="BB2213" s="4" t="s">
        <v>250</v>
      </c>
      <c r="BC2213" s="4" t="s">
        <v>241</v>
      </c>
      <c r="BD2213" s="4" t="s">
        <v>252</v>
      </c>
      <c r="BE2213" s="4" t="s">
        <v>241</v>
      </c>
      <c r="BI2213" s="4" t="s">
        <v>253</v>
      </c>
      <c r="BJ2213" s="5" t="s">
        <v>246</v>
      </c>
      <c r="BK2213" s="4" t="s">
        <v>254</v>
      </c>
      <c r="BL2213" s="4" t="s">
        <v>255</v>
      </c>
      <c r="BM2213" s="4" t="s">
        <v>241</v>
      </c>
      <c r="BN2213" s="6">
        <f>0</f>
        <v>0</v>
      </c>
      <c r="BO2213" s="6">
        <f>0</f>
        <v>0</v>
      </c>
      <c r="BP2213" s="4" t="s">
        <v>256</v>
      </c>
      <c r="BQ2213" s="4" t="s">
        <v>257</v>
      </c>
      <c r="CE2213" s="4" t="s">
        <v>241</v>
      </c>
      <c r="CF2213" s="4" t="s">
        <v>241</v>
      </c>
      <c r="CJ2213" s="4" t="s">
        <v>276</v>
      </c>
      <c r="CK2213" s="4" t="s">
        <v>259</v>
      </c>
      <c r="CL2213" s="4" t="s">
        <v>241</v>
      </c>
      <c r="CO2213" s="5" t="s">
        <v>260</v>
      </c>
      <c r="CP2213" s="4" t="s">
        <v>241</v>
      </c>
      <c r="CQ2213" s="4" t="s">
        <v>261</v>
      </c>
      <c r="CR2213" s="4" t="s">
        <v>241</v>
      </c>
      <c r="CS2213" s="4" t="s">
        <v>241</v>
      </c>
      <c r="CT2213" s="4">
        <v>0</v>
      </c>
      <c r="CU2213" s="4" t="s">
        <v>262</v>
      </c>
      <c r="CV2213" s="4" t="s">
        <v>263</v>
      </c>
      <c r="CW2213" s="4" t="s">
        <v>263</v>
      </c>
      <c r="CX2213" s="4" t="s">
        <v>264</v>
      </c>
      <c r="DA2213" s="6">
        <f>1</f>
        <v>1</v>
      </c>
      <c r="DC2213" s="4" t="s">
        <v>325</v>
      </c>
      <c r="DD2213" s="4" t="s">
        <v>241</v>
      </c>
      <c r="DF2213" s="4" t="s">
        <v>325</v>
      </c>
      <c r="DG2213" s="6">
        <f>305</f>
        <v>305</v>
      </c>
      <c r="DI2213" s="4" t="s">
        <v>241</v>
      </c>
      <c r="DJ2213" s="4" t="s">
        <v>241</v>
      </c>
      <c r="DK2213" s="4" t="s">
        <v>241</v>
      </c>
      <c r="DL2213" s="4" t="s">
        <v>241</v>
      </c>
      <c r="DP2213" s="4" t="s">
        <v>241</v>
      </c>
      <c r="DQ2213" s="4" t="s">
        <v>241</v>
      </c>
      <c r="DR2213" s="4" t="s">
        <v>241</v>
      </c>
      <c r="DS2213" s="4" t="s">
        <v>241</v>
      </c>
      <c r="DV2213" s="4" t="s">
        <v>426</v>
      </c>
      <c r="DW2213" s="4" t="s">
        <v>739</v>
      </c>
      <c r="HO2213" s="4" t="s">
        <v>267</v>
      </c>
    </row>
    <row r="2214" spans="1:223" ht="19.5" customHeight="1" x14ac:dyDescent="0.4">
      <c r="A2214" s="4">
        <v>1</v>
      </c>
      <c r="B2214" s="4" t="s">
        <v>239</v>
      </c>
      <c r="C2214" s="4">
        <v>3917</v>
      </c>
      <c r="D2214" s="4">
        <v>1</v>
      </c>
      <c r="E2214" s="4">
        <v>1</v>
      </c>
      <c r="F2214" s="4" t="s">
        <v>268</v>
      </c>
      <c r="G2214" s="4" t="s">
        <v>241</v>
      </c>
      <c r="H2214" s="4" t="s">
        <v>241</v>
      </c>
      <c r="I2214" s="4" t="s">
        <v>424</v>
      </c>
      <c r="J2214" s="4" t="s">
        <v>274</v>
      </c>
      <c r="K2214" s="4" t="s">
        <v>251</v>
      </c>
      <c r="L2214" s="4" t="s">
        <v>423</v>
      </c>
      <c r="M2214" s="5" t="s">
        <v>742</v>
      </c>
      <c r="N2214" s="6">
        <f>78</f>
        <v>78</v>
      </c>
      <c r="O2214" s="4" t="s">
        <v>265</v>
      </c>
      <c r="P2214" s="6">
        <f>1</f>
        <v>1</v>
      </c>
      <c r="Q2214" s="6">
        <f>0</f>
        <v>0</v>
      </c>
      <c r="S2214" s="6">
        <f>0</f>
        <v>0</v>
      </c>
      <c r="T2214" s="6">
        <f>1</f>
        <v>1</v>
      </c>
      <c r="U2214" s="5" t="s">
        <v>245</v>
      </c>
      <c r="V2214" s="4" t="s">
        <v>270</v>
      </c>
      <c r="W2214" s="4" t="s">
        <v>271</v>
      </c>
      <c r="X2214" s="4" t="s">
        <v>273</v>
      </c>
      <c r="Y2214" s="4" t="s">
        <v>241</v>
      </c>
      <c r="AB2214" s="4" t="s">
        <v>241</v>
      </c>
      <c r="AD2214" s="5" t="s">
        <v>241</v>
      </c>
      <c r="AG2214" s="5" t="s">
        <v>246</v>
      </c>
      <c r="AH2214" s="4" t="s">
        <v>241</v>
      </c>
      <c r="AI2214" s="4" t="s">
        <v>247</v>
      </c>
      <c r="AJ2214" s="4" t="s">
        <v>248</v>
      </c>
      <c r="AZ2214" s="4" t="s">
        <v>249</v>
      </c>
      <c r="BA2214" s="4" t="s">
        <v>241</v>
      </c>
      <c r="BB2214" s="4" t="s">
        <v>250</v>
      </c>
      <c r="BC2214" s="4" t="s">
        <v>241</v>
      </c>
      <c r="BD2214" s="4" t="s">
        <v>252</v>
      </c>
      <c r="BE2214" s="4" t="s">
        <v>241</v>
      </c>
      <c r="BI2214" s="4" t="s">
        <v>253</v>
      </c>
      <c r="BJ2214" s="5" t="s">
        <v>246</v>
      </c>
      <c r="BK2214" s="4" t="s">
        <v>254</v>
      </c>
      <c r="BL2214" s="4" t="s">
        <v>255</v>
      </c>
      <c r="BM2214" s="4" t="s">
        <v>241</v>
      </c>
      <c r="BN2214" s="6">
        <f>0</f>
        <v>0</v>
      </c>
      <c r="BO2214" s="6">
        <f>0</f>
        <v>0</v>
      </c>
      <c r="BP2214" s="4" t="s">
        <v>256</v>
      </c>
      <c r="BQ2214" s="4" t="s">
        <v>257</v>
      </c>
      <c r="CE2214" s="4" t="s">
        <v>241</v>
      </c>
      <c r="CF2214" s="4" t="s">
        <v>241</v>
      </c>
      <c r="CJ2214" s="4" t="s">
        <v>276</v>
      </c>
      <c r="CK2214" s="4" t="s">
        <v>259</v>
      </c>
      <c r="CL2214" s="4" t="s">
        <v>241</v>
      </c>
      <c r="CO2214" s="5" t="s">
        <v>260</v>
      </c>
      <c r="CP2214" s="4" t="s">
        <v>241</v>
      </c>
      <c r="CQ2214" s="4" t="s">
        <v>261</v>
      </c>
      <c r="CR2214" s="4" t="s">
        <v>241</v>
      </c>
      <c r="CS2214" s="4" t="s">
        <v>241</v>
      </c>
      <c r="CT2214" s="4">
        <v>0</v>
      </c>
      <c r="CU2214" s="4" t="s">
        <v>262</v>
      </c>
      <c r="CV2214" s="4" t="s">
        <v>263</v>
      </c>
      <c r="CW2214" s="4" t="s">
        <v>263</v>
      </c>
      <c r="CX2214" s="4" t="s">
        <v>264</v>
      </c>
      <c r="DA2214" s="6">
        <f>1</f>
        <v>1</v>
      </c>
      <c r="DC2214" s="4" t="s">
        <v>325</v>
      </c>
      <c r="DD2214" s="4" t="s">
        <v>241</v>
      </c>
      <c r="DF2214" s="4" t="s">
        <v>325</v>
      </c>
      <c r="DG2214" s="6">
        <f>78</f>
        <v>78</v>
      </c>
      <c r="DI2214" s="4" t="s">
        <v>241</v>
      </c>
      <c r="DJ2214" s="4" t="s">
        <v>241</v>
      </c>
      <c r="DK2214" s="4" t="s">
        <v>241</v>
      </c>
      <c r="DL2214" s="4" t="s">
        <v>241</v>
      </c>
      <c r="DP2214" s="4" t="s">
        <v>241</v>
      </c>
      <c r="DQ2214" s="4" t="s">
        <v>241</v>
      </c>
      <c r="DR2214" s="4" t="s">
        <v>241</v>
      </c>
      <c r="DS2214" s="4" t="s">
        <v>241</v>
      </c>
      <c r="DV2214" s="4" t="s">
        <v>426</v>
      </c>
      <c r="DW2214" s="4" t="s">
        <v>743</v>
      </c>
      <c r="HO2214" s="4" t="s">
        <v>267</v>
      </c>
    </row>
    <row r="2215" spans="1:223" ht="19.5" customHeight="1" x14ac:dyDescent="0.4">
      <c r="A2215" s="4">
        <v>1</v>
      </c>
      <c r="B2215" s="4" t="s">
        <v>239</v>
      </c>
      <c r="C2215" s="4">
        <v>3918</v>
      </c>
      <c r="D2215" s="4">
        <v>1</v>
      </c>
      <c r="E2215" s="4">
        <v>1</v>
      </c>
      <c r="F2215" s="4" t="s">
        <v>268</v>
      </c>
      <c r="G2215" s="4" t="s">
        <v>241</v>
      </c>
      <c r="H2215" s="4" t="s">
        <v>241</v>
      </c>
      <c r="I2215" s="4" t="s">
        <v>424</v>
      </c>
      <c r="J2215" s="4" t="s">
        <v>274</v>
      </c>
      <c r="K2215" s="4" t="s">
        <v>251</v>
      </c>
      <c r="L2215" s="4" t="s">
        <v>423</v>
      </c>
      <c r="M2215" s="5" t="s">
        <v>746</v>
      </c>
      <c r="N2215" s="6">
        <f>1309</f>
        <v>1309</v>
      </c>
      <c r="O2215" s="4" t="s">
        <v>265</v>
      </c>
      <c r="P2215" s="6">
        <f>1</f>
        <v>1</v>
      </c>
      <c r="Q2215" s="6">
        <f>0</f>
        <v>0</v>
      </c>
      <c r="S2215" s="6">
        <f>0</f>
        <v>0</v>
      </c>
      <c r="T2215" s="6">
        <f>1</f>
        <v>1</v>
      </c>
      <c r="U2215" s="5" t="s">
        <v>245</v>
      </c>
      <c r="V2215" s="4" t="s">
        <v>270</v>
      </c>
      <c r="W2215" s="4" t="s">
        <v>271</v>
      </c>
      <c r="X2215" s="4" t="s">
        <v>273</v>
      </c>
      <c r="Y2215" s="4" t="s">
        <v>241</v>
      </c>
      <c r="AB2215" s="4" t="s">
        <v>241</v>
      </c>
      <c r="AD2215" s="5" t="s">
        <v>241</v>
      </c>
      <c r="AG2215" s="5" t="s">
        <v>246</v>
      </c>
      <c r="AH2215" s="4" t="s">
        <v>241</v>
      </c>
      <c r="AI2215" s="4" t="s">
        <v>247</v>
      </c>
      <c r="AJ2215" s="4" t="s">
        <v>248</v>
      </c>
      <c r="AZ2215" s="4" t="s">
        <v>249</v>
      </c>
      <c r="BA2215" s="4" t="s">
        <v>241</v>
      </c>
      <c r="BB2215" s="4" t="s">
        <v>250</v>
      </c>
      <c r="BC2215" s="4" t="s">
        <v>241</v>
      </c>
      <c r="BD2215" s="4" t="s">
        <v>252</v>
      </c>
      <c r="BE2215" s="4" t="s">
        <v>241</v>
      </c>
      <c r="BI2215" s="4" t="s">
        <v>253</v>
      </c>
      <c r="BJ2215" s="5" t="s">
        <v>246</v>
      </c>
      <c r="BK2215" s="4" t="s">
        <v>254</v>
      </c>
      <c r="BL2215" s="4" t="s">
        <v>255</v>
      </c>
      <c r="BM2215" s="4" t="s">
        <v>241</v>
      </c>
      <c r="BN2215" s="6">
        <f>0</f>
        <v>0</v>
      </c>
      <c r="BO2215" s="6">
        <f>0</f>
        <v>0</v>
      </c>
      <c r="BP2215" s="4" t="s">
        <v>256</v>
      </c>
      <c r="BQ2215" s="4" t="s">
        <v>257</v>
      </c>
      <c r="CE2215" s="4" t="s">
        <v>241</v>
      </c>
      <c r="CF2215" s="4" t="s">
        <v>241</v>
      </c>
      <c r="CJ2215" s="4" t="s">
        <v>276</v>
      </c>
      <c r="CK2215" s="4" t="s">
        <v>259</v>
      </c>
      <c r="CL2215" s="4" t="s">
        <v>241</v>
      </c>
      <c r="CO2215" s="5" t="s">
        <v>260</v>
      </c>
      <c r="CP2215" s="4" t="s">
        <v>241</v>
      </c>
      <c r="CQ2215" s="4" t="s">
        <v>261</v>
      </c>
      <c r="CR2215" s="4" t="s">
        <v>241</v>
      </c>
      <c r="CS2215" s="4" t="s">
        <v>241</v>
      </c>
      <c r="CT2215" s="4">
        <v>0</v>
      </c>
      <c r="CU2215" s="4" t="s">
        <v>262</v>
      </c>
      <c r="CV2215" s="4" t="s">
        <v>263</v>
      </c>
      <c r="CW2215" s="4" t="s">
        <v>263</v>
      </c>
      <c r="CX2215" s="4" t="s">
        <v>264</v>
      </c>
      <c r="DA2215" s="6">
        <f>1</f>
        <v>1</v>
      </c>
      <c r="DC2215" s="4" t="s">
        <v>325</v>
      </c>
      <c r="DD2215" s="4" t="s">
        <v>241</v>
      </c>
      <c r="DF2215" s="4" t="s">
        <v>325</v>
      </c>
      <c r="DG2215" s="6">
        <f>1309</f>
        <v>1309</v>
      </c>
      <c r="DI2215" s="4" t="s">
        <v>241</v>
      </c>
      <c r="DJ2215" s="4" t="s">
        <v>241</v>
      </c>
      <c r="DK2215" s="4" t="s">
        <v>241</v>
      </c>
      <c r="DL2215" s="4" t="s">
        <v>241</v>
      </c>
      <c r="DP2215" s="4" t="s">
        <v>241</v>
      </c>
      <c r="DQ2215" s="4" t="s">
        <v>241</v>
      </c>
      <c r="DR2215" s="4" t="s">
        <v>241</v>
      </c>
      <c r="DS2215" s="4" t="s">
        <v>241</v>
      </c>
      <c r="DV2215" s="4" t="s">
        <v>426</v>
      </c>
      <c r="DW2215" s="4" t="s">
        <v>747</v>
      </c>
      <c r="HO2215" s="4" t="s">
        <v>267</v>
      </c>
    </row>
    <row r="2216" spans="1:223" ht="19.5" customHeight="1" x14ac:dyDescent="0.4">
      <c r="A2216" s="4">
        <v>1</v>
      </c>
      <c r="B2216" s="4" t="s">
        <v>239</v>
      </c>
      <c r="C2216" s="4">
        <v>3919</v>
      </c>
      <c r="D2216" s="4">
        <v>1</v>
      </c>
      <c r="E2216" s="4">
        <v>1</v>
      </c>
      <c r="F2216" s="4" t="s">
        <v>268</v>
      </c>
      <c r="G2216" s="4" t="s">
        <v>241</v>
      </c>
      <c r="H2216" s="4" t="s">
        <v>241</v>
      </c>
      <c r="I2216" s="4" t="s">
        <v>424</v>
      </c>
      <c r="J2216" s="4" t="s">
        <v>274</v>
      </c>
      <c r="K2216" s="4" t="s">
        <v>251</v>
      </c>
      <c r="L2216" s="4" t="s">
        <v>423</v>
      </c>
      <c r="M2216" s="5" t="s">
        <v>749</v>
      </c>
      <c r="N2216" s="6">
        <f>825</f>
        <v>825</v>
      </c>
      <c r="O2216" s="4" t="s">
        <v>265</v>
      </c>
      <c r="P2216" s="6">
        <f>1</f>
        <v>1</v>
      </c>
      <c r="Q2216" s="6">
        <f>0</f>
        <v>0</v>
      </c>
      <c r="S2216" s="6">
        <f>0</f>
        <v>0</v>
      </c>
      <c r="T2216" s="6">
        <f>1</f>
        <v>1</v>
      </c>
      <c r="U2216" s="5" t="s">
        <v>245</v>
      </c>
      <c r="V2216" s="4" t="s">
        <v>270</v>
      </c>
      <c r="W2216" s="4" t="s">
        <v>271</v>
      </c>
      <c r="X2216" s="4" t="s">
        <v>273</v>
      </c>
      <c r="Y2216" s="4" t="s">
        <v>241</v>
      </c>
      <c r="AB2216" s="4" t="s">
        <v>241</v>
      </c>
      <c r="AD2216" s="5" t="s">
        <v>241</v>
      </c>
      <c r="AG2216" s="5" t="s">
        <v>246</v>
      </c>
      <c r="AH2216" s="4" t="s">
        <v>241</v>
      </c>
      <c r="AI2216" s="4" t="s">
        <v>247</v>
      </c>
      <c r="AJ2216" s="4" t="s">
        <v>248</v>
      </c>
      <c r="AZ2216" s="4" t="s">
        <v>249</v>
      </c>
      <c r="BA2216" s="4" t="s">
        <v>241</v>
      </c>
      <c r="BB2216" s="4" t="s">
        <v>250</v>
      </c>
      <c r="BC2216" s="4" t="s">
        <v>241</v>
      </c>
      <c r="BD2216" s="4" t="s">
        <v>252</v>
      </c>
      <c r="BE2216" s="4" t="s">
        <v>241</v>
      </c>
      <c r="BI2216" s="4" t="s">
        <v>253</v>
      </c>
      <c r="BJ2216" s="5" t="s">
        <v>246</v>
      </c>
      <c r="BK2216" s="4" t="s">
        <v>254</v>
      </c>
      <c r="BL2216" s="4" t="s">
        <v>255</v>
      </c>
      <c r="BM2216" s="4" t="s">
        <v>241</v>
      </c>
      <c r="BN2216" s="6">
        <f>0</f>
        <v>0</v>
      </c>
      <c r="BO2216" s="6">
        <f>0</f>
        <v>0</v>
      </c>
      <c r="BP2216" s="4" t="s">
        <v>256</v>
      </c>
      <c r="BQ2216" s="4" t="s">
        <v>257</v>
      </c>
      <c r="CE2216" s="4" t="s">
        <v>241</v>
      </c>
      <c r="CF2216" s="4" t="s">
        <v>241</v>
      </c>
      <c r="CJ2216" s="4" t="s">
        <v>276</v>
      </c>
      <c r="CK2216" s="4" t="s">
        <v>259</v>
      </c>
      <c r="CL2216" s="4" t="s">
        <v>241</v>
      </c>
      <c r="CO2216" s="5" t="s">
        <v>260</v>
      </c>
      <c r="CP2216" s="4" t="s">
        <v>241</v>
      </c>
      <c r="CQ2216" s="4" t="s">
        <v>261</v>
      </c>
      <c r="CR2216" s="4" t="s">
        <v>241</v>
      </c>
      <c r="CS2216" s="4" t="s">
        <v>241</v>
      </c>
      <c r="CT2216" s="4">
        <v>0</v>
      </c>
      <c r="CU2216" s="4" t="s">
        <v>262</v>
      </c>
      <c r="CV2216" s="4" t="s">
        <v>263</v>
      </c>
      <c r="CW2216" s="4" t="s">
        <v>263</v>
      </c>
      <c r="CX2216" s="4" t="s">
        <v>264</v>
      </c>
      <c r="DA2216" s="6">
        <f>1</f>
        <v>1</v>
      </c>
      <c r="DC2216" s="4" t="s">
        <v>325</v>
      </c>
      <c r="DD2216" s="4" t="s">
        <v>241</v>
      </c>
      <c r="DF2216" s="4" t="s">
        <v>325</v>
      </c>
      <c r="DG2216" s="6">
        <f>825</f>
        <v>825</v>
      </c>
      <c r="DI2216" s="4" t="s">
        <v>241</v>
      </c>
      <c r="DJ2216" s="4" t="s">
        <v>241</v>
      </c>
      <c r="DK2216" s="4" t="s">
        <v>241</v>
      </c>
      <c r="DL2216" s="4" t="s">
        <v>241</v>
      </c>
      <c r="DP2216" s="4" t="s">
        <v>241</v>
      </c>
      <c r="DQ2216" s="4" t="s">
        <v>241</v>
      </c>
      <c r="DR2216" s="4" t="s">
        <v>241</v>
      </c>
      <c r="DS2216" s="4" t="s">
        <v>241</v>
      </c>
      <c r="DV2216" s="4" t="s">
        <v>426</v>
      </c>
      <c r="DW2216" s="4" t="s">
        <v>750</v>
      </c>
      <c r="HO2216" s="4" t="s">
        <v>267</v>
      </c>
    </row>
    <row r="2217" spans="1:223" ht="19.5" customHeight="1" x14ac:dyDescent="0.4">
      <c r="A2217" s="4">
        <v>1</v>
      </c>
      <c r="B2217" s="4" t="s">
        <v>239</v>
      </c>
      <c r="C2217" s="4">
        <v>3920</v>
      </c>
      <c r="D2217" s="4">
        <v>1</v>
      </c>
      <c r="E2217" s="4">
        <v>1</v>
      </c>
      <c r="F2217" s="4" t="s">
        <v>268</v>
      </c>
      <c r="G2217" s="4" t="s">
        <v>241</v>
      </c>
      <c r="H2217" s="4" t="s">
        <v>241</v>
      </c>
      <c r="I2217" s="4" t="s">
        <v>424</v>
      </c>
      <c r="J2217" s="4" t="s">
        <v>274</v>
      </c>
      <c r="K2217" s="4" t="s">
        <v>251</v>
      </c>
      <c r="L2217" s="4" t="s">
        <v>423</v>
      </c>
      <c r="M2217" s="5" t="s">
        <v>757</v>
      </c>
      <c r="N2217" s="6">
        <f>517</f>
        <v>517</v>
      </c>
      <c r="O2217" s="4" t="s">
        <v>265</v>
      </c>
      <c r="P2217" s="6">
        <f>1</f>
        <v>1</v>
      </c>
      <c r="Q2217" s="6">
        <f>0</f>
        <v>0</v>
      </c>
      <c r="S2217" s="6">
        <f>0</f>
        <v>0</v>
      </c>
      <c r="T2217" s="6">
        <f>1</f>
        <v>1</v>
      </c>
      <c r="U2217" s="5" t="s">
        <v>245</v>
      </c>
      <c r="V2217" s="4" t="s">
        <v>270</v>
      </c>
      <c r="W2217" s="4" t="s">
        <v>271</v>
      </c>
      <c r="X2217" s="4" t="s">
        <v>273</v>
      </c>
      <c r="Y2217" s="4" t="s">
        <v>241</v>
      </c>
      <c r="AB2217" s="4" t="s">
        <v>241</v>
      </c>
      <c r="AD2217" s="5" t="s">
        <v>241</v>
      </c>
      <c r="AG2217" s="5" t="s">
        <v>246</v>
      </c>
      <c r="AH2217" s="4" t="s">
        <v>241</v>
      </c>
      <c r="AI2217" s="4" t="s">
        <v>247</v>
      </c>
      <c r="AJ2217" s="4" t="s">
        <v>248</v>
      </c>
      <c r="AZ2217" s="4" t="s">
        <v>249</v>
      </c>
      <c r="BA2217" s="4" t="s">
        <v>241</v>
      </c>
      <c r="BB2217" s="4" t="s">
        <v>250</v>
      </c>
      <c r="BC2217" s="4" t="s">
        <v>241</v>
      </c>
      <c r="BD2217" s="4" t="s">
        <v>252</v>
      </c>
      <c r="BE2217" s="4" t="s">
        <v>241</v>
      </c>
      <c r="BI2217" s="4" t="s">
        <v>253</v>
      </c>
      <c r="BJ2217" s="5" t="s">
        <v>246</v>
      </c>
      <c r="BK2217" s="4" t="s">
        <v>254</v>
      </c>
      <c r="BL2217" s="4" t="s">
        <v>255</v>
      </c>
      <c r="BM2217" s="4" t="s">
        <v>241</v>
      </c>
      <c r="BN2217" s="6">
        <f>0</f>
        <v>0</v>
      </c>
      <c r="BO2217" s="6">
        <f>0</f>
        <v>0</v>
      </c>
      <c r="BP2217" s="4" t="s">
        <v>256</v>
      </c>
      <c r="BQ2217" s="4" t="s">
        <v>257</v>
      </c>
      <c r="CE2217" s="4" t="s">
        <v>241</v>
      </c>
      <c r="CF2217" s="4" t="s">
        <v>241</v>
      </c>
      <c r="CJ2217" s="4" t="s">
        <v>276</v>
      </c>
      <c r="CK2217" s="4" t="s">
        <v>259</v>
      </c>
      <c r="CL2217" s="4" t="s">
        <v>241</v>
      </c>
      <c r="CO2217" s="5" t="s">
        <v>260</v>
      </c>
      <c r="CP2217" s="4" t="s">
        <v>241</v>
      </c>
      <c r="CQ2217" s="4" t="s">
        <v>261</v>
      </c>
      <c r="CR2217" s="4" t="s">
        <v>241</v>
      </c>
      <c r="CS2217" s="4" t="s">
        <v>241</v>
      </c>
      <c r="CT2217" s="4">
        <v>0</v>
      </c>
      <c r="CU2217" s="4" t="s">
        <v>262</v>
      </c>
      <c r="CV2217" s="4" t="s">
        <v>263</v>
      </c>
      <c r="CW2217" s="4" t="s">
        <v>263</v>
      </c>
      <c r="CX2217" s="4" t="s">
        <v>264</v>
      </c>
      <c r="DA2217" s="6">
        <f>1</f>
        <v>1</v>
      </c>
      <c r="DC2217" s="4" t="s">
        <v>325</v>
      </c>
      <c r="DD2217" s="4" t="s">
        <v>241</v>
      </c>
      <c r="DF2217" s="4" t="s">
        <v>325</v>
      </c>
      <c r="DG2217" s="6">
        <f>517</f>
        <v>517</v>
      </c>
      <c r="DI2217" s="4" t="s">
        <v>241</v>
      </c>
      <c r="DJ2217" s="4" t="s">
        <v>241</v>
      </c>
      <c r="DK2217" s="4" t="s">
        <v>241</v>
      </c>
      <c r="DL2217" s="4" t="s">
        <v>241</v>
      </c>
      <c r="DP2217" s="4" t="s">
        <v>241</v>
      </c>
      <c r="DQ2217" s="4" t="s">
        <v>241</v>
      </c>
      <c r="DR2217" s="4" t="s">
        <v>241</v>
      </c>
      <c r="DS2217" s="4" t="s">
        <v>241</v>
      </c>
      <c r="DV2217" s="4" t="s">
        <v>426</v>
      </c>
      <c r="DW2217" s="4" t="s">
        <v>758</v>
      </c>
      <c r="HO2217" s="4" t="s">
        <v>267</v>
      </c>
    </row>
    <row r="2218" spans="1:223" ht="19.5" customHeight="1" x14ac:dyDescent="0.4">
      <c r="A2218" s="4">
        <v>1</v>
      </c>
      <c r="B2218" s="4" t="s">
        <v>239</v>
      </c>
      <c r="C2218" s="4">
        <v>3921</v>
      </c>
      <c r="D2218" s="4">
        <v>1</v>
      </c>
      <c r="E2218" s="4">
        <v>1</v>
      </c>
      <c r="F2218" s="4" t="s">
        <v>268</v>
      </c>
      <c r="G2218" s="4" t="s">
        <v>241</v>
      </c>
      <c r="H2218" s="4" t="s">
        <v>241</v>
      </c>
      <c r="I2218" s="4" t="s">
        <v>424</v>
      </c>
      <c r="J2218" s="4" t="s">
        <v>274</v>
      </c>
      <c r="K2218" s="4" t="s">
        <v>251</v>
      </c>
      <c r="L2218" s="4" t="s">
        <v>423</v>
      </c>
      <c r="M2218" s="5" t="s">
        <v>767</v>
      </c>
      <c r="N2218" s="6">
        <f>27</f>
        <v>27</v>
      </c>
      <c r="O2218" s="4" t="s">
        <v>265</v>
      </c>
      <c r="P2218" s="6">
        <f>1</f>
        <v>1</v>
      </c>
      <c r="Q2218" s="6">
        <f>0</f>
        <v>0</v>
      </c>
      <c r="S2218" s="6">
        <f>0</f>
        <v>0</v>
      </c>
      <c r="T2218" s="6">
        <f>1</f>
        <v>1</v>
      </c>
      <c r="U2218" s="5" t="s">
        <v>245</v>
      </c>
      <c r="V2218" s="4" t="s">
        <v>270</v>
      </c>
      <c r="W2218" s="4" t="s">
        <v>271</v>
      </c>
      <c r="X2218" s="4" t="s">
        <v>273</v>
      </c>
      <c r="Y2218" s="4" t="s">
        <v>241</v>
      </c>
      <c r="AB2218" s="4" t="s">
        <v>241</v>
      </c>
      <c r="AD2218" s="5" t="s">
        <v>241</v>
      </c>
      <c r="AG2218" s="5" t="s">
        <v>246</v>
      </c>
      <c r="AH2218" s="4" t="s">
        <v>241</v>
      </c>
      <c r="AI2218" s="4" t="s">
        <v>247</v>
      </c>
      <c r="AJ2218" s="4" t="s">
        <v>248</v>
      </c>
      <c r="AZ2218" s="4" t="s">
        <v>249</v>
      </c>
      <c r="BA2218" s="4" t="s">
        <v>241</v>
      </c>
      <c r="BB2218" s="4" t="s">
        <v>250</v>
      </c>
      <c r="BC2218" s="4" t="s">
        <v>241</v>
      </c>
      <c r="BD2218" s="4" t="s">
        <v>252</v>
      </c>
      <c r="BE2218" s="4" t="s">
        <v>241</v>
      </c>
      <c r="BI2218" s="4" t="s">
        <v>253</v>
      </c>
      <c r="BJ2218" s="5" t="s">
        <v>246</v>
      </c>
      <c r="BK2218" s="4" t="s">
        <v>254</v>
      </c>
      <c r="BL2218" s="4" t="s">
        <v>255</v>
      </c>
      <c r="BM2218" s="4" t="s">
        <v>241</v>
      </c>
      <c r="BN2218" s="6">
        <f>0</f>
        <v>0</v>
      </c>
      <c r="BO2218" s="6">
        <f>0</f>
        <v>0</v>
      </c>
      <c r="BP2218" s="4" t="s">
        <v>256</v>
      </c>
      <c r="BQ2218" s="4" t="s">
        <v>257</v>
      </c>
      <c r="CE2218" s="4" t="s">
        <v>241</v>
      </c>
      <c r="CF2218" s="4" t="s">
        <v>241</v>
      </c>
      <c r="CJ2218" s="4" t="s">
        <v>276</v>
      </c>
      <c r="CK2218" s="4" t="s">
        <v>259</v>
      </c>
      <c r="CL2218" s="4" t="s">
        <v>241</v>
      </c>
      <c r="CO2218" s="5" t="s">
        <v>260</v>
      </c>
      <c r="CP2218" s="4" t="s">
        <v>241</v>
      </c>
      <c r="CQ2218" s="4" t="s">
        <v>261</v>
      </c>
      <c r="CR2218" s="4" t="s">
        <v>241</v>
      </c>
      <c r="CS2218" s="4" t="s">
        <v>241</v>
      </c>
      <c r="CT2218" s="4">
        <v>0</v>
      </c>
      <c r="CU2218" s="4" t="s">
        <v>262</v>
      </c>
      <c r="CV2218" s="4" t="s">
        <v>263</v>
      </c>
      <c r="CW2218" s="4" t="s">
        <v>263</v>
      </c>
      <c r="CX2218" s="4" t="s">
        <v>264</v>
      </c>
      <c r="DA2218" s="6">
        <f>1</f>
        <v>1</v>
      </c>
      <c r="DC2218" s="4" t="s">
        <v>325</v>
      </c>
      <c r="DD2218" s="4" t="s">
        <v>241</v>
      </c>
      <c r="DF2218" s="4" t="s">
        <v>325</v>
      </c>
      <c r="DG2218" s="6">
        <f>27</f>
        <v>27</v>
      </c>
      <c r="DI2218" s="4" t="s">
        <v>241</v>
      </c>
      <c r="DJ2218" s="4" t="s">
        <v>241</v>
      </c>
      <c r="DK2218" s="4" t="s">
        <v>241</v>
      </c>
      <c r="DL2218" s="4" t="s">
        <v>241</v>
      </c>
      <c r="DP2218" s="4" t="s">
        <v>241</v>
      </c>
      <c r="DQ2218" s="4" t="s">
        <v>241</v>
      </c>
      <c r="DR2218" s="4" t="s">
        <v>241</v>
      </c>
      <c r="DS2218" s="4" t="s">
        <v>241</v>
      </c>
      <c r="DV2218" s="4" t="s">
        <v>426</v>
      </c>
      <c r="DW2218" s="4" t="s">
        <v>768</v>
      </c>
      <c r="HO2218" s="4" t="s">
        <v>267</v>
      </c>
    </row>
    <row r="2219" spans="1:223" ht="19.5" customHeight="1" x14ac:dyDescent="0.4">
      <c r="A2219" s="4">
        <v>1</v>
      </c>
      <c r="B2219" s="4" t="s">
        <v>239</v>
      </c>
      <c r="C2219" s="4">
        <v>3922</v>
      </c>
      <c r="D2219" s="4">
        <v>1</v>
      </c>
      <c r="E2219" s="4">
        <v>1</v>
      </c>
      <c r="F2219" s="4" t="s">
        <v>268</v>
      </c>
      <c r="G2219" s="4" t="s">
        <v>241</v>
      </c>
      <c r="H2219" s="4" t="s">
        <v>241</v>
      </c>
      <c r="I2219" s="4" t="s">
        <v>424</v>
      </c>
      <c r="J2219" s="4" t="s">
        <v>274</v>
      </c>
      <c r="K2219" s="4" t="s">
        <v>251</v>
      </c>
      <c r="L2219" s="4" t="s">
        <v>423</v>
      </c>
      <c r="M2219" s="5" t="s">
        <v>663</v>
      </c>
      <c r="N2219" s="6">
        <f>1576</f>
        <v>1576</v>
      </c>
      <c r="O2219" s="4" t="s">
        <v>265</v>
      </c>
      <c r="P2219" s="6">
        <f>1</f>
        <v>1</v>
      </c>
      <c r="Q2219" s="6">
        <f>0</f>
        <v>0</v>
      </c>
      <c r="S2219" s="6">
        <f>0</f>
        <v>0</v>
      </c>
      <c r="T2219" s="6">
        <f>1</f>
        <v>1</v>
      </c>
      <c r="U2219" s="5" t="s">
        <v>245</v>
      </c>
      <c r="V2219" s="4" t="s">
        <v>270</v>
      </c>
      <c r="W2219" s="4" t="s">
        <v>271</v>
      </c>
      <c r="X2219" s="4" t="s">
        <v>273</v>
      </c>
      <c r="Y2219" s="4" t="s">
        <v>241</v>
      </c>
      <c r="AB2219" s="4" t="s">
        <v>241</v>
      </c>
      <c r="AD2219" s="5" t="s">
        <v>241</v>
      </c>
      <c r="AG2219" s="5" t="s">
        <v>246</v>
      </c>
      <c r="AH2219" s="4" t="s">
        <v>241</v>
      </c>
      <c r="AI2219" s="4" t="s">
        <v>247</v>
      </c>
      <c r="AJ2219" s="4" t="s">
        <v>248</v>
      </c>
      <c r="AZ2219" s="4" t="s">
        <v>249</v>
      </c>
      <c r="BA2219" s="4" t="s">
        <v>241</v>
      </c>
      <c r="BB2219" s="4" t="s">
        <v>250</v>
      </c>
      <c r="BC2219" s="4" t="s">
        <v>241</v>
      </c>
      <c r="BD2219" s="4" t="s">
        <v>252</v>
      </c>
      <c r="BE2219" s="4" t="s">
        <v>241</v>
      </c>
      <c r="BI2219" s="4" t="s">
        <v>253</v>
      </c>
      <c r="BJ2219" s="5" t="s">
        <v>246</v>
      </c>
      <c r="BK2219" s="4" t="s">
        <v>254</v>
      </c>
      <c r="BL2219" s="4" t="s">
        <v>255</v>
      </c>
      <c r="BM2219" s="4" t="s">
        <v>241</v>
      </c>
      <c r="BN2219" s="6">
        <f>0</f>
        <v>0</v>
      </c>
      <c r="BO2219" s="6">
        <f>0</f>
        <v>0</v>
      </c>
      <c r="BP2219" s="4" t="s">
        <v>256</v>
      </c>
      <c r="BQ2219" s="4" t="s">
        <v>257</v>
      </c>
      <c r="CE2219" s="4" t="s">
        <v>241</v>
      </c>
      <c r="CF2219" s="4" t="s">
        <v>241</v>
      </c>
      <c r="CJ2219" s="4" t="s">
        <v>276</v>
      </c>
      <c r="CK2219" s="4" t="s">
        <v>259</v>
      </c>
      <c r="CL2219" s="4" t="s">
        <v>241</v>
      </c>
      <c r="CO2219" s="5" t="s">
        <v>260</v>
      </c>
      <c r="CP2219" s="4" t="s">
        <v>241</v>
      </c>
      <c r="CQ2219" s="4" t="s">
        <v>261</v>
      </c>
      <c r="CR2219" s="4" t="s">
        <v>241</v>
      </c>
      <c r="CS2219" s="4" t="s">
        <v>241</v>
      </c>
      <c r="CT2219" s="4">
        <v>0</v>
      </c>
      <c r="CU2219" s="4" t="s">
        <v>262</v>
      </c>
      <c r="CV2219" s="4" t="s">
        <v>263</v>
      </c>
      <c r="CW2219" s="4" t="s">
        <v>263</v>
      </c>
      <c r="CX2219" s="4" t="s">
        <v>264</v>
      </c>
      <c r="DA2219" s="6">
        <f>1</f>
        <v>1</v>
      </c>
      <c r="DC2219" s="4" t="s">
        <v>325</v>
      </c>
      <c r="DD2219" s="4" t="s">
        <v>241</v>
      </c>
      <c r="DF2219" s="4" t="s">
        <v>325</v>
      </c>
      <c r="DG2219" s="6">
        <f>1576</f>
        <v>1576</v>
      </c>
      <c r="DI2219" s="4" t="s">
        <v>241</v>
      </c>
      <c r="DJ2219" s="4" t="s">
        <v>241</v>
      </c>
      <c r="DK2219" s="4" t="s">
        <v>241</v>
      </c>
      <c r="DL2219" s="4" t="s">
        <v>241</v>
      </c>
      <c r="DP2219" s="4" t="s">
        <v>241</v>
      </c>
      <c r="DQ2219" s="4" t="s">
        <v>241</v>
      </c>
      <c r="DR2219" s="4" t="s">
        <v>241</v>
      </c>
      <c r="DS2219" s="4" t="s">
        <v>241</v>
      </c>
      <c r="DV2219" s="4" t="s">
        <v>426</v>
      </c>
      <c r="DW2219" s="4" t="s">
        <v>664</v>
      </c>
      <c r="HO2219" s="4" t="s">
        <v>267</v>
      </c>
    </row>
    <row r="2220" spans="1:223" ht="19.5" customHeight="1" x14ac:dyDescent="0.4">
      <c r="A2220" s="4">
        <v>1</v>
      </c>
      <c r="B2220" s="4" t="s">
        <v>239</v>
      </c>
      <c r="C2220" s="4">
        <v>3923</v>
      </c>
      <c r="D2220" s="4">
        <v>1</v>
      </c>
      <c r="E2220" s="4">
        <v>1</v>
      </c>
      <c r="F2220" s="4" t="s">
        <v>268</v>
      </c>
      <c r="G2220" s="4" t="s">
        <v>241</v>
      </c>
      <c r="H2220" s="4" t="s">
        <v>241</v>
      </c>
      <c r="I2220" s="4" t="s">
        <v>424</v>
      </c>
      <c r="J2220" s="4" t="s">
        <v>274</v>
      </c>
      <c r="K2220" s="4" t="s">
        <v>251</v>
      </c>
      <c r="L2220" s="4" t="s">
        <v>423</v>
      </c>
      <c r="M2220" s="5" t="s">
        <v>779</v>
      </c>
      <c r="N2220" s="6">
        <f>266</f>
        <v>266</v>
      </c>
      <c r="O2220" s="4" t="s">
        <v>265</v>
      </c>
      <c r="P2220" s="6">
        <f>1</f>
        <v>1</v>
      </c>
      <c r="Q2220" s="6">
        <f>0</f>
        <v>0</v>
      </c>
      <c r="S2220" s="6">
        <f>0</f>
        <v>0</v>
      </c>
      <c r="T2220" s="6">
        <f>1</f>
        <v>1</v>
      </c>
      <c r="U2220" s="5" t="s">
        <v>245</v>
      </c>
      <c r="V2220" s="4" t="s">
        <v>270</v>
      </c>
      <c r="W2220" s="4" t="s">
        <v>271</v>
      </c>
      <c r="X2220" s="4" t="s">
        <v>273</v>
      </c>
      <c r="Y2220" s="4" t="s">
        <v>241</v>
      </c>
      <c r="AB2220" s="4" t="s">
        <v>241</v>
      </c>
      <c r="AD2220" s="5" t="s">
        <v>241</v>
      </c>
      <c r="AG2220" s="5" t="s">
        <v>246</v>
      </c>
      <c r="AH2220" s="4" t="s">
        <v>241</v>
      </c>
      <c r="AI2220" s="4" t="s">
        <v>247</v>
      </c>
      <c r="AJ2220" s="4" t="s">
        <v>248</v>
      </c>
      <c r="AZ2220" s="4" t="s">
        <v>249</v>
      </c>
      <c r="BA2220" s="4" t="s">
        <v>241</v>
      </c>
      <c r="BB2220" s="4" t="s">
        <v>250</v>
      </c>
      <c r="BC2220" s="4" t="s">
        <v>241</v>
      </c>
      <c r="BD2220" s="4" t="s">
        <v>252</v>
      </c>
      <c r="BE2220" s="4" t="s">
        <v>241</v>
      </c>
      <c r="BI2220" s="4" t="s">
        <v>253</v>
      </c>
      <c r="BJ2220" s="5" t="s">
        <v>246</v>
      </c>
      <c r="BK2220" s="4" t="s">
        <v>254</v>
      </c>
      <c r="BL2220" s="4" t="s">
        <v>255</v>
      </c>
      <c r="BM2220" s="4" t="s">
        <v>241</v>
      </c>
      <c r="BN2220" s="6">
        <f>0</f>
        <v>0</v>
      </c>
      <c r="BO2220" s="6">
        <f>0</f>
        <v>0</v>
      </c>
      <c r="BP2220" s="4" t="s">
        <v>256</v>
      </c>
      <c r="BQ2220" s="4" t="s">
        <v>257</v>
      </c>
      <c r="CE2220" s="4" t="s">
        <v>241</v>
      </c>
      <c r="CF2220" s="4" t="s">
        <v>241</v>
      </c>
      <c r="CJ2220" s="4" t="s">
        <v>276</v>
      </c>
      <c r="CK2220" s="4" t="s">
        <v>259</v>
      </c>
      <c r="CL2220" s="4" t="s">
        <v>241</v>
      </c>
      <c r="CO2220" s="5" t="s">
        <v>260</v>
      </c>
      <c r="CP2220" s="4" t="s">
        <v>241</v>
      </c>
      <c r="CQ2220" s="4" t="s">
        <v>261</v>
      </c>
      <c r="CR2220" s="4" t="s">
        <v>241</v>
      </c>
      <c r="CS2220" s="4" t="s">
        <v>241</v>
      </c>
      <c r="CT2220" s="4">
        <v>0</v>
      </c>
      <c r="CU2220" s="4" t="s">
        <v>262</v>
      </c>
      <c r="CV2220" s="4" t="s">
        <v>263</v>
      </c>
      <c r="CW2220" s="4" t="s">
        <v>263</v>
      </c>
      <c r="CX2220" s="4" t="s">
        <v>264</v>
      </c>
      <c r="DA2220" s="6">
        <f>1</f>
        <v>1</v>
      </c>
      <c r="DC2220" s="4" t="s">
        <v>325</v>
      </c>
      <c r="DD2220" s="4" t="s">
        <v>241</v>
      </c>
      <c r="DF2220" s="4" t="s">
        <v>325</v>
      </c>
      <c r="DG2220" s="6">
        <f>266</f>
        <v>266</v>
      </c>
      <c r="DI2220" s="4" t="s">
        <v>241</v>
      </c>
      <c r="DJ2220" s="4" t="s">
        <v>241</v>
      </c>
      <c r="DK2220" s="4" t="s">
        <v>241</v>
      </c>
      <c r="DL2220" s="4" t="s">
        <v>241</v>
      </c>
      <c r="DP2220" s="4" t="s">
        <v>241</v>
      </c>
      <c r="DQ2220" s="4" t="s">
        <v>241</v>
      </c>
      <c r="DR2220" s="4" t="s">
        <v>241</v>
      </c>
      <c r="DS2220" s="4" t="s">
        <v>241</v>
      </c>
      <c r="DV2220" s="4" t="s">
        <v>426</v>
      </c>
      <c r="DW2220" s="4" t="s">
        <v>780</v>
      </c>
      <c r="HO2220" s="4" t="s">
        <v>267</v>
      </c>
    </row>
    <row r="2221" spans="1:223" ht="19.5" customHeight="1" x14ac:dyDescent="0.4">
      <c r="A2221" s="4">
        <v>1</v>
      </c>
      <c r="B2221" s="4" t="s">
        <v>239</v>
      </c>
      <c r="C2221" s="4">
        <v>3924</v>
      </c>
      <c r="D2221" s="4">
        <v>1</v>
      </c>
      <c r="E2221" s="4">
        <v>1</v>
      </c>
      <c r="F2221" s="4" t="s">
        <v>268</v>
      </c>
      <c r="G2221" s="4" t="s">
        <v>241</v>
      </c>
      <c r="H2221" s="4" t="s">
        <v>241</v>
      </c>
      <c r="I2221" s="4" t="s">
        <v>424</v>
      </c>
      <c r="J2221" s="4" t="s">
        <v>274</v>
      </c>
      <c r="K2221" s="4" t="s">
        <v>251</v>
      </c>
      <c r="L2221" s="4" t="s">
        <v>423</v>
      </c>
      <c r="M2221" s="5" t="s">
        <v>781</v>
      </c>
      <c r="N2221" s="6">
        <f>1619</f>
        <v>1619</v>
      </c>
      <c r="O2221" s="4" t="s">
        <v>265</v>
      </c>
      <c r="P2221" s="6">
        <f>1</f>
        <v>1</v>
      </c>
      <c r="Q2221" s="6">
        <f>0</f>
        <v>0</v>
      </c>
      <c r="S2221" s="6">
        <f>0</f>
        <v>0</v>
      </c>
      <c r="T2221" s="6">
        <f>1</f>
        <v>1</v>
      </c>
      <c r="U2221" s="5" t="s">
        <v>245</v>
      </c>
      <c r="V2221" s="4" t="s">
        <v>270</v>
      </c>
      <c r="W2221" s="4" t="s">
        <v>271</v>
      </c>
      <c r="X2221" s="4" t="s">
        <v>273</v>
      </c>
      <c r="Y2221" s="4" t="s">
        <v>241</v>
      </c>
      <c r="AB2221" s="4" t="s">
        <v>241</v>
      </c>
      <c r="AD2221" s="5" t="s">
        <v>241</v>
      </c>
      <c r="AG2221" s="5" t="s">
        <v>246</v>
      </c>
      <c r="AH2221" s="4" t="s">
        <v>241</v>
      </c>
      <c r="AI2221" s="4" t="s">
        <v>247</v>
      </c>
      <c r="AJ2221" s="4" t="s">
        <v>248</v>
      </c>
      <c r="AZ2221" s="4" t="s">
        <v>249</v>
      </c>
      <c r="BA2221" s="4" t="s">
        <v>241</v>
      </c>
      <c r="BB2221" s="4" t="s">
        <v>250</v>
      </c>
      <c r="BC2221" s="4" t="s">
        <v>241</v>
      </c>
      <c r="BD2221" s="4" t="s">
        <v>252</v>
      </c>
      <c r="BE2221" s="4" t="s">
        <v>241</v>
      </c>
      <c r="BI2221" s="4" t="s">
        <v>253</v>
      </c>
      <c r="BJ2221" s="5" t="s">
        <v>246</v>
      </c>
      <c r="BK2221" s="4" t="s">
        <v>254</v>
      </c>
      <c r="BL2221" s="4" t="s">
        <v>255</v>
      </c>
      <c r="BM2221" s="4" t="s">
        <v>241</v>
      </c>
      <c r="BN2221" s="6">
        <f>0</f>
        <v>0</v>
      </c>
      <c r="BO2221" s="6">
        <f>0</f>
        <v>0</v>
      </c>
      <c r="BP2221" s="4" t="s">
        <v>256</v>
      </c>
      <c r="BQ2221" s="4" t="s">
        <v>257</v>
      </c>
      <c r="CE2221" s="4" t="s">
        <v>241</v>
      </c>
      <c r="CF2221" s="4" t="s">
        <v>241</v>
      </c>
      <c r="CJ2221" s="4" t="s">
        <v>276</v>
      </c>
      <c r="CK2221" s="4" t="s">
        <v>259</v>
      </c>
      <c r="CL2221" s="4" t="s">
        <v>241</v>
      </c>
      <c r="CO2221" s="5" t="s">
        <v>260</v>
      </c>
      <c r="CP2221" s="4" t="s">
        <v>241</v>
      </c>
      <c r="CQ2221" s="4" t="s">
        <v>261</v>
      </c>
      <c r="CR2221" s="4" t="s">
        <v>241</v>
      </c>
      <c r="CS2221" s="4" t="s">
        <v>241</v>
      </c>
      <c r="CT2221" s="4">
        <v>0</v>
      </c>
      <c r="CU2221" s="4" t="s">
        <v>262</v>
      </c>
      <c r="CV2221" s="4" t="s">
        <v>263</v>
      </c>
      <c r="CW2221" s="4" t="s">
        <v>263</v>
      </c>
      <c r="CX2221" s="4" t="s">
        <v>264</v>
      </c>
      <c r="DA2221" s="6">
        <f>1</f>
        <v>1</v>
      </c>
      <c r="DC2221" s="4" t="s">
        <v>325</v>
      </c>
      <c r="DD2221" s="4" t="s">
        <v>241</v>
      </c>
      <c r="DF2221" s="4" t="s">
        <v>325</v>
      </c>
      <c r="DG2221" s="6">
        <f>1619</f>
        <v>1619</v>
      </c>
      <c r="DI2221" s="4" t="s">
        <v>241</v>
      </c>
      <c r="DJ2221" s="4" t="s">
        <v>241</v>
      </c>
      <c r="DK2221" s="4" t="s">
        <v>241</v>
      </c>
      <c r="DL2221" s="4" t="s">
        <v>241</v>
      </c>
      <c r="DP2221" s="4" t="s">
        <v>241</v>
      </c>
      <c r="DQ2221" s="4" t="s">
        <v>241</v>
      </c>
      <c r="DR2221" s="4" t="s">
        <v>241</v>
      </c>
      <c r="DS2221" s="4" t="s">
        <v>241</v>
      </c>
      <c r="DV2221" s="4" t="s">
        <v>426</v>
      </c>
      <c r="DW2221" s="4" t="s">
        <v>782</v>
      </c>
      <c r="HO2221" s="4" t="s">
        <v>267</v>
      </c>
    </row>
    <row r="2222" spans="1:223" ht="19.5" customHeight="1" x14ac:dyDescent="0.4">
      <c r="A2222" s="4">
        <v>1</v>
      </c>
      <c r="B2222" s="4" t="s">
        <v>239</v>
      </c>
      <c r="C2222" s="4">
        <v>3925</v>
      </c>
      <c r="D2222" s="4">
        <v>1</v>
      </c>
      <c r="E2222" s="4">
        <v>1</v>
      </c>
      <c r="F2222" s="4" t="s">
        <v>268</v>
      </c>
      <c r="G2222" s="4" t="s">
        <v>241</v>
      </c>
      <c r="H2222" s="4" t="s">
        <v>241</v>
      </c>
      <c r="I2222" s="4" t="s">
        <v>424</v>
      </c>
      <c r="J2222" s="4" t="s">
        <v>274</v>
      </c>
      <c r="K2222" s="4" t="s">
        <v>251</v>
      </c>
      <c r="L2222" s="4" t="s">
        <v>423</v>
      </c>
      <c r="M2222" s="5" t="s">
        <v>785</v>
      </c>
      <c r="N2222" s="6">
        <f>1064</f>
        <v>1064</v>
      </c>
      <c r="O2222" s="4" t="s">
        <v>265</v>
      </c>
      <c r="P2222" s="6">
        <f>1</f>
        <v>1</v>
      </c>
      <c r="Q2222" s="6">
        <f>0</f>
        <v>0</v>
      </c>
      <c r="S2222" s="6">
        <f>0</f>
        <v>0</v>
      </c>
      <c r="T2222" s="6">
        <f>1</f>
        <v>1</v>
      </c>
      <c r="U2222" s="5" t="s">
        <v>245</v>
      </c>
      <c r="V2222" s="4" t="s">
        <v>270</v>
      </c>
      <c r="W2222" s="4" t="s">
        <v>271</v>
      </c>
      <c r="X2222" s="4" t="s">
        <v>273</v>
      </c>
      <c r="Y2222" s="4" t="s">
        <v>241</v>
      </c>
      <c r="AB2222" s="4" t="s">
        <v>241</v>
      </c>
      <c r="AD2222" s="5" t="s">
        <v>241</v>
      </c>
      <c r="AG2222" s="5" t="s">
        <v>246</v>
      </c>
      <c r="AH2222" s="4" t="s">
        <v>241</v>
      </c>
      <c r="AI2222" s="4" t="s">
        <v>247</v>
      </c>
      <c r="AJ2222" s="4" t="s">
        <v>248</v>
      </c>
      <c r="AZ2222" s="4" t="s">
        <v>249</v>
      </c>
      <c r="BA2222" s="4" t="s">
        <v>241</v>
      </c>
      <c r="BB2222" s="4" t="s">
        <v>250</v>
      </c>
      <c r="BC2222" s="4" t="s">
        <v>241</v>
      </c>
      <c r="BD2222" s="4" t="s">
        <v>252</v>
      </c>
      <c r="BE2222" s="4" t="s">
        <v>241</v>
      </c>
      <c r="BI2222" s="4" t="s">
        <v>253</v>
      </c>
      <c r="BJ2222" s="5" t="s">
        <v>246</v>
      </c>
      <c r="BK2222" s="4" t="s">
        <v>254</v>
      </c>
      <c r="BL2222" s="4" t="s">
        <v>255</v>
      </c>
      <c r="BM2222" s="4" t="s">
        <v>241</v>
      </c>
      <c r="BN2222" s="6">
        <f>0</f>
        <v>0</v>
      </c>
      <c r="BO2222" s="6">
        <f>0</f>
        <v>0</v>
      </c>
      <c r="BP2222" s="4" t="s">
        <v>256</v>
      </c>
      <c r="BQ2222" s="4" t="s">
        <v>257</v>
      </c>
      <c r="CE2222" s="4" t="s">
        <v>241</v>
      </c>
      <c r="CF2222" s="4" t="s">
        <v>241</v>
      </c>
      <c r="CJ2222" s="4" t="s">
        <v>276</v>
      </c>
      <c r="CK2222" s="4" t="s">
        <v>259</v>
      </c>
      <c r="CL2222" s="4" t="s">
        <v>241</v>
      </c>
      <c r="CO2222" s="5" t="s">
        <v>260</v>
      </c>
      <c r="CP2222" s="4" t="s">
        <v>241</v>
      </c>
      <c r="CQ2222" s="4" t="s">
        <v>261</v>
      </c>
      <c r="CR2222" s="4" t="s">
        <v>241</v>
      </c>
      <c r="CS2222" s="4" t="s">
        <v>241</v>
      </c>
      <c r="CT2222" s="4">
        <v>0</v>
      </c>
      <c r="CU2222" s="4" t="s">
        <v>262</v>
      </c>
      <c r="CV2222" s="4" t="s">
        <v>263</v>
      </c>
      <c r="CW2222" s="4" t="s">
        <v>263</v>
      </c>
      <c r="CX2222" s="4" t="s">
        <v>264</v>
      </c>
      <c r="DA2222" s="6">
        <f>1</f>
        <v>1</v>
      </c>
      <c r="DC2222" s="4" t="s">
        <v>325</v>
      </c>
      <c r="DD2222" s="4" t="s">
        <v>241</v>
      </c>
      <c r="DF2222" s="4" t="s">
        <v>325</v>
      </c>
      <c r="DG2222" s="6">
        <f>1064</f>
        <v>1064</v>
      </c>
      <c r="DI2222" s="4" t="s">
        <v>241</v>
      </c>
      <c r="DJ2222" s="4" t="s">
        <v>241</v>
      </c>
      <c r="DK2222" s="4" t="s">
        <v>241</v>
      </c>
      <c r="DL2222" s="4" t="s">
        <v>241</v>
      </c>
      <c r="DP2222" s="4" t="s">
        <v>241</v>
      </c>
      <c r="DQ2222" s="4" t="s">
        <v>241</v>
      </c>
      <c r="DR2222" s="4" t="s">
        <v>241</v>
      </c>
      <c r="DS2222" s="4" t="s">
        <v>241</v>
      </c>
      <c r="DV2222" s="4" t="s">
        <v>426</v>
      </c>
      <c r="DW2222" s="4" t="s">
        <v>786</v>
      </c>
      <c r="HO2222" s="4" t="s">
        <v>267</v>
      </c>
    </row>
    <row r="2223" spans="1:223" ht="19.5" customHeight="1" x14ac:dyDescent="0.4">
      <c r="A2223" s="4">
        <v>1</v>
      </c>
      <c r="B2223" s="4" t="s">
        <v>239</v>
      </c>
      <c r="C2223" s="4">
        <v>3926</v>
      </c>
      <c r="D2223" s="4">
        <v>1</v>
      </c>
      <c r="E2223" s="4">
        <v>1</v>
      </c>
      <c r="F2223" s="4" t="s">
        <v>268</v>
      </c>
      <c r="G2223" s="4" t="s">
        <v>241</v>
      </c>
      <c r="H2223" s="4" t="s">
        <v>241</v>
      </c>
      <c r="I2223" s="4" t="s">
        <v>424</v>
      </c>
      <c r="J2223" s="4" t="s">
        <v>274</v>
      </c>
      <c r="K2223" s="4" t="s">
        <v>251</v>
      </c>
      <c r="L2223" s="4" t="s">
        <v>423</v>
      </c>
      <c r="M2223" s="5" t="s">
        <v>673</v>
      </c>
      <c r="N2223" s="6">
        <f>1665</f>
        <v>1665</v>
      </c>
      <c r="O2223" s="4" t="s">
        <v>265</v>
      </c>
      <c r="P2223" s="6">
        <f>1</f>
        <v>1</v>
      </c>
      <c r="Q2223" s="6">
        <f>0</f>
        <v>0</v>
      </c>
      <c r="S2223" s="6">
        <f>0</f>
        <v>0</v>
      </c>
      <c r="T2223" s="6">
        <f>1</f>
        <v>1</v>
      </c>
      <c r="U2223" s="5" t="s">
        <v>245</v>
      </c>
      <c r="V2223" s="4" t="s">
        <v>270</v>
      </c>
      <c r="W2223" s="4" t="s">
        <v>271</v>
      </c>
      <c r="X2223" s="4" t="s">
        <v>273</v>
      </c>
      <c r="Y2223" s="4" t="s">
        <v>241</v>
      </c>
      <c r="AB2223" s="4" t="s">
        <v>241</v>
      </c>
      <c r="AD2223" s="5" t="s">
        <v>241</v>
      </c>
      <c r="AG2223" s="5" t="s">
        <v>246</v>
      </c>
      <c r="AH2223" s="4" t="s">
        <v>241</v>
      </c>
      <c r="AI2223" s="4" t="s">
        <v>247</v>
      </c>
      <c r="AJ2223" s="4" t="s">
        <v>248</v>
      </c>
      <c r="AZ2223" s="4" t="s">
        <v>249</v>
      </c>
      <c r="BA2223" s="4" t="s">
        <v>241</v>
      </c>
      <c r="BB2223" s="4" t="s">
        <v>250</v>
      </c>
      <c r="BC2223" s="4" t="s">
        <v>241</v>
      </c>
      <c r="BD2223" s="4" t="s">
        <v>252</v>
      </c>
      <c r="BE2223" s="4" t="s">
        <v>241</v>
      </c>
      <c r="BI2223" s="4" t="s">
        <v>253</v>
      </c>
      <c r="BJ2223" s="5" t="s">
        <v>246</v>
      </c>
      <c r="BK2223" s="4" t="s">
        <v>254</v>
      </c>
      <c r="BL2223" s="4" t="s">
        <v>255</v>
      </c>
      <c r="BM2223" s="4" t="s">
        <v>241</v>
      </c>
      <c r="BN2223" s="6">
        <f>0</f>
        <v>0</v>
      </c>
      <c r="BO2223" s="6">
        <f>0</f>
        <v>0</v>
      </c>
      <c r="BP2223" s="4" t="s">
        <v>256</v>
      </c>
      <c r="BQ2223" s="4" t="s">
        <v>257</v>
      </c>
      <c r="CE2223" s="4" t="s">
        <v>241</v>
      </c>
      <c r="CF2223" s="4" t="s">
        <v>241</v>
      </c>
      <c r="CJ2223" s="4" t="s">
        <v>276</v>
      </c>
      <c r="CK2223" s="4" t="s">
        <v>259</v>
      </c>
      <c r="CL2223" s="4" t="s">
        <v>241</v>
      </c>
      <c r="CO2223" s="5" t="s">
        <v>260</v>
      </c>
      <c r="CP2223" s="4" t="s">
        <v>241</v>
      </c>
      <c r="CQ2223" s="4" t="s">
        <v>261</v>
      </c>
      <c r="CR2223" s="4" t="s">
        <v>241</v>
      </c>
      <c r="CS2223" s="4" t="s">
        <v>241</v>
      </c>
      <c r="CT2223" s="4">
        <v>0</v>
      </c>
      <c r="CU2223" s="4" t="s">
        <v>262</v>
      </c>
      <c r="CV2223" s="4" t="s">
        <v>263</v>
      </c>
      <c r="CW2223" s="4" t="s">
        <v>263</v>
      </c>
      <c r="CX2223" s="4" t="s">
        <v>264</v>
      </c>
      <c r="DA2223" s="6">
        <f>1</f>
        <v>1</v>
      </c>
      <c r="DC2223" s="4" t="s">
        <v>325</v>
      </c>
      <c r="DD2223" s="4" t="s">
        <v>241</v>
      </c>
      <c r="DF2223" s="4" t="s">
        <v>325</v>
      </c>
      <c r="DG2223" s="6">
        <f>1665</f>
        <v>1665</v>
      </c>
      <c r="DI2223" s="4" t="s">
        <v>241</v>
      </c>
      <c r="DJ2223" s="4" t="s">
        <v>241</v>
      </c>
      <c r="DK2223" s="4" t="s">
        <v>241</v>
      </c>
      <c r="DL2223" s="4" t="s">
        <v>241</v>
      </c>
      <c r="DP2223" s="4" t="s">
        <v>241</v>
      </c>
      <c r="DQ2223" s="4" t="s">
        <v>241</v>
      </c>
      <c r="DR2223" s="4" t="s">
        <v>241</v>
      </c>
      <c r="DS2223" s="4" t="s">
        <v>241</v>
      </c>
      <c r="DV2223" s="4" t="s">
        <v>426</v>
      </c>
      <c r="DW2223" s="4" t="s">
        <v>674</v>
      </c>
      <c r="HO2223" s="4" t="s">
        <v>267</v>
      </c>
    </row>
    <row r="2224" spans="1:223" ht="19.5" customHeight="1" x14ac:dyDescent="0.4">
      <c r="A2224" s="4">
        <v>1</v>
      </c>
      <c r="B2224" s="4" t="s">
        <v>239</v>
      </c>
      <c r="C2224" s="4">
        <v>3927</v>
      </c>
      <c r="D2224" s="4">
        <v>1</v>
      </c>
      <c r="E2224" s="4">
        <v>1</v>
      </c>
      <c r="F2224" s="4" t="s">
        <v>268</v>
      </c>
      <c r="G2224" s="4" t="s">
        <v>241</v>
      </c>
      <c r="H2224" s="4" t="s">
        <v>241</v>
      </c>
      <c r="I2224" s="4" t="s">
        <v>424</v>
      </c>
      <c r="J2224" s="4" t="s">
        <v>274</v>
      </c>
      <c r="K2224" s="4" t="s">
        <v>251</v>
      </c>
      <c r="L2224" s="4" t="s">
        <v>423</v>
      </c>
      <c r="M2224" s="5" t="s">
        <v>797</v>
      </c>
      <c r="N2224" s="6">
        <f>522</f>
        <v>522</v>
      </c>
      <c r="O2224" s="4" t="s">
        <v>265</v>
      </c>
      <c r="P2224" s="6">
        <f>1</f>
        <v>1</v>
      </c>
      <c r="Q2224" s="6">
        <f>0</f>
        <v>0</v>
      </c>
      <c r="S2224" s="6">
        <f>0</f>
        <v>0</v>
      </c>
      <c r="T2224" s="6">
        <f>1</f>
        <v>1</v>
      </c>
      <c r="U2224" s="5" t="s">
        <v>245</v>
      </c>
      <c r="V2224" s="4" t="s">
        <v>270</v>
      </c>
      <c r="W2224" s="4" t="s">
        <v>271</v>
      </c>
      <c r="X2224" s="4" t="s">
        <v>273</v>
      </c>
      <c r="Y2224" s="4" t="s">
        <v>241</v>
      </c>
      <c r="AB2224" s="4" t="s">
        <v>241</v>
      </c>
      <c r="AD2224" s="5" t="s">
        <v>241</v>
      </c>
      <c r="AG2224" s="5" t="s">
        <v>246</v>
      </c>
      <c r="AH2224" s="4" t="s">
        <v>241</v>
      </c>
      <c r="AI2224" s="4" t="s">
        <v>247</v>
      </c>
      <c r="AJ2224" s="4" t="s">
        <v>248</v>
      </c>
      <c r="AZ2224" s="4" t="s">
        <v>249</v>
      </c>
      <c r="BA2224" s="4" t="s">
        <v>241</v>
      </c>
      <c r="BB2224" s="4" t="s">
        <v>250</v>
      </c>
      <c r="BC2224" s="4" t="s">
        <v>241</v>
      </c>
      <c r="BD2224" s="4" t="s">
        <v>252</v>
      </c>
      <c r="BE2224" s="4" t="s">
        <v>241</v>
      </c>
      <c r="BI2224" s="4" t="s">
        <v>253</v>
      </c>
      <c r="BJ2224" s="5" t="s">
        <v>246</v>
      </c>
      <c r="BK2224" s="4" t="s">
        <v>254</v>
      </c>
      <c r="BL2224" s="4" t="s">
        <v>255</v>
      </c>
      <c r="BM2224" s="4" t="s">
        <v>241</v>
      </c>
      <c r="BN2224" s="6">
        <f>0</f>
        <v>0</v>
      </c>
      <c r="BO2224" s="6">
        <f>0</f>
        <v>0</v>
      </c>
      <c r="BP2224" s="4" t="s">
        <v>256</v>
      </c>
      <c r="BQ2224" s="4" t="s">
        <v>257</v>
      </c>
      <c r="CE2224" s="4" t="s">
        <v>241</v>
      </c>
      <c r="CF2224" s="4" t="s">
        <v>241</v>
      </c>
      <c r="CJ2224" s="4" t="s">
        <v>276</v>
      </c>
      <c r="CK2224" s="4" t="s">
        <v>259</v>
      </c>
      <c r="CL2224" s="4" t="s">
        <v>241</v>
      </c>
      <c r="CO2224" s="5" t="s">
        <v>260</v>
      </c>
      <c r="CP2224" s="4" t="s">
        <v>241</v>
      </c>
      <c r="CQ2224" s="4" t="s">
        <v>261</v>
      </c>
      <c r="CR2224" s="4" t="s">
        <v>241</v>
      </c>
      <c r="CS2224" s="4" t="s">
        <v>241</v>
      </c>
      <c r="CT2224" s="4">
        <v>0</v>
      </c>
      <c r="CU2224" s="4" t="s">
        <v>262</v>
      </c>
      <c r="CV2224" s="4" t="s">
        <v>263</v>
      </c>
      <c r="CW2224" s="4" t="s">
        <v>263</v>
      </c>
      <c r="CX2224" s="4" t="s">
        <v>264</v>
      </c>
      <c r="DA2224" s="6">
        <f>1</f>
        <v>1</v>
      </c>
      <c r="DC2224" s="4" t="s">
        <v>325</v>
      </c>
      <c r="DD2224" s="4" t="s">
        <v>241</v>
      </c>
      <c r="DF2224" s="4" t="s">
        <v>325</v>
      </c>
      <c r="DG2224" s="6">
        <f>522</f>
        <v>522</v>
      </c>
      <c r="DI2224" s="4" t="s">
        <v>241</v>
      </c>
      <c r="DJ2224" s="4" t="s">
        <v>241</v>
      </c>
      <c r="DK2224" s="4" t="s">
        <v>241</v>
      </c>
      <c r="DL2224" s="4" t="s">
        <v>241</v>
      </c>
      <c r="DP2224" s="4" t="s">
        <v>241</v>
      </c>
      <c r="DQ2224" s="4" t="s">
        <v>241</v>
      </c>
      <c r="DR2224" s="4" t="s">
        <v>241</v>
      </c>
      <c r="DS2224" s="4" t="s">
        <v>241</v>
      </c>
      <c r="DV2224" s="4" t="s">
        <v>426</v>
      </c>
      <c r="DW2224" s="4" t="s">
        <v>798</v>
      </c>
      <c r="HO2224" s="4" t="s">
        <v>267</v>
      </c>
    </row>
    <row r="2225" spans="1:223" ht="19.5" customHeight="1" x14ac:dyDescent="0.4">
      <c r="A2225" s="4">
        <v>1</v>
      </c>
      <c r="B2225" s="4" t="s">
        <v>239</v>
      </c>
      <c r="C2225" s="4">
        <v>3928</v>
      </c>
      <c r="D2225" s="4">
        <v>1</v>
      </c>
      <c r="E2225" s="4">
        <v>1</v>
      </c>
      <c r="F2225" s="4" t="s">
        <v>268</v>
      </c>
      <c r="G2225" s="4" t="s">
        <v>241</v>
      </c>
      <c r="H2225" s="4" t="s">
        <v>241</v>
      </c>
      <c r="I2225" s="4" t="s">
        <v>424</v>
      </c>
      <c r="J2225" s="4" t="s">
        <v>274</v>
      </c>
      <c r="K2225" s="4" t="s">
        <v>251</v>
      </c>
      <c r="L2225" s="4" t="s">
        <v>423</v>
      </c>
      <c r="M2225" s="5" t="s">
        <v>801</v>
      </c>
      <c r="N2225" s="6">
        <f>182</f>
        <v>182</v>
      </c>
      <c r="O2225" s="4" t="s">
        <v>265</v>
      </c>
      <c r="P2225" s="6">
        <f>1</f>
        <v>1</v>
      </c>
      <c r="Q2225" s="6">
        <f>0</f>
        <v>0</v>
      </c>
      <c r="S2225" s="6">
        <f>0</f>
        <v>0</v>
      </c>
      <c r="T2225" s="6">
        <f>1</f>
        <v>1</v>
      </c>
      <c r="U2225" s="5" t="s">
        <v>245</v>
      </c>
      <c r="V2225" s="4" t="s">
        <v>270</v>
      </c>
      <c r="W2225" s="4" t="s">
        <v>271</v>
      </c>
      <c r="X2225" s="4" t="s">
        <v>273</v>
      </c>
      <c r="Y2225" s="4" t="s">
        <v>241</v>
      </c>
      <c r="AB2225" s="4" t="s">
        <v>241</v>
      </c>
      <c r="AD2225" s="5" t="s">
        <v>241</v>
      </c>
      <c r="AG2225" s="5" t="s">
        <v>246</v>
      </c>
      <c r="AH2225" s="4" t="s">
        <v>241</v>
      </c>
      <c r="AI2225" s="4" t="s">
        <v>247</v>
      </c>
      <c r="AJ2225" s="4" t="s">
        <v>248</v>
      </c>
      <c r="AZ2225" s="4" t="s">
        <v>249</v>
      </c>
      <c r="BA2225" s="4" t="s">
        <v>241</v>
      </c>
      <c r="BB2225" s="4" t="s">
        <v>250</v>
      </c>
      <c r="BC2225" s="4" t="s">
        <v>241</v>
      </c>
      <c r="BD2225" s="4" t="s">
        <v>252</v>
      </c>
      <c r="BE2225" s="4" t="s">
        <v>241</v>
      </c>
      <c r="BI2225" s="4" t="s">
        <v>253</v>
      </c>
      <c r="BJ2225" s="5" t="s">
        <v>246</v>
      </c>
      <c r="BK2225" s="4" t="s">
        <v>254</v>
      </c>
      <c r="BL2225" s="4" t="s">
        <v>255</v>
      </c>
      <c r="BM2225" s="4" t="s">
        <v>241</v>
      </c>
      <c r="BN2225" s="6">
        <f>0</f>
        <v>0</v>
      </c>
      <c r="BO2225" s="6">
        <f>0</f>
        <v>0</v>
      </c>
      <c r="BP2225" s="4" t="s">
        <v>256</v>
      </c>
      <c r="BQ2225" s="4" t="s">
        <v>257</v>
      </c>
      <c r="CE2225" s="4" t="s">
        <v>241</v>
      </c>
      <c r="CF2225" s="4" t="s">
        <v>241</v>
      </c>
      <c r="CJ2225" s="4" t="s">
        <v>276</v>
      </c>
      <c r="CK2225" s="4" t="s">
        <v>259</v>
      </c>
      <c r="CL2225" s="4" t="s">
        <v>241</v>
      </c>
      <c r="CO2225" s="5" t="s">
        <v>260</v>
      </c>
      <c r="CP2225" s="4" t="s">
        <v>241</v>
      </c>
      <c r="CQ2225" s="4" t="s">
        <v>261</v>
      </c>
      <c r="CR2225" s="4" t="s">
        <v>241</v>
      </c>
      <c r="CS2225" s="4" t="s">
        <v>241</v>
      </c>
      <c r="CT2225" s="4">
        <v>0</v>
      </c>
      <c r="CU2225" s="4" t="s">
        <v>262</v>
      </c>
      <c r="CV2225" s="4" t="s">
        <v>263</v>
      </c>
      <c r="CW2225" s="4" t="s">
        <v>263</v>
      </c>
      <c r="CX2225" s="4" t="s">
        <v>264</v>
      </c>
      <c r="DA2225" s="6">
        <f>1</f>
        <v>1</v>
      </c>
      <c r="DC2225" s="4" t="s">
        <v>325</v>
      </c>
      <c r="DD2225" s="4" t="s">
        <v>241</v>
      </c>
      <c r="DF2225" s="4" t="s">
        <v>325</v>
      </c>
      <c r="DG2225" s="6">
        <f>182</f>
        <v>182</v>
      </c>
      <c r="DI2225" s="4" t="s">
        <v>241</v>
      </c>
      <c r="DJ2225" s="4" t="s">
        <v>241</v>
      </c>
      <c r="DK2225" s="4" t="s">
        <v>241</v>
      </c>
      <c r="DL2225" s="4" t="s">
        <v>241</v>
      </c>
      <c r="DP2225" s="4" t="s">
        <v>241</v>
      </c>
      <c r="DQ2225" s="4" t="s">
        <v>241</v>
      </c>
      <c r="DR2225" s="4" t="s">
        <v>241</v>
      </c>
      <c r="DS2225" s="4" t="s">
        <v>241</v>
      </c>
      <c r="DV2225" s="4" t="s">
        <v>426</v>
      </c>
      <c r="DW2225" s="4" t="s">
        <v>802</v>
      </c>
      <c r="HO2225" s="4" t="s">
        <v>267</v>
      </c>
    </row>
    <row r="2226" spans="1:223" ht="19.5" customHeight="1" x14ac:dyDescent="0.4">
      <c r="A2226" s="4">
        <v>1</v>
      </c>
      <c r="B2226" s="4" t="s">
        <v>239</v>
      </c>
      <c r="C2226" s="4">
        <v>3929</v>
      </c>
      <c r="D2226" s="4">
        <v>1</v>
      </c>
      <c r="E2226" s="4">
        <v>1</v>
      </c>
      <c r="F2226" s="4" t="s">
        <v>268</v>
      </c>
      <c r="G2226" s="4" t="s">
        <v>241</v>
      </c>
      <c r="H2226" s="4" t="s">
        <v>241</v>
      </c>
      <c r="I2226" s="4" t="s">
        <v>424</v>
      </c>
      <c r="J2226" s="4" t="s">
        <v>274</v>
      </c>
      <c r="K2226" s="4" t="s">
        <v>251</v>
      </c>
      <c r="L2226" s="4" t="s">
        <v>423</v>
      </c>
      <c r="M2226" s="5" t="s">
        <v>807</v>
      </c>
      <c r="N2226" s="6">
        <f>145</f>
        <v>145</v>
      </c>
      <c r="O2226" s="4" t="s">
        <v>265</v>
      </c>
      <c r="P2226" s="6">
        <f>1</f>
        <v>1</v>
      </c>
      <c r="Q2226" s="6">
        <f>0</f>
        <v>0</v>
      </c>
      <c r="S2226" s="6">
        <f>0</f>
        <v>0</v>
      </c>
      <c r="T2226" s="6">
        <f>1</f>
        <v>1</v>
      </c>
      <c r="U2226" s="5" t="s">
        <v>245</v>
      </c>
      <c r="V2226" s="4" t="s">
        <v>270</v>
      </c>
      <c r="W2226" s="4" t="s">
        <v>271</v>
      </c>
      <c r="X2226" s="4" t="s">
        <v>273</v>
      </c>
      <c r="Y2226" s="4" t="s">
        <v>241</v>
      </c>
      <c r="AB2226" s="4" t="s">
        <v>241</v>
      </c>
      <c r="AD2226" s="5" t="s">
        <v>241</v>
      </c>
      <c r="AG2226" s="5" t="s">
        <v>246</v>
      </c>
      <c r="AH2226" s="4" t="s">
        <v>241</v>
      </c>
      <c r="AI2226" s="4" t="s">
        <v>247</v>
      </c>
      <c r="AJ2226" s="4" t="s">
        <v>248</v>
      </c>
      <c r="AZ2226" s="4" t="s">
        <v>249</v>
      </c>
      <c r="BA2226" s="4" t="s">
        <v>241</v>
      </c>
      <c r="BB2226" s="4" t="s">
        <v>250</v>
      </c>
      <c r="BC2226" s="4" t="s">
        <v>241</v>
      </c>
      <c r="BD2226" s="4" t="s">
        <v>252</v>
      </c>
      <c r="BE2226" s="4" t="s">
        <v>241</v>
      </c>
      <c r="BI2226" s="4" t="s">
        <v>253</v>
      </c>
      <c r="BJ2226" s="5" t="s">
        <v>246</v>
      </c>
      <c r="BK2226" s="4" t="s">
        <v>254</v>
      </c>
      <c r="BL2226" s="4" t="s">
        <v>255</v>
      </c>
      <c r="BM2226" s="4" t="s">
        <v>241</v>
      </c>
      <c r="BN2226" s="6">
        <f>0</f>
        <v>0</v>
      </c>
      <c r="BO2226" s="6">
        <f>0</f>
        <v>0</v>
      </c>
      <c r="BP2226" s="4" t="s">
        <v>256</v>
      </c>
      <c r="BQ2226" s="4" t="s">
        <v>257</v>
      </c>
      <c r="CE2226" s="4" t="s">
        <v>241</v>
      </c>
      <c r="CF2226" s="4" t="s">
        <v>241</v>
      </c>
      <c r="CJ2226" s="4" t="s">
        <v>276</v>
      </c>
      <c r="CK2226" s="4" t="s">
        <v>259</v>
      </c>
      <c r="CL2226" s="4" t="s">
        <v>241</v>
      </c>
      <c r="CO2226" s="5" t="s">
        <v>260</v>
      </c>
      <c r="CP2226" s="4" t="s">
        <v>241</v>
      </c>
      <c r="CQ2226" s="4" t="s">
        <v>261</v>
      </c>
      <c r="CR2226" s="4" t="s">
        <v>241</v>
      </c>
      <c r="CS2226" s="4" t="s">
        <v>241</v>
      </c>
      <c r="CT2226" s="4">
        <v>0</v>
      </c>
      <c r="CU2226" s="4" t="s">
        <v>262</v>
      </c>
      <c r="CV2226" s="4" t="s">
        <v>263</v>
      </c>
      <c r="CW2226" s="4" t="s">
        <v>263</v>
      </c>
      <c r="CX2226" s="4" t="s">
        <v>264</v>
      </c>
      <c r="DA2226" s="6">
        <f>1</f>
        <v>1</v>
      </c>
      <c r="DC2226" s="4" t="s">
        <v>325</v>
      </c>
      <c r="DD2226" s="4" t="s">
        <v>241</v>
      </c>
      <c r="DF2226" s="4" t="s">
        <v>325</v>
      </c>
      <c r="DG2226" s="6">
        <f>145</f>
        <v>145</v>
      </c>
      <c r="DI2226" s="4" t="s">
        <v>241</v>
      </c>
      <c r="DJ2226" s="4" t="s">
        <v>241</v>
      </c>
      <c r="DK2226" s="4" t="s">
        <v>241</v>
      </c>
      <c r="DL2226" s="4" t="s">
        <v>241</v>
      </c>
      <c r="DP2226" s="4" t="s">
        <v>241</v>
      </c>
      <c r="DQ2226" s="4" t="s">
        <v>241</v>
      </c>
      <c r="DR2226" s="4" t="s">
        <v>241</v>
      </c>
      <c r="DS2226" s="4" t="s">
        <v>241</v>
      </c>
      <c r="DV2226" s="4" t="s">
        <v>426</v>
      </c>
      <c r="DW2226" s="4" t="s">
        <v>808</v>
      </c>
      <c r="HO2226" s="4" t="s">
        <v>267</v>
      </c>
    </row>
    <row r="2227" spans="1:223" ht="19.5" customHeight="1" x14ac:dyDescent="0.4">
      <c r="A2227" s="4">
        <v>1</v>
      </c>
      <c r="B2227" s="4" t="s">
        <v>239</v>
      </c>
      <c r="C2227" s="4">
        <v>3930</v>
      </c>
      <c r="D2227" s="4">
        <v>1</v>
      </c>
      <c r="E2227" s="4">
        <v>1</v>
      </c>
      <c r="F2227" s="4" t="s">
        <v>268</v>
      </c>
      <c r="G2227" s="4" t="s">
        <v>241</v>
      </c>
      <c r="H2227" s="4" t="s">
        <v>241</v>
      </c>
      <c r="I2227" s="4" t="s">
        <v>424</v>
      </c>
      <c r="J2227" s="4" t="s">
        <v>274</v>
      </c>
      <c r="K2227" s="4" t="s">
        <v>251</v>
      </c>
      <c r="L2227" s="4" t="s">
        <v>423</v>
      </c>
      <c r="M2227" s="5" t="s">
        <v>811</v>
      </c>
      <c r="N2227" s="6">
        <f>32</f>
        <v>32</v>
      </c>
      <c r="O2227" s="4" t="s">
        <v>265</v>
      </c>
      <c r="P2227" s="6">
        <f>1</f>
        <v>1</v>
      </c>
      <c r="Q2227" s="6">
        <f>0</f>
        <v>0</v>
      </c>
      <c r="S2227" s="6">
        <f>0</f>
        <v>0</v>
      </c>
      <c r="T2227" s="6">
        <f>1</f>
        <v>1</v>
      </c>
      <c r="U2227" s="5" t="s">
        <v>245</v>
      </c>
      <c r="V2227" s="4" t="s">
        <v>270</v>
      </c>
      <c r="W2227" s="4" t="s">
        <v>271</v>
      </c>
      <c r="X2227" s="4" t="s">
        <v>273</v>
      </c>
      <c r="Y2227" s="4" t="s">
        <v>241</v>
      </c>
      <c r="AB2227" s="4" t="s">
        <v>241</v>
      </c>
      <c r="AD2227" s="5" t="s">
        <v>241</v>
      </c>
      <c r="AG2227" s="5" t="s">
        <v>246</v>
      </c>
      <c r="AH2227" s="4" t="s">
        <v>241</v>
      </c>
      <c r="AI2227" s="4" t="s">
        <v>247</v>
      </c>
      <c r="AJ2227" s="4" t="s">
        <v>248</v>
      </c>
      <c r="AZ2227" s="4" t="s">
        <v>249</v>
      </c>
      <c r="BA2227" s="4" t="s">
        <v>241</v>
      </c>
      <c r="BB2227" s="4" t="s">
        <v>250</v>
      </c>
      <c r="BC2227" s="4" t="s">
        <v>241</v>
      </c>
      <c r="BD2227" s="4" t="s">
        <v>252</v>
      </c>
      <c r="BE2227" s="4" t="s">
        <v>241</v>
      </c>
      <c r="BI2227" s="4" t="s">
        <v>253</v>
      </c>
      <c r="BJ2227" s="5" t="s">
        <v>246</v>
      </c>
      <c r="BK2227" s="4" t="s">
        <v>254</v>
      </c>
      <c r="BL2227" s="4" t="s">
        <v>255</v>
      </c>
      <c r="BM2227" s="4" t="s">
        <v>241</v>
      </c>
      <c r="BN2227" s="6">
        <f>0</f>
        <v>0</v>
      </c>
      <c r="BO2227" s="6">
        <f>0</f>
        <v>0</v>
      </c>
      <c r="BP2227" s="4" t="s">
        <v>256</v>
      </c>
      <c r="BQ2227" s="4" t="s">
        <v>257</v>
      </c>
      <c r="CE2227" s="4" t="s">
        <v>241</v>
      </c>
      <c r="CF2227" s="4" t="s">
        <v>241</v>
      </c>
      <c r="CJ2227" s="4" t="s">
        <v>276</v>
      </c>
      <c r="CK2227" s="4" t="s">
        <v>259</v>
      </c>
      <c r="CL2227" s="4" t="s">
        <v>241</v>
      </c>
      <c r="CO2227" s="5" t="s">
        <v>260</v>
      </c>
      <c r="CP2227" s="4" t="s">
        <v>241</v>
      </c>
      <c r="CQ2227" s="4" t="s">
        <v>261</v>
      </c>
      <c r="CR2227" s="4" t="s">
        <v>241</v>
      </c>
      <c r="CS2227" s="4" t="s">
        <v>241</v>
      </c>
      <c r="CT2227" s="4">
        <v>0</v>
      </c>
      <c r="CU2227" s="4" t="s">
        <v>262</v>
      </c>
      <c r="CV2227" s="4" t="s">
        <v>263</v>
      </c>
      <c r="CW2227" s="4" t="s">
        <v>263</v>
      </c>
      <c r="CX2227" s="4" t="s">
        <v>264</v>
      </c>
      <c r="DA2227" s="6">
        <f>1</f>
        <v>1</v>
      </c>
      <c r="DC2227" s="4" t="s">
        <v>325</v>
      </c>
      <c r="DD2227" s="4" t="s">
        <v>241</v>
      </c>
      <c r="DF2227" s="4" t="s">
        <v>325</v>
      </c>
      <c r="DG2227" s="6">
        <f>32</f>
        <v>32</v>
      </c>
      <c r="DI2227" s="4" t="s">
        <v>241</v>
      </c>
      <c r="DJ2227" s="4" t="s">
        <v>241</v>
      </c>
      <c r="DK2227" s="4" t="s">
        <v>241</v>
      </c>
      <c r="DL2227" s="4" t="s">
        <v>241</v>
      </c>
      <c r="DP2227" s="4" t="s">
        <v>241</v>
      </c>
      <c r="DQ2227" s="4" t="s">
        <v>241</v>
      </c>
      <c r="DR2227" s="4" t="s">
        <v>241</v>
      </c>
      <c r="DS2227" s="4" t="s">
        <v>241</v>
      </c>
      <c r="DV2227" s="4" t="s">
        <v>426</v>
      </c>
      <c r="DW2227" s="4" t="s">
        <v>812</v>
      </c>
      <c r="HO2227" s="4" t="s">
        <v>267</v>
      </c>
    </row>
    <row r="2228" spans="1:223" ht="19.5" customHeight="1" x14ac:dyDescent="0.4">
      <c r="A2228" s="4">
        <v>1</v>
      </c>
      <c r="B2228" s="4" t="s">
        <v>239</v>
      </c>
      <c r="C2228" s="4">
        <v>3931</v>
      </c>
      <c r="D2228" s="4">
        <v>1</v>
      </c>
      <c r="E2228" s="4">
        <v>1</v>
      </c>
      <c r="F2228" s="4" t="s">
        <v>268</v>
      </c>
      <c r="G2228" s="4" t="s">
        <v>241</v>
      </c>
      <c r="H2228" s="4" t="s">
        <v>241</v>
      </c>
      <c r="I2228" s="4" t="s">
        <v>424</v>
      </c>
      <c r="J2228" s="4" t="s">
        <v>274</v>
      </c>
      <c r="K2228" s="4" t="s">
        <v>251</v>
      </c>
      <c r="L2228" s="4" t="s">
        <v>423</v>
      </c>
      <c r="M2228" s="5" t="s">
        <v>682</v>
      </c>
      <c r="N2228" s="6">
        <f>1584</f>
        <v>1584</v>
      </c>
      <c r="O2228" s="4" t="s">
        <v>265</v>
      </c>
      <c r="P2228" s="6">
        <f>1</f>
        <v>1</v>
      </c>
      <c r="Q2228" s="6">
        <f>0</f>
        <v>0</v>
      </c>
      <c r="S2228" s="6">
        <f>0</f>
        <v>0</v>
      </c>
      <c r="T2228" s="6">
        <f>1</f>
        <v>1</v>
      </c>
      <c r="U2228" s="5" t="s">
        <v>245</v>
      </c>
      <c r="V2228" s="4" t="s">
        <v>270</v>
      </c>
      <c r="W2228" s="4" t="s">
        <v>271</v>
      </c>
      <c r="X2228" s="4" t="s">
        <v>273</v>
      </c>
      <c r="Y2228" s="4" t="s">
        <v>241</v>
      </c>
      <c r="AB2228" s="4" t="s">
        <v>241</v>
      </c>
      <c r="AD2228" s="5" t="s">
        <v>241</v>
      </c>
      <c r="AG2228" s="5" t="s">
        <v>246</v>
      </c>
      <c r="AH2228" s="4" t="s">
        <v>241</v>
      </c>
      <c r="AI2228" s="4" t="s">
        <v>247</v>
      </c>
      <c r="AJ2228" s="4" t="s">
        <v>248</v>
      </c>
      <c r="AZ2228" s="4" t="s">
        <v>249</v>
      </c>
      <c r="BA2228" s="4" t="s">
        <v>241</v>
      </c>
      <c r="BB2228" s="4" t="s">
        <v>250</v>
      </c>
      <c r="BC2228" s="4" t="s">
        <v>241</v>
      </c>
      <c r="BD2228" s="4" t="s">
        <v>252</v>
      </c>
      <c r="BE2228" s="4" t="s">
        <v>241</v>
      </c>
      <c r="BI2228" s="4" t="s">
        <v>253</v>
      </c>
      <c r="BJ2228" s="5" t="s">
        <v>246</v>
      </c>
      <c r="BK2228" s="4" t="s">
        <v>254</v>
      </c>
      <c r="BL2228" s="4" t="s">
        <v>255</v>
      </c>
      <c r="BM2228" s="4" t="s">
        <v>241</v>
      </c>
      <c r="BN2228" s="6">
        <f>0</f>
        <v>0</v>
      </c>
      <c r="BO2228" s="6">
        <f>0</f>
        <v>0</v>
      </c>
      <c r="BP2228" s="4" t="s">
        <v>256</v>
      </c>
      <c r="BQ2228" s="4" t="s">
        <v>257</v>
      </c>
      <c r="CE2228" s="4" t="s">
        <v>241</v>
      </c>
      <c r="CF2228" s="4" t="s">
        <v>241</v>
      </c>
      <c r="CJ2228" s="4" t="s">
        <v>276</v>
      </c>
      <c r="CK2228" s="4" t="s">
        <v>259</v>
      </c>
      <c r="CL2228" s="4" t="s">
        <v>241</v>
      </c>
      <c r="CO2228" s="5" t="s">
        <v>260</v>
      </c>
      <c r="CP2228" s="4" t="s">
        <v>241</v>
      </c>
      <c r="CQ2228" s="4" t="s">
        <v>261</v>
      </c>
      <c r="CR2228" s="4" t="s">
        <v>241</v>
      </c>
      <c r="CS2228" s="4" t="s">
        <v>241</v>
      </c>
      <c r="CT2228" s="4">
        <v>0</v>
      </c>
      <c r="CU2228" s="4" t="s">
        <v>262</v>
      </c>
      <c r="CV2228" s="4" t="s">
        <v>263</v>
      </c>
      <c r="CW2228" s="4" t="s">
        <v>263</v>
      </c>
      <c r="CX2228" s="4" t="s">
        <v>264</v>
      </c>
      <c r="DA2228" s="6">
        <f>1</f>
        <v>1</v>
      </c>
      <c r="DC2228" s="4" t="s">
        <v>325</v>
      </c>
      <c r="DD2228" s="4" t="s">
        <v>241</v>
      </c>
      <c r="DF2228" s="4" t="s">
        <v>325</v>
      </c>
      <c r="DG2228" s="6">
        <f>1584</f>
        <v>1584</v>
      </c>
      <c r="DI2228" s="4" t="s">
        <v>241</v>
      </c>
      <c r="DJ2228" s="4" t="s">
        <v>241</v>
      </c>
      <c r="DK2228" s="4" t="s">
        <v>241</v>
      </c>
      <c r="DL2228" s="4" t="s">
        <v>241</v>
      </c>
      <c r="DP2228" s="4" t="s">
        <v>241</v>
      </c>
      <c r="DQ2228" s="4" t="s">
        <v>241</v>
      </c>
      <c r="DR2228" s="4" t="s">
        <v>241</v>
      </c>
      <c r="DS2228" s="4" t="s">
        <v>241</v>
      </c>
      <c r="DV2228" s="4" t="s">
        <v>426</v>
      </c>
      <c r="DW2228" s="4" t="s">
        <v>683</v>
      </c>
      <c r="HO2228" s="4" t="s">
        <v>267</v>
      </c>
    </row>
    <row r="2229" spans="1:223" ht="19.5" customHeight="1" x14ac:dyDescent="0.4">
      <c r="A2229" s="4">
        <v>1</v>
      </c>
      <c r="B2229" s="4" t="s">
        <v>239</v>
      </c>
      <c r="C2229" s="4">
        <v>3932</v>
      </c>
      <c r="D2229" s="4">
        <v>1</v>
      </c>
      <c r="E2229" s="4">
        <v>1</v>
      </c>
      <c r="F2229" s="4" t="s">
        <v>268</v>
      </c>
      <c r="G2229" s="4" t="s">
        <v>241</v>
      </c>
      <c r="H2229" s="4" t="s">
        <v>241</v>
      </c>
      <c r="I2229" s="4" t="s">
        <v>424</v>
      </c>
      <c r="J2229" s="4" t="s">
        <v>274</v>
      </c>
      <c r="K2229" s="4" t="s">
        <v>251</v>
      </c>
      <c r="L2229" s="4" t="s">
        <v>423</v>
      </c>
      <c r="M2229" s="5" t="s">
        <v>684</v>
      </c>
      <c r="N2229" s="6">
        <f>1219</f>
        <v>1219</v>
      </c>
      <c r="O2229" s="4" t="s">
        <v>265</v>
      </c>
      <c r="P2229" s="6">
        <f>1</f>
        <v>1</v>
      </c>
      <c r="Q2229" s="6">
        <f>0</f>
        <v>0</v>
      </c>
      <c r="S2229" s="6">
        <f>0</f>
        <v>0</v>
      </c>
      <c r="T2229" s="6">
        <f>1</f>
        <v>1</v>
      </c>
      <c r="U2229" s="5" t="s">
        <v>245</v>
      </c>
      <c r="V2229" s="4" t="s">
        <v>270</v>
      </c>
      <c r="W2229" s="4" t="s">
        <v>271</v>
      </c>
      <c r="X2229" s="4" t="s">
        <v>273</v>
      </c>
      <c r="Y2229" s="4" t="s">
        <v>241</v>
      </c>
      <c r="AB2229" s="4" t="s">
        <v>241</v>
      </c>
      <c r="AD2229" s="5" t="s">
        <v>241</v>
      </c>
      <c r="AG2229" s="5" t="s">
        <v>246</v>
      </c>
      <c r="AH2229" s="4" t="s">
        <v>241</v>
      </c>
      <c r="AI2229" s="4" t="s">
        <v>247</v>
      </c>
      <c r="AJ2229" s="4" t="s">
        <v>248</v>
      </c>
      <c r="AZ2229" s="4" t="s">
        <v>249</v>
      </c>
      <c r="BA2229" s="4" t="s">
        <v>241</v>
      </c>
      <c r="BB2229" s="4" t="s">
        <v>250</v>
      </c>
      <c r="BC2229" s="4" t="s">
        <v>241</v>
      </c>
      <c r="BD2229" s="4" t="s">
        <v>252</v>
      </c>
      <c r="BE2229" s="4" t="s">
        <v>241</v>
      </c>
      <c r="BI2229" s="4" t="s">
        <v>253</v>
      </c>
      <c r="BJ2229" s="5" t="s">
        <v>246</v>
      </c>
      <c r="BK2229" s="4" t="s">
        <v>254</v>
      </c>
      <c r="BL2229" s="4" t="s">
        <v>255</v>
      </c>
      <c r="BM2229" s="4" t="s">
        <v>241</v>
      </c>
      <c r="BN2229" s="6">
        <f>0</f>
        <v>0</v>
      </c>
      <c r="BO2229" s="6">
        <f>0</f>
        <v>0</v>
      </c>
      <c r="BP2229" s="4" t="s">
        <v>256</v>
      </c>
      <c r="BQ2229" s="4" t="s">
        <v>257</v>
      </c>
      <c r="CE2229" s="4" t="s">
        <v>241</v>
      </c>
      <c r="CF2229" s="4" t="s">
        <v>241</v>
      </c>
      <c r="CJ2229" s="4" t="s">
        <v>276</v>
      </c>
      <c r="CK2229" s="4" t="s">
        <v>259</v>
      </c>
      <c r="CL2229" s="4" t="s">
        <v>241</v>
      </c>
      <c r="CO2229" s="5" t="s">
        <v>260</v>
      </c>
      <c r="CP2229" s="4" t="s">
        <v>241</v>
      </c>
      <c r="CQ2229" s="4" t="s">
        <v>261</v>
      </c>
      <c r="CR2229" s="4" t="s">
        <v>241</v>
      </c>
      <c r="CS2229" s="4" t="s">
        <v>241</v>
      </c>
      <c r="CT2229" s="4">
        <v>0</v>
      </c>
      <c r="CU2229" s="4" t="s">
        <v>262</v>
      </c>
      <c r="CV2229" s="4" t="s">
        <v>263</v>
      </c>
      <c r="CW2229" s="4" t="s">
        <v>263</v>
      </c>
      <c r="CX2229" s="4" t="s">
        <v>264</v>
      </c>
      <c r="DA2229" s="6">
        <f>1</f>
        <v>1</v>
      </c>
      <c r="DC2229" s="4" t="s">
        <v>325</v>
      </c>
      <c r="DD2229" s="4" t="s">
        <v>241</v>
      </c>
      <c r="DF2229" s="4" t="s">
        <v>325</v>
      </c>
      <c r="DG2229" s="6">
        <f>1219</f>
        <v>1219</v>
      </c>
      <c r="DI2229" s="4" t="s">
        <v>241</v>
      </c>
      <c r="DJ2229" s="4" t="s">
        <v>241</v>
      </c>
      <c r="DK2229" s="4" t="s">
        <v>241</v>
      </c>
      <c r="DL2229" s="4" t="s">
        <v>241</v>
      </c>
      <c r="DP2229" s="4" t="s">
        <v>241</v>
      </c>
      <c r="DQ2229" s="4" t="s">
        <v>241</v>
      </c>
      <c r="DR2229" s="4" t="s">
        <v>241</v>
      </c>
      <c r="DS2229" s="4" t="s">
        <v>241</v>
      </c>
      <c r="DV2229" s="4" t="s">
        <v>426</v>
      </c>
      <c r="DW2229" s="4" t="s">
        <v>685</v>
      </c>
      <c r="HO2229" s="4" t="s">
        <v>267</v>
      </c>
    </row>
    <row r="2230" spans="1:223" ht="19.5" customHeight="1" x14ac:dyDescent="0.4">
      <c r="A2230" s="4">
        <v>1</v>
      </c>
      <c r="B2230" s="4" t="s">
        <v>239</v>
      </c>
      <c r="C2230" s="4">
        <v>3933</v>
      </c>
      <c r="D2230" s="4">
        <v>1</v>
      </c>
      <c r="E2230" s="4">
        <v>1</v>
      </c>
      <c r="F2230" s="4" t="s">
        <v>268</v>
      </c>
      <c r="G2230" s="4" t="s">
        <v>241</v>
      </c>
      <c r="H2230" s="4" t="s">
        <v>241</v>
      </c>
      <c r="I2230" s="4" t="s">
        <v>424</v>
      </c>
      <c r="J2230" s="4" t="s">
        <v>274</v>
      </c>
      <c r="K2230" s="4" t="s">
        <v>251</v>
      </c>
      <c r="L2230" s="4" t="s">
        <v>423</v>
      </c>
      <c r="M2230" s="5" t="s">
        <v>697</v>
      </c>
      <c r="N2230" s="6">
        <f>1481</f>
        <v>1481</v>
      </c>
      <c r="O2230" s="4" t="s">
        <v>265</v>
      </c>
      <c r="P2230" s="6">
        <f>1</f>
        <v>1</v>
      </c>
      <c r="Q2230" s="6">
        <f>0</f>
        <v>0</v>
      </c>
      <c r="S2230" s="6">
        <f>0</f>
        <v>0</v>
      </c>
      <c r="T2230" s="6">
        <f>1</f>
        <v>1</v>
      </c>
      <c r="U2230" s="5" t="s">
        <v>245</v>
      </c>
      <c r="V2230" s="4" t="s">
        <v>270</v>
      </c>
      <c r="W2230" s="4" t="s">
        <v>271</v>
      </c>
      <c r="X2230" s="4" t="s">
        <v>273</v>
      </c>
      <c r="Y2230" s="4" t="s">
        <v>241</v>
      </c>
      <c r="AB2230" s="4" t="s">
        <v>241</v>
      </c>
      <c r="AD2230" s="5" t="s">
        <v>241</v>
      </c>
      <c r="AG2230" s="5" t="s">
        <v>246</v>
      </c>
      <c r="AH2230" s="4" t="s">
        <v>241</v>
      </c>
      <c r="AI2230" s="4" t="s">
        <v>247</v>
      </c>
      <c r="AJ2230" s="4" t="s">
        <v>248</v>
      </c>
      <c r="AZ2230" s="4" t="s">
        <v>249</v>
      </c>
      <c r="BA2230" s="4" t="s">
        <v>241</v>
      </c>
      <c r="BB2230" s="4" t="s">
        <v>250</v>
      </c>
      <c r="BC2230" s="4" t="s">
        <v>241</v>
      </c>
      <c r="BD2230" s="4" t="s">
        <v>252</v>
      </c>
      <c r="BE2230" s="4" t="s">
        <v>241</v>
      </c>
      <c r="BI2230" s="4" t="s">
        <v>253</v>
      </c>
      <c r="BJ2230" s="5" t="s">
        <v>246</v>
      </c>
      <c r="BK2230" s="4" t="s">
        <v>254</v>
      </c>
      <c r="BL2230" s="4" t="s">
        <v>255</v>
      </c>
      <c r="BM2230" s="4" t="s">
        <v>241</v>
      </c>
      <c r="BN2230" s="6">
        <f>0</f>
        <v>0</v>
      </c>
      <c r="BO2230" s="6">
        <f>0</f>
        <v>0</v>
      </c>
      <c r="BP2230" s="4" t="s">
        <v>256</v>
      </c>
      <c r="BQ2230" s="4" t="s">
        <v>257</v>
      </c>
      <c r="CE2230" s="4" t="s">
        <v>241</v>
      </c>
      <c r="CF2230" s="4" t="s">
        <v>241</v>
      </c>
      <c r="CJ2230" s="4" t="s">
        <v>276</v>
      </c>
      <c r="CK2230" s="4" t="s">
        <v>259</v>
      </c>
      <c r="CL2230" s="4" t="s">
        <v>241</v>
      </c>
      <c r="CO2230" s="5" t="s">
        <v>260</v>
      </c>
      <c r="CP2230" s="4" t="s">
        <v>241</v>
      </c>
      <c r="CQ2230" s="4" t="s">
        <v>261</v>
      </c>
      <c r="CR2230" s="4" t="s">
        <v>241</v>
      </c>
      <c r="CS2230" s="4" t="s">
        <v>241</v>
      </c>
      <c r="CT2230" s="4">
        <v>0</v>
      </c>
      <c r="CU2230" s="4" t="s">
        <v>262</v>
      </c>
      <c r="CV2230" s="4" t="s">
        <v>263</v>
      </c>
      <c r="CW2230" s="4" t="s">
        <v>263</v>
      </c>
      <c r="CX2230" s="4" t="s">
        <v>264</v>
      </c>
      <c r="DA2230" s="6">
        <f>1</f>
        <v>1</v>
      </c>
      <c r="DC2230" s="4" t="s">
        <v>325</v>
      </c>
      <c r="DD2230" s="4" t="s">
        <v>241</v>
      </c>
      <c r="DF2230" s="4" t="s">
        <v>325</v>
      </c>
      <c r="DG2230" s="6">
        <f>1481</f>
        <v>1481</v>
      </c>
      <c r="DI2230" s="4" t="s">
        <v>241</v>
      </c>
      <c r="DJ2230" s="4" t="s">
        <v>241</v>
      </c>
      <c r="DK2230" s="4" t="s">
        <v>241</v>
      </c>
      <c r="DL2230" s="4" t="s">
        <v>241</v>
      </c>
      <c r="DP2230" s="4" t="s">
        <v>241</v>
      </c>
      <c r="DQ2230" s="4" t="s">
        <v>241</v>
      </c>
      <c r="DR2230" s="4" t="s">
        <v>241</v>
      </c>
      <c r="DS2230" s="4" t="s">
        <v>241</v>
      </c>
      <c r="DV2230" s="4" t="s">
        <v>426</v>
      </c>
      <c r="DW2230" s="4" t="s">
        <v>698</v>
      </c>
      <c r="HO2230" s="4" t="s">
        <v>267</v>
      </c>
    </row>
    <row r="2231" spans="1:223" ht="19.5" customHeight="1" x14ac:dyDescent="0.4">
      <c r="A2231" s="4">
        <v>1</v>
      </c>
      <c r="B2231" s="4" t="s">
        <v>239</v>
      </c>
      <c r="C2231" s="4">
        <v>3934</v>
      </c>
      <c r="D2231" s="4">
        <v>1</v>
      </c>
      <c r="E2231" s="4">
        <v>1</v>
      </c>
      <c r="F2231" s="4" t="s">
        <v>268</v>
      </c>
      <c r="G2231" s="4" t="s">
        <v>241</v>
      </c>
      <c r="H2231" s="4" t="s">
        <v>241</v>
      </c>
      <c r="I2231" s="4" t="s">
        <v>424</v>
      </c>
      <c r="J2231" s="4" t="s">
        <v>274</v>
      </c>
      <c r="K2231" s="4" t="s">
        <v>251</v>
      </c>
      <c r="L2231" s="4" t="s">
        <v>423</v>
      </c>
      <c r="M2231" s="5" t="s">
        <v>3688</v>
      </c>
      <c r="N2231" s="6">
        <f>1628</f>
        <v>1628</v>
      </c>
      <c r="O2231" s="4" t="s">
        <v>265</v>
      </c>
      <c r="P2231" s="6">
        <f>1</f>
        <v>1</v>
      </c>
      <c r="Q2231" s="6">
        <f>0</f>
        <v>0</v>
      </c>
      <c r="S2231" s="6">
        <f>0</f>
        <v>0</v>
      </c>
      <c r="T2231" s="6">
        <f>1</f>
        <v>1</v>
      </c>
      <c r="U2231" s="5" t="s">
        <v>245</v>
      </c>
      <c r="V2231" s="4" t="s">
        <v>270</v>
      </c>
      <c r="W2231" s="4" t="s">
        <v>271</v>
      </c>
      <c r="X2231" s="4" t="s">
        <v>273</v>
      </c>
      <c r="Y2231" s="4" t="s">
        <v>241</v>
      </c>
      <c r="AB2231" s="4" t="s">
        <v>241</v>
      </c>
      <c r="AD2231" s="5" t="s">
        <v>241</v>
      </c>
      <c r="AG2231" s="5" t="s">
        <v>246</v>
      </c>
      <c r="AH2231" s="4" t="s">
        <v>241</v>
      </c>
      <c r="AI2231" s="4" t="s">
        <v>247</v>
      </c>
      <c r="AJ2231" s="4" t="s">
        <v>248</v>
      </c>
      <c r="AZ2231" s="4" t="s">
        <v>249</v>
      </c>
      <c r="BA2231" s="4" t="s">
        <v>241</v>
      </c>
      <c r="BB2231" s="4" t="s">
        <v>250</v>
      </c>
      <c r="BC2231" s="4" t="s">
        <v>241</v>
      </c>
      <c r="BD2231" s="4" t="s">
        <v>252</v>
      </c>
      <c r="BE2231" s="4" t="s">
        <v>241</v>
      </c>
      <c r="BI2231" s="4" t="s">
        <v>253</v>
      </c>
      <c r="BJ2231" s="5" t="s">
        <v>246</v>
      </c>
      <c r="BK2231" s="4" t="s">
        <v>254</v>
      </c>
      <c r="BL2231" s="4" t="s">
        <v>255</v>
      </c>
      <c r="BM2231" s="4" t="s">
        <v>241</v>
      </c>
      <c r="BN2231" s="6">
        <f>0</f>
        <v>0</v>
      </c>
      <c r="BO2231" s="6">
        <f>0</f>
        <v>0</v>
      </c>
      <c r="BP2231" s="4" t="s">
        <v>256</v>
      </c>
      <c r="BQ2231" s="4" t="s">
        <v>257</v>
      </c>
      <c r="CE2231" s="4" t="s">
        <v>241</v>
      </c>
      <c r="CF2231" s="4" t="s">
        <v>241</v>
      </c>
      <c r="CJ2231" s="4" t="s">
        <v>276</v>
      </c>
      <c r="CK2231" s="4" t="s">
        <v>259</v>
      </c>
      <c r="CL2231" s="4" t="s">
        <v>241</v>
      </c>
      <c r="CO2231" s="5" t="s">
        <v>260</v>
      </c>
      <c r="CP2231" s="4" t="s">
        <v>241</v>
      </c>
      <c r="CQ2231" s="4" t="s">
        <v>261</v>
      </c>
      <c r="CR2231" s="4" t="s">
        <v>241</v>
      </c>
      <c r="CS2231" s="4" t="s">
        <v>241</v>
      </c>
      <c r="CT2231" s="4">
        <v>0</v>
      </c>
      <c r="CU2231" s="4" t="s">
        <v>262</v>
      </c>
      <c r="CV2231" s="4" t="s">
        <v>263</v>
      </c>
      <c r="CW2231" s="4" t="s">
        <v>263</v>
      </c>
      <c r="CX2231" s="4" t="s">
        <v>264</v>
      </c>
      <c r="DA2231" s="6">
        <f>1</f>
        <v>1</v>
      </c>
      <c r="DC2231" s="4" t="s">
        <v>325</v>
      </c>
      <c r="DD2231" s="4" t="s">
        <v>241</v>
      </c>
      <c r="DF2231" s="4" t="s">
        <v>325</v>
      </c>
      <c r="DG2231" s="6">
        <f>1628</f>
        <v>1628</v>
      </c>
      <c r="DI2231" s="4" t="s">
        <v>241</v>
      </c>
      <c r="DJ2231" s="4" t="s">
        <v>241</v>
      </c>
      <c r="DK2231" s="4" t="s">
        <v>241</v>
      </c>
      <c r="DL2231" s="4" t="s">
        <v>241</v>
      </c>
      <c r="DP2231" s="4" t="s">
        <v>241</v>
      </c>
      <c r="DQ2231" s="4" t="s">
        <v>241</v>
      </c>
      <c r="DR2231" s="4" t="s">
        <v>241</v>
      </c>
      <c r="DS2231" s="4" t="s">
        <v>241</v>
      </c>
      <c r="DV2231" s="4" t="s">
        <v>426</v>
      </c>
      <c r="DW2231" s="4" t="s">
        <v>1059</v>
      </c>
      <c r="HO2231" s="4" t="s">
        <v>267</v>
      </c>
    </row>
    <row r="2232" spans="1:223" ht="19.5" customHeight="1" x14ac:dyDescent="0.4">
      <c r="A2232" s="4">
        <v>1</v>
      </c>
      <c r="B2232" s="4" t="s">
        <v>239</v>
      </c>
      <c r="C2232" s="4">
        <v>3935</v>
      </c>
      <c r="D2232" s="4">
        <v>1</v>
      </c>
      <c r="E2232" s="4">
        <v>1</v>
      </c>
      <c r="F2232" s="4" t="s">
        <v>268</v>
      </c>
      <c r="G2232" s="4" t="s">
        <v>241</v>
      </c>
      <c r="H2232" s="4" t="s">
        <v>241</v>
      </c>
      <c r="I2232" s="4" t="s">
        <v>424</v>
      </c>
      <c r="J2232" s="4" t="s">
        <v>274</v>
      </c>
      <c r="K2232" s="4" t="s">
        <v>251</v>
      </c>
      <c r="L2232" s="4" t="s">
        <v>423</v>
      </c>
      <c r="M2232" s="5" t="s">
        <v>3689</v>
      </c>
      <c r="N2232" s="6">
        <f>408</f>
        <v>408</v>
      </c>
      <c r="O2232" s="4" t="s">
        <v>265</v>
      </c>
      <c r="P2232" s="6">
        <f>1</f>
        <v>1</v>
      </c>
      <c r="Q2232" s="6">
        <f>0</f>
        <v>0</v>
      </c>
      <c r="S2232" s="6">
        <f>0</f>
        <v>0</v>
      </c>
      <c r="T2232" s="6">
        <f>1</f>
        <v>1</v>
      </c>
      <c r="U2232" s="5" t="s">
        <v>245</v>
      </c>
      <c r="V2232" s="4" t="s">
        <v>270</v>
      </c>
      <c r="W2232" s="4" t="s">
        <v>271</v>
      </c>
      <c r="X2232" s="4" t="s">
        <v>273</v>
      </c>
      <c r="Y2232" s="4" t="s">
        <v>241</v>
      </c>
      <c r="AB2232" s="4" t="s">
        <v>241</v>
      </c>
      <c r="AD2232" s="5" t="s">
        <v>241</v>
      </c>
      <c r="AG2232" s="5" t="s">
        <v>246</v>
      </c>
      <c r="AH2232" s="4" t="s">
        <v>241</v>
      </c>
      <c r="AI2232" s="4" t="s">
        <v>247</v>
      </c>
      <c r="AJ2232" s="4" t="s">
        <v>248</v>
      </c>
      <c r="AZ2232" s="4" t="s">
        <v>249</v>
      </c>
      <c r="BA2232" s="4" t="s">
        <v>241</v>
      </c>
      <c r="BB2232" s="4" t="s">
        <v>250</v>
      </c>
      <c r="BC2232" s="4" t="s">
        <v>241</v>
      </c>
      <c r="BD2232" s="4" t="s">
        <v>252</v>
      </c>
      <c r="BE2232" s="4" t="s">
        <v>241</v>
      </c>
      <c r="BI2232" s="4" t="s">
        <v>253</v>
      </c>
      <c r="BJ2232" s="5" t="s">
        <v>246</v>
      </c>
      <c r="BK2232" s="4" t="s">
        <v>254</v>
      </c>
      <c r="BL2232" s="4" t="s">
        <v>255</v>
      </c>
      <c r="BM2232" s="4" t="s">
        <v>241</v>
      </c>
      <c r="BN2232" s="6">
        <f>0</f>
        <v>0</v>
      </c>
      <c r="BO2232" s="6">
        <f>0</f>
        <v>0</v>
      </c>
      <c r="BP2232" s="4" t="s">
        <v>256</v>
      </c>
      <c r="BQ2232" s="4" t="s">
        <v>257</v>
      </c>
      <c r="CE2232" s="4" t="s">
        <v>241</v>
      </c>
      <c r="CF2232" s="4" t="s">
        <v>241</v>
      </c>
      <c r="CJ2232" s="4" t="s">
        <v>276</v>
      </c>
      <c r="CK2232" s="4" t="s">
        <v>259</v>
      </c>
      <c r="CL2232" s="4" t="s">
        <v>241</v>
      </c>
      <c r="CO2232" s="5" t="s">
        <v>260</v>
      </c>
      <c r="CP2232" s="4" t="s">
        <v>241</v>
      </c>
      <c r="CQ2232" s="4" t="s">
        <v>261</v>
      </c>
      <c r="CR2232" s="4" t="s">
        <v>241</v>
      </c>
      <c r="CS2232" s="4" t="s">
        <v>241</v>
      </c>
      <c r="CT2232" s="4">
        <v>0</v>
      </c>
      <c r="CU2232" s="4" t="s">
        <v>262</v>
      </c>
      <c r="CV2232" s="4" t="s">
        <v>263</v>
      </c>
      <c r="CW2232" s="4" t="s">
        <v>263</v>
      </c>
      <c r="CX2232" s="4" t="s">
        <v>264</v>
      </c>
      <c r="DA2232" s="6">
        <f>1</f>
        <v>1</v>
      </c>
      <c r="DC2232" s="4" t="s">
        <v>325</v>
      </c>
      <c r="DD2232" s="4" t="s">
        <v>241</v>
      </c>
      <c r="DF2232" s="4" t="s">
        <v>325</v>
      </c>
      <c r="DG2232" s="6">
        <f>408</f>
        <v>408</v>
      </c>
      <c r="DI2232" s="4" t="s">
        <v>241</v>
      </c>
      <c r="DJ2232" s="4" t="s">
        <v>241</v>
      </c>
      <c r="DK2232" s="4" t="s">
        <v>241</v>
      </c>
      <c r="DL2232" s="4" t="s">
        <v>241</v>
      </c>
      <c r="DP2232" s="4" t="s">
        <v>241</v>
      </c>
      <c r="DQ2232" s="4" t="s">
        <v>241</v>
      </c>
      <c r="DR2232" s="4" t="s">
        <v>241</v>
      </c>
      <c r="DS2232" s="4" t="s">
        <v>241</v>
      </c>
      <c r="DV2232" s="4" t="s">
        <v>426</v>
      </c>
      <c r="DW2232" s="4" t="s">
        <v>1056</v>
      </c>
      <c r="HO2232" s="4" t="s">
        <v>267</v>
      </c>
    </row>
    <row r="2233" spans="1:223" ht="19.5" customHeight="1" x14ac:dyDescent="0.4">
      <c r="A2233" s="4">
        <v>1</v>
      </c>
      <c r="B2233" s="4" t="s">
        <v>239</v>
      </c>
      <c r="C2233" s="4">
        <v>3936</v>
      </c>
      <c r="D2233" s="4">
        <v>1</v>
      </c>
      <c r="E2233" s="4">
        <v>1</v>
      </c>
      <c r="F2233" s="4" t="s">
        <v>268</v>
      </c>
      <c r="G2233" s="4" t="s">
        <v>241</v>
      </c>
      <c r="H2233" s="4" t="s">
        <v>241</v>
      </c>
      <c r="I2233" s="4" t="s">
        <v>424</v>
      </c>
      <c r="J2233" s="4" t="s">
        <v>274</v>
      </c>
      <c r="K2233" s="4" t="s">
        <v>251</v>
      </c>
      <c r="L2233" s="4" t="s">
        <v>423</v>
      </c>
      <c r="M2233" s="5" t="s">
        <v>3676</v>
      </c>
      <c r="N2233" s="6">
        <f>1040</f>
        <v>1040</v>
      </c>
      <c r="O2233" s="4" t="s">
        <v>265</v>
      </c>
      <c r="P2233" s="6">
        <f>1</f>
        <v>1</v>
      </c>
      <c r="Q2233" s="6">
        <f>0</f>
        <v>0</v>
      </c>
      <c r="S2233" s="6">
        <f>0</f>
        <v>0</v>
      </c>
      <c r="T2233" s="6">
        <f>1</f>
        <v>1</v>
      </c>
      <c r="U2233" s="5" t="s">
        <v>245</v>
      </c>
      <c r="V2233" s="4" t="s">
        <v>270</v>
      </c>
      <c r="W2233" s="4" t="s">
        <v>271</v>
      </c>
      <c r="X2233" s="4" t="s">
        <v>273</v>
      </c>
      <c r="Y2233" s="4" t="s">
        <v>241</v>
      </c>
      <c r="AB2233" s="4" t="s">
        <v>241</v>
      </c>
      <c r="AD2233" s="5" t="s">
        <v>241</v>
      </c>
      <c r="AG2233" s="5" t="s">
        <v>246</v>
      </c>
      <c r="AH2233" s="4" t="s">
        <v>241</v>
      </c>
      <c r="AI2233" s="4" t="s">
        <v>247</v>
      </c>
      <c r="AJ2233" s="4" t="s">
        <v>248</v>
      </c>
      <c r="AZ2233" s="4" t="s">
        <v>249</v>
      </c>
      <c r="BA2233" s="4" t="s">
        <v>241</v>
      </c>
      <c r="BB2233" s="4" t="s">
        <v>250</v>
      </c>
      <c r="BC2233" s="4" t="s">
        <v>241</v>
      </c>
      <c r="BD2233" s="4" t="s">
        <v>252</v>
      </c>
      <c r="BE2233" s="4" t="s">
        <v>241</v>
      </c>
      <c r="BI2233" s="4" t="s">
        <v>253</v>
      </c>
      <c r="BJ2233" s="5" t="s">
        <v>246</v>
      </c>
      <c r="BK2233" s="4" t="s">
        <v>254</v>
      </c>
      <c r="BL2233" s="4" t="s">
        <v>255</v>
      </c>
      <c r="BM2233" s="4" t="s">
        <v>241</v>
      </c>
      <c r="BN2233" s="6">
        <f>0</f>
        <v>0</v>
      </c>
      <c r="BO2233" s="6">
        <f>0</f>
        <v>0</v>
      </c>
      <c r="BP2233" s="4" t="s">
        <v>256</v>
      </c>
      <c r="BQ2233" s="4" t="s">
        <v>257</v>
      </c>
      <c r="CE2233" s="4" t="s">
        <v>241</v>
      </c>
      <c r="CF2233" s="4" t="s">
        <v>241</v>
      </c>
      <c r="CJ2233" s="4" t="s">
        <v>276</v>
      </c>
      <c r="CK2233" s="4" t="s">
        <v>259</v>
      </c>
      <c r="CL2233" s="4" t="s">
        <v>241</v>
      </c>
      <c r="CO2233" s="5" t="s">
        <v>260</v>
      </c>
      <c r="CP2233" s="4" t="s">
        <v>241</v>
      </c>
      <c r="CQ2233" s="4" t="s">
        <v>261</v>
      </c>
      <c r="CR2233" s="4" t="s">
        <v>241</v>
      </c>
      <c r="CS2233" s="4" t="s">
        <v>241</v>
      </c>
      <c r="CT2233" s="4">
        <v>0</v>
      </c>
      <c r="CU2233" s="4" t="s">
        <v>262</v>
      </c>
      <c r="CV2233" s="4" t="s">
        <v>263</v>
      </c>
      <c r="CW2233" s="4" t="s">
        <v>263</v>
      </c>
      <c r="CX2233" s="4" t="s">
        <v>264</v>
      </c>
      <c r="DA2233" s="6">
        <f>1</f>
        <v>1</v>
      </c>
      <c r="DC2233" s="4" t="s">
        <v>325</v>
      </c>
      <c r="DD2233" s="4" t="s">
        <v>241</v>
      </c>
      <c r="DF2233" s="4" t="s">
        <v>325</v>
      </c>
      <c r="DG2233" s="6">
        <f>1040</f>
        <v>1040</v>
      </c>
      <c r="DI2233" s="4" t="s">
        <v>241</v>
      </c>
      <c r="DJ2233" s="4" t="s">
        <v>241</v>
      </c>
      <c r="DK2233" s="4" t="s">
        <v>241</v>
      </c>
      <c r="DL2233" s="4" t="s">
        <v>241</v>
      </c>
      <c r="DP2233" s="4" t="s">
        <v>241</v>
      </c>
      <c r="DQ2233" s="4" t="s">
        <v>241</v>
      </c>
      <c r="DR2233" s="4" t="s">
        <v>241</v>
      </c>
      <c r="DS2233" s="4" t="s">
        <v>241</v>
      </c>
      <c r="DV2233" s="4" t="s">
        <v>426</v>
      </c>
      <c r="DW2233" s="4" t="s">
        <v>1050</v>
      </c>
      <c r="HO2233" s="4" t="s">
        <v>267</v>
      </c>
    </row>
    <row r="2234" spans="1:223" ht="19.5" customHeight="1" x14ac:dyDescent="0.4">
      <c r="A2234" s="4">
        <v>1</v>
      </c>
      <c r="B2234" s="4" t="s">
        <v>239</v>
      </c>
      <c r="C2234" s="4">
        <v>3937</v>
      </c>
      <c r="D2234" s="4">
        <v>1</v>
      </c>
      <c r="E2234" s="4">
        <v>1</v>
      </c>
      <c r="F2234" s="4" t="s">
        <v>268</v>
      </c>
      <c r="G2234" s="4" t="s">
        <v>241</v>
      </c>
      <c r="H2234" s="4" t="s">
        <v>241</v>
      </c>
      <c r="I2234" s="4" t="s">
        <v>424</v>
      </c>
      <c r="J2234" s="4" t="s">
        <v>274</v>
      </c>
      <c r="K2234" s="4" t="s">
        <v>251</v>
      </c>
      <c r="L2234" s="4" t="s">
        <v>423</v>
      </c>
      <c r="M2234" s="5" t="s">
        <v>3947</v>
      </c>
      <c r="N2234" s="6">
        <f>961</f>
        <v>961</v>
      </c>
      <c r="O2234" s="4" t="s">
        <v>265</v>
      </c>
      <c r="P2234" s="6">
        <f>1</f>
        <v>1</v>
      </c>
      <c r="Q2234" s="6">
        <f>0</f>
        <v>0</v>
      </c>
      <c r="S2234" s="6">
        <f>0</f>
        <v>0</v>
      </c>
      <c r="T2234" s="6">
        <f>1</f>
        <v>1</v>
      </c>
      <c r="U2234" s="5" t="s">
        <v>245</v>
      </c>
      <c r="V2234" s="4" t="s">
        <v>270</v>
      </c>
      <c r="W2234" s="4" t="s">
        <v>271</v>
      </c>
      <c r="X2234" s="4" t="s">
        <v>273</v>
      </c>
      <c r="Y2234" s="4" t="s">
        <v>241</v>
      </c>
      <c r="AB2234" s="4" t="s">
        <v>241</v>
      </c>
      <c r="AD2234" s="5" t="s">
        <v>241</v>
      </c>
      <c r="AG2234" s="5" t="s">
        <v>246</v>
      </c>
      <c r="AH2234" s="4" t="s">
        <v>241</v>
      </c>
      <c r="AI2234" s="4" t="s">
        <v>247</v>
      </c>
      <c r="AJ2234" s="4" t="s">
        <v>248</v>
      </c>
      <c r="AZ2234" s="4" t="s">
        <v>249</v>
      </c>
      <c r="BA2234" s="4" t="s">
        <v>241</v>
      </c>
      <c r="BB2234" s="4" t="s">
        <v>250</v>
      </c>
      <c r="BC2234" s="4" t="s">
        <v>241</v>
      </c>
      <c r="BD2234" s="4" t="s">
        <v>252</v>
      </c>
      <c r="BE2234" s="4" t="s">
        <v>241</v>
      </c>
      <c r="BI2234" s="4" t="s">
        <v>253</v>
      </c>
      <c r="BJ2234" s="5" t="s">
        <v>246</v>
      </c>
      <c r="BK2234" s="4" t="s">
        <v>254</v>
      </c>
      <c r="BL2234" s="4" t="s">
        <v>255</v>
      </c>
      <c r="BM2234" s="4" t="s">
        <v>241</v>
      </c>
      <c r="BN2234" s="6">
        <f>0</f>
        <v>0</v>
      </c>
      <c r="BO2234" s="6">
        <f>0</f>
        <v>0</v>
      </c>
      <c r="BP2234" s="4" t="s">
        <v>256</v>
      </c>
      <c r="BQ2234" s="4" t="s">
        <v>257</v>
      </c>
      <c r="CE2234" s="4" t="s">
        <v>241</v>
      </c>
      <c r="CF2234" s="4" t="s">
        <v>241</v>
      </c>
      <c r="CJ2234" s="4" t="s">
        <v>276</v>
      </c>
      <c r="CK2234" s="4" t="s">
        <v>259</v>
      </c>
      <c r="CL2234" s="4" t="s">
        <v>241</v>
      </c>
      <c r="CO2234" s="5" t="s">
        <v>260</v>
      </c>
      <c r="CP2234" s="4" t="s">
        <v>241</v>
      </c>
      <c r="CQ2234" s="4" t="s">
        <v>261</v>
      </c>
      <c r="CR2234" s="4" t="s">
        <v>241</v>
      </c>
      <c r="CS2234" s="4" t="s">
        <v>241</v>
      </c>
      <c r="CT2234" s="4">
        <v>0</v>
      </c>
      <c r="CU2234" s="4" t="s">
        <v>262</v>
      </c>
      <c r="CV2234" s="4" t="s">
        <v>263</v>
      </c>
      <c r="CW2234" s="4" t="s">
        <v>263</v>
      </c>
      <c r="CX2234" s="4" t="s">
        <v>264</v>
      </c>
      <c r="DA2234" s="6">
        <f>1</f>
        <v>1</v>
      </c>
      <c r="DC2234" s="4" t="s">
        <v>325</v>
      </c>
      <c r="DD2234" s="4" t="s">
        <v>241</v>
      </c>
      <c r="DF2234" s="4" t="s">
        <v>325</v>
      </c>
      <c r="DG2234" s="6">
        <f>961</f>
        <v>961</v>
      </c>
      <c r="DI2234" s="4" t="s">
        <v>241</v>
      </c>
      <c r="DJ2234" s="4" t="s">
        <v>241</v>
      </c>
      <c r="DK2234" s="4" t="s">
        <v>241</v>
      </c>
      <c r="DL2234" s="4" t="s">
        <v>241</v>
      </c>
      <c r="DP2234" s="4" t="s">
        <v>241</v>
      </c>
      <c r="DQ2234" s="4" t="s">
        <v>241</v>
      </c>
      <c r="DR2234" s="4" t="s">
        <v>241</v>
      </c>
      <c r="DS2234" s="4" t="s">
        <v>241</v>
      </c>
      <c r="DV2234" s="4" t="s">
        <v>426</v>
      </c>
      <c r="DW2234" s="4" t="s">
        <v>1043</v>
      </c>
      <c r="HO2234" s="4" t="s">
        <v>267</v>
      </c>
    </row>
    <row r="2235" spans="1:223" ht="19.5" customHeight="1" x14ac:dyDescent="0.4">
      <c r="A2235" s="4">
        <v>1</v>
      </c>
      <c r="B2235" s="4" t="s">
        <v>239</v>
      </c>
      <c r="C2235" s="4">
        <v>3938</v>
      </c>
      <c r="D2235" s="4">
        <v>1</v>
      </c>
      <c r="E2235" s="4">
        <v>1</v>
      </c>
      <c r="F2235" s="4" t="s">
        <v>268</v>
      </c>
      <c r="G2235" s="4" t="s">
        <v>241</v>
      </c>
      <c r="H2235" s="4" t="s">
        <v>241</v>
      </c>
      <c r="I2235" s="4" t="s">
        <v>424</v>
      </c>
      <c r="J2235" s="4" t="s">
        <v>274</v>
      </c>
      <c r="K2235" s="4" t="s">
        <v>251</v>
      </c>
      <c r="L2235" s="4" t="s">
        <v>423</v>
      </c>
      <c r="M2235" s="5" t="s">
        <v>3418</v>
      </c>
      <c r="N2235" s="6">
        <f>1162</f>
        <v>1162</v>
      </c>
      <c r="O2235" s="4" t="s">
        <v>265</v>
      </c>
      <c r="P2235" s="6">
        <f>1</f>
        <v>1</v>
      </c>
      <c r="Q2235" s="6">
        <f>0</f>
        <v>0</v>
      </c>
      <c r="S2235" s="6">
        <f>0</f>
        <v>0</v>
      </c>
      <c r="T2235" s="6">
        <f>1</f>
        <v>1</v>
      </c>
      <c r="U2235" s="5" t="s">
        <v>245</v>
      </c>
      <c r="V2235" s="4" t="s">
        <v>270</v>
      </c>
      <c r="W2235" s="4" t="s">
        <v>271</v>
      </c>
      <c r="X2235" s="4" t="s">
        <v>273</v>
      </c>
      <c r="Y2235" s="4" t="s">
        <v>241</v>
      </c>
      <c r="AB2235" s="4" t="s">
        <v>241</v>
      </c>
      <c r="AD2235" s="5" t="s">
        <v>241</v>
      </c>
      <c r="AG2235" s="5" t="s">
        <v>246</v>
      </c>
      <c r="AH2235" s="4" t="s">
        <v>241</v>
      </c>
      <c r="AI2235" s="4" t="s">
        <v>247</v>
      </c>
      <c r="AJ2235" s="4" t="s">
        <v>248</v>
      </c>
      <c r="AZ2235" s="4" t="s">
        <v>249</v>
      </c>
      <c r="BA2235" s="4" t="s">
        <v>241</v>
      </c>
      <c r="BB2235" s="4" t="s">
        <v>250</v>
      </c>
      <c r="BC2235" s="4" t="s">
        <v>241</v>
      </c>
      <c r="BD2235" s="4" t="s">
        <v>252</v>
      </c>
      <c r="BE2235" s="4" t="s">
        <v>241</v>
      </c>
      <c r="BI2235" s="4" t="s">
        <v>253</v>
      </c>
      <c r="BJ2235" s="5" t="s">
        <v>246</v>
      </c>
      <c r="BK2235" s="4" t="s">
        <v>254</v>
      </c>
      <c r="BL2235" s="4" t="s">
        <v>255</v>
      </c>
      <c r="BM2235" s="4" t="s">
        <v>241</v>
      </c>
      <c r="BN2235" s="6">
        <f>0</f>
        <v>0</v>
      </c>
      <c r="BO2235" s="6">
        <f>0</f>
        <v>0</v>
      </c>
      <c r="BP2235" s="4" t="s">
        <v>256</v>
      </c>
      <c r="BQ2235" s="4" t="s">
        <v>257</v>
      </c>
      <c r="CE2235" s="4" t="s">
        <v>241</v>
      </c>
      <c r="CF2235" s="4" t="s">
        <v>241</v>
      </c>
      <c r="CJ2235" s="4" t="s">
        <v>276</v>
      </c>
      <c r="CK2235" s="4" t="s">
        <v>259</v>
      </c>
      <c r="CL2235" s="4" t="s">
        <v>241</v>
      </c>
      <c r="CO2235" s="5" t="s">
        <v>260</v>
      </c>
      <c r="CP2235" s="4" t="s">
        <v>241</v>
      </c>
      <c r="CQ2235" s="4" t="s">
        <v>261</v>
      </c>
      <c r="CR2235" s="4" t="s">
        <v>241</v>
      </c>
      <c r="CS2235" s="4" t="s">
        <v>241</v>
      </c>
      <c r="CT2235" s="4">
        <v>0</v>
      </c>
      <c r="CU2235" s="4" t="s">
        <v>262</v>
      </c>
      <c r="CV2235" s="4" t="s">
        <v>263</v>
      </c>
      <c r="CW2235" s="4" t="s">
        <v>263</v>
      </c>
      <c r="CX2235" s="4" t="s">
        <v>264</v>
      </c>
      <c r="DA2235" s="6">
        <f>1</f>
        <v>1</v>
      </c>
      <c r="DC2235" s="4" t="s">
        <v>325</v>
      </c>
      <c r="DD2235" s="4" t="s">
        <v>241</v>
      </c>
      <c r="DF2235" s="4" t="s">
        <v>325</v>
      </c>
      <c r="DG2235" s="6">
        <f>1162</f>
        <v>1162</v>
      </c>
      <c r="DI2235" s="4" t="s">
        <v>241</v>
      </c>
      <c r="DJ2235" s="4" t="s">
        <v>241</v>
      </c>
      <c r="DK2235" s="4" t="s">
        <v>241</v>
      </c>
      <c r="DL2235" s="4" t="s">
        <v>241</v>
      </c>
      <c r="DP2235" s="4" t="s">
        <v>241</v>
      </c>
      <c r="DQ2235" s="4" t="s">
        <v>241</v>
      </c>
      <c r="DR2235" s="4" t="s">
        <v>241</v>
      </c>
      <c r="DS2235" s="4" t="s">
        <v>241</v>
      </c>
      <c r="DV2235" s="4" t="s">
        <v>426</v>
      </c>
      <c r="DW2235" s="4" t="s">
        <v>1037</v>
      </c>
      <c r="HO2235" s="4" t="s">
        <v>267</v>
      </c>
    </row>
    <row r="2236" spans="1:223" ht="19.5" customHeight="1" x14ac:dyDescent="0.4">
      <c r="A2236" s="4">
        <v>1</v>
      </c>
      <c r="B2236" s="4" t="s">
        <v>239</v>
      </c>
      <c r="C2236" s="4">
        <v>3939</v>
      </c>
      <c r="D2236" s="4">
        <v>1</v>
      </c>
      <c r="E2236" s="4">
        <v>1</v>
      </c>
      <c r="F2236" s="4" t="s">
        <v>268</v>
      </c>
      <c r="G2236" s="4" t="s">
        <v>241</v>
      </c>
      <c r="H2236" s="4" t="s">
        <v>241</v>
      </c>
      <c r="I2236" s="4" t="s">
        <v>424</v>
      </c>
      <c r="J2236" s="4" t="s">
        <v>274</v>
      </c>
      <c r="K2236" s="4" t="s">
        <v>251</v>
      </c>
      <c r="L2236" s="4" t="s">
        <v>423</v>
      </c>
      <c r="M2236" s="5" t="s">
        <v>3885</v>
      </c>
      <c r="N2236" s="6">
        <f>2147</f>
        <v>2147</v>
      </c>
      <c r="O2236" s="4" t="s">
        <v>265</v>
      </c>
      <c r="P2236" s="6">
        <f>1</f>
        <v>1</v>
      </c>
      <c r="Q2236" s="6">
        <f>0</f>
        <v>0</v>
      </c>
      <c r="S2236" s="6">
        <f>0</f>
        <v>0</v>
      </c>
      <c r="T2236" s="6">
        <f>1</f>
        <v>1</v>
      </c>
      <c r="U2236" s="5" t="s">
        <v>245</v>
      </c>
      <c r="V2236" s="4" t="s">
        <v>270</v>
      </c>
      <c r="W2236" s="4" t="s">
        <v>271</v>
      </c>
      <c r="X2236" s="4" t="s">
        <v>273</v>
      </c>
      <c r="Y2236" s="4" t="s">
        <v>241</v>
      </c>
      <c r="AB2236" s="4" t="s">
        <v>241</v>
      </c>
      <c r="AD2236" s="5" t="s">
        <v>241</v>
      </c>
      <c r="AG2236" s="5" t="s">
        <v>246</v>
      </c>
      <c r="AH2236" s="4" t="s">
        <v>241</v>
      </c>
      <c r="AI2236" s="4" t="s">
        <v>247</v>
      </c>
      <c r="AJ2236" s="4" t="s">
        <v>248</v>
      </c>
      <c r="AZ2236" s="4" t="s">
        <v>249</v>
      </c>
      <c r="BA2236" s="4" t="s">
        <v>241</v>
      </c>
      <c r="BB2236" s="4" t="s">
        <v>250</v>
      </c>
      <c r="BC2236" s="4" t="s">
        <v>241</v>
      </c>
      <c r="BD2236" s="4" t="s">
        <v>252</v>
      </c>
      <c r="BE2236" s="4" t="s">
        <v>241</v>
      </c>
      <c r="BI2236" s="4" t="s">
        <v>253</v>
      </c>
      <c r="BJ2236" s="5" t="s">
        <v>246</v>
      </c>
      <c r="BK2236" s="4" t="s">
        <v>254</v>
      </c>
      <c r="BL2236" s="4" t="s">
        <v>255</v>
      </c>
      <c r="BM2236" s="4" t="s">
        <v>241</v>
      </c>
      <c r="BN2236" s="6">
        <f>0</f>
        <v>0</v>
      </c>
      <c r="BO2236" s="6">
        <f>0</f>
        <v>0</v>
      </c>
      <c r="BP2236" s="4" t="s">
        <v>256</v>
      </c>
      <c r="BQ2236" s="4" t="s">
        <v>257</v>
      </c>
      <c r="CE2236" s="4" t="s">
        <v>241</v>
      </c>
      <c r="CF2236" s="4" t="s">
        <v>241</v>
      </c>
      <c r="CJ2236" s="4" t="s">
        <v>276</v>
      </c>
      <c r="CK2236" s="4" t="s">
        <v>259</v>
      </c>
      <c r="CL2236" s="4" t="s">
        <v>241</v>
      </c>
      <c r="CO2236" s="5" t="s">
        <v>260</v>
      </c>
      <c r="CP2236" s="4" t="s">
        <v>241</v>
      </c>
      <c r="CQ2236" s="4" t="s">
        <v>261</v>
      </c>
      <c r="CR2236" s="4" t="s">
        <v>241</v>
      </c>
      <c r="CS2236" s="4" t="s">
        <v>241</v>
      </c>
      <c r="CT2236" s="4">
        <v>0</v>
      </c>
      <c r="CU2236" s="4" t="s">
        <v>262</v>
      </c>
      <c r="CV2236" s="4" t="s">
        <v>263</v>
      </c>
      <c r="CW2236" s="4" t="s">
        <v>263</v>
      </c>
      <c r="CX2236" s="4" t="s">
        <v>264</v>
      </c>
      <c r="DA2236" s="6">
        <f>1</f>
        <v>1</v>
      </c>
      <c r="DC2236" s="4" t="s">
        <v>325</v>
      </c>
      <c r="DD2236" s="4" t="s">
        <v>241</v>
      </c>
      <c r="DF2236" s="4" t="s">
        <v>325</v>
      </c>
      <c r="DG2236" s="6">
        <f>2147</f>
        <v>2147</v>
      </c>
      <c r="DI2236" s="4" t="s">
        <v>241</v>
      </c>
      <c r="DJ2236" s="4" t="s">
        <v>241</v>
      </c>
      <c r="DK2236" s="4" t="s">
        <v>241</v>
      </c>
      <c r="DL2236" s="4" t="s">
        <v>241</v>
      </c>
      <c r="DP2236" s="4" t="s">
        <v>241</v>
      </c>
      <c r="DQ2236" s="4" t="s">
        <v>241</v>
      </c>
      <c r="DR2236" s="4" t="s">
        <v>241</v>
      </c>
      <c r="DS2236" s="4" t="s">
        <v>241</v>
      </c>
      <c r="DV2236" s="4" t="s">
        <v>426</v>
      </c>
      <c r="DW2236" s="4" t="s">
        <v>1034</v>
      </c>
      <c r="HO2236" s="4" t="s">
        <v>267</v>
      </c>
    </row>
    <row r="2237" spans="1:223" ht="19.5" customHeight="1" x14ac:dyDescent="0.4">
      <c r="A2237" s="4">
        <v>1</v>
      </c>
      <c r="B2237" s="4" t="s">
        <v>239</v>
      </c>
      <c r="C2237" s="4">
        <v>3940</v>
      </c>
      <c r="D2237" s="4">
        <v>1</v>
      </c>
      <c r="E2237" s="4">
        <v>1</v>
      </c>
      <c r="F2237" s="4" t="s">
        <v>268</v>
      </c>
      <c r="G2237" s="4" t="s">
        <v>241</v>
      </c>
      <c r="H2237" s="4" t="s">
        <v>241</v>
      </c>
      <c r="I2237" s="4" t="s">
        <v>424</v>
      </c>
      <c r="J2237" s="4" t="s">
        <v>274</v>
      </c>
      <c r="K2237" s="4" t="s">
        <v>251</v>
      </c>
      <c r="L2237" s="4" t="s">
        <v>423</v>
      </c>
      <c r="M2237" s="5" t="s">
        <v>4847</v>
      </c>
      <c r="N2237" s="6">
        <f>29</f>
        <v>29</v>
      </c>
      <c r="O2237" s="4" t="s">
        <v>265</v>
      </c>
      <c r="P2237" s="6">
        <f>1</f>
        <v>1</v>
      </c>
      <c r="Q2237" s="6">
        <f>0</f>
        <v>0</v>
      </c>
      <c r="S2237" s="6">
        <f>0</f>
        <v>0</v>
      </c>
      <c r="T2237" s="6">
        <f>1</f>
        <v>1</v>
      </c>
      <c r="U2237" s="5" t="s">
        <v>245</v>
      </c>
      <c r="V2237" s="4" t="s">
        <v>270</v>
      </c>
      <c r="W2237" s="4" t="s">
        <v>271</v>
      </c>
      <c r="X2237" s="4" t="s">
        <v>273</v>
      </c>
      <c r="Y2237" s="4" t="s">
        <v>241</v>
      </c>
      <c r="AB2237" s="4" t="s">
        <v>241</v>
      </c>
      <c r="AD2237" s="5" t="s">
        <v>241</v>
      </c>
      <c r="AG2237" s="5" t="s">
        <v>246</v>
      </c>
      <c r="AH2237" s="4" t="s">
        <v>241</v>
      </c>
      <c r="AI2237" s="4" t="s">
        <v>247</v>
      </c>
      <c r="AJ2237" s="4" t="s">
        <v>248</v>
      </c>
      <c r="AZ2237" s="4" t="s">
        <v>249</v>
      </c>
      <c r="BA2237" s="4" t="s">
        <v>241</v>
      </c>
      <c r="BB2237" s="4" t="s">
        <v>250</v>
      </c>
      <c r="BC2237" s="4" t="s">
        <v>241</v>
      </c>
      <c r="BD2237" s="4" t="s">
        <v>252</v>
      </c>
      <c r="BE2237" s="4" t="s">
        <v>241</v>
      </c>
      <c r="BI2237" s="4" t="s">
        <v>253</v>
      </c>
      <c r="BJ2237" s="5" t="s">
        <v>246</v>
      </c>
      <c r="BK2237" s="4" t="s">
        <v>254</v>
      </c>
      <c r="BL2237" s="4" t="s">
        <v>255</v>
      </c>
      <c r="BM2237" s="4" t="s">
        <v>241</v>
      </c>
      <c r="BN2237" s="6">
        <f>0</f>
        <v>0</v>
      </c>
      <c r="BO2237" s="6">
        <f>0</f>
        <v>0</v>
      </c>
      <c r="BP2237" s="4" t="s">
        <v>256</v>
      </c>
      <c r="BQ2237" s="4" t="s">
        <v>257</v>
      </c>
      <c r="CE2237" s="4" t="s">
        <v>241</v>
      </c>
      <c r="CF2237" s="4" t="s">
        <v>241</v>
      </c>
      <c r="CJ2237" s="4" t="s">
        <v>276</v>
      </c>
      <c r="CK2237" s="4" t="s">
        <v>259</v>
      </c>
      <c r="CL2237" s="4" t="s">
        <v>241</v>
      </c>
      <c r="CO2237" s="5" t="s">
        <v>260</v>
      </c>
      <c r="CP2237" s="4" t="s">
        <v>241</v>
      </c>
      <c r="CQ2237" s="4" t="s">
        <v>261</v>
      </c>
      <c r="CR2237" s="4" t="s">
        <v>241</v>
      </c>
      <c r="CS2237" s="4" t="s">
        <v>241</v>
      </c>
      <c r="CT2237" s="4">
        <v>0</v>
      </c>
      <c r="CU2237" s="4" t="s">
        <v>262</v>
      </c>
      <c r="CV2237" s="4" t="s">
        <v>263</v>
      </c>
      <c r="CW2237" s="4" t="s">
        <v>263</v>
      </c>
      <c r="CX2237" s="4" t="s">
        <v>264</v>
      </c>
      <c r="DA2237" s="6">
        <f>1</f>
        <v>1</v>
      </c>
      <c r="DC2237" s="4" t="s">
        <v>325</v>
      </c>
      <c r="DD2237" s="4" t="s">
        <v>241</v>
      </c>
      <c r="DF2237" s="4" t="s">
        <v>325</v>
      </c>
      <c r="DG2237" s="6">
        <f>29</f>
        <v>29</v>
      </c>
      <c r="DI2237" s="4" t="s">
        <v>241</v>
      </c>
      <c r="DJ2237" s="4" t="s">
        <v>241</v>
      </c>
      <c r="DK2237" s="4" t="s">
        <v>241</v>
      </c>
      <c r="DL2237" s="4" t="s">
        <v>241</v>
      </c>
      <c r="DP2237" s="4" t="s">
        <v>241</v>
      </c>
      <c r="DQ2237" s="4" t="s">
        <v>241</v>
      </c>
      <c r="DR2237" s="4" t="s">
        <v>241</v>
      </c>
      <c r="DS2237" s="4" t="s">
        <v>241</v>
      </c>
      <c r="DV2237" s="4" t="s">
        <v>426</v>
      </c>
      <c r="DW2237" s="4" t="s">
        <v>1197</v>
      </c>
      <c r="HO2237" s="4" t="s">
        <v>267</v>
      </c>
    </row>
    <row r="2238" spans="1:223" ht="19.5" customHeight="1" x14ac:dyDescent="0.4">
      <c r="A2238" s="4">
        <v>1</v>
      </c>
      <c r="B2238" s="4" t="s">
        <v>239</v>
      </c>
      <c r="C2238" s="4">
        <v>3941</v>
      </c>
      <c r="D2238" s="4">
        <v>1</v>
      </c>
      <c r="E2238" s="4">
        <v>1</v>
      </c>
      <c r="F2238" s="4" t="s">
        <v>268</v>
      </c>
      <c r="G2238" s="4" t="s">
        <v>241</v>
      </c>
      <c r="H2238" s="4" t="s">
        <v>241</v>
      </c>
      <c r="I2238" s="4" t="s">
        <v>424</v>
      </c>
      <c r="J2238" s="4" t="s">
        <v>274</v>
      </c>
      <c r="K2238" s="4" t="s">
        <v>251</v>
      </c>
      <c r="L2238" s="4" t="s">
        <v>423</v>
      </c>
      <c r="M2238" s="5" t="s">
        <v>3683</v>
      </c>
      <c r="N2238" s="6">
        <f>1020</f>
        <v>1020</v>
      </c>
      <c r="O2238" s="4" t="s">
        <v>265</v>
      </c>
      <c r="P2238" s="6">
        <f>1</f>
        <v>1</v>
      </c>
      <c r="Q2238" s="6">
        <f>0</f>
        <v>0</v>
      </c>
      <c r="S2238" s="6">
        <f>0</f>
        <v>0</v>
      </c>
      <c r="T2238" s="6">
        <f>1</f>
        <v>1</v>
      </c>
      <c r="U2238" s="5" t="s">
        <v>245</v>
      </c>
      <c r="V2238" s="4" t="s">
        <v>270</v>
      </c>
      <c r="W2238" s="4" t="s">
        <v>271</v>
      </c>
      <c r="X2238" s="4" t="s">
        <v>273</v>
      </c>
      <c r="Y2238" s="4" t="s">
        <v>241</v>
      </c>
      <c r="AB2238" s="4" t="s">
        <v>241</v>
      </c>
      <c r="AD2238" s="5" t="s">
        <v>241</v>
      </c>
      <c r="AG2238" s="5" t="s">
        <v>246</v>
      </c>
      <c r="AH2238" s="4" t="s">
        <v>241</v>
      </c>
      <c r="AI2238" s="4" t="s">
        <v>247</v>
      </c>
      <c r="AJ2238" s="4" t="s">
        <v>248</v>
      </c>
      <c r="AZ2238" s="4" t="s">
        <v>249</v>
      </c>
      <c r="BA2238" s="4" t="s">
        <v>241</v>
      </c>
      <c r="BB2238" s="4" t="s">
        <v>250</v>
      </c>
      <c r="BC2238" s="4" t="s">
        <v>241</v>
      </c>
      <c r="BD2238" s="4" t="s">
        <v>252</v>
      </c>
      <c r="BE2238" s="4" t="s">
        <v>241</v>
      </c>
      <c r="BI2238" s="4" t="s">
        <v>253</v>
      </c>
      <c r="BJ2238" s="5" t="s">
        <v>246</v>
      </c>
      <c r="BK2238" s="4" t="s">
        <v>254</v>
      </c>
      <c r="BL2238" s="4" t="s">
        <v>255</v>
      </c>
      <c r="BM2238" s="4" t="s">
        <v>241</v>
      </c>
      <c r="BN2238" s="6">
        <f>0</f>
        <v>0</v>
      </c>
      <c r="BO2238" s="6">
        <f>0</f>
        <v>0</v>
      </c>
      <c r="BP2238" s="4" t="s">
        <v>256</v>
      </c>
      <c r="BQ2238" s="4" t="s">
        <v>257</v>
      </c>
      <c r="CE2238" s="4" t="s">
        <v>241</v>
      </c>
      <c r="CF2238" s="4" t="s">
        <v>241</v>
      </c>
      <c r="CJ2238" s="4" t="s">
        <v>276</v>
      </c>
      <c r="CK2238" s="4" t="s">
        <v>259</v>
      </c>
      <c r="CL2238" s="4" t="s">
        <v>241</v>
      </c>
      <c r="CO2238" s="5" t="s">
        <v>260</v>
      </c>
      <c r="CP2238" s="4" t="s">
        <v>241</v>
      </c>
      <c r="CQ2238" s="4" t="s">
        <v>261</v>
      </c>
      <c r="CR2238" s="4" t="s">
        <v>241</v>
      </c>
      <c r="CS2238" s="4" t="s">
        <v>241</v>
      </c>
      <c r="CT2238" s="4">
        <v>0</v>
      </c>
      <c r="CU2238" s="4" t="s">
        <v>262</v>
      </c>
      <c r="CV2238" s="4" t="s">
        <v>263</v>
      </c>
      <c r="CW2238" s="4" t="s">
        <v>263</v>
      </c>
      <c r="CX2238" s="4" t="s">
        <v>264</v>
      </c>
      <c r="DA2238" s="6">
        <f>1</f>
        <v>1</v>
      </c>
      <c r="DC2238" s="4" t="s">
        <v>325</v>
      </c>
      <c r="DD2238" s="4" t="s">
        <v>241</v>
      </c>
      <c r="DF2238" s="4" t="s">
        <v>325</v>
      </c>
      <c r="DG2238" s="6">
        <f>1020</f>
        <v>1020</v>
      </c>
      <c r="DI2238" s="4" t="s">
        <v>241</v>
      </c>
      <c r="DJ2238" s="4" t="s">
        <v>241</v>
      </c>
      <c r="DK2238" s="4" t="s">
        <v>241</v>
      </c>
      <c r="DL2238" s="4" t="s">
        <v>241</v>
      </c>
      <c r="DP2238" s="4" t="s">
        <v>241</v>
      </c>
      <c r="DQ2238" s="4" t="s">
        <v>241</v>
      </c>
      <c r="DR2238" s="4" t="s">
        <v>241</v>
      </c>
      <c r="DS2238" s="4" t="s">
        <v>241</v>
      </c>
      <c r="DV2238" s="4" t="s">
        <v>426</v>
      </c>
      <c r="DW2238" s="4" t="s">
        <v>1029</v>
      </c>
      <c r="HO2238" s="4" t="s">
        <v>267</v>
      </c>
    </row>
    <row r="2239" spans="1:223" ht="19.5" customHeight="1" x14ac:dyDescent="0.4">
      <c r="A2239" s="4">
        <v>1</v>
      </c>
      <c r="B2239" s="4" t="s">
        <v>239</v>
      </c>
      <c r="C2239" s="4">
        <v>3942</v>
      </c>
      <c r="D2239" s="4">
        <v>1</v>
      </c>
      <c r="E2239" s="4">
        <v>1</v>
      </c>
      <c r="F2239" s="4" t="s">
        <v>268</v>
      </c>
      <c r="G2239" s="4" t="s">
        <v>241</v>
      </c>
      <c r="H2239" s="4" t="s">
        <v>241</v>
      </c>
      <c r="I2239" s="4" t="s">
        <v>424</v>
      </c>
      <c r="J2239" s="4" t="s">
        <v>274</v>
      </c>
      <c r="K2239" s="4" t="s">
        <v>251</v>
      </c>
      <c r="L2239" s="4" t="s">
        <v>423</v>
      </c>
      <c r="M2239" s="5" t="s">
        <v>837</v>
      </c>
      <c r="N2239" s="6">
        <f>9.41</f>
        <v>9.41</v>
      </c>
      <c r="O2239" s="4" t="s">
        <v>265</v>
      </c>
      <c r="P2239" s="6">
        <f>1</f>
        <v>1</v>
      </c>
      <c r="Q2239" s="6">
        <f>0</f>
        <v>0</v>
      </c>
      <c r="S2239" s="6">
        <f>0</f>
        <v>0</v>
      </c>
      <c r="T2239" s="6">
        <f>1</f>
        <v>1</v>
      </c>
      <c r="U2239" s="5" t="s">
        <v>245</v>
      </c>
      <c r="V2239" s="4" t="s">
        <v>270</v>
      </c>
      <c r="W2239" s="4" t="s">
        <v>271</v>
      </c>
      <c r="X2239" s="4" t="s">
        <v>273</v>
      </c>
      <c r="Y2239" s="4" t="s">
        <v>241</v>
      </c>
      <c r="AB2239" s="4" t="s">
        <v>241</v>
      </c>
      <c r="AD2239" s="5" t="s">
        <v>241</v>
      </c>
      <c r="AG2239" s="5" t="s">
        <v>246</v>
      </c>
      <c r="AH2239" s="4" t="s">
        <v>241</v>
      </c>
      <c r="AI2239" s="4" t="s">
        <v>247</v>
      </c>
      <c r="AJ2239" s="4" t="s">
        <v>248</v>
      </c>
      <c r="AZ2239" s="4" t="s">
        <v>249</v>
      </c>
      <c r="BA2239" s="4" t="s">
        <v>241</v>
      </c>
      <c r="BB2239" s="4" t="s">
        <v>250</v>
      </c>
      <c r="BC2239" s="4" t="s">
        <v>241</v>
      </c>
      <c r="BD2239" s="4" t="s">
        <v>252</v>
      </c>
      <c r="BE2239" s="4" t="s">
        <v>241</v>
      </c>
      <c r="BI2239" s="4" t="s">
        <v>253</v>
      </c>
      <c r="BJ2239" s="5" t="s">
        <v>246</v>
      </c>
      <c r="BK2239" s="4" t="s">
        <v>254</v>
      </c>
      <c r="BL2239" s="4" t="s">
        <v>255</v>
      </c>
      <c r="BM2239" s="4" t="s">
        <v>241</v>
      </c>
      <c r="BN2239" s="6">
        <f>0</f>
        <v>0</v>
      </c>
      <c r="BO2239" s="6">
        <f>0</f>
        <v>0</v>
      </c>
      <c r="BP2239" s="4" t="s">
        <v>256</v>
      </c>
      <c r="BQ2239" s="4" t="s">
        <v>257</v>
      </c>
      <c r="CE2239" s="4" t="s">
        <v>241</v>
      </c>
      <c r="CF2239" s="4" t="s">
        <v>241</v>
      </c>
      <c r="CJ2239" s="4" t="s">
        <v>276</v>
      </c>
      <c r="CK2239" s="4" t="s">
        <v>259</v>
      </c>
      <c r="CL2239" s="4" t="s">
        <v>241</v>
      </c>
      <c r="CO2239" s="5" t="s">
        <v>260</v>
      </c>
      <c r="CP2239" s="4" t="s">
        <v>241</v>
      </c>
      <c r="CQ2239" s="4" t="s">
        <v>261</v>
      </c>
      <c r="CR2239" s="4" t="s">
        <v>241</v>
      </c>
      <c r="CS2239" s="4" t="s">
        <v>241</v>
      </c>
      <c r="CT2239" s="4">
        <v>0</v>
      </c>
      <c r="CU2239" s="4" t="s">
        <v>262</v>
      </c>
      <c r="CV2239" s="4" t="s">
        <v>263</v>
      </c>
      <c r="CW2239" s="4" t="s">
        <v>263</v>
      </c>
      <c r="CX2239" s="4" t="s">
        <v>264</v>
      </c>
      <c r="DA2239" s="6">
        <f>1</f>
        <v>1</v>
      </c>
      <c r="DC2239" s="4" t="s">
        <v>325</v>
      </c>
      <c r="DD2239" s="4" t="s">
        <v>241</v>
      </c>
      <c r="DF2239" s="4" t="s">
        <v>325</v>
      </c>
      <c r="DG2239" s="6">
        <f>9.41</f>
        <v>9.41</v>
      </c>
      <c r="DI2239" s="4" t="s">
        <v>241</v>
      </c>
      <c r="DJ2239" s="4" t="s">
        <v>241</v>
      </c>
      <c r="DK2239" s="4" t="s">
        <v>241</v>
      </c>
      <c r="DL2239" s="4" t="s">
        <v>241</v>
      </c>
      <c r="DP2239" s="4" t="s">
        <v>241</v>
      </c>
      <c r="DQ2239" s="4" t="s">
        <v>241</v>
      </c>
      <c r="DR2239" s="4" t="s">
        <v>241</v>
      </c>
      <c r="DS2239" s="4" t="s">
        <v>241</v>
      </c>
      <c r="DV2239" s="4" t="s">
        <v>426</v>
      </c>
      <c r="DW2239" s="4" t="s">
        <v>838</v>
      </c>
      <c r="HO2239" s="4" t="s">
        <v>267</v>
      </c>
    </row>
    <row r="2240" spans="1:223" ht="19.5" customHeight="1" x14ac:dyDescent="0.4">
      <c r="A2240" s="4">
        <v>1</v>
      </c>
      <c r="B2240" s="4" t="s">
        <v>239</v>
      </c>
      <c r="C2240" s="4">
        <v>3943</v>
      </c>
      <c r="D2240" s="4">
        <v>1</v>
      </c>
      <c r="E2240" s="4">
        <v>1</v>
      </c>
      <c r="F2240" s="4" t="s">
        <v>268</v>
      </c>
      <c r="G2240" s="4" t="s">
        <v>241</v>
      </c>
      <c r="H2240" s="4" t="s">
        <v>241</v>
      </c>
      <c r="I2240" s="4" t="s">
        <v>424</v>
      </c>
      <c r="J2240" s="4" t="s">
        <v>274</v>
      </c>
      <c r="K2240" s="4" t="s">
        <v>251</v>
      </c>
      <c r="L2240" s="4" t="s">
        <v>423</v>
      </c>
      <c r="M2240" s="5" t="s">
        <v>3704</v>
      </c>
      <c r="N2240" s="6">
        <f>1271</f>
        <v>1271</v>
      </c>
      <c r="O2240" s="4" t="s">
        <v>265</v>
      </c>
      <c r="P2240" s="6">
        <f>1</f>
        <v>1</v>
      </c>
      <c r="Q2240" s="6">
        <f>0</f>
        <v>0</v>
      </c>
      <c r="S2240" s="6">
        <f>0</f>
        <v>0</v>
      </c>
      <c r="T2240" s="6">
        <f>1</f>
        <v>1</v>
      </c>
      <c r="U2240" s="5" t="s">
        <v>245</v>
      </c>
      <c r="V2240" s="4" t="s">
        <v>270</v>
      </c>
      <c r="W2240" s="4" t="s">
        <v>271</v>
      </c>
      <c r="X2240" s="4" t="s">
        <v>273</v>
      </c>
      <c r="Y2240" s="4" t="s">
        <v>241</v>
      </c>
      <c r="AB2240" s="4" t="s">
        <v>241</v>
      </c>
      <c r="AD2240" s="5" t="s">
        <v>241</v>
      </c>
      <c r="AG2240" s="5" t="s">
        <v>246</v>
      </c>
      <c r="AH2240" s="4" t="s">
        <v>241</v>
      </c>
      <c r="AI2240" s="4" t="s">
        <v>247</v>
      </c>
      <c r="AJ2240" s="4" t="s">
        <v>248</v>
      </c>
      <c r="AZ2240" s="4" t="s">
        <v>249</v>
      </c>
      <c r="BA2240" s="4" t="s">
        <v>241</v>
      </c>
      <c r="BB2240" s="4" t="s">
        <v>250</v>
      </c>
      <c r="BC2240" s="4" t="s">
        <v>241</v>
      </c>
      <c r="BD2240" s="4" t="s">
        <v>252</v>
      </c>
      <c r="BE2240" s="4" t="s">
        <v>241</v>
      </c>
      <c r="BI2240" s="4" t="s">
        <v>253</v>
      </c>
      <c r="BJ2240" s="5" t="s">
        <v>246</v>
      </c>
      <c r="BK2240" s="4" t="s">
        <v>254</v>
      </c>
      <c r="BL2240" s="4" t="s">
        <v>255</v>
      </c>
      <c r="BM2240" s="4" t="s">
        <v>241</v>
      </c>
      <c r="BN2240" s="6">
        <f>0</f>
        <v>0</v>
      </c>
      <c r="BO2240" s="6">
        <f>0</f>
        <v>0</v>
      </c>
      <c r="BP2240" s="4" t="s">
        <v>256</v>
      </c>
      <c r="BQ2240" s="4" t="s">
        <v>257</v>
      </c>
      <c r="CE2240" s="4" t="s">
        <v>241</v>
      </c>
      <c r="CF2240" s="4" t="s">
        <v>241</v>
      </c>
      <c r="CJ2240" s="4" t="s">
        <v>276</v>
      </c>
      <c r="CK2240" s="4" t="s">
        <v>259</v>
      </c>
      <c r="CL2240" s="4" t="s">
        <v>241</v>
      </c>
      <c r="CO2240" s="5" t="s">
        <v>260</v>
      </c>
      <c r="CP2240" s="4" t="s">
        <v>241</v>
      </c>
      <c r="CQ2240" s="4" t="s">
        <v>261</v>
      </c>
      <c r="CR2240" s="4" t="s">
        <v>241</v>
      </c>
      <c r="CS2240" s="4" t="s">
        <v>241</v>
      </c>
      <c r="CT2240" s="4">
        <v>0</v>
      </c>
      <c r="CU2240" s="4" t="s">
        <v>262</v>
      </c>
      <c r="CV2240" s="4" t="s">
        <v>263</v>
      </c>
      <c r="CW2240" s="4" t="s">
        <v>263</v>
      </c>
      <c r="CX2240" s="4" t="s">
        <v>264</v>
      </c>
      <c r="DA2240" s="6">
        <f>1</f>
        <v>1</v>
      </c>
      <c r="DC2240" s="4" t="s">
        <v>325</v>
      </c>
      <c r="DD2240" s="4" t="s">
        <v>241</v>
      </c>
      <c r="DF2240" s="4" t="s">
        <v>325</v>
      </c>
      <c r="DG2240" s="6">
        <f>1271</f>
        <v>1271</v>
      </c>
      <c r="DI2240" s="4" t="s">
        <v>241</v>
      </c>
      <c r="DJ2240" s="4" t="s">
        <v>241</v>
      </c>
      <c r="DK2240" s="4" t="s">
        <v>241</v>
      </c>
      <c r="DL2240" s="4" t="s">
        <v>241</v>
      </c>
      <c r="DP2240" s="4" t="s">
        <v>241</v>
      </c>
      <c r="DQ2240" s="4" t="s">
        <v>241</v>
      </c>
      <c r="DR2240" s="4" t="s">
        <v>241</v>
      </c>
      <c r="DS2240" s="4" t="s">
        <v>241</v>
      </c>
      <c r="DV2240" s="4" t="s">
        <v>426</v>
      </c>
      <c r="DW2240" s="4" t="s">
        <v>2630</v>
      </c>
      <c r="HO2240" s="4" t="s">
        <v>267</v>
      </c>
    </row>
    <row r="2241" spans="1:223" ht="19.5" customHeight="1" x14ac:dyDescent="0.4">
      <c r="A2241" s="4">
        <v>1</v>
      </c>
      <c r="B2241" s="4" t="s">
        <v>239</v>
      </c>
      <c r="C2241" s="4">
        <v>3944</v>
      </c>
      <c r="D2241" s="4">
        <v>1</v>
      </c>
      <c r="E2241" s="4">
        <v>1</v>
      </c>
      <c r="F2241" s="4" t="s">
        <v>268</v>
      </c>
      <c r="G2241" s="4" t="s">
        <v>241</v>
      </c>
      <c r="H2241" s="4" t="s">
        <v>241</v>
      </c>
      <c r="I2241" s="4" t="s">
        <v>424</v>
      </c>
      <c r="J2241" s="4" t="s">
        <v>274</v>
      </c>
      <c r="K2241" s="4" t="s">
        <v>251</v>
      </c>
      <c r="L2241" s="4" t="s">
        <v>423</v>
      </c>
      <c r="M2241" s="5" t="s">
        <v>3678</v>
      </c>
      <c r="N2241" s="6">
        <f>295</f>
        <v>295</v>
      </c>
      <c r="O2241" s="4" t="s">
        <v>265</v>
      </c>
      <c r="P2241" s="6">
        <f>1</f>
        <v>1</v>
      </c>
      <c r="Q2241" s="6">
        <f>0</f>
        <v>0</v>
      </c>
      <c r="S2241" s="6">
        <f>0</f>
        <v>0</v>
      </c>
      <c r="T2241" s="6">
        <f>1</f>
        <v>1</v>
      </c>
      <c r="U2241" s="5" t="s">
        <v>245</v>
      </c>
      <c r="V2241" s="4" t="s">
        <v>270</v>
      </c>
      <c r="W2241" s="4" t="s">
        <v>271</v>
      </c>
      <c r="X2241" s="4" t="s">
        <v>273</v>
      </c>
      <c r="Y2241" s="4" t="s">
        <v>241</v>
      </c>
      <c r="AB2241" s="4" t="s">
        <v>241</v>
      </c>
      <c r="AD2241" s="5" t="s">
        <v>241</v>
      </c>
      <c r="AG2241" s="5" t="s">
        <v>246</v>
      </c>
      <c r="AH2241" s="4" t="s">
        <v>241</v>
      </c>
      <c r="AI2241" s="4" t="s">
        <v>247</v>
      </c>
      <c r="AJ2241" s="4" t="s">
        <v>248</v>
      </c>
      <c r="AZ2241" s="4" t="s">
        <v>249</v>
      </c>
      <c r="BA2241" s="4" t="s">
        <v>241</v>
      </c>
      <c r="BB2241" s="4" t="s">
        <v>250</v>
      </c>
      <c r="BC2241" s="4" t="s">
        <v>241</v>
      </c>
      <c r="BD2241" s="4" t="s">
        <v>252</v>
      </c>
      <c r="BE2241" s="4" t="s">
        <v>241</v>
      </c>
      <c r="BI2241" s="4" t="s">
        <v>253</v>
      </c>
      <c r="BJ2241" s="5" t="s">
        <v>246</v>
      </c>
      <c r="BK2241" s="4" t="s">
        <v>254</v>
      </c>
      <c r="BL2241" s="4" t="s">
        <v>255</v>
      </c>
      <c r="BM2241" s="4" t="s">
        <v>241</v>
      </c>
      <c r="BN2241" s="6">
        <f>0</f>
        <v>0</v>
      </c>
      <c r="BO2241" s="6">
        <f>0</f>
        <v>0</v>
      </c>
      <c r="BP2241" s="4" t="s">
        <v>256</v>
      </c>
      <c r="BQ2241" s="4" t="s">
        <v>257</v>
      </c>
      <c r="CE2241" s="4" t="s">
        <v>241</v>
      </c>
      <c r="CF2241" s="4" t="s">
        <v>241</v>
      </c>
      <c r="CJ2241" s="4" t="s">
        <v>276</v>
      </c>
      <c r="CK2241" s="4" t="s">
        <v>259</v>
      </c>
      <c r="CL2241" s="4" t="s">
        <v>241</v>
      </c>
      <c r="CO2241" s="5" t="s">
        <v>260</v>
      </c>
      <c r="CP2241" s="4" t="s">
        <v>241</v>
      </c>
      <c r="CQ2241" s="4" t="s">
        <v>261</v>
      </c>
      <c r="CR2241" s="4" t="s">
        <v>241</v>
      </c>
      <c r="CS2241" s="4" t="s">
        <v>241</v>
      </c>
      <c r="CT2241" s="4">
        <v>0</v>
      </c>
      <c r="CU2241" s="4" t="s">
        <v>262</v>
      </c>
      <c r="CV2241" s="4" t="s">
        <v>263</v>
      </c>
      <c r="CW2241" s="4" t="s">
        <v>263</v>
      </c>
      <c r="CX2241" s="4" t="s">
        <v>264</v>
      </c>
      <c r="DA2241" s="6">
        <f>1</f>
        <v>1</v>
      </c>
      <c r="DC2241" s="4" t="s">
        <v>325</v>
      </c>
      <c r="DD2241" s="4" t="s">
        <v>241</v>
      </c>
      <c r="DF2241" s="4" t="s">
        <v>325</v>
      </c>
      <c r="DG2241" s="6">
        <f>295</f>
        <v>295</v>
      </c>
      <c r="DI2241" s="4" t="s">
        <v>241</v>
      </c>
      <c r="DJ2241" s="4" t="s">
        <v>241</v>
      </c>
      <c r="DK2241" s="4" t="s">
        <v>241</v>
      </c>
      <c r="DL2241" s="4" t="s">
        <v>241</v>
      </c>
      <c r="DP2241" s="4" t="s">
        <v>241</v>
      </c>
      <c r="DQ2241" s="4" t="s">
        <v>241</v>
      </c>
      <c r="DR2241" s="4" t="s">
        <v>241</v>
      </c>
      <c r="DS2241" s="4" t="s">
        <v>241</v>
      </c>
      <c r="DV2241" s="4" t="s">
        <v>426</v>
      </c>
      <c r="DW2241" s="4" t="s">
        <v>1390</v>
      </c>
      <c r="HO2241" s="4" t="s">
        <v>267</v>
      </c>
    </row>
    <row r="2242" spans="1:223" ht="19.5" customHeight="1" x14ac:dyDescent="0.4">
      <c r="A2242" s="4">
        <v>1</v>
      </c>
      <c r="B2242" s="4" t="s">
        <v>239</v>
      </c>
      <c r="C2242" s="4">
        <v>3945</v>
      </c>
      <c r="D2242" s="4">
        <v>1</v>
      </c>
      <c r="E2242" s="4">
        <v>1</v>
      </c>
      <c r="F2242" s="4" t="s">
        <v>268</v>
      </c>
      <c r="G2242" s="4" t="s">
        <v>241</v>
      </c>
      <c r="H2242" s="4" t="s">
        <v>241</v>
      </c>
      <c r="I2242" s="4" t="s">
        <v>424</v>
      </c>
      <c r="J2242" s="4" t="s">
        <v>274</v>
      </c>
      <c r="K2242" s="4" t="s">
        <v>251</v>
      </c>
      <c r="L2242" s="4" t="s">
        <v>423</v>
      </c>
      <c r="M2242" s="5" t="s">
        <v>3707</v>
      </c>
      <c r="N2242" s="6">
        <f>305</f>
        <v>305</v>
      </c>
      <c r="O2242" s="4" t="s">
        <v>265</v>
      </c>
      <c r="P2242" s="6">
        <f>1</f>
        <v>1</v>
      </c>
      <c r="Q2242" s="6">
        <f>0</f>
        <v>0</v>
      </c>
      <c r="S2242" s="6">
        <f>0</f>
        <v>0</v>
      </c>
      <c r="T2242" s="6">
        <f>1</f>
        <v>1</v>
      </c>
      <c r="U2242" s="5" t="s">
        <v>245</v>
      </c>
      <c r="V2242" s="4" t="s">
        <v>270</v>
      </c>
      <c r="W2242" s="4" t="s">
        <v>271</v>
      </c>
      <c r="X2242" s="4" t="s">
        <v>273</v>
      </c>
      <c r="Y2242" s="4" t="s">
        <v>241</v>
      </c>
      <c r="AB2242" s="4" t="s">
        <v>241</v>
      </c>
      <c r="AD2242" s="5" t="s">
        <v>241</v>
      </c>
      <c r="AG2242" s="5" t="s">
        <v>246</v>
      </c>
      <c r="AH2242" s="4" t="s">
        <v>241</v>
      </c>
      <c r="AI2242" s="4" t="s">
        <v>247</v>
      </c>
      <c r="AJ2242" s="4" t="s">
        <v>248</v>
      </c>
      <c r="AZ2242" s="4" t="s">
        <v>249</v>
      </c>
      <c r="BA2242" s="4" t="s">
        <v>241</v>
      </c>
      <c r="BB2242" s="4" t="s">
        <v>250</v>
      </c>
      <c r="BC2242" s="4" t="s">
        <v>241</v>
      </c>
      <c r="BD2242" s="4" t="s">
        <v>252</v>
      </c>
      <c r="BE2242" s="4" t="s">
        <v>241</v>
      </c>
      <c r="BI2242" s="4" t="s">
        <v>253</v>
      </c>
      <c r="BJ2242" s="5" t="s">
        <v>246</v>
      </c>
      <c r="BK2242" s="4" t="s">
        <v>254</v>
      </c>
      <c r="BL2242" s="4" t="s">
        <v>255</v>
      </c>
      <c r="BM2242" s="4" t="s">
        <v>241</v>
      </c>
      <c r="BN2242" s="6">
        <f>0</f>
        <v>0</v>
      </c>
      <c r="BO2242" s="6">
        <f>0</f>
        <v>0</v>
      </c>
      <c r="BP2242" s="4" t="s">
        <v>256</v>
      </c>
      <c r="BQ2242" s="4" t="s">
        <v>257</v>
      </c>
      <c r="CE2242" s="4" t="s">
        <v>241</v>
      </c>
      <c r="CF2242" s="4" t="s">
        <v>241</v>
      </c>
      <c r="CJ2242" s="4" t="s">
        <v>276</v>
      </c>
      <c r="CK2242" s="4" t="s">
        <v>259</v>
      </c>
      <c r="CL2242" s="4" t="s">
        <v>241</v>
      </c>
      <c r="CO2242" s="5" t="s">
        <v>260</v>
      </c>
      <c r="CP2242" s="4" t="s">
        <v>241</v>
      </c>
      <c r="CQ2242" s="4" t="s">
        <v>261</v>
      </c>
      <c r="CR2242" s="4" t="s">
        <v>241</v>
      </c>
      <c r="CS2242" s="4" t="s">
        <v>241</v>
      </c>
      <c r="CT2242" s="4">
        <v>0</v>
      </c>
      <c r="CU2242" s="4" t="s">
        <v>262</v>
      </c>
      <c r="CV2242" s="4" t="s">
        <v>263</v>
      </c>
      <c r="CW2242" s="4" t="s">
        <v>263</v>
      </c>
      <c r="CX2242" s="4" t="s">
        <v>264</v>
      </c>
      <c r="DA2242" s="6">
        <f>1</f>
        <v>1</v>
      </c>
      <c r="DC2242" s="4" t="s">
        <v>325</v>
      </c>
      <c r="DD2242" s="4" t="s">
        <v>241</v>
      </c>
      <c r="DF2242" s="4" t="s">
        <v>325</v>
      </c>
      <c r="DG2242" s="6">
        <f>305</f>
        <v>305</v>
      </c>
      <c r="DI2242" s="4" t="s">
        <v>241</v>
      </c>
      <c r="DJ2242" s="4" t="s">
        <v>241</v>
      </c>
      <c r="DK2242" s="4" t="s">
        <v>241</v>
      </c>
      <c r="DL2242" s="4" t="s">
        <v>241</v>
      </c>
      <c r="DP2242" s="4" t="s">
        <v>241</v>
      </c>
      <c r="DQ2242" s="4" t="s">
        <v>241</v>
      </c>
      <c r="DR2242" s="4" t="s">
        <v>241</v>
      </c>
      <c r="DS2242" s="4" t="s">
        <v>241</v>
      </c>
      <c r="DV2242" s="4" t="s">
        <v>426</v>
      </c>
      <c r="DW2242" s="4" t="s">
        <v>1378</v>
      </c>
      <c r="HO2242" s="4" t="s">
        <v>267</v>
      </c>
    </row>
    <row r="2243" spans="1:223" ht="19.5" customHeight="1" x14ac:dyDescent="0.4">
      <c r="A2243" s="4">
        <v>1</v>
      </c>
      <c r="B2243" s="4" t="s">
        <v>239</v>
      </c>
      <c r="C2243" s="4">
        <v>3946</v>
      </c>
      <c r="D2243" s="4">
        <v>1</v>
      </c>
      <c r="E2243" s="4">
        <v>1</v>
      </c>
      <c r="F2243" s="4" t="s">
        <v>268</v>
      </c>
      <c r="G2243" s="4" t="s">
        <v>241</v>
      </c>
      <c r="H2243" s="4" t="s">
        <v>241</v>
      </c>
      <c r="I2243" s="4" t="s">
        <v>424</v>
      </c>
      <c r="J2243" s="4" t="s">
        <v>274</v>
      </c>
      <c r="K2243" s="4" t="s">
        <v>251</v>
      </c>
      <c r="L2243" s="4" t="s">
        <v>423</v>
      </c>
      <c r="M2243" s="5" t="s">
        <v>3721</v>
      </c>
      <c r="N2243" s="6">
        <f>695</f>
        <v>695</v>
      </c>
      <c r="O2243" s="4" t="s">
        <v>265</v>
      </c>
      <c r="P2243" s="6">
        <f>1</f>
        <v>1</v>
      </c>
      <c r="Q2243" s="6">
        <f>0</f>
        <v>0</v>
      </c>
      <c r="S2243" s="6">
        <f>0</f>
        <v>0</v>
      </c>
      <c r="T2243" s="6">
        <f>1</f>
        <v>1</v>
      </c>
      <c r="U2243" s="5" t="s">
        <v>245</v>
      </c>
      <c r="V2243" s="4" t="s">
        <v>270</v>
      </c>
      <c r="W2243" s="4" t="s">
        <v>271</v>
      </c>
      <c r="X2243" s="4" t="s">
        <v>273</v>
      </c>
      <c r="Y2243" s="4" t="s">
        <v>241</v>
      </c>
      <c r="AB2243" s="4" t="s">
        <v>241</v>
      </c>
      <c r="AD2243" s="5" t="s">
        <v>241</v>
      </c>
      <c r="AG2243" s="5" t="s">
        <v>246</v>
      </c>
      <c r="AH2243" s="4" t="s">
        <v>241</v>
      </c>
      <c r="AI2243" s="4" t="s">
        <v>247</v>
      </c>
      <c r="AJ2243" s="4" t="s">
        <v>248</v>
      </c>
      <c r="AZ2243" s="4" t="s">
        <v>249</v>
      </c>
      <c r="BA2243" s="4" t="s">
        <v>241</v>
      </c>
      <c r="BB2243" s="4" t="s">
        <v>250</v>
      </c>
      <c r="BC2243" s="4" t="s">
        <v>241</v>
      </c>
      <c r="BD2243" s="4" t="s">
        <v>252</v>
      </c>
      <c r="BE2243" s="4" t="s">
        <v>241</v>
      </c>
      <c r="BI2243" s="4" t="s">
        <v>253</v>
      </c>
      <c r="BJ2243" s="5" t="s">
        <v>246</v>
      </c>
      <c r="BK2243" s="4" t="s">
        <v>254</v>
      </c>
      <c r="BL2243" s="4" t="s">
        <v>255</v>
      </c>
      <c r="BM2243" s="4" t="s">
        <v>241</v>
      </c>
      <c r="BN2243" s="6">
        <f>0</f>
        <v>0</v>
      </c>
      <c r="BO2243" s="6">
        <f>0</f>
        <v>0</v>
      </c>
      <c r="BP2243" s="4" t="s">
        <v>256</v>
      </c>
      <c r="BQ2243" s="4" t="s">
        <v>257</v>
      </c>
      <c r="CE2243" s="4" t="s">
        <v>241</v>
      </c>
      <c r="CF2243" s="4" t="s">
        <v>241</v>
      </c>
      <c r="CJ2243" s="4" t="s">
        <v>276</v>
      </c>
      <c r="CK2243" s="4" t="s">
        <v>259</v>
      </c>
      <c r="CL2243" s="4" t="s">
        <v>241</v>
      </c>
      <c r="CO2243" s="5" t="s">
        <v>260</v>
      </c>
      <c r="CP2243" s="4" t="s">
        <v>241</v>
      </c>
      <c r="CQ2243" s="4" t="s">
        <v>261</v>
      </c>
      <c r="CR2243" s="4" t="s">
        <v>241</v>
      </c>
      <c r="CS2243" s="4" t="s">
        <v>241</v>
      </c>
      <c r="CT2243" s="4">
        <v>0</v>
      </c>
      <c r="CU2243" s="4" t="s">
        <v>262</v>
      </c>
      <c r="CV2243" s="4" t="s">
        <v>263</v>
      </c>
      <c r="CW2243" s="4" t="s">
        <v>263</v>
      </c>
      <c r="CX2243" s="4" t="s">
        <v>264</v>
      </c>
      <c r="DA2243" s="6">
        <f>1</f>
        <v>1</v>
      </c>
      <c r="DC2243" s="4" t="s">
        <v>325</v>
      </c>
      <c r="DD2243" s="4" t="s">
        <v>241</v>
      </c>
      <c r="DF2243" s="4" t="s">
        <v>325</v>
      </c>
      <c r="DG2243" s="6">
        <f>695</f>
        <v>695</v>
      </c>
      <c r="DI2243" s="4" t="s">
        <v>241</v>
      </c>
      <c r="DJ2243" s="4" t="s">
        <v>241</v>
      </c>
      <c r="DK2243" s="4" t="s">
        <v>241</v>
      </c>
      <c r="DL2243" s="4" t="s">
        <v>241</v>
      </c>
      <c r="DP2243" s="4" t="s">
        <v>241</v>
      </c>
      <c r="DQ2243" s="4" t="s">
        <v>241</v>
      </c>
      <c r="DR2243" s="4" t="s">
        <v>241</v>
      </c>
      <c r="DS2243" s="4" t="s">
        <v>241</v>
      </c>
      <c r="DV2243" s="4" t="s">
        <v>426</v>
      </c>
      <c r="DW2243" s="4" t="s">
        <v>1415</v>
      </c>
      <c r="HO2243" s="4" t="s">
        <v>267</v>
      </c>
    </row>
    <row r="2244" spans="1:223" ht="19.5" customHeight="1" x14ac:dyDescent="0.4">
      <c r="A2244" s="4">
        <v>1</v>
      </c>
      <c r="B2244" s="4" t="s">
        <v>239</v>
      </c>
      <c r="C2244" s="4">
        <v>3947</v>
      </c>
      <c r="D2244" s="4">
        <v>1</v>
      </c>
      <c r="E2244" s="4">
        <v>1</v>
      </c>
      <c r="F2244" s="4" t="s">
        <v>268</v>
      </c>
      <c r="G2244" s="4" t="s">
        <v>241</v>
      </c>
      <c r="H2244" s="4" t="s">
        <v>241</v>
      </c>
      <c r="I2244" s="4" t="s">
        <v>424</v>
      </c>
      <c r="J2244" s="4" t="s">
        <v>274</v>
      </c>
      <c r="K2244" s="4" t="s">
        <v>251</v>
      </c>
      <c r="L2244" s="4" t="s">
        <v>423</v>
      </c>
      <c r="M2244" s="5" t="s">
        <v>3713</v>
      </c>
      <c r="N2244" s="6">
        <f>311</f>
        <v>311</v>
      </c>
      <c r="O2244" s="4" t="s">
        <v>265</v>
      </c>
      <c r="P2244" s="6">
        <f>1</f>
        <v>1</v>
      </c>
      <c r="Q2244" s="6">
        <f>0</f>
        <v>0</v>
      </c>
      <c r="S2244" s="6">
        <f>0</f>
        <v>0</v>
      </c>
      <c r="T2244" s="6">
        <f>1</f>
        <v>1</v>
      </c>
      <c r="U2244" s="5" t="s">
        <v>245</v>
      </c>
      <c r="V2244" s="4" t="s">
        <v>270</v>
      </c>
      <c r="W2244" s="4" t="s">
        <v>271</v>
      </c>
      <c r="X2244" s="4" t="s">
        <v>273</v>
      </c>
      <c r="Y2244" s="4" t="s">
        <v>241</v>
      </c>
      <c r="AB2244" s="4" t="s">
        <v>241</v>
      </c>
      <c r="AD2244" s="5" t="s">
        <v>241</v>
      </c>
      <c r="AG2244" s="5" t="s">
        <v>246</v>
      </c>
      <c r="AH2244" s="4" t="s">
        <v>241</v>
      </c>
      <c r="AI2244" s="4" t="s">
        <v>247</v>
      </c>
      <c r="AJ2244" s="4" t="s">
        <v>248</v>
      </c>
      <c r="AZ2244" s="4" t="s">
        <v>249</v>
      </c>
      <c r="BA2244" s="4" t="s">
        <v>241</v>
      </c>
      <c r="BB2244" s="4" t="s">
        <v>250</v>
      </c>
      <c r="BC2244" s="4" t="s">
        <v>241</v>
      </c>
      <c r="BD2244" s="4" t="s">
        <v>252</v>
      </c>
      <c r="BE2244" s="4" t="s">
        <v>241</v>
      </c>
      <c r="BI2244" s="4" t="s">
        <v>253</v>
      </c>
      <c r="BJ2244" s="5" t="s">
        <v>246</v>
      </c>
      <c r="BK2244" s="4" t="s">
        <v>254</v>
      </c>
      <c r="BL2244" s="4" t="s">
        <v>255</v>
      </c>
      <c r="BM2244" s="4" t="s">
        <v>241</v>
      </c>
      <c r="BN2244" s="6">
        <f>0</f>
        <v>0</v>
      </c>
      <c r="BO2244" s="6">
        <f>0</f>
        <v>0</v>
      </c>
      <c r="BP2244" s="4" t="s">
        <v>256</v>
      </c>
      <c r="BQ2244" s="4" t="s">
        <v>257</v>
      </c>
      <c r="CE2244" s="4" t="s">
        <v>241</v>
      </c>
      <c r="CF2244" s="4" t="s">
        <v>241</v>
      </c>
      <c r="CJ2244" s="4" t="s">
        <v>276</v>
      </c>
      <c r="CK2244" s="4" t="s">
        <v>259</v>
      </c>
      <c r="CL2244" s="4" t="s">
        <v>241</v>
      </c>
      <c r="CO2244" s="5" t="s">
        <v>260</v>
      </c>
      <c r="CP2244" s="4" t="s">
        <v>241</v>
      </c>
      <c r="CQ2244" s="4" t="s">
        <v>261</v>
      </c>
      <c r="CR2244" s="4" t="s">
        <v>241</v>
      </c>
      <c r="CS2244" s="4" t="s">
        <v>241</v>
      </c>
      <c r="CT2244" s="4">
        <v>0</v>
      </c>
      <c r="CU2244" s="4" t="s">
        <v>262</v>
      </c>
      <c r="CV2244" s="4" t="s">
        <v>263</v>
      </c>
      <c r="CW2244" s="4" t="s">
        <v>263</v>
      </c>
      <c r="CX2244" s="4" t="s">
        <v>264</v>
      </c>
      <c r="DA2244" s="6">
        <f>1</f>
        <v>1</v>
      </c>
      <c r="DC2244" s="4" t="s">
        <v>325</v>
      </c>
      <c r="DD2244" s="4" t="s">
        <v>241</v>
      </c>
      <c r="DF2244" s="4" t="s">
        <v>325</v>
      </c>
      <c r="DG2244" s="6">
        <f>311</f>
        <v>311</v>
      </c>
      <c r="DI2244" s="4" t="s">
        <v>241</v>
      </c>
      <c r="DJ2244" s="4" t="s">
        <v>241</v>
      </c>
      <c r="DK2244" s="4" t="s">
        <v>241</v>
      </c>
      <c r="DL2244" s="4" t="s">
        <v>241</v>
      </c>
      <c r="DP2244" s="4" t="s">
        <v>241</v>
      </c>
      <c r="DQ2244" s="4" t="s">
        <v>241</v>
      </c>
      <c r="DR2244" s="4" t="s">
        <v>241</v>
      </c>
      <c r="DS2244" s="4" t="s">
        <v>241</v>
      </c>
      <c r="DV2244" s="4" t="s">
        <v>426</v>
      </c>
      <c r="DW2244" s="4" t="s">
        <v>1400</v>
      </c>
      <c r="HO2244" s="4" t="s">
        <v>267</v>
      </c>
    </row>
    <row r="2245" spans="1:223" ht="19.5" customHeight="1" x14ac:dyDescent="0.4">
      <c r="A2245" s="4">
        <v>1</v>
      </c>
      <c r="B2245" s="4" t="s">
        <v>239</v>
      </c>
      <c r="C2245" s="4">
        <v>3948</v>
      </c>
      <c r="D2245" s="4">
        <v>1</v>
      </c>
      <c r="E2245" s="4">
        <v>1</v>
      </c>
      <c r="F2245" s="4" t="s">
        <v>268</v>
      </c>
      <c r="G2245" s="4" t="s">
        <v>241</v>
      </c>
      <c r="H2245" s="4" t="s">
        <v>241</v>
      </c>
      <c r="I2245" s="4" t="s">
        <v>424</v>
      </c>
      <c r="J2245" s="4" t="s">
        <v>274</v>
      </c>
      <c r="K2245" s="4" t="s">
        <v>251</v>
      </c>
      <c r="L2245" s="4" t="s">
        <v>423</v>
      </c>
      <c r="M2245" s="5" t="s">
        <v>3718</v>
      </c>
      <c r="N2245" s="6">
        <f>1747</f>
        <v>1747</v>
      </c>
      <c r="O2245" s="4" t="s">
        <v>265</v>
      </c>
      <c r="P2245" s="6">
        <f>1</f>
        <v>1</v>
      </c>
      <c r="Q2245" s="6">
        <f>0</f>
        <v>0</v>
      </c>
      <c r="S2245" s="6">
        <f>0</f>
        <v>0</v>
      </c>
      <c r="T2245" s="6">
        <f>1</f>
        <v>1</v>
      </c>
      <c r="U2245" s="5" t="s">
        <v>245</v>
      </c>
      <c r="V2245" s="4" t="s">
        <v>270</v>
      </c>
      <c r="W2245" s="4" t="s">
        <v>271</v>
      </c>
      <c r="X2245" s="4" t="s">
        <v>273</v>
      </c>
      <c r="Y2245" s="4" t="s">
        <v>241</v>
      </c>
      <c r="AB2245" s="4" t="s">
        <v>241</v>
      </c>
      <c r="AD2245" s="5" t="s">
        <v>241</v>
      </c>
      <c r="AG2245" s="5" t="s">
        <v>246</v>
      </c>
      <c r="AH2245" s="4" t="s">
        <v>241</v>
      </c>
      <c r="AI2245" s="4" t="s">
        <v>247</v>
      </c>
      <c r="AJ2245" s="4" t="s">
        <v>248</v>
      </c>
      <c r="AZ2245" s="4" t="s">
        <v>249</v>
      </c>
      <c r="BA2245" s="4" t="s">
        <v>241</v>
      </c>
      <c r="BB2245" s="4" t="s">
        <v>250</v>
      </c>
      <c r="BC2245" s="4" t="s">
        <v>241</v>
      </c>
      <c r="BD2245" s="4" t="s">
        <v>252</v>
      </c>
      <c r="BE2245" s="4" t="s">
        <v>241</v>
      </c>
      <c r="BI2245" s="4" t="s">
        <v>253</v>
      </c>
      <c r="BJ2245" s="5" t="s">
        <v>246</v>
      </c>
      <c r="BK2245" s="4" t="s">
        <v>254</v>
      </c>
      <c r="BL2245" s="4" t="s">
        <v>255</v>
      </c>
      <c r="BM2245" s="4" t="s">
        <v>241</v>
      </c>
      <c r="BN2245" s="6">
        <f>0</f>
        <v>0</v>
      </c>
      <c r="BO2245" s="6">
        <f>0</f>
        <v>0</v>
      </c>
      <c r="BP2245" s="4" t="s">
        <v>256</v>
      </c>
      <c r="BQ2245" s="4" t="s">
        <v>257</v>
      </c>
      <c r="CE2245" s="4" t="s">
        <v>241</v>
      </c>
      <c r="CF2245" s="4" t="s">
        <v>241</v>
      </c>
      <c r="CJ2245" s="4" t="s">
        <v>276</v>
      </c>
      <c r="CK2245" s="4" t="s">
        <v>259</v>
      </c>
      <c r="CL2245" s="4" t="s">
        <v>241</v>
      </c>
      <c r="CO2245" s="5" t="s">
        <v>260</v>
      </c>
      <c r="CP2245" s="4" t="s">
        <v>241</v>
      </c>
      <c r="CQ2245" s="4" t="s">
        <v>261</v>
      </c>
      <c r="CR2245" s="4" t="s">
        <v>241</v>
      </c>
      <c r="CS2245" s="4" t="s">
        <v>241</v>
      </c>
      <c r="CT2245" s="4">
        <v>0</v>
      </c>
      <c r="CU2245" s="4" t="s">
        <v>262</v>
      </c>
      <c r="CV2245" s="4" t="s">
        <v>263</v>
      </c>
      <c r="CW2245" s="4" t="s">
        <v>263</v>
      </c>
      <c r="CX2245" s="4" t="s">
        <v>264</v>
      </c>
      <c r="DA2245" s="6">
        <f>1</f>
        <v>1</v>
      </c>
      <c r="DC2245" s="4" t="s">
        <v>325</v>
      </c>
      <c r="DD2245" s="4" t="s">
        <v>241</v>
      </c>
      <c r="DF2245" s="4" t="s">
        <v>325</v>
      </c>
      <c r="DG2245" s="6">
        <f>1747</f>
        <v>1747</v>
      </c>
      <c r="DI2245" s="4" t="s">
        <v>241</v>
      </c>
      <c r="DJ2245" s="4" t="s">
        <v>241</v>
      </c>
      <c r="DK2245" s="4" t="s">
        <v>241</v>
      </c>
      <c r="DL2245" s="4" t="s">
        <v>241</v>
      </c>
      <c r="DP2245" s="4" t="s">
        <v>241</v>
      </c>
      <c r="DQ2245" s="4" t="s">
        <v>241</v>
      </c>
      <c r="DR2245" s="4" t="s">
        <v>241</v>
      </c>
      <c r="DS2245" s="4" t="s">
        <v>241</v>
      </c>
      <c r="DV2245" s="4" t="s">
        <v>426</v>
      </c>
      <c r="DW2245" s="4" t="s">
        <v>1340</v>
      </c>
      <c r="HO2245" s="4" t="s">
        <v>267</v>
      </c>
    </row>
    <row r="2246" spans="1:223" ht="19.5" customHeight="1" x14ac:dyDescent="0.4">
      <c r="A2246" s="4">
        <v>1</v>
      </c>
      <c r="B2246" s="4" t="s">
        <v>239</v>
      </c>
      <c r="C2246" s="4">
        <v>3949</v>
      </c>
      <c r="D2246" s="4">
        <v>1</v>
      </c>
      <c r="E2246" s="4">
        <v>1</v>
      </c>
      <c r="F2246" s="4" t="s">
        <v>268</v>
      </c>
      <c r="G2246" s="4" t="s">
        <v>241</v>
      </c>
      <c r="H2246" s="4" t="s">
        <v>241</v>
      </c>
      <c r="I2246" s="4" t="s">
        <v>424</v>
      </c>
      <c r="J2246" s="4" t="s">
        <v>274</v>
      </c>
      <c r="K2246" s="4" t="s">
        <v>251</v>
      </c>
      <c r="L2246" s="4" t="s">
        <v>423</v>
      </c>
      <c r="M2246" s="5" t="s">
        <v>3710</v>
      </c>
      <c r="N2246" s="6">
        <f>3534</f>
        <v>3534</v>
      </c>
      <c r="O2246" s="4" t="s">
        <v>265</v>
      </c>
      <c r="P2246" s="6">
        <f>1</f>
        <v>1</v>
      </c>
      <c r="Q2246" s="6">
        <f>0</f>
        <v>0</v>
      </c>
      <c r="S2246" s="6">
        <f>0</f>
        <v>0</v>
      </c>
      <c r="T2246" s="6">
        <f>1</f>
        <v>1</v>
      </c>
      <c r="U2246" s="5" t="s">
        <v>245</v>
      </c>
      <c r="V2246" s="4" t="s">
        <v>270</v>
      </c>
      <c r="W2246" s="4" t="s">
        <v>271</v>
      </c>
      <c r="X2246" s="4" t="s">
        <v>273</v>
      </c>
      <c r="Y2246" s="4" t="s">
        <v>241</v>
      </c>
      <c r="AB2246" s="4" t="s">
        <v>241</v>
      </c>
      <c r="AD2246" s="5" t="s">
        <v>241</v>
      </c>
      <c r="AG2246" s="5" t="s">
        <v>246</v>
      </c>
      <c r="AH2246" s="4" t="s">
        <v>241</v>
      </c>
      <c r="AI2246" s="4" t="s">
        <v>247</v>
      </c>
      <c r="AJ2246" s="4" t="s">
        <v>248</v>
      </c>
      <c r="AZ2246" s="4" t="s">
        <v>249</v>
      </c>
      <c r="BA2246" s="4" t="s">
        <v>241</v>
      </c>
      <c r="BB2246" s="4" t="s">
        <v>250</v>
      </c>
      <c r="BC2246" s="4" t="s">
        <v>241</v>
      </c>
      <c r="BD2246" s="4" t="s">
        <v>252</v>
      </c>
      <c r="BE2246" s="4" t="s">
        <v>241</v>
      </c>
      <c r="BI2246" s="4" t="s">
        <v>253</v>
      </c>
      <c r="BJ2246" s="5" t="s">
        <v>246</v>
      </c>
      <c r="BK2246" s="4" t="s">
        <v>254</v>
      </c>
      <c r="BL2246" s="4" t="s">
        <v>255</v>
      </c>
      <c r="BM2246" s="4" t="s">
        <v>241</v>
      </c>
      <c r="BN2246" s="6">
        <f>0</f>
        <v>0</v>
      </c>
      <c r="BO2246" s="6">
        <f>0</f>
        <v>0</v>
      </c>
      <c r="BP2246" s="4" t="s">
        <v>256</v>
      </c>
      <c r="BQ2246" s="4" t="s">
        <v>257</v>
      </c>
      <c r="CE2246" s="4" t="s">
        <v>241</v>
      </c>
      <c r="CF2246" s="4" t="s">
        <v>241</v>
      </c>
      <c r="CJ2246" s="4" t="s">
        <v>276</v>
      </c>
      <c r="CK2246" s="4" t="s">
        <v>259</v>
      </c>
      <c r="CL2246" s="4" t="s">
        <v>241</v>
      </c>
      <c r="CO2246" s="5" t="s">
        <v>260</v>
      </c>
      <c r="CP2246" s="4" t="s">
        <v>241</v>
      </c>
      <c r="CQ2246" s="4" t="s">
        <v>261</v>
      </c>
      <c r="CR2246" s="4" t="s">
        <v>241</v>
      </c>
      <c r="CS2246" s="4" t="s">
        <v>241</v>
      </c>
      <c r="CT2246" s="4">
        <v>0</v>
      </c>
      <c r="CU2246" s="4" t="s">
        <v>262</v>
      </c>
      <c r="CV2246" s="4" t="s">
        <v>263</v>
      </c>
      <c r="CW2246" s="4" t="s">
        <v>263</v>
      </c>
      <c r="CX2246" s="4" t="s">
        <v>264</v>
      </c>
      <c r="DA2246" s="6">
        <f>1</f>
        <v>1</v>
      </c>
      <c r="DC2246" s="4" t="s">
        <v>325</v>
      </c>
      <c r="DD2246" s="4" t="s">
        <v>241</v>
      </c>
      <c r="DF2246" s="4" t="s">
        <v>325</v>
      </c>
      <c r="DG2246" s="6">
        <f>3534</f>
        <v>3534</v>
      </c>
      <c r="DI2246" s="4" t="s">
        <v>241</v>
      </c>
      <c r="DJ2246" s="4" t="s">
        <v>241</v>
      </c>
      <c r="DK2246" s="4" t="s">
        <v>241</v>
      </c>
      <c r="DL2246" s="4" t="s">
        <v>241</v>
      </c>
      <c r="DP2246" s="4" t="s">
        <v>241</v>
      </c>
      <c r="DQ2246" s="4" t="s">
        <v>241</v>
      </c>
      <c r="DR2246" s="4" t="s">
        <v>241</v>
      </c>
      <c r="DS2246" s="4" t="s">
        <v>241</v>
      </c>
      <c r="DV2246" s="4" t="s">
        <v>426</v>
      </c>
      <c r="DW2246" s="4" t="s">
        <v>1426</v>
      </c>
      <c r="HO2246" s="4" t="s">
        <v>267</v>
      </c>
    </row>
    <row r="2247" spans="1:223" ht="19.5" customHeight="1" x14ac:dyDescent="0.4">
      <c r="A2247" s="4">
        <v>1</v>
      </c>
      <c r="B2247" s="4" t="s">
        <v>239</v>
      </c>
      <c r="C2247" s="4">
        <v>3950</v>
      </c>
      <c r="D2247" s="4">
        <v>1</v>
      </c>
      <c r="E2247" s="4">
        <v>1</v>
      </c>
      <c r="F2247" s="4" t="s">
        <v>268</v>
      </c>
      <c r="G2247" s="4" t="s">
        <v>241</v>
      </c>
      <c r="H2247" s="4" t="s">
        <v>241</v>
      </c>
      <c r="I2247" s="4" t="s">
        <v>424</v>
      </c>
      <c r="J2247" s="4" t="s">
        <v>274</v>
      </c>
      <c r="K2247" s="4" t="s">
        <v>251</v>
      </c>
      <c r="L2247" s="4" t="s">
        <v>423</v>
      </c>
      <c r="M2247" s="5" t="s">
        <v>3655</v>
      </c>
      <c r="N2247" s="6">
        <f>2548</f>
        <v>2548</v>
      </c>
      <c r="O2247" s="4" t="s">
        <v>265</v>
      </c>
      <c r="P2247" s="6">
        <f>1</f>
        <v>1</v>
      </c>
      <c r="Q2247" s="6">
        <f>0</f>
        <v>0</v>
      </c>
      <c r="S2247" s="6">
        <f>0</f>
        <v>0</v>
      </c>
      <c r="T2247" s="6">
        <f>1</f>
        <v>1</v>
      </c>
      <c r="U2247" s="5" t="s">
        <v>245</v>
      </c>
      <c r="V2247" s="4" t="s">
        <v>270</v>
      </c>
      <c r="W2247" s="4" t="s">
        <v>271</v>
      </c>
      <c r="X2247" s="4" t="s">
        <v>273</v>
      </c>
      <c r="Y2247" s="4" t="s">
        <v>241</v>
      </c>
      <c r="AB2247" s="4" t="s">
        <v>241</v>
      </c>
      <c r="AD2247" s="5" t="s">
        <v>241</v>
      </c>
      <c r="AG2247" s="5" t="s">
        <v>246</v>
      </c>
      <c r="AH2247" s="4" t="s">
        <v>241</v>
      </c>
      <c r="AI2247" s="4" t="s">
        <v>247</v>
      </c>
      <c r="AJ2247" s="4" t="s">
        <v>248</v>
      </c>
      <c r="AZ2247" s="4" t="s">
        <v>249</v>
      </c>
      <c r="BA2247" s="4" t="s">
        <v>241</v>
      </c>
      <c r="BB2247" s="4" t="s">
        <v>250</v>
      </c>
      <c r="BC2247" s="4" t="s">
        <v>241</v>
      </c>
      <c r="BD2247" s="4" t="s">
        <v>252</v>
      </c>
      <c r="BE2247" s="4" t="s">
        <v>241</v>
      </c>
      <c r="BI2247" s="4" t="s">
        <v>253</v>
      </c>
      <c r="BJ2247" s="5" t="s">
        <v>246</v>
      </c>
      <c r="BK2247" s="4" t="s">
        <v>254</v>
      </c>
      <c r="BL2247" s="4" t="s">
        <v>255</v>
      </c>
      <c r="BM2247" s="4" t="s">
        <v>241</v>
      </c>
      <c r="BN2247" s="6">
        <f>0</f>
        <v>0</v>
      </c>
      <c r="BO2247" s="6">
        <f>0</f>
        <v>0</v>
      </c>
      <c r="BP2247" s="4" t="s">
        <v>256</v>
      </c>
      <c r="BQ2247" s="4" t="s">
        <v>257</v>
      </c>
      <c r="CE2247" s="4" t="s">
        <v>241</v>
      </c>
      <c r="CF2247" s="4" t="s">
        <v>241</v>
      </c>
      <c r="CJ2247" s="4" t="s">
        <v>276</v>
      </c>
      <c r="CK2247" s="4" t="s">
        <v>259</v>
      </c>
      <c r="CL2247" s="4" t="s">
        <v>241</v>
      </c>
      <c r="CO2247" s="5" t="s">
        <v>260</v>
      </c>
      <c r="CP2247" s="4" t="s">
        <v>241</v>
      </c>
      <c r="CQ2247" s="4" t="s">
        <v>261</v>
      </c>
      <c r="CR2247" s="4" t="s">
        <v>241</v>
      </c>
      <c r="CS2247" s="4" t="s">
        <v>241</v>
      </c>
      <c r="CT2247" s="4">
        <v>0</v>
      </c>
      <c r="CU2247" s="4" t="s">
        <v>262</v>
      </c>
      <c r="CV2247" s="4" t="s">
        <v>263</v>
      </c>
      <c r="CW2247" s="4" t="s">
        <v>263</v>
      </c>
      <c r="CX2247" s="4" t="s">
        <v>264</v>
      </c>
      <c r="DA2247" s="6">
        <f>1</f>
        <v>1</v>
      </c>
      <c r="DC2247" s="4" t="s">
        <v>325</v>
      </c>
      <c r="DD2247" s="4" t="s">
        <v>241</v>
      </c>
      <c r="DF2247" s="4" t="s">
        <v>325</v>
      </c>
      <c r="DG2247" s="6">
        <f>2548</f>
        <v>2548</v>
      </c>
      <c r="DI2247" s="4" t="s">
        <v>241</v>
      </c>
      <c r="DJ2247" s="4" t="s">
        <v>241</v>
      </c>
      <c r="DK2247" s="4" t="s">
        <v>241</v>
      </c>
      <c r="DL2247" s="4" t="s">
        <v>241</v>
      </c>
      <c r="DP2247" s="4" t="s">
        <v>241</v>
      </c>
      <c r="DQ2247" s="4" t="s">
        <v>241</v>
      </c>
      <c r="DR2247" s="4" t="s">
        <v>241</v>
      </c>
      <c r="DS2247" s="4" t="s">
        <v>241</v>
      </c>
      <c r="DV2247" s="4" t="s">
        <v>426</v>
      </c>
      <c r="DW2247" s="4" t="s">
        <v>1424</v>
      </c>
      <c r="HO2247" s="4" t="s">
        <v>267</v>
      </c>
    </row>
    <row r="2248" spans="1:223" ht="19.5" customHeight="1" x14ac:dyDescent="0.4">
      <c r="A2248" s="4">
        <v>1</v>
      </c>
      <c r="B2248" s="4" t="s">
        <v>239</v>
      </c>
      <c r="C2248" s="4">
        <v>3951</v>
      </c>
      <c r="D2248" s="4">
        <v>1</v>
      </c>
      <c r="E2248" s="4">
        <v>1</v>
      </c>
      <c r="F2248" s="4" t="s">
        <v>268</v>
      </c>
      <c r="G2248" s="4" t="s">
        <v>241</v>
      </c>
      <c r="H2248" s="4" t="s">
        <v>241</v>
      </c>
      <c r="I2248" s="4" t="s">
        <v>424</v>
      </c>
      <c r="J2248" s="4" t="s">
        <v>274</v>
      </c>
      <c r="K2248" s="4" t="s">
        <v>251</v>
      </c>
      <c r="L2248" s="4" t="s">
        <v>423</v>
      </c>
      <c r="M2248" s="5" t="s">
        <v>4744</v>
      </c>
      <c r="N2248" s="6">
        <f>700</f>
        <v>700</v>
      </c>
      <c r="O2248" s="4" t="s">
        <v>265</v>
      </c>
      <c r="P2248" s="6">
        <f>1</f>
        <v>1</v>
      </c>
      <c r="Q2248" s="6">
        <f>0</f>
        <v>0</v>
      </c>
      <c r="S2248" s="6">
        <f>0</f>
        <v>0</v>
      </c>
      <c r="T2248" s="6">
        <f>1</f>
        <v>1</v>
      </c>
      <c r="U2248" s="5" t="s">
        <v>245</v>
      </c>
      <c r="V2248" s="4" t="s">
        <v>270</v>
      </c>
      <c r="W2248" s="4" t="s">
        <v>271</v>
      </c>
      <c r="X2248" s="4" t="s">
        <v>273</v>
      </c>
      <c r="Y2248" s="4" t="s">
        <v>241</v>
      </c>
      <c r="AB2248" s="4" t="s">
        <v>241</v>
      </c>
      <c r="AD2248" s="5" t="s">
        <v>241</v>
      </c>
      <c r="AG2248" s="5" t="s">
        <v>246</v>
      </c>
      <c r="AH2248" s="4" t="s">
        <v>241</v>
      </c>
      <c r="AI2248" s="4" t="s">
        <v>247</v>
      </c>
      <c r="AJ2248" s="4" t="s">
        <v>248</v>
      </c>
      <c r="AZ2248" s="4" t="s">
        <v>249</v>
      </c>
      <c r="BA2248" s="4" t="s">
        <v>241</v>
      </c>
      <c r="BB2248" s="4" t="s">
        <v>250</v>
      </c>
      <c r="BC2248" s="4" t="s">
        <v>241</v>
      </c>
      <c r="BD2248" s="4" t="s">
        <v>252</v>
      </c>
      <c r="BE2248" s="4" t="s">
        <v>241</v>
      </c>
      <c r="BI2248" s="4" t="s">
        <v>253</v>
      </c>
      <c r="BJ2248" s="5" t="s">
        <v>246</v>
      </c>
      <c r="BK2248" s="4" t="s">
        <v>254</v>
      </c>
      <c r="BL2248" s="4" t="s">
        <v>255</v>
      </c>
      <c r="BM2248" s="4" t="s">
        <v>241</v>
      </c>
      <c r="BN2248" s="6">
        <f>0</f>
        <v>0</v>
      </c>
      <c r="BO2248" s="6">
        <f>0</f>
        <v>0</v>
      </c>
      <c r="BP2248" s="4" t="s">
        <v>256</v>
      </c>
      <c r="BQ2248" s="4" t="s">
        <v>257</v>
      </c>
      <c r="CE2248" s="4" t="s">
        <v>241</v>
      </c>
      <c r="CF2248" s="4" t="s">
        <v>241</v>
      </c>
      <c r="CJ2248" s="4" t="s">
        <v>276</v>
      </c>
      <c r="CK2248" s="4" t="s">
        <v>259</v>
      </c>
      <c r="CL2248" s="4" t="s">
        <v>241</v>
      </c>
      <c r="CO2248" s="5" t="s">
        <v>260</v>
      </c>
      <c r="CP2248" s="4" t="s">
        <v>241</v>
      </c>
      <c r="CQ2248" s="4" t="s">
        <v>261</v>
      </c>
      <c r="CR2248" s="4" t="s">
        <v>241</v>
      </c>
      <c r="CS2248" s="4" t="s">
        <v>241</v>
      </c>
      <c r="CT2248" s="4">
        <v>0</v>
      </c>
      <c r="CU2248" s="4" t="s">
        <v>262</v>
      </c>
      <c r="CV2248" s="4" t="s">
        <v>263</v>
      </c>
      <c r="CW2248" s="4" t="s">
        <v>263</v>
      </c>
      <c r="CX2248" s="4" t="s">
        <v>264</v>
      </c>
      <c r="DA2248" s="6">
        <f>1</f>
        <v>1</v>
      </c>
      <c r="DC2248" s="4" t="s">
        <v>325</v>
      </c>
      <c r="DD2248" s="4" t="s">
        <v>241</v>
      </c>
      <c r="DF2248" s="4" t="s">
        <v>325</v>
      </c>
      <c r="DG2248" s="6">
        <f>700</f>
        <v>700</v>
      </c>
      <c r="DI2248" s="4" t="s">
        <v>241</v>
      </c>
      <c r="DJ2248" s="4" t="s">
        <v>241</v>
      </c>
      <c r="DK2248" s="4" t="s">
        <v>241</v>
      </c>
      <c r="DL2248" s="4" t="s">
        <v>241</v>
      </c>
      <c r="DP2248" s="4" t="s">
        <v>241</v>
      </c>
      <c r="DQ2248" s="4" t="s">
        <v>241</v>
      </c>
      <c r="DR2248" s="4" t="s">
        <v>241</v>
      </c>
      <c r="DS2248" s="4" t="s">
        <v>241</v>
      </c>
      <c r="DV2248" s="4" t="s">
        <v>426</v>
      </c>
      <c r="DW2248" s="4" t="s">
        <v>1011</v>
      </c>
      <c r="HO2248" s="4" t="s">
        <v>267</v>
      </c>
    </row>
    <row r="2249" spans="1:223" ht="19.5" customHeight="1" x14ac:dyDescent="0.4">
      <c r="A2249" s="4">
        <v>1</v>
      </c>
      <c r="B2249" s="4" t="s">
        <v>239</v>
      </c>
      <c r="C2249" s="4">
        <v>3952</v>
      </c>
      <c r="D2249" s="4">
        <v>1</v>
      </c>
      <c r="E2249" s="4">
        <v>1</v>
      </c>
      <c r="F2249" s="4" t="s">
        <v>268</v>
      </c>
      <c r="G2249" s="4" t="s">
        <v>241</v>
      </c>
      <c r="H2249" s="4" t="s">
        <v>241</v>
      </c>
      <c r="I2249" s="4" t="s">
        <v>424</v>
      </c>
      <c r="J2249" s="4" t="s">
        <v>274</v>
      </c>
      <c r="K2249" s="4" t="s">
        <v>251</v>
      </c>
      <c r="L2249" s="4" t="s">
        <v>423</v>
      </c>
      <c r="M2249" s="5" t="s">
        <v>3679</v>
      </c>
      <c r="N2249" s="6">
        <f>144</f>
        <v>144</v>
      </c>
      <c r="O2249" s="4" t="s">
        <v>265</v>
      </c>
      <c r="P2249" s="6">
        <f>1</f>
        <v>1</v>
      </c>
      <c r="Q2249" s="6">
        <f>0</f>
        <v>0</v>
      </c>
      <c r="S2249" s="6">
        <f>0</f>
        <v>0</v>
      </c>
      <c r="T2249" s="6">
        <f>1</f>
        <v>1</v>
      </c>
      <c r="U2249" s="5" t="s">
        <v>245</v>
      </c>
      <c r="V2249" s="4" t="s">
        <v>270</v>
      </c>
      <c r="W2249" s="4" t="s">
        <v>271</v>
      </c>
      <c r="X2249" s="4" t="s">
        <v>273</v>
      </c>
      <c r="Y2249" s="4" t="s">
        <v>241</v>
      </c>
      <c r="AB2249" s="4" t="s">
        <v>241</v>
      </c>
      <c r="AD2249" s="5" t="s">
        <v>241</v>
      </c>
      <c r="AG2249" s="5" t="s">
        <v>246</v>
      </c>
      <c r="AH2249" s="4" t="s">
        <v>241</v>
      </c>
      <c r="AI2249" s="4" t="s">
        <v>247</v>
      </c>
      <c r="AJ2249" s="4" t="s">
        <v>248</v>
      </c>
      <c r="AZ2249" s="4" t="s">
        <v>249</v>
      </c>
      <c r="BA2249" s="4" t="s">
        <v>241</v>
      </c>
      <c r="BB2249" s="4" t="s">
        <v>250</v>
      </c>
      <c r="BC2249" s="4" t="s">
        <v>241</v>
      </c>
      <c r="BD2249" s="4" t="s">
        <v>252</v>
      </c>
      <c r="BE2249" s="4" t="s">
        <v>241</v>
      </c>
      <c r="BI2249" s="4" t="s">
        <v>253</v>
      </c>
      <c r="BJ2249" s="5" t="s">
        <v>246</v>
      </c>
      <c r="BK2249" s="4" t="s">
        <v>254</v>
      </c>
      <c r="BL2249" s="4" t="s">
        <v>255</v>
      </c>
      <c r="BM2249" s="4" t="s">
        <v>241</v>
      </c>
      <c r="BN2249" s="6">
        <f>0</f>
        <v>0</v>
      </c>
      <c r="BO2249" s="6">
        <f>0</f>
        <v>0</v>
      </c>
      <c r="BP2249" s="4" t="s">
        <v>256</v>
      </c>
      <c r="BQ2249" s="4" t="s">
        <v>257</v>
      </c>
      <c r="CE2249" s="4" t="s">
        <v>241</v>
      </c>
      <c r="CF2249" s="4" t="s">
        <v>241</v>
      </c>
      <c r="CJ2249" s="4" t="s">
        <v>276</v>
      </c>
      <c r="CK2249" s="4" t="s">
        <v>259</v>
      </c>
      <c r="CL2249" s="4" t="s">
        <v>241</v>
      </c>
      <c r="CO2249" s="5" t="s">
        <v>260</v>
      </c>
      <c r="CP2249" s="4" t="s">
        <v>241</v>
      </c>
      <c r="CQ2249" s="4" t="s">
        <v>261</v>
      </c>
      <c r="CR2249" s="4" t="s">
        <v>241</v>
      </c>
      <c r="CS2249" s="4" t="s">
        <v>241</v>
      </c>
      <c r="CT2249" s="4">
        <v>0</v>
      </c>
      <c r="CU2249" s="4" t="s">
        <v>262</v>
      </c>
      <c r="CV2249" s="4" t="s">
        <v>263</v>
      </c>
      <c r="CW2249" s="4" t="s">
        <v>263</v>
      </c>
      <c r="CX2249" s="4" t="s">
        <v>264</v>
      </c>
      <c r="DA2249" s="6">
        <f>1</f>
        <v>1</v>
      </c>
      <c r="DC2249" s="4" t="s">
        <v>325</v>
      </c>
      <c r="DD2249" s="4" t="s">
        <v>241</v>
      </c>
      <c r="DF2249" s="4" t="s">
        <v>325</v>
      </c>
      <c r="DG2249" s="6">
        <f>144</f>
        <v>144</v>
      </c>
      <c r="DI2249" s="4" t="s">
        <v>241</v>
      </c>
      <c r="DJ2249" s="4" t="s">
        <v>241</v>
      </c>
      <c r="DK2249" s="4" t="s">
        <v>241</v>
      </c>
      <c r="DL2249" s="4" t="s">
        <v>241</v>
      </c>
      <c r="DP2249" s="4" t="s">
        <v>241</v>
      </c>
      <c r="DQ2249" s="4" t="s">
        <v>241</v>
      </c>
      <c r="DR2249" s="4" t="s">
        <v>241</v>
      </c>
      <c r="DS2249" s="4" t="s">
        <v>241</v>
      </c>
      <c r="DV2249" s="4" t="s">
        <v>426</v>
      </c>
      <c r="DW2249" s="4" t="s">
        <v>1421</v>
      </c>
      <c r="HO2249" s="4" t="s">
        <v>267</v>
      </c>
    </row>
    <row r="2250" spans="1:223" ht="19.5" customHeight="1" x14ac:dyDescent="0.4">
      <c r="A2250" s="4">
        <v>1</v>
      </c>
      <c r="B2250" s="4" t="s">
        <v>239</v>
      </c>
      <c r="C2250" s="4">
        <v>3953</v>
      </c>
      <c r="D2250" s="4">
        <v>1</v>
      </c>
      <c r="E2250" s="4">
        <v>1</v>
      </c>
      <c r="F2250" s="4" t="s">
        <v>268</v>
      </c>
      <c r="G2250" s="4" t="s">
        <v>241</v>
      </c>
      <c r="H2250" s="4" t="s">
        <v>241</v>
      </c>
      <c r="I2250" s="4" t="s">
        <v>424</v>
      </c>
      <c r="J2250" s="4" t="s">
        <v>274</v>
      </c>
      <c r="K2250" s="4" t="s">
        <v>251</v>
      </c>
      <c r="L2250" s="4" t="s">
        <v>423</v>
      </c>
      <c r="M2250" s="5" t="s">
        <v>957</v>
      </c>
      <c r="N2250" s="6">
        <f>3795</f>
        <v>3795</v>
      </c>
      <c r="O2250" s="4" t="s">
        <v>265</v>
      </c>
      <c r="P2250" s="6">
        <f>1</f>
        <v>1</v>
      </c>
      <c r="Q2250" s="6">
        <f>0</f>
        <v>0</v>
      </c>
      <c r="S2250" s="6">
        <f>0</f>
        <v>0</v>
      </c>
      <c r="T2250" s="6">
        <f>1</f>
        <v>1</v>
      </c>
      <c r="U2250" s="5" t="s">
        <v>245</v>
      </c>
      <c r="V2250" s="4" t="s">
        <v>270</v>
      </c>
      <c r="W2250" s="4" t="s">
        <v>271</v>
      </c>
      <c r="X2250" s="4" t="s">
        <v>273</v>
      </c>
      <c r="Y2250" s="4" t="s">
        <v>241</v>
      </c>
      <c r="AB2250" s="4" t="s">
        <v>241</v>
      </c>
      <c r="AD2250" s="5" t="s">
        <v>241</v>
      </c>
      <c r="AG2250" s="5" t="s">
        <v>246</v>
      </c>
      <c r="AH2250" s="4" t="s">
        <v>241</v>
      </c>
      <c r="AI2250" s="4" t="s">
        <v>247</v>
      </c>
      <c r="AJ2250" s="4" t="s">
        <v>248</v>
      </c>
      <c r="AZ2250" s="4" t="s">
        <v>249</v>
      </c>
      <c r="BA2250" s="4" t="s">
        <v>241</v>
      </c>
      <c r="BB2250" s="4" t="s">
        <v>250</v>
      </c>
      <c r="BC2250" s="4" t="s">
        <v>241</v>
      </c>
      <c r="BD2250" s="4" t="s">
        <v>252</v>
      </c>
      <c r="BE2250" s="4" t="s">
        <v>241</v>
      </c>
      <c r="BI2250" s="4" t="s">
        <v>253</v>
      </c>
      <c r="BJ2250" s="5" t="s">
        <v>246</v>
      </c>
      <c r="BK2250" s="4" t="s">
        <v>254</v>
      </c>
      <c r="BL2250" s="4" t="s">
        <v>255</v>
      </c>
      <c r="BM2250" s="4" t="s">
        <v>241</v>
      </c>
      <c r="BN2250" s="6">
        <f>0</f>
        <v>0</v>
      </c>
      <c r="BO2250" s="6">
        <f>0</f>
        <v>0</v>
      </c>
      <c r="BP2250" s="4" t="s">
        <v>256</v>
      </c>
      <c r="BQ2250" s="4" t="s">
        <v>257</v>
      </c>
      <c r="CE2250" s="4" t="s">
        <v>241</v>
      </c>
      <c r="CF2250" s="4" t="s">
        <v>241</v>
      </c>
      <c r="CJ2250" s="4" t="s">
        <v>276</v>
      </c>
      <c r="CK2250" s="4" t="s">
        <v>259</v>
      </c>
      <c r="CL2250" s="4" t="s">
        <v>241</v>
      </c>
      <c r="CO2250" s="5" t="s">
        <v>260</v>
      </c>
      <c r="CP2250" s="4" t="s">
        <v>241</v>
      </c>
      <c r="CQ2250" s="4" t="s">
        <v>261</v>
      </c>
      <c r="CR2250" s="4" t="s">
        <v>241</v>
      </c>
      <c r="CS2250" s="4" t="s">
        <v>241</v>
      </c>
      <c r="CT2250" s="4">
        <v>0</v>
      </c>
      <c r="CU2250" s="4" t="s">
        <v>262</v>
      </c>
      <c r="CV2250" s="4" t="s">
        <v>263</v>
      </c>
      <c r="CW2250" s="4" t="s">
        <v>263</v>
      </c>
      <c r="CX2250" s="4" t="s">
        <v>264</v>
      </c>
      <c r="DA2250" s="6">
        <f>1</f>
        <v>1</v>
      </c>
      <c r="DC2250" s="4" t="s">
        <v>325</v>
      </c>
      <c r="DD2250" s="4" t="s">
        <v>241</v>
      </c>
      <c r="DF2250" s="4" t="s">
        <v>325</v>
      </c>
      <c r="DG2250" s="6">
        <f>3795</f>
        <v>3795</v>
      </c>
      <c r="DI2250" s="4" t="s">
        <v>241</v>
      </c>
      <c r="DJ2250" s="4" t="s">
        <v>241</v>
      </c>
      <c r="DK2250" s="4" t="s">
        <v>241</v>
      </c>
      <c r="DL2250" s="4" t="s">
        <v>241</v>
      </c>
      <c r="DP2250" s="4" t="s">
        <v>241</v>
      </c>
      <c r="DQ2250" s="4" t="s">
        <v>241</v>
      </c>
      <c r="DR2250" s="4" t="s">
        <v>241</v>
      </c>
      <c r="DS2250" s="4" t="s">
        <v>241</v>
      </c>
      <c r="DV2250" s="4" t="s">
        <v>426</v>
      </c>
      <c r="DW2250" s="4" t="s">
        <v>958</v>
      </c>
      <c r="HO2250" s="4" t="s">
        <v>267</v>
      </c>
    </row>
    <row r="2251" spans="1:223" ht="19.5" customHeight="1" x14ac:dyDescent="0.4">
      <c r="A2251" s="4">
        <v>1</v>
      </c>
      <c r="B2251" s="4" t="s">
        <v>239</v>
      </c>
      <c r="C2251" s="4">
        <v>3954</v>
      </c>
      <c r="D2251" s="4">
        <v>1</v>
      </c>
      <c r="E2251" s="4">
        <v>1</v>
      </c>
      <c r="F2251" s="4" t="s">
        <v>268</v>
      </c>
      <c r="G2251" s="4" t="s">
        <v>241</v>
      </c>
      <c r="H2251" s="4" t="s">
        <v>241</v>
      </c>
      <c r="I2251" s="4" t="s">
        <v>424</v>
      </c>
      <c r="J2251" s="4" t="s">
        <v>274</v>
      </c>
      <c r="K2251" s="4" t="s">
        <v>251</v>
      </c>
      <c r="L2251" s="4" t="s">
        <v>423</v>
      </c>
      <c r="M2251" s="5" t="s">
        <v>867</v>
      </c>
      <c r="N2251" s="6">
        <f>32</f>
        <v>32</v>
      </c>
      <c r="O2251" s="4" t="s">
        <v>265</v>
      </c>
      <c r="P2251" s="6">
        <f>1</f>
        <v>1</v>
      </c>
      <c r="Q2251" s="6">
        <f>0</f>
        <v>0</v>
      </c>
      <c r="S2251" s="6">
        <f>0</f>
        <v>0</v>
      </c>
      <c r="T2251" s="6">
        <f>1</f>
        <v>1</v>
      </c>
      <c r="U2251" s="5" t="s">
        <v>245</v>
      </c>
      <c r="V2251" s="4" t="s">
        <v>270</v>
      </c>
      <c r="W2251" s="4" t="s">
        <v>271</v>
      </c>
      <c r="X2251" s="4" t="s">
        <v>273</v>
      </c>
      <c r="Y2251" s="4" t="s">
        <v>241</v>
      </c>
      <c r="AB2251" s="4" t="s">
        <v>241</v>
      </c>
      <c r="AD2251" s="5" t="s">
        <v>241</v>
      </c>
      <c r="AG2251" s="5" t="s">
        <v>246</v>
      </c>
      <c r="AH2251" s="4" t="s">
        <v>241</v>
      </c>
      <c r="AI2251" s="4" t="s">
        <v>247</v>
      </c>
      <c r="AJ2251" s="4" t="s">
        <v>248</v>
      </c>
      <c r="AZ2251" s="4" t="s">
        <v>249</v>
      </c>
      <c r="BA2251" s="4" t="s">
        <v>241</v>
      </c>
      <c r="BB2251" s="4" t="s">
        <v>250</v>
      </c>
      <c r="BC2251" s="4" t="s">
        <v>241</v>
      </c>
      <c r="BD2251" s="4" t="s">
        <v>252</v>
      </c>
      <c r="BE2251" s="4" t="s">
        <v>241</v>
      </c>
      <c r="BI2251" s="4" t="s">
        <v>253</v>
      </c>
      <c r="BJ2251" s="5" t="s">
        <v>246</v>
      </c>
      <c r="BK2251" s="4" t="s">
        <v>254</v>
      </c>
      <c r="BL2251" s="4" t="s">
        <v>255</v>
      </c>
      <c r="BM2251" s="4" t="s">
        <v>241</v>
      </c>
      <c r="BN2251" s="6">
        <f>0</f>
        <v>0</v>
      </c>
      <c r="BO2251" s="6">
        <f>0</f>
        <v>0</v>
      </c>
      <c r="BP2251" s="4" t="s">
        <v>256</v>
      </c>
      <c r="BQ2251" s="4" t="s">
        <v>257</v>
      </c>
      <c r="CE2251" s="4" t="s">
        <v>241</v>
      </c>
      <c r="CF2251" s="4" t="s">
        <v>241</v>
      </c>
      <c r="CJ2251" s="4" t="s">
        <v>276</v>
      </c>
      <c r="CK2251" s="4" t="s">
        <v>259</v>
      </c>
      <c r="CL2251" s="4" t="s">
        <v>241</v>
      </c>
      <c r="CO2251" s="5" t="s">
        <v>260</v>
      </c>
      <c r="CP2251" s="4" t="s">
        <v>241</v>
      </c>
      <c r="CQ2251" s="4" t="s">
        <v>261</v>
      </c>
      <c r="CR2251" s="4" t="s">
        <v>241</v>
      </c>
      <c r="CS2251" s="4" t="s">
        <v>241</v>
      </c>
      <c r="CT2251" s="4">
        <v>0</v>
      </c>
      <c r="CU2251" s="4" t="s">
        <v>262</v>
      </c>
      <c r="CV2251" s="4" t="s">
        <v>263</v>
      </c>
      <c r="CW2251" s="4" t="s">
        <v>263</v>
      </c>
      <c r="CX2251" s="4" t="s">
        <v>264</v>
      </c>
      <c r="DA2251" s="6">
        <f>1</f>
        <v>1</v>
      </c>
      <c r="DC2251" s="4" t="s">
        <v>325</v>
      </c>
      <c r="DD2251" s="4" t="s">
        <v>241</v>
      </c>
      <c r="DF2251" s="4" t="s">
        <v>325</v>
      </c>
      <c r="DG2251" s="6">
        <f>32</f>
        <v>32</v>
      </c>
      <c r="DI2251" s="4" t="s">
        <v>241</v>
      </c>
      <c r="DJ2251" s="4" t="s">
        <v>241</v>
      </c>
      <c r="DK2251" s="4" t="s">
        <v>241</v>
      </c>
      <c r="DL2251" s="4" t="s">
        <v>241</v>
      </c>
      <c r="DP2251" s="4" t="s">
        <v>241</v>
      </c>
      <c r="DQ2251" s="4" t="s">
        <v>241</v>
      </c>
      <c r="DR2251" s="4" t="s">
        <v>241</v>
      </c>
      <c r="DS2251" s="4" t="s">
        <v>241</v>
      </c>
      <c r="DV2251" s="4" t="s">
        <v>426</v>
      </c>
      <c r="DW2251" s="4" t="s">
        <v>868</v>
      </c>
      <c r="HO2251" s="4" t="s">
        <v>267</v>
      </c>
    </row>
    <row r="2252" spans="1:223" ht="19.5" customHeight="1" x14ac:dyDescent="0.4">
      <c r="A2252" s="4">
        <v>1</v>
      </c>
      <c r="B2252" s="4" t="s">
        <v>239</v>
      </c>
      <c r="C2252" s="4">
        <v>3955</v>
      </c>
      <c r="D2252" s="4">
        <v>1</v>
      </c>
      <c r="E2252" s="4">
        <v>1</v>
      </c>
      <c r="F2252" s="4" t="s">
        <v>268</v>
      </c>
      <c r="G2252" s="4" t="s">
        <v>241</v>
      </c>
      <c r="H2252" s="4" t="s">
        <v>241</v>
      </c>
      <c r="I2252" s="4" t="s">
        <v>424</v>
      </c>
      <c r="J2252" s="4" t="s">
        <v>274</v>
      </c>
      <c r="K2252" s="4" t="s">
        <v>251</v>
      </c>
      <c r="L2252" s="4" t="s">
        <v>423</v>
      </c>
      <c r="M2252" s="5" t="s">
        <v>869</v>
      </c>
      <c r="N2252" s="6">
        <f>597</f>
        <v>597</v>
      </c>
      <c r="O2252" s="4" t="s">
        <v>265</v>
      </c>
      <c r="P2252" s="6">
        <f>1</f>
        <v>1</v>
      </c>
      <c r="Q2252" s="6">
        <f>0</f>
        <v>0</v>
      </c>
      <c r="S2252" s="6">
        <f>0</f>
        <v>0</v>
      </c>
      <c r="T2252" s="6">
        <f>1</f>
        <v>1</v>
      </c>
      <c r="U2252" s="5" t="s">
        <v>245</v>
      </c>
      <c r="V2252" s="4" t="s">
        <v>270</v>
      </c>
      <c r="W2252" s="4" t="s">
        <v>271</v>
      </c>
      <c r="X2252" s="4" t="s">
        <v>273</v>
      </c>
      <c r="Y2252" s="4" t="s">
        <v>241</v>
      </c>
      <c r="AB2252" s="4" t="s">
        <v>241</v>
      </c>
      <c r="AD2252" s="5" t="s">
        <v>241</v>
      </c>
      <c r="AG2252" s="5" t="s">
        <v>246</v>
      </c>
      <c r="AH2252" s="4" t="s">
        <v>241</v>
      </c>
      <c r="AI2252" s="4" t="s">
        <v>247</v>
      </c>
      <c r="AJ2252" s="4" t="s">
        <v>248</v>
      </c>
      <c r="AZ2252" s="4" t="s">
        <v>249</v>
      </c>
      <c r="BA2252" s="4" t="s">
        <v>241</v>
      </c>
      <c r="BB2252" s="4" t="s">
        <v>250</v>
      </c>
      <c r="BC2252" s="4" t="s">
        <v>241</v>
      </c>
      <c r="BD2252" s="4" t="s">
        <v>252</v>
      </c>
      <c r="BE2252" s="4" t="s">
        <v>241</v>
      </c>
      <c r="BI2252" s="4" t="s">
        <v>253</v>
      </c>
      <c r="BJ2252" s="5" t="s">
        <v>246</v>
      </c>
      <c r="BK2252" s="4" t="s">
        <v>254</v>
      </c>
      <c r="BL2252" s="4" t="s">
        <v>255</v>
      </c>
      <c r="BM2252" s="4" t="s">
        <v>241</v>
      </c>
      <c r="BN2252" s="6">
        <f>0</f>
        <v>0</v>
      </c>
      <c r="BO2252" s="6">
        <f>0</f>
        <v>0</v>
      </c>
      <c r="BP2252" s="4" t="s">
        <v>256</v>
      </c>
      <c r="BQ2252" s="4" t="s">
        <v>257</v>
      </c>
      <c r="CE2252" s="4" t="s">
        <v>241</v>
      </c>
      <c r="CF2252" s="4" t="s">
        <v>241</v>
      </c>
      <c r="CJ2252" s="4" t="s">
        <v>276</v>
      </c>
      <c r="CK2252" s="4" t="s">
        <v>259</v>
      </c>
      <c r="CL2252" s="4" t="s">
        <v>241</v>
      </c>
      <c r="CO2252" s="5" t="s">
        <v>260</v>
      </c>
      <c r="CP2252" s="4" t="s">
        <v>241</v>
      </c>
      <c r="CQ2252" s="4" t="s">
        <v>261</v>
      </c>
      <c r="CR2252" s="4" t="s">
        <v>241</v>
      </c>
      <c r="CS2252" s="4" t="s">
        <v>241</v>
      </c>
      <c r="CT2252" s="4">
        <v>0</v>
      </c>
      <c r="CU2252" s="4" t="s">
        <v>262</v>
      </c>
      <c r="CV2252" s="4" t="s">
        <v>263</v>
      </c>
      <c r="CW2252" s="4" t="s">
        <v>263</v>
      </c>
      <c r="CX2252" s="4" t="s">
        <v>264</v>
      </c>
      <c r="DA2252" s="6">
        <f>1</f>
        <v>1</v>
      </c>
      <c r="DC2252" s="4" t="s">
        <v>325</v>
      </c>
      <c r="DD2252" s="4" t="s">
        <v>241</v>
      </c>
      <c r="DF2252" s="4" t="s">
        <v>325</v>
      </c>
      <c r="DG2252" s="6">
        <f>597</f>
        <v>597</v>
      </c>
      <c r="DI2252" s="4" t="s">
        <v>241</v>
      </c>
      <c r="DJ2252" s="4" t="s">
        <v>241</v>
      </c>
      <c r="DK2252" s="4" t="s">
        <v>241</v>
      </c>
      <c r="DL2252" s="4" t="s">
        <v>241</v>
      </c>
      <c r="DP2252" s="4" t="s">
        <v>241</v>
      </c>
      <c r="DQ2252" s="4" t="s">
        <v>241</v>
      </c>
      <c r="DR2252" s="4" t="s">
        <v>241</v>
      </c>
      <c r="DS2252" s="4" t="s">
        <v>241</v>
      </c>
      <c r="DV2252" s="4" t="s">
        <v>426</v>
      </c>
      <c r="DW2252" s="4" t="s">
        <v>870</v>
      </c>
      <c r="HO2252" s="4" t="s">
        <v>267</v>
      </c>
    </row>
    <row r="2253" spans="1:223" ht="19.5" customHeight="1" x14ac:dyDescent="0.4">
      <c r="A2253" s="4">
        <v>1</v>
      </c>
      <c r="B2253" s="4" t="s">
        <v>239</v>
      </c>
      <c r="C2253" s="4">
        <v>3956</v>
      </c>
      <c r="D2253" s="4">
        <v>1</v>
      </c>
      <c r="E2253" s="4">
        <v>1</v>
      </c>
      <c r="F2253" s="4" t="s">
        <v>268</v>
      </c>
      <c r="G2253" s="4" t="s">
        <v>241</v>
      </c>
      <c r="H2253" s="4" t="s">
        <v>241</v>
      </c>
      <c r="I2253" s="4" t="s">
        <v>424</v>
      </c>
      <c r="J2253" s="4" t="s">
        <v>274</v>
      </c>
      <c r="K2253" s="4" t="s">
        <v>251</v>
      </c>
      <c r="L2253" s="4" t="s">
        <v>423</v>
      </c>
      <c r="M2253" s="5" t="s">
        <v>871</v>
      </c>
      <c r="N2253" s="6">
        <f>468</f>
        <v>468</v>
      </c>
      <c r="O2253" s="4" t="s">
        <v>265</v>
      </c>
      <c r="P2253" s="6">
        <f>1</f>
        <v>1</v>
      </c>
      <c r="Q2253" s="6">
        <f>0</f>
        <v>0</v>
      </c>
      <c r="S2253" s="6">
        <f>0</f>
        <v>0</v>
      </c>
      <c r="T2253" s="6">
        <f>1</f>
        <v>1</v>
      </c>
      <c r="U2253" s="5" t="s">
        <v>245</v>
      </c>
      <c r="V2253" s="4" t="s">
        <v>270</v>
      </c>
      <c r="W2253" s="4" t="s">
        <v>271</v>
      </c>
      <c r="X2253" s="4" t="s">
        <v>273</v>
      </c>
      <c r="Y2253" s="4" t="s">
        <v>241</v>
      </c>
      <c r="AB2253" s="4" t="s">
        <v>241</v>
      </c>
      <c r="AD2253" s="5" t="s">
        <v>241</v>
      </c>
      <c r="AG2253" s="5" t="s">
        <v>246</v>
      </c>
      <c r="AH2253" s="4" t="s">
        <v>241</v>
      </c>
      <c r="AI2253" s="4" t="s">
        <v>247</v>
      </c>
      <c r="AJ2253" s="4" t="s">
        <v>248</v>
      </c>
      <c r="AZ2253" s="4" t="s">
        <v>249</v>
      </c>
      <c r="BA2253" s="4" t="s">
        <v>241</v>
      </c>
      <c r="BB2253" s="4" t="s">
        <v>250</v>
      </c>
      <c r="BC2253" s="4" t="s">
        <v>241</v>
      </c>
      <c r="BD2253" s="4" t="s">
        <v>252</v>
      </c>
      <c r="BE2253" s="4" t="s">
        <v>241</v>
      </c>
      <c r="BI2253" s="4" t="s">
        <v>253</v>
      </c>
      <c r="BJ2253" s="5" t="s">
        <v>246</v>
      </c>
      <c r="BK2253" s="4" t="s">
        <v>254</v>
      </c>
      <c r="BL2253" s="4" t="s">
        <v>255</v>
      </c>
      <c r="BM2253" s="4" t="s">
        <v>241</v>
      </c>
      <c r="BN2253" s="6">
        <f>0</f>
        <v>0</v>
      </c>
      <c r="BO2253" s="6">
        <f>0</f>
        <v>0</v>
      </c>
      <c r="BP2253" s="4" t="s">
        <v>256</v>
      </c>
      <c r="BQ2253" s="4" t="s">
        <v>257</v>
      </c>
      <c r="CE2253" s="4" t="s">
        <v>241</v>
      </c>
      <c r="CF2253" s="4" t="s">
        <v>241</v>
      </c>
      <c r="CJ2253" s="4" t="s">
        <v>276</v>
      </c>
      <c r="CK2253" s="4" t="s">
        <v>259</v>
      </c>
      <c r="CL2253" s="4" t="s">
        <v>241</v>
      </c>
      <c r="CO2253" s="5" t="s">
        <v>260</v>
      </c>
      <c r="CP2253" s="4" t="s">
        <v>241</v>
      </c>
      <c r="CQ2253" s="4" t="s">
        <v>261</v>
      </c>
      <c r="CR2253" s="4" t="s">
        <v>241</v>
      </c>
      <c r="CS2253" s="4" t="s">
        <v>241</v>
      </c>
      <c r="CT2253" s="4">
        <v>0</v>
      </c>
      <c r="CU2253" s="4" t="s">
        <v>262</v>
      </c>
      <c r="CV2253" s="4" t="s">
        <v>263</v>
      </c>
      <c r="CW2253" s="4" t="s">
        <v>263</v>
      </c>
      <c r="CX2253" s="4" t="s">
        <v>264</v>
      </c>
      <c r="DA2253" s="6">
        <f>1</f>
        <v>1</v>
      </c>
      <c r="DC2253" s="4" t="s">
        <v>325</v>
      </c>
      <c r="DD2253" s="4" t="s">
        <v>241</v>
      </c>
      <c r="DF2253" s="4" t="s">
        <v>325</v>
      </c>
      <c r="DG2253" s="6">
        <f>468</f>
        <v>468</v>
      </c>
      <c r="DI2253" s="4" t="s">
        <v>241</v>
      </c>
      <c r="DJ2253" s="4" t="s">
        <v>241</v>
      </c>
      <c r="DK2253" s="4" t="s">
        <v>241</v>
      </c>
      <c r="DL2253" s="4" t="s">
        <v>241</v>
      </c>
      <c r="DP2253" s="4" t="s">
        <v>241</v>
      </c>
      <c r="DQ2253" s="4" t="s">
        <v>241</v>
      </c>
      <c r="DR2253" s="4" t="s">
        <v>241</v>
      </c>
      <c r="DS2253" s="4" t="s">
        <v>241</v>
      </c>
      <c r="DV2253" s="4" t="s">
        <v>426</v>
      </c>
      <c r="DW2253" s="4" t="s">
        <v>872</v>
      </c>
      <c r="HO2253" s="4" t="s">
        <v>267</v>
      </c>
    </row>
    <row r="2254" spans="1:223" ht="19.5" customHeight="1" x14ac:dyDescent="0.4">
      <c r="A2254" s="4">
        <v>1</v>
      </c>
      <c r="B2254" s="4" t="s">
        <v>239</v>
      </c>
      <c r="C2254" s="4">
        <v>3957</v>
      </c>
      <c r="D2254" s="4">
        <v>1</v>
      </c>
      <c r="E2254" s="4">
        <v>1</v>
      </c>
      <c r="F2254" s="4" t="s">
        <v>268</v>
      </c>
      <c r="G2254" s="4" t="s">
        <v>241</v>
      </c>
      <c r="H2254" s="4" t="s">
        <v>241</v>
      </c>
      <c r="I2254" s="4" t="s">
        <v>424</v>
      </c>
      <c r="J2254" s="4" t="s">
        <v>274</v>
      </c>
      <c r="K2254" s="4" t="s">
        <v>251</v>
      </c>
      <c r="L2254" s="4" t="s">
        <v>423</v>
      </c>
      <c r="M2254" s="5" t="s">
        <v>875</v>
      </c>
      <c r="N2254" s="6">
        <f>747</f>
        <v>747</v>
      </c>
      <c r="O2254" s="4" t="s">
        <v>265</v>
      </c>
      <c r="P2254" s="6">
        <f>1</f>
        <v>1</v>
      </c>
      <c r="Q2254" s="6">
        <f>0</f>
        <v>0</v>
      </c>
      <c r="S2254" s="6">
        <f>0</f>
        <v>0</v>
      </c>
      <c r="T2254" s="6">
        <f>1</f>
        <v>1</v>
      </c>
      <c r="U2254" s="5" t="s">
        <v>245</v>
      </c>
      <c r="V2254" s="4" t="s">
        <v>270</v>
      </c>
      <c r="W2254" s="4" t="s">
        <v>271</v>
      </c>
      <c r="X2254" s="4" t="s">
        <v>273</v>
      </c>
      <c r="Y2254" s="4" t="s">
        <v>241</v>
      </c>
      <c r="AB2254" s="4" t="s">
        <v>241</v>
      </c>
      <c r="AD2254" s="5" t="s">
        <v>241</v>
      </c>
      <c r="AG2254" s="5" t="s">
        <v>246</v>
      </c>
      <c r="AH2254" s="4" t="s">
        <v>241</v>
      </c>
      <c r="AI2254" s="4" t="s">
        <v>247</v>
      </c>
      <c r="AJ2254" s="4" t="s">
        <v>248</v>
      </c>
      <c r="AZ2254" s="4" t="s">
        <v>249</v>
      </c>
      <c r="BA2254" s="4" t="s">
        <v>241</v>
      </c>
      <c r="BB2254" s="4" t="s">
        <v>250</v>
      </c>
      <c r="BC2254" s="4" t="s">
        <v>241</v>
      </c>
      <c r="BD2254" s="4" t="s">
        <v>252</v>
      </c>
      <c r="BE2254" s="4" t="s">
        <v>241</v>
      </c>
      <c r="BI2254" s="4" t="s">
        <v>253</v>
      </c>
      <c r="BJ2254" s="5" t="s">
        <v>246</v>
      </c>
      <c r="BK2254" s="4" t="s">
        <v>254</v>
      </c>
      <c r="BL2254" s="4" t="s">
        <v>255</v>
      </c>
      <c r="BM2254" s="4" t="s">
        <v>241</v>
      </c>
      <c r="BN2254" s="6">
        <f>0</f>
        <v>0</v>
      </c>
      <c r="BO2254" s="6">
        <f>0</f>
        <v>0</v>
      </c>
      <c r="BP2254" s="4" t="s">
        <v>256</v>
      </c>
      <c r="BQ2254" s="4" t="s">
        <v>257</v>
      </c>
      <c r="CE2254" s="4" t="s">
        <v>241</v>
      </c>
      <c r="CF2254" s="4" t="s">
        <v>241</v>
      </c>
      <c r="CJ2254" s="4" t="s">
        <v>276</v>
      </c>
      <c r="CK2254" s="4" t="s">
        <v>259</v>
      </c>
      <c r="CL2254" s="4" t="s">
        <v>241</v>
      </c>
      <c r="CO2254" s="5" t="s">
        <v>260</v>
      </c>
      <c r="CP2254" s="4" t="s">
        <v>241</v>
      </c>
      <c r="CQ2254" s="4" t="s">
        <v>261</v>
      </c>
      <c r="CR2254" s="4" t="s">
        <v>241</v>
      </c>
      <c r="CS2254" s="4" t="s">
        <v>241</v>
      </c>
      <c r="CT2254" s="4">
        <v>0</v>
      </c>
      <c r="CU2254" s="4" t="s">
        <v>262</v>
      </c>
      <c r="CV2254" s="4" t="s">
        <v>263</v>
      </c>
      <c r="CW2254" s="4" t="s">
        <v>263</v>
      </c>
      <c r="CX2254" s="4" t="s">
        <v>264</v>
      </c>
      <c r="DA2254" s="6">
        <f>1</f>
        <v>1</v>
      </c>
      <c r="DC2254" s="4" t="s">
        <v>325</v>
      </c>
      <c r="DD2254" s="4" t="s">
        <v>241</v>
      </c>
      <c r="DF2254" s="4" t="s">
        <v>325</v>
      </c>
      <c r="DG2254" s="6">
        <f>747</f>
        <v>747</v>
      </c>
      <c r="DI2254" s="4" t="s">
        <v>241</v>
      </c>
      <c r="DJ2254" s="4" t="s">
        <v>241</v>
      </c>
      <c r="DK2254" s="4" t="s">
        <v>241</v>
      </c>
      <c r="DL2254" s="4" t="s">
        <v>241</v>
      </c>
      <c r="DP2254" s="4" t="s">
        <v>241</v>
      </c>
      <c r="DQ2254" s="4" t="s">
        <v>241</v>
      </c>
      <c r="DR2254" s="4" t="s">
        <v>241</v>
      </c>
      <c r="DS2254" s="4" t="s">
        <v>241</v>
      </c>
      <c r="DV2254" s="4" t="s">
        <v>426</v>
      </c>
      <c r="DW2254" s="4" t="s">
        <v>876</v>
      </c>
      <c r="HO2254" s="4" t="s">
        <v>267</v>
      </c>
    </row>
    <row r="2255" spans="1:223" ht="19.5" customHeight="1" x14ac:dyDescent="0.4">
      <c r="A2255" s="4">
        <v>1</v>
      </c>
      <c r="B2255" s="4" t="s">
        <v>239</v>
      </c>
      <c r="C2255" s="4">
        <v>3958</v>
      </c>
      <c r="D2255" s="4">
        <v>1</v>
      </c>
      <c r="E2255" s="4">
        <v>1</v>
      </c>
      <c r="F2255" s="4" t="s">
        <v>268</v>
      </c>
      <c r="G2255" s="4" t="s">
        <v>241</v>
      </c>
      <c r="H2255" s="4" t="s">
        <v>241</v>
      </c>
      <c r="I2255" s="4" t="s">
        <v>424</v>
      </c>
      <c r="J2255" s="4" t="s">
        <v>274</v>
      </c>
      <c r="K2255" s="4" t="s">
        <v>251</v>
      </c>
      <c r="L2255" s="4" t="s">
        <v>423</v>
      </c>
      <c r="M2255" s="5" t="s">
        <v>879</v>
      </c>
      <c r="N2255" s="6">
        <f>330</f>
        <v>330</v>
      </c>
      <c r="O2255" s="4" t="s">
        <v>265</v>
      </c>
      <c r="P2255" s="6">
        <f>1</f>
        <v>1</v>
      </c>
      <c r="Q2255" s="6">
        <f>0</f>
        <v>0</v>
      </c>
      <c r="S2255" s="6">
        <f>0</f>
        <v>0</v>
      </c>
      <c r="T2255" s="6">
        <f>1</f>
        <v>1</v>
      </c>
      <c r="U2255" s="5" t="s">
        <v>245</v>
      </c>
      <c r="V2255" s="4" t="s">
        <v>270</v>
      </c>
      <c r="W2255" s="4" t="s">
        <v>271</v>
      </c>
      <c r="X2255" s="4" t="s">
        <v>273</v>
      </c>
      <c r="Y2255" s="4" t="s">
        <v>241</v>
      </c>
      <c r="AB2255" s="4" t="s">
        <v>241</v>
      </c>
      <c r="AD2255" s="5" t="s">
        <v>241</v>
      </c>
      <c r="AG2255" s="5" t="s">
        <v>246</v>
      </c>
      <c r="AH2255" s="4" t="s">
        <v>241</v>
      </c>
      <c r="AI2255" s="4" t="s">
        <v>247</v>
      </c>
      <c r="AJ2255" s="4" t="s">
        <v>248</v>
      </c>
      <c r="AZ2255" s="4" t="s">
        <v>249</v>
      </c>
      <c r="BA2255" s="4" t="s">
        <v>241</v>
      </c>
      <c r="BB2255" s="4" t="s">
        <v>250</v>
      </c>
      <c r="BC2255" s="4" t="s">
        <v>241</v>
      </c>
      <c r="BD2255" s="4" t="s">
        <v>252</v>
      </c>
      <c r="BE2255" s="4" t="s">
        <v>241</v>
      </c>
      <c r="BI2255" s="4" t="s">
        <v>253</v>
      </c>
      <c r="BJ2255" s="5" t="s">
        <v>246</v>
      </c>
      <c r="BK2255" s="4" t="s">
        <v>254</v>
      </c>
      <c r="BL2255" s="4" t="s">
        <v>255</v>
      </c>
      <c r="BM2255" s="4" t="s">
        <v>241</v>
      </c>
      <c r="BN2255" s="6">
        <f>0</f>
        <v>0</v>
      </c>
      <c r="BO2255" s="6">
        <f>0</f>
        <v>0</v>
      </c>
      <c r="BP2255" s="4" t="s">
        <v>256</v>
      </c>
      <c r="BQ2255" s="4" t="s">
        <v>257</v>
      </c>
      <c r="CE2255" s="4" t="s">
        <v>241</v>
      </c>
      <c r="CF2255" s="4" t="s">
        <v>241</v>
      </c>
      <c r="CJ2255" s="4" t="s">
        <v>276</v>
      </c>
      <c r="CK2255" s="4" t="s">
        <v>259</v>
      </c>
      <c r="CL2255" s="4" t="s">
        <v>241</v>
      </c>
      <c r="CO2255" s="5" t="s">
        <v>260</v>
      </c>
      <c r="CP2255" s="4" t="s">
        <v>241</v>
      </c>
      <c r="CQ2255" s="4" t="s">
        <v>261</v>
      </c>
      <c r="CR2255" s="4" t="s">
        <v>241</v>
      </c>
      <c r="CS2255" s="4" t="s">
        <v>241</v>
      </c>
      <c r="CT2255" s="4">
        <v>0</v>
      </c>
      <c r="CU2255" s="4" t="s">
        <v>262</v>
      </c>
      <c r="CV2255" s="4" t="s">
        <v>263</v>
      </c>
      <c r="CW2255" s="4" t="s">
        <v>263</v>
      </c>
      <c r="CX2255" s="4" t="s">
        <v>264</v>
      </c>
      <c r="DA2255" s="6">
        <f>1</f>
        <v>1</v>
      </c>
      <c r="DC2255" s="4" t="s">
        <v>325</v>
      </c>
      <c r="DD2255" s="4" t="s">
        <v>241</v>
      </c>
      <c r="DF2255" s="4" t="s">
        <v>325</v>
      </c>
      <c r="DG2255" s="6">
        <f>330</f>
        <v>330</v>
      </c>
      <c r="DI2255" s="4" t="s">
        <v>241</v>
      </c>
      <c r="DJ2255" s="4" t="s">
        <v>241</v>
      </c>
      <c r="DK2255" s="4" t="s">
        <v>241</v>
      </c>
      <c r="DL2255" s="4" t="s">
        <v>241</v>
      </c>
      <c r="DP2255" s="4" t="s">
        <v>241</v>
      </c>
      <c r="DQ2255" s="4" t="s">
        <v>241</v>
      </c>
      <c r="DR2255" s="4" t="s">
        <v>241</v>
      </c>
      <c r="DS2255" s="4" t="s">
        <v>241</v>
      </c>
      <c r="DV2255" s="4" t="s">
        <v>426</v>
      </c>
      <c r="DW2255" s="4" t="s">
        <v>880</v>
      </c>
      <c r="HO2255" s="4" t="s">
        <v>267</v>
      </c>
    </row>
    <row r="2256" spans="1:223" ht="19.5" customHeight="1" x14ac:dyDescent="0.4">
      <c r="A2256" s="4">
        <v>1</v>
      </c>
      <c r="B2256" s="4" t="s">
        <v>239</v>
      </c>
      <c r="C2256" s="4">
        <v>3959</v>
      </c>
      <c r="D2256" s="4">
        <v>1</v>
      </c>
      <c r="E2256" s="4">
        <v>1</v>
      </c>
      <c r="F2256" s="4" t="s">
        <v>268</v>
      </c>
      <c r="G2256" s="4" t="s">
        <v>241</v>
      </c>
      <c r="H2256" s="4" t="s">
        <v>241</v>
      </c>
      <c r="I2256" s="4" t="s">
        <v>424</v>
      </c>
      <c r="J2256" s="4" t="s">
        <v>274</v>
      </c>
      <c r="K2256" s="4" t="s">
        <v>251</v>
      </c>
      <c r="L2256" s="4" t="s">
        <v>423</v>
      </c>
      <c r="M2256" s="5" t="s">
        <v>883</v>
      </c>
      <c r="N2256" s="6">
        <f>611</f>
        <v>611</v>
      </c>
      <c r="O2256" s="4" t="s">
        <v>265</v>
      </c>
      <c r="P2256" s="6">
        <f>1</f>
        <v>1</v>
      </c>
      <c r="Q2256" s="6">
        <f>0</f>
        <v>0</v>
      </c>
      <c r="S2256" s="6">
        <f>0</f>
        <v>0</v>
      </c>
      <c r="T2256" s="6">
        <f>1</f>
        <v>1</v>
      </c>
      <c r="U2256" s="5" t="s">
        <v>245</v>
      </c>
      <c r="V2256" s="4" t="s">
        <v>270</v>
      </c>
      <c r="W2256" s="4" t="s">
        <v>271</v>
      </c>
      <c r="X2256" s="4" t="s">
        <v>273</v>
      </c>
      <c r="Y2256" s="4" t="s">
        <v>241</v>
      </c>
      <c r="AB2256" s="4" t="s">
        <v>241</v>
      </c>
      <c r="AD2256" s="5" t="s">
        <v>241</v>
      </c>
      <c r="AG2256" s="5" t="s">
        <v>246</v>
      </c>
      <c r="AH2256" s="4" t="s">
        <v>241</v>
      </c>
      <c r="AI2256" s="4" t="s">
        <v>247</v>
      </c>
      <c r="AJ2256" s="4" t="s">
        <v>248</v>
      </c>
      <c r="AZ2256" s="4" t="s">
        <v>249</v>
      </c>
      <c r="BA2256" s="4" t="s">
        <v>241</v>
      </c>
      <c r="BB2256" s="4" t="s">
        <v>250</v>
      </c>
      <c r="BC2256" s="4" t="s">
        <v>241</v>
      </c>
      <c r="BD2256" s="4" t="s">
        <v>252</v>
      </c>
      <c r="BE2256" s="4" t="s">
        <v>241</v>
      </c>
      <c r="BI2256" s="4" t="s">
        <v>253</v>
      </c>
      <c r="BJ2256" s="5" t="s">
        <v>246</v>
      </c>
      <c r="BK2256" s="4" t="s">
        <v>254</v>
      </c>
      <c r="BL2256" s="4" t="s">
        <v>255</v>
      </c>
      <c r="BM2256" s="4" t="s">
        <v>241</v>
      </c>
      <c r="BN2256" s="6">
        <f>0</f>
        <v>0</v>
      </c>
      <c r="BO2256" s="6">
        <f>0</f>
        <v>0</v>
      </c>
      <c r="BP2256" s="4" t="s">
        <v>256</v>
      </c>
      <c r="BQ2256" s="4" t="s">
        <v>257</v>
      </c>
      <c r="CE2256" s="4" t="s">
        <v>241</v>
      </c>
      <c r="CF2256" s="4" t="s">
        <v>241</v>
      </c>
      <c r="CJ2256" s="4" t="s">
        <v>276</v>
      </c>
      <c r="CK2256" s="4" t="s">
        <v>259</v>
      </c>
      <c r="CL2256" s="4" t="s">
        <v>241</v>
      </c>
      <c r="CO2256" s="5" t="s">
        <v>260</v>
      </c>
      <c r="CP2256" s="4" t="s">
        <v>241</v>
      </c>
      <c r="CQ2256" s="4" t="s">
        <v>261</v>
      </c>
      <c r="CR2256" s="4" t="s">
        <v>241</v>
      </c>
      <c r="CS2256" s="4" t="s">
        <v>241</v>
      </c>
      <c r="CT2256" s="4">
        <v>0</v>
      </c>
      <c r="CU2256" s="4" t="s">
        <v>262</v>
      </c>
      <c r="CV2256" s="4" t="s">
        <v>263</v>
      </c>
      <c r="CW2256" s="4" t="s">
        <v>263</v>
      </c>
      <c r="CX2256" s="4" t="s">
        <v>264</v>
      </c>
      <c r="DA2256" s="6">
        <f>1</f>
        <v>1</v>
      </c>
      <c r="DC2256" s="4" t="s">
        <v>325</v>
      </c>
      <c r="DD2256" s="4" t="s">
        <v>241</v>
      </c>
      <c r="DF2256" s="4" t="s">
        <v>325</v>
      </c>
      <c r="DG2256" s="6">
        <f>611</f>
        <v>611</v>
      </c>
      <c r="DI2256" s="4" t="s">
        <v>241</v>
      </c>
      <c r="DJ2256" s="4" t="s">
        <v>241</v>
      </c>
      <c r="DK2256" s="4" t="s">
        <v>241</v>
      </c>
      <c r="DL2256" s="4" t="s">
        <v>241</v>
      </c>
      <c r="DP2256" s="4" t="s">
        <v>241</v>
      </c>
      <c r="DQ2256" s="4" t="s">
        <v>241</v>
      </c>
      <c r="DR2256" s="4" t="s">
        <v>241</v>
      </c>
      <c r="DS2256" s="4" t="s">
        <v>241</v>
      </c>
      <c r="DV2256" s="4" t="s">
        <v>426</v>
      </c>
      <c r="DW2256" s="4" t="s">
        <v>884</v>
      </c>
      <c r="HO2256" s="4" t="s">
        <v>267</v>
      </c>
    </row>
    <row r="2257" spans="1:223" ht="19.5" customHeight="1" x14ac:dyDescent="0.4">
      <c r="A2257" s="4">
        <v>1</v>
      </c>
      <c r="B2257" s="4" t="s">
        <v>239</v>
      </c>
      <c r="C2257" s="4">
        <v>3960</v>
      </c>
      <c r="D2257" s="4">
        <v>1</v>
      </c>
      <c r="E2257" s="4">
        <v>1</v>
      </c>
      <c r="F2257" s="4" t="s">
        <v>268</v>
      </c>
      <c r="G2257" s="4" t="s">
        <v>241</v>
      </c>
      <c r="H2257" s="4" t="s">
        <v>241</v>
      </c>
      <c r="I2257" s="4" t="s">
        <v>424</v>
      </c>
      <c r="J2257" s="4" t="s">
        <v>274</v>
      </c>
      <c r="K2257" s="4" t="s">
        <v>251</v>
      </c>
      <c r="L2257" s="4" t="s">
        <v>423</v>
      </c>
      <c r="M2257" s="5" t="s">
        <v>885</v>
      </c>
      <c r="N2257" s="6">
        <f>663</f>
        <v>663</v>
      </c>
      <c r="O2257" s="4" t="s">
        <v>265</v>
      </c>
      <c r="P2257" s="6">
        <f>1</f>
        <v>1</v>
      </c>
      <c r="Q2257" s="6">
        <f>0</f>
        <v>0</v>
      </c>
      <c r="S2257" s="6">
        <f>0</f>
        <v>0</v>
      </c>
      <c r="T2257" s="6">
        <f>1</f>
        <v>1</v>
      </c>
      <c r="U2257" s="5" t="s">
        <v>245</v>
      </c>
      <c r="V2257" s="4" t="s">
        <v>270</v>
      </c>
      <c r="W2257" s="4" t="s">
        <v>271</v>
      </c>
      <c r="X2257" s="4" t="s">
        <v>273</v>
      </c>
      <c r="Y2257" s="4" t="s">
        <v>241</v>
      </c>
      <c r="AB2257" s="4" t="s">
        <v>241</v>
      </c>
      <c r="AD2257" s="5" t="s">
        <v>241</v>
      </c>
      <c r="AG2257" s="5" t="s">
        <v>246</v>
      </c>
      <c r="AH2257" s="4" t="s">
        <v>241</v>
      </c>
      <c r="AI2257" s="4" t="s">
        <v>247</v>
      </c>
      <c r="AJ2257" s="4" t="s">
        <v>248</v>
      </c>
      <c r="AZ2257" s="4" t="s">
        <v>249</v>
      </c>
      <c r="BA2257" s="4" t="s">
        <v>241</v>
      </c>
      <c r="BB2257" s="4" t="s">
        <v>250</v>
      </c>
      <c r="BC2257" s="4" t="s">
        <v>241</v>
      </c>
      <c r="BD2257" s="4" t="s">
        <v>252</v>
      </c>
      <c r="BE2257" s="4" t="s">
        <v>241</v>
      </c>
      <c r="BI2257" s="4" t="s">
        <v>253</v>
      </c>
      <c r="BJ2257" s="5" t="s">
        <v>246</v>
      </c>
      <c r="BK2257" s="4" t="s">
        <v>254</v>
      </c>
      <c r="BL2257" s="4" t="s">
        <v>255</v>
      </c>
      <c r="BM2257" s="4" t="s">
        <v>241</v>
      </c>
      <c r="BN2257" s="6">
        <f>0</f>
        <v>0</v>
      </c>
      <c r="BO2257" s="6">
        <f>0</f>
        <v>0</v>
      </c>
      <c r="BP2257" s="4" t="s">
        <v>256</v>
      </c>
      <c r="BQ2257" s="4" t="s">
        <v>257</v>
      </c>
      <c r="CE2257" s="4" t="s">
        <v>241</v>
      </c>
      <c r="CF2257" s="4" t="s">
        <v>241</v>
      </c>
      <c r="CJ2257" s="4" t="s">
        <v>276</v>
      </c>
      <c r="CK2257" s="4" t="s">
        <v>259</v>
      </c>
      <c r="CL2257" s="4" t="s">
        <v>241</v>
      </c>
      <c r="CO2257" s="5" t="s">
        <v>260</v>
      </c>
      <c r="CP2257" s="4" t="s">
        <v>241</v>
      </c>
      <c r="CQ2257" s="4" t="s">
        <v>261</v>
      </c>
      <c r="CR2257" s="4" t="s">
        <v>241</v>
      </c>
      <c r="CS2257" s="4" t="s">
        <v>241</v>
      </c>
      <c r="CT2257" s="4">
        <v>0</v>
      </c>
      <c r="CU2257" s="4" t="s">
        <v>262</v>
      </c>
      <c r="CV2257" s="4" t="s">
        <v>263</v>
      </c>
      <c r="CW2257" s="4" t="s">
        <v>263</v>
      </c>
      <c r="CX2257" s="4" t="s">
        <v>264</v>
      </c>
      <c r="DA2257" s="6">
        <f>1</f>
        <v>1</v>
      </c>
      <c r="DC2257" s="4" t="s">
        <v>325</v>
      </c>
      <c r="DD2257" s="4" t="s">
        <v>241</v>
      </c>
      <c r="DF2257" s="4" t="s">
        <v>325</v>
      </c>
      <c r="DG2257" s="6">
        <f>663</f>
        <v>663</v>
      </c>
      <c r="DI2257" s="4" t="s">
        <v>241</v>
      </c>
      <c r="DJ2257" s="4" t="s">
        <v>241</v>
      </c>
      <c r="DK2257" s="4" t="s">
        <v>241</v>
      </c>
      <c r="DL2257" s="4" t="s">
        <v>241</v>
      </c>
      <c r="DP2257" s="4" t="s">
        <v>241</v>
      </c>
      <c r="DQ2257" s="4" t="s">
        <v>241</v>
      </c>
      <c r="DR2257" s="4" t="s">
        <v>241</v>
      </c>
      <c r="DS2257" s="4" t="s">
        <v>241</v>
      </c>
      <c r="DV2257" s="4" t="s">
        <v>426</v>
      </c>
      <c r="DW2257" s="4" t="s">
        <v>886</v>
      </c>
      <c r="HO2257" s="4" t="s">
        <v>267</v>
      </c>
    </row>
    <row r="2258" spans="1:223" ht="19.5" customHeight="1" x14ac:dyDescent="0.4">
      <c r="A2258" s="4">
        <v>1</v>
      </c>
      <c r="B2258" s="4" t="s">
        <v>239</v>
      </c>
      <c r="C2258" s="4">
        <v>3961</v>
      </c>
      <c r="D2258" s="4">
        <v>1</v>
      </c>
      <c r="E2258" s="4">
        <v>1</v>
      </c>
      <c r="F2258" s="4" t="s">
        <v>268</v>
      </c>
      <c r="G2258" s="4" t="s">
        <v>241</v>
      </c>
      <c r="H2258" s="4" t="s">
        <v>241</v>
      </c>
      <c r="I2258" s="4" t="s">
        <v>424</v>
      </c>
      <c r="J2258" s="4" t="s">
        <v>274</v>
      </c>
      <c r="K2258" s="4" t="s">
        <v>251</v>
      </c>
      <c r="L2258" s="4" t="s">
        <v>423</v>
      </c>
      <c r="M2258" s="5" t="s">
        <v>890</v>
      </c>
      <c r="N2258" s="6">
        <f>417</f>
        <v>417</v>
      </c>
      <c r="O2258" s="4" t="s">
        <v>265</v>
      </c>
      <c r="P2258" s="6">
        <f>1</f>
        <v>1</v>
      </c>
      <c r="Q2258" s="6">
        <f>0</f>
        <v>0</v>
      </c>
      <c r="S2258" s="6">
        <f>0</f>
        <v>0</v>
      </c>
      <c r="T2258" s="6">
        <f>1</f>
        <v>1</v>
      </c>
      <c r="U2258" s="5" t="s">
        <v>245</v>
      </c>
      <c r="V2258" s="4" t="s">
        <v>270</v>
      </c>
      <c r="W2258" s="4" t="s">
        <v>271</v>
      </c>
      <c r="X2258" s="4" t="s">
        <v>273</v>
      </c>
      <c r="Y2258" s="4" t="s">
        <v>241</v>
      </c>
      <c r="AB2258" s="4" t="s">
        <v>241</v>
      </c>
      <c r="AD2258" s="5" t="s">
        <v>241</v>
      </c>
      <c r="AG2258" s="5" t="s">
        <v>246</v>
      </c>
      <c r="AH2258" s="4" t="s">
        <v>241</v>
      </c>
      <c r="AI2258" s="4" t="s">
        <v>247</v>
      </c>
      <c r="AJ2258" s="4" t="s">
        <v>248</v>
      </c>
      <c r="AZ2258" s="4" t="s">
        <v>249</v>
      </c>
      <c r="BA2258" s="4" t="s">
        <v>241</v>
      </c>
      <c r="BB2258" s="4" t="s">
        <v>250</v>
      </c>
      <c r="BC2258" s="4" t="s">
        <v>241</v>
      </c>
      <c r="BD2258" s="4" t="s">
        <v>252</v>
      </c>
      <c r="BE2258" s="4" t="s">
        <v>241</v>
      </c>
      <c r="BI2258" s="4" t="s">
        <v>253</v>
      </c>
      <c r="BJ2258" s="5" t="s">
        <v>246</v>
      </c>
      <c r="BK2258" s="4" t="s">
        <v>254</v>
      </c>
      <c r="BL2258" s="4" t="s">
        <v>255</v>
      </c>
      <c r="BM2258" s="4" t="s">
        <v>241</v>
      </c>
      <c r="BN2258" s="6">
        <f>0</f>
        <v>0</v>
      </c>
      <c r="BO2258" s="6">
        <f>0</f>
        <v>0</v>
      </c>
      <c r="BP2258" s="4" t="s">
        <v>256</v>
      </c>
      <c r="BQ2258" s="4" t="s">
        <v>257</v>
      </c>
      <c r="CE2258" s="4" t="s">
        <v>241</v>
      </c>
      <c r="CF2258" s="4" t="s">
        <v>241</v>
      </c>
      <c r="CJ2258" s="4" t="s">
        <v>276</v>
      </c>
      <c r="CK2258" s="4" t="s">
        <v>259</v>
      </c>
      <c r="CL2258" s="4" t="s">
        <v>241</v>
      </c>
      <c r="CO2258" s="5" t="s">
        <v>260</v>
      </c>
      <c r="CP2258" s="4" t="s">
        <v>241</v>
      </c>
      <c r="CQ2258" s="4" t="s">
        <v>261</v>
      </c>
      <c r="CR2258" s="4" t="s">
        <v>241</v>
      </c>
      <c r="CS2258" s="4" t="s">
        <v>241</v>
      </c>
      <c r="CT2258" s="4">
        <v>0</v>
      </c>
      <c r="CU2258" s="4" t="s">
        <v>262</v>
      </c>
      <c r="CV2258" s="4" t="s">
        <v>263</v>
      </c>
      <c r="CW2258" s="4" t="s">
        <v>263</v>
      </c>
      <c r="CX2258" s="4" t="s">
        <v>264</v>
      </c>
      <c r="DA2258" s="6">
        <f>1</f>
        <v>1</v>
      </c>
      <c r="DC2258" s="4" t="s">
        <v>325</v>
      </c>
      <c r="DD2258" s="4" t="s">
        <v>241</v>
      </c>
      <c r="DF2258" s="4" t="s">
        <v>325</v>
      </c>
      <c r="DG2258" s="6">
        <f>417</f>
        <v>417</v>
      </c>
      <c r="DI2258" s="4" t="s">
        <v>241</v>
      </c>
      <c r="DJ2258" s="4" t="s">
        <v>241</v>
      </c>
      <c r="DK2258" s="4" t="s">
        <v>241</v>
      </c>
      <c r="DL2258" s="4" t="s">
        <v>241</v>
      </c>
      <c r="DP2258" s="4" t="s">
        <v>241</v>
      </c>
      <c r="DQ2258" s="4" t="s">
        <v>241</v>
      </c>
      <c r="DR2258" s="4" t="s">
        <v>241</v>
      </c>
      <c r="DS2258" s="4" t="s">
        <v>241</v>
      </c>
      <c r="DV2258" s="4" t="s">
        <v>426</v>
      </c>
      <c r="DW2258" s="4" t="s">
        <v>891</v>
      </c>
      <c r="HO2258" s="4" t="s">
        <v>267</v>
      </c>
    </row>
    <row r="2259" spans="1:223" ht="19.5" customHeight="1" x14ac:dyDescent="0.4">
      <c r="A2259" s="4">
        <v>1</v>
      </c>
      <c r="B2259" s="4" t="s">
        <v>239</v>
      </c>
      <c r="C2259" s="4">
        <v>3962</v>
      </c>
      <c r="D2259" s="4">
        <v>1</v>
      </c>
      <c r="E2259" s="4">
        <v>1</v>
      </c>
      <c r="F2259" s="4" t="s">
        <v>268</v>
      </c>
      <c r="G2259" s="4" t="s">
        <v>241</v>
      </c>
      <c r="H2259" s="4" t="s">
        <v>241</v>
      </c>
      <c r="I2259" s="4" t="s">
        <v>424</v>
      </c>
      <c r="J2259" s="4" t="s">
        <v>274</v>
      </c>
      <c r="K2259" s="4" t="s">
        <v>251</v>
      </c>
      <c r="L2259" s="4" t="s">
        <v>423</v>
      </c>
      <c r="M2259" s="5" t="s">
        <v>894</v>
      </c>
      <c r="N2259" s="6">
        <f>210</f>
        <v>210</v>
      </c>
      <c r="O2259" s="4" t="s">
        <v>265</v>
      </c>
      <c r="P2259" s="6">
        <f>1</f>
        <v>1</v>
      </c>
      <c r="Q2259" s="6">
        <f>0</f>
        <v>0</v>
      </c>
      <c r="S2259" s="6">
        <f>0</f>
        <v>0</v>
      </c>
      <c r="T2259" s="6">
        <f>1</f>
        <v>1</v>
      </c>
      <c r="U2259" s="5" t="s">
        <v>245</v>
      </c>
      <c r="V2259" s="4" t="s">
        <v>270</v>
      </c>
      <c r="W2259" s="4" t="s">
        <v>271</v>
      </c>
      <c r="X2259" s="4" t="s">
        <v>273</v>
      </c>
      <c r="Y2259" s="4" t="s">
        <v>241</v>
      </c>
      <c r="AB2259" s="4" t="s">
        <v>241</v>
      </c>
      <c r="AD2259" s="5" t="s">
        <v>241</v>
      </c>
      <c r="AG2259" s="5" t="s">
        <v>246</v>
      </c>
      <c r="AH2259" s="4" t="s">
        <v>241</v>
      </c>
      <c r="AI2259" s="4" t="s">
        <v>247</v>
      </c>
      <c r="AJ2259" s="4" t="s">
        <v>248</v>
      </c>
      <c r="AZ2259" s="4" t="s">
        <v>249</v>
      </c>
      <c r="BA2259" s="4" t="s">
        <v>241</v>
      </c>
      <c r="BB2259" s="4" t="s">
        <v>250</v>
      </c>
      <c r="BC2259" s="4" t="s">
        <v>241</v>
      </c>
      <c r="BD2259" s="4" t="s">
        <v>252</v>
      </c>
      <c r="BE2259" s="4" t="s">
        <v>241</v>
      </c>
      <c r="BI2259" s="4" t="s">
        <v>253</v>
      </c>
      <c r="BJ2259" s="5" t="s">
        <v>246</v>
      </c>
      <c r="BK2259" s="4" t="s">
        <v>254</v>
      </c>
      <c r="BL2259" s="4" t="s">
        <v>255</v>
      </c>
      <c r="BM2259" s="4" t="s">
        <v>241</v>
      </c>
      <c r="BN2259" s="6">
        <f>0</f>
        <v>0</v>
      </c>
      <c r="BO2259" s="6">
        <f>0</f>
        <v>0</v>
      </c>
      <c r="BP2259" s="4" t="s">
        <v>256</v>
      </c>
      <c r="BQ2259" s="4" t="s">
        <v>257</v>
      </c>
      <c r="CE2259" s="4" t="s">
        <v>241</v>
      </c>
      <c r="CF2259" s="4" t="s">
        <v>241</v>
      </c>
      <c r="CJ2259" s="4" t="s">
        <v>276</v>
      </c>
      <c r="CK2259" s="4" t="s">
        <v>259</v>
      </c>
      <c r="CL2259" s="4" t="s">
        <v>241</v>
      </c>
      <c r="CO2259" s="5" t="s">
        <v>260</v>
      </c>
      <c r="CP2259" s="4" t="s">
        <v>241</v>
      </c>
      <c r="CQ2259" s="4" t="s">
        <v>261</v>
      </c>
      <c r="CR2259" s="4" t="s">
        <v>241</v>
      </c>
      <c r="CS2259" s="4" t="s">
        <v>241</v>
      </c>
      <c r="CT2259" s="4">
        <v>0</v>
      </c>
      <c r="CU2259" s="4" t="s">
        <v>262</v>
      </c>
      <c r="CV2259" s="4" t="s">
        <v>263</v>
      </c>
      <c r="CW2259" s="4" t="s">
        <v>263</v>
      </c>
      <c r="CX2259" s="4" t="s">
        <v>264</v>
      </c>
      <c r="DA2259" s="6">
        <f>1</f>
        <v>1</v>
      </c>
      <c r="DC2259" s="4" t="s">
        <v>325</v>
      </c>
      <c r="DD2259" s="4" t="s">
        <v>241</v>
      </c>
      <c r="DF2259" s="4" t="s">
        <v>325</v>
      </c>
      <c r="DG2259" s="6">
        <f>210</f>
        <v>210</v>
      </c>
      <c r="DI2259" s="4" t="s">
        <v>241</v>
      </c>
      <c r="DJ2259" s="4" t="s">
        <v>241</v>
      </c>
      <c r="DK2259" s="4" t="s">
        <v>241</v>
      </c>
      <c r="DL2259" s="4" t="s">
        <v>241</v>
      </c>
      <c r="DP2259" s="4" t="s">
        <v>241</v>
      </c>
      <c r="DQ2259" s="4" t="s">
        <v>241</v>
      </c>
      <c r="DR2259" s="4" t="s">
        <v>241</v>
      </c>
      <c r="DS2259" s="4" t="s">
        <v>241</v>
      </c>
      <c r="DV2259" s="4" t="s">
        <v>426</v>
      </c>
      <c r="DW2259" s="4" t="s">
        <v>895</v>
      </c>
      <c r="HO2259" s="4" t="s">
        <v>267</v>
      </c>
    </row>
    <row r="2260" spans="1:223" ht="19.5" customHeight="1" x14ac:dyDescent="0.4">
      <c r="A2260" s="4">
        <v>1</v>
      </c>
      <c r="B2260" s="4" t="s">
        <v>239</v>
      </c>
      <c r="C2260" s="4">
        <v>3963</v>
      </c>
      <c r="D2260" s="4">
        <v>1</v>
      </c>
      <c r="E2260" s="4">
        <v>1</v>
      </c>
      <c r="F2260" s="4" t="s">
        <v>268</v>
      </c>
      <c r="G2260" s="4" t="s">
        <v>241</v>
      </c>
      <c r="H2260" s="4" t="s">
        <v>241</v>
      </c>
      <c r="I2260" s="4" t="s">
        <v>424</v>
      </c>
      <c r="J2260" s="4" t="s">
        <v>274</v>
      </c>
      <c r="K2260" s="4" t="s">
        <v>251</v>
      </c>
      <c r="L2260" s="4" t="s">
        <v>423</v>
      </c>
      <c r="M2260" s="5" t="s">
        <v>896</v>
      </c>
      <c r="N2260" s="6">
        <f>754</f>
        <v>754</v>
      </c>
      <c r="O2260" s="4" t="s">
        <v>265</v>
      </c>
      <c r="P2260" s="6">
        <f>1</f>
        <v>1</v>
      </c>
      <c r="Q2260" s="6">
        <f>0</f>
        <v>0</v>
      </c>
      <c r="S2260" s="6">
        <f>0</f>
        <v>0</v>
      </c>
      <c r="T2260" s="6">
        <f>1</f>
        <v>1</v>
      </c>
      <c r="U2260" s="5" t="s">
        <v>245</v>
      </c>
      <c r="V2260" s="4" t="s">
        <v>270</v>
      </c>
      <c r="W2260" s="4" t="s">
        <v>271</v>
      </c>
      <c r="X2260" s="4" t="s">
        <v>273</v>
      </c>
      <c r="Y2260" s="4" t="s">
        <v>241</v>
      </c>
      <c r="AB2260" s="4" t="s">
        <v>241</v>
      </c>
      <c r="AD2260" s="5" t="s">
        <v>241</v>
      </c>
      <c r="AG2260" s="5" t="s">
        <v>246</v>
      </c>
      <c r="AH2260" s="4" t="s">
        <v>241</v>
      </c>
      <c r="AI2260" s="4" t="s">
        <v>247</v>
      </c>
      <c r="AJ2260" s="4" t="s">
        <v>248</v>
      </c>
      <c r="AZ2260" s="4" t="s">
        <v>249</v>
      </c>
      <c r="BA2260" s="4" t="s">
        <v>241</v>
      </c>
      <c r="BB2260" s="4" t="s">
        <v>250</v>
      </c>
      <c r="BC2260" s="4" t="s">
        <v>241</v>
      </c>
      <c r="BD2260" s="4" t="s">
        <v>252</v>
      </c>
      <c r="BE2260" s="4" t="s">
        <v>241</v>
      </c>
      <c r="BI2260" s="4" t="s">
        <v>253</v>
      </c>
      <c r="BJ2260" s="5" t="s">
        <v>246</v>
      </c>
      <c r="BK2260" s="4" t="s">
        <v>254</v>
      </c>
      <c r="BL2260" s="4" t="s">
        <v>255</v>
      </c>
      <c r="BM2260" s="4" t="s">
        <v>241</v>
      </c>
      <c r="BN2260" s="6">
        <f>0</f>
        <v>0</v>
      </c>
      <c r="BO2260" s="6">
        <f>0</f>
        <v>0</v>
      </c>
      <c r="BP2260" s="4" t="s">
        <v>256</v>
      </c>
      <c r="BQ2260" s="4" t="s">
        <v>257</v>
      </c>
      <c r="CE2260" s="4" t="s">
        <v>241</v>
      </c>
      <c r="CF2260" s="4" t="s">
        <v>241</v>
      </c>
      <c r="CJ2260" s="4" t="s">
        <v>276</v>
      </c>
      <c r="CK2260" s="4" t="s">
        <v>259</v>
      </c>
      <c r="CL2260" s="4" t="s">
        <v>241</v>
      </c>
      <c r="CO2260" s="5" t="s">
        <v>260</v>
      </c>
      <c r="CP2260" s="4" t="s">
        <v>241</v>
      </c>
      <c r="CQ2260" s="4" t="s">
        <v>261</v>
      </c>
      <c r="CR2260" s="4" t="s">
        <v>241</v>
      </c>
      <c r="CS2260" s="4" t="s">
        <v>241</v>
      </c>
      <c r="CT2260" s="4">
        <v>0</v>
      </c>
      <c r="CU2260" s="4" t="s">
        <v>262</v>
      </c>
      <c r="CV2260" s="4" t="s">
        <v>263</v>
      </c>
      <c r="CW2260" s="4" t="s">
        <v>263</v>
      </c>
      <c r="CX2260" s="4" t="s">
        <v>264</v>
      </c>
      <c r="DA2260" s="6">
        <f>1</f>
        <v>1</v>
      </c>
      <c r="DC2260" s="4" t="s">
        <v>325</v>
      </c>
      <c r="DD2260" s="4" t="s">
        <v>241</v>
      </c>
      <c r="DF2260" s="4" t="s">
        <v>325</v>
      </c>
      <c r="DG2260" s="6">
        <f>754</f>
        <v>754</v>
      </c>
      <c r="DI2260" s="4" t="s">
        <v>241</v>
      </c>
      <c r="DJ2260" s="4" t="s">
        <v>241</v>
      </c>
      <c r="DK2260" s="4" t="s">
        <v>241</v>
      </c>
      <c r="DL2260" s="4" t="s">
        <v>241</v>
      </c>
      <c r="DP2260" s="4" t="s">
        <v>241</v>
      </c>
      <c r="DQ2260" s="4" t="s">
        <v>241</v>
      </c>
      <c r="DR2260" s="4" t="s">
        <v>241</v>
      </c>
      <c r="DS2260" s="4" t="s">
        <v>241</v>
      </c>
      <c r="DV2260" s="4" t="s">
        <v>426</v>
      </c>
      <c r="DW2260" s="4" t="s">
        <v>897</v>
      </c>
      <c r="HO2260" s="4" t="s">
        <v>267</v>
      </c>
    </row>
    <row r="2261" spans="1:223" ht="19.5" customHeight="1" x14ac:dyDescent="0.4">
      <c r="A2261" s="4">
        <v>1</v>
      </c>
      <c r="B2261" s="4" t="s">
        <v>239</v>
      </c>
      <c r="C2261" s="4">
        <v>3964</v>
      </c>
      <c r="D2261" s="4">
        <v>1</v>
      </c>
      <c r="E2261" s="4">
        <v>1</v>
      </c>
      <c r="F2261" s="4" t="s">
        <v>268</v>
      </c>
      <c r="G2261" s="4" t="s">
        <v>241</v>
      </c>
      <c r="H2261" s="4" t="s">
        <v>241</v>
      </c>
      <c r="I2261" s="4" t="s">
        <v>424</v>
      </c>
      <c r="J2261" s="4" t="s">
        <v>274</v>
      </c>
      <c r="K2261" s="4" t="s">
        <v>251</v>
      </c>
      <c r="L2261" s="4" t="s">
        <v>423</v>
      </c>
      <c r="M2261" s="5" t="s">
        <v>4537</v>
      </c>
      <c r="N2261" s="6">
        <f>52</f>
        <v>52</v>
      </c>
      <c r="O2261" s="4" t="s">
        <v>265</v>
      </c>
      <c r="P2261" s="6">
        <f>1</f>
        <v>1</v>
      </c>
      <c r="Q2261" s="6">
        <f>0</f>
        <v>0</v>
      </c>
      <c r="S2261" s="6">
        <f>0</f>
        <v>0</v>
      </c>
      <c r="T2261" s="6">
        <f>1</f>
        <v>1</v>
      </c>
      <c r="U2261" s="5" t="s">
        <v>245</v>
      </c>
      <c r="V2261" s="4" t="s">
        <v>270</v>
      </c>
      <c r="W2261" s="4" t="s">
        <v>271</v>
      </c>
      <c r="X2261" s="4" t="s">
        <v>273</v>
      </c>
      <c r="Y2261" s="4" t="s">
        <v>241</v>
      </c>
      <c r="AB2261" s="4" t="s">
        <v>241</v>
      </c>
      <c r="AD2261" s="5" t="s">
        <v>241</v>
      </c>
      <c r="AG2261" s="5" t="s">
        <v>246</v>
      </c>
      <c r="AH2261" s="4" t="s">
        <v>241</v>
      </c>
      <c r="AI2261" s="4" t="s">
        <v>247</v>
      </c>
      <c r="AJ2261" s="4" t="s">
        <v>248</v>
      </c>
      <c r="AZ2261" s="4" t="s">
        <v>249</v>
      </c>
      <c r="BA2261" s="4" t="s">
        <v>241</v>
      </c>
      <c r="BB2261" s="4" t="s">
        <v>250</v>
      </c>
      <c r="BC2261" s="4" t="s">
        <v>241</v>
      </c>
      <c r="BD2261" s="4" t="s">
        <v>252</v>
      </c>
      <c r="BE2261" s="4" t="s">
        <v>241</v>
      </c>
      <c r="BI2261" s="4" t="s">
        <v>253</v>
      </c>
      <c r="BJ2261" s="5" t="s">
        <v>246</v>
      </c>
      <c r="BK2261" s="4" t="s">
        <v>254</v>
      </c>
      <c r="BL2261" s="4" t="s">
        <v>255</v>
      </c>
      <c r="BM2261" s="4" t="s">
        <v>241</v>
      </c>
      <c r="BN2261" s="6">
        <f>0</f>
        <v>0</v>
      </c>
      <c r="BO2261" s="6">
        <f>0</f>
        <v>0</v>
      </c>
      <c r="BP2261" s="4" t="s">
        <v>256</v>
      </c>
      <c r="BQ2261" s="4" t="s">
        <v>257</v>
      </c>
      <c r="CE2261" s="4" t="s">
        <v>241</v>
      </c>
      <c r="CF2261" s="4" t="s">
        <v>241</v>
      </c>
      <c r="CJ2261" s="4" t="s">
        <v>276</v>
      </c>
      <c r="CK2261" s="4" t="s">
        <v>259</v>
      </c>
      <c r="CL2261" s="4" t="s">
        <v>241</v>
      </c>
      <c r="CO2261" s="5" t="s">
        <v>260</v>
      </c>
      <c r="CP2261" s="4" t="s">
        <v>241</v>
      </c>
      <c r="CQ2261" s="4" t="s">
        <v>261</v>
      </c>
      <c r="CR2261" s="4" t="s">
        <v>241</v>
      </c>
      <c r="CS2261" s="4" t="s">
        <v>241</v>
      </c>
      <c r="CT2261" s="4">
        <v>0</v>
      </c>
      <c r="CU2261" s="4" t="s">
        <v>262</v>
      </c>
      <c r="CV2261" s="4" t="s">
        <v>263</v>
      </c>
      <c r="CW2261" s="4" t="s">
        <v>263</v>
      </c>
      <c r="CX2261" s="4" t="s">
        <v>264</v>
      </c>
      <c r="DA2261" s="6">
        <f>1</f>
        <v>1</v>
      </c>
      <c r="DC2261" s="4" t="s">
        <v>325</v>
      </c>
      <c r="DD2261" s="4" t="s">
        <v>241</v>
      </c>
      <c r="DF2261" s="4" t="s">
        <v>325</v>
      </c>
      <c r="DG2261" s="6">
        <f>52</f>
        <v>52</v>
      </c>
      <c r="DI2261" s="4" t="s">
        <v>241</v>
      </c>
      <c r="DJ2261" s="4" t="s">
        <v>241</v>
      </c>
      <c r="DK2261" s="4" t="s">
        <v>241</v>
      </c>
      <c r="DL2261" s="4" t="s">
        <v>241</v>
      </c>
      <c r="DP2261" s="4" t="s">
        <v>241</v>
      </c>
      <c r="DQ2261" s="4" t="s">
        <v>241</v>
      </c>
      <c r="DR2261" s="4" t="s">
        <v>241</v>
      </c>
      <c r="DS2261" s="4" t="s">
        <v>241</v>
      </c>
      <c r="DV2261" s="4" t="s">
        <v>426</v>
      </c>
      <c r="DW2261" s="4" t="s">
        <v>1479</v>
      </c>
      <c r="HO2261" s="4" t="s">
        <v>267</v>
      </c>
    </row>
    <row r="2262" spans="1:223" ht="19.5" customHeight="1" x14ac:dyDescent="0.4">
      <c r="A2262" s="4">
        <v>1</v>
      </c>
      <c r="B2262" s="4" t="s">
        <v>239</v>
      </c>
      <c r="C2262" s="4">
        <v>3965</v>
      </c>
      <c r="D2262" s="4">
        <v>1</v>
      </c>
      <c r="E2262" s="4">
        <v>1</v>
      </c>
      <c r="F2262" s="4" t="s">
        <v>268</v>
      </c>
      <c r="G2262" s="4" t="s">
        <v>241</v>
      </c>
      <c r="H2262" s="4" t="s">
        <v>241</v>
      </c>
      <c r="I2262" s="4" t="s">
        <v>424</v>
      </c>
      <c r="J2262" s="4" t="s">
        <v>274</v>
      </c>
      <c r="K2262" s="4" t="s">
        <v>251</v>
      </c>
      <c r="L2262" s="4" t="s">
        <v>423</v>
      </c>
      <c r="M2262" s="5" t="s">
        <v>901</v>
      </c>
      <c r="N2262" s="6">
        <f>296</f>
        <v>296</v>
      </c>
      <c r="O2262" s="4" t="s">
        <v>265</v>
      </c>
      <c r="P2262" s="6">
        <f>1</f>
        <v>1</v>
      </c>
      <c r="Q2262" s="6">
        <f>0</f>
        <v>0</v>
      </c>
      <c r="S2262" s="6">
        <f>0</f>
        <v>0</v>
      </c>
      <c r="T2262" s="6">
        <f>1</f>
        <v>1</v>
      </c>
      <c r="U2262" s="5" t="s">
        <v>245</v>
      </c>
      <c r="V2262" s="4" t="s">
        <v>270</v>
      </c>
      <c r="W2262" s="4" t="s">
        <v>271</v>
      </c>
      <c r="X2262" s="4" t="s">
        <v>273</v>
      </c>
      <c r="Y2262" s="4" t="s">
        <v>241</v>
      </c>
      <c r="AB2262" s="4" t="s">
        <v>241</v>
      </c>
      <c r="AD2262" s="5" t="s">
        <v>241</v>
      </c>
      <c r="AG2262" s="5" t="s">
        <v>246</v>
      </c>
      <c r="AH2262" s="4" t="s">
        <v>241</v>
      </c>
      <c r="AI2262" s="4" t="s">
        <v>247</v>
      </c>
      <c r="AJ2262" s="4" t="s">
        <v>248</v>
      </c>
      <c r="AZ2262" s="4" t="s">
        <v>249</v>
      </c>
      <c r="BA2262" s="4" t="s">
        <v>241</v>
      </c>
      <c r="BB2262" s="4" t="s">
        <v>250</v>
      </c>
      <c r="BC2262" s="4" t="s">
        <v>241</v>
      </c>
      <c r="BD2262" s="4" t="s">
        <v>252</v>
      </c>
      <c r="BE2262" s="4" t="s">
        <v>241</v>
      </c>
      <c r="BI2262" s="4" t="s">
        <v>253</v>
      </c>
      <c r="BJ2262" s="5" t="s">
        <v>246</v>
      </c>
      <c r="BK2262" s="4" t="s">
        <v>254</v>
      </c>
      <c r="BL2262" s="4" t="s">
        <v>255</v>
      </c>
      <c r="BM2262" s="4" t="s">
        <v>241</v>
      </c>
      <c r="BN2262" s="6">
        <f>0</f>
        <v>0</v>
      </c>
      <c r="BO2262" s="6">
        <f>0</f>
        <v>0</v>
      </c>
      <c r="BP2262" s="4" t="s">
        <v>256</v>
      </c>
      <c r="BQ2262" s="4" t="s">
        <v>257</v>
      </c>
      <c r="CE2262" s="4" t="s">
        <v>241</v>
      </c>
      <c r="CF2262" s="4" t="s">
        <v>241</v>
      </c>
      <c r="CJ2262" s="4" t="s">
        <v>276</v>
      </c>
      <c r="CK2262" s="4" t="s">
        <v>259</v>
      </c>
      <c r="CL2262" s="4" t="s">
        <v>241</v>
      </c>
      <c r="CO2262" s="5" t="s">
        <v>260</v>
      </c>
      <c r="CP2262" s="4" t="s">
        <v>241</v>
      </c>
      <c r="CQ2262" s="4" t="s">
        <v>261</v>
      </c>
      <c r="CR2262" s="4" t="s">
        <v>241</v>
      </c>
      <c r="CS2262" s="4" t="s">
        <v>241</v>
      </c>
      <c r="CT2262" s="4">
        <v>0</v>
      </c>
      <c r="CU2262" s="4" t="s">
        <v>262</v>
      </c>
      <c r="CV2262" s="4" t="s">
        <v>263</v>
      </c>
      <c r="CW2262" s="4" t="s">
        <v>263</v>
      </c>
      <c r="CX2262" s="4" t="s">
        <v>264</v>
      </c>
      <c r="DA2262" s="6">
        <f>1</f>
        <v>1</v>
      </c>
      <c r="DC2262" s="4" t="s">
        <v>325</v>
      </c>
      <c r="DD2262" s="4" t="s">
        <v>241</v>
      </c>
      <c r="DF2262" s="4" t="s">
        <v>325</v>
      </c>
      <c r="DG2262" s="6">
        <f>296</f>
        <v>296</v>
      </c>
      <c r="DI2262" s="4" t="s">
        <v>241</v>
      </c>
      <c r="DJ2262" s="4" t="s">
        <v>241</v>
      </c>
      <c r="DK2262" s="4" t="s">
        <v>241</v>
      </c>
      <c r="DL2262" s="4" t="s">
        <v>241</v>
      </c>
      <c r="DP2262" s="4" t="s">
        <v>241</v>
      </c>
      <c r="DQ2262" s="4" t="s">
        <v>241</v>
      </c>
      <c r="DR2262" s="4" t="s">
        <v>241</v>
      </c>
      <c r="DS2262" s="4" t="s">
        <v>241</v>
      </c>
      <c r="DV2262" s="4" t="s">
        <v>426</v>
      </c>
      <c r="DW2262" s="4" t="s">
        <v>902</v>
      </c>
      <c r="HO2262" s="4" t="s">
        <v>267</v>
      </c>
    </row>
    <row r="2263" spans="1:223" ht="19.5" customHeight="1" x14ac:dyDescent="0.4">
      <c r="A2263" s="4">
        <v>1</v>
      </c>
      <c r="B2263" s="4" t="s">
        <v>239</v>
      </c>
      <c r="C2263" s="4">
        <v>3966</v>
      </c>
      <c r="D2263" s="4">
        <v>1</v>
      </c>
      <c r="E2263" s="4">
        <v>1</v>
      </c>
      <c r="F2263" s="4" t="s">
        <v>268</v>
      </c>
      <c r="G2263" s="4" t="s">
        <v>241</v>
      </c>
      <c r="H2263" s="4" t="s">
        <v>241</v>
      </c>
      <c r="I2263" s="4" t="s">
        <v>424</v>
      </c>
      <c r="J2263" s="4" t="s">
        <v>274</v>
      </c>
      <c r="K2263" s="4" t="s">
        <v>251</v>
      </c>
      <c r="L2263" s="4" t="s">
        <v>423</v>
      </c>
      <c r="M2263" s="5" t="s">
        <v>905</v>
      </c>
      <c r="N2263" s="6">
        <f>168</f>
        <v>168</v>
      </c>
      <c r="O2263" s="4" t="s">
        <v>265</v>
      </c>
      <c r="P2263" s="6">
        <f>1</f>
        <v>1</v>
      </c>
      <c r="Q2263" s="6">
        <f>0</f>
        <v>0</v>
      </c>
      <c r="S2263" s="6">
        <f>0</f>
        <v>0</v>
      </c>
      <c r="T2263" s="6">
        <f>1</f>
        <v>1</v>
      </c>
      <c r="U2263" s="5" t="s">
        <v>245</v>
      </c>
      <c r="V2263" s="4" t="s">
        <v>270</v>
      </c>
      <c r="W2263" s="4" t="s">
        <v>271</v>
      </c>
      <c r="X2263" s="4" t="s">
        <v>273</v>
      </c>
      <c r="Y2263" s="4" t="s">
        <v>241</v>
      </c>
      <c r="AB2263" s="4" t="s">
        <v>241</v>
      </c>
      <c r="AD2263" s="5" t="s">
        <v>241</v>
      </c>
      <c r="AG2263" s="5" t="s">
        <v>246</v>
      </c>
      <c r="AH2263" s="4" t="s">
        <v>241</v>
      </c>
      <c r="AI2263" s="4" t="s">
        <v>247</v>
      </c>
      <c r="AJ2263" s="4" t="s">
        <v>248</v>
      </c>
      <c r="AZ2263" s="4" t="s">
        <v>249</v>
      </c>
      <c r="BA2263" s="4" t="s">
        <v>241</v>
      </c>
      <c r="BB2263" s="4" t="s">
        <v>250</v>
      </c>
      <c r="BC2263" s="4" t="s">
        <v>241</v>
      </c>
      <c r="BD2263" s="4" t="s">
        <v>252</v>
      </c>
      <c r="BE2263" s="4" t="s">
        <v>241</v>
      </c>
      <c r="BI2263" s="4" t="s">
        <v>253</v>
      </c>
      <c r="BJ2263" s="5" t="s">
        <v>246</v>
      </c>
      <c r="BK2263" s="4" t="s">
        <v>254</v>
      </c>
      <c r="BL2263" s="4" t="s">
        <v>255</v>
      </c>
      <c r="BM2263" s="4" t="s">
        <v>241</v>
      </c>
      <c r="BN2263" s="6">
        <f>0</f>
        <v>0</v>
      </c>
      <c r="BO2263" s="6">
        <f>0</f>
        <v>0</v>
      </c>
      <c r="BP2263" s="4" t="s">
        <v>256</v>
      </c>
      <c r="BQ2263" s="4" t="s">
        <v>257</v>
      </c>
      <c r="CE2263" s="4" t="s">
        <v>241</v>
      </c>
      <c r="CF2263" s="4" t="s">
        <v>241</v>
      </c>
      <c r="CJ2263" s="4" t="s">
        <v>276</v>
      </c>
      <c r="CK2263" s="4" t="s">
        <v>259</v>
      </c>
      <c r="CL2263" s="4" t="s">
        <v>241</v>
      </c>
      <c r="CO2263" s="5" t="s">
        <v>260</v>
      </c>
      <c r="CP2263" s="4" t="s">
        <v>241</v>
      </c>
      <c r="CQ2263" s="4" t="s">
        <v>261</v>
      </c>
      <c r="CR2263" s="4" t="s">
        <v>241</v>
      </c>
      <c r="CS2263" s="4" t="s">
        <v>241</v>
      </c>
      <c r="CT2263" s="4">
        <v>0</v>
      </c>
      <c r="CU2263" s="4" t="s">
        <v>262</v>
      </c>
      <c r="CV2263" s="4" t="s">
        <v>263</v>
      </c>
      <c r="CW2263" s="4" t="s">
        <v>263</v>
      </c>
      <c r="CX2263" s="4" t="s">
        <v>264</v>
      </c>
      <c r="DA2263" s="6">
        <f>1</f>
        <v>1</v>
      </c>
      <c r="DC2263" s="4" t="s">
        <v>325</v>
      </c>
      <c r="DD2263" s="4" t="s">
        <v>241</v>
      </c>
      <c r="DF2263" s="4" t="s">
        <v>325</v>
      </c>
      <c r="DG2263" s="6">
        <f>168</f>
        <v>168</v>
      </c>
      <c r="DI2263" s="4" t="s">
        <v>241</v>
      </c>
      <c r="DJ2263" s="4" t="s">
        <v>241</v>
      </c>
      <c r="DK2263" s="4" t="s">
        <v>241</v>
      </c>
      <c r="DL2263" s="4" t="s">
        <v>241</v>
      </c>
      <c r="DP2263" s="4" t="s">
        <v>241</v>
      </c>
      <c r="DQ2263" s="4" t="s">
        <v>241</v>
      </c>
      <c r="DR2263" s="4" t="s">
        <v>241</v>
      </c>
      <c r="DS2263" s="4" t="s">
        <v>241</v>
      </c>
      <c r="DV2263" s="4" t="s">
        <v>426</v>
      </c>
      <c r="DW2263" s="4" t="s">
        <v>906</v>
      </c>
      <c r="HO2263" s="4" t="s">
        <v>267</v>
      </c>
    </row>
    <row r="2264" spans="1:223" ht="19.5" customHeight="1" x14ac:dyDescent="0.4">
      <c r="A2264" s="4">
        <v>1</v>
      </c>
      <c r="B2264" s="4" t="s">
        <v>239</v>
      </c>
      <c r="C2264" s="4">
        <v>3967</v>
      </c>
      <c r="D2264" s="4">
        <v>1</v>
      </c>
      <c r="E2264" s="4">
        <v>1</v>
      </c>
      <c r="F2264" s="4" t="s">
        <v>268</v>
      </c>
      <c r="G2264" s="4" t="s">
        <v>241</v>
      </c>
      <c r="H2264" s="4" t="s">
        <v>241</v>
      </c>
      <c r="I2264" s="4" t="s">
        <v>424</v>
      </c>
      <c r="J2264" s="4" t="s">
        <v>274</v>
      </c>
      <c r="K2264" s="4" t="s">
        <v>251</v>
      </c>
      <c r="L2264" s="4" t="s">
        <v>423</v>
      </c>
      <c r="M2264" s="5" t="s">
        <v>907</v>
      </c>
      <c r="N2264" s="6">
        <f>1224</f>
        <v>1224</v>
      </c>
      <c r="O2264" s="4" t="s">
        <v>265</v>
      </c>
      <c r="P2264" s="6">
        <f>1</f>
        <v>1</v>
      </c>
      <c r="Q2264" s="6">
        <f>0</f>
        <v>0</v>
      </c>
      <c r="S2264" s="6">
        <f>0</f>
        <v>0</v>
      </c>
      <c r="T2264" s="6">
        <f>1</f>
        <v>1</v>
      </c>
      <c r="U2264" s="5" t="s">
        <v>245</v>
      </c>
      <c r="V2264" s="4" t="s">
        <v>270</v>
      </c>
      <c r="W2264" s="4" t="s">
        <v>271</v>
      </c>
      <c r="X2264" s="4" t="s">
        <v>273</v>
      </c>
      <c r="Y2264" s="4" t="s">
        <v>241</v>
      </c>
      <c r="AB2264" s="4" t="s">
        <v>241</v>
      </c>
      <c r="AD2264" s="5" t="s">
        <v>241</v>
      </c>
      <c r="AG2264" s="5" t="s">
        <v>246</v>
      </c>
      <c r="AH2264" s="4" t="s">
        <v>241</v>
      </c>
      <c r="AI2264" s="4" t="s">
        <v>247</v>
      </c>
      <c r="AJ2264" s="4" t="s">
        <v>248</v>
      </c>
      <c r="AZ2264" s="4" t="s">
        <v>249</v>
      </c>
      <c r="BA2264" s="4" t="s">
        <v>241</v>
      </c>
      <c r="BB2264" s="4" t="s">
        <v>250</v>
      </c>
      <c r="BC2264" s="4" t="s">
        <v>241</v>
      </c>
      <c r="BD2264" s="4" t="s">
        <v>252</v>
      </c>
      <c r="BE2264" s="4" t="s">
        <v>241</v>
      </c>
      <c r="BI2264" s="4" t="s">
        <v>253</v>
      </c>
      <c r="BJ2264" s="5" t="s">
        <v>246</v>
      </c>
      <c r="BK2264" s="4" t="s">
        <v>254</v>
      </c>
      <c r="BL2264" s="4" t="s">
        <v>255</v>
      </c>
      <c r="BM2264" s="4" t="s">
        <v>241</v>
      </c>
      <c r="BN2264" s="6">
        <f>0</f>
        <v>0</v>
      </c>
      <c r="BO2264" s="6">
        <f>0</f>
        <v>0</v>
      </c>
      <c r="BP2264" s="4" t="s">
        <v>256</v>
      </c>
      <c r="BQ2264" s="4" t="s">
        <v>257</v>
      </c>
      <c r="CE2264" s="4" t="s">
        <v>241</v>
      </c>
      <c r="CF2264" s="4" t="s">
        <v>241</v>
      </c>
      <c r="CJ2264" s="4" t="s">
        <v>276</v>
      </c>
      <c r="CK2264" s="4" t="s">
        <v>259</v>
      </c>
      <c r="CL2264" s="4" t="s">
        <v>241</v>
      </c>
      <c r="CO2264" s="5" t="s">
        <v>260</v>
      </c>
      <c r="CP2264" s="4" t="s">
        <v>241</v>
      </c>
      <c r="CQ2264" s="4" t="s">
        <v>261</v>
      </c>
      <c r="CR2264" s="4" t="s">
        <v>241</v>
      </c>
      <c r="CS2264" s="4" t="s">
        <v>241</v>
      </c>
      <c r="CT2264" s="4">
        <v>0</v>
      </c>
      <c r="CU2264" s="4" t="s">
        <v>262</v>
      </c>
      <c r="CV2264" s="4" t="s">
        <v>263</v>
      </c>
      <c r="CW2264" s="4" t="s">
        <v>263</v>
      </c>
      <c r="CX2264" s="4" t="s">
        <v>264</v>
      </c>
      <c r="DA2264" s="6">
        <f>1</f>
        <v>1</v>
      </c>
      <c r="DC2264" s="4" t="s">
        <v>325</v>
      </c>
      <c r="DD2264" s="4" t="s">
        <v>241</v>
      </c>
      <c r="DF2264" s="4" t="s">
        <v>325</v>
      </c>
      <c r="DG2264" s="6">
        <f>1224</f>
        <v>1224</v>
      </c>
      <c r="DI2264" s="4" t="s">
        <v>241</v>
      </c>
      <c r="DJ2264" s="4" t="s">
        <v>241</v>
      </c>
      <c r="DK2264" s="4" t="s">
        <v>241</v>
      </c>
      <c r="DL2264" s="4" t="s">
        <v>241</v>
      </c>
      <c r="DP2264" s="4" t="s">
        <v>241</v>
      </c>
      <c r="DQ2264" s="4" t="s">
        <v>241</v>
      </c>
      <c r="DR2264" s="4" t="s">
        <v>241</v>
      </c>
      <c r="DS2264" s="4" t="s">
        <v>241</v>
      </c>
      <c r="DV2264" s="4" t="s">
        <v>426</v>
      </c>
      <c r="DW2264" s="4" t="s">
        <v>908</v>
      </c>
      <c r="HO2264" s="4" t="s">
        <v>267</v>
      </c>
    </row>
    <row r="2265" spans="1:223" ht="19.5" customHeight="1" x14ac:dyDescent="0.4">
      <c r="A2265" s="4">
        <v>1</v>
      </c>
      <c r="B2265" s="4" t="s">
        <v>239</v>
      </c>
      <c r="C2265" s="4">
        <v>3968</v>
      </c>
      <c r="D2265" s="4">
        <v>1</v>
      </c>
      <c r="E2265" s="4">
        <v>1</v>
      </c>
      <c r="F2265" s="4" t="s">
        <v>268</v>
      </c>
      <c r="G2265" s="4" t="s">
        <v>241</v>
      </c>
      <c r="H2265" s="4" t="s">
        <v>241</v>
      </c>
      <c r="I2265" s="4" t="s">
        <v>424</v>
      </c>
      <c r="J2265" s="4" t="s">
        <v>274</v>
      </c>
      <c r="K2265" s="4" t="s">
        <v>251</v>
      </c>
      <c r="L2265" s="4" t="s">
        <v>423</v>
      </c>
      <c r="M2265" s="5" t="s">
        <v>911</v>
      </c>
      <c r="N2265" s="6">
        <f>1565</f>
        <v>1565</v>
      </c>
      <c r="O2265" s="4" t="s">
        <v>265</v>
      </c>
      <c r="P2265" s="6">
        <f>1</f>
        <v>1</v>
      </c>
      <c r="Q2265" s="6">
        <f>0</f>
        <v>0</v>
      </c>
      <c r="S2265" s="6">
        <f>0</f>
        <v>0</v>
      </c>
      <c r="T2265" s="6">
        <f>1</f>
        <v>1</v>
      </c>
      <c r="U2265" s="5" t="s">
        <v>245</v>
      </c>
      <c r="V2265" s="4" t="s">
        <v>270</v>
      </c>
      <c r="W2265" s="4" t="s">
        <v>271</v>
      </c>
      <c r="X2265" s="4" t="s">
        <v>273</v>
      </c>
      <c r="Y2265" s="4" t="s">
        <v>241</v>
      </c>
      <c r="AB2265" s="4" t="s">
        <v>241</v>
      </c>
      <c r="AD2265" s="5" t="s">
        <v>241</v>
      </c>
      <c r="AG2265" s="5" t="s">
        <v>246</v>
      </c>
      <c r="AH2265" s="4" t="s">
        <v>241</v>
      </c>
      <c r="AI2265" s="4" t="s">
        <v>247</v>
      </c>
      <c r="AJ2265" s="4" t="s">
        <v>248</v>
      </c>
      <c r="AZ2265" s="4" t="s">
        <v>249</v>
      </c>
      <c r="BA2265" s="4" t="s">
        <v>241</v>
      </c>
      <c r="BB2265" s="4" t="s">
        <v>250</v>
      </c>
      <c r="BC2265" s="4" t="s">
        <v>241</v>
      </c>
      <c r="BD2265" s="4" t="s">
        <v>252</v>
      </c>
      <c r="BE2265" s="4" t="s">
        <v>241</v>
      </c>
      <c r="BI2265" s="4" t="s">
        <v>253</v>
      </c>
      <c r="BJ2265" s="5" t="s">
        <v>246</v>
      </c>
      <c r="BK2265" s="4" t="s">
        <v>254</v>
      </c>
      <c r="BL2265" s="4" t="s">
        <v>255</v>
      </c>
      <c r="BM2265" s="4" t="s">
        <v>241</v>
      </c>
      <c r="BN2265" s="6">
        <f>0</f>
        <v>0</v>
      </c>
      <c r="BO2265" s="6">
        <f>0</f>
        <v>0</v>
      </c>
      <c r="BP2265" s="4" t="s">
        <v>256</v>
      </c>
      <c r="BQ2265" s="4" t="s">
        <v>257</v>
      </c>
      <c r="CE2265" s="4" t="s">
        <v>241</v>
      </c>
      <c r="CF2265" s="4" t="s">
        <v>241</v>
      </c>
      <c r="CJ2265" s="4" t="s">
        <v>276</v>
      </c>
      <c r="CK2265" s="4" t="s">
        <v>259</v>
      </c>
      <c r="CL2265" s="4" t="s">
        <v>241</v>
      </c>
      <c r="CO2265" s="5" t="s">
        <v>260</v>
      </c>
      <c r="CP2265" s="4" t="s">
        <v>241</v>
      </c>
      <c r="CQ2265" s="4" t="s">
        <v>261</v>
      </c>
      <c r="CR2265" s="4" t="s">
        <v>241</v>
      </c>
      <c r="CS2265" s="4" t="s">
        <v>241</v>
      </c>
      <c r="CT2265" s="4">
        <v>0</v>
      </c>
      <c r="CU2265" s="4" t="s">
        <v>262</v>
      </c>
      <c r="CV2265" s="4" t="s">
        <v>263</v>
      </c>
      <c r="CW2265" s="4" t="s">
        <v>263</v>
      </c>
      <c r="CX2265" s="4" t="s">
        <v>264</v>
      </c>
      <c r="DA2265" s="6">
        <f>1</f>
        <v>1</v>
      </c>
      <c r="DC2265" s="4" t="s">
        <v>325</v>
      </c>
      <c r="DD2265" s="4" t="s">
        <v>241</v>
      </c>
      <c r="DF2265" s="4" t="s">
        <v>325</v>
      </c>
      <c r="DG2265" s="6">
        <f>1565</f>
        <v>1565</v>
      </c>
      <c r="DI2265" s="4" t="s">
        <v>241</v>
      </c>
      <c r="DJ2265" s="4" t="s">
        <v>241</v>
      </c>
      <c r="DK2265" s="4" t="s">
        <v>241</v>
      </c>
      <c r="DL2265" s="4" t="s">
        <v>241</v>
      </c>
      <c r="DP2265" s="4" t="s">
        <v>241</v>
      </c>
      <c r="DQ2265" s="4" t="s">
        <v>241</v>
      </c>
      <c r="DR2265" s="4" t="s">
        <v>241</v>
      </c>
      <c r="DS2265" s="4" t="s">
        <v>241</v>
      </c>
      <c r="DV2265" s="4" t="s">
        <v>426</v>
      </c>
      <c r="DW2265" s="4" t="s">
        <v>912</v>
      </c>
      <c r="HO2265" s="4" t="s">
        <v>267</v>
      </c>
    </row>
    <row r="2266" spans="1:223" ht="19.5" customHeight="1" x14ac:dyDescent="0.4">
      <c r="A2266" s="4">
        <v>1</v>
      </c>
      <c r="B2266" s="4" t="s">
        <v>239</v>
      </c>
      <c r="C2266" s="4">
        <v>3969</v>
      </c>
      <c r="D2266" s="4">
        <v>1</v>
      </c>
      <c r="E2266" s="4">
        <v>1</v>
      </c>
      <c r="F2266" s="4" t="s">
        <v>268</v>
      </c>
      <c r="G2266" s="4" t="s">
        <v>241</v>
      </c>
      <c r="H2266" s="4" t="s">
        <v>241</v>
      </c>
      <c r="I2266" s="4" t="s">
        <v>424</v>
      </c>
      <c r="J2266" s="4" t="s">
        <v>274</v>
      </c>
      <c r="K2266" s="4" t="s">
        <v>251</v>
      </c>
      <c r="L2266" s="4" t="s">
        <v>423</v>
      </c>
      <c r="M2266" s="5" t="s">
        <v>915</v>
      </c>
      <c r="N2266" s="6">
        <f>702</f>
        <v>702</v>
      </c>
      <c r="O2266" s="4" t="s">
        <v>265</v>
      </c>
      <c r="P2266" s="6">
        <f>1</f>
        <v>1</v>
      </c>
      <c r="Q2266" s="6">
        <f>0</f>
        <v>0</v>
      </c>
      <c r="S2266" s="6">
        <f>0</f>
        <v>0</v>
      </c>
      <c r="T2266" s="6">
        <f>1</f>
        <v>1</v>
      </c>
      <c r="U2266" s="5" t="s">
        <v>245</v>
      </c>
      <c r="V2266" s="4" t="s">
        <v>270</v>
      </c>
      <c r="W2266" s="4" t="s">
        <v>271</v>
      </c>
      <c r="X2266" s="4" t="s">
        <v>273</v>
      </c>
      <c r="Y2266" s="4" t="s">
        <v>241</v>
      </c>
      <c r="AB2266" s="4" t="s">
        <v>241</v>
      </c>
      <c r="AD2266" s="5" t="s">
        <v>241</v>
      </c>
      <c r="AG2266" s="5" t="s">
        <v>246</v>
      </c>
      <c r="AH2266" s="4" t="s">
        <v>241</v>
      </c>
      <c r="AI2266" s="4" t="s">
        <v>247</v>
      </c>
      <c r="AJ2266" s="4" t="s">
        <v>248</v>
      </c>
      <c r="AZ2266" s="4" t="s">
        <v>249</v>
      </c>
      <c r="BA2266" s="4" t="s">
        <v>241</v>
      </c>
      <c r="BB2266" s="4" t="s">
        <v>250</v>
      </c>
      <c r="BC2266" s="4" t="s">
        <v>241</v>
      </c>
      <c r="BD2266" s="4" t="s">
        <v>252</v>
      </c>
      <c r="BE2266" s="4" t="s">
        <v>241</v>
      </c>
      <c r="BI2266" s="4" t="s">
        <v>253</v>
      </c>
      <c r="BJ2266" s="5" t="s">
        <v>246</v>
      </c>
      <c r="BK2266" s="4" t="s">
        <v>254</v>
      </c>
      <c r="BL2266" s="4" t="s">
        <v>255</v>
      </c>
      <c r="BM2266" s="4" t="s">
        <v>241</v>
      </c>
      <c r="BN2266" s="6">
        <f>0</f>
        <v>0</v>
      </c>
      <c r="BO2266" s="6">
        <f>0</f>
        <v>0</v>
      </c>
      <c r="BP2266" s="4" t="s">
        <v>256</v>
      </c>
      <c r="BQ2266" s="4" t="s">
        <v>257</v>
      </c>
      <c r="CE2266" s="4" t="s">
        <v>241</v>
      </c>
      <c r="CF2266" s="4" t="s">
        <v>241</v>
      </c>
      <c r="CJ2266" s="4" t="s">
        <v>276</v>
      </c>
      <c r="CK2266" s="4" t="s">
        <v>259</v>
      </c>
      <c r="CL2266" s="4" t="s">
        <v>241</v>
      </c>
      <c r="CO2266" s="5" t="s">
        <v>260</v>
      </c>
      <c r="CP2266" s="4" t="s">
        <v>241</v>
      </c>
      <c r="CQ2266" s="4" t="s">
        <v>261</v>
      </c>
      <c r="CR2266" s="4" t="s">
        <v>241</v>
      </c>
      <c r="CS2266" s="4" t="s">
        <v>241</v>
      </c>
      <c r="CT2266" s="4">
        <v>0</v>
      </c>
      <c r="CU2266" s="4" t="s">
        <v>262</v>
      </c>
      <c r="CV2266" s="4" t="s">
        <v>263</v>
      </c>
      <c r="CW2266" s="4" t="s">
        <v>263</v>
      </c>
      <c r="CX2266" s="4" t="s">
        <v>264</v>
      </c>
      <c r="DA2266" s="6">
        <f>1</f>
        <v>1</v>
      </c>
      <c r="DC2266" s="4" t="s">
        <v>325</v>
      </c>
      <c r="DD2266" s="4" t="s">
        <v>241</v>
      </c>
      <c r="DF2266" s="4" t="s">
        <v>325</v>
      </c>
      <c r="DG2266" s="6">
        <f>702</f>
        <v>702</v>
      </c>
      <c r="DI2266" s="4" t="s">
        <v>241</v>
      </c>
      <c r="DJ2266" s="4" t="s">
        <v>241</v>
      </c>
      <c r="DK2266" s="4" t="s">
        <v>241</v>
      </c>
      <c r="DL2266" s="4" t="s">
        <v>241</v>
      </c>
      <c r="DP2266" s="4" t="s">
        <v>241</v>
      </c>
      <c r="DQ2266" s="4" t="s">
        <v>241</v>
      </c>
      <c r="DR2266" s="4" t="s">
        <v>241</v>
      </c>
      <c r="DS2266" s="4" t="s">
        <v>241</v>
      </c>
      <c r="DV2266" s="4" t="s">
        <v>426</v>
      </c>
      <c r="DW2266" s="4" t="s">
        <v>916</v>
      </c>
      <c r="HO2266" s="4" t="s">
        <v>267</v>
      </c>
    </row>
    <row r="2267" spans="1:223" ht="19.5" customHeight="1" x14ac:dyDescent="0.4">
      <c r="A2267" s="4">
        <v>1</v>
      </c>
      <c r="B2267" s="4" t="s">
        <v>239</v>
      </c>
      <c r="C2267" s="4">
        <v>3970</v>
      </c>
      <c r="D2267" s="4">
        <v>1</v>
      </c>
      <c r="E2267" s="4">
        <v>1</v>
      </c>
      <c r="F2267" s="4" t="s">
        <v>268</v>
      </c>
      <c r="G2267" s="4" t="s">
        <v>241</v>
      </c>
      <c r="H2267" s="4" t="s">
        <v>241</v>
      </c>
      <c r="I2267" s="4" t="s">
        <v>424</v>
      </c>
      <c r="J2267" s="4" t="s">
        <v>274</v>
      </c>
      <c r="K2267" s="4" t="s">
        <v>251</v>
      </c>
      <c r="L2267" s="4" t="s">
        <v>423</v>
      </c>
      <c r="M2267" s="5" t="s">
        <v>921</v>
      </c>
      <c r="N2267" s="6">
        <f>879</f>
        <v>879</v>
      </c>
      <c r="O2267" s="4" t="s">
        <v>265</v>
      </c>
      <c r="P2267" s="6">
        <f>1</f>
        <v>1</v>
      </c>
      <c r="Q2267" s="6">
        <f>0</f>
        <v>0</v>
      </c>
      <c r="S2267" s="6">
        <f>0</f>
        <v>0</v>
      </c>
      <c r="T2267" s="6">
        <f>1</f>
        <v>1</v>
      </c>
      <c r="U2267" s="5" t="s">
        <v>245</v>
      </c>
      <c r="V2267" s="4" t="s">
        <v>270</v>
      </c>
      <c r="W2267" s="4" t="s">
        <v>271</v>
      </c>
      <c r="X2267" s="4" t="s">
        <v>273</v>
      </c>
      <c r="Y2267" s="4" t="s">
        <v>241</v>
      </c>
      <c r="AB2267" s="4" t="s">
        <v>241</v>
      </c>
      <c r="AD2267" s="5" t="s">
        <v>241</v>
      </c>
      <c r="AG2267" s="5" t="s">
        <v>246</v>
      </c>
      <c r="AH2267" s="4" t="s">
        <v>241</v>
      </c>
      <c r="AI2267" s="4" t="s">
        <v>247</v>
      </c>
      <c r="AJ2267" s="4" t="s">
        <v>248</v>
      </c>
      <c r="AZ2267" s="4" t="s">
        <v>249</v>
      </c>
      <c r="BA2267" s="4" t="s">
        <v>241</v>
      </c>
      <c r="BB2267" s="4" t="s">
        <v>250</v>
      </c>
      <c r="BC2267" s="4" t="s">
        <v>241</v>
      </c>
      <c r="BD2267" s="4" t="s">
        <v>252</v>
      </c>
      <c r="BE2267" s="4" t="s">
        <v>241</v>
      </c>
      <c r="BI2267" s="4" t="s">
        <v>253</v>
      </c>
      <c r="BJ2267" s="5" t="s">
        <v>246</v>
      </c>
      <c r="BK2267" s="4" t="s">
        <v>254</v>
      </c>
      <c r="BL2267" s="4" t="s">
        <v>255</v>
      </c>
      <c r="BM2267" s="4" t="s">
        <v>241</v>
      </c>
      <c r="BN2267" s="6">
        <f>0</f>
        <v>0</v>
      </c>
      <c r="BO2267" s="6">
        <f>0</f>
        <v>0</v>
      </c>
      <c r="BP2267" s="4" t="s">
        <v>256</v>
      </c>
      <c r="BQ2267" s="4" t="s">
        <v>257</v>
      </c>
      <c r="CE2267" s="4" t="s">
        <v>241</v>
      </c>
      <c r="CF2267" s="4" t="s">
        <v>241</v>
      </c>
      <c r="CJ2267" s="4" t="s">
        <v>276</v>
      </c>
      <c r="CK2267" s="4" t="s">
        <v>259</v>
      </c>
      <c r="CL2267" s="4" t="s">
        <v>241</v>
      </c>
      <c r="CO2267" s="5" t="s">
        <v>260</v>
      </c>
      <c r="CP2267" s="4" t="s">
        <v>241</v>
      </c>
      <c r="CQ2267" s="4" t="s">
        <v>261</v>
      </c>
      <c r="CR2267" s="4" t="s">
        <v>241</v>
      </c>
      <c r="CS2267" s="4" t="s">
        <v>241</v>
      </c>
      <c r="CT2267" s="4">
        <v>0</v>
      </c>
      <c r="CU2267" s="4" t="s">
        <v>262</v>
      </c>
      <c r="CV2267" s="4" t="s">
        <v>263</v>
      </c>
      <c r="CW2267" s="4" t="s">
        <v>263</v>
      </c>
      <c r="CX2267" s="4" t="s">
        <v>264</v>
      </c>
      <c r="DA2267" s="6">
        <f>1</f>
        <v>1</v>
      </c>
      <c r="DC2267" s="4" t="s">
        <v>325</v>
      </c>
      <c r="DD2267" s="4" t="s">
        <v>241</v>
      </c>
      <c r="DF2267" s="4" t="s">
        <v>325</v>
      </c>
      <c r="DG2267" s="6">
        <f>879</f>
        <v>879</v>
      </c>
      <c r="DI2267" s="4" t="s">
        <v>241</v>
      </c>
      <c r="DJ2267" s="4" t="s">
        <v>241</v>
      </c>
      <c r="DK2267" s="4" t="s">
        <v>241</v>
      </c>
      <c r="DL2267" s="4" t="s">
        <v>241</v>
      </c>
      <c r="DP2267" s="4" t="s">
        <v>241</v>
      </c>
      <c r="DQ2267" s="4" t="s">
        <v>241</v>
      </c>
      <c r="DR2267" s="4" t="s">
        <v>241</v>
      </c>
      <c r="DS2267" s="4" t="s">
        <v>241</v>
      </c>
      <c r="DV2267" s="4" t="s">
        <v>426</v>
      </c>
      <c r="DW2267" s="4" t="s">
        <v>922</v>
      </c>
      <c r="HO2267" s="4" t="s">
        <v>267</v>
      </c>
    </row>
    <row r="2268" spans="1:223" ht="19.5" customHeight="1" x14ac:dyDescent="0.4">
      <c r="A2268" s="4">
        <v>1</v>
      </c>
      <c r="B2268" s="4" t="s">
        <v>239</v>
      </c>
      <c r="C2268" s="4">
        <v>3971</v>
      </c>
      <c r="D2268" s="4">
        <v>1</v>
      </c>
      <c r="E2268" s="4">
        <v>1</v>
      </c>
      <c r="F2268" s="4" t="s">
        <v>268</v>
      </c>
      <c r="G2268" s="4" t="s">
        <v>241</v>
      </c>
      <c r="H2268" s="4" t="s">
        <v>241</v>
      </c>
      <c r="I2268" s="4" t="s">
        <v>424</v>
      </c>
      <c r="J2268" s="4" t="s">
        <v>274</v>
      </c>
      <c r="K2268" s="4" t="s">
        <v>251</v>
      </c>
      <c r="L2268" s="4" t="s">
        <v>423</v>
      </c>
      <c r="M2268" s="5" t="s">
        <v>923</v>
      </c>
      <c r="N2268" s="6">
        <f>934</f>
        <v>934</v>
      </c>
      <c r="O2268" s="4" t="s">
        <v>265</v>
      </c>
      <c r="P2268" s="6">
        <f>1</f>
        <v>1</v>
      </c>
      <c r="Q2268" s="6">
        <f>0</f>
        <v>0</v>
      </c>
      <c r="S2268" s="6">
        <f>0</f>
        <v>0</v>
      </c>
      <c r="T2268" s="6">
        <f>1</f>
        <v>1</v>
      </c>
      <c r="U2268" s="5" t="s">
        <v>245</v>
      </c>
      <c r="V2268" s="4" t="s">
        <v>270</v>
      </c>
      <c r="W2268" s="4" t="s">
        <v>271</v>
      </c>
      <c r="X2268" s="4" t="s">
        <v>273</v>
      </c>
      <c r="Y2268" s="4" t="s">
        <v>241</v>
      </c>
      <c r="AB2268" s="4" t="s">
        <v>241</v>
      </c>
      <c r="AD2268" s="5" t="s">
        <v>241</v>
      </c>
      <c r="AG2268" s="5" t="s">
        <v>246</v>
      </c>
      <c r="AH2268" s="4" t="s">
        <v>241</v>
      </c>
      <c r="AI2268" s="4" t="s">
        <v>247</v>
      </c>
      <c r="AJ2268" s="4" t="s">
        <v>248</v>
      </c>
      <c r="AZ2268" s="4" t="s">
        <v>249</v>
      </c>
      <c r="BA2268" s="4" t="s">
        <v>241</v>
      </c>
      <c r="BB2268" s="4" t="s">
        <v>250</v>
      </c>
      <c r="BC2268" s="4" t="s">
        <v>241</v>
      </c>
      <c r="BD2268" s="4" t="s">
        <v>252</v>
      </c>
      <c r="BE2268" s="4" t="s">
        <v>241</v>
      </c>
      <c r="BI2268" s="4" t="s">
        <v>253</v>
      </c>
      <c r="BJ2268" s="5" t="s">
        <v>246</v>
      </c>
      <c r="BK2268" s="4" t="s">
        <v>254</v>
      </c>
      <c r="BL2268" s="4" t="s">
        <v>255</v>
      </c>
      <c r="BM2268" s="4" t="s">
        <v>241</v>
      </c>
      <c r="BN2268" s="6">
        <f>0</f>
        <v>0</v>
      </c>
      <c r="BO2268" s="6">
        <f>0</f>
        <v>0</v>
      </c>
      <c r="BP2268" s="4" t="s">
        <v>256</v>
      </c>
      <c r="BQ2268" s="4" t="s">
        <v>257</v>
      </c>
      <c r="CE2268" s="4" t="s">
        <v>241</v>
      </c>
      <c r="CF2268" s="4" t="s">
        <v>241</v>
      </c>
      <c r="CJ2268" s="4" t="s">
        <v>276</v>
      </c>
      <c r="CK2268" s="4" t="s">
        <v>259</v>
      </c>
      <c r="CL2268" s="4" t="s">
        <v>241</v>
      </c>
      <c r="CO2268" s="5" t="s">
        <v>260</v>
      </c>
      <c r="CP2268" s="4" t="s">
        <v>241</v>
      </c>
      <c r="CQ2268" s="4" t="s">
        <v>261</v>
      </c>
      <c r="CR2268" s="4" t="s">
        <v>241</v>
      </c>
      <c r="CS2268" s="4" t="s">
        <v>241</v>
      </c>
      <c r="CT2268" s="4">
        <v>0</v>
      </c>
      <c r="CU2268" s="4" t="s">
        <v>262</v>
      </c>
      <c r="CV2268" s="4" t="s">
        <v>263</v>
      </c>
      <c r="CW2268" s="4" t="s">
        <v>263</v>
      </c>
      <c r="CX2268" s="4" t="s">
        <v>264</v>
      </c>
      <c r="DA2268" s="6">
        <f>1</f>
        <v>1</v>
      </c>
      <c r="DC2268" s="4" t="s">
        <v>325</v>
      </c>
      <c r="DD2268" s="4" t="s">
        <v>241</v>
      </c>
      <c r="DF2268" s="4" t="s">
        <v>325</v>
      </c>
      <c r="DG2268" s="6">
        <f>934</f>
        <v>934</v>
      </c>
      <c r="DI2268" s="4" t="s">
        <v>241</v>
      </c>
      <c r="DJ2268" s="4" t="s">
        <v>241</v>
      </c>
      <c r="DK2268" s="4" t="s">
        <v>241</v>
      </c>
      <c r="DL2268" s="4" t="s">
        <v>241</v>
      </c>
      <c r="DP2268" s="4" t="s">
        <v>241</v>
      </c>
      <c r="DQ2268" s="4" t="s">
        <v>241</v>
      </c>
      <c r="DR2268" s="4" t="s">
        <v>241</v>
      </c>
      <c r="DS2268" s="4" t="s">
        <v>241</v>
      </c>
      <c r="DV2268" s="4" t="s">
        <v>426</v>
      </c>
      <c r="DW2268" s="4" t="s">
        <v>924</v>
      </c>
      <c r="HO2268" s="4" t="s">
        <v>267</v>
      </c>
    </row>
    <row r="2269" spans="1:223" ht="19.5" customHeight="1" x14ac:dyDescent="0.4">
      <c r="A2269" s="4">
        <v>1</v>
      </c>
      <c r="B2269" s="4" t="s">
        <v>239</v>
      </c>
      <c r="C2269" s="4">
        <v>3972</v>
      </c>
      <c r="D2269" s="4">
        <v>1</v>
      </c>
      <c r="E2269" s="4">
        <v>1</v>
      </c>
      <c r="F2269" s="4" t="s">
        <v>268</v>
      </c>
      <c r="G2269" s="4" t="s">
        <v>241</v>
      </c>
      <c r="H2269" s="4" t="s">
        <v>241</v>
      </c>
      <c r="I2269" s="4" t="s">
        <v>424</v>
      </c>
      <c r="J2269" s="4" t="s">
        <v>274</v>
      </c>
      <c r="K2269" s="4" t="s">
        <v>251</v>
      </c>
      <c r="L2269" s="4" t="s">
        <v>423</v>
      </c>
      <c r="M2269" s="5" t="s">
        <v>4545</v>
      </c>
      <c r="N2269" s="6">
        <f>2319</f>
        <v>2319</v>
      </c>
      <c r="O2269" s="4" t="s">
        <v>265</v>
      </c>
      <c r="P2269" s="6">
        <f>1</f>
        <v>1</v>
      </c>
      <c r="Q2269" s="6">
        <f>0</f>
        <v>0</v>
      </c>
      <c r="S2269" s="6">
        <f>0</f>
        <v>0</v>
      </c>
      <c r="T2269" s="6">
        <f>1</f>
        <v>1</v>
      </c>
      <c r="U2269" s="5" t="s">
        <v>245</v>
      </c>
      <c r="V2269" s="4" t="s">
        <v>270</v>
      </c>
      <c r="W2269" s="4" t="s">
        <v>271</v>
      </c>
      <c r="X2269" s="4" t="s">
        <v>273</v>
      </c>
      <c r="Y2269" s="4" t="s">
        <v>241</v>
      </c>
      <c r="AB2269" s="4" t="s">
        <v>241</v>
      </c>
      <c r="AD2269" s="5" t="s">
        <v>241</v>
      </c>
      <c r="AG2269" s="5" t="s">
        <v>246</v>
      </c>
      <c r="AH2269" s="4" t="s">
        <v>241</v>
      </c>
      <c r="AI2269" s="4" t="s">
        <v>247</v>
      </c>
      <c r="AJ2269" s="4" t="s">
        <v>248</v>
      </c>
      <c r="AZ2269" s="4" t="s">
        <v>249</v>
      </c>
      <c r="BA2269" s="4" t="s">
        <v>241</v>
      </c>
      <c r="BB2269" s="4" t="s">
        <v>250</v>
      </c>
      <c r="BC2269" s="4" t="s">
        <v>241</v>
      </c>
      <c r="BD2269" s="4" t="s">
        <v>252</v>
      </c>
      <c r="BE2269" s="4" t="s">
        <v>241</v>
      </c>
      <c r="BI2269" s="4" t="s">
        <v>253</v>
      </c>
      <c r="BJ2269" s="5" t="s">
        <v>246</v>
      </c>
      <c r="BK2269" s="4" t="s">
        <v>254</v>
      </c>
      <c r="BL2269" s="4" t="s">
        <v>255</v>
      </c>
      <c r="BM2269" s="4" t="s">
        <v>241</v>
      </c>
      <c r="BN2269" s="6">
        <f>0</f>
        <v>0</v>
      </c>
      <c r="BO2269" s="6">
        <f>0</f>
        <v>0</v>
      </c>
      <c r="BP2269" s="4" t="s">
        <v>256</v>
      </c>
      <c r="BQ2269" s="4" t="s">
        <v>257</v>
      </c>
      <c r="CE2269" s="4" t="s">
        <v>241</v>
      </c>
      <c r="CF2269" s="4" t="s">
        <v>241</v>
      </c>
      <c r="CJ2269" s="4" t="s">
        <v>276</v>
      </c>
      <c r="CK2269" s="4" t="s">
        <v>259</v>
      </c>
      <c r="CL2269" s="4" t="s">
        <v>241</v>
      </c>
      <c r="CO2269" s="5" t="s">
        <v>260</v>
      </c>
      <c r="CP2269" s="4" t="s">
        <v>241</v>
      </c>
      <c r="CQ2269" s="4" t="s">
        <v>261</v>
      </c>
      <c r="CR2269" s="4" t="s">
        <v>241</v>
      </c>
      <c r="CS2269" s="4" t="s">
        <v>241</v>
      </c>
      <c r="CT2269" s="4">
        <v>0</v>
      </c>
      <c r="CU2269" s="4" t="s">
        <v>262</v>
      </c>
      <c r="CV2269" s="4" t="s">
        <v>263</v>
      </c>
      <c r="CW2269" s="4" t="s">
        <v>263</v>
      </c>
      <c r="CX2269" s="4" t="s">
        <v>264</v>
      </c>
      <c r="DA2269" s="6">
        <f>1</f>
        <v>1</v>
      </c>
      <c r="DC2269" s="4" t="s">
        <v>325</v>
      </c>
      <c r="DD2269" s="4" t="s">
        <v>241</v>
      </c>
      <c r="DF2269" s="4" t="s">
        <v>325</v>
      </c>
      <c r="DG2269" s="6">
        <f>2319</f>
        <v>2319</v>
      </c>
      <c r="DI2269" s="4" t="s">
        <v>241</v>
      </c>
      <c r="DJ2269" s="4" t="s">
        <v>241</v>
      </c>
      <c r="DK2269" s="4" t="s">
        <v>241</v>
      </c>
      <c r="DL2269" s="4" t="s">
        <v>241</v>
      </c>
      <c r="DP2269" s="4" t="s">
        <v>241</v>
      </c>
      <c r="DQ2269" s="4" t="s">
        <v>241</v>
      </c>
      <c r="DR2269" s="4" t="s">
        <v>241</v>
      </c>
      <c r="DS2269" s="4" t="s">
        <v>241</v>
      </c>
      <c r="DV2269" s="4" t="s">
        <v>426</v>
      </c>
      <c r="DW2269" s="4" t="s">
        <v>986</v>
      </c>
      <c r="HO2269" s="4" t="s">
        <v>267</v>
      </c>
    </row>
    <row r="2270" spans="1:223" ht="19.5" customHeight="1" x14ac:dyDescent="0.4">
      <c r="A2270" s="4">
        <v>1</v>
      </c>
      <c r="B2270" s="4" t="s">
        <v>239</v>
      </c>
      <c r="C2270" s="4">
        <v>3973</v>
      </c>
      <c r="D2270" s="4">
        <v>1</v>
      </c>
      <c r="E2270" s="4">
        <v>1</v>
      </c>
      <c r="F2270" s="4" t="s">
        <v>268</v>
      </c>
      <c r="G2270" s="4" t="s">
        <v>241</v>
      </c>
      <c r="H2270" s="4" t="s">
        <v>241</v>
      </c>
      <c r="I2270" s="4" t="s">
        <v>424</v>
      </c>
      <c r="J2270" s="4" t="s">
        <v>274</v>
      </c>
      <c r="K2270" s="4" t="s">
        <v>251</v>
      </c>
      <c r="L2270" s="4" t="s">
        <v>423</v>
      </c>
      <c r="M2270" s="5" t="s">
        <v>929</v>
      </c>
      <c r="N2270" s="6">
        <f>240</f>
        <v>240</v>
      </c>
      <c r="O2270" s="4" t="s">
        <v>265</v>
      </c>
      <c r="P2270" s="6">
        <f>1</f>
        <v>1</v>
      </c>
      <c r="Q2270" s="6">
        <f>0</f>
        <v>0</v>
      </c>
      <c r="S2270" s="6">
        <f>0</f>
        <v>0</v>
      </c>
      <c r="T2270" s="6">
        <f>1</f>
        <v>1</v>
      </c>
      <c r="U2270" s="5" t="s">
        <v>245</v>
      </c>
      <c r="V2270" s="4" t="s">
        <v>270</v>
      </c>
      <c r="W2270" s="4" t="s">
        <v>271</v>
      </c>
      <c r="X2270" s="4" t="s">
        <v>273</v>
      </c>
      <c r="Y2270" s="4" t="s">
        <v>241</v>
      </c>
      <c r="AB2270" s="4" t="s">
        <v>241</v>
      </c>
      <c r="AD2270" s="5" t="s">
        <v>241</v>
      </c>
      <c r="AG2270" s="5" t="s">
        <v>246</v>
      </c>
      <c r="AH2270" s="4" t="s">
        <v>241</v>
      </c>
      <c r="AI2270" s="4" t="s">
        <v>247</v>
      </c>
      <c r="AJ2270" s="4" t="s">
        <v>248</v>
      </c>
      <c r="AZ2270" s="4" t="s">
        <v>249</v>
      </c>
      <c r="BA2270" s="4" t="s">
        <v>241</v>
      </c>
      <c r="BB2270" s="4" t="s">
        <v>250</v>
      </c>
      <c r="BC2270" s="4" t="s">
        <v>241</v>
      </c>
      <c r="BD2270" s="4" t="s">
        <v>252</v>
      </c>
      <c r="BE2270" s="4" t="s">
        <v>241</v>
      </c>
      <c r="BI2270" s="4" t="s">
        <v>253</v>
      </c>
      <c r="BJ2270" s="5" t="s">
        <v>246</v>
      </c>
      <c r="BK2270" s="4" t="s">
        <v>254</v>
      </c>
      <c r="BL2270" s="4" t="s">
        <v>255</v>
      </c>
      <c r="BM2270" s="4" t="s">
        <v>241</v>
      </c>
      <c r="BN2270" s="6">
        <f>0</f>
        <v>0</v>
      </c>
      <c r="BO2270" s="6">
        <f>0</f>
        <v>0</v>
      </c>
      <c r="BP2270" s="4" t="s">
        <v>256</v>
      </c>
      <c r="BQ2270" s="4" t="s">
        <v>257</v>
      </c>
      <c r="CE2270" s="4" t="s">
        <v>241</v>
      </c>
      <c r="CF2270" s="4" t="s">
        <v>241</v>
      </c>
      <c r="CJ2270" s="4" t="s">
        <v>276</v>
      </c>
      <c r="CK2270" s="4" t="s">
        <v>259</v>
      </c>
      <c r="CL2270" s="4" t="s">
        <v>241</v>
      </c>
      <c r="CO2270" s="5" t="s">
        <v>260</v>
      </c>
      <c r="CP2270" s="4" t="s">
        <v>241</v>
      </c>
      <c r="CQ2270" s="4" t="s">
        <v>261</v>
      </c>
      <c r="CR2270" s="4" t="s">
        <v>241</v>
      </c>
      <c r="CS2270" s="4" t="s">
        <v>241</v>
      </c>
      <c r="CT2270" s="4">
        <v>0</v>
      </c>
      <c r="CU2270" s="4" t="s">
        <v>262</v>
      </c>
      <c r="CV2270" s="4" t="s">
        <v>263</v>
      </c>
      <c r="CW2270" s="4" t="s">
        <v>263</v>
      </c>
      <c r="CX2270" s="4" t="s">
        <v>264</v>
      </c>
      <c r="DA2270" s="6">
        <f>1</f>
        <v>1</v>
      </c>
      <c r="DC2270" s="4" t="s">
        <v>325</v>
      </c>
      <c r="DD2270" s="4" t="s">
        <v>241</v>
      </c>
      <c r="DF2270" s="4" t="s">
        <v>325</v>
      </c>
      <c r="DG2270" s="6">
        <f>240</f>
        <v>240</v>
      </c>
      <c r="DI2270" s="4" t="s">
        <v>241</v>
      </c>
      <c r="DJ2270" s="4" t="s">
        <v>241</v>
      </c>
      <c r="DK2270" s="4" t="s">
        <v>241</v>
      </c>
      <c r="DL2270" s="4" t="s">
        <v>241</v>
      </c>
      <c r="DP2270" s="4" t="s">
        <v>241</v>
      </c>
      <c r="DQ2270" s="4" t="s">
        <v>241</v>
      </c>
      <c r="DR2270" s="4" t="s">
        <v>241</v>
      </c>
      <c r="DS2270" s="4" t="s">
        <v>241</v>
      </c>
      <c r="DV2270" s="4" t="s">
        <v>426</v>
      </c>
      <c r="DW2270" s="4" t="s">
        <v>930</v>
      </c>
      <c r="HO2270" s="4" t="s">
        <v>267</v>
      </c>
    </row>
    <row r="2271" spans="1:223" ht="19.5" customHeight="1" x14ac:dyDescent="0.4">
      <c r="A2271" s="4">
        <v>1</v>
      </c>
      <c r="B2271" s="4" t="s">
        <v>239</v>
      </c>
      <c r="C2271" s="4">
        <v>3974</v>
      </c>
      <c r="D2271" s="4">
        <v>1</v>
      </c>
      <c r="E2271" s="4">
        <v>1</v>
      </c>
      <c r="F2271" s="4" t="s">
        <v>268</v>
      </c>
      <c r="G2271" s="4" t="s">
        <v>241</v>
      </c>
      <c r="H2271" s="4" t="s">
        <v>241</v>
      </c>
      <c r="I2271" s="4" t="s">
        <v>424</v>
      </c>
      <c r="J2271" s="4" t="s">
        <v>274</v>
      </c>
      <c r="K2271" s="4" t="s">
        <v>251</v>
      </c>
      <c r="L2271" s="4" t="s">
        <v>423</v>
      </c>
      <c r="M2271" s="5" t="s">
        <v>933</v>
      </c>
      <c r="N2271" s="6">
        <f>2142</f>
        <v>2142</v>
      </c>
      <c r="O2271" s="4" t="s">
        <v>265</v>
      </c>
      <c r="P2271" s="6">
        <f>1</f>
        <v>1</v>
      </c>
      <c r="Q2271" s="6">
        <f>0</f>
        <v>0</v>
      </c>
      <c r="S2271" s="6">
        <f>0</f>
        <v>0</v>
      </c>
      <c r="T2271" s="6">
        <f>1</f>
        <v>1</v>
      </c>
      <c r="U2271" s="5" t="s">
        <v>245</v>
      </c>
      <c r="V2271" s="4" t="s">
        <v>270</v>
      </c>
      <c r="W2271" s="4" t="s">
        <v>271</v>
      </c>
      <c r="X2271" s="4" t="s">
        <v>273</v>
      </c>
      <c r="Y2271" s="4" t="s">
        <v>241</v>
      </c>
      <c r="AB2271" s="4" t="s">
        <v>241</v>
      </c>
      <c r="AD2271" s="5" t="s">
        <v>241</v>
      </c>
      <c r="AG2271" s="5" t="s">
        <v>246</v>
      </c>
      <c r="AH2271" s="4" t="s">
        <v>241</v>
      </c>
      <c r="AI2271" s="4" t="s">
        <v>247</v>
      </c>
      <c r="AJ2271" s="4" t="s">
        <v>248</v>
      </c>
      <c r="AZ2271" s="4" t="s">
        <v>249</v>
      </c>
      <c r="BA2271" s="4" t="s">
        <v>241</v>
      </c>
      <c r="BB2271" s="4" t="s">
        <v>250</v>
      </c>
      <c r="BC2271" s="4" t="s">
        <v>241</v>
      </c>
      <c r="BD2271" s="4" t="s">
        <v>252</v>
      </c>
      <c r="BE2271" s="4" t="s">
        <v>241</v>
      </c>
      <c r="BI2271" s="4" t="s">
        <v>253</v>
      </c>
      <c r="BJ2271" s="5" t="s">
        <v>246</v>
      </c>
      <c r="BK2271" s="4" t="s">
        <v>254</v>
      </c>
      <c r="BL2271" s="4" t="s">
        <v>255</v>
      </c>
      <c r="BM2271" s="4" t="s">
        <v>241</v>
      </c>
      <c r="BN2271" s="6">
        <f>0</f>
        <v>0</v>
      </c>
      <c r="BO2271" s="6">
        <f>0</f>
        <v>0</v>
      </c>
      <c r="BP2271" s="4" t="s">
        <v>256</v>
      </c>
      <c r="BQ2271" s="4" t="s">
        <v>257</v>
      </c>
      <c r="CE2271" s="4" t="s">
        <v>241</v>
      </c>
      <c r="CF2271" s="4" t="s">
        <v>241</v>
      </c>
      <c r="CJ2271" s="4" t="s">
        <v>276</v>
      </c>
      <c r="CK2271" s="4" t="s">
        <v>259</v>
      </c>
      <c r="CL2271" s="4" t="s">
        <v>241</v>
      </c>
      <c r="CO2271" s="5" t="s">
        <v>260</v>
      </c>
      <c r="CP2271" s="4" t="s">
        <v>241</v>
      </c>
      <c r="CQ2271" s="4" t="s">
        <v>261</v>
      </c>
      <c r="CR2271" s="4" t="s">
        <v>241</v>
      </c>
      <c r="CS2271" s="4" t="s">
        <v>241</v>
      </c>
      <c r="CT2271" s="4">
        <v>0</v>
      </c>
      <c r="CU2271" s="4" t="s">
        <v>262</v>
      </c>
      <c r="CV2271" s="4" t="s">
        <v>263</v>
      </c>
      <c r="CW2271" s="4" t="s">
        <v>263</v>
      </c>
      <c r="CX2271" s="4" t="s">
        <v>264</v>
      </c>
      <c r="DA2271" s="6">
        <f>1</f>
        <v>1</v>
      </c>
      <c r="DC2271" s="4" t="s">
        <v>325</v>
      </c>
      <c r="DD2271" s="4" t="s">
        <v>241</v>
      </c>
      <c r="DF2271" s="4" t="s">
        <v>325</v>
      </c>
      <c r="DG2271" s="6">
        <f>2142</f>
        <v>2142</v>
      </c>
      <c r="DI2271" s="4" t="s">
        <v>241</v>
      </c>
      <c r="DJ2271" s="4" t="s">
        <v>241</v>
      </c>
      <c r="DK2271" s="4" t="s">
        <v>241</v>
      </c>
      <c r="DL2271" s="4" t="s">
        <v>241</v>
      </c>
      <c r="DP2271" s="4" t="s">
        <v>241</v>
      </c>
      <c r="DQ2271" s="4" t="s">
        <v>241</v>
      </c>
      <c r="DR2271" s="4" t="s">
        <v>241</v>
      </c>
      <c r="DS2271" s="4" t="s">
        <v>241</v>
      </c>
      <c r="DV2271" s="4" t="s">
        <v>426</v>
      </c>
      <c r="DW2271" s="4" t="s">
        <v>934</v>
      </c>
      <c r="HO2271" s="4" t="s">
        <v>267</v>
      </c>
    </row>
    <row r="2272" spans="1:223" ht="19.5" customHeight="1" x14ac:dyDescent="0.4">
      <c r="A2272" s="4">
        <v>1</v>
      </c>
      <c r="B2272" s="4" t="s">
        <v>239</v>
      </c>
      <c r="C2272" s="4">
        <v>3975</v>
      </c>
      <c r="D2272" s="4">
        <v>1</v>
      </c>
      <c r="E2272" s="4">
        <v>1</v>
      </c>
      <c r="F2272" s="4" t="s">
        <v>268</v>
      </c>
      <c r="G2272" s="4" t="s">
        <v>241</v>
      </c>
      <c r="H2272" s="4" t="s">
        <v>241</v>
      </c>
      <c r="I2272" s="4" t="s">
        <v>424</v>
      </c>
      <c r="J2272" s="4" t="s">
        <v>274</v>
      </c>
      <c r="K2272" s="4" t="s">
        <v>251</v>
      </c>
      <c r="L2272" s="4" t="s">
        <v>423</v>
      </c>
      <c r="M2272" s="5" t="s">
        <v>935</v>
      </c>
      <c r="N2272" s="6">
        <f>905</f>
        <v>905</v>
      </c>
      <c r="O2272" s="4" t="s">
        <v>265</v>
      </c>
      <c r="P2272" s="6">
        <f>1</f>
        <v>1</v>
      </c>
      <c r="Q2272" s="6">
        <f>0</f>
        <v>0</v>
      </c>
      <c r="S2272" s="6">
        <f>0</f>
        <v>0</v>
      </c>
      <c r="T2272" s="6">
        <f>1</f>
        <v>1</v>
      </c>
      <c r="U2272" s="5" t="s">
        <v>245</v>
      </c>
      <c r="V2272" s="4" t="s">
        <v>270</v>
      </c>
      <c r="W2272" s="4" t="s">
        <v>271</v>
      </c>
      <c r="X2272" s="4" t="s">
        <v>273</v>
      </c>
      <c r="Y2272" s="4" t="s">
        <v>241</v>
      </c>
      <c r="AB2272" s="4" t="s">
        <v>241</v>
      </c>
      <c r="AD2272" s="5" t="s">
        <v>241</v>
      </c>
      <c r="AG2272" s="5" t="s">
        <v>246</v>
      </c>
      <c r="AH2272" s="4" t="s">
        <v>241</v>
      </c>
      <c r="AI2272" s="4" t="s">
        <v>247</v>
      </c>
      <c r="AJ2272" s="4" t="s">
        <v>248</v>
      </c>
      <c r="AZ2272" s="4" t="s">
        <v>249</v>
      </c>
      <c r="BA2272" s="4" t="s">
        <v>241</v>
      </c>
      <c r="BB2272" s="4" t="s">
        <v>250</v>
      </c>
      <c r="BC2272" s="4" t="s">
        <v>241</v>
      </c>
      <c r="BD2272" s="4" t="s">
        <v>252</v>
      </c>
      <c r="BE2272" s="4" t="s">
        <v>241</v>
      </c>
      <c r="BI2272" s="4" t="s">
        <v>253</v>
      </c>
      <c r="BJ2272" s="5" t="s">
        <v>246</v>
      </c>
      <c r="BK2272" s="4" t="s">
        <v>254</v>
      </c>
      <c r="BL2272" s="4" t="s">
        <v>255</v>
      </c>
      <c r="BM2272" s="4" t="s">
        <v>241</v>
      </c>
      <c r="BN2272" s="6">
        <f>0</f>
        <v>0</v>
      </c>
      <c r="BO2272" s="6">
        <f>0</f>
        <v>0</v>
      </c>
      <c r="BP2272" s="4" t="s">
        <v>256</v>
      </c>
      <c r="BQ2272" s="4" t="s">
        <v>257</v>
      </c>
      <c r="CE2272" s="4" t="s">
        <v>241</v>
      </c>
      <c r="CF2272" s="4" t="s">
        <v>241</v>
      </c>
      <c r="CJ2272" s="4" t="s">
        <v>276</v>
      </c>
      <c r="CK2272" s="4" t="s">
        <v>259</v>
      </c>
      <c r="CL2272" s="4" t="s">
        <v>241</v>
      </c>
      <c r="CO2272" s="5" t="s">
        <v>260</v>
      </c>
      <c r="CP2272" s="4" t="s">
        <v>241</v>
      </c>
      <c r="CQ2272" s="4" t="s">
        <v>261</v>
      </c>
      <c r="CR2272" s="4" t="s">
        <v>241</v>
      </c>
      <c r="CS2272" s="4" t="s">
        <v>241</v>
      </c>
      <c r="CT2272" s="4">
        <v>0</v>
      </c>
      <c r="CU2272" s="4" t="s">
        <v>262</v>
      </c>
      <c r="CV2272" s="4" t="s">
        <v>263</v>
      </c>
      <c r="CW2272" s="4" t="s">
        <v>263</v>
      </c>
      <c r="CX2272" s="4" t="s">
        <v>264</v>
      </c>
      <c r="DA2272" s="6">
        <f>1</f>
        <v>1</v>
      </c>
      <c r="DC2272" s="4" t="s">
        <v>325</v>
      </c>
      <c r="DD2272" s="4" t="s">
        <v>241</v>
      </c>
      <c r="DF2272" s="4" t="s">
        <v>325</v>
      </c>
      <c r="DG2272" s="6">
        <f>905</f>
        <v>905</v>
      </c>
      <c r="DI2272" s="4" t="s">
        <v>241</v>
      </c>
      <c r="DJ2272" s="4" t="s">
        <v>241</v>
      </c>
      <c r="DK2272" s="4" t="s">
        <v>241</v>
      </c>
      <c r="DL2272" s="4" t="s">
        <v>241</v>
      </c>
      <c r="DP2272" s="4" t="s">
        <v>241</v>
      </c>
      <c r="DQ2272" s="4" t="s">
        <v>241</v>
      </c>
      <c r="DR2272" s="4" t="s">
        <v>241</v>
      </c>
      <c r="DS2272" s="4" t="s">
        <v>241</v>
      </c>
      <c r="DV2272" s="4" t="s">
        <v>426</v>
      </c>
      <c r="DW2272" s="4" t="s">
        <v>279</v>
      </c>
      <c r="HO2272" s="4" t="s">
        <v>267</v>
      </c>
    </row>
    <row r="2273" spans="1:223" ht="19.5" customHeight="1" x14ac:dyDescent="0.4">
      <c r="A2273" s="4">
        <v>1</v>
      </c>
      <c r="B2273" s="4" t="s">
        <v>239</v>
      </c>
      <c r="C2273" s="4">
        <v>3976</v>
      </c>
      <c r="D2273" s="4">
        <v>1</v>
      </c>
      <c r="E2273" s="4">
        <v>1</v>
      </c>
      <c r="F2273" s="4" t="s">
        <v>268</v>
      </c>
      <c r="G2273" s="4" t="s">
        <v>241</v>
      </c>
      <c r="H2273" s="4" t="s">
        <v>241</v>
      </c>
      <c r="I2273" s="4" t="s">
        <v>424</v>
      </c>
      <c r="J2273" s="4" t="s">
        <v>274</v>
      </c>
      <c r="K2273" s="4" t="s">
        <v>251</v>
      </c>
      <c r="L2273" s="4" t="s">
        <v>423</v>
      </c>
      <c r="M2273" s="5" t="s">
        <v>938</v>
      </c>
      <c r="N2273" s="6">
        <f>92</f>
        <v>92</v>
      </c>
      <c r="O2273" s="4" t="s">
        <v>265</v>
      </c>
      <c r="P2273" s="6">
        <f>1</f>
        <v>1</v>
      </c>
      <c r="Q2273" s="6">
        <f>0</f>
        <v>0</v>
      </c>
      <c r="S2273" s="6">
        <f>0</f>
        <v>0</v>
      </c>
      <c r="T2273" s="6">
        <f>1</f>
        <v>1</v>
      </c>
      <c r="U2273" s="5" t="s">
        <v>245</v>
      </c>
      <c r="V2273" s="4" t="s">
        <v>270</v>
      </c>
      <c r="W2273" s="4" t="s">
        <v>271</v>
      </c>
      <c r="X2273" s="4" t="s">
        <v>273</v>
      </c>
      <c r="Y2273" s="4" t="s">
        <v>241</v>
      </c>
      <c r="AB2273" s="4" t="s">
        <v>241</v>
      </c>
      <c r="AD2273" s="5" t="s">
        <v>241</v>
      </c>
      <c r="AG2273" s="5" t="s">
        <v>246</v>
      </c>
      <c r="AH2273" s="4" t="s">
        <v>241</v>
      </c>
      <c r="AI2273" s="4" t="s">
        <v>247</v>
      </c>
      <c r="AJ2273" s="4" t="s">
        <v>248</v>
      </c>
      <c r="AZ2273" s="4" t="s">
        <v>249</v>
      </c>
      <c r="BA2273" s="4" t="s">
        <v>241</v>
      </c>
      <c r="BB2273" s="4" t="s">
        <v>250</v>
      </c>
      <c r="BC2273" s="4" t="s">
        <v>241</v>
      </c>
      <c r="BD2273" s="4" t="s">
        <v>252</v>
      </c>
      <c r="BE2273" s="4" t="s">
        <v>241</v>
      </c>
      <c r="BI2273" s="4" t="s">
        <v>253</v>
      </c>
      <c r="BJ2273" s="5" t="s">
        <v>246</v>
      </c>
      <c r="BK2273" s="4" t="s">
        <v>254</v>
      </c>
      <c r="BL2273" s="4" t="s">
        <v>255</v>
      </c>
      <c r="BM2273" s="4" t="s">
        <v>241</v>
      </c>
      <c r="BN2273" s="6">
        <f>0</f>
        <v>0</v>
      </c>
      <c r="BO2273" s="6">
        <f>0</f>
        <v>0</v>
      </c>
      <c r="BP2273" s="4" t="s">
        <v>256</v>
      </c>
      <c r="BQ2273" s="4" t="s">
        <v>257</v>
      </c>
      <c r="CE2273" s="4" t="s">
        <v>241</v>
      </c>
      <c r="CF2273" s="4" t="s">
        <v>241</v>
      </c>
      <c r="CJ2273" s="4" t="s">
        <v>276</v>
      </c>
      <c r="CK2273" s="4" t="s">
        <v>259</v>
      </c>
      <c r="CL2273" s="4" t="s">
        <v>241</v>
      </c>
      <c r="CO2273" s="5" t="s">
        <v>260</v>
      </c>
      <c r="CP2273" s="4" t="s">
        <v>241</v>
      </c>
      <c r="CQ2273" s="4" t="s">
        <v>261</v>
      </c>
      <c r="CR2273" s="4" t="s">
        <v>241</v>
      </c>
      <c r="CS2273" s="4" t="s">
        <v>241</v>
      </c>
      <c r="CT2273" s="4">
        <v>0</v>
      </c>
      <c r="CU2273" s="4" t="s">
        <v>262</v>
      </c>
      <c r="CV2273" s="4" t="s">
        <v>263</v>
      </c>
      <c r="CW2273" s="4" t="s">
        <v>263</v>
      </c>
      <c r="CX2273" s="4" t="s">
        <v>264</v>
      </c>
      <c r="DA2273" s="6">
        <f>1</f>
        <v>1</v>
      </c>
      <c r="DC2273" s="4" t="s">
        <v>325</v>
      </c>
      <c r="DD2273" s="4" t="s">
        <v>241</v>
      </c>
      <c r="DF2273" s="4" t="s">
        <v>325</v>
      </c>
      <c r="DG2273" s="6">
        <f>92</f>
        <v>92</v>
      </c>
      <c r="DI2273" s="4" t="s">
        <v>241</v>
      </c>
      <c r="DJ2273" s="4" t="s">
        <v>241</v>
      </c>
      <c r="DK2273" s="4" t="s">
        <v>241</v>
      </c>
      <c r="DL2273" s="4" t="s">
        <v>241</v>
      </c>
      <c r="DP2273" s="4" t="s">
        <v>241</v>
      </c>
      <c r="DQ2273" s="4" t="s">
        <v>241</v>
      </c>
      <c r="DR2273" s="4" t="s">
        <v>241</v>
      </c>
      <c r="DS2273" s="4" t="s">
        <v>241</v>
      </c>
      <c r="DV2273" s="4" t="s">
        <v>426</v>
      </c>
      <c r="DW2273" s="4" t="s">
        <v>290</v>
      </c>
      <c r="HO2273" s="4" t="s">
        <v>267</v>
      </c>
    </row>
    <row r="2274" spans="1:223" ht="19.5" customHeight="1" x14ac:dyDescent="0.4">
      <c r="A2274" s="4">
        <v>1</v>
      </c>
      <c r="B2274" s="4" t="s">
        <v>239</v>
      </c>
      <c r="C2274" s="4">
        <v>3977</v>
      </c>
      <c r="D2274" s="4">
        <v>1</v>
      </c>
      <c r="E2274" s="4">
        <v>1</v>
      </c>
      <c r="F2274" s="4" t="s">
        <v>268</v>
      </c>
      <c r="G2274" s="4" t="s">
        <v>241</v>
      </c>
      <c r="H2274" s="4" t="s">
        <v>241</v>
      </c>
      <c r="I2274" s="4" t="s">
        <v>424</v>
      </c>
      <c r="J2274" s="4" t="s">
        <v>274</v>
      </c>
      <c r="K2274" s="4" t="s">
        <v>251</v>
      </c>
      <c r="L2274" s="4" t="s">
        <v>423</v>
      </c>
      <c r="M2274" s="5" t="s">
        <v>943</v>
      </c>
      <c r="N2274" s="6">
        <f>2099</f>
        <v>2099</v>
      </c>
      <c r="O2274" s="4" t="s">
        <v>265</v>
      </c>
      <c r="P2274" s="6">
        <f>1</f>
        <v>1</v>
      </c>
      <c r="Q2274" s="6">
        <f>0</f>
        <v>0</v>
      </c>
      <c r="S2274" s="6">
        <f>0</f>
        <v>0</v>
      </c>
      <c r="T2274" s="6">
        <f>1</f>
        <v>1</v>
      </c>
      <c r="U2274" s="5" t="s">
        <v>245</v>
      </c>
      <c r="V2274" s="4" t="s">
        <v>270</v>
      </c>
      <c r="W2274" s="4" t="s">
        <v>271</v>
      </c>
      <c r="X2274" s="4" t="s">
        <v>273</v>
      </c>
      <c r="Y2274" s="4" t="s">
        <v>241</v>
      </c>
      <c r="AB2274" s="4" t="s">
        <v>241</v>
      </c>
      <c r="AD2274" s="5" t="s">
        <v>241</v>
      </c>
      <c r="AG2274" s="5" t="s">
        <v>246</v>
      </c>
      <c r="AH2274" s="4" t="s">
        <v>241</v>
      </c>
      <c r="AI2274" s="4" t="s">
        <v>247</v>
      </c>
      <c r="AJ2274" s="4" t="s">
        <v>248</v>
      </c>
      <c r="AZ2274" s="4" t="s">
        <v>249</v>
      </c>
      <c r="BA2274" s="4" t="s">
        <v>241</v>
      </c>
      <c r="BB2274" s="4" t="s">
        <v>250</v>
      </c>
      <c r="BC2274" s="4" t="s">
        <v>241</v>
      </c>
      <c r="BD2274" s="4" t="s">
        <v>252</v>
      </c>
      <c r="BE2274" s="4" t="s">
        <v>241</v>
      </c>
      <c r="BI2274" s="4" t="s">
        <v>253</v>
      </c>
      <c r="BJ2274" s="5" t="s">
        <v>246</v>
      </c>
      <c r="BK2274" s="4" t="s">
        <v>254</v>
      </c>
      <c r="BL2274" s="4" t="s">
        <v>255</v>
      </c>
      <c r="BM2274" s="4" t="s">
        <v>241</v>
      </c>
      <c r="BN2274" s="6">
        <f>0</f>
        <v>0</v>
      </c>
      <c r="BO2274" s="6">
        <f>0</f>
        <v>0</v>
      </c>
      <c r="BP2274" s="4" t="s">
        <v>256</v>
      </c>
      <c r="BQ2274" s="4" t="s">
        <v>257</v>
      </c>
      <c r="CE2274" s="4" t="s">
        <v>241</v>
      </c>
      <c r="CF2274" s="4" t="s">
        <v>241</v>
      </c>
      <c r="CJ2274" s="4" t="s">
        <v>276</v>
      </c>
      <c r="CK2274" s="4" t="s">
        <v>259</v>
      </c>
      <c r="CL2274" s="4" t="s">
        <v>241</v>
      </c>
      <c r="CO2274" s="5" t="s">
        <v>260</v>
      </c>
      <c r="CP2274" s="4" t="s">
        <v>241</v>
      </c>
      <c r="CQ2274" s="4" t="s">
        <v>261</v>
      </c>
      <c r="CR2274" s="4" t="s">
        <v>241</v>
      </c>
      <c r="CS2274" s="4" t="s">
        <v>241</v>
      </c>
      <c r="CT2274" s="4">
        <v>0</v>
      </c>
      <c r="CU2274" s="4" t="s">
        <v>262</v>
      </c>
      <c r="CV2274" s="4" t="s">
        <v>263</v>
      </c>
      <c r="CW2274" s="4" t="s">
        <v>263</v>
      </c>
      <c r="CX2274" s="4" t="s">
        <v>264</v>
      </c>
      <c r="DA2274" s="6">
        <f>1</f>
        <v>1</v>
      </c>
      <c r="DC2274" s="4" t="s">
        <v>325</v>
      </c>
      <c r="DD2274" s="4" t="s">
        <v>241</v>
      </c>
      <c r="DF2274" s="4" t="s">
        <v>325</v>
      </c>
      <c r="DG2274" s="6">
        <f>2099</f>
        <v>2099</v>
      </c>
      <c r="DI2274" s="4" t="s">
        <v>241</v>
      </c>
      <c r="DJ2274" s="4" t="s">
        <v>241</v>
      </c>
      <c r="DK2274" s="4" t="s">
        <v>241</v>
      </c>
      <c r="DL2274" s="4" t="s">
        <v>241</v>
      </c>
      <c r="DP2274" s="4" t="s">
        <v>241</v>
      </c>
      <c r="DQ2274" s="4" t="s">
        <v>241</v>
      </c>
      <c r="DR2274" s="4" t="s">
        <v>241</v>
      </c>
      <c r="DS2274" s="4" t="s">
        <v>241</v>
      </c>
      <c r="DV2274" s="4" t="s">
        <v>426</v>
      </c>
      <c r="DW2274" s="4" t="s">
        <v>298</v>
      </c>
      <c r="HO2274" s="4" t="s">
        <v>267</v>
      </c>
    </row>
    <row r="2275" spans="1:223" ht="19.5" customHeight="1" x14ac:dyDescent="0.4">
      <c r="A2275" s="4">
        <v>1</v>
      </c>
      <c r="B2275" s="4" t="s">
        <v>239</v>
      </c>
      <c r="C2275" s="4">
        <v>3978</v>
      </c>
      <c r="D2275" s="4">
        <v>1</v>
      </c>
      <c r="E2275" s="4">
        <v>1</v>
      </c>
      <c r="F2275" s="4" t="s">
        <v>268</v>
      </c>
      <c r="G2275" s="4" t="s">
        <v>241</v>
      </c>
      <c r="H2275" s="4" t="s">
        <v>241</v>
      </c>
      <c r="I2275" s="4" t="s">
        <v>424</v>
      </c>
      <c r="J2275" s="4" t="s">
        <v>274</v>
      </c>
      <c r="K2275" s="4" t="s">
        <v>251</v>
      </c>
      <c r="L2275" s="4" t="s">
        <v>423</v>
      </c>
      <c r="M2275" s="5" t="s">
        <v>948</v>
      </c>
      <c r="N2275" s="6">
        <f>1232</f>
        <v>1232</v>
      </c>
      <c r="O2275" s="4" t="s">
        <v>265</v>
      </c>
      <c r="P2275" s="6">
        <f>1</f>
        <v>1</v>
      </c>
      <c r="Q2275" s="6">
        <f>0</f>
        <v>0</v>
      </c>
      <c r="S2275" s="6">
        <f>0</f>
        <v>0</v>
      </c>
      <c r="T2275" s="6">
        <f>1</f>
        <v>1</v>
      </c>
      <c r="U2275" s="5" t="s">
        <v>245</v>
      </c>
      <c r="V2275" s="4" t="s">
        <v>270</v>
      </c>
      <c r="W2275" s="4" t="s">
        <v>271</v>
      </c>
      <c r="X2275" s="4" t="s">
        <v>273</v>
      </c>
      <c r="Y2275" s="4" t="s">
        <v>241</v>
      </c>
      <c r="AB2275" s="4" t="s">
        <v>241</v>
      </c>
      <c r="AD2275" s="5" t="s">
        <v>241</v>
      </c>
      <c r="AG2275" s="5" t="s">
        <v>246</v>
      </c>
      <c r="AH2275" s="4" t="s">
        <v>241</v>
      </c>
      <c r="AI2275" s="4" t="s">
        <v>247</v>
      </c>
      <c r="AJ2275" s="4" t="s">
        <v>248</v>
      </c>
      <c r="AZ2275" s="4" t="s">
        <v>249</v>
      </c>
      <c r="BA2275" s="4" t="s">
        <v>241</v>
      </c>
      <c r="BB2275" s="4" t="s">
        <v>250</v>
      </c>
      <c r="BC2275" s="4" t="s">
        <v>241</v>
      </c>
      <c r="BD2275" s="4" t="s">
        <v>252</v>
      </c>
      <c r="BE2275" s="4" t="s">
        <v>241</v>
      </c>
      <c r="BI2275" s="4" t="s">
        <v>253</v>
      </c>
      <c r="BJ2275" s="5" t="s">
        <v>246</v>
      </c>
      <c r="BK2275" s="4" t="s">
        <v>254</v>
      </c>
      <c r="BL2275" s="4" t="s">
        <v>255</v>
      </c>
      <c r="BM2275" s="4" t="s">
        <v>241</v>
      </c>
      <c r="BN2275" s="6">
        <f>0</f>
        <v>0</v>
      </c>
      <c r="BO2275" s="6">
        <f>0</f>
        <v>0</v>
      </c>
      <c r="BP2275" s="4" t="s">
        <v>256</v>
      </c>
      <c r="BQ2275" s="4" t="s">
        <v>257</v>
      </c>
      <c r="CE2275" s="4" t="s">
        <v>241</v>
      </c>
      <c r="CF2275" s="4" t="s">
        <v>241</v>
      </c>
      <c r="CJ2275" s="4" t="s">
        <v>276</v>
      </c>
      <c r="CK2275" s="4" t="s">
        <v>259</v>
      </c>
      <c r="CL2275" s="4" t="s">
        <v>241</v>
      </c>
      <c r="CO2275" s="5" t="s">
        <v>260</v>
      </c>
      <c r="CP2275" s="4" t="s">
        <v>241</v>
      </c>
      <c r="CQ2275" s="4" t="s">
        <v>261</v>
      </c>
      <c r="CR2275" s="4" t="s">
        <v>241</v>
      </c>
      <c r="CS2275" s="4" t="s">
        <v>241</v>
      </c>
      <c r="CT2275" s="4">
        <v>0</v>
      </c>
      <c r="CU2275" s="4" t="s">
        <v>262</v>
      </c>
      <c r="CV2275" s="4" t="s">
        <v>263</v>
      </c>
      <c r="CW2275" s="4" t="s">
        <v>263</v>
      </c>
      <c r="CX2275" s="4" t="s">
        <v>264</v>
      </c>
      <c r="DA2275" s="6">
        <f>1</f>
        <v>1</v>
      </c>
      <c r="DC2275" s="4" t="s">
        <v>325</v>
      </c>
      <c r="DD2275" s="4" t="s">
        <v>241</v>
      </c>
      <c r="DF2275" s="4" t="s">
        <v>325</v>
      </c>
      <c r="DG2275" s="6">
        <f>1232</f>
        <v>1232</v>
      </c>
      <c r="DI2275" s="4" t="s">
        <v>241</v>
      </c>
      <c r="DJ2275" s="4" t="s">
        <v>241</v>
      </c>
      <c r="DK2275" s="4" t="s">
        <v>241</v>
      </c>
      <c r="DL2275" s="4" t="s">
        <v>241</v>
      </c>
      <c r="DP2275" s="4" t="s">
        <v>241</v>
      </c>
      <c r="DQ2275" s="4" t="s">
        <v>241</v>
      </c>
      <c r="DR2275" s="4" t="s">
        <v>241</v>
      </c>
      <c r="DS2275" s="4" t="s">
        <v>241</v>
      </c>
      <c r="DV2275" s="4" t="s">
        <v>426</v>
      </c>
      <c r="DW2275" s="4" t="s">
        <v>302</v>
      </c>
      <c r="HO2275" s="4" t="s">
        <v>267</v>
      </c>
    </row>
    <row r="2276" spans="1:223" ht="19.5" customHeight="1" x14ac:dyDescent="0.4">
      <c r="A2276" s="4">
        <v>1</v>
      </c>
      <c r="B2276" s="4" t="s">
        <v>239</v>
      </c>
      <c r="C2276" s="4">
        <v>3979</v>
      </c>
      <c r="D2276" s="4">
        <v>1</v>
      </c>
      <c r="E2276" s="4">
        <v>1</v>
      </c>
      <c r="F2276" s="4" t="s">
        <v>268</v>
      </c>
      <c r="G2276" s="4" t="s">
        <v>241</v>
      </c>
      <c r="H2276" s="4" t="s">
        <v>241</v>
      </c>
      <c r="I2276" s="4" t="s">
        <v>424</v>
      </c>
      <c r="J2276" s="4" t="s">
        <v>274</v>
      </c>
      <c r="K2276" s="4" t="s">
        <v>251</v>
      </c>
      <c r="L2276" s="4" t="s">
        <v>423</v>
      </c>
      <c r="M2276" s="5" t="s">
        <v>949</v>
      </c>
      <c r="N2276" s="6">
        <f>866</f>
        <v>866</v>
      </c>
      <c r="O2276" s="4" t="s">
        <v>265</v>
      </c>
      <c r="P2276" s="6">
        <f>1</f>
        <v>1</v>
      </c>
      <c r="Q2276" s="6">
        <f>0</f>
        <v>0</v>
      </c>
      <c r="S2276" s="6">
        <f>0</f>
        <v>0</v>
      </c>
      <c r="T2276" s="6">
        <f>1</f>
        <v>1</v>
      </c>
      <c r="U2276" s="5" t="s">
        <v>245</v>
      </c>
      <c r="V2276" s="4" t="s">
        <v>270</v>
      </c>
      <c r="W2276" s="4" t="s">
        <v>271</v>
      </c>
      <c r="X2276" s="4" t="s">
        <v>273</v>
      </c>
      <c r="Y2276" s="4" t="s">
        <v>241</v>
      </c>
      <c r="AB2276" s="4" t="s">
        <v>241</v>
      </c>
      <c r="AD2276" s="5" t="s">
        <v>241</v>
      </c>
      <c r="AG2276" s="5" t="s">
        <v>246</v>
      </c>
      <c r="AH2276" s="4" t="s">
        <v>241</v>
      </c>
      <c r="AI2276" s="4" t="s">
        <v>247</v>
      </c>
      <c r="AJ2276" s="4" t="s">
        <v>248</v>
      </c>
      <c r="AZ2276" s="4" t="s">
        <v>249</v>
      </c>
      <c r="BA2276" s="4" t="s">
        <v>241</v>
      </c>
      <c r="BB2276" s="4" t="s">
        <v>250</v>
      </c>
      <c r="BC2276" s="4" t="s">
        <v>241</v>
      </c>
      <c r="BD2276" s="4" t="s">
        <v>252</v>
      </c>
      <c r="BE2276" s="4" t="s">
        <v>241</v>
      </c>
      <c r="BI2276" s="4" t="s">
        <v>253</v>
      </c>
      <c r="BJ2276" s="5" t="s">
        <v>246</v>
      </c>
      <c r="BK2276" s="4" t="s">
        <v>254</v>
      </c>
      <c r="BL2276" s="4" t="s">
        <v>255</v>
      </c>
      <c r="BM2276" s="4" t="s">
        <v>241</v>
      </c>
      <c r="BN2276" s="6">
        <f>0</f>
        <v>0</v>
      </c>
      <c r="BO2276" s="6">
        <f>0</f>
        <v>0</v>
      </c>
      <c r="BP2276" s="4" t="s">
        <v>256</v>
      </c>
      <c r="BQ2276" s="4" t="s">
        <v>257</v>
      </c>
      <c r="CE2276" s="4" t="s">
        <v>241</v>
      </c>
      <c r="CF2276" s="4" t="s">
        <v>241</v>
      </c>
      <c r="CJ2276" s="4" t="s">
        <v>276</v>
      </c>
      <c r="CK2276" s="4" t="s">
        <v>259</v>
      </c>
      <c r="CL2276" s="4" t="s">
        <v>241</v>
      </c>
      <c r="CO2276" s="5" t="s">
        <v>260</v>
      </c>
      <c r="CP2276" s="4" t="s">
        <v>241</v>
      </c>
      <c r="CQ2276" s="4" t="s">
        <v>261</v>
      </c>
      <c r="CR2276" s="4" t="s">
        <v>241</v>
      </c>
      <c r="CS2276" s="4" t="s">
        <v>241</v>
      </c>
      <c r="CT2276" s="4">
        <v>0</v>
      </c>
      <c r="CU2276" s="4" t="s">
        <v>262</v>
      </c>
      <c r="CV2276" s="4" t="s">
        <v>263</v>
      </c>
      <c r="CW2276" s="4" t="s">
        <v>263</v>
      </c>
      <c r="CX2276" s="4" t="s">
        <v>264</v>
      </c>
      <c r="DA2276" s="6">
        <f>1</f>
        <v>1</v>
      </c>
      <c r="DC2276" s="4" t="s">
        <v>325</v>
      </c>
      <c r="DD2276" s="4" t="s">
        <v>241</v>
      </c>
      <c r="DF2276" s="4" t="s">
        <v>325</v>
      </c>
      <c r="DG2276" s="6">
        <f>866</f>
        <v>866</v>
      </c>
      <c r="DI2276" s="4" t="s">
        <v>241</v>
      </c>
      <c r="DJ2276" s="4" t="s">
        <v>241</v>
      </c>
      <c r="DK2276" s="4" t="s">
        <v>241</v>
      </c>
      <c r="DL2276" s="4" t="s">
        <v>241</v>
      </c>
      <c r="DP2276" s="4" t="s">
        <v>241</v>
      </c>
      <c r="DQ2276" s="4" t="s">
        <v>241</v>
      </c>
      <c r="DR2276" s="4" t="s">
        <v>241</v>
      </c>
      <c r="DS2276" s="4" t="s">
        <v>241</v>
      </c>
      <c r="DV2276" s="4" t="s">
        <v>426</v>
      </c>
      <c r="DW2276" s="4" t="s">
        <v>309</v>
      </c>
      <c r="HO2276" s="4" t="s">
        <v>267</v>
      </c>
    </row>
    <row r="2277" spans="1:223" ht="19.5" customHeight="1" x14ac:dyDescent="0.4">
      <c r="A2277" s="4">
        <v>1</v>
      </c>
      <c r="B2277" s="4" t="s">
        <v>239</v>
      </c>
      <c r="C2277" s="4">
        <v>3980</v>
      </c>
      <c r="D2277" s="4">
        <v>1</v>
      </c>
      <c r="E2277" s="4">
        <v>1</v>
      </c>
      <c r="F2277" s="4" t="s">
        <v>268</v>
      </c>
      <c r="G2277" s="4" t="s">
        <v>241</v>
      </c>
      <c r="H2277" s="4" t="s">
        <v>241</v>
      </c>
      <c r="I2277" s="4" t="s">
        <v>424</v>
      </c>
      <c r="J2277" s="4" t="s">
        <v>274</v>
      </c>
      <c r="K2277" s="4" t="s">
        <v>251</v>
      </c>
      <c r="L2277" s="4" t="s">
        <v>423</v>
      </c>
      <c r="M2277" s="5" t="s">
        <v>4553</v>
      </c>
      <c r="N2277" s="6">
        <f>2279</f>
        <v>2279</v>
      </c>
      <c r="O2277" s="4" t="s">
        <v>265</v>
      </c>
      <c r="P2277" s="6">
        <f>1</f>
        <v>1</v>
      </c>
      <c r="Q2277" s="6">
        <f>0</f>
        <v>0</v>
      </c>
      <c r="S2277" s="6">
        <f>0</f>
        <v>0</v>
      </c>
      <c r="T2277" s="6">
        <f>1</f>
        <v>1</v>
      </c>
      <c r="U2277" s="5" t="s">
        <v>245</v>
      </c>
      <c r="V2277" s="4" t="s">
        <v>270</v>
      </c>
      <c r="W2277" s="4" t="s">
        <v>271</v>
      </c>
      <c r="X2277" s="4" t="s">
        <v>273</v>
      </c>
      <c r="Y2277" s="4" t="s">
        <v>241</v>
      </c>
      <c r="AB2277" s="4" t="s">
        <v>241</v>
      </c>
      <c r="AD2277" s="5" t="s">
        <v>241</v>
      </c>
      <c r="AG2277" s="5" t="s">
        <v>246</v>
      </c>
      <c r="AH2277" s="4" t="s">
        <v>241</v>
      </c>
      <c r="AI2277" s="4" t="s">
        <v>247</v>
      </c>
      <c r="AJ2277" s="4" t="s">
        <v>248</v>
      </c>
      <c r="AZ2277" s="4" t="s">
        <v>249</v>
      </c>
      <c r="BA2277" s="4" t="s">
        <v>241</v>
      </c>
      <c r="BB2277" s="4" t="s">
        <v>250</v>
      </c>
      <c r="BC2277" s="4" t="s">
        <v>241</v>
      </c>
      <c r="BD2277" s="4" t="s">
        <v>252</v>
      </c>
      <c r="BE2277" s="4" t="s">
        <v>241</v>
      </c>
      <c r="BI2277" s="4" t="s">
        <v>253</v>
      </c>
      <c r="BJ2277" s="5" t="s">
        <v>246</v>
      </c>
      <c r="BK2277" s="4" t="s">
        <v>254</v>
      </c>
      <c r="BL2277" s="4" t="s">
        <v>255</v>
      </c>
      <c r="BM2277" s="4" t="s">
        <v>241</v>
      </c>
      <c r="BN2277" s="6">
        <f>0</f>
        <v>0</v>
      </c>
      <c r="BO2277" s="6">
        <f>0</f>
        <v>0</v>
      </c>
      <c r="BP2277" s="4" t="s">
        <v>256</v>
      </c>
      <c r="BQ2277" s="4" t="s">
        <v>257</v>
      </c>
      <c r="CE2277" s="4" t="s">
        <v>241</v>
      </c>
      <c r="CF2277" s="4" t="s">
        <v>241</v>
      </c>
      <c r="CJ2277" s="4" t="s">
        <v>276</v>
      </c>
      <c r="CK2277" s="4" t="s">
        <v>259</v>
      </c>
      <c r="CL2277" s="4" t="s">
        <v>241</v>
      </c>
      <c r="CO2277" s="5" t="s">
        <v>260</v>
      </c>
      <c r="CP2277" s="4" t="s">
        <v>241</v>
      </c>
      <c r="CQ2277" s="4" t="s">
        <v>261</v>
      </c>
      <c r="CR2277" s="4" t="s">
        <v>241</v>
      </c>
      <c r="CS2277" s="4" t="s">
        <v>241</v>
      </c>
      <c r="CT2277" s="4">
        <v>0</v>
      </c>
      <c r="CU2277" s="4" t="s">
        <v>262</v>
      </c>
      <c r="CV2277" s="4" t="s">
        <v>263</v>
      </c>
      <c r="CW2277" s="4" t="s">
        <v>263</v>
      </c>
      <c r="CX2277" s="4" t="s">
        <v>264</v>
      </c>
      <c r="DA2277" s="6">
        <f>1</f>
        <v>1</v>
      </c>
      <c r="DC2277" s="4" t="s">
        <v>325</v>
      </c>
      <c r="DD2277" s="4" t="s">
        <v>241</v>
      </c>
      <c r="DF2277" s="4" t="s">
        <v>325</v>
      </c>
      <c r="DG2277" s="6">
        <f>2279</f>
        <v>2279</v>
      </c>
      <c r="DI2277" s="4" t="s">
        <v>241</v>
      </c>
      <c r="DJ2277" s="4" t="s">
        <v>241</v>
      </c>
      <c r="DK2277" s="4" t="s">
        <v>241</v>
      </c>
      <c r="DL2277" s="4" t="s">
        <v>241</v>
      </c>
      <c r="DP2277" s="4" t="s">
        <v>241</v>
      </c>
      <c r="DQ2277" s="4" t="s">
        <v>241</v>
      </c>
      <c r="DR2277" s="4" t="s">
        <v>241</v>
      </c>
      <c r="DS2277" s="4" t="s">
        <v>241</v>
      </c>
      <c r="DV2277" s="4" t="s">
        <v>426</v>
      </c>
      <c r="DW2277" s="4" t="s">
        <v>315</v>
      </c>
      <c r="HO2277" s="4" t="s">
        <v>267</v>
      </c>
    </row>
    <row r="2278" spans="1:223" ht="19.5" customHeight="1" x14ac:dyDescent="0.4">
      <c r="A2278" s="4">
        <v>1</v>
      </c>
      <c r="B2278" s="4" t="s">
        <v>239</v>
      </c>
      <c r="C2278" s="4">
        <v>3981</v>
      </c>
      <c r="D2278" s="4">
        <v>1</v>
      </c>
      <c r="E2278" s="4">
        <v>1</v>
      </c>
      <c r="F2278" s="4" t="s">
        <v>268</v>
      </c>
      <c r="G2278" s="4" t="s">
        <v>241</v>
      </c>
      <c r="H2278" s="4" t="s">
        <v>241</v>
      </c>
      <c r="I2278" s="4" t="s">
        <v>424</v>
      </c>
      <c r="J2278" s="4" t="s">
        <v>274</v>
      </c>
      <c r="K2278" s="4" t="s">
        <v>251</v>
      </c>
      <c r="L2278" s="4" t="s">
        <v>423</v>
      </c>
      <c r="M2278" s="5" t="s">
        <v>954</v>
      </c>
      <c r="N2278" s="6">
        <f>1333</f>
        <v>1333</v>
      </c>
      <c r="O2278" s="4" t="s">
        <v>265</v>
      </c>
      <c r="P2278" s="6">
        <f>1</f>
        <v>1</v>
      </c>
      <c r="Q2278" s="6">
        <f>0</f>
        <v>0</v>
      </c>
      <c r="S2278" s="6">
        <f>0</f>
        <v>0</v>
      </c>
      <c r="T2278" s="6">
        <f>1</f>
        <v>1</v>
      </c>
      <c r="U2278" s="5" t="s">
        <v>245</v>
      </c>
      <c r="V2278" s="4" t="s">
        <v>270</v>
      </c>
      <c r="W2278" s="4" t="s">
        <v>271</v>
      </c>
      <c r="X2278" s="4" t="s">
        <v>273</v>
      </c>
      <c r="Y2278" s="4" t="s">
        <v>241</v>
      </c>
      <c r="AB2278" s="4" t="s">
        <v>241</v>
      </c>
      <c r="AD2278" s="5" t="s">
        <v>241</v>
      </c>
      <c r="AG2278" s="5" t="s">
        <v>246</v>
      </c>
      <c r="AH2278" s="4" t="s">
        <v>241</v>
      </c>
      <c r="AI2278" s="4" t="s">
        <v>247</v>
      </c>
      <c r="AJ2278" s="4" t="s">
        <v>248</v>
      </c>
      <c r="AZ2278" s="4" t="s">
        <v>249</v>
      </c>
      <c r="BA2278" s="4" t="s">
        <v>241</v>
      </c>
      <c r="BB2278" s="4" t="s">
        <v>250</v>
      </c>
      <c r="BC2278" s="4" t="s">
        <v>241</v>
      </c>
      <c r="BD2278" s="4" t="s">
        <v>252</v>
      </c>
      <c r="BE2278" s="4" t="s">
        <v>241</v>
      </c>
      <c r="BI2278" s="4" t="s">
        <v>253</v>
      </c>
      <c r="BJ2278" s="5" t="s">
        <v>246</v>
      </c>
      <c r="BK2278" s="4" t="s">
        <v>254</v>
      </c>
      <c r="BL2278" s="4" t="s">
        <v>255</v>
      </c>
      <c r="BM2278" s="4" t="s">
        <v>241</v>
      </c>
      <c r="BN2278" s="6">
        <f>0</f>
        <v>0</v>
      </c>
      <c r="BO2278" s="6">
        <f>0</f>
        <v>0</v>
      </c>
      <c r="BP2278" s="4" t="s">
        <v>256</v>
      </c>
      <c r="BQ2278" s="4" t="s">
        <v>257</v>
      </c>
      <c r="CE2278" s="4" t="s">
        <v>241</v>
      </c>
      <c r="CF2278" s="4" t="s">
        <v>241</v>
      </c>
      <c r="CJ2278" s="4" t="s">
        <v>276</v>
      </c>
      <c r="CK2278" s="4" t="s">
        <v>259</v>
      </c>
      <c r="CL2278" s="4" t="s">
        <v>241</v>
      </c>
      <c r="CO2278" s="5" t="s">
        <v>260</v>
      </c>
      <c r="CP2278" s="4" t="s">
        <v>241</v>
      </c>
      <c r="CQ2278" s="4" t="s">
        <v>261</v>
      </c>
      <c r="CR2278" s="4" t="s">
        <v>241</v>
      </c>
      <c r="CS2278" s="4" t="s">
        <v>241</v>
      </c>
      <c r="CT2278" s="4">
        <v>0</v>
      </c>
      <c r="CU2278" s="4" t="s">
        <v>262</v>
      </c>
      <c r="CV2278" s="4" t="s">
        <v>263</v>
      </c>
      <c r="CW2278" s="4" t="s">
        <v>263</v>
      </c>
      <c r="CX2278" s="4" t="s">
        <v>264</v>
      </c>
      <c r="DA2278" s="6">
        <f>1</f>
        <v>1</v>
      </c>
      <c r="DC2278" s="4" t="s">
        <v>325</v>
      </c>
      <c r="DD2278" s="4" t="s">
        <v>241</v>
      </c>
      <c r="DF2278" s="4" t="s">
        <v>325</v>
      </c>
      <c r="DG2278" s="6">
        <f>1333</f>
        <v>1333</v>
      </c>
      <c r="DI2278" s="4" t="s">
        <v>241</v>
      </c>
      <c r="DJ2278" s="4" t="s">
        <v>241</v>
      </c>
      <c r="DK2278" s="4" t="s">
        <v>241</v>
      </c>
      <c r="DL2278" s="4" t="s">
        <v>241</v>
      </c>
      <c r="DP2278" s="4" t="s">
        <v>241</v>
      </c>
      <c r="DQ2278" s="4" t="s">
        <v>241</v>
      </c>
      <c r="DR2278" s="4" t="s">
        <v>241</v>
      </c>
      <c r="DS2278" s="4" t="s">
        <v>241</v>
      </c>
      <c r="DV2278" s="4" t="s">
        <v>426</v>
      </c>
      <c r="DW2278" s="4" t="s">
        <v>322</v>
      </c>
      <c r="HO2278" s="4" t="s">
        <v>267</v>
      </c>
    </row>
    <row r="2279" spans="1:223" ht="19.5" customHeight="1" x14ac:dyDescent="0.4">
      <c r="A2279" s="4">
        <v>1</v>
      </c>
      <c r="B2279" s="4" t="s">
        <v>239</v>
      </c>
      <c r="C2279" s="4">
        <v>3982</v>
      </c>
      <c r="D2279" s="4">
        <v>1</v>
      </c>
      <c r="E2279" s="4">
        <v>1</v>
      </c>
      <c r="F2279" s="4" t="s">
        <v>268</v>
      </c>
      <c r="G2279" s="4" t="s">
        <v>241</v>
      </c>
      <c r="H2279" s="4" t="s">
        <v>241</v>
      </c>
      <c r="I2279" s="4" t="s">
        <v>424</v>
      </c>
      <c r="J2279" s="4" t="s">
        <v>274</v>
      </c>
      <c r="K2279" s="4" t="s">
        <v>251</v>
      </c>
      <c r="L2279" s="4" t="s">
        <v>423</v>
      </c>
      <c r="M2279" s="5" t="s">
        <v>959</v>
      </c>
      <c r="N2279" s="6">
        <f>567</f>
        <v>567</v>
      </c>
      <c r="O2279" s="4" t="s">
        <v>265</v>
      </c>
      <c r="P2279" s="6">
        <f>1</f>
        <v>1</v>
      </c>
      <c r="Q2279" s="6">
        <f>0</f>
        <v>0</v>
      </c>
      <c r="S2279" s="6">
        <f>0</f>
        <v>0</v>
      </c>
      <c r="T2279" s="6">
        <f>1</f>
        <v>1</v>
      </c>
      <c r="U2279" s="5" t="s">
        <v>245</v>
      </c>
      <c r="V2279" s="4" t="s">
        <v>270</v>
      </c>
      <c r="W2279" s="4" t="s">
        <v>271</v>
      </c>
      <c r="X2279" s="4" t="s">
        <v>273</v>
      </c>
      <c r="Y2279" s="4" t="s">
        <v>241</v>
      </c>
      <c r="AB2279" s="4" t="s">
        <v>241</v>
      </c>
      <c r="AD2279" s="5" t="s">
        <v>241</v>
      </c>
      <c r="AG2279" s="5" t="s">
        <v>246</v>
      </c>
      <c r="AH2279" s="4" t="s">
        <v>241</v>
      </c>
      <c r="AI2279" s="4" t="s">
        <v>247</v>
      </c>
      <c r="AJ2279" s="4" t="s">
        <v>248</v>
      </c>
      <c r="AZ2279" s="4" t="s">
        <v>249</v>
      </c>
      <c r="BA2279" s="4" t="s">
        <v>241</v>
      </c>
      <c r="BB2279" s="4" t="s">
        <v>250</v>
      </c>
      <c r="BC2279" s="4" t="s">
        <v>241</v>
      </c>
      <c r="BD2279" s="4" t="s">
        <v>252</v>
      </c>
      <c r="BE2279" s="4" t="s">
        <v>241</v>
      </c>
      <c r="BI2279" s="4" t="s">
        <v>253</v>
      </c>
      <c r="BJ2279" s="5" t="s">
        <v>246</v>
      </c>
      <c r="BK2279" s="4" t="s">
        <v>254</v>
      </c>
      <c r="BL2279" s="4" t="s">
        <v>255</v>
      </c>
      <c r="BM2279" s="4" t="s">
        <v>241</v>
      </c>
      <c r="BN2279" s="6">
        <f>0</f>
        <v>0</v>
      </c>
      <c r="BO2279" s="6">
        <f>0</f>
        <v>0</v>
      </c>
      <c r="BP2279" s="4" t="s">
        <v>256</v>
      </c>
      <c r="BQ2279" s="4" t="s">
        <v>257</v>
      </c>
      <c r="CE2279" s="4" t="s">
        <v>241</v>
      </c>
      <c r="CF2279" s="4" t="s">
        <v>241</v>
      </c>
      <c r="CJ2279" s="4" t="s">
        <v>276</v>
      </c>
      <c r="CK2279" s="4" t="s">
        <v>259</v>
      </c>
      <c r="CL2279" s="4" t="s">
        <v>241</v>
      </c>
      <c r="CO2279" s="5" t="s">
        <v>260</v>
      </c>
      <c r="CP2279" s="4" t="s">
        <v>241</v>
      </c>
      <c r="CQ2279" s="4" t="s">
        <v>261</v>
      </c>
      <c r="CR2279" s="4" t="s">
        <v>241</v>
      </c>
      <c r="CS2279" s="4" t="s">
        <v>241</v>
      </c>
      <c r="CT2279" s="4">
        <v>0</v>
      </c>
      <c r="CU2279" s="4" t="s">
        <v>262</v>
      </c>
      <c r="CV2279" s="4" t="s">
        <v>263</v>
      </c>
      <c r="CW2279" s="4" t="s">
        <v>263</v>
      </c>
      <c r="CX2279" s="4" t="s">
        <v>264</v>
      </c>
      <c r="DA2279" s="6">
        <f>1</f>
        <v>1</v>
      </c>
      <c r="DC2279" s="4" t="s">
        <v>325</v>
      </c>
      <c r="DD2279" s="4" t="s">
        <v>241</v>
      </c>
      <c r="DF2279" s="4" t="s">
        <v>325</v>
      </c>
      <c r="DG2279" s="6">
        <f>567</f>
        <v>567</v>
      </c>
      <c r="DI2279" s="4" t="s">
        <v>241</v>
      </c>
      <c r="DJ2279" s="4" t="s">
        <v>241</v>
      </c>
      <c r="DK2279" s="4" t="s">
        <v>241</v>
      </c>
      <c r="DL2279" s="4" t="s">
        <v>241</v>
      </c>
      <c r="DP2279" s="4" t="s">
        <v>241</v>
      </c>
      <c r="DQ2279" s="4" t="s">
        <v>241</v>
      </c>
      <c r="DR2279" s="4" t="s">
        <v>241</v>
      </c>
      <c r="DS2279" s="4" t="s">
        <v>241</v>
      </c>
      <c r="DV2279" s="4" t="s">
        <v>426</v>
      </c>
      <c r="DW2279" s="4" t="s">
        <v>329</v>
      </c>
      <c r="HO2279" s="4" t="s">
        <v>267</v>
      </c>
    </row>
    <row r="2280" spans="1:223" ht="19.5" customHeight="1" x14ac:dyDescent="0.4">
      <c r="A2280" s="4">
        <v>1</v>
      </c>
      <c r="B2280" s="4" t="s">
        <v>239</v>
      </c>
      <c r="C2280" s="4">
        <v>3983</v>
      </c>
      <c r="D2280" s="4">
        <v>1</v>
      </c>
      <c r="E2280" s="4">
        <v>1</v>
      </c>
      <c r="F2280" s="4" t="s">
        <v>268</v>
      </c>
      <c r="G2280" s="4" t="s">
        <v>241</v>
      </c>
      <c r="H2280" s="4" t="s">
        <v>241</v>
      </c>
      <c r="I2280" s="4" t="s">
        <v>424</v>
      </c>
      <c r="J2280" s="4" t="s">
        <v>274</v>
      </c>
      <c r="K2280" s="4" t="s">
        <v>251</v>
      </c>
      <c r="L2280" s="4" t="s">
        <v>423</v>
      </c>
      <c r="M2280" s="5" t="s">
        <v>960</v>
      </c>
      <c r="N2280" s="6">
        <f>152</f>
        <v>152</v>
      </c>
      <c r="O2280" s="4" t="s">
        <v>265</v>
      </c>
      <c r="P2280" s="6">
        <f>1</f>
        <v>1</v>
      </c>
      <c r="Q2280" s="6">
        <f>0</f>
        <v>0</v>
      </c>
      <c r="S2280" s="6">
        <f>0</f>
        <v>0</v>
      </c>
      <c r="T2280" s="6">
        <f>1</f>
        <v>1</v>
      </c>
      <c r="U2280" s="5" t="s">
        <v>245</v>
      </c>
      <c r="V2280" s="4" t="s">
        <v>270</v>
      </c>
      <c r="W2280" s="4" t="s">
        <v>271</v>
      </c>
      <c r="X2280" s="4" t="s">
        <v>273</v>
      </c>
      <c r="Y2280" s="4" t="s">
        <v>241</v>
      </c>
      <c r="AB2280" s="4" t="s">
        <v>241</v>
      </c>
      <c r="AD2280" s="5" t="s">
        <v>241</v>
      </c>
      <c r="AG2280" s="5" t="s">
        <v>246</v>
      </c>
      <c r="AH2280" s="4" t="s">
        <v>241</v>
      </c>
      <c r="AI2280" s="4" t="s">
        <v>247</v>
      </c>
      <c r="AJ2280" s="4" t="s">
        <v>248</v>
      </c>
      <c r="AZ2280" s="4" t="s">
        <v>249</v>
      </c>
      <c r="BA2280" s="4" t="s">
        <v>241</v>
      </c>
      <c r="BB2280" s="4" t="s">
        <v>250</v>
      </c>
      <c r="BC2280" s="4" t="s">
        <v>241</v>
      </c>
      <c r="BD2280" s="4" t="s">
        <v>252</v>
      </c>
      <c r="BE2280" s="4" t="s">
        <v>241</v>
      </c>
      <c r="BI2280" s="4" t="s">
        <v>253</v>
      </c>
      <c r="BJ2280" s="5" t="s">
        <v>246</v>
      </c>
      <c r="BK2280" s="4" t="s">
        <v>254</v>
      </c>
      <c r="BL2280" s="4" t="s">
        <v>255</v>
      </c>
      <c r="BM2280" s="4" t="s">
        <v>241</v>
      </c>
      <c r="BN2280" s="6">
        <f>0</f>
        <v>0</v>
      </c>
      <c r="BO2280" s="6">
        <f>0</f>
        <v>0</v>
      </c>
      <c r="BP2280" s="4" t="s">
        <v>256</v>
      </c>
      <c r="BQ2280" s="4" t="s">
        <v>257</v>
      </c>
      <c r="CE2280" s="4" t="s">
        <v>241</v>
      </c>
      <c r="CF2280" s="4" t="s">
        <v>241</v>
      </c>
      <c r="CJ2280" s="4" t="s">
        <v>276</v>
      </c>
      <c r="CK2280" s="4" t="s">
        <v>259</v>
      </c>
      <c r="CL2280" s="4" t="s">
        <v>241</v>
      </c>
      <c r="CO2280" s="5" t="s">
        <v>260</v>
      </c>
      <c r="CP2280" s="4" t="s">
        <v>241</v>
      </c>
      <c r="CQ2280" s="4" t="s">
        <v>261</v>
      </c>
      <c r="CR2280" s="4" t="s">
        <v>241</v>
      </c>
      <c r="CS2280" s="4" t="s">
        <v>241</v>
      </c>
      <c r="CT2280" s="4">
        <v>0</v>
      </c>
      <c r="CU2280" s="4" t="s">
        <v>262</v>
      </c>
      <c r="CV2280" s="4" t="s">
        <v>263</v>
      </c>
      <c r="CW2280" s="4" t="s">
        <v>263</v>
      </c>
      <c r="CX2280" s="4" t="s">
        <v>264</v>
      </c>
      <c r="DA2280" s="6">
        <f>1</f>
        <v>1</v>
      </c>
      <c r="DC2280" s="4" t="s">
        <v>325</v>
      </c>
      <c r="DD2280" s="4" t="s">
        <v>241</v>
      </c>
      <c r="DF2280" s="4" t="s">
        <v>325</v>
      </c>
      <c r="DG2280" s="6">
        <f>152</f>
        <v>152</v>
      </c>
      <c r="DI2280" s="4" t="s">
        <v>241</v>
      </c>
      <c r="DJ2280" s="4" t="s">
        <v>241</v>
      </c>
      <c r="DK2280" s="4" t="s">
        <v>241</v>
      </c>
      <c r="DL2280" s="4" t="s">
        <v>241</v>
      </c>
      <c r="DP2280" s="4" t="s">
        <v>241</v>
      </c>
      <c r="DQ2280" s="4" t="s">
        <v>241</v>
      </c>
      <c r="DR2280" s="4" t="s">
        <v>241</v>
      </c>
      <c r="DS2280" s="4" t="s">
        <v>241</v>
      </c>
      <c r="DV2280" s="4" t="s">
        <v>426</v>
      </c>
      <c r="DW2280" s="4" t="s">
        <v>335</v>
      </c>
      <c r="HO2280" s="4" t="s">
        <v>267</v>
      </c>
    </row>
    <row r="2281" spans="1:223" ht="19.5" customHeight="1" x14ac:dyDescent="0.4">
      <c r="A2281" s="4">
        <v>1</v>
      </c>
      <c r="B2281" s="4" t="s">
        <v>239</v>
      </c>
      <c r="C2281" s="4">
        <v>3984</v>
      </c>
      <c r="D2281" s="4">
        <v>1</v>
      </c>
      <c r="E2281" s="4">
        <v>1</v>
      </c>
      <c r="F2281" s="4" t="s">
        <v>268</v>
      </c>
      <c r="G2281" s="4" t="s">
        <v>241</v>
      </c>
      <c r="H2281" s="4" t="s">
        <v>241</v>
      </c>
      <c r="I2281" s="4" t="s">
        <v>424</v>
      </c>
      <c r="J2281" s="4" t="s">
        <v>274</v>
      </c>
      <c r="K2281" s="4" t="s">
        <v>251</v>
      </c>
      <c r="L2281" s="4" t="s">
        <v>423</v>
      </c>
      <c r="M2281" s="5" t="s">
        <v>4557</v>
      </c>
      <c r="N2281" s="6">
        <f>156</f>
        <v>156</v>
      </c>
      <c r="O2281" s="4" t="s">
        <v>265</v>
      </c>
      <c r="P2281" s="6">
        <f>1</f>
        <v>1</v>
      </c>
      <c r="Q2281" s="6">
        <f>0</f>
        <v>0</v>
      </c>
      <c r="S2281" s="6">
        <f>0</f>
        <v>0</v>
      </c>
      <c r="T2281" s="6">
        <f>1</f>
        <v>1</v>
      </c>
      <c r="U2281" s="5" t="s">
        <v>245</v>
      </c>
      <c r="V2281" s="4" t="s">
        <v>270</v>
      </c>
      <c r="W2281" s="4" t="s">
        <v>271</v>
      </c>
      <c r="X2281" s="4" t="s">
        <v>273</v>
      </c>
      <c r="Y2281" s="4" t="s">
        <v>241</v>
      </c>
      <c r="AB2281" s="4" t="s">
        <v>241</v>
      </c>
      <c r="AD2281" s="5" t="s">
        <v>241</v>
      </c>
      <c r="AG2281" s="5" t="s">
        <v>246</v>
      </c>
      <c r="AH2281" s="4" t="s">
        <v>241</v>
      </c>
      <c r="AI2281" s="4" t="s">
        <v>247</v>
      </c>
      <c r="AJ2281" s="4" t="s">
        <v>248</v>
      </c>
      <c r="AZ2281" s="4" t="s">
        <v>249</v>
      </c>
      <c r="BA2281" s="4" t="s">
        <v>241</v>
      </c>
      <c r="BB2281" s="4" t="s">
        <v>250</v>
      </c>
      <c r="BC2281" s="4" t="s">
        <v>241</v>
      </c>
      <c r="BD2281" s="4" t="s">
        <v>252</v>
      </c>
      <c r="BE2281" s="4" t="s">
        <v>241</v>
      </c>
      <c r="BI2281" s="4" t="s">
        <v>253</v>
      </c>
      <c r="BJ2281" s="5" t="s">
        <v>246</v>
      </c>
      <c r="BK2281" s="4" t="s">
        <v>254</v>
      </c>
      <c r="BL2281" s="4" t="s">
        <v>255</v>
      </c>
      <c r="BM2281" s="4" t="s">
        <v>241</v>
      </c>
      <c r="BN2281" s="6">
        <f>0</f>
        <v>0</v>
      </c>
      <c r="BO2281" s="6">
        <f>0</f>
        <v>0</v>
      </c>
      <c r="BP2281" s="4" t="s">
        <v>256</v>
      </c>
      <c r="BQ2281" s="4" t="s">
        <v>257</v>
      </c>
      <c r="CE2281" s="4" t="s">
        <v>241</v>
      </c>
      <c r="CF2281" s="4" t="s">
        <v>241</v>
      </c>
      <c r="CJ2281" s="4" t="s">
        <v>276</v>
      </c>
      <c r="CK2281" s="4" t="s">
        <v>259</v>
      </c>
      <c r="CL2281" s="4" t="s">
        <v>241</v>
      </c>
      <c r="CO2281" s="5" t="s">
        <v>260</v>
      </c>
      <c r="CP2281" s="4" t="s">
        <v>241</v>
      </c>
      <c r="CQ2281" s="4" t="s">
        <v>261</v>
      </c>
      <c r="CR2281" s="4" t="s">
        <v>241</v>
      </c>
      <c r="CS2281" s="4" t="s">
        <v>241</v>
      </c>
      <c r="CT2281" s="4">
        <v>0</v>
      </c>
      <c r="CU2281" s="4" t="s">
        <v>262</v>
      </c>
      <c r="CV2281" s="4" t="s">
        <v>263</v>
      </c>
      <c r="CW2281" s="4" t="s">
        <v>263</v>
      </c>
      <c r="CX2281" s="4" t="s">
        <v>264</v>
      </c>
      <c r="DA2281" s="6">
        <f>1</f>
        <v>1</v>
      </c>
      <c r="DC2281" s="4" t="s">
        <v>325</v>
      </c>
      <c r="DD2281" s="4" t="s">
        <v>241</v>
      </c>
      <c r="DF2281" s="4" t="s">
        <v>325</v>
      </c>
      <c r="DG2281" s="6">
        <f>156</f>
        <v>156</v>
      </c>
      <c r="DI2281" s="4" t="s">
        <v>241</v>
      </c>
      <c r="DJ2281" s="4" t="s">
        <v>241</v>
      </c>
      <c r="DK2281" s="4" t="s">
        <v>241</v>
      </c>
      <c r="DL2281" s="4" t="s">
        <v>241</v>
      </c>
      <c r="DP2281" s="4" t="s">
        <v>241</v>
      </c>
      <c r="DQ2281" s="4" t="s">
        <v>241</v>
      </c>
      <c r="DR2281" s="4" t="s">
        <v>241</v>
      </c>
      <c r="DS2281" s="4" t="s">
        <v>241</v>
      </c>
      <c r="DV2281" s="4" t="s">
        <v>426</v>
      </c>
      <c r="DW2281" s="4" t="s">
        <v>342</v>
      </c>
      <c r="HO2281" s="4" t="s">
        <v>267</v>
      </c>
    </row>
    <row r="2282" spans="1:223" ht="19.5" customHeight="1" x14ac:dyDescent="0.4">
      <c r="A2282" s="4">
        <v>1</v>
      </c>
      <c r="B2282" s="4" t="s">
        <v>239</v>
      </c>
      <c r="C2282" s="4">
        <v>3985</v>
      </c>
      <c r="D2282" s="4">
        <v>1</v>
      </c>
      <c r="E2282" s="4">
        <v>1</v>
      </c>
      <c r="F2282" s="4" t="s">
        <v>268</v>
      </c>
      <c r="G2282" s="4" t="s">
        <v>241</v>
      </c>
      <c r="H2282" s="4" t="s">
        <v>241</v>
      </c>
      <c r="I2282" s="4" t="s">
        <v>424</v>
      </c>
      <c r="J2282" s="4" t="s">
        <v>274</v>
      </c>
      <c r="K2282" s="4" t="s">
        <v>251</v>
      </c>
      <c r="L2282" s="4" t="s">
        <v>423</v>
      </c>
      <c r="M2282" s="5" t="s">
        <v>969</v>
      </c>
      <c r="N2282" s="6">
        <f>92</f>
        <v>92</v>
      </c>
      <c r="O2282" s="4" t="s">
        <v>265</v>
      </c>
      <c r="P2282" s="6">
        <f>1</f>
        <v>1</v>
      </c>
      <c r="Q2282" s="6">
        <f>0</f>
        <v>0</v>
      </c>
      <c r="S2282" s="6">
        <f>0</f>
        <v>0</v>
      </c>
      <c r="T2282" s="6">
        <f>1</f>
        <v>1</v>
      </c>
      <c r="U2282" s="5" t="s">
        <v>245</v>
      </c>
      <c r="V2282" s="4" t="s">
        <v>270</v>
      </c>
      <c r="W2282" s="4" t="s">
        <v>271</v>
      </c>
      <c r="X2282" s="4" t="s">
        <v>273</v>
      </c>
      <c r="Y2282" s="4" t="s">
        <v>241</v>
      </c>
      <c r="AB2282" s="4" t="s">
        <v>241</v>
      </c>
      <c r="AD2282" s="5" t="s">
        <v>241</v>
      </c>
      <c r="AG2282" s="5" t="s">
        <v>246</v>
      </c>
      <c r="AH2282" s="4" t="s">
        <v>241</v>
      </c>
      <c r="AI2282" s="4" t="s">
        <v>247</v>
      </c>
      <c r="AJ2282" s="4" t="s">
        <v>248</v>
      </c>
      <c r="AZ2282" s="4" t="s">
        <v>249</v>
      </c>
      <c r="BA2282" s="4" t="s">
        <v>241</v>
      </c>
      <c r="BB2282" s="4" t="s">
        <v>250</v>
      </c>
      <c r="BC2282" s="4" t="s">
        <v>241</v>
      </c>
      <c r="BD2282" s="4" t="s">
        <v>252</v>
      </c>
      <c r="BE2282" s="4" t="s">
        <v>241</v>
      </c>
      <c r="BI2282" s="4" t="s">
        <v>253</v>
      </c>
      <c r="BJ2282" s="5" t="s">
        <v>246</v>
      </c>
      <c r="BK2282" s="4" t="s">
        <v>254</v>
      </c>
      <c r="BL2282" s="4" t="s">
        <v>255</v>
      </c>
      <c r="BM2282" s="4" t="s">
        <v>241</v>
      </c>
      <c r="BN2282" s="6">
        <f>0</f>
        <v>0</v>
      </c>
      <c r="BO2282" s="6">
        <f>0</f>
        <v>0</v>
      </c>
      <c r="BP2282" s="4" t="s">
        <v>256</v>
      </c>
      <c r="BQ2282" s="4" t="s">
        <v>257</v>
      </c>
      <c r="CE2282" s="4" t="s">
        <v>241</v>
      </c>
      <c r="CF2282" s="4" t="s">
        <v>241</v>
      </c>
      <c r="CJ2282" s="4" t="s">
        <v>276</v>
      </c>
      <c r="CK2282" s="4" t="s">
        <v>259</v>
      </c>
      <c r="CL2282" s="4" t="s">
        <v>241</v>
      </c>
      <c r="CO2282" s="5" t="s">
        <v>260</v>
      </c>
      <c r="CP2282" s="4" t="s">
        <v>241</v>
      </c>
      <c r="CQ2282" s="4" t="s">
        <v>261</v>
      </c>
      <c r="CR2282" s="4" t="s">
        <v>241</v>
      </c>
      <c r="CS2282" s="4" t="s">
        <v>241</v>
      </c>
      <c r="CT2282" s="4">
        <v>0</v>
      </c>
      <c r="CU2282" s="4" t="s">
        <v>262</v>
      </c>
      <c r="CV2282" s="4" t="s">
        <v>263</v>
      </c>
      <c r="CW2282" s="4" t="s">
        <v>263</v>
      </c>
      <c r="CX2282" s="4" t="s">
        <v>264</v>
      </c>
      <c r="DA2282" s="6">
        <f>1</f>
        <v>1</v>
      </c>
      <c r="DC2282" s="4" t="s">
        <v>325</v>
      </c>
      <c r="DD2282" s="4" t="s">
        <v>241</v>
      </c>
      <c r="DF2282" s="4" t="s">
        <v>325</v>
      </c>
      <c r="DG2282" s="6">
        <f>92</f>
        <v>92</v>
      </c>
      <c r="DI2282" s="4" t="s">
        <v>241</v>
      </c>
      <c r="DJ2282" s="4" t="s">
        <v>241</v>
      </c>
      <c r="DK2282" s="4" t="s">
        <v>241</v>
      </c>
      <c r="DL2282" s="4" t="s">
        <v>241</v>
      </c>
      <c r="DP2282" s="4" t="s">
        <v>241</v>
      </c>
      <c r="DQ2282" s="4" t="s">
        <v>241</v>
      </c>
      <c r="DR2282" s="4" t="s">
        <v>241</v>
      </c>
      <c r="DS2282" s="4" t="s">
        <v>241</v>
      </c>
      <c r="DV2282" s="4" t="s">
        <v>426</v>
      </c>
      <c r="DW2282" s="4" t="s">
        <v>347</v>
      </c>
      <c r="HO2282" s="4" t="s">
        <v>267</v>
      </c>
    </row>
    <row r="2283" spans="1:223" ht="19.5" customHeight="1" x14ac:dyDescent="0.4">
      <c r="A2283" s="4">
        <v>1</v>
      </c>
      <c r="B2283" s="4" t="s">
        <v>239</v>
      </c>
      <c r="C2283" s="4">
        <v>3986</v>
      </c>
      <c r="D2283" s="4">
        <v>1</v>
      </c>
      <c r="E2283" s="4">
        <v>1</v>
      </c>
      <c r="F2283" s="4" t="s">
        <v>268</v>
      </c>
      <c r="G2283" s="4" t="s">
        <v>241</v>
      </c>
      <c r="H2283" s="4" t="s">
        <v>241</v>
      </c>
      <c r="I2283" s="4" t="s">
        <v>424</v>
      </c>
      <c r="J2283" s="4" t="s">
        <v>274</v>
      </c>
      <c r="K2283" s="4" t="s">
        <v>251</v>
      </c>
      <c r="L2283" s="4" t="s">
        <v>423</v>
      </c>
      <c r="M2283" s="5" t="s">
        <v>3192</v>
      </c>
      <c r="N2283" s="6">
        <f>335</f>
        <v>335</v>
      </c>
      <c r="O2283" s="4" t="s">
        <v>265</v>
      </c>
      <c r="P2283" s="6">
        <f>1</f>
        <v>1</v>
      </c>
      <c r="Q2283" s="6">
        <f>0</f>
        <v>0</v>
      </c>
      <c r="S2283" s="6">
        <f>0</f>
        <v>0</v>
      </c>
      <c r="T2283" s="6">
        <f>1</f>
        <v>1</v>
      </c>
      <c r="U2283" s="5" t="s">
        <v>245</v>
      </c>
      <c r="V2283" s="4" t="s">
        <v>270</v>
      </c>
      <c r="W2283" s="4" t="s">
        <v>271</v>
      </c>
      <c r="X2283" s="4" t="s">
        <v>273</v>
      </c>
      <c r="Y2283" s="4" t="s">
        <v>241</v>
      </c>
      <c r="AB2283" s="4" t="s">
        <v>241</v>
      </c>
      <c r="AD2283" s="5" t="s">
        <v>241</v>
      </c>
      <c r="AG2283" s="5" t="s">
        <v>246</v>
      </c>
      <c r="AH2283" s="4" t="s">
        <v>241</v>
      </c>
      <c r="AI2283" s="4" t="s">
        <v>247</v>
      </c>
      <c r="AJ2283" s="4" t="s">
        <v>248</v>
      </c>
      <c r="AZ2283" s="4" t="s">
        <v>249</v>
      </c>
      <c r="BA2283" s="4" t="s">
        <v>241</v>
      </c>
      <c r="BB2283" s="4" t="s">
        <v>250</v>
      </c>
      <c r="BC2283" s="4" t="s">
        <v>241</v>
      </c>
      <c r="BD2283" s="4" t="s">
        <v>252</v>
      </c>
      <c r="BE2283" s="4" t="s">
        <v>241</v>
      </c>
      <c r="BI2283" s="4" t="s">
        <v>253</v>
      </c>
      <c r="BJ2283" s="5" t="s">
        <v>246</v>
      </c>
      <c r="BK2283" s="4" t="s">
        <v>254</v>
      </c>
      <c r="BL2283" s="4" t="s">
        <v>255</v>
      </c>
      <c r="BM2283" s="4" t="s">
        <v>241</v>
      </c>
      <c r="BN2283" s="6">
        <f>0</f>
        <v>0</v>
      </c>
      <c r="BO2283" s="6">
        <f>0</f>
        <v>0</v>
      </c>
      <c r="BP2283" s="4" t="s">
        <v>256</v>
      </c>
      <c r="BQ2283" s="4" t="s">
        <v>257</v>
      </c>
      <c r="CE2283" s="4" t="s">
        <v>241</v>
      </c>
      <c r="CF2283" s="4" t="s">
        <v>241</v>
      </c>
      <c r="CJ2283" s="4" t="s">
        <v>276</v>
      </c>
      <c r="CK2283" s="4" t="s">
        <v>259</v>
      </c>
      <c r="CL2283" s="4" t="s">
        <v>241</v>
      </c>
      <c r="CO2283" s="5" t="s">
        <v>260</v>
      </c>
      <c r="CP2283" s="4" t="s">
        <v>241</v>
      </c>
      <c r="CQ2283" s="4" t="s">
        <v>261</v>
      </c>
      <c r="CR2283" s="4" t="s">
        <v>241</v>
      </c>
      <c r="CS2283" s="4" t="s">
        <v>241</v>
      </c>
      <c r="CT2283" s="4">
        <v>0</v>
      </c>
      <c r="CU2283" s="4" t="s">
        <v>262</v>
      </c>
      <c r="CV2283" s="4" t="s">
        <v>263</v>
      </c>
      <c r="CW2283" s="4" t="s">
        <v>263</v>
      </c>
      <c r="CX2283" s="4" t="s">
        <v>264</v>
      </c>
      <c r="DA2283" s="6">
        <f>1</f>
        <v>1</v>
      </c>
      <c r="DC2283" s="4" t="s">
        <v>325</v>
      </c>
      <c r="DD2283" s="4" t="s">
        <v>241</v>
      </c>
      <c r="DF2283" s="4" t="s">
        <v>325</v>
      </c>
      <c r="DG2283" s="6">
        <f>335</f>
        <v>335</v>
      </c>
      <c r="DI2283" s="4" t="s">
        <v>241</v>
      </c>
      <c r="DJ2283" s="4" t="s">
        <v>241</v>
      </c>
      <c r="DK2283" s="4" t="s">
        <v>241</v>
      </c>
      <c r="DL2283" s="4" t="s">
        <v>241</v>
      </c>
      <c r="DP2283" s="4" t="s">
        <v>241</v>
      </c>
      <c r="DQ2283" s="4" t="s">
        <v>241</v>
      </c>
      <c r="DR2283" s="4" t="s">
        <v>241</v>
      </c>
      <c r="DS2283" s="4" t="s">
        <v>241</v>
      </c>
      <c r="DV2283" s="4" t="s">
        <v>426</v>
      </c>
      <c r="DW2283" s="4" t="s">
        <v>351</v>
      </c>
      <c r="HO2283" s="4" t="s">
        <v>267</v>
      </c>
    </row>
    <row r="2284" spans="1:223" ht="19.5" customHeight="1" x14ac:dyDescent="0.4">
      <c r="A2284" s="4">
        <v>1</v>
      </c>
      <c r="B2284" s="4" t="s">
        <v>239</v>
      </c>
      <c r="C2284" s="4">
        <v>3987</v>
      </c>
      <c r="D2284" s="4">
        <v>1</v>
      </c>
      <c r="E2284" s="4">
        <v>1</v>
      </c>
      <c r="F2284" s="4" t="s">
        <v>268</v>
      </c>
      <c r="G2284" s="4" t="s">
        <v>241</v>
      </c>
      <c r="H2284" s="4" t="s">
        <v>241</v>
      </c>
      <c r="I2284" s="4" t="s">
        <v>424</v>
      </c>
      <c r="J2284" s="4" t="s">
        <v>274</v>
      </c>
      <c r="K2284" s="4" t="s">
        <v>251</v>
      </c>
      <c r="L2284" s="4" t="s">
        <v>423</v>
      </c>
      <c r="M2284" s="5" t="s">
        <v>3193</v>
      </c>
      <c r="N2284" s="6">
        <f>2223</f>
        <v>2223</v>
      </c>
      <c r="O2284" s="4" t="s">
        <v>265</v>
      </c>
      <c r="P2284" s="6">
        <f>1</f>
        <v>1</v>
      </c>
      <c r="Q2284" s="6">
        <f>0</f>
        <v>0</v>
      </c>
      <c r="S2284" s="6">
        <f>0</f>
        <v>0</v>
      </c>
      <c r="T2284" s="6">
        <f>1</f>
        <v>1</v>
      </c>
      <c r="U2284" s="5" t="s">
        <v>245</v>
      </c>
      <c r="V2284" s="4" t="s">
        <v>270</v>
      </c>
      <c r="W2284" s="4" t="s">
        <v>271</v>
      </c>
      <c r="X2284" s="4" t="s">
        <v>273</v>
      </c>
      <c r="Y2284" s="4" t="s">
        <v>241</v>
      </c>
      <c r="AB2284" s="4" t="s">
        <v>241</v>
      </c>
      <c r="AD2284" s="5" t="s">
        <v>241</v>
      </c>
      <c r="AG2284" s="5" t="s">
        <v>246</v>
      </c>
      <c r="AH2284" s="4" t="s">
        <v>241</v>
      </c>
      <c r="AI2284" s="4" t="s">
        <v>247</v>
      </c>
      <c r="AJ2284" s="4" t="s">
        <v>248</v>
      </c>
      <c r="AZ2284" s="4" t="s">
        <v>249</v>
      </c>
      <c r="BA2284" s="4" t="s">
        <v>241</v>
      </c>
      <c r="BB2284" s="4" t="s">
        <v>250</v>
      </c>
      <c r="BC2284" s="4" t="s">
        <v>241</v>
      </c>
      <c r="BD2284" s="4" t="s">
        <v>252</v>
      </c>
      <c r="BE2284" s="4" t="s">
        <v>241</v>
      </c>
      <c r="BI2284" s="4" t="s">
        <v>253</v>
      </c>
      <c r="BJ2284" s="5" t="s">
        <v>246</v>
      </c>
      <c r="BK2284" s="4" t="s">
        <v>254</v>
      </c>
      <c r="BL2284" s="4" t="s">
        <v>255</v>
      </c>
      <c r="BM2284" s="4" t="s">
        <v>241</v>
      </c>
      <c r="BN2284" s="6">
        <f>0</f>
        <v>0</v>
      </c>
      <c r="BO2284" s="6">
        <f>0</f>
        <v>0</v>
      </c>
      <c r="BP2284" s="4" t="s">
        <v>256</v>
      </c>
      <c r="BQ2284" s="4" t="s">
        <v>257</v>
      </c>
      <c r="CE2284" s="4" t="s">
        <v>241</v>
      </c>
      <c r="CF2284" s="4" t="s">
        <v>241</v>
      </c>
      <c r="CJ2284" s="4" t="s">
        <v>276</v>
      </c>
      <c r="CK2284" s="4" t="s">
        <v>259</v>
      </c>
      <c r="CL2284" s="4" t="s">
        <v>241</v>
      </c>
      <c r="CO2284" s="5" t="s">
        <v>260</v>
      </c>
      <c r="CP2284" s="4" t="s">
        <v>241</v>
      </c>
      <c r="CQ2284" s="4" t="s">
        <v>261</v>
      </c>
      <c r="CR2284" s="4" t="s">
        <v>241</v>
      </c>
      <c r="CS2284" s="4" t="s">
        <v>241</v>
      </c>
      <c r="CT2284" s="4">
        <v>0</v>
      </c>
      <c r="CU2284" s="4" t="s">
        <v>262</v>
      </c>
      <c r="CV2284" s="4" t="s">
        <v>263</v>
      </c>
      <c r="CW2284" s="4" t="s">
        <v>263</v>
      </c>
      <c r="CX2284" s="4" t="s">
        <v>264</v>
      </c>
      <c r="DA2284" s="6">
        <f>1</f>
        <v>1</v>
      </c>
      <c r="DC2284" s="4" t="s">
        <v>325</v>
      </c>
      <c r="DD2284" s="4" t="s">
        <v>241</v>
      </c>
      <c r="DF2284" s="4" t="s">
        <v>325</v>
      </c>
      <c r="DG2284" s="6">
        <f>2223</f>
        <v>2223</v>
      </c>
      <c r="DI2284" s="4" t="s">
        <v>241</v>
      </c>
      <c r="DJ2284" s="4" t="s">
        <v>241</v>
      </c>
      <c r="DK2284" s="4" t="s">
        <v>241</v>
      </c>
      <c r="DL2284" s="4" t="s">
        <v>241</v>
      </c>
      <c r="DP2284" s="4" t="s">
        <v>241</v>
      </c>
      <c r="DQ2284" s="4" t="s">
        <v>241</v>
      </c>
      <c r="DR2284" s="4" t="s">
        <v>241</v>
      </c>
      <c r="DS2284" s="4" t="s">
        <v>241</v>
      </c>
      <c r="DV2284" s="4" t="s">
        <v>426</v>
      </c>
      <c r="DW2284" s="4" t="s">
        <v>356</v>
      </c>
      <c r="HO2284" s="4" t="s">
        <v>267</v>
      </c>
    </row>
    <row r="2285" spans="1:223" ht="19.5" customHeight="1" x14ac:dyDescent="0.4">
      <c r="A2285" s="4">
        <v>1</v>
      </c>
      <c r="B2285" s="4" t="s">
        <v>239</v>
      </c>
      <c r="C2285" s="4">
        <v>3988</v>
      </c>
      <c r="D2285" s="4">
        <v>1</v>
      </c>
      <c r="E2285" s="4">
        <v>1</v>
      </c>
      <c r="F2285" s="4" t="s">
        <v>268</v>
      </c>
      <c r="G2285" s="4" t="s">
        <v>241</v>
      </c>
      <c r="H2285" s="4" t="s">
        <v>241</v>
      </c>
      <c r="I2285" s="4" t="s">
        <v>424</v>
      </c>
      <c r="J2285" s="4" t="s">
        <v>274</v>
      </c>
      <c r="K2285" s="4" t="s">
        <v>251</v>
      </c>
      <c r="L2285" s="4" t="s">
        <v>423</v>
      </c>
      <c r="M2285" s="5" t="s">
        <v>3195</v>
      </c>
      <c r="N2285" s="6">
        <f>306</f>
        <v>306</v>
      </c>
      <c r="O2285" s="4" t="s">
        <v>265</v>
      </c>
      <c r="P2285" s="6">
        <f>1</f>
        <v>1</v>
      </c>
      <c r="Q2285" s="6">
        <f>0</f>
        <v>0</v>
      </c>
      <c r="S2285" s="6">
        <f>0</f>
        <v>0</v>
      </c>
      <c r="T2285" s="6">
        <f>1</f>
        <v>1</v>
      </c>
      <c r="U2285" s="5" t="s">
        <v>245</v>
      </c>
      <c r="V2285" s="4" t="s">
        <v>270</v>
      </c>
      <c r="W2285" s="4" t="s">
        <v>271</v>
      </c>
      <c r="X2285" s="4" t="s">
        <v>273</v>
      </c>
      <c r="Y2285" s="4" t="s">
        <v>241</v>
      </c>
      <c r="AB2285" s="4" t="s">
        <v>241</v>
      </c>
      <c r="AD2285" s="5" t="s">
        <v>241</v>
      </c>
      <c r="AG2285" s="5" t="s">
        <v>246</v>
      </c>
      <c r="AH2285" s="4" t="s">
        <v>241</v>
      </c>
      <c r="AI2285" s="4" t="s">
        <v>247</v>
      </c>
      <c r="AJ2285" s="4" t="s">
        <v>248</v>
      </c>
      <c r="AZ2285" s="4" t="s">
        <v>249</v>
      </c>
      <c r="BA2285" s="4" t="s">
        <v>241</v>
      </c>
      <c r="BB2285" s="4" t="s">
        <v>250</v>
      </c>
      <c r="BC2285" s="4" t="s">
        <v>241</v>
      </c>
      <c r="BD2285" s="4" t="s">
        <v>252</v>
      </c>
      <c r="BE2285" s="4" t="s">
        <v>241</v>
      </c>
      <c r="BI2285" s="4" t="s">
        <v>253</v>
      </c>
      <c r="BJ2285" s="5" t="s">
        <v>246</v>
      </c>
      <c r="BK2285" s="4" t="s">
        <v>254</v>
      </c>
      <c r="BL2285" s="4" t="s">
        <v>255</v>
      </c>
      <c r="BM2285" s="4" t="s">
        <v>241</v>
      </c>
      <c r="BN2285" s="6">
        <f>0</f>
        <v>0</v>
      </c>
      <c r="BO2285" s="6">
        <f>0</f>
        <v>0</v>
      </c>
      <c r="BP2285" s="4" t="s">
        <v>256</v>
      </c>
      <c r="BQ2285" s="4" t="s">
        <v>257</v>
      </c>
      <c r="CE2285" s="4" t="s">
        <v>241</v>
      </c>
      <c r="CF2285" s="4" t="s">
        <v>241</v>
      </c>
      <c r="CJ2285" s="4" t="s">
        <v>276</v>
      </c>
      <c r="CK2285" s="4" t="s">
        <v>259</v>
      </c>
      <c r="CL2285" s="4" t="s">
        <v>241</v>
      </c>
      <c r="CO2285" s="5" t="s">
        <v>260</v>
      </c>
      <c r="CP2285" s="4" t="s">
        <v>241</v>
      </c>
      <c r="CQ2285" s="4" t="s">
        <v>261</v>
      </c>
      <c r="CR2285" s="4" t="s">
        <v>241</v>
      </c>
      <c r="CS2285" s="4" t="s">
        <v>241</v>
      </c>
      <c r="CT2285" s="4">
        <v>0</v>
      </c>
      <c r="CU2285" s="4" t="s">
        <v>262</v>
      </c>
      <c r="CV2285" s="4" t="s">
        <v>263</v>
      </c>
      <c r="CW2285" s="4" t="s">
        <v>263</v>
      </c>
      <c r="CX2285" s="4" t="s">
        <v>264</v>
      </c>
      <c r="DA2285" s="6">
        <f>1</f>
        <v>1</v>
      </c>
      <c r="DC2285" s="4" t="s">
        <v>325</v>
      </c>
      <c r="DD2285" s="4" t="s">
        <v>241</v>
      </c>
      <c r="DF2285" s="4" t="s">
        <v>325</v>
      </c>
      <c r="DG2285" s="6">
        <f>306</f>
        <v>306</v>
      </c>
      <c r="DI2285" s="4" t="s">
        <v>241</v>
      </c>
      <c r="DJ2285" s="4" t="s">
        <v>241</v>
      </c>
      <c r="DK2285" s="4" t="s">
        <v>241</v>
      </c>
      <c r="DL2285" s="4" t="s">
        <v>241</v>
      </c>
      <c r="DP2285" s="4" t="s">
        <v>241</v>
      </c>
      <c r="DQ2285" s="4" t="s">
        <v>241</v>
      </c>
      <c r="DR2285" s="4" t="s">
        <v>241</v>
      </c>
      <c r="DS2285" s="4" t="s">
        <v>241</v>
      </c>
      <c r="DV2285" s="4" t="s">
        <v>426</v>
      </c>
      <c r="DW2285" s="4" t="s">
        <v>362</v>
      </c>
      <c r="HO2285" s="4" t="s">
        <v>267</v>
      </c>
    </row>
    <row r="2286" spans="1:223" ht="19.5" customHeight="1" x14ac:dyDescent="0.4">
      <c r="A2286" s="4">
        <v>1</v>
      </c>
      <c r="B2286" s="4" t="s">
        <v>239</v>
      </c>
      <c r="C2286" s="4">
        <v>3989</v>
      </c>
      <c r="D2286" s="4">
        <v>1</v>
      </c>
      <c r="E2286" s="4">
        <v>1</v>
      </c>
      <c r="F2286" s="4" t="s">
        <v>268</v>
      </c>
      <c r="G2286" s="4" t="s">
        <v>241</v>
      </c>
      <c r="H2286" s="4" t="s">
        <v>241</v>
      </c>
      <c r="I2286" s="4" t="s">
        <v>424</v>
      </c>
      <c r="J2286" s="4" t="s">
        <v>274</v>
      </c>
      <c r="K2286" s="4" t="s">
        <v>251</v>
      </c>
      <c r="L2286" s="4" t="s">
        <v>423</v>
      </c>
      <c r="M2286" s="5" t="s">
        <v>3196</v>
      </c>
      <c r="N2286" s="6">
        <f>242</f>
        <v>242</v>
      </c>
      <c r="O2286" s="4" t="s">
        <v>265</v>
      </c>
      <c r="P2286" s="6">
        <f>1</f>
        <v>1</v>
      </c>
      <c r="Q2286" s="6">
        <f>0</f>
        <v>0</v>
      </c>
      <c r="S2286" s="6">
        <f>0</f>
        <v>0</v>
      </c>
      <c r="T2286" s="6">
        <f>1</f>
        <v>1</v>
      </c>
      <c r="U2286" s="5" t="s">
        <v>245</v>
      </c>
      <c r="V2286" s="4" t="s">
        <v>270</v>
      </c>
      <c r="W2286" s="4" t="s">
        <v>271</v>
      </c>
      <c r="X2286" s="4" t="s">
        <v>273</v>
      </c>
      <c r="Y2286" s="4" t="s">
        <v>241</v>
      </c>
      <c r="AB2286" s="4" t="s">
        <v>241</v>
      </c>
      <c r="AD2286" s="5" t="s">
        <v>241</v>
      </c>
      <c r="AG2286" s="5" t="s">
        <v>246</v>
      </c>
      <c r="AH2286" s="4" t="s">
        <v>241</v>
      </c>
      <c r="AI2286" s="4" t="s">
        <v>247</v>
      </c>
      <c r="AJ2286" s="4" t="s">
        <v>248</v>
      </c>
      <c r="AZ2286" s="4" t="s">
        <v>249</v>
      </c>
      <c r="BA2286" s="4" t="s">
        <v>241</v>
      </c>
      <c r="BB2286" s="4" t="s">
        <v>250</v>
      </c>
      <c r="BC2286" s="4" t="s">
        <v>241</v>
      </c>
      <c r="BD2286" s="4" t="s">
        <v>252</v>
      </c>
      <c r="BE2286" s="4" t="s">
        <v>241</v>
      </c>
      <c r="BI2286" s="4" t="s">
        <v>253</v>
      </c>
      <c r="BJ2286" s="5" t="s">
        <v>246</v>
      </c>
      <c r="BK2286" s="4" t="s">
        <v>254</v>
      </c>
      <c r="BL2286" s="4" t="s">
        <v>255</v>
      </c>
      <c r="BM2286" s="4" t="s">
        <v>241</v>
      </c>
      <c r="BN2286" s="6">
        <f>0</f>
        <v>0</v>
      </c>
      <c r="BO2286" s="6">
        <f>0</f>
        <v>0</v>
      </c>
      <c r="BP2286" s="4" t="s">
        <v>256</v>
      </c>
      <c r="BQ2286" s="4" t="s">
        <v>257</v>
      </c>
      <c r="CE2286" s="4" t="s">
        <v>241</v>
      </c>
      <c r="CF2286" s="4" t="s">
        <v>241</v>
      </c>
      <c r="CJ2286" s="4" t="s">
        <v>276</v>
      </c>
      <c r="CK2286" s="4" t="s">
        <v>259</v>
      </c>
      <c r="CL2286" s="4" t="s">
        <v>241</v>
      </c>
      <c r="CO2286" s="5" t="s">
        <v>260</v>
      </c>
      <c r="CP2286" s="4" t="s">
        <v>241</v>
      </c>
      <c r="CQ2286" s="4" t="s">
        <v>261</v>
      </c>
      <c r="CR2286" s="4" t="s">
        <v>241</v>
      </c>
      <c r="CS2286" s="4" t="s">
        <v>241</v>
      </c>
      <c r="CT2286" s="4">
        <v>0</v>
      </c>
      <c r="CU2286" s="4" t="s">
        <v>262</v>
      </c>
      <c r="CV2286" s="4" t="s">
        <v>263</v>
      </c>
      <c r="CW2286" s="4" t="s">
        <v>263</v>
      </c>
      <c r="CX2286" s="4" t="s">
        <v>264</v>
      </c>
      <c r="DA2286" s="6">
        <f>1</f>
        <v>1</v>
      </c>
      <c r="DC2286" s="4" t="s">
        <v>325</v>
      </c>
      <c r="DD2286" s="4" t="s">
        <v>241</v>
      </c>
      <c r="DF2286" s="4" t="s">
        <v>325</v>
      </c>
      <c r="DG2286" s="6">
        <f>242</f>
        <v>242</v>
      </c>
      <c r="DI2286" s="4" t="s">
        <v>241</v>
      </c>
      <c r="DJ2286" s="4" t="s">
        <v>241</v>
      </c>
      <c r="DK2286" s="4" t="s">
        <v>241</v>
      </c>
      <c r="DL2286" s="4" t="s">
        <v>241</v>
      </c>
      <c r="DP2286" s="4" t="s">
        <v>241</v>
      </c>
      <c r="DQ2286" s="4" t="s">
        <v>241</v>
      </c>
      <c r="DR2286" s="4" t="s">
        <v>241</v>
      </c>
      <c r="DS2286" s="4" t="s">
        <v>241</v>
      </c>
      <c r="DV2286" s="4" t="s">
        <v>426</v>
      </c>
      <c r="DW2286" s="4" t="s">
        <v>368</v>
      </c>
      <c r="HO2286" s="4" t="s">
        <v>267</v>
      </c>
    </row>
    <row r="2287" spans="1:223" ht="19.5" customHeight="1" x14ac:dyDescent="0.4">
      <c r="A2287" s="4">
        <v>1</v>
      </c>
      <c r="B2287" s="4" t="s">
        <v>239</v>
      </c>
      <c r="C2287" s="4">
        <v>3990</v>
      </c>
      <c r="D2287" s="4">
        <v>1</v>
      </c>
      <c r="E2287" s="4">
        <v>1</v>
      </c>
      <c r="F2287" s="4" t="s">
        <v>268</v>
      </c>
      <c r="G2287" s="4" t="s">
        <v>241</v>
      </c>
      <c r="H2287" s="4" t="s">
        <v>241</v>
      </c>
      <c r="I2287" s="4" t="s">
        <v>424</v>
      </c>
      <c r="J2287" s="4" t="s">
        <v>274</v>
      </c>
      <c r="K2287" s="4" t="s">
        <v>251</v>
      </c>
      <c r="L2287" s="4" t="s">
        <v>423</v>
      </c>
      <c r="M2287" s="5" t="s">
        <v>3198</v>
      </c>
      <c r="N2287" s="6">
        <f>467</f>
        <v>467</v>
      </c>
      <c r="O2287" s="4" t="s">
        <v>265</v>
      </c>
      <c r="P2287" s="6">
        <f>1</f>
        <v>1</v>
      </c>
      <c r="Q2287" s="6">
        <f>0</f>
        <v>0</v>
      </c>
      <c r="S2287" s="6">
        <f>0</f>
        <v>0</v>
      </c>
      <c r="T2287" s="6">
        <f>1</f>
        <v>1</v>
      </c>
      <c r="U2287" s="5" t="s">
        <v>245</v>
      </c>
      <c r="V2287" s="4" t="s">
        <v>270</v>
      </c>
      <c r="W2287" s="4" t="s">
        <v>271</v>
      </c>
      <c r="X2287" s="4" t="s">
        <v>273</v>
      </c>
      <c r="Y2287" s="4" t="s">
        <v>241</v>
      </c>
      <c r="AB2287" s="4" t="s">
        <v>241</v>
      </c>
      <c r="AD2287" s="5" t="s">
        <v>241</v>
      </c>
      <c r="AG2287" s="5" t="s">
        <v>246</v>
      </c>
      <c r="AH2287" s="4" t="s">
        <v>241</v>
      </c>
      <c r="AI2287" s="4" t="s">
        <v>247</v>
      </c>
      <c r="AJ2287" s="4" t="s">
        <v>248</v>
      </c>
      <c r="AZ2287" s="4" t="s">
        <v>249</v>
      </c>
      <c r="BA2287" s="4" t="s">
        <v>241</v>
      </c>
      <c r="BB2287" s="4" t="s">
        <v>250</v>
      </c>
      <c r="BC2287" s="4" t="s">
        <v>241</v>
      </c>
      <c r="BD2287" s="4" t="s">
        <v>252</v>
      </c>
      <c r="BE2287" s="4" t="s">
        <v>241</v>
      </c>
      <c r="BI2287" s="4" t="s">
        <v>253</v>
      </c>
      <c r="BJ2287" s="5" t="s">
        <v>246</v>
      </c>
      <c r="BK2287" s="4" t="s">
        <v>254</v>
      </c>
      <c r="BL2287" s="4" t="s">
        <v>255</v>
      </c>
      <c r="BM2287" s="4" t="s">
        <v>241</v>
      </c>
      <c r="BN2287" s="6">
        <f>0</f>
        <v>0</v>
      </c>
      <c r="BO2287" s="6">
        <f>0</f>
        <v>0</v>
      </c>
      <c r="BP2287" s="4" t="s">
        <v>256</v>
      </c>
      <c r="BQ2287" s="4" t="s">
        <v>257</v>
      </c>
      <c r="CE2287" s="4" t="s">
        <v>241</v>
      </c>
      <c r="CF2287" s="4" t="s">
        <v>241</v>
      </c>
      <c r="CJ2287" s="4" t="s">
        <v>276</v>
      </c>
      <c r="CK2287" s="4" t="s">
        <v>259</v>
      </c>
      <c r="CL2287" s="4" t="s">
        <v>241</v>
      </c>
      <c r="CO2287" s="5" t="s">
        <v>260</v>
      </c>
      <c r="CP2287" s="4" t="s">
        <v>241</v>
      </c>
      <c r="CQ2287" s="4" t="s">
        <v>261</v>
      </c>
      <c r="CR2287" s="4" t="s">
        <v>241</v>
      </c>
      <c r="CS2287" s="4" t="s">
        <v>241</v>
      </c>
      <c r="CT2287" s="4">
        <v>0</v>
      </c>
      <c r="CU2287" s="4" t="s">
        <v>262</v>
      </c>
      <c r="CV2287" s="4" t="s">
        <v>263</v>
      </c>
      <c r="CW2287" s="4" t="s">
        <v>263</v>
      </c>
      <c r="CX2287" s="4" t="s">
        <v>264</v>
      </c>
      <c r="DA2287" s="6">
        <f>1</f>
        <v>1</v>
      </c>
      <c r="DC2287" s="4" t="s">
        <v>325</v>
      </c>
      <c r="DD2287" s="4" t="s">
        <v>241</v>
      </c>
      <c r="DF2287" s="4" t="s">
        <v>325</v>
      </c>
      <c r="DG2287" s="6">
        <f>467</f>
        <v>467</v>
      </c>
      <c r="DI2287" s="4" t="s">
        <v>241</v>
      </c>
      <c r="DJ2287" s="4" t="s">
        <v>241</v>
      </c>
      <c r="DK2287" s="4" t="s">
        <v>241</v>
      </c>
      <c r="DL2287" s="4" t="s">
        <v>241</v>
      </c>
      <c r="DP2287" s="4" t="s">
        <v>241</v>
      </c>
      <c r="DQ2287" s="4" t="s">
        <v>241</v>
      </c>
      <c r="DR2287" s="4" t="s">
        <v>241</v>
      </c>
      <c r="DS2287" s="4" t="s">
        <v>241</v>
      </c>
      <c r="DV2287" s="4" t="s">
        <v>426</v>
      </c>
      <c r="DW2287" s="4" t="s">
        <v>371</v>
      </c>
      <c r="HO2287" s="4" t="s">
        <v>267</v>
      </c>
    </row>
    <row r="2288" spans="1:223" ht="19.5" customHeight="1" x14ac:dyDescent="0.4">
      <c r="A2288" s="4">
        <v>1</v>
      </c>
      <c r="B2288" s="4" t="s">
        <v>239</v>
      </c>
      <c r="C2288" s="4">
        <v>3991</v>
      </c>
      <c r="D2288" s="4">
        <v>1</v>
      </c>
      <c r="E2288" s="4">
        <v>1</v>
      </c>
      <c r="F2288" s="4" t="s">
        <v>268</v>
      </c>
      <c r="G2288" s="4" t="s">
        <v>241</v>
      </c>
      <c r="H2288" s="4" t="s">
        <v>241</v>
      </c>
      <c r="I2288" s="4" t="s">
        <v>424</v>
      </c>
      <c r="J2288" s="4" t="s">
        <v>274</v>
      </c>
      <c r="K2288" s="4" t="s">
        <v>251</v>
      </c>
      <c r="L2288" s="4" t="s">
        <v>423</v>
      </c>
      <c r="M2288" s="5" t="s">
        <v>3199</v>
      </c>
      <c r="N2288" s="6">
        <f>151</f>
        <v>151</v>
      </c>
      <c r="O2288" s="4" t="s">
        <v>265</v>
      </c>
      <c r="P2288" s="6">
        <f>1</f>
        <v>1</v>
      </c>
      <c r="Q2288" s="6">
        <f>0</f>
        <v>0</v>
      </c>
      <c r="S2288" s="6">
        <f>0</f>
        <v>0</v>
      </c>
      <c r="T2288" s="6">
        <f>1</f>
        <v>1</v>
      </c>
      <c r="U2288" s="5" t="s">
        <v>245</v>
      </c>
      <c r="V2288" s="4" t="s">
        <v>270</v>
      </c>
      <c r="W2288" s="4" t="s">
        <v>271</v>
      </c>
      <c r="X2288" s="4" t="s">
        <v>273</v>
      </c>
      <c r="Y2288" s="4" t="s">
        <v>241</v>
      </c>
      <c r="AB2288" s="4" t="s">
        <v>241</v>
      </c>
      <c r="AD2288" s="5" t="s">
        <v>241</v>
      </c>
      <c r="AG2288" s="5" t="s">
        <v>246</v>
      </c>
      <c r="AH2288" s="4" t="s">
        <v>241</v>
      </c>
      <c r="AI2288" s="4" t="s">
        <v>247</v>
      </c>
      <c r="AJ2288" s="4" t="s">
        <v>248</v>
      </c>
      <c r="AZ2288" s="4" t="s">
        <v>249</v>
      </c>
      <c r="BA2288" s="4" t="s">
        <v>241</v>
      </c>
      <c r="BB2288" s="4" t="s">
        <v>250</v>
      </c>
      <c r="BC2288" s="4" t="s">
        <v>241</v>
      </c>
      <c r="BD2288" s="4" t="s">
        <v>252</v>
      </c>
      <c r="BE2288" s="4" t="s">
        <v>241</v>
      </c>
      <c r="BI2288" s="4" t="s">
        <v>253</v>
      </c>
      <c r="BJ2288" s="5" t="s">
        <v>246</v>
      </c>
      <c r="BK2288" s="4" t="s">
        <v>254</v>
      </c>
      <c r="BL2288" s="4" t="s">
        <v>255</v>
      </c>
      <c r="BM2288" s="4" t="s">
        <v>241</v>
      </c>
      <c r="BN2288" s="6">
        <f>0</f>
        <v>0</v>
      </c>
      <c r="BO2288" s="6">
        <f>0</f>
        <v>0</v>
      </c>
      <c r="BP2288" s="4" t="s">
        <v>256</v>
      </c>
      <c r="BQ2288" s="4" t="s">
        <v>257</v>
      </c>
      <c r="CE2288" s="4" t="s">
        <v>241</v>
      </c>
      <c r="CF2288" s="4" t="s">
        <v>241</v>
      </c>
      <c r="CJ2288" s="4" t="s">
        <v>276</v>
      </c>
      <c r="CK2288" s="4" t="s">
        <v>259</v>
      </c>
      <c r="CL2288" s="4" t="s">
        <v>241</v>
      </c>
      <c r="CO2288" s="5" t="s">
        <v>260</v>
      </c>
      <c r="CP2288" s="4" t="s">
        <v>241</v>
      </c>
      <c r="CQ2288" s="4" t="s">
        <v>261</v>
      </c>
      <c r="CR2288" s="4" t="s">
        <v>241</v>
      </c>
      <c r="CS2288" s="4" t="s">
        <v>241</v>
      </c>
      <c r="CT2288" s="4">
        <v>0</v>
      </c>
      <c r="CU2288" s="4" t="s">
        <v>262</v>
      </c>
      <c r="CV2288" s="4" t="s">
        <v>263</v>
      </c>
      <c r="CW2288" s="4" t="s">
        <v>263</v>
      </c>
      <c r="CX2288" s="4" t="s">
        <v>264</v>
      </c>
      <c r="DA2288" s="6">
        <f>1</f>
        <v>1</v>
      </c>
      <c r="DC2288" s="4" t="s">
        <v>325</v>
      </c>
      <c r="DD2288" s="4" t="s">
        <v>241</v>
      </c>
      <c r="DF2288" s="4" t="s">
        <v>325</v>
      </c>
      <c r="DG2288" s="6">
        <f>151</f>
        <v>151</v>
      </c>
      <c r="DI2288" s="4" t="s">
        <v>241</v>
      </c>
      <c r="DJ2288" s="4" t="s">
        <v>241</v>
      </c>
      <c r="DK2288" s="4" t="s">
        <v>241</v>
      </c>
      <c r="DL2288" s="4" t="s">
        <v>241</v>
      </c>
      <c r="DP2288" s="4" t="s">
        <v>241</v>
      </c>
      <c r="DQ2288" s="4" t="s">
        <v>241</v>
      </c>
      <c r="DR2288" s="4" t="s">
        <v>241</v>
      </c>
      <c r="DS2288" s="4" t="s">
        <v>241</v>
      </c>
      <c r="DV2288" s="4" t="s">
        <v>426</v>
      </c>
      <c r="DW2288" s="4" t="s">
        <v>376</v>
      </c>
      <c r="HO2288" s="4" t="s">
        <v>267</v>
      </c>
    </row>
    <row r="2289" spans="1:223" ht="19.5" customHeight="1" x14ac:dyDescent="0.4">
      <c r="A2289" s="4">
        <v>1</v>
      </c>
      <c r="B2289" s="4" t="s">
        <v>239</v>
      </c>
      <c r="C2289" s="4">
        <v>3992</v>
      </c>
      <c r="D2289" s="4">
        <v>1</v>
      </c>
      <c r="E2289" s="4">
        <v>1</v>
      </c>
      <c r="F2289" s="4" t="s">
        <v>268</v>
      </c>
      <c r="G2289" s="4" t="s">
        <v>241</v>
      </c>
      <c r="H2289" s="4" t="s">
        <v>241</v>
      </c>
      <c r="I2289" s="4" t="s">
        <v>424</v>
      </c>
      <c r="J2289" s="4" t="s">
        <v>274</v>
      </c>
      <c r="K2289" s="4" t="s">
        <v>251</v>
      </c>
      <c r="L2289" s="4" t="s">
        <v>423</v>
      </c>
      <c r="M2289" s="5" t="s">
        <v>3201</v>
      </c>
      <c r="N2289" s="6">
        <f>782</f>
        <v>782</v>
      </c>
      <c r="O2289" s="4" t="s">
        <v>265</v>
      </c>
      <c r="P2289" s="6">
        <f>1</f>
        <v>1</v>
      </c>
      <c r="Q2289" s="6">
        <f>0</f>
        <v>0</v>
      </c>
      <c r="S2289" s="6">
        <f>0</f>
        <v>0</v>
      </c>
      <c r="T2289" s="6">
        <f>1</f>
        <v>1</v>
      </c>
      <c r="U2289" s="5" t="s">
        <v>245</v>
      </c>
      <c r="V2289" s="4" t="s">
        <v>270</v>
      </c>
      <c r="W2289" s="4" t="s">
        <v>271</v>
      </c>
      <c r="X2289" s="4" t="s">
        <v>273</v>
      </c>
      <c r="Y2289" s="4" t="s">
        <v>241</v>
      </c>
      <c r="AB2289" s="4" t="s">
        <v>241</v>
      </c>
      <c r="AD2289" s="5" t="s">
        <v>241</v>
      </c>
      <c r="AG2289" s="5" t="s">
        <v>246</v>
      </c>
      <c r="AH2289" s="4" t="s">
        <v>241</v>
      </c>
      <c r="AI2289" s="4" t="s">
        <v>247</v>
      </c>
      <c r="AJ2289" s="4" t="s">
        <v>248</v>
      </c>
      <c r="AZ2289" s="4" t="s">
        <v>249</v>
      </c>
      <c r="BA2289" s="4" t="s">
        <v>241</v>
      </c>
      <c r="BB2289" s="4" t="s">
        <v>250</v>
      </c>
      <c r="BC2289" s="4" t="s">
        <v>241</v>
      </c>
      <c r="BD2289" s="4" t="s">
        <v>252</v>
      </c>
      <c r="BE2289" s="4" t="s">
        <v>241</v>
      </c>
      <c r="BI2289" s="4" t="s">
        <v>253</v>
      </c>
      <c r="BJ2289" s="5" t="s">
        <v>246</v>
      </c>
      <c r="BK2289" s="4" t="s">
        <v>254</v>
      </c>
      <c r="BL2289" s="4" t="s">
        <v>255</v>
      </c>
      <c r="BM2289" s="4" t="s">
        <v>241</v>
      </c>
      <c r="BN2289" s="6">
        <f>0</f>
        <v>0</v>
      </c>
      <c r="BO2289" s="6">
        <f>0</f>
        <v>0</v>
      </c>
      <c r="BP2289" s="4" t="s">
        <v>256</v>
      </c>
      <c r="BQ2289" s="4" t="s">
        <v>257</v>
      </c>
      <c r="CE2289" s="4" t="s">
        <v>241</v>
      </c>
      <c r="CF2289" s="4" t="s">
        <v>241</v>
      </c>
      <c r="CJ2289" s="4" t="s">
        <v>276</v>
      </c>
      <c r="CK2289" s="4" t="s">
        <v>259</v>
      </c>
      <c r="CL2289" s="4" t="s">
        <v>241</v>
      </c>
      <c r="CO2289" s="5" t="s">
        <v>260</v>
      </c>
      <c r="CP2289" s="4" t="s">
        <v>241</v>
      </c>
      <c r="CQ2289" s="4" t="s">
        <v>261</v>
      </c>
      <c r="CR2289" s="4" t="s">
        <v>241</v>
      </c>
      <c r="CS2289" s="4" t="s">
        <v>241</v>
      </c>
      <c r="CT2289" s="4">
        <v>0</v>
      </c>
      <c r="CU2289" s="4" t="s">
        <v>262</v>
      </c>
      <c r="CV2289" s="4" t="s">
        <v>263</v>
      </c>
      <c r="CW2289" s="4" t="s">
        <v>263</v>
      </c>
      <c r="CX2289" s="4" t="s">
        <v>264</v>
      </c>
      <c r="DA2289" s="6">
        <f>1</f>
        <v>1</v>
      </c>
      <c r="DC2289" s="4" t="s">
        <v>325</v>
      </c>
      <c r="DD2289" s="4" t="s">
        <v>241</v>
      </c>
      <c r="DF2289" s="4" t="s">
        <v>325</v>
      </c>
      <c r="DG2289" s="6">
        <f>782</f>
        <v>782</v>
      </c>
      <c r="DI2289" s="4" t="s">
        <v>241</v>
      </c>
      <c r="DJ2289" s="4" t="s">
        <v>241</v>
      </c>
      <c r="DK2289" s="4" t="s">
        <v>241</v>
      </c>
      <c r="DL2289" s="4" t="s">
        <v>241</v>
      </c>
      <c r="DP2289" s="4" t="s">
        <v>241</v>
      </c>
      <c r="DQ2289" s="4" t="s">
        <v>241</v>
      </c>
      <c r="DR2289" s="4" t="s">
        <v>241</v>
      </c>
      <c r="DS2289" s="4" t="s">
        <v>241</v>
      </c>
      <c r="DV2289" s="4" t="s">
        <v>426</v>
      </c>
      <c r="DW2289" s="4" t="s">
        <v>383</v>
      </c>
      <c r="HO2289" s="4" t="s">
        <v>267</v>
      </c>
    </row>
    <row r="2290" spans="1:223" ht="19.5" customHeight="1" x14ac:dyDescent="0.4">
      <c r="A2290" s="4">
        <v>1</v>
      </c>
      <c r="B2290" s="4" t="s">
        <v>239</v>
      </c>
      <c r="C2290" s="4">
        <v>3993</v>
      </c>
      <c r="D2290" s="4">
        <v>1</v>
      </c>
      <c r="E2290" s="4">
        <v>1</v>
      </c>
      <c r="F2290" s="4" t="s">
        <v>268</v>
      </c>
      <c r="G2290" s="4" t="s">
        <v>241</v>
      </c>
      <c r="H2290" s="4" t="s">
        <v>241</v>
      </c>
      <c r="I2290" s="4" t="s">
        <v>424</v>
      </c>
      <c r="J2290" s="4" t="s">
        <v>274</v>
      </c>
      <c r="K2290" s="4" t="s">
        <v>251</v>
      </c>
      <c r="L2290" s="4" t="s">
        <v>423</v>
      </c>
      <c r="M2290" s="5" t="s">
        <v>3204</v>
      </c>
      <c r="N2290" s="6">
        <f>309</f>
        <v>309</v>
      </c>
      <c r="O2290" s="4" t="s">
        <v>265</v>
      </c>
      <c r="P2290" s="6">
        <f>1</f>
        <v>1</v>
      </c>
      <c r="Q2290" s="6">
        <f>0</f>
        <v>0</v>
      </c>
      <c r="S2290" s="6">
        <f>0</f>
        <v>0</v>
      </c>
      <c r="T2290" s="6">
        <f>1</f>
        <v>1</v>
      </c>
      <c r="U2290" s="5" t="s">
        <v>245</v>
      </c>
      <c r="V2290" s="4" t="s">
        <v>270</v>
      </c>
      <c r="W2290" s="4" t="s">
        <v>271</v>
      </c>
      <c r="X2290" s="4" t="s">
        <v>273</v>
      </c>
      <c r="Y2290" s="4" t="s">
        <v>241</v>
      </c>
      <c r="AB2290" s="4" t="s">
        <v>241</v>
      </c>
      <c r="AD2290" s="5" t="s">
        <v>241</v>
      </c>
      <c r="AG2290" s="5" t="s">
        <v>246</v>
      </c>
      <c r="AH2290" s="4" t="s">
        <v>241</v>
      </c>
      <c r="AI2290" s="4" t="s">
        <v>247</v>
      </c>
      <c r="AJ2290" s="4" t="s">
        <v>248</v>
      </c>
      <c r="AZ2290" s="4" t="s">
        <v>249</v>
      </c>
      <c r="BA2290" s="4" t="s">
        <v>241</v>
      </c>
      <c r="BB2290" s="4" t="s">
        <v>250</v>
      </c>
      <c r="BC2290" s="4" t="s">
        <v>241</v>
      </c>
      <c r="BD2290" s="4" t="s">
        <v>252</v>
      </c>
      <c r="BE2290" s="4" t="s">
        <v>241</v>
      </c>
      <c r="BI2290" s="4" t="s">
        <v>253</v>
      </c>
      <c r="BJ2290" s="5" t="s">
        <v>246</v>
      </c>
      <c r="BK2290" s="4" t="s">
        <v>254</v>
      </c>
      <c r="BL2290" s="4" t="s">
        <v>255</v>
      </c>
      <c r="BM2290" s="4" t="s">
        <v>241</v>
      </c>
      <c r="BN2290" s="6">
        <f>0</f>
        <v>0</v>
      </c>
      <c r="BO2290" s="6">
        <f>0</f>
        <v>0</v>
      </c>
      <c r="BP2290" s="4" t="s">
        <v>256</v>
      </c>
      <c r="BQ2290" s="4" t="s">
        <v>257</v>
      </c>
      <c r="CE2290" s="4" t="s">
        <v>241</v>
      </c>
      <c r="CF2290" s="4" t="s">
        <v>241</v>
      </c>
      <c r="CJ2290" s="4" t="s">
        <v>276</v>
      </c>
      <c r="CK2290" s="4" t="s">
        <v>259</v>
      </c>
      <c r="CL2290" s="4" t="s">
        <v>241</v>
      </c>
      <c r="CO2290" s="5" t="s">
        <v>260</v>
      </c>
      <c r="CP2290" s="4" t="s">
        <v>241</v>
      </c>
      <c r="CQ2290" s="4" t="s">
        <v>261</v>
      </c>
      <c r="CR2290" s="4" t="s">
        <v>241</v>
      </c>
      <c r="CS2290" s="4" t="s">
        <v>241</v>
      </c>
      <c r="CT2290" s="4">
        <v>0</v>
      </c>
      <c r="CU2290" s="4" t="s">
        <v>262</v>
      </c>
      <c r="CV2290" s="4" t="s">
        <v>263</v>
      </c>
      <c r="CW2290" s="4" t="s">
        <v>263</v>
      </c>
      <c r="CX2290" s="4" t="s">
        <v>264</v>
      </c>
      <c r="DA2290" s="6">
        <f>1</f>
        <v>1</v>
      </c>
      <c r="DC2290" s="4" t="s">
        <v>325</v>
      </c>
      <c r="DD2290" s="4" t="s">
        <v>241</v>
      </c>
      <c r="DF2290" s="4" t="s">
        <v>325</v>
      </c>
      <c r="DG2290" s="6">
        <f>309</f>
        <v>309</v>
      </c>
      <c r="DI2290" s="4" t="s">
        <v>241</v>
      </c>
      <c r="DJ2290" s="4" t="s">
        <v>241</v>
      </c>
      <c r="DK2290" s="4" t="s">
        <v>241</v>
      </c>
      <c r="DL2290" s="4" t="s">
        <v>241</v>
      </c>
      <c r="DP2290" s="4" t="s">
        <v>241</v>
      </c>
      <c r="DQ2290" s="4" t="s">
        <v>241</v>
      </c>
      <c r="DR2290" s="4" t="s">
        <v>241</v>
      </c>
      <c r="DS2290" s="4" t="s">
        <v>241</v>
      </c>
      <c r="DV2290" s="4" t="s">
        <v>426</v>
      </c>
      <c r="DW2290" s="4" t="s">
        <v>386</v>
      </c>
      <c r="HO2290" s="4" t="s">
        <v>267</v>
      </c>
    </row>
    <row r="2291" spans="1:223" ht="19.5" customHeight="1" x14ac:dyDescent="0.4">
      <c r="A2291" s="4">
        <v>1</v>
      </c>
      <c r="B2291" s="4" t="s">
        <v>239</v>
      </c>
      <c r="C2291" s="4">
        <v>3994</v>
      </c>
      <c r="D2291" s="4">
        <v>1</v>
      </c>
      <c r="E2291" s="4">
        <v>1</v>
      </c>
      <c r="F2291" s="4" t="s">
        <v>268</v>
      </c>
      <c r="G2291" s="4" t="s">
        <v>241</v>
      </c>
      <c r="H2291" s="4" t="s">
        <v>241</v>
      </c>
      <c r="I2291" s="4" t="s">
        <v>424</v>
      </c>
      <c r="J2291" s="4" t="s">
        <v>274</v>
      </c>
      <c r="K2291" s="4" t="s">
        <v>251</v>
      </c>
      <c r="L2291" s="4" t="s">
        <v>423</v>
      </c>
      <c r="M2291" s="5" t="s">
        <v>3206</v>
      </c>
      <c r="N2291" s="6">
        <f>814</f>
        <v>814</v>
      </c>
      <c r="O2291" s="4" t="s">
        <v>265</v>
      </c>
      <c r="P2291" s="6">
        <f>1</f>
        <v>1</v>
      </c>
      <c r="Q2291" s="6">
        <f>0</f>
        <v>0</v>
      </c>
      <c r="S2291" s="6">
        <f>0</f>
        <v>0</v>
      </c>
      <c r="T2291" s="6">
        <f>1</f>
        <v>1</v>
      </c>
      <c r="U2291" s="5" t="s">
        <v>245</v>
      </c>
      <c r="V2291" s="4" t="s">
        <v>270</v>
      </c>
      <c r="W2291" s="4" t="s">
        <v>271</v>
      </c>
      <c r="X2291" s="4" t="s">
        <v>273</v>
      </c>
      <c r="Y2291" s="4" t="s">
        <v>241</v>
      </c>
      <c r="AB2291" s="4" t="s">
        <v>241</v>
      </c>
      <c r="AD2291" s="5" t="s">
        <v>241</v>
      </c>
      <c r="AG2291" s="5" t="s">
        <v>246</v>
      </c>
      <c r="AH2291" s="4" t="s">
        <v>241</v>
      </c>
      <c r="AI2291" s="4" t="s">
        <v>247</v>
      </c>
      <c r="AJ2291" s="4" t="s">
        <v>248</v>
      </c>
      <c r="AZ2291" s="4" t="s">
        <v>249</v>
      </c>
      <c r="BA2291" s="4" t="s">
        <v>241</v>
      </c>
      <c r="BB2291" s="4" t="s">
        <v>250</v>
      </c>
      <c r="BC2291" s="4" t="s">
        <v>241</v>
      </c>
      <c r="BD2291" s="4" t="s">
        <v>252</v>
      </c>
      <c r="BE2291" s="4" t="s">
        <v>241</v>
      </c>
      <c r="BI2291" s="4" t="s">
        <v>253</v>
      </c>
      <c r="BJ2291" s="5" t="s">
        <v>246</v>
      </c>
      <c r="BK2291" s="4" t="s">
        <v>254</v>
      </c>
      <c r="BL2291" s="4" t="s">
        <v>255</v>
      </c>
      <c r="BM2291" s="4" t="s">
        <v>241</v>
      </c>
      <c r="BN2291" s="6">
        <f>0</f>
        <v>0</v>
      </c>
      <c r="BO2291" s="6">
        <f>0</f>
        <v>0</v>
      </c>
      <c r="BP2291" s="4" t="s">
        <v>256</v>
      </c>
      <c r="BQ2291" s="4" t="s">
        <v>257</v>
      </c>
      <c r="CE2291" s="4" t="s">
        <v>241</v>
      </c>
      <c r="CF2291" s="4" t="s">
        <v>241</v>
      </c>
      <c r="CJ2291" s="4" t="s">
        <v>276</v>
      </c>
      <c r="CK2291" s="4" t="s">
        <v>259</v>
      </c>
      <c r="CL2291" s="4" t="s">
        <v>241</v>
      </c>
      <c r="CO2291" s="5" t="s">
        <v>260</v>
      </c>
      <c r="CP2291" s="4" t="s">
        <v>241</v>
      </c>
      <c r="CQ2291" s="4" t="s">
        <v>261</v>
      </c>
      <c r="CR2291" s="4" t="s">
        <v>241</v>
      </c>
      <c r="CS2291" s="4" t="s">
        <v>241</v>
      </c>
      <c r="CT2291" s="4">
        <v>0</v>
      </c>
      <c r="CU2291" s="4" t="s">
        <v>262</v>
      </c>
      <c r="CV2291" s="4" t="s">
        <v>263</v>
      </c>
      <c r="CW2291" s="4" t="s">
        <v>263</v>
      </c>
      <c r="CX2291" s="4" t="s">
        <v>264</v>
      </c>
      <c r="DA2291" s="6">
        <f>1</f>
        <v>1</v>
      </c>
      <c r="DC2291" s="4" t="s">
        <v>325</v>
      </c>
      <c r="DD2291" s="4" t="s">
        <v>241</v>
      </c>
      <c r="DF2291" s="4" t="s">
        <v>325</v>
      </c>
      <c r="DG2291" s="6">
        <f>814</f>
        <v>814</v>
      </c>
      <c r="DI2291" s="4" t="s">
        <v>241</v>
      </c>
      <c r="DJ2291" s="4" t="s">
        <v>241</v>
      </c>
      <c r="DK2291" s="4" t="s">
        <v>241</v>
      </c>
      <c r="DL2291" s="4" t="s">
        <v>241</v>
      </c>
      <c r="DP2291" s="4" t="s">
        <v>241</v>
      </c>
      <c r="DQ2291" s="4" t="s">
        <v>241</v>
      </c>
      <c r="DR2291" s="4" t="s">
        <v>241</v>
      </c>
      <c r="DS2291" s="4" t="s">
        <v>241</v>
      </c>
      <c r="DV2291" s="4" t="s">
        <v>426</v>
      </c>
      <c r="DW2291" s="4" t="s">
        <v>390</v>
      </c>
      <c r="HO2291" s="4" t="s">
        <v>267</v>
      </c>
    </row>
    <row r="2292" spans="1:223" ht="19.5" customHeight="1" x14ac:dyDescent="0.4">
      <c r="A2292" s="4">
        <v>1</v>
      </c>
      <c r="B2292" s="4" t="s">
        <v>239</v>
      </c>
      <c r="C2292" s="4">
        <v>3995</v>
      </c>
      <c r="D2292" s="4">
        <v>1</v>
      </c>
      <c r="E2292" s="4">
        <v>1</v>
      </c>
      <c r="F2292" s="4" t="s">
        <v>268</v>
      </c>
      <c r="G2292" s="4" t="s">
        <v>241</v>
      </c>
      <c r="H2292" s="4" t="s">
        <v>241</v>
      </c>
      <c r="I2292" s="4" t="s">
        <v>424</v>
      </c>
      <c r="J2292" s="4" t="s">
        <v>274</v>
      </c>
      <c r="K2292" s="4" t="s">
        <v>251</v>
      </c>
      <c r="L2292" s="4" t="s">
        <v>423</v>
      </c>
      <c r="M2292" s="5" t="s">
        <v>3207</v>
      </c>
      <c r="N2292" s="6">
        <f>189</f>
        <v>189</v>
      </c>
      <c r="O2292" s="4" t="s">
        <v>265</v>
      </c>
      <c r="P2292" s="6">
        <f>1</f>
        <v>1</v>
      </c>
      <c r="Q2292" s="6">
        <f>0</f>
        <v>0</v>
      </c>
      <c r="S2292" s="6">
        <f>0</f>
        <v>0</v>
      </c>
      <c r="T2292" s="6">
        <f>1</f>
        <v>1</v>
      </c>
      <c r="U2292" s="5" t="s">
        <v>245</v>
      </c>
      <c r="V2292" s="4" t="s">
        <v>270</v>
      </c>
      <c r="W2292" s="4" t="s">
        <v>271</v>
      </c>
      <c r="X2292" s="4" t="s">
        <v>273</v>
      </c>
      <c r="Y2292" s="4" t="s">
        <v>241</v>
      </c>
      <c r="AB2292" s="4" t="s">
        <v>241</v>
      </c>
      <c r="AD2292" s="5" t="s">
        <v>241</v>
      </c>
      <c r="AG2292" s="5" t="s">
        <v>246</v>
      </c>
      <c r="AH2292" s="4" t="s">
        <v>241</v>
      </c>
      <c r="AI2292" s="4" t="s">
        <v>247</v>
      </c>
      <c r="AJ2292" s="4" t="s">
        <v>248</v>
      </c>
      <c r="AZ2292" s="4" t="s">
        <v>249</v>
      </c>
      <c r="BA2292" s="4" t="s">
        <v>241</v>
      </c>
      <c r="BB2292" s="4" t="s">
        <v>250</v>
      </c>
      <c r="BC2292" s="4" t="s">
        <v>241</v>
      </c>
      <c r="BD2292" s="4" t="s">
        <v>252</v>
      </c>
      <c r="BE2292" s="4" t="s">
        <v>241</v>
      </c>
      <c r="BI2292" s="4" t="s">
        <v>253</v>
      </c>
      <c r="BJ2292" s="5" t="s">
        <v>246</v>
      </c>
      <c r="BK2292" s="4" t="s">
        <v>254</v>
      </c>
      <c r="BL2292" s="4" t="s">
        <v>255</v>
      </c>
      <c r="BM2292" s="4" t="s">
        <v>241</v>
      </c>
      <c r="BN2292" s="6">
        <f>0</f>
        <v>0</v>
      </c>
      <c r="BO2292" s="6">
        <f>0</f>
        <v>0</v>
      </c>
      <c r="BP2292" s="4" t="s">
        <v>256</v>
      </c>
      <c r="BQ2292" s="4" t="s">
        <v>257</v>
      </c>
      <c r="CE2292" s="4" t="s">
        <v>241</v>
      </c>
      <c r="CF2292" s="4" t="s">
        <v>241</v>
      </c>
      <c r="CJ2292" s="4" t="s">
        <v>276</v>
      </c>
      <c r="CK2292" s="4" t="s">
        <v>259</v>
      </c>
      <c r="CL2292" s="4" t="s">
        <v>241</v>
      </c>
      <c r="CO2292" s="5" t="s">
        <v>260</v>
      </c>
      <c r="CP2292" s="4" t="s">
        <v>241</v>
      </c>
      <c r="CQ2292" s="4" t="s">
        <v>261</v>
      </c>
      <c r="CR2292" s="4" t="s">
        <v>241</v>
      </c>
      <c r="CS2292" s="4" t="s">
        <v>241</v>
      </c>
      <c r="CT2292" s="4">
        <v>0</v>
      </c>
      <c r="CU2292" s="4" t="s">
        <v>262</v>
      </c>
      <c r="CV2292" s="4" t="s">
        <v>263</v>
      </c>
      <c r="CW2292" s="4" t="s">
        <v>263</v>
      </c>
      <c r="CX2292" s="4" t="s">
        <v>264</v>
      </c>
      <c r="DA2292" s="6">
        <f>1</f>
        <v>1</v>
      </c>
      <c r="DC2292" s="4" t="s">
        <v>325</v>
      </c>
      <c r="DD2292" s="4" t="s">
        <v>241</v>
      </c>
      <c r="DF2292" s="4" t="s">
        <v>325</v>
      </c>
      <c r="DG2292" s="6">
        <f>189</f>
        <v>189</v>
      </c>
      <c r="DI2292" s="4" t="s">
        <v>241</v>
      </c>
      <c r="DJ2292" s="4" t="s">
        <v>241</v>
      </c>
      <c r="DK2292" s="4" t="s">
        <v>241</v>
      </c>
      <c r="DL2292" s="4" t="s">
        <v>241</v>
      </c>
      <c r="DP2292" s="4" t="s">
        <v>241</v>
      </c>
      <c r="DQ2292" s="4" t="s">
        <v>241</v>
      </c>
      <c r="DR2292" s="4" t="s">
        <v>241</v>
      </c>
      <c r="DS2292" s="4" t="s">
        <v>241</v>
      </c>
      <c r="DV2292" s="4" t="s">
        <v>426</v>
      </c>
      <c r="DW2292" s="4" t="s">
        <v>395</v>
      </c>
      <c r="HO2292" s="4" t="s">
        <v>267</v>
      </c>
    </row>
    <row r="2293" spans="1:223" ht="19.5" customHeight="1" x14ac:dyDescent="0.4">
      <c r="A2293" s="4">
        <v>1</v>
      </c>
      <c r="B2293" s="4" t="s">
        <v>239</v>
      </c>
      <c r="C2293" s="4">
        <v>3996</v>
      </c>
      <c r="D2293" s="4">
        <v>1</v>
      </c>
      <c r="E2293" s="4">
        <v>1</v>
      </c>
      <c r="F2293" s="4" t="s">
        <v>268</v>
      </c>
      <c r="G2293" s="4" t="s">
        <v>241</v>
      </c>
      <c r="H2293" s="4" t="s">
        <v>241</v>
      </c>
      <c r="I2293" s="4" t="s">
        <v>424</v>
      </c>
      <c r="J2293" s="4" t="s">
        <v>274</v>
      </c>
      <c r="K2293" s="4" t="s">
        <v>251</v>
      </c>
      <c r="L2293" s="4" t="s">
        <v>423</v>
      </c>
      <c r="M2293" s="5" t="s">
        <v>3209</v>
      </c>
      <c r="N2293" s="6">
        <f>464</f>
        <v>464</v>
      </c>
      <c r="O2293" s="4" t="s">
        <v>265</v>
      </c>
      <c r="P2293" s="6">
        <f>1</f>
        <v>1</v>
      </c>
      <c r="Q2293" s="6">
        <f>0</f>
        <v>0</v>
      </c>
      <c r="S2293" s="6">
        <f>0</f>
        <v>0</v>
      </c>
      <c r="T2293" s="6">
        <f>1</f>
        <v>1</v>
      </c>
      <c r="U2293" s="5" t="s">
        <v>245</v>
      </c>
      <c r="V2293" s="4" t="s">
        <v>270</v>
      </c>
      <c r="W2293" s="4" t="s">
        <v>271</v>
      </c>
      <c r="X2293" s="4" t="s">
        <v>273</v>
      </c>
      <c r="Y2293" s="4" t="s">
        <v>241</v>
      </c>
      <c r="AB2293" s="4" t="s">
        <v>241</v>
      </c>
      <c r="AD2293" s="5" t="s">
        <v>241</v>
      </c>
      <c r="AG2293" s="5" t="s">
        <v>246</v>
      </c>
      <c r="AH2293" s="4" t="s">
        <v>241</v>
      </c>
      <c r="AI2293" s="4" t="s">
        <v>247</v>
      </c>
      <c r="AJ2293" s="4" t="s">
        <v>248</v>
      </c>
      <c r="AZ2293" s="4" t="s">
        <v>249</v>
      </c>
      <c r="BA2293" s="4" t="s">
        <v>241</v>
      </c>
      <c r="BB2293" s="4" t="s">
        <v>250</v>
      </c>
      <c r="BC2293" s="4" t="s">
        <v>241</v>
      </c>
      <c r="BD2293" s="4" t="s">
        <v>252</v>
      </c>
      <c r="BE2293" s="4" t="s">
        <v>241</v>
      </c>
      <c r="BI2293" s="4" t="s">
        <v>253</v>
      </c>
      <c r="BJ2293" s="5" t="s">
        <v>246</v>
      </c>
      <c r="BK2293" s="4" t="s">
        <v>254</v>
      </c>
      <c r="BL2293" s="4" t="s">
        <v>255</v>
      </c>
      <c r="BM2293" s="4" t="s">
        <v>241</v>
      </c>
      <c r="BN2293" s="6">
        <f>0</f>
        <v>0</v>
      </c>
      <c r="BO2293" s="6">
        <f>0</f>
        <v>0</v>
      </c>
      <c r="BP2293" s="4" t="s">
        <v>256</v>
      </c>
      <c r="BQ2293" s="4" t="s">
        <v>257</v>
      </c>
      <c r="CE2293" s="4" t="s">
        <v>241</v>
      </c>
      <c r="CF2293" s="4" t="s">
        <v>241</v>
      </c>
      <c r="CJ2293" s="4" t="s">
        <v>276</v>
      </c>
      <c r="CK2293" s="4" t="s">
        <v>259</v>
      </c>
      <c r="CL2293" s="4" t="s">
        <v>241</v>
      </c>
      <c r="CO2293" s="5" t="s">
        <v>260</v>
      </c>
      <c r="CP2293" s="4" t="s">
        <v>241</v>
      </c>
      <c r="CQ2293" s="4" t="s">
        <v>261</v>
      </c>
      <c r="CR2293" s="4" t="s">
        <v>241</v>
      </c>
      <c r="CS2293" s="4" t="s">
        <v>241</v>
      </c>
      <c r="CT2293" s="4">
        <v>0</v>
      </c>
      <c r="CU2293" s="4" t="s">
        <v>262</v>
      </c>
      <c r="CV2293" s="4" t="s">
        <v>263</v>
      </c>
      <c r="CW2293" s="4" t="s">
        <v>263</v>
      </c>
      <c r="CX2293" s="4" t="s">
        <v>264</v>
      </c>
      <c r="DA2293" s="6">
        <f>1</f>
        <v>1</v>
      </c>
      <c r="DC2293" s="4" t="s">
        <v>325</v>
      </c>
      <c r="DD2293" s="4" t="s">
        <v>241</v>
      </c>
      <c r="DF2293" s="4" t="s">
        <v>325</v>
      </c>
      <c r="DG2293" s="6">
        <f>464</f>
        <v>464</v>
      </c>
      <c r="DI2293" s="4" t="s">
        <v>241</v>
      </c>
      <c r="DJ2293" s="4" t="s">
        <v>241</v>
      </c>
      <c r="DK2293" s="4" t="s">
        <v>241</v>
      </c>
      <c r="DL2293" s="4" t="s">
        <v>241</v>
      </c>
      <c r="DP2293" s="4" t="s">
        <v>241</v>
      </c>
      <c r="DQ2293" s="4" t="s">
        <v>241</v>
      </c>
      <c r="DR2293" s="4" t="s">
        <v>241</v>
      </c>
      <c r="DS2293" s="4" t="s">
        <v>241</v>
      </c>
      <c r="DV2293" s="4" t="s">
        <v>426</v>
      </c>
      <c r="DW2293" s="4" t="s">
        <v>398</v>
      </c>
      <c r="HO2293" s="4" t="s">
        <v>267</v>
      </c>
    </row>
    <row r="2294" spans="1:223" ht="19.5" customHeight="1" x14ac:dyDescent="0.4">
      <c r="A2294" s="4">
        <v>1</v>
      </c>
      <c r="B2294" s="4" t="s">
        <v>239</v>
      </c>
      <c r="C2294" s="4">
        <v>3997</v>
      </c>
      <c r="D2294" s="4">
        <v>1</v>
      </c>
      <c r="E2294" s="4">
        <v>1</v>
      </c>
      <c r="F2294" s="4" t="s">
        <v>268</v>
      </c>
      <c r="G2294" s="4" t="s">
        <v>241</v>
      </c>
      <c r="H2294" s="4" t="s">
        <v>241</v>
      </c>
      <c r="I2294" s="4" t="s">
        <v>424</v>
      </c>
      <c r="J2294" s="4" t="s">
        <v>274</v>
      </c>
      <c r="K2294" s="4" t="s">
        <v>251</v>
      </c>
      <c r="L2294" s="4" t="s">
        <v>423</v>
      </c>
      <c r="M2294" s="5" t="s">
        <v>3211</v>
      </c>
      <c r="N2294" s="6">
        <f>97</f>
        <v>97</v>
      </c>
      <c r="O2294" s="4" t="s">
        <v>265</v>
      </c>
      <c r="P2294" s="6">
        <f>1</f>
        <v>1</v>
      </c>
      <c r="Q2294" s="6">
        <f>0</f>
        <v>0</v>
      </c>
      <c r="S2294" s="6">
        <f>0</f>
        <v>0</v>
      </c>
      <c r="T2294" s="6">
        <f>1</f>
        <v>1</v>
      </c>
      <c r="U2294" s="5" t="s">
        <v>245</v>
      </c>
      <c r="V2294" s="4" t="s">
        <v>270</v>
      </c>
      <c r="W2294" s="4" t="s">
        <v>271</v>
      </c>
      <c r="X2294" s="4" t="s">
        <v>273</v>
      </c>
      <c r="Y2294" s="4" t="s">
        <v>241</v>
      </c>
      <c r="AB2294" s="4" t="s">
        <v>241</v>
      </c>
      <c r="AD2294" s="5" t="s">
        <v>241</v>
      </c>
      <c r="AG2294" s="5" t="s">
        <v>246</v>
      </c>
      <c r="AH2294" s="4" t="s">
        <v>241</v>
      </c>
      <c r="AI2294" s="4" t="s">
        <v>247</v>
      </c>
      <c r="AJ2294" s="4" t="s">
        <v>248</v>
      </c>
      <c r="AZ2294" s="4" t="s">
        <v>249</v>
      </c>
      <c r="BA2294" s="4" t="s">
        <v>241</v>
      </c>
      <c r="BB2294" s="4" t="s">
        <v>250</v>
      </c>
      <c r="BC2294" s="4" t="s">
        <v>241</v>
      </c>
      <c r="BD2294" s="4" t="s">
        <v>252</v>
      </c>
      <c r="BE2294" s="4" t="s">
        <v>241</v>
      </c>
      <c r="BI2294" s="4" t="s">
        <v>253</v>
      </c>
      <c r="BJ2294" s="5" t="s">
        <v>246</v>
      </c>
      <c r="BK2294" s="4" t="s">
        <v>254</v>
      </c>
      <c r="BL2294" s="4" t="s">
        <v>255</v>
      </c>
      <c r="BM2294" s="4" t="s">
        <v>241</v>
      </c>
      <c r="BN2294" s="6">
        <f>0</f>
        <v>0</v>
      </c>
      <c r="BO2294" s="6">
        <f>0</f>
        <v>0</v>
      </c>
      <c r="BP2294" s="4" t="s">
        <v>256</v>
      </c>
      <c r="BQ2294" s="4" t="s">
        <v>257</v>
      </c>
      <c r="CE2294" s="4" t="s">
        <v>241</v>
      </c>
      <c r="CF2294" s="4" t="s">
        <v>241</v>
      </c>
      <c r="CJ2294" s="4" t="s">
        <v>276</v>
      </c>
      <c r="CK2294" s="4" t="s">
        <v>259</v>
      </c>
      <c r="CL2294" s="4" t="s">
        <v>241</v>
      </c>
      <c r="CO2294" s="5" t="s">
        <v>260</v>
      </c>
      <c r="CP2294" s="4" t="s">
        <v>241</v>
      </c>
      <c r="CQ2294" s="4" t="s">
        <v>261</v>
      </c>
      <c r="CR2294" s="4" t="s">
        <v>241</v>
      </c>
      <c r="CS2294" s="4" t="s">
        <v>241</v>
      </c>
      <c r="CT2294" s="4">
        <v>0</v>
      </c>
      <c r="CU2294" s="4" t="s">
        <v>262</v>
      </c>
      <c r="CV2294" s="4" t="s">
        <v>263</v>
      </c>
      <c r="CW2294" s="4" t="s">
        <v>263</v>
      </c>
      <c r="CX2294" s="4" t="s">
        <v>264</v>
      </c>
      <c r="DA2294" s="6">
        <f>1</f>
        <v>1</v>
      </c>
      <c r="DC2294" s="4" t="s">
        <v>325</v>
      </c>
      <c r="DD2294" s="4" t="s">
        <v>241</v>
      </c>
      <c r="DF2294" s="4" t="s">
        <v>325</v>
      </c>
      <c r="DG2294" s="6">
        <f>97</f>
        <v>97</v>
      </c>
      <c r="DI2294" s="4" t="s">
        <v>241</v>
      </c>
      <c r="DJ2294" s="4" t="s">
        <v>241</v>
      </c>
      <c r="DK2294" s="4" t="s">
        <v>241</v>
      </c>
      <c r="DL2294" s="4" t="s">
        <v>241</v>
      </c>
      <c r="DP2294" s="4" t="s">
        <v>241</v>
      </c>
      <c r="DQ2294" s="4" t="s">
        <v>241</v>
      </c>
      <c r="DR2294" s="4" t="s">
        <v>241</v>
      </c>
      <c r="DS2294" s="4" t="s">
        <v>241</v>
      </c>
      <c r="DV2294" s="4" t="s">
        <v>426</v>
      </c>
      <c r="DW2294" s="4" t="s">
        <v>406</v>
      </c>
      <c r="HO2294" s="4" t="s">
        <v>267</v>
      </c>
    </row>
    <row r="2295" spans="1:223" ht="19.5" customHeight="1" x14ac:dyDescent="0.4">
      <c r="A2295" s="4">
        <v>1</v>
      </c>
      <c r="B2295" s="4" t="s">
        <v>239</v>
      </c>
      <c r="C2295" s="4">
        <v>3998</v>
      </c>
      <c r="D2295" s="4">
        <v>1</v>
      </c>
      <c r="E2295" s="4">
        <v>1</v>
      </c>
      <c r="F2295" s="4" t="s">
        <v>268</v>
      </c>
      <c r="G2295" s="4" t="s">
        <v>241</v>
      </c>
      <c r="H2295" s="4" t="s">
        <v>241</v>
      </c>
      <c r="I2295" s="4" t="s">
        <v>424</v>
      </c>
      <c r="J2295" s="4" t="s">
        <v>274</v>
      </c>
      <c r="K2295" s="4" t="s">
        <v>251</v>
      </c>
      <c r="L2295" s="4" t="s">
        <v>423</v>
      </c>
      <c r="M2295" s="5" t="s">
        <v>3213</v>
      </c>
      <c r="N2295" s="6">
        <f>741</f>
        <v>741</v>
      </c>
      <c r="O2295" s="4" t="s">
        <v>265</v>
      </c>
      <c r="P2295" s="6">
        <f>1</f>
        <v>1</v>
      </c>
      <c r="Q2295" s="6">
        <f>0</f>
        <v>0</v>
      </c>
      <c r="S2295" s="6">
        <f>0</f>
        <v>0</v>
      </c>
      <c r="T2295" s="6">
        <f>1</f>
        <v>1</v>
      </c>
      <c r="U2295" s="5" t="s">
        <v>245</v>
      </c>
      <c r="V2295" s="4" t="s">
        <v>270</v>
      </c>
      <c r="W2295" s="4" t="s">
        <v>271</v>
      </c>
      <c r="X2295" s="4" t="s">
        <v>273</v>
      </c>
      <c r="Y2295" s="4" t="s">
        <v>241</v>
      </c>
      <c r="AB2295" s="4" t="s">
        <v>241</v>
      </c>
      <c r="AD2295" s="5" t="s">
        <v>241</v>
      </c>
      <c r="AG2295" s="5" t="s">
        <v>246</v>
      </c>
      <c r="AH2295" s="4" t="s">
        <v>241</v>
      </c>
      <c r="AI2295" s="4" t="s">
        <v>247</v>
      </c>
      <c r="AJ2295" s="4" t="s">
        <v>248</v>
      </c>
      <c r="AZ2295" s="4" t="s">
        <v>249</v>
      </c>
      <c r="BA2295" s="4" t="s">
        <v>241</v>
      </c>
      <c r="BB2295" s="4" t="s">
        <v>250</v>
      </c>
      <c r="BC2295" s="4" t="s">
        <v>241</v>
      </c>
      <c r="BD2295" s="4" t="s">
        <v>252</v>
      </c>
      <c r="BE2295" s="4" t="s">
        <v>241</v>
      </c>
      <c r="BI2295" s="4" t="s">
        <v>253</v>
      </c>
      <c r="BJ2295" s="5" t="s">
        <v>246</v>
      </c>
      <c r="BK2295" s="4" t="s">
        <v>254</v>
      </c>
      <c r="BL2295" s="4" t="s">
        <v>255</v>
      </c>
      <c r="BM2295" s="4" t="s">
        <v>241</v>
      </c>
      <c r="BN2295" s="6">
        <f>0</f>
        <v>0</v>
      </c>
      <c r="BO2295" s="6">
        <f>0</f>
        <v>0</v>
      </c>
      <c r="BP2295" s="4" t="s">
        <v>256</v>
      </c>
      <c r="BQ2295" s="4" t="s">
        <v>257</v>
      </c>
      <c r="CE2295" s="4" t="s">
        <v>241</v>
      </c>
      <c r="CF2295" s="4" t="s">
        <v>241</v>
      </c>
      <c r="CJ2295" s="4" t="s">
        <v>276</v>
      </c>
      <c r="CK2295" s="4" t="s">
        <v>259</v>
      </c>
      <c r="CL2295" s="4" t="s">
        <v>241</v>
      </c>
      <c r="CO2295" s="5" t="s">
        <v>260</v>
      </c>
      <c r="CP2295" s="4" t="s">
        <v>241</v>
      </c>
      <c r="CQ2295" s="4" t="s">
        <v>261</v>
      </c>
      <c r="CR2295" s="4" t="s">
        <v>241</v>
      </c>
      <c r="CS2295" s="4" t="s">
        <v>241</v>
      </c>
      <c r="CT2295" s="4">
        <v>0</v>
      </c>
      <c r="CU2295" s="4" t="s">
        <v>262</v>
      </c>
      <c r="CV2295" s="4" t="s">
        <v>263</v>
      </c>
      <c r="CW2295" s="4" t="s">
        <v>263</v>
      </c>
      <c r="CX2295" s="4" t="s">
        <v>264</v>
      </c>
      <c r="DA2295" s="6">
        <f>1</f>
        <v>1</v>
      </c>
      <c r="DC2295" s="4" t="s">
        <v>325</v>
      </c>
      <c r="DD2295" s="4" t="s">
        <v>241</v>
      </c>
      <c r="DF2295" s="4" t="s">
        <v>325</v>
      </c>
      <c r="DG2295" s="6">
        <f>741</f>
        <v>741</v>
      </c>
      <c r="DI2295" s="4" t="s">
        <v>241</v>
      </c>
      <c r="DJ2295" s="4" t="s">
        <v>241</v>
      </c>
      <c r="DK2295" s="4" t="s">
        <v>241</v>
      </c>
      <c r="DL2295" s="4" t="s">
        <v>241</v>
      </c>
      <c r="DP2295" s="4" t="s">
        <v>241</v>
      </c>
      <c r="DQ2295" s="4" t="s">
        <v>241</v>
      </c>
      <c r="DR2295" s="4" t="s">
        <v>241</v>
      </c>
      <c r="DS2295" s="4" t="s">
        <v>241</v>
      </c>
      <c r="DV2295" s="4" t="s">
        <v>426</v>
      </c>
      <c r="DW2295" s="4" t="s">
        <v>411</v>
      </c>
      <c r="HO2295" s="4" t="s">
        <v>267</v>
      </c>
    </row>
    <row r="2296" spans="1:223" ht="19.5" customHeight="1" x14ac:dyDescent="0.4">
      <c r="A2296" s="4">
        <v>1</v>
      </c>
      <c r="B2296" s="4" t="s">
        <v>239</v>
      </c>
      <c r="C2296" s="4">
        <v>3999</v>
      </c>
      <c r="D2296" s="4">
        <v>1</v>
      </c>
      <c r="E2296" s="4">
        <v>1</v>
      </c>
      <c r="F2296" s="4" t="s">
        <v>268</v>
      </c>
      <c r="G2296" s="4" t="s">
        <v>241</v>
      </c>
      <c r="H2296" s="4" t="s">
        <v>241</v>
      </c>
      <c r="I2296" s="4" t="s">
        <v>424</v>
      </c>
      <c r="J2296" s="4" t="s">
        <v>274</v>
      </c>
      <c r="K2296" s="4" t="s">
        <v>251</v>
      </c>
      <c r="L2296" s="4" t="s">
        <v>423</v>
      </c>
      <c r="M2296" s="5" t="s">
        <v>3214</v>
      </c>
      <c r="N2296" s="6">
        <f>237</f>
        <v>237</v>
      </c>
      <c r="O2296" s="4" t="s">
        <v>265</v>
      </c>
      <c r="P2296" s="6">
        <f>1</f>
        <v>1</v>
      </c>
      <c r="Q2296" s="6">
        <f>0</f>
        <v>0</v>
      </c>
      <c r="S2296" s="6">
        <f>0</f>
        <v>0</v>
      </c>
      <c r="T2296" s="6">
        <f>1</f>
        <v>1</v>
      </c>
      <c r="U2296" s="5" t="s">
        <v>245</v>
      </c>
      <c r="V2296" s="4" t="s">
        <v>270</v>
      </c>
      <c r="W2296" s="4" t="s">
        <v>271</v>
      </c>
      <c r="X2296" s="4" t="s">
        <v>273</v>
      </c>
      <c r="Y2296" s="4" t="s">
        <v>241</v>
      </c>
      <c r="AB2296" s="4" t="s">
        <v>241</v>
      </c>
      <c r="AD2296" s="5" t="s">
        <v>241</v>
      </c>
      <c r="AG2296" s="5" t="s">
        <v>246</v>
      </c>
      <c r="AH2296" s="4" t="s">
        <v>241</v>
      </c>
      <c r="AI2296" s="4" t="s">
        <v>247</v>
      </c>
      <c r="AJ2296" s="4" t="s">
        <v>248</v>
      </c>
      <c r="AZ2296" s="4" t="s">
        <v>249</v>
      </c>
      <c r="BA2296" s="4" t="s">
        <v>241</v>
      </c>
      <c r="BB2296" s="4" t="s">
        <v>250</v>
      </c>
      <c r="BC2296" s="4" t="s">
        <v>241</v>
      </c>
      <c r="BD2296" s="4" t="s">
        <v>252</v>
      </c>
      <c r="BE2296" s="4" t="s">
        <v>241</v>
      </c>
      <c r="BI2296" s="4" t="s">
        <v>253</v>
      </c>
      <c r="BJ2296" s="5" t="s">
        <v>246</v>
      </c>
      <c r="BK2296" s="4" t="s">
        <v>254</v>
      </c>
      <c r="BL2296" s="4" t="s">
        <v>255</v>
      </c>
      <c r="BM2296" s="4" t="s">
        <v>241</v>
      </c>
      <c r="BN2296" s="6">
        <f>0</f>
        <v>0</v>
      </c>
      <c r="BO2296" s="6">
        <f>0</f>
        <v>0</v>
      </c>
      <c r="BP2296" s="4" t="s">
        <v>256</v>
      </c>
      <c r="BQ2296" s="4" t="s">
        <v>257</v>
      </c>
      <c r="CE2296" s="4" t="s">
        <v>241</v>
      </c>
      <c r="CF2296" s="4" t="s">
        <v>241</v>
      </c>
      <c r="CJ2296" s="4" t="s">
        <v>276</v>
      </c>
      <c r="CK2296" s="4" t="s">
        <v>259</v>
      </c>
      <c r="CL2296" s="4" t="s">
        <v>241</v>
      </c>
      <c r="CO2296" s="5" t="s">
        <v>260</v>
      </c>
      <c r="CP2296" s="4" t="s">
        <v>241</v>
      </c>
      <c r="CQ2296" s="4" t="s">
        <v>261</v>
      </c>
      <c r="CR2296" s="4" t="s">
        <v>241</v>
      </c>
      <c r="CS2296" s="4" t="s">
        <v>241</v>
      </c>
      <c r="CT2296" s="4">
        <v>0</v>
      </c>
      <c r="CU2296" s="4" t="s">
        <v>262</v>
      </c>
      <c r="CV2296" s="4" t="s">
        <v>263</v>
      </c>
      <c r="CW2296" s="4" t="s">
        <v>263</v>
      </c>
      <c r="CX2296" s="4" t="s">
        <v>264</v>
      </c>
      <c r="DA2296" s="6">
        <f>1</f>
        <v>1</v>
      </c>
      <c r="DC2296" s="4" t="s">
        <v>325</v>
      </c>
      <c r="DD2296" s="4" t="s">
        <v>241</v>
      </c>
      <c r="DF2296" s="4" t="s">
        <v>325</v>
      </c>
      <c r="DG2296" s="6">
        <f>237</f>
        <v>237</v>
      </c>
      <c r="DI2296" s="4" t="s">
        <v>241</v>
      </c>
      <c r="DJ2296" s="4" t="s">
        <v>241</v>
      </c>
      <c r="DK2296" s="4" t="s">
        <v>241</v>
      </c>
      <c r="DL2296" s="4" t="s">
        <v>241</v>
      </c>
      <c r="DP2296" s="4" t="s">
        <v>241</v>
      </c>
      <c r="DQ2296" s="4" t="s">
        <v>241</v>
      </c>
      <c r="DR2296" s="4" t="s">
        <v>241</v>
      </c>
      <c r="DS2296" s="4" t="s">
        <v>241</v>
      </c>
      <c r="DV2296" s="4" t="s">
        <v>426</v>
      </c>
      <c r="DW2296" s="4" t="s">
        <v>3137</v>
      </c>
      <c r="HO2296" s="4" t="s">
        <v>267</v>
      </c>
    </row>
    <row r="2297" spans="1:223" ht="19.5" customHeight="1" x14ac:dyDescent="0.4">
      <c r="A2297" s="4">
        <v>1</v>
      </c>
      <c r="B2297" s="4" t="s">
        <v>239</v>
      </c>
      <c r="C2297" s="4">
        <v>4000</v>
      </c>
      <c r="D2297" s="4">
        <v>1</v>
      </c>
      <c r="E2297" s="4">
        <v>1</v>
      </c>
      <c r="F2297" s="4" t="s">
        <v>268</v>
      </c>
      <c r="G2297" s="4" t="s">
        <v>241</v>
      </c>
      <c r="H2297" s="4" t="s">
        <v>241</v>
      </c>
      <c r="I2297" s="4" t="s">
        <v>424</v>
      </c>
      <c r="J2297" s="4" t="s">
        <v>274</v>
      </c>
      <c r="K2297" s="4" t="s">
        <v>251</v>
      </c>
      <c r="L2297" s="4" t="s">
        <v>423</v>
      </c>
      <c r="M2297" s="5" t="s">
        <v>3217</v>
      </c>
      <c r="N2297" s="6">
        <f>311</f>
        <v>311</v>
      </c>
      <c r="O2297" s="4" t="s">
        <v>265</v>
      </c>
      <c r="P2297" s="6">
        <f>1</f>
        <v>1</v>
      </c>
      <c r="Q2297" s="6">
        <f>0</f>
        <v>0</v>
      </c>
      <c r="S2297" s="6">
        <f>0</f>
        <v>0</v>
      </c>
      <c r="T2297" s="6">
        <f>1</f>
        <v>1</v>
      </c>
      <c r="U2297" s="5" t="s">
        <v>245</v>
      </c>
      <c r="V2297" s="4" t="s">
        <v>270</v>
      </c>
      <c r="W2297" s="4" t="s">
        <v>271</v>
      </c>
      <c r="X2297" s="4" t="s">
        <v>273</v>
      </c>
      <c r="Y2297" s="4" t="s">
        <v>241</v>
      </c>
      <c r="AB2297" s="4" t="s">
        <v>241</v>
      </c>
      <c r="AD2297" s="5" t="s">
        <v>241</v>
      </c>
      <c r="AG2297" s="5" t="s">
        <v>246</v>
      </c>
      <c r="AH2297" s="4" t="s">
        <v>241</v>
      </c>
      <c r="AI2297" s="4" t="s">
        <v>247</v>
      </c>
      <c r="AJ2297" s="4" t="s">
        <v>248</v>
      </c>
      <c r="AZ2297" s="4" t="s">
        <v>249</v>
      </c>
      <c r="BA2297" s="4" t="s">
        <v>241</v>
      </c>
      <c r="BB2297" s="4" t="s">
        <v>250</v>
      </c>
      <c r="BC2297" s="4" t="s">
        <v>241</v>
      </c>
      <c r="BD2297" s="4" t="s">
        <v>252</v>
      </c>
      <c r="BE2297" s="4" t="s">
        <v>241</v>
      </c>
      <c r="BI2297" s="4" t="s">
        <v>253</v>
      </c>
      <c r="BJ2297" s="5" t="s">
        <v>246</v>
      </c>
      <c r="BK2297" s="4" t="s">
        <v>254</v>
      </c>
      <c r="BL2297" s="4" t="s">
        <v>255</v>
      </c>
      <c r="BM2297" s="4" t="s">
        <v>241</v>
      </c>
      <c r="BN2297" s="6">
        <f>0</f>
        <v>0</v>
      </c>
      <c r="BO2297" s="6">
        <f>0</f>
        <v>0</v>
      </c>
      <c r="BP2297" s="4" t="s">
        <v>256</v>
      </c>
      <c r="BQ2297" s="4" t="s">
        <v>257</v>
      </c>
      <c r="CE2297" s="4" t="s">
        <v>241</v>
      </c>
      <c r="CF2297" s="4" t="s">
        <v>241</v>
      </c>
      <c r="CJ2297" s="4" t="s">
        <v>276</v>
      </c>
      <c r="CK2297" s="4" t="s">
        <v>259</v>
      </c>
      <c r="CL2297" s="4" t="s">
        <v>241</v>
      </c>
      <c r="CO2297" s="5" t="s">
        <v>260</v>
      </c>
      <c r="CP2297" s="4" t="s">
        <v>241</v>
      </c>
      <c r="CQ2297" s="4" t="s">
        <v>261</v>
      </c>
      <c r="CR2297" s="4" t="s">
        <v>241</v>
      </c>
      <c r="CS2297" s="4" t="s">
        <v>241</v>
      </c>
      <c r="CT2297" s="4">
        <v>0</v>
      </c>
      <c r="CU2297" s="4" t="s">
        <v>262</v>
      </c>
      <c r="CV2297" s="4" t="s">
        <v>263</v>
      </c>
      <c r="CW2297" s="4" t="s">
        <v>263</v>
      </c>
      <c r="CX2297" s="4" t="s">
        <v>264</v>
      </c>
      <c r="DA2297" s="6">
        <f>1</f>
        <v>1</v>
      </c>
      <c r="DC2297" s="4" t="s">
        <v>325</v>
      </c>
      <c r="DD2297" s="4" t="s">
        <v>241</v>
      </c>
      <c r="DF2297" s="4" t="s">
        <v>325</v>
      </c>
      <c r="DG2297" s="6">
        <f>311</f>
        <v>311</v>
      </c>
      <c r="DI2297" s="4" t="s">
        <v>241</v>
      </c>
      <c r="DJ2297" s="4" t="s">
        <v>241</v>
      </c>
      <c r="DK2297" s="4" t="s">
        <v>241</v>
      </c>
      <c r="DL2297" s="4" t="s">
        <v>241</v>
      </c>
      <c r="DP2297" s="4" t="s">
        <v>241</v>
      </c>
      <c r="DQ2297" s="4" t="s">
        <v>241</v>
      </c>
      <c r="DR2297" s="4" t="s">
        <v>241</v>
      </c>
      <c r="DS2297" s="4" t="s">
        <v>241</v>
      </c>
      <c r="DV2297" s="4" t="s">
        <v>426</v>
      </c>
      <c r="DW2297" s="4" t="s">
        <v>3135</v>
      </c>
      <c r="HO2297" s="4" t="s">
        <v>267</v>
      </c>
    </row>
    <row r="2298" spans="1:223" ht="19.5" customHeight="1" x14ac:dyDescent="0.4">
      <c r="A2298" s="4">
        <v>1</v>
      </c>
      <c r="B2298" s="4" t="s">
        <v>239</v>
      </c>
      <c r="C2298" s="4">
        <v>4001</v>
      </c>
      <c r="D2298" s="4">
        <v>1</v>
      </c>
      <c r="E2298" s="4">
        <v>1</v>
      </c>
      <c r="F2298" s="4" t="s">
        <v>268</v>
      </c>
      <c r="G2298" s="4" t="s">
        <v>241</v>
      </c>
      <c r="H2298" s="4" t="s">
        <v>241</v>
      </c>
      <c r="I2298" s="4" t="s">
        <v>424</v>
      </c>
      <c r="J2298" s="4" t="s">
        <v>274</v>
      </c>
      <c r="K2298" s="4" t="s">
        <v>251</v>
      </c>
      <c r="L2298" s="4" t="s">
        <v>423</v>
      </c>
      <c r="M2298" s="5" t="s">
        <v>3220</v>
      </c>
      <c r="N2298" s="6">
        <f>757</f>
        <v>757</v>
      </c>
      <c r="O2298" s="4" t="s">
        <v>265</v>
      </c>
      <c r="P2298" s="6">
        <f>1</f>
        <v>1</v>
      </c>
      <c r="Q2298" s="6">
        <f>0</f>
        <v>0</v>
      </c>
      <c r="S2298" s="6">
        <f>0</f>
        <v>0</v>
      </c>
      <c r="T2298" s="6">
        <f>1</f>
        <v>1</v>
      </c>
      <c r="U2298" s="5" t="s">
        <v>245</v>
      </c>
      <c r="V2298" s="4" t="s">
        <v>270</v>
      </c>
      <c r="W2298" s="4" t="s">
        <v>271</v>
      </c>
      <c r="X2298" s="4" t="s">
        <v>273</v>
      </c>
      <c r="Y2298" s="4" t="s">
        <v>241</v>
      </c>
      <c r="AB2298" s="4" t="s">
        <v>241</v>
      </c>
      <c r="AD2298" s="5" t="s">
        <v>241</v>
      </c>
      <c r="AG2298" s="5" t="s">
        <v>246</v>
      </c>
      <c r="AH2298" s="4" t="s">
        <v>241</v>
      </c>
      <c r="AI2298" s="4" t="s">
        <v>247</v>
      </c>
      <c r="AJ2298" s="4" t="s">
        <v>248</v>
      </c>
      <c r="AZ2298" s="4" t="s">
        <v>249</v>
      </c>
      <c r="BA2298" s="4" t="s">
        <v>241</v>
      </c>
      <c r="BB2298" s="4" t="s">
        <v>250</v>
      </c>
      <c r="BC2298" s="4" t="s">
        <v>241</v>
      </c>
      <c r="BD2298" s="4" t="s">
        <v>252</v>
      </c>
      <c r="BE2298" s="4" t="s">
        <v>241</v>
      </c>
      <c r="BI2298" s="4" t="s">
        <v>253</v>
      </c>
      <c r="BJ2298" s="5" t="s">
        <v>246</v>
      </c>
      <c r="BK2298" s="4" t="s">
        <v>254</v>
      </c>
      <c r="BL2298" s="4" t="s">
        <v>255</v>
      </c>
      <c r="BM2298" s="4" t="s">
        <v>241</v>
      </c>
      <c r="BN2298" s="6">
        <f>0</f>
        <v>0</v>
      </c>
      <c r="BO2298" s="6">
        <f>0</f>
        <v>0</v>
      </c>
      <c r="BP2298" s="4" t="s">
        <v>256</v>
      </c>
      <c r="BQ2298" s="4" t="s">
        <v>257</v>
      </c>
      <c r="CE2298" s="4" t="s">
        <v>241</v>
      </c>
      <c r="CF2298" s="4" t="s">
        <v>241</v>
      </c>
      <c r="CJ2298" s="4" t="s">
        <v>276</v>
      </c>
      <c r="CK2298" s="4" t="s">
        <v>259</v>
      </c>
      <c r="CL2298" s="4" t="s">
        <v>241</v>
      </c>
      <c r="CO2298" s="5" t="s">
        <v>260</v>
      </c>
      <c r="CP2298" s="4" t="s">
        <v>241</v>
      </c>
      <c r="CQ2298" s="4" t="s">
        <v>261</v>
      </c>
      <c r="CR2298" s="4" t="s">
        <v>241</v>
      </c>
      <c r="CS2298" s="4" t="s">
        <v>241</v>
      </c>
      <c r="CT2298" s="4">
        <v>0</v>
      </c>
      <c r="CU2298" s="4" t="s">
        <v>262</v>
      </c>
      <c r="CV2298" s="4" t="s">
        <v>263</v>
      </c>
      <c r="CW2298" s="4" t="s">
        <v>263</v>
      </c>
      <c r="CX2298" s="4" t="s">
        <v>264</v>
      </c>
      <c r="DA2298" s="6">
        <f>1</f>
        <v>1</v>
      </c>
      <c r="DC2298" s="4" t="s">
        <v>325</v>
      </c>
      <c r="DD2298" s="4" t="s">
        <v>241</v>
      </c>
      <c r="DF2298" s="4" t="s">
        <v>325</v>
      </c>
      <c r="DG2298" s="6">
        <f>757</f>
        <v>757</v>
      </c>
      <c r="DI2298" s="4" t="s">
        <v>241</v>
      </c>
      <c r="DJ2298" s="4" t="s">
        <v>241</v>
      </c>
      <c r="DK2298" s="4" t="s">
        <v>241</v>
      </c>
      <c r="DL2298" s="4" t="s">
        <v>241</v>
      </c>
      <c r="DP2298" s="4" t="s">
        <v>241</v>
      </c>
      <c r="DQ2298" s="4" t="s">
        <v>241</v>
      </c>
      <c r="DR2298" s="4" t="s">
        <v>241</v>
      </c>
      <c r="DS2298" s="4" t="s">
        <v>241</v>
      </c>
      <c r="DV2298" s="4" t="s">
        <v>426</v>
      </c>
      <c r="DW2298" s="4" t="s">
        <v>3133</v>
      </c>
      <c r="HO2298" s="4" t="s">
        <v>267</v>
      </c>
    </row>
    <row r="2299" spans="1:223" ht="19.5" customHeight="1" x14ac:dyDescent="0.4">
      <c r="A2299" s="4">
        <v>1</v>
      </c>
      <c r="B2299" s="4" t="s">
        <v>239</v>
      </c>
      <c r="C2299" s="4">
        <v>4002</v>
      </c>
      <c r="D2299" s="4">
        <v>1</v>
      </c>
      <c r="E2299" s="4">
        <v>1</v>
      </c>
      <c r="F2299" s="4" t="s">
        <v>268</v>
      </c>
      <c r="G2299" s="4" t="s">
        <v>241</v>
      </c>
      <c r="H2299" s="4" t="s">
        <v>241</v>
      </c>
      <c r="I2299" s="4" t="s">
        <v>424</v>
      </c>
      <c r="J2299" s="4" t="s">
        <v>274</v>
      </c>
      <c r="K2299" s="4" t="s">
        <v>251</v>
      </c>
      <c r="L2299" s="4" t="s">
        <v>423</v>
      </c>
      <c r="M2299" s="5" t="s">
        <v>3223</v>
      </c>
      <c r="N2299" s="6">
        <f>294</f>
        <v>294</v>
      </c>
      <c r="O2299" s="4" t="s">
        <v>265</v>
      </c>
      <c r="P2299" s="6">
        <f>1</f>
        <v>1</v>
      </c>
      <c r="Q2299" s="6">
        <f>0</f>
        <v>0</v>
      </c>
      <c r="S2299" s="6">
        <f>0</f>
        <v>0</v>
      </c>
      <c r="T2299" s="6">
        <f>1</f>
        <v>1</v>
      </c>
      <c r="U2299" s="5" t="s">
        <v>245</v>
      </c>
      <c r="V2299" s="4" t="s">
        <v>270</v>
      </c>
      <c r="W2299" s="4" t="s">
        <v>271</v>
      </c>
      <c r="X2299" s="4" t="s">
        <v>273</v>
      </c>
      <c r="Y2299" s="4" t="s">
        <v>241</v>
      </c>
      <c r="AB2299" s="4" t="s">
        <v>241</v>
      </c>
      <c r="AD2299" s="5" t="s">
        <v>241</v>
      </c>
      <c r="AG2299" s="5" t="s">
        <v>246</v>
      </c>
      <c r="AH2299" s="4" t="s">
        <v>241</v>
      </c>
      <c r="AI2299" s="4" t="s">
        <v>247</v>
      </c>
      <c r="AJ2299" s="4" t="s">
        <v>248</v>
      </c>
      <c r="AZ2299" s="4" t="s">
        <v>249</v>
      </c>
      <c r="BA2299" s="4" t="s">
        <v>241</v>
      </c>
      <c r="BB2299" s="4" t="s">
        <v>250</v>
      </c>
      <c r="BC2299" s="4" t="s">
        <v>241</v>
      </c>
      <c r="BD2299" s="4" t="s">
        <v>252</v>
      </c>
      <c r="BE2299" s="4" t="s">
        <v>241</v>
      </c>
      <c r="BI2299" s="4" t="s">
        <v>253</v>
      </c>
      <c r="BJ2299" s="5" t="s">
        <v>246</v>
      </c>
      <c r="BK2299" s="4" t="s">
        <v>254</v>
      </c>
      <c r="BL2299" s="4" t="s">
        <v>255</v>
      </c>
      <c r="BM2299" s="4" t="s">
        <v>241</v>
      </c>
      <c r="BN2299" s="6">
        <f>0</f>
        <v>0</v>
      </c>
      <c r="BO2299" s="6">
        <f>0</f>
        <v>0</v>
      </c>
      <c r="BP2299" s="4" t="s">
        <v>256</v>
      </c>
      <c r="BQ2299" s="4" t="s">
        <v>257</v>
      </c>
      <c r="CE2299" s="4" t="s">
        <v>241</v>
      </c>
      <c r="CF2299" s="4" t="s">
        <v>241</v>
      </c>
      <c r="CJ2299" s="4" t="s">
        <v>276</v>
      </c>
      <c r="CK2299" s="4" t="s">
        <v>259</v>
      </c>
      <c r="CL2299" s="4" t="s">
        <v>241</v>
      </c>
      <c r="CO2299" s="5" t="s">
        <v>260</v>
      </c>
      <c r="CP2299" s="4" t="s">
        <v>241</v>
      </c>
      <c r="CQ2299" s="4" t="s">
        <v>261</v>
      </c>
      <c r="CR2299" s="4" t="s">
        <v>241</v>
      </c>
      <c r="CS2299" s="4" t="s">
        <v>241</v>
      </c>
      <c r="CT2299" s="4">
        <v>0</v>
      </c>
      <c r="CU2299" s="4" t="s">
        <v>262</v>
      </c>
      <c r="CV2299" s="4" t="s">
        <v>263</v>
      </c>
      <c r="CW2299" s="4" t="s">
        <v>263</v>
      </c>
      <c r="CX2299" s="4" t="s">
        <v>264</v>
      </c>
      <c r="DA2299" s="6">
        <f>1</f>
        <v>1</v>
      </c>
      <c r="DC2299" s="4" t="s">
        <v>325</v>
      </c>
      <c r="DD2299" s="4" t="s">
        <v>241</v>
      </c>
      <c r="DF2299" s="4" t="s">
        <v>325</v>
      </c>
      <c r="DG2299" s="6">
        <f>294</f>
        <v>294</v>
      </c>
      <c r="DI2299" s="4" t="s">
        <v>241</v>
      </c>
      <c r="DJ2299" s="4" t="s">
        <v>241</v>
      </c>
      <c r="DK2299" s="4" t="s">
        <v>241</v>
      </c>
      <c r="DL2299" s="4" t="s">
        <v>241</v>
      </c>
      <c r="DP2299" s="4" t="s">
        <v>241</v>
      </c>
      <c r="DQ2299" s="4" t="s">
        <v>241</v>
      </c>
      <c r="DR2299" s="4" t="s">
        <v>241</v>
      </c>
      <c r="DS2299" s="4" t="s">
        <v>241</v>
      </c>
      <c r="DV2299" s="4" t="s">
        <v>426</v>
      </c>
      <c r="DW2299" s="4" t="s">
        <v>3131</v>
      </c>
      <c r="HO2299" s="4" t="s">
        <v>267</v>
      </c>
    </row>
    <row r="2300" spans="1:223" ht="19.5" customHeight="1" x14ac:dyDescent="0.4">
      <c r="A2300" s="4">
        <v>1</v>
      </c>
      <c r="B2300" s="4" t="s">
        <v>239</v>
      </c>
      <c r="C2300" s="4">
        <v>4003</v>
      </c>
      <c r="D2300" s="4">
        <v>1</v>
      </c>
      <c r="E2300" s="4">
        <v>1</v>
      </c>
      <c r="F2300" s="4" t="s">
        <v>268</v>
      </c>
      <c r="G2300" s="4" t="s">
        <v>241</v>
      </c>
      <c r="H2300" s="4" t="s">
        <v>241</v>
      </c>
      <c r="I2300" s="4" t="s">
        <v>424</v>
      </c>
      <c r="J2300" s="4" t="s">
        <v>274</v>
      </c>
      <c r="K2300" s="4" t="s">
        <v>251</v>
      </c>
      <c r="L2300" s="4" t="s">
        <v>423</v>
      </c>
      <c r="M2300" s="5" t="s">
        <v>4577</v>
      </c>
      <c r="N2300" s="6">
        <f>756</f>
        <v>756</v>
      </c>
      <c r="O2300" s="4" t="s">
        <v>265</v>
      </c>
      <c r="P2300" s="6">
        <f>1</f>
        <v>1</v>
      </c>
      <c r="Q2300" s="6">
        <f>0</f>
        <v>0</v>
      </c>
      <c r="S2300" s="6">
        <f>0</f>
        <v>0</v>
      </c>
      <c r="T2300" s="6">
        <f>1</f>
        <v>1</v>
      </c>
      <c r="U2300" s="5" t="s">
        <v>245</v>
      </c>
      <c r="V2300" s="4" t="s">
        <v>270</v>
      </c>
      <c r="W2300" s="4" t="s">
        <v>271</v>
      </c>
      <c r="X2300" s="4" t="s">
        <v>273</v>
      </c>
      <c r="Y2300" s="4" t="s">
        <v>241</v>
      </c>
      <c r="AB2300" s="4" t="s">
        <v>241</v>
      </c>
      <c r="AD2300" s="5" t="s">
        <v>241</v>
      </c>
      <c r="AG2300" s="5" t="s">
        <v>246</v>
      </c>
      <c r="AH2300" s="4" t="s">
        <v>241</v>
      </c>
      <c r="AI2300" s="4" t="s">
        <v>247</v>
      </c>
      <c r="AJ2300" s="4" t="s">
        <v>248</v>
      </c>
      <c r="AZ2300" s="4" t="s">
        <v>249</v>
      </c>
      <c r="BA2300" s="4" t="s">
        <v>241</v>
      </c>
      <c r="BB2300" s="4" t="s">
        <v>250</v>
      </c>
      <c r="BC2300" s="4" t="s">
        <v>241</v>
      </c>
      <c r="BD2300" s="4" t="s">
        <v>252</v>
      </c>
      <c r="BE2300" s="4" t="s">
        <v>241</v>
      </c>
      <c r="BI2300" s="4" t="s">
        <v>253</v>
      </c>
      <c r="BJ2300" s="5" t="s">
        <v>246</v>
      </c>
      <c r="BK2300" s="4" t="s">
        <v>254</v>
      </c>
      <c r="BL2300" s="4" t="s">
        <v>255</v>
      </c>
      <c r="BM2300" s="4" t="s">
        <v>241</v>
      </c>
      <c r="BN2300" s="6">
        <f>0</f>
        <v>0</v>
      </c>
      <c r="BO2300" s="6">
        <f>0</f>
        <v>0</v>
      </c>
      <c r="BP2300" s="4" t="s">
        <v>256</v>
      </c>
      <c r="BQ2300" s="4" t="s">
        <v>257</v>
      </c>
      <c r="CE2300" s="4" t="s">
        <v>241</v>
      </c>
      <c r="CF2300" s="4" t="s">
        <v>241</v>
      </c>
      <c r="CJ2300" s="4" t="s">
        <v>276</v>
      </c>
      <c r="CK2300" s="4" t="s">
        <v>259</v>
      </c>
      <c r="CL2300" s="4" t="s">
        <v>241</v>
      </c>
      <c r="CO2300" s="5" t="s">
        <v>260</v>
      </c>
      <c r="CP2300" s="4" t="s">
        <v>241</v>
      </c>
      <c r="CQ2300" s="4" t="s">
        <v>261</v>
      </c>
      <c r="CR2300" s="4" t="s">
        <v>241</v>
      </c>
      <c r="CS2300" s="4" t="s">
        <v>241</v>
      </c>
      <c r="CT2300" s="4">
        <v>0</v>
      </c>
      <c r="CU2300" s="4" t="s">
        <v>262</v>
      </c>
      <c r="CV2300" s="4" t="s">
        <v>263</v>
      </c>
      <c r="CW2300" s="4" t="s">
        <v>263</v>
      </c>
      <c r="CX2300" s="4" t="s">
        <v>264</v>
      </c>
      <c r="DA2300" s="6">
        <f>1</f>
        <v>1</v>
      </c>
      <c r="DC2300" s="4" t="s">
        <v>325</v>
      </c>
      <c r="DD2300" s="4" t="s">
        <v>241</v>
      </c>
      <c r="DF2300" s="4" t="s">
        <v>325</v>
      </c>
      <c r="DG2300" s="6">
        <f>756</f>
        <v>756</v>
      </c>
      <c r="DI2300" s="4" t="s">
        <v>241</v>
      </c>
      <c r="DJ2300" s="4" t="s">
        <v>241</v>
      </c>
      <c r="DK2300" s="4" t="s">
        <v>241</v>
      </c>
      <c r="DL2300" s="4" t="s">
        <v>241</v>
      </c>
      <c r="DP2300" s="4" t="s">
        <v>241</v>
      </c>
      <c r="DQ2300" s="4" t="s">
        <v>241</v>
      </c>
      <c r="DR2300" s="4" t="s">
        <v>241</v>
      </c>
      <c r="DS2300" s="4" t="s">
        <v>241</v>
      </c>
      <c r="DV2300" s="4" t="s">
        <v>426</v>
      </c>
      <c r="DW2300" s="4" t="s">
        <v>3129</v>
      </c>
      <c r="HO2300" s="4" t="s">
        <v>267</v>
      </c>
    </row>
    <row r="2301" spans="1:223" ht="19.5" customHeight="1" x14ac:dyDescent="0.4">
      <c r="A2301" s="4">
        <v>1</v>
      </c>
      <c r="B2301" s="4" t="s">
        <v>239</v>
      </c>
      <c r="C2301" s="4">
        <v>4004</v>
      </c>
      <c r="D2301" s="4">
        <v>1</v>
      </c>
      <c r="E2301" s="4">
        <v>1</v>
      </c>
      <c r="F2301" s="4" t="s">
        <v>268</v>
      </c>
      <c r="G2301" s="4" t="s">
        <v>241</v>
      </c>
      <c r="H2301" s="4" t="s">
        <v>241</v>
      </c>
      <c r="I2301" s="4" t="s">
        <v>424</v>
      </c>
      <c r="J2301" s="4" t="s">
        <v>274</v>
      </c>
      <c r="K2301" s="4" t="s">
        <v>251</v>
      </c>
      <c r="L2301" s="4" t="s">
        <v>423</v>
      </c>
      <c r="M2301" s="5" t="s">
        <v>3226</v>
      </c>
      <c r="N2301" s="6">
        <f>352</f>
        <v>352</v>
      </c>
      <c r="O2301" s="4" t="s">
        <v>265</v>
      </c>
      <c r="P2301" s="6">
        <f>1</f>
        <v>1</v>
      </c>
      <c r="Q2301" s="6">
        <f>0</f>
        <v>0</v>
      </c>
      <c r="S2301" s="6">
        <f>0</f>
        <v>0</v>
      </c>
      <c r="T2301" s="6">
        <f>1</f>
        <v>1</v>
      </c>
      <c r="U2301" s="5" t="s">
        <v>245</v>
      </c>
      <c r="V2301" s="4" t="s">
        <v>270</v>
      </c>
      <c r="W2301" s="4" t="s">
        <v>271</v>
      </c>
      <c r="X2301" s="4" t="s">
        <v>273</v>
      </c>
      <c r="Y2301" s="4" t="s">
        <v>241</v>
      </c>
      <c r="AB2301" s="4" t="s">
        <v>241</v>
      </c>
      <c r="AD2301" s="5" t="s">
        <v>241</v>
      </c>
      <c r="AG2301" s="5" t="s">
        <v>246</v>
      </c>
      <c r="AH2301" s="4" t="s">
        <v>241</v>
      </c>
      <c r="AI2301" s="4" t="s">
        <v>247</v>
      </c>
      <c r="AJ2301" s="4" t="s">
        <v>248</v>
      </c>
      <c r="AZ2301" s="4" t="s">
        <v>249</v>
      </c>
      <c r="BA2301" s="4" t="s">
        <v>241</v>
      </c>
      <c r="BB2301" s="4" t="s">
        <v>250</v>
      </c>
      <c r="BC2301" s="4" t="s">
        <v>241</v>
      </c>
      <c r="BD2301" s="4" t="s">
        <v>252</v>
      </c>
      <c r="BE2301" s="4" t="s">
        <v>241</v>
      </c>
      <c r="BI2301" s="4" t="s">
        <v>253</v>
      </c>
      <c r="BJ2301" s="5" t="s">
        <v>246</v>
      </c>
      <c r="BK2301" s="4" t="s">
        <v>254</v>
      </c>
      <c r="BL2301" s="4" t="s">
        <v>255</v>
      </c>
      <c r="BM2301" s="4" t="s">
        <v>241</v>
      </c>
      <c r="BN2301" s="6">
        <f>0</f>
        <v>0</v>
      </c>
      <c r="BO2301" s="6">
        <f>0</f>
        <v>0</v>
      </c>
      <c r="BP2301" s="4" t="s">
        <v>256</v>
      </c>
      <c r="BQ2301" s="4" t="s">
        <v>257</v>
      </c>
      <c r="CE2301" s="4" t="s">
        <v>241</v>
      </c>
      <c r="CF2301" s="4" t="s">
        <v>241</v>
      </c>
      <c r="CJ2301" s="4" t="s">
        <v>276</v>
      </c>
      <c r="CK2301" s="4" t="s">
        <v>259</v>
      </c>
      <c r="CL2301" s="4" t="s">
        <v>241</v>
      </c>
      <c r="CO2301" s="5" t="s">
        <v>260</v>
      </c>
      <c r="CP2301" s="4" t="s">
        <v>241</v>
      </c>
      <c r="CQ2301" s="4" t="s">
        <v>261</v>
      </c>
      <c r="CR2301" s="4" t="s">
        <v>241</v>
      </c>
      <c r="CS2301" s="4" t="s">
        <v>241</v>
      </c>
      <c r="CT2301" s="4">
        <v>0</v>
      </c>
      <c r="CU2301" s="4" t="s">
        <v>262</v>
      </c>
      <c r="CV2301" s="4" t="s">
        <v>263</v>
      </c>
      <c r="CW2301" s="4" t="s">
        <v>263</v>
      </c>
      <c r="CX2301" s="4" t="s">
        <v>264</v>
      </c>
      <c r="DA2301" s="6">
        <f>1</f>
        <v>1</v>
      </c>
      <c r="DC2301" s="4" t="s">
        <v>325</v>
      </c>
      <c r="DD2301" s="4" t="s">
        <v>241</v>
      </c>
      <c r="DF2301" s="4" t="s">
        <v>325</v>
      </c>
      <c r="DG2301" s="6">
        <f>352</f>
        <v>352</v>
      </c>
      <c r="DI2301" s="4" t="s">
        <v>241</v>
      </c>
      <c r="DJ2301" s="4" t="s">
        <v>241</v>
      </c>
      <c r="DK2301" s="4" t="s">
        <v>241</v>
      </c>
      <c r="DL2301" s="4" t="s">
        <v>241</v>
      </c>
      <c r="DP2301" s="4" t="s">
        <v>241</v>
      </c>
      <c r="DQ2301" s="4" t="s">
        <v>241</v>
      </c>
      <c r="DR2301" s="4" t="s">
        <v>241</v>
      </c>
      <c r="DS2301" s="4" t="s">
        <v>241</v>
      </c>
      <c r="DV2301" s="4" t="s">
        <v>426</v>
      </c>
      <c r="DW2301" s="4" t="s">
        <v>3127</v>
      </c>
      <c r="HO2301" s="4" t="s">
        <v>267</v>
      </c>
    </row>
    <row r="2302" spans="1:223" ht="19.5" customHeight="1" x14ac:dyDescent="0.4">
      <c r="A2302" s="4">
        <v>1</v>
      </c>
      <c r="B2302" s="4" t="s">
        <v>239</v>
      </c>
      <c r="C2302" s="4">
        <v>4005</v>
      </c>
      <c r="D2302" s="4">
        <v>1</v>
      </c>
      <c r="E2302" s="4">
        <v>1</v>
      </c>
      <c r="F2302" s="4" t="s">
        <v>268</v>
      </c>
      <c r="G2302" s="4" t="s">
        <v>241</v>
      </c>
      <c r="H2302" s="4" t="s">
        <v>241</v>
      </c>
      <c r="I2302" s="4" t="s">
        <v>424</v>
      </c>
      <c r="J2302" s="4" t="s">
        <v>274</v>
      </c>
      <c r="K2302" s="4" t="s">
        <v>251</v>
      </c>
      <c r="L2302" s="4" t="s">
        <v>423</v>
      </c>
      <c r="M2302" s="5" t="s">
        <v>3228</v>
      </c>
      <c r="N2302" s="6">
        <f>409</f>
        <v>409</v>
      </c>
      <c r="O2302" s="4" t="s">
        <v>265</v>
      </c>
      <c r="P2302" s="6">
        <f>1</f>
        <v>1</v>
      </c>
      <c r="Q2302" s="6">
        <f>0</f>
        <v>0</v>
      </c>
      <c r="S2302" s="6">
        <f>0</f>
        <v>0</v>
      </c>
      <c r="T2302" s="6">
        <f>1</f>
        <v>1</v>
      </c>
      <c r="U2302" s="5" t="s">
        <v>245</v>
      </c>
      <c r="V2302" s="4" t="s">
        <v>270</v>
      </c>
      <c r="W2302" s="4" t="s">
        <v>271</v>
      </c>
      <c r="X2302" s="4" t="s">
        <v>273</v>
      </c>
      <c r="Y2302" s="4" t="s">
        <v>241</v>
      </c>
      <c r="AB2302" s="4" t="s">
        <v>241</v>
      </c>
      <c r="AD2302" s="5" t="s">
        <v>241</v>
      </c>
      <c r="AG2302" s="5" t="s">
        <v>246</v>
      </c>
      <c r="AH2302" s="4" t="s">
        <v>241</v>
      </c>
      <c r="AI2302" s="4" t="s">
        <v>247</v>
      </c>
      <c r="AJ2302" s="4" t="s">
        <v>248</v>
      </c>
      <c r="AZ2302" s="4" t="s">
        <v>249</v>
      </c>
      <c r="BA2302" s="4" t="s">
        <v>241</v>
      </c>
      <c r="BB2302" s="4" t="s">
        <v>250</v>
      </c>
      <c r="BC2302" s="4" t="s">
        <v>241</v>
      </c>
      <c r="BD2302" s="4" t="s">
        <v>252</v>
      </c>
      <c r="BE2302" s="4" t="s">
        <v>241</v>
      </c>
      <c r="BI2302" s="4" t="s">
        <v>253</v>
      </c>
      <c r="BJ2302" s="5" t="s">
        <v>246</v>
      </c>
      <c r="BK2302" s="4" t="s">
        <v>254</v>
      </c>
      <c r="BL2302" s="4" t="s">
        <v>255</v>
      </c>
      <c r="BM2302" s="4" t="s">
        <v>241</v>
      </c>
      <c r="BN2302" s="6">
        <f>0</f>
        <v>0</v>
      </c>
      <c r="BO2302" s="6">
        <f>0</f>
        <v>0</v>
      </c>
      <c r="BP2302" s="4" t="s">
        <v>256</v>
      </c>
      <c r="BQ2302" s="4" t="s">
        <v>257</v>
      </c>
      <c r="CE2302" s="4" t="s">
        <v>241</v>
      </c>
      <c r="CF2302" s="4" t="s">
        <v>241</v>
      </c>
      <c r="CJ2302" s="4" t="s">
        <v>276</v>
      </c>
      <c r="CK2302" s="4" t="s">
        <v>259</v>
      </c>
      <c r="CL2302" s="4" t="s">
        <v>241</v>
      </c>
      <c r="CO2302" s="5" t="s">
        <v>260</v>
      </c>
      <c r="CP2302" s="4" t="s">
        <v>241</v>
      </c>
      <c r="CQ2302" s="4" t="s">
        <v>261</v>
      </c>
      <c r="CR2302" s="4" t="s">
        <v>241</v>
      </c>
      <c r="CS2302" s="4" t="s">
        <v>241</v>
      </c>
      <c r="CT2302" s="4">
        <v>0</v>
      </c>
      <c r="CU2302" s="4" t="s">
        <v>262</v>
      </c>
      <c r="CV2302" s="4" t="s">
        <v>263</v>
      </c>
      <c r="CW2302" s="4" t="s">
        <v>263</v>
      </c>
      <c r="CX2302" s="4" t="s">
        <v>264</v>
      </c>
      <c r="DA2302" s="6">
        <f>1</f>
        <v>1</v>
      </c>
      <c r="DC2302" s="4" t="s">
        <v>325</v>
      </c>
      <c r="DD2302" s="4" t="s">
        <v>241</v>
      </c>
      <c r="DF2302" s="4" t="s">
        <v>325</v>
      </c>
      <c r="DG2302" s="6">
        <f>409</f>
        <v>409</v>
      </c>
      <c r="DI2302" s="4" t="s">
        <v>241</v>
      </c>
      <c r="DJ2302" s="4" t="s">
        <v>241</v>
      </c>
      <c r="DK2302" s="4" t="s">
        <v>241</v>
      </c>
      <c r="DL2302" s="4" t="s">
        <v>241</v>
      </c>
      <c r="DP2302" s="4" t="s">
        <v>241</v>
      </c>
      <c r="DQ2302" s="4" t="s">
        <v>241</v>
      </c>
      <c r="DR2302" s="4" t="s">
        <v>241</v>
      </c>
      <c r="DS2302" s="4" t="s">
        <v>241</v>
      </c>
      <c r="DV2302" s="4" t="s">
        <v>426</v>
      </c>
      <c r="DW2302" s="4" t="s">
        <v>3125</v>
      </c>
      <c r="HO2302" s="4" t="s">
        <v>267</v>
      </c>
    </row>
    <row r="2303" spans="1:223" ht="19.5" customHeight="1" x14ac:dyDescent="0.4">
      <c r="A2303" s="4">
        <v>1</v>
      </c>
      <c r="B2303" s="4" t="s">
        <v>239</v>
      </c>
      <c r="C2303" s="4">
        <v>4006</v>
      </c>
      <c r="D2303" s="4">
        <v>1</v>
      </c>
      <c r="E2303" s="4">
        <v>1</v>
      </c>
      <c r="F2303" s="4" t="s">
        <v>268</v>
      </c>
      <c r="G2303" s="4" t="s">
        <v>241</v>
      </c>
      <c r="H2303" s="4" t="s">
        <v>241</v>
      </c>
      <c r="I2303" s="4" t="s">
        <v>424</v>
      </c>
      <c r="J2303" s="4" t="s">
        <v>274</v>
      </c>
      <c r="K2303" s="4" t="s">
        <v>251</v>
      </c>
      <c r="L2303" s="4" t="s">
        <v>423</v>
      </c>
      <c r="M2303" s="5" t="s">
        <v>3230</v>
      </c>
      <c r="N2303" s="6">
        <f>432</f>
        <v>432</v>
      </c>
      <c r="O2303" s="4" t="s">
        <v>265</v>
      </c>
      <c r="P2303" s="6">
        <f>1</f>
        <v>1</v>
      </c>
      <c r="Q2303" s="6">
        <f>0</f>
        <v>0</v>
      </c>
      <c r="S2303" s="6">
        <f>0</f>
        <v>0</v>
      </c>
      <c r="T2303" s="6">
        <f>1</f>
        <v>1</v>
      </c>
      <c r="U2303" s="5" t="s">
        <v>245</v>
      </c>
      <c r="V2303" s="4" t="s">
        <v>270</v>
      </c>
      <c r="W2303" s="4" t="s">
        <v>271</v>
      </c>
      <c r="X2303" s="4" t="s">
        <v>273</v>
      </c>
      <c r="Y2303" s="4" t="s">
        <v>241</v>
      </c>
      <c r="AB2303" s="4" t="s">
        <v>241</v>
      </c>
      <c r="AD2303" s="5" t="s">
        <v>241</v>
      </c>
      <c r="AG2303" s="5" t="s">
        <v>246</v>
      </c>
      <c r="AH2303" s="4" t="s">
        <v>241</v>
      </c>
      <c r="AI2303" s="4" t="s">
        <v>247</v>
      </c>
      <c r="AJ2303" s="4" t="s">
        <v>248</v>
      </c>
      <c r="AZ2303" s="4" t="s">
        <v>249</v>
      </c>
      <c r="BA2303" s="4" t="s">
        <v>241</v>
      </c>
      <c r="BB2303" s="4" t="s">
        <v>250</v>
      </c>
      <c r="BC2303" s="4" t="s">
        <v>241</v>
      </c>
      <c r="BD2303" s="4" t="s">
        <v>252</v>
      </c>
      <c r="BE2303" s="4" t="s">
        <v>241</v>
      </c>
      <c r="BI2303" s="4" t="s">
        <v>253</v>
      </c>
      <c r="BJ2303" s="5" t="s">
        <v>246</v>
      </c>
      <c r="BK2303" s="4" t="s">
        <v>254</v>
      </c>
      <c r="BL2303" s="4" t="s">
        <v>255</v>
      </c>
      <c r="BM2303" s="4" t="s">
        <v>241</v>
      </c>
      <c r="BN2303" s="6">
        <f>0</f>
        <v>0</v>
      </c>
      <c r="BO2303" s="6">
        <f>0</f>
        <v>0</v>
      </c>
      <c r="BP2303" s="4" t="s">
        <v>256</v>
      </c>
      <c r="BQ2303" s="4" t="s">
        <v>257</v>
      </c>
      <c r="CE2303" s="4" t="s">
        <v>241</v>
      </c>
      <c r="CF2303" s="4" t="s">
        <v>241</v>
      </c>
      <c r="CJ2303" s="4" t="s">
        <v>276</v>
      </c>
      <c r="CK2303" s="4" t="s">
        <v>259</v>
      </c>
      <c r="CL2303" s="4" t="s">
        <v>241</v>
      </c>
      <c r="CO2303" s="5" t="s">
        <v>260</v>
      </c>
      <c r="CP2303" s="4" t="s">
        <v>241</v>
      </c>
      <c r="CQ2303" s="4" t="s">
        <v>261</v>
      </c>
      <c r="CR2303" s="4" t="s">
        <v>241</v>
      </c>
      <c r="CS2303" s="4" t="s">
        <v>241</v>
      </c>
      <c r="CT2303" s="4">
        <v>0</v>
      </c>
      <c r="CU2303" s="4" t="s">
        <v>262</v>
      </c>
      <c r="CV2303" s="4" t="s">
        <v>263</v>
      </c>
      <c r="CW2303" s="4" t="s">
        <v>263</v>
      </c>
      <c r="CX2303" s="4" t="s">
        <v>264</v>
      </c>
      <c r="DA2303" s="6">
        <f>1</f>
        <v>1</v>
      </c>
      <c r="DC2303" s="4" t="s">
        <v>325</v>
      </c>
      <c r="DD2303" s="4" t="s">
        <v>241</v>
      </c>
      <c r="DF2303" s="4" t="s">
        <v>325</v>
      </c>
      <c r="DG2303" s="6">
        <f>432</f>
        <v>432</v>
      </c>
      <c r="DI2303" s="4" t="s">
        <v>241</v>
      </c>
      <c r="DJ2303" s="4" t="s">
        <v>241</v>
      </c>
      <c r="DK2303" s="4" t="s">
        <v>241</v>
      </c>
      <c r="DL2303" s="4" t="s">
        <v>241</v>
      </c>
      <c r="DP2303" s="4" t="s">
        <v>241</v>
      </c>
      <c r="DQ2303" s="4" t="s">
        <v>241</v>
      </c>
      <c r="DR2303" s="4" t="s">
        <v>241</v>
      </c>
      <c r="DS2303" s="4" t="s">
        <v>241</v>
      </c>
      <c r="DV2303" s="4" t="s">
        <v>426</v>
      </c>
      <c r="DW2303" s="4" t="s">
        <v>3123</v>
      </c>
      <c r="HO2303" s="4" t="s">
        <v>267</v>
      </c>
    </row>
    <row r="2304" spans="1:223" ht="19.5" customHeight="1" x14ac:dyDescent="0.4">
      <c r="A2304" s="4">
        <v>1</v>
      </c>
      <c r="B2304" s="4" t="s">
        <v>239</v>
      </c>
      <c r="C2304" s="4">
        <v>4007</v>
      </c>
      <c r="D2304" s="4">
        <v>1</v>
      </c>
      <c r="E2304" s="4">
        <v>1</v>
      </c>
      <c r="F2304" s="4" t="s">
        <v>268</v>
      </c>
      <c r="G2304" s="4" t="s">
        <v>241</v>
      </c>
      <c r="H2304" s="4" t="s">
        <v>241</v>
      </c>
      <c r="I2304" s="4" t="s">
        <v>424</v>
      </c>
      <c r="J2304" s="4" t="s">
        <v>274</v>
      </c>
      <c r="K2304" s="4" t="s">
        <v>251</v>
      </c>
      <c r="L2304" s="4" t="s">
        <v>423</v>
      </c>
      <c r="M2304" s="5" t="s">
        <v>3231</v>
      </c>
      <c r="N2304" s="6">
        <f>829</f>
        <v>829</v>
      </c>
      <c r="O2304" s="4" t="s">
        <v>265</v>
      </c>
      <c r="P2304" s="6">
        <f>1</f>
        <v>1</v>
      </c>
      <c r="Q2304" s="6">
        <f>0</f>
        <v>0</v>
      </c>
      <c r="S2304" s="6">
        <f>0</f>
        <v>0</v>
      </c>
      <c r="T2304" s="6">
        <f>1</f>
        <v>1</v>
      </c>
      <c r="U2304" s="5" t="s">
        <v>245</v>
      </c>
      <c r="V2304" s="4" t="s">
        <v>270</v>
      </c>
      <c r="W2304" s="4" t="s">
        <v>271</v>
      </c>
      <c r="X2304" s="4" t="s">
        <v>273</v>
      </c>
      <c r="Y2304" s="4" t="s">
        <v>241</v>
      </c>
      <c r="AB2304" s="4" t="s">
        <v>241</v>
      </c>
      <c r="AD2304" s="5" t="s">
        <v>241</v>
      </c>
      <c r="AG2304" s="5" t="s">
        <v>246</v>
      </c>
      <c r="AH2304" s="4" t="s">
        <v>241</v>
      </c>
      <c r="AI2304" s="4" t="s">
        <v>247</v>
      </c>
      <c r="AJ2304" s="4" t="s">
        <v>248</v>
      </c>
      <c r="AZ2304" s="4" t="s">
        <v>249</v>
      </c>
      <c r="BA2304" s="4" t="s">
        <v>241</v>
      </c>
      <c r="BB2304" s="4" t="s">
        <v>250</v>
      </c>
      <c r="BC2304" s="4" t="s">
        <v>241</v>
      </c>
      <c r="BD2304" s="4" t="s">
        <v>252</v>
      </c>
      <c r="BE2304" s="4" t="s">
        <v>241</v>
      </c>
      <c r="BI2304" s="4" t="s">
        <v>253</v>
      </c>
      <c r="BJ2304" s="5" t="s">
        <v>246</v>
      </c>
      <c r="BK2304" s="4" t="s">
        <v>254</v>
      </c>
      <c r="BL2304" s="4" t="s">
        <v>255</v>
      </c>
      <c r="BM2304" s="4" t="s">
        <v>241</v>
      </c>
      <c r="BN2304" s="6">
        <f>0</f>
        <v>0</v>
      </c>
      <c r="BO2304" s="6">
        <f>0</f>
        <v>0</v>
      </c>
      <c r="BP2304" s="4" t="s">
        <v>256</v>
      </c>
      <c r="BQ2304" s="4" t="s">
        <v>257</v>
      </c>
      <c r="CE2304" s="4" t="s">
        <v>241</v>
      </c>
      <c r="CF2304" s="4" t="s">
        <v>241</v>
      </c>
      <c r="CJ2304" s="4" t="s">
        <v>276</v>
      </c>
      <c r="CK2304" s="4" t="s">
        <v>259</v>
      </c>
      <c r="CL2304" s="4" t="s">
        <v>241</v>
      </c>
      <c r="CO2304" s="5" t="s">
        <v>260</v>
      </c>
      <c r="CP2304" s="4" t="s">
        <v>241</v>
      </c>
      <c r="CQ2304" s="4" t="s">
        <v>261</v>
      </c>
      <c r="CR2304" s="4" t="s">
        <v>241</v>
      </c>
      <c r="CS2304" s="4" t="s">
        <v>241</v>
      </c>
      <c r="CT2304" s="4">
        <v>0</v>
      </c>
      <c r="CU2304" s="4" t="s">
        <v>262</v>
      </c>
      <c r="CV2304" s="4" t="s">
        <v>263</v>
      </c>
      <c r="CW2304" s="4" t="s">
        <v>263</v>
      </c>
      <c r="CX2304" s="4" t="s">
        <v>264</v>
      </c>
      <c r="DA2304" s="6">
        <f>1</f>
        <v>1</v>
      </c>
      <c r="DC2304" s="4" t="s">
        <v>325</v>
      </c>
      <c r="DD2304" s="4" t="s">
        <v>241</v>
      </c>
      <c r="DF2304" s="4" t="s">
        <v>325</v>
      </c>
      <c r="DG2304" s="6">
        <f>829</f>
        <v>829</v>
      </c>
      <c r="DI2304" s="4" t="s">
        <v>241</v>
      </c>
      <c r="DJ2304" s="4" t="s">
        <v>241</v>
      </c>
      <c r="DK2304" s="4" t="s">
        <v>241</v>
      </c>
      <c r="DL2304" s="4" t="s">
        <v>241</v>
      </c>
      <c r="DP2304" s="4" t="s">
        <v>241</v>
      </c>
      <c r="DQ2304" s="4" t="s">
        <v>241</v>
      </c>
      <c r="DR2304" s="4" t="s">
        <v>241</v>
      </c>
      <c r="DS2304" s="4" t="s">
        <v>241</v>
      </c>
      <c r="DV2304" s="4" t="s">
        <v>426</v>
      </c>
      <c r="DW2304" s="4" t="s">
        <v>3121</v>
      </c>
      <c r="HO2304" s="4" t="s">
        <v>267</v>
      </c>
    </row>
    <row r="2305" spans="1:223" ht="19.5" customHeight="1" x14ac:dyDescent="0.4">
      <c r="A2305" s="4">
        <v>1</v>
      </c>
      <c r="B2305" s="4" t="s">
        <v>239</v>
      </c>
      <c r="C2305" s="4">
        <v>4008</v>
      </c>
      <c r="D2305" s="4">
        <v>1</v>
      </c>
      <c r="E2305" s="4">
        <v>1</v>
      </c>
      <c r="F2305" s="4" t="s">
        <v>268</v>
      </c>
      <c r="G2305" s="4" t="s">
        <v>241</v>
      </c>
      <c r="H2305" s="4" t="s">
        <v>241</v>
      </c>
      <c r="I2305" s="4" t="s">
        <v>424</v>
      </c>
      <c r="J2305" s="4" t="s">
        <v>274</v>
      </c>
      <c r="K2305" s="4" t="s">
        <v>251</v>
      </c>
      <c r="L2305" s="4" t="s">
        <v>423</v>
      </c>
      <c r="M2305" s="5" t="s">
        <v>3233</v>
      </c>
      <c r="N2305" s="6">
        <f>640</f>
        <v>640</v>
      </c>
      <c r="O2305" s="4" t="s">
        <v>265</v>
      </c>
      <c r="P2305" s="6">
        <f>1</f>
        <v>1</v>
      </c>
      <c r="Q2305" s="6">
        <f>0</f>
        <v>0</v>
      </c>
      <c r="S2305" s="6">
        <f>0</f>
        <v>0</v>
      </c>
      <c r="T2305" s="6">
        <f>1</f>
        <v>1</v>
      </c>
      <c r="U2305" s="5" t="s">
        <v>245</v>
      </c>
      <c r="V2305" s="4" t="s">
        <v>270</v>
      </c>
      <c r="W2305" s="4" t="s">
        <v>271</v>
      </c>
      <c r="X2305" s="4" t="s">
        <v>273</v>
      </c>
      <c r="Y2305" s="4" t="s">
        <v>241</v>
      </c>
      <c r="AB2305" s="4" t="s">
        <v>241</v>
      </c>
      <c r="AD2305" s="5" t="s">
        <v>241</v>
      </c>
      <c r="AG2305" s="5" t="s">
        <v>246</v>
      </c>
      <c r="AH2305" s="4" t="s">
        <v>241</v>
      </c>
      <c r="AI2305" s="4" t="s">
        <v>247</v>
      </c>
      <c r="AJ2305" s="4" t="s">
        <v>248</v>
      </c>
      <c r="AZ2305" s="4" t="s">
        <v>249</v>
      </c>
      <c r="BA2305" s="4" t="s">
        <v>241</v>
      </c>
      <c r="BB2305" s="4" t="s">
        <v>250</v>
      </c>
      <c r="BC2305" s="4" t="s">
        <v>241</v>
      </c>
      <c r="BD2305" s="4" t="s">
        <v>252</v>
      </c>
      <c r="BE2305" s="4" t="s">
        <v>241</v>
      </c>
      <c r="BI2305" s="4" t="s">
        <v>253</v>
      </c>
      <c r="BJ2305" s="5" t="s">
        <v>246</v>
      </c>
      <c r="BK2305" s="4" t="s">
        <v>254</v>
      </c>
      <c r="BL2305" s="4" t="s">
        <v>255</v>
      </c>
      <c r="BM2305" s="4" t="s">
        <v>241</v>
      </c>
      <c r="BN2305" s="6">
        <f>0</f>
        <v>0</v>
      </c>
      <c r="BO2305" s="6">
        <f>0</f>
        <v>0</v>
      </c>
      <c r="BP2305" s="4" t="s">
        <v>256</v>
      </c>
      <c r="BQ2305" s="4" t="s">
        <v>257</v>
      </c>
      <c r="CE2305" s="4" t="s">
        <v>241</v>
      </c>
      <c r="CF2305" s="4" t="s">
        <v>241</v>
      </c>
      <c r="CJ2305" s="4" t="s">
        <v>276</v>
      </c>
      <c r="CK2305" s="4" t="s">
        <v>259</v>
      </c>
      <c r="CL2305" s="4" t="s">
        <v>241</v>
      </c>
      <c r="CO2305" s="5" t="s">
        <v>260</v>
      </c>
      <c r="CP2305" s="4" t="s">
        <v>241</v>
      </c>
      <c r="CQ2305" s="4" t="s">
        <v>261</v>
      </c>
      <c r="CR2305" s="4" t="s">
        <v>241</v>
      </c>
      <c r="CS2305" s="4" t="s">
        <v>241</v>
      </c>
      <c r="CT2305" s="4">
        <v>0</v>
      </c>
      <c r="CU2305" s="4" t="s">
        <v>262</v>
      </c>
      <c r="CV2305" s="4" t="s">
        <v>263</v>
      </c>
      <c r="CW2305" s="4" t="s">
        <v>263</v>
      </c>
      <c r="CX2305" s="4" t="s">
        <v>264</v>
      </c>
      <c r="DA2305" s="6">
        <f>1</f>
        <v>1</v>
      </c>
      <c r="DC2305" s="4" t="s">
        <v>325</v>
      </c>
      <c r="DD2305" s="4" t="s">
        <v>241</v>
      </c>
      <c r="DF2305" s="4" t="s">
        <v>325</v>
      </c>
      <c r="DG2305" s="6">
        <f>640</f>
        <v>640</v>
      </c>
      <c r="DI2305" s="4" t="s">
        <v>241</v>
      </c>
      <c r="DJ2305" s="4" t="s">
        <v>241</v>
      </c>
      <c r="DK2305" s="4" t="s">
        <v>241</v>
      </c>
      <c r="DL2305" s="4" t="s">
        <v>241</v>
      </c>
      <c r="DP2305" s="4" t="s">
        <v>241</v>
      </c>
      <c r="DQ2305" s="4" t="s">
        <v>241</v>
      </c>
      <c r="DR2305" s="4" t="s">
        <v>241</v>
      </c>
      <c r="DS2305" s="4" t="s">
        <v>241</v>
      </c>
      <c r="DV2305" s="4" t="s">
        <v>426</v>
      </c>
      <c r="DW2305" s="4" t="s">
        <v>3119</v>
      </c>
      <c r="HO2305" s="4" t="s">
        <v>267</v>
      </c>
    </row>
    <row r="2306" spans="1:223" ht="19.5" customHeight="1" x14ac:dyDescent="0.4">
      <c r="A2306" s="4">
        <v>1</v>
      </c>
      <c r="B2306" s="4" t="s">
        <v>239</v>
      </c>
      <c r="C2306" s="4">
        <v>4009</v>
      </c>
      <c r="D2306" s="4">
        <v>1</v>
      </c>
      <c r="E2306" s="4">
        <v>1</v>
      </c>
      <c r="F2306" s="4" t="s">
        <v>268</v>
      </c>
      <c r="G2306" s="4" t="s">
        <v>241</v>
      </c>
      <c r="H2306" s="4" t="s">
        <v>241</v>
      </c>
      <c r="I2306" s="4" t="s">
        <v>424</v>
      </c>
      <c r="J2306" s="4" t="s">
        <v>274</v>
      </c>
      <c r="K2306" s="4" t="s">
        <v>251</v>
      </c>
      <c r="L2306" s="4" t="s">
        <v>423</v>
      </c>
      <c r="M2306" s="5" t="s">
        <v>3236</v>
      </c>
      <c r="N2306" s="6">
        <f>349</f>
        <v>349</v>
      </c>
      <c r="O2306" s="4" t="s">
        <v>265</v>
      </c>
      <c r="P2306" s="6">
        <f>1</f>
        <v>1</v>
      </c>
      <c r="Q2306" s="6">
        <f>0</f>
        <v>0</v>
      </c>
      <c r="S2306" s="6">
        <f>0</f>
        <v>0</v>
      </c>
      <c r="T2306" s="6">
        <f>1</f>
        <v>1</v>
      </c>
      <c r="U2306" s="5" t="s">
        <v>245</v>
      </c>
      <c r="V2306" s="4" t="s">
        <v>270</v>
      </c>
      <c r="W2306" s="4" t="s">
        <v>271</v>
      </c>
      <c r="X2306" s="4" t="s">
        <v>273</v>
      </c>
      <c r="Y2306" s="4" t="s">
        <v>241</v>
      </c>
      <c r="AB2306" s="4" t="s">
        <v>241</v>
      </c>
      <c r="AD2306" s="5" t="s">
        <v>241</v>
      </c>
      <c r="AG2306" s="5" t="s">
        <v>246</v>
      </c>
      <c r="AH2306" s="4" t="s">
        <v>241</v>
      </c>
      <c r="AI2306" s="4" t="s">
        <v>247</v>
      </c>
      <c r="AJ2306" s="4" t="s">
        <v>248</v>
      </c>
      <c r="AZ2306" s="4" t="s">
        <v>249</v>
      </c>
      <c r="BA2306" s="4" t="s">
        <v>241</v>
      </c>
      <c r="BB2306" s="4" t="s">
        <v>250</v>
      </c>
      <c r="BC2306" s="4" t="s">
        <v>241</v>
      </c>
      <c r="BD2306" s="4" t="s">
        <v>252</v>
      </c>
      <c r="BE2306" s="4" t="s">
        <v>241</v>
      </c>
      <c r="BI2306" s="4" t="s">
        <v>253</v>
      </c>
      <c r="BJ2306" s="5" t="s">
        <v>246</v>
      </c>
      <c r="BK2306" s="4" t="s">
        <v>254</v>
      </c>
      <c r="BL2306" s="4" t="s">
        <v>255</v>
      </c>
      <c r="BM2306" s="4" t="s">
        <v>241</v>
      </c>
      <c r="BN2306" s="6">
        <f>0</f>
        <v>0</v>
      </c>
      <c r="BO2306" s="6">
        <f>0</f>
        <v>0</v>
      </c>
      <c r="BP2306" s="4" t="s">
        <v>256</v>
      </c>
      <c r="BQ2306" s="4" t="s">
        <v>257</v>
      </c>
      <c r="CE2306" s="4" t="s">
        <v>241</v>
      </c>
      <c r="CF2306" s="4" t="s">
        <v>241</v>
      </c>
      <c r="CJ2306" s="4" t="s">
        <v>276</v>
      </c>
      <c r="CK2306" s="4" t="s">
        <v>259</v>
      </c>
      <c r="CL2306" s="4" t="s">
        <v>241</v>
      </c>
      <c r="CO2306" s="5" t="s">
        <v>260</v>
      </c>
      <c r="CP2306" s="4" t="s">
        <v>241</v>
      </c>
      <c r="CQ2306" s="4" t="s">
        <v>261</v>
      </c>
      <c r="CR2306" s="4" t="s">
        <v>241</v>
      </c>
      <c r="CS2306" s="4" t="s">
        <v>241</v>
      </c>
      <c r="CT2306" s="4">
        <v>0</v>
      </c>
      <c r="CU2306" s="4" t="s">
        <v>262</v>
      </c>
      <c r="CV2306" s="4" t="s">
        <v>263</v>
      </c>
      <c r="CW2306" s="4" t="s">
        <v>263</v>
      </c>
      <c r="CX2306" s="4" t="s">
        <v>264</v>
      </c>
      <c r="DA2306" s="6">
        <f>1</f>
        <v>1</v>
      </c>
      <c r="DC2306" s="4" t="s">
        <v>325</v>
      </c>
      <c r="DD2306" s="4" t="s">
        <v>241</v>
      </c>
      <c r="DF2306" s="4" t="s">
        <v>325</v>
      </c>
      <c r="DG2306" s="6">
        <f>349</f>
        <v>349</v>
      </c>
      <c r="DI2306" s="4" t="s">
        <v>241</v>
      </c>
      <c r="DJ2306" s="4" t="s">
        <v>241</v>
      </c>
      <c r="DK2306" s="4" t="s">
        <v>241</v>
      </c>
      <c r="DL2306" s="4" t="s">
        <v>241</v>
      </c>
      <c r="DP2306" s="4" t="s">
        <v>241</v>
      </c>
      <c r="DQ2306" s="4" t="s">
        <v>241</v>
      </c>
      <c r="DR2306" s="4" t="s">
        <v>241</v>
      </c>
      <c r="DS2306" s="4" t="s">
        <v>241</v>
      </c>
      <c r="DV2306" s="4" t="s">
        <v>426</v>
      </c>
      <c r="DW2306" s="4" t="s">
        <v>3117</v>
      </c>
      <c r="HO2306" s="4" t="s">
        <v>267</v>
      </c>
    </row>
    <row r="2307" spans="1:223" ht="19.5" customHeight="1" x14ac:dyDescent="0.4">
      <c r="A2307" s="4">
        <v>1</v>
      </c>
      <c r="B2307" s="4" t="s">
        <v>239</v>
      </c>
      <c r="C2307" s="4">
        <v>4010</v>
      </c>
      <c r="D2307" s="4">
        <v>1</v>
      </c>
      <c r="E2307" s="4">
        <v>1</v>
      </c>
      <c r="F2307" s="4" t="s">
        <v>268</v>
      </c>
      <c r="G2307" s="4" t="s">
        <v>241</v>
      </c>
      <c r="H2307" s="4" t="s">
        <v>241</v>
      </c>
      <c r="I2307" s="4" t="s">
        <v>424</v>
      </c>
      <c r="J2307" s="4" t="s">
        <v>274</v>
      </c>
      <c r="K2307" s="4" t="s">
        <v>251</v>
      </c>
      <c r="L2307" s="4" t="s">
        <v>423</v>
      </c>
      <c r="M2307" s="5" t="s">
        <v>4585</v>
      </c>
      <c r="N2307" s="6">
        <f>767</f>
        <v>767</v>
      </c>
      <c r="O2307" s="4" t="s">
        <v>265</v>
      </c>
      <c r="P2307" s="6">
        <f>1</f>
        <v>1</v>
      </c>
      <c r="Q2307" s="6">
        <f>0</f>
        <v>0</v>
      </c>
      <c r="S2307" s="6">
        <f>0</f>
        <v>0</v>
      </c>
      <c r="T2307" s="6">
        <f>1</f>
        <v>1</v>
      </c>
      <c r="U2307" s="5" t="s">
        <v>245</v>
      </c>
      <c r="V2307" s="4" t="s">
        <v>270</v>
      </c>
      <c r="W2307" s="4" t="s">
        <v>271</v>
      </c>
      <c r="X2307" s="4" t="s">
        <v>273</v>
      </c>
      <c r="Y2307" s="4" t="s">
        <v>241</v>
      </c>
      <c r="AB2307" s="4" t="s">
        <v>241</v>
      </c>
      <c r="AD2307" s="5" t="s">
        <v>241</v>
      </c>
      <c r="AG2307" s="5" t="s">
        <v>246</v>
      </c>
      <c r="AH2307" s="4" t="s">
        <v>241</v>
      </c>
      <c r="AI2307" s="4" t="s">
        <v>247</v>
      </c>
      <c r="AJ2307" s="4" t="s">
        <v>248</v>
      </c>
      <c r="AZ2307" s="4" t="s">
        <v>249</v>
      </c>
      <c r="BA2307" s="4" t="s">
        <v>241</v>
      </c>
      <c r="BB2307" s="4" t="s">
        <v>250</v>
      </c>
      <c r="BC2307" s="4" t="s">
        <v>241</v>
      </c>
      <c r="BD2307" s="4" t="s">
        <v>252</v>
      </c>
      <c r="BE2307" s="4" t="s">
        <v>241</v>
      </c>
      <c r="BI2307" s="4" t="s">
        <v>253</v>
      </c>
      <c r="BJ2307" s="5" t="s">
        <v>246</v>
      </c>
      <c r="BK2307" s="4" t="s">
        <v>254</v>
      </c>
      <c r="BL2307" s="4" t="s">
        <v>255</v>
      </c>
      <c r="BM2307" s="4" t="s">
        <v>241</v>
      </c>
      <c r="BN2307" s="6">
        <f>0</f>
        <v>0</v>
      </c>
      <c r="BO2307" s="6">
        <f>0</f>
        <v>0</v>
      </c>
      <c r="BP2307" s="4" t="s">
        <v>256</v>
      </c>
      <c r="BQ2307" s="4" t="s">
        <v>257</v>
      </c>
      <c r="CE2307" s="4" t="s">
        <v>241</v>
      </c>
      <c r="CF2307" s="4" t="s">
        <v>241</v>
      </c>
      <c r="CJ2307" s="4" t="s">
        <v>276</v>
      </c>
      <c r="CK2307" s="4" t="s">
        <v>259</v>
      </c>
      <c r="CL2307" s="4" t="s">
        <v>241</v>
      </c>
      <c r="CO2307" s="5" t="s">
        <v>260</v>
      </c>
      <c r="CP2307" s="4" t="s">
        <v>241</v>
      </c>
      <c r="CQ2307" s="4" t="s">
        <v>261</v>
      </c>
      <c r="CR2307" s="4" t="s">
        <v>241</v>
      </c>
      <c r="CS2307" s="4" t="s">
        <v>241</v>
      </c>
      <c r="CT2307" s="4">
        <v>0</v>
      </c>
      <c r="CU2307" s="4" t="s">
        <v>262</v>
      </c>
      <c r="CV2307" s="4" t="s">
        <v>263</v>
      </c>
      <c r="CW2307" s="4" t="s">
        <v>263</v>
      </c>
      <c r="CX2307" s="4" t="s">
        <v>264</v>
      </c>
      <c r="DA2307" s="6">
        <f>1</f>
        <v>1</v>
      </c>
      <c r="DC2307" s="4" t="s">
        <v>325</v>
      </c>
      <c r="DD2307" s="4" t="s">
        <v>241</v>
      </c>
      <c r="DF2307" s="4" t="s">
        <v>325</v>
      </c>
      <c r="DG2307" s="6">
        <f>767</f>
        <v>767</v>
      </c>
      <c r="DI2307" s="4" t="s">
        <v>241</v>
      </c>
      <c r="DJ2307" s="4" t="s">
        <v>241</v>
      </c>
      <c r="DK2307" s="4" t="s">
        <v>241</v>
      </c>
      <c r="DL2307" s="4" t="s">
        <v>241</v>
      </c>
      <c r="DP2307" s="4" t="s">
        <v>241</v>
      </c>
      <c r="DQ2307" s="4" t="s">
        <v>241</v>
      </c>
      <c r="DR2307" s="4" t="s">
        <v>241</v>
      </c>
      <c r="DS2307" s="4" t="s">
        <v>241</v>
      </c>
      <c r="DV2307" s="4" t="s">
        <v>426</v>
      </c>
      <c r="DW2307" s="4" t="s">
        <v>3115</v>
      </c>
      <c r="HO2307" s="4" t="s">
        <v>267</v>
      </c>
    </row>
    <row r="2308" spans="1:223" ht="19.5" customHeight="1" x14ac:dyDescent="0.4">
      <c r="A2308" s="4">
        <v>1</v>
      </c>
      <c r="B2308" s="4" t="s">
        <v>239</v>
      </c>
      <c r="C2308" s="4">
        <v>4011</v>
      </c>
      <c r="D2308" s="4">
        <v>1</v>
      </c>
      <c r="E2308" s="4">
        <v>1</v>
      </c>
      <c r="F2308" s="4" t="s">
        <v>268</v>
      </c>
      <c r="G2308" s="4" t="s">
        <v>241</v>
      </c>
      <c r="H2308" s="4" t="s">
        <v>241</v>
      </c>
      <c r="I2308" s="4" t="s">
        <v>424</v>
      </c>
      <c r="J2308" s="4" t="s">
        <v>274</v>
      </c>
      <c r="K2308" s="4" t="s">
        <v>251</v>
      </c>
      <c r="L2308" s="4" t="s">
        <v>423</v>
      </c>
      <c r="M2308" s="5" t="s">
        <v>3239</v>
      </c>
      <c r="N2308" s="6">
        <f>2666</f>
        <v>2666</v>
      </c>
      <c r="O2308" s="4" t="s">
        <v>265</v>
      </c>
      <c r="P2308" s="6">
        <f>1</f>
        <v>1</v>
      </c>
      <c r="Q2308" s="6">
        <f>0</f>
        <v>0</v>
      </c>
      <c r="S2308" s="6">
        <f>0</f>
        <v>0</v>
      </c>
      <c r="T2308" s="6">
        <f>1</f>
        <v>1</v>
      </c>
      <c r="U2308" s="5" t="s">
        <v>245</v>
      </c>
      <c r="V2308" s="4" t="s">
        <v>270</v>
      </c>
      <c r="W2308" s="4" t="s">
        <v>271</v>
      </c>
      <c r="X2308" s="4" t="s">
        <v>273</v>
      </c>
      <c r="Y2308" s="4" t="s">
        <v>241</v>
      </c>
      <c r="AB2308" s="4" t="s">
        <v>241</v>
      </c>
      <c r="AD2308" s="5" t="s">
        <v>241</v>
      </c>
      <c r="AG2308" s="5" t="s">
        <v>246</v>
      </c>
      <c r="AH2308" s="4" t="s">
        <v>241</v>
      </c>
      <c r="AI2308" s="4" t="s">
        <v>247</v>
      </c>
      <c r="AJ2308" s="4" t="s">
        <v>248</v>
      </c>
      <c r="AZ2308" s="4" t="s">
        <v>249</v>
      </c>
      <c r="BA2308" s="4" t="s">
        <v>241</v>
      </c>
      <c r="BB2308" s="4" t="s">
        <v>250</v>
      </c>
      <c r="BC2308" s="4" t="s">
        <v>241</v>
      </c>
      <c r="BD2308" s="4" t="s">
        <v>252</v>
      </c>
      <c r="BE2308" s="4" t="s">
        <v>241</v>
      </c>
      <c r="BI2308" s="4" t="s">
        <v>253</v>
      </c>
      <c r="BJ2308" s="5" t="s">
        <v>246</v>
      </c>
      <c r="BK2308" s="4" t="s">
        <v>254</v>
      </c>
      <c r="BL2308" s="4" t="s">
        <v>255</v>
      </c>
      <c r="BM2308" s="4" t="s">
        <v>241</v>
      </c>
      <c r="BN2308" s="6">
        <f>0</f>
        <v>0</v>
      </c>
      <c r="BO2308" s="6">
        <f>0</f>
        <v>0</v>
      </c>
      <c r="BP2308" s="4" t="s">
        <v>256</v>
      </c>
      <c r="BQ2308" s="4" t="s">
        <v>257</v>
      </c>
      <c r="CE2308" s="4" t="s">
        <v>241</v>
      </c>
      <c r="CF2308" s="4" t="s">
        <v>241</v>
      </c>
      <c r="CJ2308" s="4" t="s">
        <v>276</v>
      </c>
      <c r="CK2308" s="4" t="s">
        <v>259</v>
      </c>
      <c r="CL2308" s="4" t="s">
        <v>241</v>
      </c>
      <c r="CO2308" s="5" t="s">
        <v>260</v>
      </c>
      <c r="CP2308" s="4" t="s">
        <v>241</v>
      </c>
      <c r="CQ2308" s="4" t="s">
        <v>261</v>
      </c>
      <c r="CR2308" s="4" t="s">
        <v>241</v>
      </c>
      <c r="CS2308" s="4" t="s">
        <v>241</v>
      </c>
      <c r="CT2308" s="4">
        <v>0</v>
      </c>
      <c r="CU2308" s="4" t="s">
        <v>262</v>
      </c>
      <c r="CV2308" s="4" t="s">
        <v>263</v>
      </c>
      <c r="CW2308" s="4" t="s">
        <v>263</v>
      </c>
      <c r="CX2308" s="4" t="s">
        <v>264</v>
      </c>
      <c r="DA2308" s="6">
        <f>1</f>
        <v>1</v>
      </c>
      <c r="DC2308" s="4" t="s">
        <v>325</v>
      </c>
      <c r="DD2308" s="4" t="s">
        <v>241</v>
      </c>
      <c r="DF2308" s="4" t="s">
        <v>325</v>
      </c>
      <c r="DG2308" s="6">
        <f>2666</f>
        <v>2666</v>
      </c>
      <c r="DI2308" s="4" t="s">
        <v>241</v>
      </c>
      <c r="DJ2308" s="4" t="s">
        <v>241</v>
      </c>
      <c r="DK2308" s="4" t="s">
        <v>241</v>
      </c>
      <c r="DL2308" s="4" t="s">
        <v>241</v>
      </c>
      <c r="DP2308" s="4" t="s">
        <v>241</v>
      </c>
      <c r="DQ2308" s="4" t="s">
        <v>241</v>
      </c>
      <c r="DR2308" s="4" t="s">
        <v>241</v>
      </c>
      <c r="DS2308" s="4" t="s">
        <v>241</v>
      </c>
      <c r="DV2308" s="4" t="s">
        <v>426</v>
      </c>
      <c r="DW2308" s="4" t="s">
        <v>3113</v>
      </c>
      <c r="HO2308" s="4" t="s">
        <v>267</v>
      </c>
    </row>
    <row r="2309" spans="1:223" ht="19.5" customHeight="1" x14ac:dyDescent="0.4">
      <c r="A2309" s="4">
        <v>1</v>
      </c>
      <c r="B2309" s="4" t="s">
        <v>239</v>
      </c>
      <c r="C2309" s="4">
        <v>4012</v>
      </c>
      <c r="D2309" s="4">
        <v>1</v>
      </c>
      <c r="E2309" s="4">
        <v>1</v>
      </c>
      <c r="F2309" s="4" t="s">
        <v>268</v>
      </c>
      <c r="G2309" s="4" t="s">
        <v>241</v>
      </c>
      <c r="H2309" s="4" t="s">
        <v>241</v>
      </c>
      <c r="I2309" s="4" t="s">
        <v>424</v>
      </c>
      <c r="J2309" s="4" t="s">
        <v>274</v>
      </c>
      <c r="K2309" s="4" t="s">
        <v>251</v>
      </c>
      <c r="L2309" s="4" t="s">
        <v>423</v>
      </c>
      <c r="M2309" s="5" t="s">
        <v>3241</v>
      </c>
      <c r="N2309" s="6">
        <f>2812</f>
        <v>2812</v>
      </c>
      <c r="O2309" s="4" t="s">
        <v>265</v>
      </c>
      <c r="P2309" s="6">
        <f>1</f>
        <v>1</v>
      </c>
      <c r="Q2309" s="6">
        <f>0</f>
        <v>0</v>
      </c>
      <c r="S2309" s="6">
        <f>0</f>
        <v>0</v>
      </c>
      <c r="T2309" s="6">
        <f>1</f>
        <v>1</v>
      </c>
      <c r="U2309" s="5" t="s">
        <v>245</v>
      </c>
      <c r="V2309" s="4" t="s">
        <v>270</v>
      </c>
      <c r="W2309" s="4" t="s">
        <v>271</v>
      </c>
      <c r="X2309" s="4" t="s">
        <v>273</v>
      </c>
      <c r="Y2309" s="4" t="s">
        <v>241</v>
      </c>
      <c r="AB2309" s="4" t="s">
        <v>241</v>
      </c>
      <c r="AD2309" s="5" t="s">
        <v>241</v>
      </c>
      <c r="AG2309" s="5" t="s">
        <v>246</v>
      </c>
      <c r="AH2309" s="4" t="s">
        <v>241</v>
      </c>
      <c r="AI2309" s="4" t="s">
        <v>247</v>
      </c>
      <c r="AJ2309" s="4" t="s">
        <v>248</v>
      </c>
      <c r="AZ2309" s="4" t="s">
        <v>249</v>
      </c>
      <c r="BA2309" s="4" t="s">
        <v>241</v>
      </c>
      <c r="BB2309" s="4" t="s">
        <v>250</v>
      </c>
      <c r="BC2309" s="4" t="s">
        <v>241</v>
      </c>
      <c r="BD2309" s="4" t="s">
        <v>252</v>
      </c>
      <c r="BE2309" s="4" t="s">
        <v>241</v>
      </c>
      <c r="BI2309" s="4" t="s">
        <v>253</v>
      </c>
      <c r="BJ2309" s="5" t="s">
        <v>246</v>
      </c>
      <c r="BK2309" s="4" t="s">
        <v>254</v>
      </c>
      <c r="BL2309" s="4" t="s">
        <v>255</v>
      </c>
      <c r="BM2309" s="4" t="s">
        <v>241</v>
      </c>
      <c r="BN2309" s="6">
        <f>0</f>
        <v>0</v>
      </c>
      <c r="BO2309" s="6">
        <f>0</f>
        <v>0</v>
      </c>
      <c r="BP2309" s="4" t="s">
        <v>256</v>
      </c>
      <c r="BQ2309" s="4" t="s">
        <v>257</v>
      </c>
      <c r="CE2309" s="4" t="s">
        <v>241</v>
      </c>
      <c r="CF2309" s="4" t="s">
        <v>241</v>
      </c>
      <c r="CJ2309" s="4" t="s">
        <v>276</v>
      </c>
      <c r="CK2309" s="4" t="s">
        <v>259</v>
      </c>
      <c r="CL2309" s="4" t="s">
        <v>241</v>
      </c>
      <c r="CO2309" s="5" t="s">
        <v>260</v>
      </c>
      <c r="CP2309" s="4" t="s">
        <v>241</v>
      </c>
      <c r="CQ2309" s="4" t="s">
        <v>261</v>
      </c>
      <c r="CR2309" s="4" t="s">
        <v>241</v>
      </c>
      <c r="CS2309" s="4" t="s">
        <v>241</v>
      </c>
      <c r="CT2309" s="4">
        <v>0</v>
      </c>
      <c r="CU2309" s="4" t="s">
        <v>262</v>
      </c>
      <c r="CV2309" s="4" t="s">
        <v>263</v>
      </c>
      <c r="CW2309" s="4" t="s">
        <v>263</v>
      </c>
      <c r="CX2309" s="4" t="s">
        <v>264</v>
      </c>
      <c r="DA2309" s="6">
        <f>1</f>
        <v>1</v>
      </c>
      <c r="DC2309" s="4" t="s">
        <v>325</v>
      </c>
      <c r="DD2309" s="4" t="s">
        <v>241</v>
      </c>
      <c r="DF2309" s="4" t="s">
        <v>325</v>
      </c>
      <c r="DG2309" s="6">
        <f>2812</f>
        <v>2812</v>
      </c>
      <c r="DI2309" s="4" t="s">
        <v>241</v>
      </c>
      <c r="DJ2309" s="4" t="s">
        <v>241</v>
      </c>
      <c r="DK2309" s="4" t="s">
        <v>241</v>
      </c>
      <c r="DL2309" s="4" t="s">
        <v>241</v>
      </c>
      <c r="DP2309" s="4" t="s">
        <v>241</v>
      </c>
      <c r="DQ2309" s="4" t="s">
        <v>241</v>
      </c>
      <c r="DR2309" s="4" t="s">
        <v>241</v>
      </c>
      <c r="DS2309" s="4" t="s">
        <v>241</v>
      </c>
      <c r="DV2309" s="4" t="s">
        <v>426</v>
      </c>
      <c r="DW2309" s="4" t="s">
        <v>3111</v>
      </c>
      <c r="HO2309" s="4" t="s">
        <v>267</v>
      </c>
    </row>
    <row r="2310" spans="1:223" ht="19.5" customHeight="1" x14ac:dyDescent="0.4">
      <c r="A2310" s="4">
        <v>1</v>
      </c>
      <c r="B2310" s="4" t="s">
        <v>239</v>
      </c>
      <c r="C2310" s="4">
        <v>4013</v>
      </c>
      <c r="D2310" s="4">
        <v>1</v>
      </c>
      <c r="E2310" s="4">
        <v>1</v>
      </c>
      <c r="F2310" s="4" t="s">
        <v>268</v>
      </c>
      <c r="G2310" s="4" t="s">
        <v>241</v>
      </c>
      <c r="H2310" s="4" t="s">
        <v>241</v>
      </c>
      <c r="I2310" s="4" t="s">
        <v>424</v>
      </c>
      <c r="J2310" s="4" t="s">
        <v>274</v>
      </c>
      <c r="K2310" s="4" t="s">
        <v>251</v>
      </c>
      <c r="L2310" s="4" t="s">
        <v>423</v>
      </c>
      <c r="M2310" s="5" t="s">
        <v>3243</v>
      </c>
      <c r="N2310" s="6">
        <f>477</f>
        <v>477</v>
      </c>
      <c r="O2310" s="4" t="s">
        <v>265</v>
      </c>
      <c r="P2310" s="6">
        <f>1</f>
        <v>1</v>
      </c>
      <c r="Q2310" s="6">
        <f>0</f>
        <v>0</v>
      </c>
      <c r="S2310" s="6">
        <f>0</f>
        <v>0</v>
      </c>
      <c r="T2310" s="6">
        <f>1</f>
        <v>1</v>
      </c>
      <c r="U2310" s="5" t="s">
        <v>245</v>
      </c>
      <c r="V2310" s="4" t="s">
        <v>270</v>
      </c>
      <c r="W2310" s="4" t="s">
        <v>271</v>
      </c>
      <c r="X2310" s="4" t="s">
        <v>273</v>
      </c>
      <c r="Y2310" s="4" t="s">
        <v>241</v>
      </c>
      <c r="AB2310" s="4" t="s">
        <v>241</v>
      </c>
      <c r="AD2310" s="5" t="s">
        <v>241</v>
      </c>
      <c r="AG2310" s="5" t="s">
        <v>246</v>
      </c>
      <c r="AH2310" s="4" t="s">
        <v>241</v>
      </c>
      <c r="AI2310" s="4" t="s">
        <v>247</v>
      </c>
      <c r="AJ2310" s="4" t="s">
        <v>248</v>
      </c>
      <c r="AZ2310" s="4" t="s">
        <v>249</v>
      </c>
      <c r="BA2310" s="4" t="s">
        <v>241</v>
      </c>
      <c r="BB2310" s="4" t="s">
        <v>250</v>
      </c>
      <c r="BC2310" s="4" t="s">
        <v>241</v>
      </c>
      <c r="BD2310" s="4" t="s">
        <v>252</v>
      </c>
      <c r="BE2310" s="4" t="s">
        <v>241</v>
      </c>
      <c r="BI2310" s="4" t="s">
        <v>253</v>
      </c>
      <c r="BJ2310" s="5" t="s">
        <v>246</v>
      </c>
      <c r="BK2310" s="4" t="s">
        <v>254</v>
      </c>
      <c r="BL2310" s="4" t="s">
        <v>255</v>
      </c>
      <c r="BM2310" s="4" t="s">
        <v>241</v>
      </c>
      <c r="BN2310" s="6">
        <f>0</f>
        <v>0</v>
      </c>
      <c r="BO2310" s="6">
        <f>0</f>
        <v>0</v>
      </c>
      <c r="BP2310" s="4" t="s">
        <v>256</v>
      </c>
      <c r="BQ2310" s="4" t="s">
        <v>257</v>
      </c>
      <c r="CE2310" s="4" t="s">
        <v>241</v>
      </c>
      <c r="CF2310" s="4" t="s">
        <v>241</v>
      </c>
      <c r="CJ2310" s="4" t="s">
        <v>276</v>
      </c>
      <c r="CK2310" s="4" t="s">
        <v>259</v>
      </c>
      <c r="CL2310" s="4" t="s">
        <v>241</v>
      </c>
      <c r="CO2310" s="5" t="s">
        <v>260</v>
      </c>
      <c r="CP2310" s="4" t="s">
        <v>241</v>
      </c>
      <c r="CQ2310" s="4" t="s">
        <v>261</v>
      </c>
      <c r="CR2310" s="4" t="s">
        <v>241</v>
      </c>
      <c r="CS2310" s="4" t="s">
        <v>241</v>
      </c>
      <c r="CT2310" s="4">
        <v>0</v>
      </c>
      <c r="CU2310" s="4" t="s">
        <v>262</v>
      </c>
      <c r="CV2310" s="4" t="s">
        <v>263</v>
      </c>
      <c r="CW2310" s="4" t="s">
        <v>263</v>
      </c>
      <c r="CX2310" s="4" t="s">
        <v>264</v>
      </c>
      <c r="DA2310" s="6">
        <f>1</f>
        <v>1</v>
      </c>
      <c r="DC2310" s="4" t="s">
        <v>325</v>
      </c>
      <c r="DD2310" s="4" t="s">
        <v>241</v>
      </c>
      <c r="DF2310" s="4" t="s">
        <v>325</v>
      </c>
      <c r="DG2310" s="6">
        <f>477</f>
        <v>477</v>
      </c>
      <c r="DI2310" s="4" t="s">
        <v>241</v>
      </c>
      <c r="DJ2310" s="4" t="s">
        <v>241</v>
      </c>
      <c r="DK2310" s="4" t="s">
        <v>241</v>
      </c>
      <c r="DL2310" s="4" t="s">
        <v>241</v>
      </c>
      <c r="DP2310" s="4" t="s">
        <v>241</v>
      </c>
      <c r="DQ2310" s="4" t="s">
        <v>241</v>
      </c>
      <c r="DR2310" s="4" t="s">
        <v>241</v>
      </c>
      <c r="DS2310" s="4" t="s">
        <v>241</v>
      </c>
      <c r="DV2310" s="4" t="s">
        <v>426</v>
      </c>
      <c r="DW2310" s="4" t="s">
        <v>3109</v>
      </c>
      <c r="HO2310" s="4" t="s">
        <v>267</v>
      </c>
    </row>
    <row r="2311" spans="1:223" ht="19.5" customHeight="1" x14ac:dyDescent="0.4">
      <c r="A2311" s="4">
        <v>1</v>
      </c>
      <c r="B2311" s="4" t="s">
        <v>239</v>
      </c>
      <c r="C2311" s="4">
        <v>4014</v>
      </c>
      <c r="D2311" s="4">
        <v>1</v>
      </c>
      <c r="E2311" s="4">
        <v>1</v>
      </c>
      <c r="F2311" s="4" t="s">
        <v>268</v>
      </c>
      <c r="G2311" s="4" t="s">
        <v>241</v>
      </c>
      <c r="H2311" s="4" t="s">
        <v>241</v>
      </c>
      <c r="I2311" s="4" t="s">
        <v>424</v>
      </c>
      <c r="J2311" s="4" t="s">
        <v>274</v>
      </c>
      <c r="K2311" s="4" t="s">
        <v>251</v>
      </c>
      <c r="L2311" s="4" t="s">
        <v>423</v>
      </c>
      <c r="M2311" s="5" t="s">
        <v>3245</v>
      </c>
      <c r="N2311" s="6">
        <f>170</f>
        <v>170</v>
      </c>
      <c r="O2311" s="4" t="s">
        <v>265</v>
      </c>
      <c r="P2311" s="6">
        <f>1</f>
        <v>1</v>
      </c>
      <c r="Q2311" s="6">
        <f>0</f>
        <v>0</v>
      </c>
      <c r="S2311" s="6">
        <f>0</f>
        <v>0</v>
      </c>
      <c r="T2311" s="6">
        <f>1</f>
        <v>1</v>
      </c>
      <c r="U2311" s="5" t="s">
        <v>245</v>
      </c>
      <c r="V2311" s="4" t="s">
        <v>270</v>
      </c>
      <c r="W2311" s="4" t="s">
        <v>271</v>
      </c>
      <c r="X2311" s="4" t="s">
        <v>273</v>
      </c>
      <c r="Y2311" s="4" t="s">
        <v>241</v>
      </c>
      <c r="AB2311" s="4" t="s">
        <v>241</v>
      </c>
      <c r="AD2311" s="5" t="s">
        <v>241</v>
      </c>
      <c r="AG2311" s="5" t="s">
        <v>246</v>
      </c>
      <c r="AH2311" s="4" t="s">
        <v>241</v>
      </c>
      <c r="AI2311" s="4" t="s">
        <v>247</v>
      </c>
      <c r="AJ2311" s="4" t="s">
        <v>248</v>
      </c>
      <c r="AZ2311" s="4" t="s">
        <v>249</v>
      </c>
      <c r="BA2311" s="4" t="s">
        <v>241</v>
      </c>
      <c r="BB2311" s="4" t="s">
        <v>250</v>
      </c>
      <c r="BC2311" s="4" t="s">
        <v>241</v>
      </c>
      <c r="BD2311" s="4" t="s">
        <v>252</v>
      </c>
      <c r="BE2311" s="4" t="s">
        <v>241</v>
      </c>
      <c r="BI2311" s="4" t="s">
        <v>253</v>
      </c>
      <c r="BJ2311" s="5" t="s">
        <v>246</v>
      </c>
      <c r="BK2311" s="4" t="s">
        <v>254</v>
      </c>
      <c r="BL2311" s="4" t="s">
        <v>255</v>
      </c>
      <c r="BM2311" s="4" t="s">
        <v>241</v>
      </c>
      <c r="BN2311" s="6">
        <f>0</f>
        <v>0</v>
      </c>
      <c r="BO2311" s="6">
        <f>0</f>
        <v>0</v>
      </c>
      <c r="BP2311" s="4" t="s">
        <v>256</v>
      </c>
      <c r="BQ2311" s="4" t="s">
        <v>257</v>
      </c>
      <c r="CE2311" s="4" t="s">
        <v>241</v>
      </c>
      <c r="CF2311" s="4" t="s">
        <v>241</v>
      </c>
      <c r="CJ2311" s="4" t="s">
        <v>276</v>
      </c>
      <c r="CK2311" s="4" t="s">
        <v>259</v>
      </c>
      <c r="CL2311" s="4" t="s">
        <v>241</v>
      </c>
      <c r="CO2311" s="5" t="s">
        <v>260</v>
      </c>
      <c r="CP2311" s="4" t="s">
        <v>241</v>
      </c>
      <c r="CQ2311" s="4" t="s">
        <v>261</v>
      </c>
      <c r="CR2311" s="4" t="s">
        <v>241</v>
      </c>
      <c r="CS2311" s="4" t="s">
        <v>241</v>
      </c>
      <c r="CT2311" s="4">
        <v>0</v>
      </c>
      <c r="CU2311" s="4" t="s">
        <v>262</v>
      </c>
      <c r="CV2311" s="4" t="s">
        <v>263</v>
      </c>
      <c r="CW2311" s="4" t="s">
        <v>263</v>
      </c>
      <c r="CX2311" s="4" t="s">
        <v>264</v>
      </c>
      <c r="DA2311" s="6">
        <f>1</f>
        <v>1</v>
      </c>
      <c r="DC2311" s="4" t="s">
        <v>325</v>
      </c>
      <c r="DD2311" s="4" t="s">
        <v>241</v>
      </c>
      <c r="DF2311" s="4" t="s">
        <v>325</v>
      </c>
      <c r="DG2311" s="6">
        <f>170</f>
        <v>170</v>
      </c>
      <c r="DI2311" s="4" t="s">
        <v>241</v>
      </c>
      <c r="DJ2311" s="4" t="s">
        <v>241</v>
      </c>
      <c r="DK2311" s="4" t="s">
        <v>241</v>
      </c>
      <c r="DL2311" s="4" t="s">
        <v>241</v>
      </c>
      <c r="DP2311" s="4" t="s">
        <v>241</v>
      </c>
      <c r="DQ2311" s="4" t="s">
        <v>241</v>
      </c>
      <c r="DR2311" s="4" t="s">
        <v>241</v>
      </c>
      <c r="DS2311" s="4" t="s">
        <v>241</v>
      </c>
      <c r="DV2311" s="4" t="s">
        <v>426</v>
      </c>
      <c r="DW2311" s="4" t="s">
        <v>3107</v>
      </c>
      <c r="HO2311" s="4" t="s">
        <v>267</v>
      </c>
    </row>
    <row r="2312" spans="1:223" ht="19.5" customHeight="1" x14ac:dyDescent="0.4">
      <c r="A2312" s="4">
        <v>1</v>
      </c>
      <c r="B2312" s="4" t="s">
        <v>239</v>
      </c>
      <c r="C2312" s="4">
        <v>4015</v>
      </c>
      <c r="D2312" s="4">
        <v>1</v>
      </c>
      <c r="E2312" s="4">
        <v>1</v>
      </c>
      <c r="F2312" s="4" t="s">
        <v>268</v>
      </c>
      <c r="G2312" s="4" t="s">
        <v>241</v>
      </c>
      <c r="H2312" s="4" t="s">
        <v>241</v>
      </c>
      <c r="I2312" s="4" t="s">
        <v>424</v>
      </c>
      <c r="J2312" s="4" t="s">
        <v>274</v>
      </c>
      <c r="K2312" s="4" t="s">
        <v>251</v>
      </c>
      <c r="L2312" s="4" t="s">
        <v>423</v>
      </c>
      <c r="M2312" s="5" t="s">
        <v>3246</v>
      </c>
      <c r="N2312" s="6">
        <f>233</f>
        <v>233</v>
      </c>
      <c r="O2312" s="4" t="s">
        <v>265</v>
      </c>
      <c r="P2312" s="6">
        <f>1</f>
        <v>1</v>
      </c>
      <c r="Q2312" s="6">
        <f>0</f>
        <v>0</v>
      </c>
      <c r="S2312" s="6">
        <f>0</f>
        <v>0</v>
      </c>
      <c r="T2312" s="6">
        <f>1</f>
        <v>1</v>
      </c>
      <c r="U2312" s="5" t="s">
        <v>245</v>
      </c>
      <c r="V2312" s="4" t="s">
        <v>270</v>
      </c>
      <c r="W2312" s="4" t="s">
        <v>271</v>
      </c>
      <c r="X2312" s="4" t="s">
        <v>273</v>
      </c>
      <c r="Y2312" s="4" t="s">
        <v>241</v>
      </c>
      <c r="AB2312" s="4" t="s">
        <v>241</v>
      </c>
      <c r="AD2312" s="5" t="s">
        <v>241</v>
      </c>
      <c r="AG2312" s="5" t="s">
        <v>246</v>
      </c>
      <c r="AH2312" s="4" t="s">
        <v>241</v>
      </c>
      <c r="AI2312" s="4" t="s">
        <v>247</v>
      </c>
      <c r="AJ2312" s="4" t="s">
        <v>248</v>
      </c>
      <c r="AZ2312" s="4" t="s">
        <v>249</v>
      </c>
      <c r="BA2312" s="4" t="s">
        <v>241</v>
      </c>
      <c r="BB2312" s="4" t="s">
        <v>250</v>
      </c>
      <c r="BC2312" s="4" t="s">
        <v>241</v>
      </c>
      <c r="BD2312" s="4" t="s">
        <v>252</v>
      </c>
      <c r="BE2312" s="4" t="s">
        <v>241</v>
      </c>
      <c r="BI2312" s="4" t="s">
        <v>253</v>
      </c>
      <c r="BJ2312" s="5" t="s">
        <v>246</v>
      </c>
      <c r="BK2312" s="4" t="s">
        <v>254</v>
      </c>
      <c r="BL2312" s="4" t="s">
        <v>255</v>
      </c>
      <c r="BM2312" s="4" t="s">
        <v>241</v>
      </c>
      <c r="BN2312" s="6">
        <f>0</f>
        <v>0</v>
      </c>
      <c r="BO2312" s="6">
        <f>0</f>
        <v>0</v>
      </c>
      <c r="BP2312" s="4" t="s">
        <v>256</v>
      </c>
      <c r="BQ2312" s="4" t="s">
        <v>257</v>
      </c>
      <c r="CE2312" s="4" t="s">
        <v>241</v>
      </c>
      <c r="CF2312" s="4" t="s">
        <v>241</v>
      </c>
      <c r="CJ2312" s="4" t="s">
        <v>276</v>
      </c>
      <c r="CK2312" s="4" t="s">
        <v>259</v>
      </c>
      <c r="CL2312" s="4" t="s">
        <v>241</v>
      </c>
      <c r="CO2312" s="5" t="s">
        <v>260</v>
      </c>
      <c r="CP2312" s="4" t="s">
        <v>241</v>
      </c>
      <c r="CQ2312" s="4" t="s">
        <v>261</v>
      </c>
      <c r="CR2312" s="4" t="s">
        <v>241</v>
      </c>
      <c r="CS2312" s="4" t="s">
        <v>241</v>
      </c>
      <c r="CT2312" s="4">
        <v>0</v>
      </c>
      <c r="CU2312" s="4" t="s">
        <v>262</v>
      </c>
      <c r="CV2312" s="4" t="s">
        <v>263</v>
      </c>
      <c r="CW2312" s="4" t="s">
        <v>263</v>
      </c>
      <c r="CX2312" s="4" t="s">
        <v>264</v>
      </c>
      <c r="DA2312" s="6">
        <f>1</f>
        <v>1</v>
      </c>
      <c r="DC2312" s="4" t="s">
        <v>325</v>
      </c>
      <c r="DD2312" s="4" t="s">
        <v>241</v>
      </c>
      <c r="DF2312" s="4" t="s">
        <v>325</v>
      </c>
      <c r="DG2312" s="6">
        <f>233</f>
        <v>233</v>
      </c>
      <c r="DI2312" s="4" t="s">
        <v>241</v>
      </c>
      <c r="DJ2312" s="4" t="s">
        <v>241</v>
      </c>
      <c r="DK2312" s="4" t="s">
        <v>241</v>
      </c>
      <c r="DL2312" s="4" t="s">
        <v>241</v>
      </c>
      <c r="DP2312" s="4" t="s">
        <v>241</v>
      </c>
      <c r="DQ2312" s="4" t="s">
        <v>241</v>
      </c>
      <c r="DR2312" s="4" t="s">
        <v>241</v>
      </c>
      <c r="DS2312" s="4" t="s">
        <v>241</v>
      </c>
      <c r="DV2312" s="4" t="s">
        <v>426</v>
      </c>
      <c r="DW2312" s="4" t="s">
        <v>3105</v>
      </c>
      <c r="HO2312" s="4" t="s">
        <v>267</v>
      </c>
    </row>
    <row r="2313" spans="1:223" ht="19.5" customHeight="1" x14ac:dyDescent="0.4">
      <c r="A2313" s="4">
        <v>1</v>
      </c>
      <c r="B2313" s="4" t="s">
        <v>239</v>
      </c>
      <c r="C2313" s="4">
        <v>4016</v>
      </c>
      <c r="D2313" s="4">
        <v>1</v>
      </c>
      <c r="E2313" s="4">
        <v>1</v>
      </c>
      <c r="F2313" s="4" t="s">
        <v>268</v>
      </c>
      <c r="G2313" s="4" t="s">
        <v>241</v>
      </c>
      <c r="H2313" s="4" t="s">
        <v>241</v>
      </c>
      <c r="I2313" s="4" t="s">
        <v>424</v>
      </c>
      <c r="J2313" s="4" t="s">
        <v>274</v>
      </c>
      <c r="K2313" s="4" t="s">
        <v>251</v>
      </c>
      <c r="L2313" s="4" t="s">
        <v>423</v>
      </c>
      <c r="M2313" s="5" t="s">
        <v>3249</v>
      </c>
      <c r="N2313" s="6">
        <f>357</f>
        <v>357</v>
      </c>
      <c r="O2313" s="4" t="s">
        <v>265</v>
      </c>
      <c r="P2313" s="6">
        <f>1</f>
        <v>1</v>
      </c>
      <c r="Q2313" s="6">
        <f>0</f>
        <v>0</v>
      </c>
      <c r="S2313" s="6">
        <f>0</f>
        <v>0</v>
      </c>
      <c r="T2313" s="6">
        <f>1</f>
        <v>1</v>
      </c>
      <c r="U2313" s="5" t="s">
        <v>245</v>
      </c>
      <c r="V2313" s="4" t="s">
        <v>270</v>
      </c>
      <c r="W2313" s="4" t="s">
        <v>271</v>
      </c>
      <c r="X2313" s="4" t="s">
        <v>273</v>
      </c>
      <c r="Y2313" s="4" t="s">
        <v>241</v>
      </c>
      <c r="AB2313" s="4" t="s">
        <v>241</v>
      </c>
      <c r="AD2313" s="5" t="s">
        <v>241</v>
      </c>
      <c r="AG2313" s="5" t="s">
        <v>246</v>
      </c>
      <c r="AH2313" s="4" t="s">
        <v>241</v>
      </c>
      <c r="AI2313" s="4" t="s">
        <v>247</v>
      </c>
      <c r="AJ2313" s="4" t="s">
        <v>248</v>
      </c>
      <c r="AZ2313" s="4" t="s">
        <v>249</v>
      </c>
      <c r="BA2313" s="4" t="s">
        <v>241</v>
      </c>
      <c r="BB2313" s="4" t="s">
        <v>250</v>
      </c>
      <c r="BC2313" s="4" t="s">
        <v>241</v>
      </c>
      <c r="BD2313" s="4" t="s">
        <v>252</v>
      </c>
      <c r="BE2313" s="4" t="s">
        <v>241</v>
      </c>
      <c r="BI2313" s="4" t="s">
        <v>253</v>
      </c>
      <c r="BJ2313" s="5" t="s">
        <v>246</v>
      </c>
      <c r="BK2313" s="4" t="s">
        <v>254</v>
      </c>
      <c r="BL2313" s="4" t="s">
        <v>255</v>
      </c>
      <c r="BM2313" s="4" t="s">
        <v>241</v>
      </c>
      <c r="BN2313" s="6">
        <f>0</f>
        <v>0</v>
      </c>
      <c r="BO2313" s="6">
        <f>0</f>
        <v>0</v>
      </c>
      <c r="BP2313" s="4" t="s">
        <v>256</v>
      </c>
      <c r="BQ2313" s="4" t="s">
        <v>257</v>
      </c>
      <c r="CE2313" s="4" t="s">
        <v>241</v>
      </c>
      <c r="CF2313" s="4" t="s">
        <v>241</v>
      </c>
      <c r="CJ2313" s="4" t="s">
        <v>276</v>
      </c>
      <c r="CK2313" s="4" t="s">
        <v>259</v>
      </c>
      <c r="CL2313" s="4" t="s">
        <v>241</v>
      </c>
      <c r="CO2313" s="5" t="s">
        <v>260</v>
      </c>
      <c r="CP2313" s="4" t="s">
        <v>241</v>
      </c>
      <c r="CQ2313" s="4" t="s">
        <v>261</v>
      </c>
      <c r="CR2313" s="4" t="s">
        <v>241</v>
      </c>
      <c r="CS2313" s="4" t="s">
        <v>241</v>
      </c>
      <c r="CT2313" s="4">
        <v>0</v>
      </c>
      <c r="CU2313" s="4" t="s">
        <v>262</v>
      </c>
      <c r="CV2313" s="4" t="s">
        <v>263</v>
      </c>
      <c r="CW2313" s="4" t="s">
        <v>263</v>
      </c>
      <c r="CX2313" s="4" t="s">
        <v>264</v>
      </c>
      <c r="DA2313" s="6">
        <f>1</f>
        <v>1</v>
      </c>
      <c r="DC2313" s="4" t="s">
        <v>325</v>
      </c>
      <c r="DD2313" s="4" t="s">
        <v>241</v>
      </c>
      <c r="DF2313" s="4" t="s">
        <v>325</v>
      </c>
      <c r="DG2313" s="6">
        <f>357</f>
        <v>357</v>
      </c>
      <c r="DI2313" s="4" t="s">
        <v>241</v>
      </c>
      <c r="DJ2313" s="4" t="s">
        <v>241</v>
      </c>
      <c r="DK2313" s="4" t="s">
        <v>241</v>
      </c>
      <c r="DL2313" s="4" t="s">
        <v>241</v>
      </c>
      <c r="DP2313" s="4" t="s">
        <v>241</v>
      </c>
      <c r="DQ2313" s="4" t="s">
        <v>241</v>
      </c>
      <c r="DR2313" s="4" t="s">
        <v>241</v>
      </c>
      <c r="DS2313" s="4" t="s">
        <v>241</v>
      </c>
      <c r="DV2313" s="4" t="s">
        <v>426</v>
      </c>
      <c r="DW2313" s="4" t="s">
        <v>3103</v>
      </c>
      <c r="HO2313" s="4" t="s">
        <v>267</v>
      </c>
    </row>
    <row r="2314" spans="1:223" ht="19.5" customHeight="1" x14ac:dyDescent="0.4">
      <c r="A2314" s="4">
        <v>1</v>
      </c>
      <c r="B2314" s="4" t="s">
        <v>239</v>
      </c>
      <c r="C2314" s="4">
        <v>4017</v>
      </c>
      <c r="D2314" s="4">
        <v>1</v>
      </c>
      <c r="E2314" s="4">
        <v>1</v>
      </c>
      <c r="F2314" s="4" t="s">
        <v>268</v>
      </c>
      <c r="G2314" s="4" t="s">
        <v>241</v>
      </c>
      <c r="H2314" s="4" t="s">
        <v>241</v>
      </c>
      <c r="I2314" s="4" t="s">
        <v>424</v>
      </c>
      <c r="J2314" s="4" t="s">
        <v>274</v>
      </c>
      <c r="K2314" s="4" t="s">
        <v>251</v>
      </c>
      <c r="L2314" s="4" t="s">
        <v>423</v>
      </c>
      <c r="M2314" s="5" t="s">
        <v>3253</v>
      </c>
      <c r="N2314" s="6">
        <f>1852</f>
        <v>1852</v>
      </c>
      <c r="O2314" s="4" t="s">
        <v>265</v>
      </c>
      <c r="P2314" s="6">
        <f>1</f>
        <v>1</v>
      </c>
      <c r="Q2314" s="6">
        <f>0</f>
        <v>0</v>
      </c>
      <c r="S2314" s="6">
        <f>0</f>
        <v>0</v>
      </c>
      <c r="T2314" s="6">
        <f>1</f>
        <v>1</v>
      </c>
      <c r="U2314" s="5" t="s">
        <v>245</v>
      </c>
      <c r="V2314" s="4" t="s">
        <v>270</v>
      </c>
      <c r="W2314" s="4" t="s">
        <v>271</v>
      </c>
      <c r="X2314" s="4" t="s">
        <v>273</v>
      </c>
      <c r="Y2314" s="4" t="s">
        <v>241</v>
      </c>
      <c r="AB2314" s="4" t="s">
        <v>241</v>
      </c>
      <c r="AD2314" s="5" t="s">
        <v>241</v>
      </c>
      <c r="AG2314" s="5" t="s">
        <v>246</v>
      </c>
      <c r="AH2314" s="4" t="s">
        <v>241</v>
      </c>
      <c r="AI2314" s="4" t="s">
        <v>247</v>
      </c>
      <c r="AJ2314" s="4" t="s">
        <v>248</v>
      </c>
      <c r="AZ2314" s="4" t="s">
        <v>249</v>
      </c>
      <c r="BA2314" s="4" t="s">
        <v>241</v>
      </c>
      <c r="BB2314" s="4" t="s">
        <v>250</v>
      </c>
      <c r="BC2314" s="4" t="s">
        <v>241</v>
      </c>
      <c r="BD2314" s="4" t="s">
        <v>252</v>
      </c>
      <c r="BE2314" s="4" t="s">
        <v>241</v>
      </c>
      <c r="BI2314" s="4" t="s">
        <v>253</v>
      </c>
      <c r="BJ2314" s="5" t="s">
        <v>246</v>
      </c>
      <c r="BK2314" s="4" t="s">
        <v>254</v>
      </c>
      <c r="BL2314" s="4" t="s">
        <v>255</v>
      </c>
      <c r="BM2314" s="4" t="s">
        <v>241</v>
      </c>
      <c r="BN2314" s="6">
        <f>0</f>
        <v>0</v>
      </c>
      <c r="BO2314" s="6">
        <f>0</f>
        <v>0</v>
      </c>
      <c r="BP2314" s="4" t="s">
        <v>256</v>
      </c>
      <c r="BQ2314" s="4" t="s">
        <v>257</v>
      </c>
      <c r="CE2314" s="4" t="s">
        <v>241</v>
      </c>
      <c r="CF2314" s="4" t="s">
        <v>241</v>
      </c>
      <c r="CJ2314" s="4" t="s">
        <v>276</v>
      </c>
      <c r="CK2314" s="4" t="s">
        <v>259</v>
      </c>
      <c r="CL2314" s="4" t="s">
        <v>241</v>
      </c>
      <c r="CO2314" s="5" t="s">
        <v>260</v>
      </c>
      <c r="CP2314" s="4" t="s">
        <v>241</v>
      </c>
      <c r="CQ2314" s="4" t="s">
        <v>261</v>
      </c>
      <c r="CR2314" s="4" t="s">
        <v>241</v>
      </c>
      <c r="CS2314" s="4" t="s">
        <v>241</v>
      </c>
      <c r="CT2314" s="4">
        <v>0</v>
      </c>
      <c r="CU2314" s="4" t="s">
        <v>262</v>
      </c>
      <c r="CV2314" s="4" t="s">
        <v>263</v>
      </c>
      <c r="CW2314" s="4" t="s">
        <v>263</v>
      </c>
      <c r="CX2314" s="4" t="s">
        <v>264</v>
      </c>
      <c r="DA2314" s="6">
        <f>1</f>
        <v>1</v>
      </c>
      <c r="DC2314" s="4" t="s">
        <v>325</v>
      </c>
      <c r="DD2314" s="4" t="s">
        <v>241</v>
      </c>
      <c r="DF2314" s="4" t="s">
        <v>325</v>
      </c>
      <c r="DG2314" s="6">
        <f>1852</f>
        <v>1852</v>
      </c>
      <c r="DI2314" s="4" t="s">
        <v>241</v>
      </c>
      <c r="DJ2314" s="4" t="s">
        <v>241</v>
      </c>
      <c r="DK2314" s="4" t="s">
        <v>241</v>
      </c>
      <c r="DL2314" s="4" t="s">
        <v>241</v>
      </c>
      <c r="DP2314" s="4" t="s">
        <v>241</v>
      </c>
      <c r="DQ2314" s="4" t="s">
        <v>241</v>
      </c>
      <c r="DR2314" s="4" t="s">
        <v>241</v>
      </c>
      <c r="DS2314" s="4" t="s">
        <v>241</v>
      </c>
      <c r="DV2314" s="4" t="s">
        <v>426</v>
      </c>
      <c r="DW2314" s="4" t="s">
        <v>3101</v>
      </c>
      <c r="HO2314" s="4" t="s">
        <v>267</v>
      </c>
    </row>
    <row r="2315" spans="1:223" ht="19.5" customHeight="1" x14ac:dyDescent="0.4">
      <c r="A2315" s="4">
        <v>1</v>
      </c>
      <c r="B2315" s="4" t="s">
        <v>239</v>
      </c>
      <c r="C2315" s="4">
        <v>4018</v>
      </c>
      <c r="D2315" s="4">
        <v>1</v>
      </c>
      <c r="E2315" s="4">
        <v>1</v>
      </c>
      <c r="F2315" s="4" t="s">
        <v>268</v>
      </c>
      <c r="G2315" s="4" t="s">
        <v>241</v>
      </c>
      <c r="H2315" s="4" t="s">
        <v>241</v>
      </c>
      <c r="I2315" s="4" t="s">
        <v>424</v>
      </c>
      <c r="J2315" s="4" t="s">
        <v>274</v>
      </c>
      <c r="K2315" s="4" t="s">
        <v>251</v>
      </c>
      <c r="L2315" s="4" t="s">
        <v>423</v>
      </c>
      <c r="M2315" s="5" t="s">
        <v>3255</v>
      </c>
      <c r="N2315" s="6">
        <f>1028</f>
        <v>1028</v>
      </c>
      <c r="O2315" s="4" t="s">
        <v>265</v>
      </c>
      <c r="P2315" s="6">
        <f>1</f>
        <v>1</v>
      </c>
      <c r="Q2315" s="6">
        <f>0</f>
        <v>0</v>
      </c>
      <c r="S2315" s="6">
        <f>0</f>
        <v>0</v>
      </c>
      <c r="T2315" s="6">
        <f>1</f>
        <v>1</v>
      </c>
      <c r="U2315" s="5" t="s">
        <v>245</v>
      </c>
      <c r="V2315" s="4" t="s">
        <v>270</v>
      </c>
      <c r="W2315" s="4" t="s">
        <v>271</v>
      </c>
      <c r="X2315" s="4" t="s">
        <v>273</v>
      </c>
      <c r="Y2315" s="4" t="s">
        <v>241</v>
      </c>
      <c r="AB2315" s="4" t="s">
        <v>241</v>
      </c>
      <c r="AD2315" s="5" t="s">
        <v>241</v>
      </c>
      <c r="AG2315" s="5" t="s">
        <v>246</v>
      </c>
      <c r="AH2315" s="4" t="s">
        <v>241</v>
      </c>
      <c r="AI2315" s="4" t="s">
        <v>247</v>
      </c>
      <c r="AJ2315" s="4" t="s">
        <v>248</v>
      </c>
      <c r="AZ2315" s="4" t="s">
        <v>249</v>
      </c>
      <c r="BA2315" s="4" t="s">
        <v>241</v>
      </c>
      <c r="BB2315" s="4" t="s">
        <v>250</v>
      </c>
      <c r="BC2315" s="4" t="s">
        <v>241</v>
      </c>
      <c r="BD2315" s="4" t="s">
        <v>252</v>
      </c>
      <c r="BE2315" s="4" t="s">
        <v>241</v>
      </c>
      <c r="BI2315" s="4" t="s">
        <v>253</v>
      </c>
      <c r="BJ2315" s="5" t="s">
        <v>246</v>
      </c>
      <c r="BK2315" s="4" t="s">
        <v>254</v>
      </c>
      <c r="BL2315" s="4" t="s">
        <v>255</v>
      </c>
      <c r="BM2315" s="4" t="s">
        <v>241</v>
      </c>
      <c r="BN2315" s="6">
        <f>0</f>
        <v>0</v>
      </c>
      <c r="BO2315" s="6">
        <f>0</f>
        <v>0</v>
      </c>
      <c r="BP2315" s="4" t="s">
        <v>256</v>
      </c>
      <c r="BQ2315" s="4" t="s">
        <v>257</v>
      </c>
      <c r="CE2315" s="4" t="s">
        <v>241</v>
      </c>
      <c r="CF2315" s="4" t="s">
        <v>241</v>
      </c>
      <c r="CJ2315" s="4" t="s">
        <v>276</v>
      </c>
      <c r="CK2315" s="4" t="s">
        <v>259</v>
      </c>
      <c r="CL2315" s="4" t="s">
        <v>241</v>
      </c>
      <c r="CO2315" s="5" t="s">
        <v>260</v>
      </c>
      <c r="CP2315" s="4" t="s">
        <v>241</v>
      </c>
      <c r="CQ2315" s="4" t="s">
        <v>261</v>
      </c>
      <c r="CR2315" s="4" t="s">
        <v>241</v>
      </c>
      <c r="CS2315" s="4" t="s">
        <v>241</v>
      </c>
      <c r="CT2315" s="4">
        <v>0</v>
      </c>
      <c r="CU2315" s="4" t="s">
        <v>262</v>
      </c>
      <c r="CV2315" s="4" t="s">
        <v>263</v>
      </c>
      <c r="CW2315" s="4" t="s">
        <v>263</v>
      </c>
      <c r="CX2315" s="4" t="s">
        <v>264</v>
      </c>
      <c r="DA2315" s="6">
        <f>1</f>
        <v>1</v>
      </c>
      <c r="DC2315" s="4" t="s">
        <v>325</v>
      </c>
      <c r="DD2315" s="4" t="s">
        <v>241</v>
      </c>
      <c r="DF2315" s="4" t="s">
        <v>325</v>
      </c>
      <c r="DG2315" s="6">
        <f>1028</f>
        <v>1028</v>
      </c>
      <c r="DI2315" s="4" t="s">
        <v>241</v>
      </c>
      <c r="DJ2315" s="4" t="s">
        <v>241</v>
      </c>
      <c r="DK2315" s="4" t="s">
        <v>241</v>
      </c>
      <c r="DL2315" s="4" t="s">
        <v>241</v>
      </c>
      <c r="DP2315" s="4" t="s">
        <v>241</v>
      </c>
      <c r="DQ2315" s="4" t="s">
        <v>241</v>
      </c>
      <c r="DR2315" s="4" t="s">
        <v>241</v>
      </c>
      <c r="DS2315" s="4" t="s">
        <v>241</v>
      </c>
      <c r="DV2315" s="4" t="s">
        <v>426</v>
      </c>
      <c r="DW2315" s="4" t="s">
        <v>3099</v>
      </c>
      <c r="HO2315" s="4" t="s">
        <v>267</v>
      </c>
    </row>
    <row r="2316" spans="1:223" ht="19.5" customHeight="1" x14ac:dyDescent="0.4">
      <c r="A2316" s="4">
        <v>1</v>
      </c>
      <c r="B2316" s="4" t="s">
        <v>239</v>
      </c>
      <c r="C2316" s="4">
        <v>4019</v>
      </c>
      <c r="D2316" s="4">
        <v>1</v>
      </c>
      <c r="E2316" s="4">
        <v>1</v>
      </c>
      <c r="F2316" s="4" t="s">
        <v>268</v>
      </c>
      <c r="G2316" s="4" t="s">
        <v>241</v>
      </c>
      <c r="H2316" s="4" t="s">
        <v>241</v>
      </c>
      <c r="I2316" s="4" t="s">
        <v>424</v>
      </c>
      <c r="J2316" s="4" t="s">
        <v>274</v>
      </c>
      <c r="K2316" s="4" t="s">
        <v>251</v>
      </c>
      <c r="L2316" s="4" t="s">
        <v>423</v>
      </c>
      <c r="M2316" s="5" t="s">
        <v>3256</v>
      </c>
      <c r="N2316" s="6">
        <f>2098</f>
        <v>2098</v>
      </c>
      <c r="O2316" s="4" t="s">
        <v>265</v>
      </c>
      <c r="P2316" s="6">
        <f>1</f>
        <v>1</v>
      </c>
      <c r="Q2316" s="6">
        <f>0</f>
        <v>0</v>
      </c>
      <c r="S2316" s="6">
        <f>0</f>
        <v>0</v>
      </c>
      <c r="T2316" s="6">
        <f>1</f>
        <v>1</v>
      </c>
      <c r="U2316" s="5" t="s">
        <v>245</v>
      </c>
      <c r="V2316" s="4" t="s">
        <v>270</v>
      </c>
      <c r="W2316" s="4" t="s">
        <v>271</v>
      </c>
      <c r="X2316" s="4" t="s">
        <v>273</v>
      </c>
      <c r="Y2316" s="4" t="s">
        <v>241</v>
      </c>
      <c r="AB2316" s="4" t="s">
        <v>241</v>
      </c>
      <c r="AD2316" s="5" t="s">
        <v>241</v>
      </c>
      <c r="AG2316" s="5" t="s">
        <v>246</v>
      </c>
      <c r="AH2316" s="4" t="s">
        <v>241</v>
      </c>
      <c r="AI2316" s="4" t="s">
        <v>247</v>
      </c>
      <c r="AJ2316" s="4" t="s">
        <v>248</v>
      </c>
      <c r="AZ2316" s="4" t="s">
        <v>249</v>
      </c>
      <c r="BA2316" s="4" t="s">
        <v>241</v>
      </c>
      <c r="BB2316" s="4" t="s">
        <v>250</v>
      </c>
      <c r="BC2316" s="4" t="s">
        <v>241</v>
      </c>
      <c r="BD2316" s="4" t="s">
        <v>252</v>
      </c>
      <c r="BE2316" s="4" t="s">
        <v>241</v>
      </c>
      <c r="BI2316" s="4" t="s">
        <v>253</v>
      </c>
      <c r="BJ2316" s="5" t="s">
        <v>246</v>
      </c>
      <c r="BK2316" s="4" t="s">
        <v>254</v>
      </c>
      <c r="BL2316" s="4" t="s">
        <v>255</v>
      </c>
      <c r="BM2316" s="4" t="s">
        <v>241</v>
      </c>
      <c r="BN2316" s="6">
        <f>0</f>
        <v>0</v>
      </c>
      <c r="BO2316" s="6">
        <f>0</f>
        <v>0</v>
      </c>
      <c r="BP2316" s="4" t="s">
        <v>256</v>
      </c>
      <c r="BQ2316" s="4" t="s">
        <v>257</v>
      </c>
      <c r="CE2316" s="4" t="s">
        <v>241</v>
      </c>
      <c r="CF2316" s="4" t="s">
        <v>241</v>
      </c>
      <c r="CJ2316" s="4" t="s">
        <v>276</v>
      </c>
      <c r="CK2316" s="4" t="s">
        <v>259</v>
      </c>
      <c r="CL2316" s="4" t="s">
        <v>241</v>
      </c>
      <c r="CO2316" s="5" t="s">
        <v>260</v>
      </c>
      <c r="CP2316" s="4" t="s">
        <v>241</v>
      </c>
      <c r="CQ2316" s="4" t="s">
        <v>261</v>
      </c>
      <c r="CR2316" s="4" t="s">
        <v>241</v>
      </c>
      <c r="CS2316" s="4" t="s">
        <v>241</v>
      </c>
      <c r="CT2316" s="4">
        <v>0</v>
      </c>
      <c r="CU2316" s="4" t="s">
        <v>262</v>
      </c>
      <c r="CV2316" s="4" t="s">
        <v>263</v>
      </c>
      <c r="CW2316" s="4" t="s">
        <v>263</v>
      </c>
      <c r="CX2316" s="4" t="s">
        <v>264</v>
      </c>
      <c r="DA2316" s="6">
        <f>1</f>
        <v>1</v>
      </c>
      <c r="DC2316" s="4" t="s">
        <v>325</v>
      </c>
      <c r="DD2316" s="4" t="s">
        <v>241</v>
      </c>
      <c r="DF2316" s="4" t="s">
        <v>325</v>
      </c>
      <c r="DG2316" s="6">
        <f>2098</f>
        <v>2098</v>
      </c>
      <c r="DI2316" s="4" t="s">
        <v>241</v>
      </c>
      <c r="DJ2316" s="4" t="s">
        <v>241</v>
      </c>
      <c r="DK2316" s="4" t="s">
        <v>241</v>
      </c>
      <c r="DL2316" s="4" t="s">
        <v>241</v>
      </c>
      <c r="DP2316" s="4" t="s">
        <v>241</v>
      </c>
      <c r="DQ2316" s="4" t="s">
        <v>241</v>
      </c>
      <c r="DR2316" s="4" t="s">
        <v>241</v>
      </c>
      <c r="DS2316" s="4" t="s">
        <v>241</v>
      </c>
      <c r="DV2316" s="4" t="s">
        <v>426</v>
      </c>
      <c r="DW2316" s="4" t="s">
        <v>3097</v>
      </c>
      <c r="HO2316" s="4" t="s">
        <v>267</v>
      </c>
    </row>
    <row r="2317" spans="1:223" ht="19.5" customHeight="1" x14ac:dyDescent="0.4">
      <c r="A2317" s="4">
        <v>1</v>
      </c>
      <c r="B2317" s="4" t="s">
        <v>239</v>
      </c>
      <c r="C2317" s="4">
        <v>4020</v>
      </c>
      <c r="D2317" s="4">
        <v>1</v>
      </c>
      <c r="E2317" s="4">
        <v>1</v>
      </c>
      <c r="F2317" s="4" t="s">
        <v>268</v>
      </c>
      <c r="G2317" s="4" t="s">
        <v>241</v>
      </c>
      <c r="H2317" s="4" t="s">
        <v>241</v>
      </c>
      <c r="I2317" s="4" t="s">
        <v>424</v>
      </c>
      <c r="J2317" s="4" t="s">
        <v>274</v>
      </c>
      <c r="K2317" s="4" t="s">
        <v>251</v>
      </c>
      <c r="L2317" s="4" t="s">
        <v>423</v>
      </c>
      <c r="M2317" s="5" t="s">
        <v>3259</v>
      </c>
      <c r="N2317" s="6">
        <f>319</f>
        <v>319</v>
      </c>
      <c r="O2317" s="4" t="s">
        <v>265</v>
      </c>
      <c r="P2317" s="6">
        <f>1</f>
        <v>1</v>
      </c>
      <c r="Q2317" s="6">
        <f>0</f>
        <v>0</v>
      </c>
      <c r="S2317" s="6">
        <f>0</f>
        <v>0</v>
      </c>
      <c r="T2317" s="6">
        <f>1</f>
        <v>1</v>
      </c>
      <c r="U2317" s="5" t="s">
        <v>245</v>
      </c>
      <c r="V2317" s="4" t="s">
        <v>270</v>
      </c>
      <c r="W2317" s="4" t="s">
        <v>271</v>
      </c>
      <c r="X2317" s="4" t="s">
        <v>273</v>
      </c>
      <c r="Y2317" s="4" t="s">
        <v>241</v>
      </c>
      <c r="AB2317" s="4" t="s">
        <v>241</v>
      </c>
      <c r="AD2317" s="5" t="s">
        <v>241</v>
      </c>
      <c r="AG2317" s="5" t="s">
        <v>246</v>
      </c>
      <c r="AH2317" s="4" t="s">
        <v>241</v>
      </c>
      <c r="AI2317" s="4" t="s">
        <v>247</v>
      </c>
      <c r="AJ2317" s="4" t="s">
        <v>248</v>
      </c>
      <c r="AZ2317" s="4" t="s">
        <v>249</v>
      </c>
      <c r="BA2317" s="4" t="s">
        <v>241</v>
      </c>
      <c r="BB2317" s="4" t="s">
        <v>250</v>
      </c>
      <c r="BC2317" s="4" t="s">
        <v>241</v>
      </c>
      <c r="BD2317" s="4" t="s">
        <v>252</v>
      </c>
      <c r="BE2317" s="4" t="s">
        <v>241</v>
      </c>
      <c r="BI2317" s="4" t="s">
        <v>253</v>
      </c>
      <c r="BJ2317" s="5" t="s">
        <v>246</v>
      </c>
      <c r="BK2317" s="4" t="s">
        <v>254</v>
      </c>
      <c r="BL2317" s="4" t="s">
        <v>255</v>
      </c>
      <c r="BM2317" s="4" t="s">
        <v>241</v>
      </c>
      <c r="BN2317" s="6">
        <f>0</f>
        <v>0</v>
      </c>
      <c r="BO2317" s="6">
        <f>0</f>
        <v>0</v>
      </c>
      <c r="BP2317" s="4" t="s">
        <v>256</v>
      </c>
      <c r="BQ2317" s="4" t="s">
        <v>257</v>
      </c>
      <c r="CE2317" s="4" t="s">
        <v>241</v>
      </c>
      <c r="CF2317" s="4" t="s">
        <v>241</v>
      </c>
      <c r="CJ2317" s="4" t="s">
        <v>276</v>
      </c>
      <c r="CK2317" s="4" t="s">
        <v>259</v>
      </c>
      <c r="CL2317" s="4" t="s">
        <v>241</v>
      </c>
      <c r="CO2317" s="5" t="s">
        <v>260</v>
      </c>
      <c r="CP2317" s="4" t="s">
        <v>241</v>
      </c>
      <c r="CQ2317" s="4" t="s">
        <v>261</v>
      </c>
      <c r="CR2317" s="4" t="s">
        <v>241</v>
      </c>
      <c r="CS2317" s="4" t="s">
        <v>241</v>
      </c>
      <c r="CT2317" s="4">
        <v>0</v>
      </c>
      <c r="CU2317" s="4" t="s">
        <v>262</v>
      </c>
      <c r="CV2317" s="4" t="s">
        <v>263</v>
      </c>
      <c r="CW2317" s="4" t="s">
        <v>263</v>
      </c>
      <c r="CX2317" s="4" t="s">
        <v>264</v>
      </c>
      <c r="DA2317" s="6">
        <f>1</f>
        <v>1</v>
      </c>
      <c r="DC2317" s="4" t="s">
        <v>325</v>
      </c>
      <c r="DD2317" s="4" t="s">
        <v>241</v>
      </c>
      <c r="DF2317" s="4" t="s">
        <v>325</v>
      </c>
      <c r="DG2317" s="6">
        <f>319</f>
        <v>319</v>
      </c>
      <c r="DI2317" s="4" t="s">
        <v>241</v>
      </c>
      <c r="DJ2317" s="4" t="s">
        <v>241</v>
      </c>
      <c r="DK2317" s="4" t="s">
        <v>241</v>
      </c>
      <c r="DL2317" s="4" t="s">
        <v>241</v>
      </c>
      <c r="DP2317" s="4" t="s">
        <v>241</v>
      </c>
      <c r="DQ2317" s="4" t="s">
        <v>241</v>
      </c>
      <c r="DR2317" s="4" t="s">
        <v>241</v>
      </c>
      <c r="DS2317" s="4" t="s">
        <v>241</v>
      </c>
      <c r="DV2317" s="4" t="s">
        <v>426</v>
      </c>
      <c r="DW2317" s="4" t="s">
        <v>3095</v>
      </c>
      <c r="HO2317" s="4" t="s">
        <v>267</v>
      </c>
    </row>
    <row r="2318" spans="1:223" ht="19.5" customHeight="1" x14ac:dyDescent="0.4">
      <c r="A2318" s="4">
        <v>1</v>
      </c>
      <c r="B2318" s="4" t="s">
        <v>239</v>
      </c>
      <c r="C2318" s="4">
        <v>4021</v>
      </c>
      <c r="D2318" s="4">
        <v>1</v>
      </c>
      <c r="E2318" s="4">
        <v>1</v>
      </c>
      <c r="F2318" s="4" t="s">
        <v>268</v>
      </c>
      <c r="G2318" s="4" t="s">
        <v>241</v>
      </c>
      <c r="H2318" s="4" t="s">
        <v>241</v>
      </c>
      <c r="I2318" s="4" t="s">
        <v>424</v>
      </c>
      <c r="J2318" s="4" t="s">
        <v>274</v>
      </c>
      <c r="K2318" s="4" t="s">
        <v>251</v>
      </c>
      <c r="L2318" s="4" t="s">
        <v>423</v>
      </c>
      <c r="M2318" s="5" t="s">
        <v>3261</v>
      </c>
      <c r="N2318" s="6">
        <f>253</f>
        <v>253</v>
      </c>
      <c r="O2318" s="4" t="s">
        <v>265</v>
      </c>
      <c r="P2318" s="6">
        <f>1</f>
        <v>1</v>
      </c>
      <c r="Q2318" s="6">
        <f>0</f>
        <v>0</v>
      </c>
      <c r="S2318" s="6">
        <f>0</f>
        <v>0</v>
      </c>
      <c r="T2318" s="6">
        <f>1</f>
        <v>1</v>
      </c>
      <c r="U2318" s="5" t="s">
        <v>245</v>
      </c>
      <c r="V2318" s="4" t="s">
        <v>270</v>
      </c>
      <c r="W2318" s="4" t="s">
        <v>271</v>
      </c>
      <c r="X2318" s="4" t="s">
        <v>273</v>
      </c>
      <c r="Y2318" s="4" t="s">
        <v>241</v>
      </c>
      <c r="AB2318" s="4" t="s">
        <v>241</v>
      </c>
      <c r="AD2318" s="5" t="s">
        <v>241</v>
      </c>
      <c r="AG2318" s="5" t="s">
        <v>246</v>
      </c>
      <c r="AH2318" s="4" t="s">
        <v>241</v>
      </c>
      <c r="AI2318" s="4" t="s">
        <v>247</v>
      </c>
      <c r="AJ2318" s="4" t="s">
        <v>248</v>
      </c>
      <c r="AZ2318" s="4" t="s">
        <v>249</v>
      </c>
      <c r="BA2318" s="4" t="s">
        <v>241</v>
      </c>
      <c r="BB2318" s="4" t="s">
        <v>250</v>
      </c>
      <c r="BC2318" s="4" t="s">
        <v>241</v>
      </c>
      <c r="BD2318" s="4" t="s">
        <v>252</v>
      </c>
      <c r="BE2318" s="4" t="s">
        <v>241</v>
      </c>
      <c r="BI2318" s="4" t="s">
        <v>253</v>
      </c>
      <c r="BJ2318" s="5" t="s">
        <v>246</v>
      </c>
      <c r="BK2318" s="4" t="s">
        <v>254</v>
      </c>
      <c r="BL2318" s="4" t="s">
        <v>255</v>
      </c>
      <c r="BM2318" s="4" t="s">
        <v>241</v>
      </c>
      <c r="BN2318" s="6">
        <f>0</f>
        <v>0</v>
      </c>
      <c r="BO2318" s="6">
        <f>0</f>
        <v>0</v>
      </c>
      <c r="BP2318" s="4" t="s">
        <v>256</v>
      </c>
      <c r="BQ2318" s="4" t="s">
        <v>257</v>
      </c>
      <c r="CE2318" s="4" t="s">
        <v>241</v>
      </c>
      <c r="CF2318" s="4" t="s">
        <v>241</v>
      </c>
      <c r="CJ2318" s="4" t="s">
        <v>276</v>
      </c>
      <c r="CK2318" s="4" t="s">
        <v>259</v>
      </c>
      <c r="CL2318" s="4" t="s">
        <v>241</v>
      </c>
      <c r="CO2318" s="5" t="s">
        <v>260</v>
      </c>
      <c r="CP2318" s="4" t="s">
        <v>241</v>
      </c>
      <c r="CQ2318" s="4" t="s">
        <v>261</v>
      </c>
      <c r="CR2318" s="4" t="s">
        <v>241</v>
      </c>
      <c r="CS2318" s="4" t="s">
        <v>241</v>
      </c>
      <c r="CT2318" s="4">
        <v>0</v>
      </c>
      <c r="CU2318" s="4" t="s">
        <v>262</v>
      </c>
      <c r="CV2318" s="4" t="s">
        <v>263</v>
      </c>
      <c r="CW2318" s="4" t="s">
        <v>263</v>
      </c>
      <c r="CX2318" s="4" t="s">
        <v>264</v>
      </c>
      <c r="DA2318" s="6">
        <f>1</f>
        <v>1</v>
      </c>
      <c r="DC2318" s="4" t="s">
        <v>325</v>
      </c>
      <c r="DD2318" s="4" t="s">
        <v>241</v>
      </c>
      <c r="DF2318" s="4" t="s">
        <v>325</v>
      </c>
      <c r="DG2318" s="6">
        <f>253</f>
        <v>253</v>
      </c>
      <c r="DI2318" s="4" t="s">
        <v>241</v>
      </c>
      <c r="DJ2318" s="4" t="s">
        <v>241</v>
      </c>
      <c r="DK2318" s="4" t="s">
        <v>241</v>
      </c>
      <c r="DL2318" s="4" t="s">
        <v>241</v>
      </c>
      <c r="DP2318" s="4" t="s">
        <v>241</v>
      </c>
      <c r="DQ2318" s="4" t="s">
        <v>241</v>
      </c>
      <c r="DR2318" s="4" t="s">
        <v>241</v>
      </c>
      <c r="DS2318" s="4" t="s">
        <v>241</v>
      </c>
      <c r="DV2318" s="4" t="s">
        <v>426</v>
      </c>
      <c r="DW2318" s="4" t="s">
        <v>3093</v>
      </c>
      <c r="HO2318" s="4" t="s">
        <v>267</v>
      </c>
    </row>
    <row r="2319" spans="1:223" ht="19.5" customHeight="1" x14ac:dyDescent="0.4">
      <c r="A2319" s="4">
        <v>1</v>
      </c>
      <c r="B2319" s="4" t="s">
        <v>239</v>
      </c>
      <c r="C2319" s="4">
        <v>4022</v>
      </c>
      <c r="D2319" s="4">
        <v>1</v>
      </c>
      <c r="E2319" s="4">
        <v>1</v>
      </c>
      <c r="F2319" s="4" t="s">
        <v>268</v>
      </c>
      <c r="G2319" s="4" t="s">
        <v>241</v>
      </c>
      <c r="H2319" s="4" t="s">
        <v>241</v>
      </c>
      <c r="I2319" s="4" t="s">
        <v>424</v>
      </c>
      <c r="J2319" s="4" t="s">
        <v>274</v>
      </c>
      <c r="K2319" s="4" t="s">
        <v>251</v>
      </c>
      <c r="L2319" s="4" t="s">
        <v>423</v>
      </c>
      <c r="M2319" s="5" t="s">
        <v>3263</v>
      </c>
      <c r="N2319" s="6">
        <f>48</f>
        <v>48</v>
      </c>
      <c r="O2319" s="4" t="s">
        <v>265</v>
      </c>
      <c r="P2319" s="6">
        <f>1</f>
        <v>1</v>
      </c>
      <c r="Q2319" s="6">
        <f>0</f>
        <v>0</v>
      </c>
      <c r="S2319" s="6">
        <f>0</f>
        <v>0</v>
      </c>
      <c r="T2319" s="6">
        <f>1</f>
        <v>1</v>
      </c>
      <c r="U2319" s="5" t="s">
        <v>245</v>
      </c>
      <c r="V2319" s="4" t="s">
        <v>270</v>
      </c>
      <c r="W2319" s="4" t="s">
        <v>271</v>
      </c>
      <c r="X2319" s="4" t="s">
        <v>273</v>
      </c>
      <c r="Y2319" s="4" t="s">
        <v>241</v>
      </c>
      <c r="AB2319" s="4" t="s">
        <v>241</v>
      </c>
      <c r="AD2319" s="5" t="s">
        <v>241</v>
      </c>
      <c r="AG2319" s="5" t="s">
        <v>246</v>
      </c>
      <c r="AH2319" s="4" t="s">
        <v>241</v>
      </c>
      <c r="AI2319" s="4" t="s">
        <v>247</v>
      </c>
      <c r="AJ2319" s="4" t="s">
        <v>248</v>
      </c>
      <c r="AZ2319" s="4" t="s">
        <v>249</v>
      </c>
      <c r="BA2319" s="4" t="s">
        <v>241</v>
      </c>
      <c r="BB2319" s="4" t="s">
        <v>250</v>
      </c>
      <c r="BC2319" s="4" t="s">
        <v>241</v>
      </c>
      <c r="BD2319" s="4" t="s">
        <v>252</v>
      </c>
      <c r="BE2319" s="4" t="s">
        <v>241</v>
      </c>
      <c r="BI2319" s="4" t="s">
        <v>253</v>
      </c>
      <c r="BJ2319" s="5" t="s">
        <v>246</v>
      </c>
      <c r="BK2319" s="4" t="s">
        <v>254</v>
      </c>
      <c r="BL2319" s="4" t="s">
        <v>255</v>
      </c>
      <c r="BM2319" s="4" t="s">
        <v>241</v>
      </c>
      <c r="BN2319" s="6">
        <f>0</f>
        <v>0</v>
      </c>
      <c r="BO2319" s="6">
        <f>0</f>
        <v>0</v>
      </c>
      <c r="BP2319" s="4" t="s">
        <v>256</v>
      </c>
      <c r="BQ2319" s="4" t="s">
        <v>257</v>
      </c>
      <c r="CE2319" s="4" t="s">
        <v>241</v>
      </c>
      <c r="CF2319" s="4" t="s">
        <v>241</v>
      </c>
      <c r="CJ2319" s="4" t="s">
        <v>276</v>
      </c>
      <c r="CK2319" s="4" t="s">
        <v>259</v>
      </c>
      <c r="CL2319" s="4" t="s">
        <v>241</v>
      </c>
      <c r="CO2319" s="5" t="s">
        <v>260</v>
      </c>
      <c r="CP2319" s="4" t="s">
        <v>241</v>
      </c>
      <c r="CQ2319" s="4" t="s">
        <v>261</v>
      </c>
      <c r="CR2319" s="4" t="s">
        <v>241</v>
      </c>
      <c r="CS2319" s="4" t="s">
        <v>241</v>
      </c>
      <c r="CT2319" s="4">
        <v>0</v>
      </c>
      <c r="CU2319" s="4" t="s">
        <v>262</v>
      </c>
      <c r="CV2319" s="4" t="s">
        <v>263</v>
      </c>
      <c r="CW2319" s="4" t="s">
        <v>263</v>
      </c>
      <c r="CX2319" s="4" t="s">
        <v>264</v>
      </c>
      <c r="DA2319" s="6">
        <f>1</f>
        <v>1</v>
      </c>
      <c r="DC2319" s="4" t="s">
        <v>325</v>
      </c>
      <c r="DD2319" s="4" t="s">
        <v>241</v>
      </c>
      <c r="DF2319" s="4" t="s">
        <v>325</v>
      </c>
      <c r="DG2319" s="6">
        <f>48</f>
        <v>48</v>
      </c>
      <c r="DI2319" s="4" t="s">
        <v>241</v>
      </c>
      <c r="DJ2319" s="4" t="s">
        <v>241</v>
      </c>
      <c r="DK2319" s="4" t="s">
        <v>241</v>
      </c>
      <c r="DL2319" s="4" t="s">
        <v>241</v>
      </c>
      <c r="DP2319" s="4" t="s">
        <v>241</v>
      </c>
      <c r="DQ2319" s="4" t="s">
        <v>241</v>
      </c>
      <c r="DR2319" s="4" t="s">
        <v>241</v>
      </c>
      <c r="DS2319" s="4" t="s">
        <v>241</v>
      </c>
      <c r="DV2319" s="4" t="s">
        <v>426</v>
      </c>
      <c r="DW2319" s="4" t="s">
        <v>3091</v>
      </c>
      <c r="HO2319" s="4" t="s">
        <v>267</v>
      </c>
    </row>
    <row r="2320" spans="1:223" ht="19.5" customHeight="1" x14ac:dyDescent="0.4">
      <c r="A2320" s="4">
        <v>1</v>
      </c>
      <c r="B2320" s="4" t="s">
        <v>239</v>
      </c>
      <c r="C2320" s="4">
        <v>4023</v>
      </c>
      <c r="D2320" s="4">
        <v>1</v>
      </c>
      <c r="E2320" s="4">
        <v>1</v>
      </c>
      <c r="F2320" s="4" t="s">
        <v>268</v>
      </c>
      <c r="G2320" s="4" t="s">
        <v>241</v>
      </c>
      <c r="H2320" s="4" t="s">
        <v>241</v>
      </c>
      <c r="I2320" s="4" t="s">
        <v>424</v>
      </c>
      <c r="J2320" s="4" t="s">
        <v>274</v>
      </c>
      <c r="K2320" s="4" t="s">
        <v>251</v>
      </c>
      <c r="L2320" s="4" t="s">
        <v>423</v>
      </c>
      <c r="M2320" s="5" t="s">
        <v>3264</v>
      </c>
      <c r="N2320" s="6">
        <f>553</f>
        <v>553</v>
      </c>
      <c r="O2320" s="4" t="s">
        <v>265</v>
      </c>
      <c r="P2320" s="6">
        <f>1</f>
        <v>1</v>
      </c>
      <c r="Q2320" s="6">
        <f>0</f>
        <v>0</v>
      </c>
      <c r="S2320" s="6">
        <f>0</f>
        <v>0</v>
      </c>
      <c r="T2320" s="6">
        <f>1</f>
        <v>1</v>
      </c>
      <c r="U2320" s="5" t="s">
        <v>245</v>
      </c>
      <c r="V2320" s="4" t="s">
        <v>270</v>
      </c>
      <c r="W2320" s="4" t="s">
        <v>271</v>
      </c>
      <c r="X2320" s="4" t="s">
        <v>273</v>
      </c>
      <c r="Y2320" s="4" t="s">
        <v>241</v>
      </c>
      <c r="AB2320" s="4" t="s">
        <v>241</v>
      </c>
      <c r="AD2320" s="5" t="s">
        <v>241</v>
      </c>
      <c r="AG2320" s="5" t="s">
        <v>246</v>
      </c>
      <c r="AH2320" s="4" t="s">
        <v>241</v>
      </c>
      <c r="AI2320" s="4" t="s">
        <v>247</v>
      </c>
      <c r="AJ2320" s="4" t="s">
        <v>248</v>
      </c>
      <c r="AZ2320" s="4" t="s">
        <v>249</v>
      </c>
      <c r="BA2320" s="4" t="s">
        <v>241</v>
      </c>
      <c r="BB2320" s="4" t="s">
        <v>250</v>
      </c>
      <c r="BC2320" s="4" t="s">
        <v>241</v>
      </c>
      <c r="BD2320" s="4" t="s">
        <v>252</v>
      </c>
      <c r="BE2320" s="4" t="s">
        <v>241</v>
      </c>
      <c r="BI2320" s="4" t="s">
        <v>253</v>
      </c>
      <c r="BJ2320" s="5" t="s">
        <v>246</v>
      </c>
      <c r="BK2320" s="4" t="s">
        <v>254</v>
      </c>
      <c r="BL2320" s="4" t="s">
        <v>255</v>
      </c>
      <c r="BM2320" s="4" t="s">
        <v>241</v>
      </c>
      <c r="BN2320" s="6">
        <f>0</f>
        <v>0</v>
      </c>
      <c r="BO2320" s="6">
        <f>0</f>
        <v>0</v>
      </c>
      <c r="BP2320" s="4" t="s">
        <v>256</v>
      </c>
      <c r="BQ2320" s="4" t="s">
        <v>257</v>
      </c>
      <c r="CE2320" s="4" t="s">
        <v>241</v>
      </c>
      <c r="CF2320" s="4" t="s">
        <v>241</v>
      </c>
      <c r="CJ2320" s="4" t="s">
        <v>276</v>
      </c>
      <c r="CK2320" s="4" t="s">
        <v>259</v>
      </c>
      <c r="CL2320" s="4" t="s">
        <v>241</v>
      </c>
      <c r="CO2320" s="5" t="s">
        <v>260</v>
      </c>
      <c r="CP2320" s="4" t="s">
        <v>241</v>
      </c>
      <c r="CQ2320" s="4" t="s">
        <v>261</v>
      </c>
      <c r="CR2320" s="4" t="s">
        <v>241</v>
      </c>
      <c r="CS2320" s="4" t="s">
        <v>241</v>
      </c>
      <c r="CT2320" s="4">
        <v>0</v>
      </c>
      <c r="CU2320" s="4" t="s">
        <v>262</v>
      </c>
      <c r="CV2320" s="4" t="s">
        <v>263</v>
      </c>
      <c r="CW2320" s="4" t="s">
        <v>263</v>
      </c>
      <c r="CX2320" s="4" t="s">
        <v>264</v>
      </c>
      <c r="DA2320" s="6">
        <f>1</f>
        <v>1</v>
      </c>
      <c r="DC2320" s="4" t="s">
        <v>325</v>
      </c>
      <c r="DD2320" s="4" t="s">
        <v>241</v>
      </c>
      <c r="DF2320" s="4" t="s">
        <v>325</v>
      </c>
      <c r="DG2320" s="6">
        <f>553</f>
        <v>553</v>
      </c>
      <c r="DI2320" s="4" t="s">
        <v>241</v>
      </c>
      <c r="DJ2320" s="4" t="s">
        <v>241</v>
      </c>
      <c r="DK2320" s="4" t="s">
        <v>241</v>
      </c>
      <c r="DL2320" s="4" t="s">
        <v>241</v>
      </c>
      <c r="DP2320" s="4" t="s">
        <v>241</v>
      </c>
      <c r="DQ2320" s="4" t="s">
        <v>241</v>
      </c>
      <c r="DR2320" s="4" t="s">
        <v>241</v>
      </c>
      <c r="DS2320" s="4" t="s">
        <v>241</v>
      </c>
      <c r="DV2320" s="4" t="s">
        <v>426</v>
      </c>
      <c r="DW2320" s="4" t="s">
        <v>3089</v>
      </c>
      <c r="HO2320" s="4" t="s">
        <v>267</v>
      </c>
    </row>
    <row r="2321" spans="1:223" ht="19.5" customHeight="1" x14ac:dyDescent="0.4">
      <c r="A2321" s="4">
        <v>1</v>
      </c>
      <c r="B2321" s="4" t="s">
        <v>239</v>
      </c>
      <c r="C2321" s="4">
        <v>4024</v>
      </c>
      <c r="D2321" s="4">
        <v>1</v>
      </c>
      <c r="E2321" s="4">
        <v>1</v>
      </c>
      <c r="F2321" s="4" t="s">
        <v>268</v>
      </c>
      <c r="G2321" s="4" t="s">
        <v>241</v>
      </c>
      <c r="H2321" s="4" t="s">
        <v>241</v>
      </c>
      <c r="I2321" s="4" t="s">
        <v>424</v>
      </c>
      <c r="J2321" s="4" t="s">
        <v>274</v>
      </c>
      <c r="K2321" s="4" t="s">
        <v>251</v>
      </c>
      <c r="L2321" s="4" t="s">
        <v>423</v>
      </c>
      <c r="M2321" s="5" t="s">
        <v>3266</v>
      </c>
      <c r="N2321" s="6">
        <f>2119</f>
        <v>2119</v>
      </c>
      <c r="O2321" s="4" t="s">
        <v>265</v>
      </c>
      <c r="P2321" s="6">
        <f>1</f>
        <v>1</v>
      </c>
      <c r="Q2321" s="6">
        <f>0</f>
        <v>0</v>
      </c>
      <c r="S2321" s="6">
        <f>0</f>
        <v>0</v>
      </c>
      <c r="T2321" s="6">
        <f>1</f>
        <v>1</v>
      </c>
      <c r="U2321" s="5" t="s">
        <v>245</v>
      </c>
      <c r="V2321" s="4" t="s">
        <v>270</v>
      </c>
      <c r="W2321" s="4" t="s">
        <v>271</v>
      </c>
      <c r="X2321" s="4" t="s">
        <v>273</v>
      </c>
      <c r="Y2321" s="4" t="s">
        <v>241</v>
      </c>
      <c r="AB2321" s="4" t="s">
        <v>241</v>
      </c>
      <c r="AD2321" s="5" t="s">
        <v>241</v>
      </c>
      <c r="AG2321" s="5" t="s">
        <v>246</v>
      </c>
      <c r="AH2321" s="4" t="s">
        <v>241</v>
      </c>
      <c r="AI2321" s="4" t="s">
        <v>247</v>
      </c>
      <c r="AJ2321" s="4" t="s">
        <v>248</v>
      </c>
      <c r="AZ2321" s="4" t="s">
        <v>249</v>
      </c>
      <c r="BA2321" s="4" t="s">
        <v>241</v>
      </c>
      <c r="BB2321" s="4" t="s">
        <v>250</v>
      </c>
      <c r="BC2321" s="4" t="s">
        <v>241</v>
      </c>
      <c r="BD2321" s="4" t="s">
        <v>252</v>
      </c>
      <c r="BE2321" s="4" t="s">
        <v>241</v>
      </c>
      <c r="BI2321" s="4" t="s">
        <v>253</v>
      </c>
      <c r="BJ2321" s="5" t="s">
        <v>246</v>
      </c>
      <c r="BK2321" s="4" t="s">
        <v>254</v>
      </c>
      <c r="BL2321" s="4" t="s">
        <v>255</v>
      </c>
      <c r="BM2321" s="4" t="s">
        <v>241</v>
      </c>
      <c r="BN2321" s="6">
        <f>0</f>
        <v>0</v>
      </c>
      <c r="BO2321" s="6">
        <f>0</f>
        <v>0</v>
      </c>
      <c r="BP2321" s="4" t="s">
        <v>256</v>
      </c>
      <c r="BQ2321" s="4" t="s">
        <v>257</v>
      </c>
      <c r="CE2321" s="4" t="s">
        <v>241</v>
      </c>
      <c r="CF2321" s="4" t="s">
        <v>241</v>
      </c>
      <c r="CJ2321" s="4" t="s">
        <v>276</v>
      </c>
      <c r="CK2321" s="4" t="s">
        <v>259</v>
      </c>
      <c r="CL2321" s="4" t="s">
        <v>241</v>
      </c>
      <c r="CO2321" s="5" t="s">
        <v>260</v>
      </c>
      <c r="CP2321" s="4" t="s">
        <v>241</v>
      </c>
      <c r="CQ2321" s="4" t="s">
        <v>261</v>
      </c>
      <c r="CR2321" s="4" t="s">
        <v>241</v>
      </c>
      <c r="CS2321" s="4" t="s">
        <v>241</v>
      </c>
      <c r="CT2321" s="4">
        <v>0</v>
      </c>
      <c r="CU2321" s="4" t="s">
        <v>262</v>
      </c>
      <c r="CV2321" s="4" t="s">
        <v>263</v>
      </c>
      <c r="CW2321" s="4" t="s">
        <v>263</v>
      </c>
      <c r="CX2321" s="4" t="s">
        <v>264</v>
      </c>
      <c r="DA2321" s="6">
        <f>1</f>
        <v>1</v>
      </c>
      <c r="DC2321" s="4" t="s">
        <v>325</v>
      </c>
      <c r="DD2321" s="4" t="s">
        <v>241</v>
      </c>
      <c r="DF2321" s="4" t="s">
        <v>325</v>
      </c>
      <c r="DG2321" s="6">
        <f>2119</f>
        <v>2119</v>
      </c>
      <c r="DI2321" s="4" t="s">
        <v>241</v>
      </c>
      <c r="DJ2321" s="4" t="s">
        <v>241</v>
      </c>
      <c r="DK2321" s="4" t="s">
        <v>241</v>
      </c>
      <c r="DL2321" s="4" t="s">
        <v>241</v>
      </c>
      <c r="DP2321" s="4" t="s">
        <v>241</v>
      </c>
      <c r="DQ2321" s="4" t="s">
        <v>241</v>
      </c>
      <c r="DR2321" s="4" t="s">
        <v>241</v>
      </c>
      <c r="DS2321" s="4" t="s">
        <v>241</v>
      </c>
      <c r="DV2321" s="4" t="s">
        <v>426</v>
      </c>
      <c r="DW2321" s="4" t="s">
        <v>3087</v>
      </c>
      <c r="HO2321" s="4" t="s">
        <v>267</v>
      </c>
    </row>
    <row r="2322" spans="1:223" ht="19.5" customHeight="1" x14ac:dyDescent="0.4">
      <c r="A2322" s="4">
        <v>1</v>
      </c>
      <c r="B2322" s="4" t="s">
        <v>239</v>
      </c>
      <c r="C2322" s="4">
        <v>4025</v>
      </c>
      <c r="D2322" s="4">
        <v>1</v>
      </c>
      <c r="E2322" s="4">
        <v>1</v>
      </c>
      <c r="F2322" s="4" t="s">
        <v>268</v>
      </c>
      <c r="G2322" s="4" t="s">
        <v>241</v>
      </c>
      <c r="H2322" s="4" t="s">
        <v>241</v>
      </c>
      <c r="I2322" s="4" t="s">
        <v>424</v>
      </c>
      <c r="J2322" s="4" t="s">
        <v>274</v>
      </c>
      <c r="K2322" s="4" t="s">
        <v>251</v>
      </c>
      <c r="L2322" s="4" t="s">
        <v>423</v>
      </c>
      <c r="M2322" s="5" t="s">
        <v>3270</v>
      </c>
      <c r="N2322" s="6">
        <f>1400</f>
        <v>1400</v>
      </c>
      <c r="O2322" s="4" t="s">
        <v>265</v>
      </c>
      <c r="P2322" s="6">
        <f>1</f>
        <v>1</v>
      </c>
      <c r="Q2322" s="6">
        <f>0</f>
        <v>0</v>
      </c>
      <c r="S2322" s="6">
        <f>0</f>
        <v>0</v>
      </c>
      <c r="T2322" s="6">
        <f>1</f>
        <v>1</v>
      </c>
      <c r="U2322" s="5" t="s">
        <v>245</v>
      </c>
      <c r="V2322" s="4" t="s">
        <v>270</v>
      </c>
      <c r="W2322" s="4" t="s">
        <v>271</v>
      </c>
      <c r="X2322" s="4" t="s">
        <v>273</v>
      </c>
      <c r="Y2322" s="4" t="s">
        <v>241</v>
      </c>
      <c r="AB2322" s="4" t="s">
        <v>241</v>
      </c>
      <c r="AD2322" s="5" t="s">
        <v>241</v>
      </c>
      <c r="AG2322" s="5" t="s">
        <v>246</v>
      </c>
      <c r="AH2322" s="4" t="s">
        <v>241</v>
      </c>
      <c r="AI2322" s="4" t="s">
        <v>247</v>
      </c>
      <c r="AJ2322" s="4" t="s">
        <v>248</v>
      </c>
      <c r="AZ2322" s="4" t="s">
        <v>249</v>
      </c>
      <c r="BA2322" s="4" t="s">
        <v>241</v>
      </c>
      <c r="BB2322" s="4" t="s">
        <v>250</v>
      </c>
      <c r="BC2322" s="4" t="s">
        <v>241</v>
      </c>
      <c r="BD2322" s="4" t="s">
        <v>252</v>
      </c>
      <c r="BE2322" s="4" t="s">
        <v>241</v>
      </c>
      <c r="BI2322" s="4" t="s">
        <v>253</v>
      </c>
      <c r="BJ2322" s="5" t="s">
        <v>246</v>
      </c>
      <c r="BK2322" s="4" t="s">
        <v>254</v>
      </c>
      <c r="BL2322" s="4" t="s">
        <v>255</v>
      </c>
      <c r="BM2322" s="4" t="s">
        <v>241</v>
      </c>
      <c r="BN2322" s="6">
        <f>0</f>
        <v>0</v>
      </c>
      <c r="BO2322" s="6">
        <f>0</f>
        <v>0</v>
      </c>
      <c r="BP2322" s="4" t="s">
        <v>256</v>
      </c>
      <c r="BQ2322" s="4" t="s">
        <v>257</v>
      </c>
      <c r="CE2322" s="4" t="s">
        <v>241</v>
      </c>
      <c r="CF2322" s="4" t="s">
        <v>241</v>
      </c>
      <c r="CJ2322" s="4" t="s">
        <v>276</v>
      </c>
      <c r="CK2322" s="4" t="s">
        <v>259</v>
      </c>
      <c r="CL2322" s="4" t="s">
        <v>241</v>
      </c>
      <c r="CO2322" s="5" t="s">
        <v>260</v>
      </c>
      <c r="CP2322" s="4" t="s">
        <v>241</v>
      </c>
      <c r="CQ2322" s="4" t="s">
        <v>261</v>
      </c>
      <c r="CR2322" s="4" t="s">
        <v>241</v>
      </c>
      <c r="CS2322" s="4" t="s">
        <v>241</v>
      </c>
      <c r="CT2322" s="4">
        <v>0</v>
      </c>
      <c r="CU2322" s="4" t="s">
        <v>262</v>
      </c>
      <c r="CV2322" s="4" t="s">
        <v>263</v>
      </c>
      <c r="CW2322" s="4" t="s">
        <v>263</v>
      </c>
      <c r="CX2322" s="4" t="s">
        <v>264</v>
      </c>
      <c r="DA2322" s="6">
        <f>1</f>
        <v>1</v>
      </c>
      <c r="DC2322" s="4" t="s">
        <v>325</v>
      </c>
      <c r="DD2322" s="4" t="s">
        <v>241</v>
      </c>
      <c r="DF2322" s="4" t="s">
        <v>325</v>
      </c>
      <c r="DG2322" s="6">
        <f>1400</f>
        <v>1400</v>
      </c>
      <c r="DI2322" s="4" t="s">
        <v>241</v>
      </c>
      <c r="DJ2322" s="4" t="s">
        <v>241</v>
      </c>
      <c r="DK2322" s="4" t="s">
        <v>241</v>
      </c>
      <c r="DL2322" s="4" t="s">
        <v>241</v>
      </c>
      <c r="DP2322" s="4" t="s">
        <v>241</v>
      </c>
      <c r="DQ2322" s="4" t="s">
        <v>241</v>
      </c>
      <c r="DR2322" s="4" t="s">
        <v>241</v>
      </c>
      <c r="DS2322" s="4" t="s">
        <v>241</v>
      </c>
      <c r="DV2322" s="4" t="s">
        <v>426</v>
      </c>
      <c r="DW2322" s="4" t="s">
        <v>3085</v>
      </c>
      <c r="HO2322" s="4" t="s">
        <v>267</v>
      </c>
    </row>
    <row r="2323" spans="1:223" ht="19.5" customHeight="1" x14ac:dyDescent="0.4">
      <c r="A2323" s="4">
        <v>1</v>
      </c>
      <c r="B2323" s="4" t="s">
        <v>239</v>
      </c>
      <c r="C2323" s="4">
        <v>4026</v>
      </c>
      <c r="D2323" s="4">
        <v>1</v>
      </c>
      <c r="E2323" s="4">
        <v>1</v>
      </c>
      <c r="F2323" s="4" t="s">
        <v>268</v>
      </c>
      <c r="G2323" s="4" t="s">
        <v>241</v>
      </c>
      <c r="H2323" s="4" t="s">
        <v>241</v>
      </c>
      <c r="I2323" s="4" t="s">
        <v>424</v>
      </c>
      <c r="J2323" s="4" t="s">
        <v>274</v>
      </c>
      <c r="K2323" s="4" t="s">
        <v>251</v>
      </c>
      <c r="L2323" s="4" t="s">
        <v>423</v>
      </c>
      <c r="M2323" s="5" t="s">
        <v>3272</v>
      </c>
      <c r="N2323" s="6">
        <f>626</f>
        <v>626</v>
      </c>
      <c r="O2323" s="4" t="s">
        <v>265</v>
      </c>
      <c r="P2323" s="6">
        <f>1</f>
        <v>1</v>
      </c>
      <c r="Q2323" s="6">
        <f>0</f>
        <v>0</v>
      </c>
      <c r="S2323" s="6">
        <f>0</f>
        <v>0</v>
      </c>
      <c r="T2323" s="6">
        <f>1</f>
        <v>1</v>
      </c>
      <c r="U2323" s="5" t="s">
        <v>245</v>
      </c>
      <c r="V2323" s="4" t="s">
        <v>270</v>
      </c>
      <c r="W2323" s="4" t="s">
        <v>271</v>
      </c>
      <c r="X2323" s="4" t="s">
        <v>273</v>
      </c>
      <c r="Y2323" s="4" t="s">
        <v>241</v>
      </c>
      <c r="AB2323" s="4" t="s">
        <v>241</v>
      </c>
      <c r="AD2323" s="5" t="s">
        <v>241</v>
      </c>
      <c r="AG2323" s="5" t="s">
        <v>246</v>
      </c>
      <c r="AH2323" s="4" t="s">
        <v>241</v>
      </c>
      <c r="AI2323" s="4" t="s">
        <v>247</v>
      </c>
      <c r="AJ2323" s="4" t="s">
        <v>248</v>
      </c>
      <c r="AZ2323" s="4" t="s">
        <v>249</v>
      </c>
      <c r="BA2323" s="4" t="s">
        <v>241</v>
      </c>
      <c r="BB2323" s="4" t="s">
        <v>250</v>
      </c>
      <c r="BC2323" s="4" t="s">
        <v>241</v>
      </c>
      <c r="BD2323" s="4" t="s">
        <v>252</v>
      </c>
      <c r="BE2323" s="4" t="s">
        <v>241</v>
      </c>
      <c r="BI2323" s="4" t="s">
        <v>253</v>
      </c>
      <c r="BJ2323" s="5" t="s">
        <v>246</v>
      </c>
      <c r="BK2323" s="4" t="s">
        <v>254</v>
      </c>
      <c r="BL2323" s="4" t="s">
        <v>255</v>
      </c>
      <c r="BM2323" s="4" t="s">
        <v>241</v>
      </c>
      <c r="BN2323" s="6">
        <f>0</f>
        <v>0</v>
      </c>
      <c r="BO2323" s="6">
        <f>0</f>
        <v>0</v>
      </c>
      <c r="BP2323" s="4" t="s">
        <v>256</v>
      </c>
      <c r="BQ2323" s="4" t="s">
        <v>257</v>
      </c>
      <c r="CE2323" s="4" t="s">
        <v>241</v>
      </c>
      <c r="CF2323" s="4" t="s">
        <v>241</v>
      </c>
      <c r="CJ2323" s="4" t="s">
        <v>276</v>
      </c>
      <c r="CK2323" s="4" t="s">
        <v>259</v>
      </c>
      <c r="CL2323" s="4" t="s">
        <v>241</v>
      </c>
      <c r="CO2323" s="5" t="s">
        <v>260</v>
      </c>
      <c r="CP2323" s="4" t="s">
        <v>241</v>
      </c>
      <c r="CQ2323" s="4" t="s">
        <v>261</v>
      </c>
      <c r="CR2323" s="4" t="s">
        <v>241</v>
      </c>
      <c r="CS2323" s="4" t="s">
        <v>241</v>
      </c>
      <c r="CT2323" s="4">
        <v>0</v>
      </c>
      <c r="CU2323" s="4" t="s">
        <v>262</v>
      </c>
      <c r="CV2323" s="4" t="s">
        <v>263</v>
      </c>
      <c r="CW2323" s="4" t="s">
        <v>263</v>
      </c>
      <c r="CX2323" s="4" t="s">
        <v>264</v>
      </c>
      <c r="DA2323" s="6">
        <f>1</f>
        <v>1</v>
      </c>
      <c r="DC2323" s="4" t="s">
        <v>325</v>
      </c>
      <c r="DD2323" s="4" t="s">
        <v>241</v>
      </c>
      <c r="DF2323" s="4" t="s">
        <v>325</v>
      </c>
      <c r="DG2323" s="6">
        <f>626</f>
        <v>626</v>
      </c>
      <c r="DI2323" s="4" t="s">
        <v>241</v>
      </c>
      <c r="DJ2323" s="4" t="s">
        <v>241</v>
      </c>
      <c r="DK2323" s="4" t="s">
        <v>241</v>
      </c>
      <c r="DL2323" s="4" t="s">
        <v>241</v>
      </c>
      <c r="DP2323" s="4" t="s">
        <v>241</v>
      </c>
      <c r="DQ2323" s="4" t="s">
        <v>241</v>
      </c>
      <c r="DR2323" s="4" t="s">
        <v>241</v>
      </c>
      <c r="DS2323" s="4" t="s">
        <v>241</v>
      </c>
      <c r="DV2323" s="4" t="s">
        <v>426</v>
      </c>
      <c r="DW2323" s="4" t="s">
        <v>3083</v>
      </c>
      <c r="HO2323" s="4" t="s">
        <v>267</v>
      </c>
    </row>
    <row r="2324" spans="1:223" ht="19.5" customHeight="1" x14ac:dyDescent="0.4">
      <c r="A2324" s="4">
        <v>1</v>
      </c>
      <c r="B2324" s="4" t="s">
        <v>239</v>
      </c>
      <c r="C2324" s="4">
        <v>4027</v>
      </c>
      <c r="D2324" s="4">
        <v>1</v>
      </c>
      <c r="E2324" s="4">
        <v>1</v>
      </c>
      <c r="F2324" s="4" t="s">
        <v>268</v>
      </c>
      <c r="G2324" s="4" t="s">
        <v>241</v>
      </c>
      <c r="H2324" s="4" t="s">
        <v>241</v>
      </c>
      <c r="I2324" s="4" t="s">
        <v>424</v>
      </c>
      <c r="J2324" s="4" t="s">
        <v>274</v>
      </c>
      <c r="K2324" s="4" t="s">
        <v>251</v>
      </c>
      <c r="L2324" s="4" t="s">
        <v>423</v>
      </c>
      <c r="M2324" s="5" t="s">
        <v>3273</v>
      </c>
      <c r="N2324" s="6">
        <f>1091</f>
        <v>1091</v>
      </c>
      <c r="O2324" s="4" t="s">
        <v>265</v>
      </c>
      <c r="P2324" s="6">
        <f>1</f>
        <v>1</v>
      </c>
      <c r="Q2324" s="6">
        <f>0</f>
        <v>0</v>
      </c>
      <c r="S2324" s="6">
        <f>0</f>
        <v>0</v>
      </c>
      <c r="T2324" s="6">
        <f>1</f>
        <v>1</v>
      </c>
      <c r="U2324" s="5" t="s">
        <v>245</v>
      </c>
      <c r="V2324" s="4" t="s">
        <v>270</v>
      </c>
      <c r="W2324" s="4" t="s">
        <v>271</v>
      </c>
      <c r="X2324" s="4" t="s">
        <v>273</v>
      </c>
      <c r="Y2324" s="4" t="s">
        <v>241</v>
      </c>
      <c r="AB2324" s="4" t="s">
        <v>241</v>
      </c>
      <c r="AD2324" s="5" t="s">
        <v>241</v>
      </c>
      <c r="AG2324" s="5" t="s">
        <v>246</v>
      </c>
      <c r="AH2324" s="4" t="s">
        <v>241</v>
      </c>
      <c r="AI2324" s="4" t="s">
        <v>247</v>
      </c>
      <c r="AJ2324" s="4" t="s">
        <v>248</v>
      </c>
      <c r="AZ2324" s="4" t="s">
        <v>249</v>
      </c>
      <c r="BA2324" s="4" t="s">
        <v>241</v>
      </c>
      <c r="BB2324" s="4" t="s">
        <v>250</v>
      </c>
      <c r="BC2324" s="4" t="s">
        <v>241</v>
      </c>
      <c r="BD2324" s="4" t="s">
        <v>252</v>
      </c>
      <c r="BE2324" s="4" t="s">
        <v>241</v>
      </c>
      <c r="BI2324" s="4" t="s">
        <v>253</v>
      </c>
      <c r="BJ2324" s="5" t="s">
        <v>246</v>
      </c>
      <c r="BK2324" s="4" t="s">
        <v>254</v>
      </c>
      <c r="BL2324" s="4" t="s">
        <v>255</v>
      </c>
      <c r="BM2324" s="4" t="s">
        <v>241</v>
      </c>
      <c r="BN2324" s="6">
        <f>0</f>
        <v>0</v>
      </c>
      <c r="BO2324" s="6">
        <f>0</f>
        <v>0</v>
      </c>
      <c r="BP2324" s="4" t="s">
        <v>256</v>
      </c>
      <c r="BQ2324" s="4" t="s">
        <v>257</v>
      </c>
      <c r="CE2324" s="4" t="s">
        <v>241</v>
      </c>
      <c r="CF2324" s="4" t="s">
        <v>241</v>
      </c>
      <c r="CJ2324" s="4" t="s">
        <v>276</v>
      </c>
      <c r="CK2324" s="4" t="s">
        <v>259</v>
      </c>
      <c r="CL2324" s="4" t="s">
        <v>241</v>
      </c>
      <c r="CO2324" s="5" t="s">
        <v>260</v>
      </c>
      <c r="CP2324" s="4" t="s">
        <v>241</v>
      </c>
      <c r="CQ2324" s="4" t="s">
        <v>261</v>
      </c>
      <c r="CR2324" s="4" t="s">
        <v>241</v>
      </c>
      <c r="CS2324" s="4" t="s">
        <v>241</v>
      </c>
      <c r="CT2324" s="4">
        <v>0</v>
      </c>
      <c r="CU2324" s="4" t="s">
        <v>262</v>
      </c>
      <c r="CV2324" s="4" t="s">
        <v>263</v>
      </c>
      <c r="CW2324" s="4" t="s">
        <v>263</v>
      </c>
      <c r="CX2324" s="4" t="s">
        <v>264</v>
      </c>
      <c r="DA2324" s="6">
        <f>1</f>
        <v>1</v>
      </c>
      <c r="DC2324" s="4" t="s">
        <v>325</v>
      </c>
      <c r="DD2324" s="4" t="s">
        <v>241</v>
      </c>
      <c r="DF2324" s="4" t="s">
        <v>325</v>
      </c>
      <c r="DG2324" s="6">
        <f>1091</f>
        <v>1091</v>
      </c>
      <c r="DI2324" s="4" t="s">
        <v>241</v>
      </c>
      <c r="DJ2324" s="4" t="s">
        <v>241</v>
      </c>
      <c r="DK2324" s="4" t="s">
        <v>241</v>
      </c>
      <c r="DL2324" s="4" t="s">
        <v>241</v>
      </c>
      <c r="DP2324" s="4" t="s">
        <v>241</v>
      </c>
      <c r="DQ2324" s="4" t="s">
        <v>241</v>
      </c>
      <c r="DR2324" s="4" t="s">
        <v>241</v>
      </c>
      <c r="DS2324" s="4" t="s">
        <v>241</v>
      </c>
      <c r="DV2324" s="4" t="s">
        <v>426</v>
      </c>
      <c r="DW2324" s="4" t="s">
        <v>3081</v>
      </c>
      <c r="HO2324" s="4" t="s">
        <v>267</v>
      </c>
    </row>
    <row r="2325" spans="1:223" ht="19.5" customHeight="1" x14ac:dyDescent="0.4">
      <c r="A2325" s="4">
        <v>1</v>
      </c>
      <c r="B2325" s="4" t="s">
        <v>239</v>
      </c>
      <c r="C2325" s="4">
        <v>4028</v>
      </c>
      <c r="D2325" s="4">
        <v>1</v>
      </c>
      <c r="E2325" s="4">
        <v>1</v>
      </c>
      <c r="F2325" s="4" t="s">
        <v>268</v>
      </c>
      <c r="G2325" s="4" t="s">
        <v>241</v>
      </c>
      <c r="H2325" s="4" t="s">
        <v>241</v>
      </c>
      <c r="I2325" s="4" t="s">
        <v>424</v>
      </c>
      <c r="J2325" s="4" t="s">
        <v>274</v>
      </c>
      <c r="K2325" s="4" t="s">
        <v>251</v>
      </c>
      <c r="L2325" s="4" t="s">
        <v>423</v>
      </c>
      <c r="M2325" s="5" t="s">
        <v>3275</v>
      </c>
      <c r="N2325" s="6">
        <f>174</f>
        <v>174</v>
      </c>
      <c r="O2325" s="4" t="s">
        <v>265</v>
      </c>
      <c r="P2325" s="6">
        <f>1</f>
        <v>1</v>
      </c>
      <c r="Q2325" s="6">
        <f>0</f>
        <v>0</v>
      </c>
      <c r="S2325" s="6">
        <f>0</f>
        <v>0</v>
      </c>
      <c r="T2325" s="6">
        <f>1</f>
        <v>1</v>
      </c>
      <c r="U2325" s="5" t="s">
        <v>245</v>
      </c>
      <c r="V2325" s="4" t="s">
        <v>270</v>
      </c>
      <c r="W2325" s="4" t="s">
        <v>271</v>
      </c>
      <c r="X2325" s="4" t="s">
        <v>273</v>
      </c>
      <c r="Y2325" s="4" t="s">
        <v>241</v>
      </c>
      <c r="AB2325" s="4" t="s">
        <v>241</v>
      </c>
      <c r="AD2325" s="5" t="s">
        <v>241</v>
      </c>
      <c r="AG2325" s="5" t="s">
        <v>246</v>
      </c>
      <c r="AH2325" s="4" t="s">
        <v>241</v>
      </c>
      <c r="AI2325" s="4" t="s">
        <v>247</v>
      </c>
      <c r="AJ2325" s="4" t="s">
        <v>248</v>
      </c>
      <c r="AZ2325" s="4" t="s">
        <v>249</v>
      </c>
      <c r="BA2325" s="4" t="s">
        <v>241</v>
      </c>
      <c r="BB2325" s="4" t="s">
        <v>250</v>
      </c>
      <c r="BC2325" s="4" t="s">
        <v>241</v>
      </c>
      <c r="BD2325" s="4" t="s">
        <v>252</v>
      </c>
      <c r="BE2325" s="4" t="s">
        <v>241</v>
      </c>
      <c r="BI2325" s="4" t="s">
        <v>253</v>
      </c>
      <c r="BJ2325" s="5" t="s">
        <v>246</v>
      </c>
      <c r="BK2325" s="4" t="s">
        <v>254</v>
      </c>
      <c r="BL2325" s="4" t="s">
        <v>255</v>
      </c>
      <c r="BM2325" s="4" t="s">
        <v>241</v>
      </c>
      <c r="BN2325" s="6">
        <f>0</f>
        <v>0</v>
      </c>
      <c r="BO2325" s="6">
        <f>0</f>
        <v>0</v>
      </c>
      <c r="BP2325" s="4" t="s">
        <v>256</v>
      </c>
      <c r="BQ2325" s="4" t="s">
        <v>257</v>
      </c>
      <c r="CE2325" s="4" t="s">
        <v>241</v>
      </c>
      <c r="CF2325" s="4" t="s">
        <v>241</v>
      </c>
      <c r="CJ2325" s="4" t="s">
        <v>276</v>
      </c>
      <c r="CK2325" s="4" t="s">
        <v>259</v>
      </c>
      <c r="CL2325" s="4" t="s">
        <v>241</v>
      </c>
      <c r="CO2325" s="5" t="s">
        <v>260</v>
      </c>
      <c r="CP2325" s="4" t="s">
        <v>241</v>
      </c>
      <c r="CQ2325" s="4" t="s">
        <v>261</v>
      </c>
      <c r="CR2325" s="4" t="s">
        <v>241</v>
      </c>
      <c r="CS2325" s="4" t="s">
        <v>241</v>
      </c>
      <c r="CT2325" s="4">
        <v>0</v>
      </c>
      <c r="CU2325" s="4" t="s">
        <v>262</v>
      </c>
      <c r="CV2325" s="4" t="s">
        <v>263</v>
      </c>
      <c r="CW2325" s="4" t="s">
        <v>263</v>
      </c>
      <c r="CX2325" s="4" t="s">
        <v>264</v>
      </c>
      <c r="DA2325" s="6">
        <f>1</f>
        <v>1</v>
      </c>
      <c r="DC2325" s="4" t="s">
        <v>325</v>
      </c>
      <c r="DD2325" s="4" t="s">
        <v>241</v>
      </c>
      <c r="DF2325" s="4" t="s">
        <v>325</v>
      </c>
      <c r="DG2325" s="6">
        <f>174</f>
        <v>174</v>
      </c>
      <c r="DI2325" s="4" t="s">
        <v>241</v>
      </c>
      <c r="DJ2325" s="4" t="s">
        <v>241</v>
      </c>
      <c r="DK2325" s="4" t="s">
        <v>241</v>
      </c>
      <c r="DL2325" s="4" t="s">
        <v>241</v>
      </c>
      <c r="DP2325" s="4" t="s">
        <v>241</v>
      </c>
      <c r="DQ2325" s="4" t="s">
        <v>241</v>
      </c>
      <c r="DR2325" s="4" t="s">
        <v>241</v>
      </c>
      <c r="DS2325" s="4" t="s">
        <v>241</v>
      </c>
      <c r="DV2325" s="4" t="s">
        <v>426</v>
      </c>
      <c r="DW2325" s="4" t="s">
        <v>3079</v>
      </c>
      <c r="HO2325" s="4" t="s">
        <v>267</v>
      </c>
    </row>
    <row r="2326" spans="1:223" ht="19.5" customHeight="1" x14ac:dyDescent="0.4">
      <c r="A2326" s="4">
        <v>1</v>
      </c>
      <c r="B2326" s="4" t="s">
        <v>239</v>
      </c>
      <c r="C2326" s="4">
        <v>4029</v>
      </c>
      <c r="D2326" s="4">
        <v>1</v>
      </c>
      <c r="E2326" s="4">
        <v>1</v>
      </c>
      <c r="F2326" s="4" t="s">
        <v>268</v>
      </c>
      <c r="G2326" s="4" t="s">
        <v>241</v>
      </c>
      <c r="H2326" s="4" t="s">
        <v>241</v>
      </c>
      <c r="I2326" s="4" t="s">
        <v>424</v>
      </c>
      <c r="J2326" s="4" t="s">
        <v>274</v>
      </c>
      <c r="K2326" s="4" t="s">
        <v>251</v>
      </c>
      <c r="L2326" s="4" t="s">
        <v>423</v>
      </c>
      <c r="M2326" s="5" t="s">
        <v>3277</v>
      </c>
      <c r="N2326" s="6">
        <f>726</f>
        <v>726</v>
      </c>
      <c r="O2326" s="4" t="s">
        <v>265</v>
      </c>
      <c r="P2326" s="6">
        <f>1</f>
        <v>1</v>
      </c>
      <c r="Q2326" s="6">
        <f>0</f>
        <v>0</v>
      </c>
      <c r="S2326" s="6">
        <f>0</f>
        <v>0</v>
      </c>
      <c r="T2326" s="6">
        <f>1</f>
        <v>1</v>
      </c>
      <c r="U2326" s="5" t="s">
        <v>245</v>
      </c>
      <c r="V2326" s="4" t="s">
        <v>270</v>
      </c>
      <c r="W2326" s="4" t="s">
        <v>271</v>
      </c>
      <c r="X2326" s="4" t="s">
        <v>273</v>
      </c>
      <c r="Y2326" s="4" t="s">
        <v>241</v>
      </c>
      <c r="AB2326" s="4" t="s">
        <v>241</v>
      </c>
      <c r="AD2326" s="5" t="s">
        <v>241</v>
      </c>
      <c r="AG2326" s="5" t="s">
        <v>246</v>
      </c>
      <c r="AH2326" s="4" t="s">
        <v>241</v>
      </c>
      <c r="AI2326" s="4" t="s">
        <v>247</v>
      </c>
      <c r="AJ2326" s="4" t="s">
        <v>248</v>
      </c>
      <c r="AZ2326" s="4" t="s">
        <v>249</v>
      </c>
      <c r="BA2326" s="4" t="s">
        <v>241</v>
      </c>
      <c r="BB2326" s="4" t="s">
        <v>250</v>
      </c>
      <c r="BC2326" s="4" t="s">
        <v>241</v>
      </c>
      <c r="BD2326" s="4" t="s">
        <v>252</v>
      </c>
      <c r="BE2326" s="4" t="s">
        <v>241</v>
      </c>
      <c r="BI2326" s="4" t="s">
        <v>253</v>
      </c>
      <c r="BJ2326" s="5" t="s">
        <v>246</v>
      </c>
      <c r="BK2326" s="4" t="s">
        <v>254</v>
      </c>
      <c r="BL2326" s="4" t="s">
        <v>255</v>
      </c>
      <c r="BM2326" s="4" t="s">
        <v>241</v>
      </c>
      <c r="BN2326" s="6">
        <f>0</f>
        <v>0</v>
      </c>
      <c r="BO2326" s="6">
        <f>0</f>
        <v>0</v>
      </c>
      <c r="BP2326" s="4" t="s">
        <v>256</v>
      </c>
      <c r="BQ2326" s="4" t="s">
        <v>257</v>
      </c>
      <c r="CE2326" s="4" t="s">
        <v>241</v>
      </c>
      <c r="CF2326" s="4" t="s">
        <v>241</v>
      </c>
      <c r="CJ2326" s="4" t="s">
        <v>276</v>
      </c>
      <c r="CK2326" s="4" t="s">
        <v>259</v>
      </c>
      <c r="CL2326" s="4" t="s">
        <v>241</v>
      </c>
      <c r="CO2326" s="5" t="s">
        <v>260</v>
      </c>
      <c r="CP2326" s="4" t="s">
        <v>241</v>
      </c>
      <c r="CQ2326" s="4" t="s">
        <v>261</v>
      </c>
      <c r="CR2326" s="4" t="s">
        <v>241</v>
      </c>
      <c r="CS2326" s="4" t="s">
        <v>241</v>
      </c>
      <c r="CT2326" s="4">
        <v>0</v>
      </c>
      <c r="CU2326" s="4" t="s">
        <v>262</v>
      </c>
      <c r="CV2326" s="4" t="s">
        <v>263</v>
      </c>
      <c r="CW2326" s="4" t="s">
        <v>263</v>
      </c>
      <c r="CX2326" s="4" t="s">
        <v>264</v>
      </c>
      <c r="DA2326" s="6">
        <f>1</f>
        <v>1</v>
      </c>
      <c r="DC2326" s="4" t="s">
        <v>325</v>
      </c>
      <c r="DD2326" s="4" t="s">
        <v>241</v>
      </c>
      <c r="DF2326" s="4" t="s">
        <v>325</v>
      </c>
      <c r="DG2326" s="6">
        <f>726</f>
        <v>726</v>
      </c>
      <c r="DI2326" s="4" t="s">
        <v>241</v>
      </c>
      <c r="DJ2326" s="4" t="s">
        <v>241</v>
      </c>
      <c r="DK2326" s="4" t="s">
        <v>241</v>
      </c>
      <c r="DL2326" s="4" t="s">
        <v>241</v>
      </c>
      <c r="DP2326" s="4" t="s">
        <v>241</v>
      </c>
      <c r="DQ2326" s="4" t="s">
        <v>241</v>
      </c>
      <c r="DR2326" s="4" t="s">
        <v>241</v>
      </c>
      <c r="DS2326" s="4" t="s">
        <v>241</v>
      </c>
      <c r="DV2326" s="4" t="s">
        <v>426</v>
      </c>
      <c r="DW2326" s="4" t="s">
        <v>3077</v>
      </c>
      <c r="HO2326" s="4" t="s">
        <v>267</v>
      </c>
    </row>
    <row r="2327" spans="1:223" ht="19.5" customHeight="1" x14ac:dyDescent="0.4">
      <c r="A2327" s="4">
        <v>1</v>
      </c>
      <c r="B2327" s="4" t="s">
        <v>239</v>
      </c>
      <c r="C2327" s="4">
        <v>4030</v>
      </c>
      <c r="D2327" s="4">
        <v>1</v>
      </c>
      <c r="E2327" s="4">
        <v>1</v>
      </c>
      <c r="F2327" s="4" t="s">
        <v>268</v>
      </c>
      <c r="G2327" s="4" t="s">
        <v>241</v>
      </c>
      <c r="H2327" s="4" t="s">
        <v>241</v>
      </c>
      <c r="I2327" s="4" t="s">
        <v>424</v>
      </c>
      <c r="J2327" s="4" t="s">
        <v>274</v>
      </c>
      <c r="K2327" s="4" t="s">
        <v>251</v>
      </c>
      <c r="L2327" s="4" t="s">
        <v>423</v>
      </c>
      <c r="M2327" s="5" t="s">
        <v>3279</v>
      </c>
      <c r="N2327" s="6">
        <f>570</f>
        <v>570</v>
      </c>
      <c r="O2327" s="4" t="s">
        <v>265</v>
      </c>
      <c r="P2327" s="6">
        <f>1</f>
        <v>1</v>
      </c>
      <c r="Q2327" s="6">
        <f>0</f>
        <v>0</v>
      </c>
      <c r="S2327" s="6">
        <f>0</f>
        <v>0</v>
      </c>
      <c r="T2327" s="6">
        <f>1</f>
        <v>1</v>
      </c>
      <c r="U2327" s="5" t="s">
        <v>245</v>
      </c>
      <c r="V2327" s="4" t="s">
        <v>270</v>
      </c>
      <c r="W2327" s="4" t="s">
        <v>271</v>
      </c>
      <c r="X2327" s="4" t="s">
        <v>273</v>
      </c>
      <c r="Y2327" s="4" t="s">
        <v>241</v>
      </c>
      <c r="AB2327" s="4" t="s">
        <v>241</v>
      </c>
      <c r="AD2327" s="5" t="s">
        <v>241</v>
      </c>
      <c r="AG2327" s="5" t="s">
        <v>246</v>
      </c>
      <c r="AH2327" s="4" t="s">
        <v>241</v>
      </c>
      <c r="AI2327" s="4" t="s">
        <v>247</v>
      </c>
      <c r="AJ2327" s="4" t="s">
        <v>248</v>
      </c>
      <c r="AZ2327" s="4" t="s">
        <v>249</v>
      </c>
      <c r="BA2327" s="4" t="s">
        <v>241</v>
      </c>
      <c r="BB2327" s="4" t="s">
        <v>250</v>
      </c>
      <c r="BC2327" s="4" t="s">
        <v>241</v>
      </c>
      <c r="BD2327" s="4" t="s">
        <v>252</v>
      </c>
      <c r="BE2327" s="4" t="s">
        <v>241</v>
      </c>
      <c r="BI2327" s="4" t="s">
        <v>253</v>
      </c>
      <c r="BJ2327" s="5" t="s">
        <v>246</v>
      </c>
      <c r="BK2327" s="4" t="s">
        <v>254</v>
      </c>
      <c r="BL2327" s="4" t="s">
        <v>255</v>
      </c>
      <c r="BM2327" s="4" t="s">
        <v>241</v>
      </c>
      <c r="BN2327" s="6">
        <f>0</f>
        <v>0</v>
      </c>
      <c r="BO2327" s="6">
        <f>0</f>
        <v>0</v>
      </c>
      <c r="BP2327" s="4" t="s">
        <v>256</v>
      </c>
      <c r="BQ2327" s="4" t="s">
        <v>257</v>
      </c>
      <c r="CE2327" s="4" t="s">
        <v>241</v>
      </c>
      <c r="CF2327" s="4" t="s">
        <v>241</v>
      </c>
      <c r="CJ2327" s="4" t="s">
        <v>276</v>
      </c>
      <c r="CK2327" s="4" t="s">
        <v>259</v>
      </c>
      <c r="CL2327" s="4" t="s">
        <v>241</v>
      </c>
      <c r="CO2327" s="5" t="s">
        <v>260</v>
      </c>
      <c r="CP2327" s="4" t="s">
        <v>241</v>
      </c>
      <c r="CQ2327" s="4" t="s">
        <v>261</v>
      </c>
      <c r="CR2327" s="4" t="s">
        <v>241</v>
      </c>
      <c r="CS2327" s="4" t="s">
        <v>241</v>
      </c>
      <c r="CT2327" s="4">
        <v>0</v>
      </c>
      <c r="CU2327" s="4" t="s">
        <v>262</v>
      </c>
      <c r="CV2327" s="4" t="s">
        <v>263</v>
      </c>
      <c r="CW2327" s="4" t="s">
        <v>263</v>
      </c>
      <c r="CX2327" s="4" t="s">
        <v>264</v>
      </c>
      <c r="DA2327" s="6">
        <f>1</f>
        <v>1</v>
      </c>
      <c r="DC2327" s="4" t="s">
        <v>325</v>
      </c>
      <c r="DD2327" s="4" t="s">
        <v>241</v>
      </c>
      <c r="DF2327" s="4" t="s">
        <v>325</v>
      </c>
      <c r="DG2327" s="6">
        <f>570</f>
        <v>570</v>
      </c>
      <c r="DI2327" s="4" t="s">
        <v>241</v>
      </c>
      <c r="DJ2327" s="4" t="s">
        <v>241</v>
      </c>
      <c r="DK2327" s="4" t="s">
        <v>241</v>
      </c>
      <c r="DL2327" s="4" t="s">
        <v>241</v>
      </c>
      <c r="DP2327" s="4" t="s">
        <v>241</v>
      </c>
      <c r="DQ2327" s="4" t="s">
        <v>241</v>
      </c>
      <c r="DR2327" s="4" t="s">
        <v>241</v>
      </c>
      <c r="DS2327" s="4" t="s">
        <v>241</v>
      </c>
      <c r="DV2327" s="4" t="s">
        <v>426</v>
      </c>
      <c r="DW2327" s="4" t="s">
        <v>3075</v>
      </c>
      <c r="HO2327" s="4" t="s">
        <v>267</v>
      </c>
    </row>
    <row r="2328" spans="1:223" ht="19.5" customHeight="1" x14ac:dyDescent="0.4">
      <c r="A2328" s="4">
        <v>1</v>
      </c>
      <c r="B2328" s="4" t="s">
        <v>239</v>
      </c>
      <c r="C2328" s="4">
        <v>4031</v>
      </c>
      <c r="D2328" s="4">
        <v>1</v>
      </c>
      <c r="E2328" s="4">
        <v>1</v>
      </c>
      <c r="F2328" s="4" t="s">
        <v>268</v>
      </c>
      <c r="G2328" s="4" t="s">
        <v>241</v>
      </c>
      <c r="H2328" s="4" t="s">
        <v>241</v>
      </c>
      <c r="I2328" s="4" t="s">
        <v>424</v>
      </c>
      <c r="J2328" s="4" t="s">
        <v>274</v>
      </c>
      <c r="K2328" s="4" t="s">
        <v>251</v>
      </c>
      <c r="L2328" s="4" t="s">
        <v>423</v>
      </c>
      <c r="M2328" s="5" t="s">
        <v>3280</v>
      </c>
      <c r="N2328" s="6">
        <f>263</f>
        <v>263</v>
      </c>
      <c r="O2328" s="4" t="s">
        <v>265</v>
      </c>
      <c r="P2328" s="6">
        <f>1</f>
        <v>1</v>
      </c>
      <c r="Q2328" s="6">
        <f>0</f>
        <v>0</v>
      </c>
      <c r="S2328" s="6">
        <f>0</f>
        <v>0</v>
      </c>
      <c r="T2328" s="6">
        <f>1</f>
        <v>1</v>
      </c>
      <c r="U2328" s="5" t="s">
        <v>245</v>
      </c>
      <c r="V2328" s="4" t="s">
        <v>270</v>
      </c>
      <c r="W2328" s="4" t="s">
        <v>271</v>
      </c>
      <c r="X2328" s="4" t="s">
        <v>273</v>
      </c>
      <c r="Y2328" s="4" t="s">
        <v>241</v>
      </c>
      <c r="AB2328" s="4" t="s">
        <v>241</v>
      </c>
      <c r="AD2328" s="5" t="s">
        <v>241</v>
      </c>
      <c r="AG2328" s="5" t="s">
        <v>246</v>
      </c>
      <c r="AH2328" s="4" t="s">
        <v>241</v>
      </c>
      <c r="AI2328" s="4" t="s">
        <v>247</v>
      </c>
      <c r="AJ2328" s="4" t="s">
        <v>248</v>
      </c>
      <c r="AZ2328" s="4" t="s">
        <v>249</v>
      </c>
      <c r="BA2328" s="4" t="s">
        <v>241</v>
      </c>
      <c r="BB2328" s="4" t="s">
        <v>250</v>
      </c>
      <c r="BC2328" s="4" t="s">
        <v>241</v>
      </c>
      <c r="BD2328" s="4" t="s">
        <v>252</v>
      </c>
      <c r="BE2328" s="4" t="s">
        <v>241</v>
      </c>
      <c r="BI2328" s="4" t="s">
        <v>253</v>
      </c>
      <c r="BJ2328" s="5" t="s">
        <v>246</v>
      </c>
      <c r="BK2328" s="4" t="s">
        <v>254</v>
      </c>
      <c r="BL2328" s="4" t="s">
        <v>255</v>
      </c>
      <c r="BM2328" s="4" t="s">
        <v>241</v>
      </c>
      <c r="BN2328" s="6">
        <f>0</f>
        <v>0</v>
      </c>
      <c r="BO2328" s="6">
        <f>0</f>
        <v>0</v>
      </c>
      <c r="BP2328" s="4" t="s">
        <v>256</v>
      </c>
      <c r="BQ2328" s="4" t="s">
        <v>257</v>
      </c>
      <c r="CE2328" s="4" t="s">
        <v>241</v>
      </c>
      <c r="CF2328" s="4" t="s">
        <v>241</v>
      </c>
      <c r="CJ2328" s="4" t="s">
        <v>276</v>
      </c>
      <c r="CK2328" s="4" t="s">
        <v>259</v>
      </c>
      <c r="CL2328" s="4" t="s">
        <v>241</v>
      </c>
      <c r="CO2328" s="5" t="s">
        <v>260</v>
      </c>
      <c r="CP2328" s="4" t="s">
        <v>241</v>
      </c>
      <c r="CQ2328" s="4" t="s">
        <v>261</v>
      </c>
      <c r="CR2328" s="4" t="s">
        <v>241</v>
      </c>
      <c r="CS2328" s="4" t="s">
        <v>241</v>
      </c>
      <c r="CT2328" s="4">
        <v>0</v>
      </c>
      <c r="CU2328" s="4" t="s">
        <v>262</v>
      </c>
      <c r="CV2328" s="4" t="s">
        <v>263</v>
      </c>
      <c r="CW2328" s="4" t="s">
        <v>263</v>
      </c>
      <c r="CX2328" s="4" t="s">
        <v>264</v>
      </c>
      <c r="DA2328" s="6">
        <f>1</f>
        <v>1</v>
      </c>
      <c r="DC2328" s="4" t="s">
        <v>325</v>
      </c>
      <c r="DD2328" s="4" t="s">
        <v>241</v>
      </c>
      <c r="DF2328" s="4" t="s">
        <v>325</v>
      </c>
      <c r="DG2328" s="6">
        <f>263</f>
        <v>263</v>
      </c>
      <c r="DI2328" s="4" t="s">
        <v>241</v>
      </c>
      <c r="DJ2328" s="4" t="s">
        <v>241</v>
      </c>
      <c r="DK2328" s="4" t="s">
        <v>241</v>
      </c>
      <c r="DL2328" s="4" t="s">
        <v>241</v>
      </c>
      <c r="DP2328" s="4" t="s">
        <v>241</v>
      </c>
      <c r="DQ2328" s="4" t="s">
        <v>241</v>
      </c>
      <c r="DR2328" s="4" t="s">
        <v>241</v>
      </c>
      <c r="DS2328" s="4" t="s">
        <v>241</v>
      </c>
      <c r="DV2328" s="4" t="s">
        <v>426</v>
      </c>
      <c r="DW2328" s="4" t="s">
        <v>3073</v>
      </c>
      <c r="HO2328" s="4" t="s">
        <v>267</v>
      </c>
    </row>
    <row r="2329" spans="1:223" ht="19.5" customHeight="1" x14ac:dyDescent="0.4">
      <c r="A2329" s="4">
        <v>1</v>
      </c>
      <c r="B2329" s="4" t="s">
        <v>239</v>
      </c>
      <c r="C2329" s="4">
        <v>4032</v>
      </c>
      <c r="D2329" s="4">
        <v>1</v>
      </c>
      <c r="E2329" s="4">
        <v>1</v>
      </c>
      <c r="F2329" s="4" t="s">
        <v>268</v>
      </c>
      <c r="G2329" s="4" t="s">
        <v>241</v>
      </c>
      <c r="H2329" s="4" t="s">
        <v>241</v>
      </c>
      <c r="I2329" s="4" t="s">
        <v>424</v>
      </c>
      <c r="J2329" s="4" t="s">
        <v>274</v>
      </c>
      <c r="K2329" s="4" t="s">
        <v>251</v>
      </c>
      <c r="L2329" s="4" t="s">
        <v>423</v>
      </c>
      <c r="M2329" s="5" t="s">
        <v>3282</v>
      </c>
      <c r="N2329" s="6">
        <f>2201</f>
        <v>2201</v>
      </c>
      <c r="O2329" s="4" t="s">
        <v>265</v>
      </c>
      <c r="P2329" s="6">
        <f>1</f>
        <v>1</v>
      </c>
      <c r="Q2329" s="6">
        <f>0</f>
        <v>0</v>
      </c>
      <c r="S2329" s="6">
        <f>0</f>
        <v>0</v>
      </c>
      <c r="T2329" s="6">
        <f>1</f>
        <v>1</v>
      </c>
      <c r="U2329" s="5" t="s">
        <v>245</v>
      </c>
      <c r="V2329" s="4" t="s">
        <v>270</v>
      </c>
      <c r="W2329" s="4" t="s">
        <v>271</v>
      </c>
      <c r="X2329" s="4" t="s">
        <v>273</v>
      </c>
      <c r="Y2329" s="4" t="s">
        <v>241</v>
      </c>
      <c r="AB2329" s="4" t="s">
        <v>241</v>
      </c>
      <c r="AD2329" s="5" t="s">
        <v>241</v>
      </c>
      <c r="AG2329" s="5" t="s">
        <v>246</v>
      </c>
      <c r="AH2329" s="4" t="s">
        <v>241</v>
      </c>
      <c r="AI2329" s="4" t="s">
        <v>247</v>
      </c>
      <c r="AJ2329" s="4" t="s">
        <v>248</v>
      </c>
      <c r="AZ2329" s="4" t="s">
        <v>249</v>
      </c>
      <c r="BA2329" s="4" t="s">
        <v>241</v>
      </c>
      <c r="BB2329" s="4" t="s">
        <v>250</v>
      </c>
      <c r="BC2329" s="4" t="s">
        <v>241</v>
      </c>
      <c r="BD2329" s="4" t="s">
        <v>252</v>
      </c>
      <c r="BE2329" s="4" t="s">
        <v>241</v>
      </c>
      <c r="BI2329" s="4" t="s">
        <v>253</v>
      </c>
      <c r="BJ2329" s="5" t="s">
        <v>246</v>
      </c>
      <c r="BK2329" s="4" t="s">
        <v>254</v>
      </c>
      <c r="BL2329" s="4" t="s">
        <v>255</v>
      </c>
      <c r="BM2329" s="4" t="s">
        <v>241</v>
      </c>
      <c r="BN2329" s="6">
        <f>0</f>
        <v>0</v>
      </c>
      <c r="BO2329" s="6">
        <f>0</f>
        <v>0</v>
      </c>
      <c r="BP2329" s="4" t="s">
        <v>256</v>
      </c>
      <c r="BQ2329" s="4" t="s">
        <v>257</v>
      </c>
      <c r="CE2329" s="4" t="s">
        <v>241</v>
      </c>
      <c r="CF2329" s="4" t="s">
        <v>241</v>
      </c>
      <c r="CJ2329" s="4" t="s">
        <v>276</v>
      </c>
      <c r="CK2329" s="4" t="s">
        <v>259</v>
      </c>
      <c r="CL2329" s="4" t="s">
        <v>241</v>
      </c>
      <c r="CO2329" s="5" t="s">
        <v>260</v>
      </c>
      <c r="CP2329" s="4" t="s">
        <v>241</v>
      </c>
      <c r="CQ2329" s="4" t="s">
        <v>261</v>
      </c>
      <c r="CR2329" s="4" t="s">
        <v>241</v>
      </c>
      <c r="CS2329" s="4" t="s">
        <v>241</v>
      </c>
      <c r="CT2329" s="4">
        <v>0</v>
      </c>
      <c r="CU2329" s="4" t="s">
        <v>262</v>
      </c>
      <c r="CV2329" s="4" t="s">
        <v>263</v>
      </c>
      <c r="CW2329" s="4" t="s">
        <v>263</v>
      </c>
      <c r="CX2329" s="4" t="s">
        <v>264</v>
      </c>
      <c r="DA2329" s="6">
        <f>1</f>
        <v>1</v>
      </c>
      <c r="DC2329" s="4" t="s">
        <v>325</v>
      </c>
      <c r="DD2329" s="4" t="s">
        <v>241</v>
      </c>
      <c r="DF2329" s="4" t="s">
        <v>325</v>
      </c>
      <c r="DG2329" s="6">
        <f>2201</f>
        <v>2201</v>
      </c>
      <c r="DI2329" s="4" t="s">
        <v>241</v>
      </c>
      <c r="DJ2329" s="4" t="s">
        <v>241</v>
      </c>
      <c r="DK2329" s="4" t="s">
        <v>241</v>
      </c>
      <c r="DL2329" s="4" t="s">
        <v>241</v>
      </c>
      <c r="DP2329" s="4" t="s">
        <v>241</v>
      </c>
      <c r="DQ2329" s="4" t="s">
        <v>241</v>
      </c>
      <c r="DR2329" s="4" t="s">
        <v>241</v>
      </c>
      <c r="DS2329" s="4" t="s">
        <v>241</v>
      </c>
      <c r="DV2329" s="4" t="s">
        <v>426</v>
      </c>
      <c r="DW2329" s="4" t="s">
        <v>3071</v>
      </c>
      <c r="HO2329" s="4" t="s">
        <v>267</v>
      </c>
    </row>
    <row r="2330" spans="1:223" ht="19.5" customHeight="1" x14ac:dyDescent="0.4">
      <c r="A2330" s="4">
        <v>1</v>
      </c>
      <c r="B2330" s="4" t="s">
        <v>239</v>
      </c>
      <c r="C2330" s="4">
        <v>4033</v>
      </c>
      <c r="D2330" s="4">
        <v>1</v>
      </c>
      <c r="E2330" s="4">
        <v>1</v>
      </c>
      <c r="F2330" s="4" t="s">
        <v>268</v>
      </c>
      <c r="G2330" s="4" t="s">
        <v>241</v>
      </c>
      <c r="H2330" s="4" t="s">
        <v>241</v>
      </c>
      <c r="I2330" s="4" t="s">
        <v>424</v>
      </c>
      <c r="J2330" s="4" t="s">
        <v>274</v>
      </c>
      <c r="K2330" s="4" t="s">
        <v>251</v>
      </c>
      <c r="L2330" s="4" t="s">
        <v>423</v>
      </c>
      <c r="M2330" s="5" t="s">
        <v>4609</v>
      </c>
      <c r="N2330" s="6">
        <f>3099</f>
        <v>3099</v>
      </c>
      <c r="O2330" s="4" t="s">
        <v>265</v>
      </c>
      <c r="P2330" s="6">
        <f>1</f>
        <v>1</v>
      </c>
      <c r="Q2330" s="6">
        <f>0</f>
        <v>0</v>
      </c>
      <c r="S2330" s="6">
        <f>0</f>
        <v>0</v>
      </c>
      <c r="T2330" s="6">
        <f>1</f>
        <v>1</v>
      </c>
      <c r="U2330" s="5" t="s">
        <v>245</v>
      </c>
      <c r="V2330" s="4" t="s">
        <v>270</v>
      </c>
      <c r="W2330" s="4" t="s">
        <v>271</v>
      </c>
      <c r="X2330" s="4" t="s">
        <v>273</v>
      </c>
      <c r="Y2330" s="4" t="s">
        <v>241</v>
      </c>
      <c r="AB2330" s="4" t="s">
        <v>241</v>
      </c>
      <c r="AD2330" s="5" t="s">
        <v>241</v>
      </c>
      <c r="AG2330" s="5" t="s">
        <v>246</v>
      </c>
      <c r="AH2330" s="4" t="s">
        <v>241</v>
      </c>
      <c r="AI2330" s="4" t="s">
        <v>247</v>
      </c>
      <c r="AJ2330" s="4" t="s">
        <v>248</v>
      </c>
      <c r="AZ2330" s="4" t="s">
        <v>249</v>
      </c>
      <c r="BA2330" s="4" t="s">
        <v>241</v>
      </c>
      <c r="BB2330" s="4" t="s">
        <v>250</v>
      </c>
      <c r="BC2330" s="4" t="s">
        <v>241</v>
      </c>
      <c r="BD2330" s="4" t="s">
        <v>252</v>
      </c>
      <c r="BE2330" s="4" t="s">
        <v>241</v>
      </c>
      <c r="BI2330" s="4" t="s">
        <v>253</v>
      </c>
      <c r="BJ2330" s="5" t="s">
        <v>246</v>
      </c>
      <c r="BK2330" s="4" t="s">
        <v>254</v>
      </c>
      <c r="BL2330" s="4" t="s">
        <v>255</v>
      </c>
      <c r="BM2330" s="4" t="s">
        <v>241</v>
      </c>
      <c r="BN2330" s="6">
        <f>0</f>
        <v>0</v>
      </c>
      <c r="BO2330" s="6">
        <f>0</f>
        <v>0</v>
      </c>
      <c r="BP2330" s="4" t="s">
        <v>256</v>
      </c>
      <c r="BQ2330" s="4" t="s">
        <v>257</v>
      </c>
      <c r="CE2330" s="4" t="s">
        <v>241</v>
      </c>
      <c r="CF2330" s="4" t="s">
        <v>241</v>
      </c>
      <c r="CJ2330" s="4" t="s">
        <v>276</v>
      </c>
      <c r="CK2330" s="4" t="s">
        <v>259</v>
      </c>
      <c r="CL2330" s="4" t="s">
        <v>241</v>
      </c>
      <c r="CO2330" s="5" t="s">
        <v>260</v>
      </c>
      <c r="CP2330" s="4" t="s">
        <v>241</v>
      </c>
      <c r="CQ2330" s="4" t="s">
        <v>261</v>
      </c>
      <c r="CR2330" s="4" t="s">
        <v>241</v>
      </c>
      <c r="CS2330" s="4" t="s">
        <v>241</v>
      </c>
      <c r="CT2330" s="4">
        <v>0</v>
      </c>
      <c r="CU2330" s="4" t="s">
        <v>262</v>
      </c>
      <c r="CV2330" s="4" t="s">
        <v>263</v>
      </c>
      <c r="CW2330" s="4" t="s">
        <v>263</v>
      </c>
      <c r="CX2330" s="4" t="s">
        <v>264</v>
      </c>
      <c r="DA2330" s="6">
        <f>1</f>
        <v>1</v>
      </c>
      <c r="DC2330" s="4" t="s">
        <v>325</v>
      </c>
      <c r="DD2330" s="4" t="s">
        <v>241</v>
      </c>
      <c r="DF2330" s="4" t="s">
        <v>325</v>
      </c>
      <c r="DG2330" s="6">
        <f>3099</f>
        <v>3099</v>
      </c>
      <c r="DI2330" s="4" t="s">
        <v>241</v>
      </c>
      <c r="DJ2330" s="4" t="s">
        <v>241</v>
      </c>
      <c r="DK2330" s="4" t="s">
        <v>241</v>
      </c>
      <c r="DL2330" s="4" t="s">
        <v>241</v>
      </c>
      <c r="DP2330" s="4" t="s">
        <v>241</v>
      </c>
      <c r="DQ2330" s="4" t="s">
        <v>241</v>
      </c>
      <c r="DR2330" s="4" t="s">
        <v>241</v>
      </c>
      <c r="DS2330" s="4" t="s">
        <v>241</v>
      </c>
      <c r="DV2330" s="4" t="s">
        <v>426</v>
      </c>
      <c r="DW2330" s="4" t="s">
        <v>3069</v>
      </c>
      <c r="HO2330" s="4" t="s">
        <v>267</v>
      </c>
    </row>
    <row r="2331" spans="1:223" ht="19.5" customHeight="1" x14ac:dyDescent="0.4">
      <c r="A2331" s="4">
        <v>1</v>
      </c>
      <c r="B2331" s="4" t="s">
        <v>239</v>
      </c>
      <c r="C2331" s="4">
        <v>4034</v>
      </c>
      <c r="D2331" s="4">
        <v>1</v>
      </c>
      <c r="E2331" s="4">
        <v>1</v>
      </c>
      <c r="F2331" s="4" t="s">
        <v>268</v>
      </c>
      <c r="G2331" s="4" t="s">
        <v>241</v>
      </c>
      <c r="H2331" s="4" t="s">
        <v>241</v>
      </c>
      <c r="I2331" s="4" t="s">
        <v>424</v>
      </c>
      <c r="J2331" s="4" t="s">
        <v>274</v>
      </c>
      <c r="K2331" s="4" t="s">
        <v>251</v>
      </c>
      <c r="L2331" s="4" t="s">
        <v>423</v>
      </c>
      <c r="M2331" s="5" t="s">
        <v>3287</v>
      </c>
      <c r="N2331" s="6">
        <f>2765</f>
        <v>2765</v>
      </c>
      <c r="O2331" s="4" t="s">
        <v>265</v>
      </c>
      <c r="P2331" s="6">
        <f>1</f>
        <v>1</v>
      </c>
      <c r="Q2331" s="6">
        <f>0</f>
        <v>0</v>
      </c>
      <c r="S2331" s="6">
        <f>0</f>
        <v>0</v>
      </c>
      <c r="T2331" s="6">
        <f>1</f>
        <v>1</v>
      </c>
      <c r="U2331" s="5" t="s">
        <v>245</v>
      </c>
      <c r="V2331" s="4" t="s">
        <v>270</v>
      </c>
      <c r="W2331" s="4" t="s">
        <v>271</v>
      </c>
      <c r="X2331" s="4" t="s">
        <v>273</v>
      </c>
      <c r="Y2331" s="4" t="s">
        <v>241</v>
      </c>
      <c r="AB2331" s="4" t="s">
        <v>241</v>
      </c>
      <c r="AD2331" s="5" t="s">
        <v>241</v>
      </c>
      <c r="AG2331" s="5" t="s">
        <v>246</v>
      </c>
      <c r="AH2331" s="4" t="s">
        <v>241</v>
      </c>
      <c r="AI2331" s="4" t="s">
        <v>247</v>
      </c>
      <c r="AJ2331" s="4" t="s">
        <v>248</v>
      </c>
      <c r="AZ2331" s="4" t="s">
        <v>249</v>
      </c>
      <c r="BA2331" s="4" t="s">
        <v>241</v>
      </c>
      <c r="BB2331" s="4" t="s">
        <v>250</v>
      </c>
      <c r="BC2331" s="4" t="s">
        <v>241</v>
      </c>
      <c r="BD2331" s="4" t="s">
        <v>252</v>
      </c>
      <c r="BE2331" s="4" t="s">
        <v>241</v>
      </c>
      <c r="BI2331" s="4" t="s">
        <v>253</v>
      </c>
      <c r="BJ2331" s="5" t="s">
        <v>246</v>
      </c>
      <c r="BK2331" s="4" t="s">
        <v>254</v>
      </c>
      <c r="BL2331" s="4" t="s">
        <v>255</v>
      </c>
      <c r="BM2331" s="4" t="s">
        <v>241</v>
      </c>
      <c r="BN2331" s="6">
        <f>0</f>
        <v>0</v>
      </c>
      <c r="BO2331" s="6">
        <f>0</f>
        <v>0</v>
      </c>
      <c r="BP2331" s="4" t="s">
        <v>256</v>
      </c>
      <c r="BQ2331" s="4" t="s">
        <v>257</v>
      </c>
      <c r="CE2331" s="4" t="s">
        <v>241</v>
      </c>
      <c r="CF2331" s="4" t="s">
        <v>241</v>
      </c>
      <c r="CJ2331" s="4" t="s">
        <v>276</v>
      </c>
      <c r="CK2331" s="4" t="s">
        <v>259</v>
      </c>
      <c r="CL2331" s="4" t="s">
        <v>241</v>
      </c>
      <c r="CO2331" s="5" t="s">
        <v>260</v>
      </c>
      <c r="CP2331" s="4" t="s">
        <v>241</v>
      </c>
      <c r="CQ2331" s="4" t="s">
        <v>261</v>
      </c>
      <c r="CR2331" s="4" t="s">
        <v>241</v>
      </c>
      <c r="CS2331" s="4" t="s">
        <v>241</v>
      </c>
      <c r="CT2331" s="4">
        <v>0</v>
      </c>
      <c r="CU2331" s="4" t="s">
        <v>262</v>
      </c>
      <c r="CV2331" s="4" t="s">
        <v>263</v>
      </c>
      <c r="CW2331" s="4" t="s">
        <v>263</v>
      </c>
      <c r="CX2331" s="4" t="s">
        <v>264</v>
      </c>
      <c r="DA2331" s="6">
        <f>1</f>
        <v>1</v>
      </c>
      <c r="DC2331" s="4" t="s">
        <v>325</v>
      </c>
      <c r="DD2331" s="4" t="s">
        <v>241</v>
      </c>
      <c r="DF2331" s="4" t="s">
        <v>325</v>
      </c>
      <c r="DG2331" s="6">
        <f>2765</f>
        <v>2765</v>
      </c>
      <c r="DI2331" s="4" t="s">
        <v>241</v>
      </c>
      <c r="DJ2331" s="4" t="s">
        <v>241</v>
      </c>
      <c r="DK2331" s="4" t="s">
        <v>241</v>
      </c>
      <c r="DL2331" s="4" t="s">
        <v>241</v>
      </c>
      <c r="DP2331" s="4" t="s">
        <v>241</v>
      </c>
      <c r="DQ2331" s="4" t="s">
        <v>241</v>
      </c>
      <c r="DR2331" s="4" t="s">
        <v>241</v>
      </c>
      <c r="DS2331" s="4" t="s">
        <v>241</v>
      </c>
      <c r="DV2331" s="4" t="s">
        <v>426</v>
      </c>
      <c r="DW2331" s="4" t="s">
        <v>3067</v>
      </c>
      <c r="HO2331" s="4" t="s">
        <v>267</v>
      </c>
    </row>
    <row r="2332" spans="1:223" ht="19.5" customHeight="1" x14ac:dyDescent="0.4">
      <c r="A2332" s="4">
        <v>1</v>
      </c>
      <c r="B2332" s="4" t="s">
        <v>239</v>
      </c>
      <c r="C2332" s="4">
        <v>4035</v>
      </c>
      <c r="D2332" s="4">
        <v>1</v>
      </c>
      <c r="E2332" s="4">
        <v>1</v>
      </c>
      <c r="F2332" s="4" t="s">
        <v>268</v>
      </c>
      <c r="G2332" s="4" t="s">
        <v>241</v>
      </c>
      <c r="H2332" s="4" t="s">
        <v>241</v>
      </c>
      <c r="I2332" s="4" t="s">
        <v>424</v>
      </c>
      <c r="J2332" s="4" t="s">
        <v>274</v>
      </c>
      <c r="K2332" s="4" t="s">
        <v>251</v>
      </c>
      <c r="L2332" s="4" t="s">
        <v>423</v>
      </c>
      <c r="M2332" s="5" t="s">
        <v>3288</v>
      </c>
      <c r="N2332" s="6">
        <f>1781</f>
        <v>1781</v>
      </c>
      <c r="O2332" s="4" t="s">
        <v>265</v>
      </c>
      <c r="P2332" s="6">
        <f>1</f>
        <v>1</v>
      </c>
      <c r="Q2332" s="6">
        <f>0</f>
        <v>0</v>
      </c>
      <c r="S2332" s="6">
        <f>0</f>
        <v>0</v>
      </c>
      <c r="T2332" s="6">
        <f>1</f>
        <v>1</v>
      </c>
      <c r="U2332" s="5" t="s">
        <v>245</v>
      </c>
      <c r="V2332" s="4" t="s">
        <v>270</v>
      </c>
      <c r="W2332" s="4" t="s">
        <v>271</v>
      </c>
      <c r="X2332" s="4" t="s">
        <v>273</v>
      </c>
      <c r="Y2332" s="4" t="s">
        <v>241</v>
      </c>
      <c r="AB2332" s="4" t="s">
        <v>241</v>
      </c>
      <c r="AD2332" s="5" t="s">
        <v>241</v>
      </c>
      <c r="AG2332" s="5" t="s">
        <v>246</v>
      </c>
      <c r="AH2332" s="4" t="s">
        <v>241</v>
      </c>
      <c r="AI2332" s="4" t="s">
        <v>247</v>
      </c>
      <c r="AJ2332" s="4" t="s">
        <v>248</v>
      </c>
      <c r="AZ2332" s="4" t="s">
        <v>249</v>
      </c>
      <c r="BA2332" s="4" t="s">
        <v>241</v>
      </c>
      <c r="BB2332" s="4" t="s">
        <v>250</v>
      </c>
      <c r="BC2332" s="4" t="s">
        <v>241</v>
      </c>
      <c r="BD2332" s="4" t="s">
        <v>252</v>
      </c>
      <c r="BE2332" s="4" t="s">
        <v>241</v>
      </c>
      <c r="BI2332" s="4" t="s">
        <v>253</v>
      </c>
      <c r="BJ2332" s="5" t="s">
        <v>246</v>
      </c>
      <c r="BK2332" s="4" t="s">
        <v>254</v>
      </c>
      <c r="BL2332" s="4" t="s">
        <v>255</v>
      </c>
      <c r="BM2332" s="4" t="s">
        <v>241</v>
      </c>
      <c r="BN2332" s="6">
        <f>0</f>
        <v>0</v>
      </c>
      <c r="BO2332" s="6">
        <f>0</f>
        <v>0</v>
      </c>
      <c r="BP2332" s="4" t="s">
        <v>256</v>
      </c>
      <c r="BQ2332" s="4" t="s">
        <v>257</v>
      </c>
      <c r="CE2332" s="4" t="s">
        <v>241</v>
      </c>
      <c r="CF2332" s="4" t="s">
        <v>241</v>
      </c>
      <c r="CJ2332" s="4" t="s">
        <v>276</v>
      </c>
      <c r="CK2332" s="4" t="s">
        <v>259</v>
      </c>
      <c r="CL2332" s="4" t="s">
        <v>241</v>
      </c>
      <c r="CO2332" s="5" t="s">
        <v>260</v>
      </c>
      <c r="CP2332" s="4" t="s">
        <v>241</v>
      </c>
      <c r="CQ2332" s="4" t="s">
        <v>261</v>
      </c>
      <c r="CR2332" s="4" t="s">
        <v>241</v>
      </c>
      <c r="CS2332" s="4" t="s">
        <v>241</v>
      </c>
      <c r="CT2332" s="4">
        <v>0</v>
      </c>
      <c r="CU2332" s="4" t="s">
        <v>262</v>
      </c>
      <c r="CV2332" s="4" t="s">
        <v>263</v>
      </c>
      <c r="CW2332" s="4" t="s">
        <v>263</v>
      </c>
      <c r="CX2332" s="4" t="s">
        <v>264</v>
      </c>
      <c r="DA2332" s="6">
        <f>1</f>
        <v>1</v>
      </c>
      <c r="DC2332" s="4" t="s">
        <v>325</v>
      </c>
      <c r="DD2332" s="4" t="s">
        <v>241</v>
      </c>
      <c r="DF2332" s="4" t="s">
        <v>325</v>
      </c>
      <c r="DG2332" s="6">
        <f>1781</f>
        <v>1781</v>
      </c>
      <c r="DI2332" s="4" t="s">
        <v>241</v>
      </c>
      <c r="DJ2332" s="4" t="s">
        <v>241</v>
      </c>
      <c r="DK2332" s="4" t="s">
        <v>241</v>
      </c>
      <c r="DL2332" s="4" t="s">
        <v>241</v>
      </c>
      <c r="DP2332" s="4" t="s">
        <v>241</v>
      </c>
      <c r="DQ2332" s="4" t="s">
        <v>241</v>
      </c>
      <c r="DR2332" s="4" t="s">
        <v>241</v>
      </c>
      <c r="DS2332" s="4" t="s">
        <v>241</v>
      </c>
      <c r="DV2332" s="4" t="s">
        <v>426</v>
      </c>
      <c r="DW2332" s="4" t="s">
        <v>3065</v>
      </c>
      <c r="HO2332" s="4" t="s">
        <v>267</v>
      </c>
    </row>
    <row r="2333" spans="1:223" ht="19.5" customHeight="1" x14ac:dyDescent="0.4">
      <c r="A2333" s="4">
        <v>1</v>
      </c>
      <c r="B2333" s="4" t="s">
        <v>239</v>
      </c>
      <c r="C2333" s="4">
        <v>4036</v>
      </c>
      <c r="D2333" s="4">
        <v>1</v>
      </c>
      <c r="E2333" s="4">
        <v>1</v>
      </c>
      <c r="F2333" s="4" t="s">
        <v>268</v>
      </c>
      <c r="G2333" s="4" t="s">
        <v>241</v>
      </c>
      <c r="H2333" s="4" t="s">
        <v>241</v>
      </c>
      <c r="I2333" s="4" t="s">
        <v>424</v>
      </c>
      <c r="J2333" s="4" t="s">
        <v>274</v>
      </c>
      <c r="K2333" s="4" t="s">
        <v>251</v>
      </c>
      <c r="L2333" s="4" t="s">
        <v>423</v>
      </c>
      <c r="M2333" s="5" t="s">
        <v>3290</v>
      </c>
      <c r="N2333" s="6">
        <f>592</f>
        <v>592</v>
      </c>
      <c r="O2333" s="4" t="s">
        <v>265</v>
      </c>
      <c r="P2333" s="6">
        <f>1</f>
        <v>1</v>
      </c>
      <c r="Q2333" s="6">
        <f>0</f>
        <v>0</v>
      </c>
      <c r="S2333" s="6">
        <f>0</f>
        <v>0</v>
      </c>
      <c r="T2333" s="6">
        <f>1</f>
        <v>1</v>
      </c>
      <c r="U2333" s="5" t="s">
        <v>245</v>
      </c>
      <c r="V2333" s="4" t="s">
        <v>270</v>
      </c>
      <c r="W2333" s="4" t="s">
        <v>271</v>
      </c>
      <c r="X2333" s="4" t="s">
        <v>273</v>
      </c>
      <c r="Y2333" s="4" t="s">
        <v>241</v>
      </c>
      <c r="AB2333" s="4" t="s">
        <v>241</v>
      </c>
      <c r="AD2333" s="5" t="s">
        <v>241</v>
      </c>
      <c r="AG2333" s="5" t="s">
        <v>246</v>
      </c>
      <c r="AH2333" s="4" t="s">
        <v>241</v>
      </c>
      <c r="AI2333" s="4" t="s">
        <v>247</v>
      </c>
      <c r="AJ2333" s="4" t="s">
        <v>248</v>
      </c>
      <c r="AZ2333" s="4" t="s">
        <v>249</v>
      </c>
      <c r="BA2333" s="4" t="s">
        <v>241</v>
      </c>
      <c r="BB2333" s="4" t="s">
        <v>250</v>
      </c>
      <c r="BC2333" s="4" t="s">
        <v>241</v>
      </c>
      <c r="BD2333" s="4" t="s">
        <v>252</v>
      </c>
      <c r="BE2333" s="4" t="s">
        <v>241</v>
      </c>
      <c r="BI2333" s="4" t="s">
        <v>253</v>
      </c>
      <c r="BJ2333" s="5" t="s">
        <v>246</v>
      </c>
      <c r="BK2333" s="4" t="s">
        <v>254</v>
      </c>
      <c r="BL2333" s="4" t="s">
        <v>255</v>
      </c>
      <c r="BM2333" s="4" t="s">
        <v>241</v>
      </c>
      <c r="BN2333" s="6">
        <f>0</f>
        <v>0</v>
      </c>
      <c r="BO2333" s="6">
        <f>0</f>
        <v>0</v>
      </c>
      <c r="BP2333" s="4" t="s">
        <v>256</v>
      </c>
      <c r="BQ2333" s="4" t="s">
        <v>257</v>
      </c>
      <c r="CE2333" s="4" t="s">
        <v>241</v>
      </c>
      <c r="CF2333" s="4" t="s">
        <v>241</v>
      </c>
      <c r="CJ2333" s="4" t="s">
        <v>276</v>
      </c>
      <c r="CK2333" s="4" t="s">
        <v>259</v>
      </c>
      <c r="CL2333" s="4" t="s">
        <v>241</v>
      </c>
      <c r="CO2333" s="5" t="s">
        <v>260</v>
      </c>
      <c r="CP2333" s="4" t="s">
        <v>241</v>
      </c>
      <c r="CQ2333" s="4" t="s">
        <v>261</v>
      </c>
      <c r="CR2333" s="4" t="s">
        <v>241</v>
      </c>
      <c r="CS2333" s="4" t="s">
        <v>241</v>
      </c>
      <c r="CT2333" s="4">
        <v>0</v>
      </c>
      <c r="CU2333" s="4" t="s">
        <v>262</v>
      </c>
      <c r="CV2333" s="4" t="s">
        <v>263</v>
      </c>
      <c r="CW2333" s="4" t="s">
        <v>263</v>
      </c>
      <c r="CX2333" s="4" t="s">
        <v>264</v>
      </c>
      <c r="DA2333" s="6">
        <f>1</f>
        <v>1</v>
      </c>
      <c r="DC2333" s="4" t="s">
        <v>325</v>
      </c>
      <c r="DD2333" s="4" t="s">
        <v>241</v>
      </c>
      <c r="DF2333" s="4" t="s">
        <v>325</v>
      </c>
      <c r="DG2333" s="6">
        <f>592</f>
        <v>592</v>
      </c>
      <c r="DI2333" s="4" t="s">
        <v>241</v>
      </c>
      <c r="DJ2333" s="4" t="s">
        <v>241</v>
      </c>
      <c r="DK2333" s="4" t="s">
        <v>241</v>
      </c>
      <c r="DL2333" s="4" t="s">
        <v>241</v>
      </c>
      <c r="DP2333" s="4" t="s">
        <v>241</v>
      </c>
      <c r="DQ2333" s="4" t="s">
        <v>241</v>
      </c>
      <c r="DR2333" s="4" t="s">
        <v>241</v>
      </c>
      <c r="DS2333" s="4" t="s">
        <v>241</v>
      </c>
      <c r="DV2333" s="4" t="s">
        <v>426</v>
      </c>
      <c r="DW2333" s="4" t="s">
        <v>3063</v>
      </c>
      <c r="HO2333" s="4" t="s">
        <v>267</v>
      </c>
    </row>
    <row r="2334" spans="1:223" ht="19.5" customHeight="1" x14ac:dyDescent="0.4">
      <c r="A2334" s="4">
        <v>1</v>
      </c>
      <c r="B2334" s="4" t="s">
        <v>239</v>
      </c>
      <c r="C2334" s="4">
        <v>4037</v>
      </c>
      <c r="D2334" s="4">
        <v>1</v>
      </c>
      <c r="E2334" s="4">
        <v>1</v>
      </c>
      <c r="F2334" s="4" t="s">
        <v>268</v>
      </c>
      <c r="G2334" s="4" t="s">
        <v>241</v>
      </c>
      <c r="H2334" s="4" t="s">
        <v>241</v>
      </c>
      <c r="I2334" s="4" t="s">
        <v>424</v>
      </c>
      <c r="J2334" s="4" t="s">
        <v>274</v>
      </c>
      <c r="K2334" s="4" t="s">
        <v>251</v>
      </c>
      <c r="L2334" s="4" t="s">
        <v>423</v>
      </c>
      <c r="M2334" s="5" t="s">
        <v>3292</v>
      </c>
      <c r="N2334" s="6">
        <f>155</f>
        <v>155</v>
      </c>
      <c r="O2334" s="4" t="s">
        <v>265</v>
      </c>
      <c r="P2334" s="6">
        <f>1</f>
        <v>1</v>
      </c>
      <c r="Q2334" s="6">
        <f>0</f>
        <v>0</v>
      </c>
      <c r="S2334" s="6">
        <f>0</f>
        <v>0</v>
      </c>
      <c r="T2334" s="6">
        <f>1</f>
        <v>1</v>
      </c>
      <c r="U2334" s="5" t="s">
        <v>245</v>
      </c>
      <c r="V2334" s="4" t="s">
        <v>270</v>
      </c>
      <c r="W2334" s="4" t="s">
        <v>271</v>
      </c>
      <c r="X2334" s="4" t="s">
        <v>273</v>
      </c>
      <c r="Y2334" s="4" t="s">
        <v>241</v>
      </c>
      <c r="AB2334" s="4" t="s">
        <v>241</v>
      </c>
      <c r="AD2334" s="5" t="s">
        <v>241</v>
      </c>
      <c r="AG2334" s="5" t="s">
        <v>246</v>
      </c>
      <c r="AH2334" s="4" t="s">
        <v>241</v>
      </c>
      <c r="AI2334" s="4" t="s">
        <v>247</v>
      </c>
      <c r="AJ2334" s="4" t="s">
        <v>248</v>
      </c>
      <c r="AZ2334" s="4" t="s">
        <v>249</v>
      </c>
      <c r="BA2334" s="4" t="s">
        <v>241</v>
      </c>
      <c r="BB2334" s="4" t="s">
        <v>250</v>
      </c>
      <c r="BC2334" s="4" t="s">
        <v>241</v>
      </c>
      <c r="BD2334" s="4" t="s">
        <v>252</v>
      </c>
      <c r="BE2334" s="4" t="s">
        <v>241</v>
      </c>
      <c r="BI2334" s="4" t="s">
        <v>253</v>
      </c>
      <c r="BJ2334" s="5" t="s">
        <v>246</v>
      </c>
      <c r="BK2334" s="4" t="s">
        <v>254</v>
      </c>
      <c r="BL2334" s="4" t="s">
        <v>255</v>
      </c>
      <c r="BM2334" s="4" t="s">
        <v>241</v>
      </c>
      <c r="BN2334" s="6">
        <f>0</f>
        <v>0</v>
      </c>
      <c r="BO2334" s="6">
        <f>0</f>
        <v>0</v>
      </c>
      <c r="BP2334" s="4" t="s">
        <v>256</v>
      </c>
      <c r="BQ2334" s="4" t="s">
        <v>257</v>
      </c>
      <c r="CE2334" s="4" t="s">
        <v>241</v>
      </c>
      <c r="CF2334" s="4" t="s">
        <v>241</v>
      </c>
      <c r="CJ2334" s="4" t="s">
        <v>276</v>
      </c>
      <c r="CK2334" s="4" t="s">
        <v>259</v>
      </c>
      <c r="CL2334" s="4" t="s">
        <v>241</v>
      </c>
      <c r="CO2334" s="5" t="s">
        <v>260</v>
      </c>
      <c r="CP2334" s="4" t="s">
        <v>241</v>
      </c>
      <c r="CQ2334" s="4" t="s">
        <v>261</v>
      </c>
      <c r="CR2334" s="4" t="s">
        <v>241</v>
      </c>
      <c r="CS2334" s="4" t="s">
        <v>241</v>
      </c>
      <c r="CT2334" s="4">
        <v>0</v>
      </c>
      <c r="CU2334" s="4" t="s">
        <v>262</v>
      </c>
      <c r="CV2334" s="4" t="s">
        <v>263</v>
      </c>
      <c r="CW2334" s="4" t="s">
        <v>263</v>
      </c>
      <c r="CX2334" s="4" t="s">
        <v>264</v>
      </c>
      <c r="DA2334" s="6">
        <f>1</f>
        <v>1</v>
      </c>
      <c r="DC2334" s="4" t="s">
        <v>325</v>
      </c>
      <c r="DD2334" s="4" t="s">
        <v>241</v>
      </c>
      <c r="DF2334" s="4" t="s">
        <v>325</v>
      </c>
      <c r="DG2334" s="6">
        <f>155</f>
        <v>155</v>
      </c>
      <c r="DI2334" s="4" t="s">
        <v>241</v>
      </c>
      <c r="DJ2334" s="4" t="s">
        <v>241</v>
      </c>
      <c r="DK2334" s="4" t="s">
        <v>241</v>
      </c>
      <c r="DL2334" s="4" t="s">
        <v>241</v>
      </c>
      <c r="DP2334" s="4" t="s">
        <v>241</v>
      </c>
      <c r="DQ2334" s="4" t="s">
        <v>241</v>
      </c>
      <c r="DR2334" s="4" t="s">
        <v>241</v>
      </c>
      <c r="DS2334" s="4" t="s">
        <v>241</v>
      </c>
      <c r="DV2334" s="4" t="s">
        <v>426</v>
      </c>
      <c r="DW2334" s="4" t="s">
        <v>3061</v>
      </c>
      <c r="HO2334" s="4" t="s">
        <v>267</v>
      </c>
    </row>
    <row r="2335" spans="1:223" ht="19.5" customHeight="1" x14ac:dyDescent="0.4">
      <c r="A2335" s="4">
        <v>1</v>
      </c>
      <c r="B2335" s="4" t="s">
        <v>239</v>
      </c>
      <c r="C2335" s="4">
        <v>4038</v>
      </c>
      <c r="D2335" s="4">
        <v>1</v>
      </c>
      <c r="E2335" s="4">
        <v>1</v>
      </c>
      <c r="F2335" s="4" t="s">
        <v>268</v>
      </c>
      <c r="G2335" s="4" t="s">
        <v>241</v>
      </c>
      <c r="H2335" s="4" t="s">
        <v>241</v>
      </c>
      <c r="I2335" s="4" t="s">
        <v>424</v>
      </c>
      <c r="J2335" s="4" t="s">
        <v>274</v>
      </c>
      <c r="K2335" s="4" t="s">
        <v>251</v>
      </c>
      <c r="L2335" s="4" t="s">
        <v>423</v>
      </c>
      <c r="M2335" s="5" t="s">
        <v>3294</v>
      </c>
      <c r="N2335" s="6">
        <f>385</f>
        <v>385</v>
      </c>
      <c r="O2335" s="4" t="s">
        <v>265</v>
      </c>
      <c r="P2335" s="6">
        <f>1</f>
        <v>1</v>
      </c>
      <c r="Q2335" s="6">
        <f>0</f>
        <v>0</v>
      </c>
      <c r="S2335" s="6">
        <f>0</f>
        <v>0</v>
      </c>
      <c r="T2335" s="6">
        <f>1</f>
        <v>1</v>
      </c>
      <c r="U2335" s="5" t="s">
        <v>245</v>
      </c>
      <c r="V2335" s="4" t="s">
        <v>270</v>
      </c>
      <c r="W2335" s="4" t="s">
        <v>271</v>
      </c>
      <c r="X2335" s="4" t="s">
        <v>273</v>
      </c>
      <c r="Y2335" s="4" t="s">
        <v>241</v>
      </c>
      <c r="AB2335" s="4" t="s">
        <v>241</v>
      </c>
      <c r="AD2335" s="5" t="s">
        <v>241</v>
      </c>
      <c r="AG2335" s="5" t="s">
        <v>246</v>
      </c>
      <c r="AH2335" s="4" t="s">
        <v>241</v>
      </c>
      <c r="AI2335" s="4" t="s">
        <v>247</v>
      </c>
      <c r="AJ2335" s="4" t="s">
        <v>248</v>
      </c>
      <c r="AZ2335" s="4" t="s">
        <v>249</v>
      </c>
      <c r="BA2335" s="4" t="s">
        <v>241</v>
      </c>
      <c r="BB2335" s="4" t="s">
        <v>250</v>
      </c>
      <c r="BC2335" s="4" t="s">
        <v>241</v>
      </c>
      <c r="BD2335" s="4" t="s">
        <v>252</v>
      </c>
      <c r="BE2335" s="4" t="s">
        <v>241</v>
      </c>
      <c r="BI2335" s="4" t="s">
        <v>253</v>
      </c>
      <c r="BJ2335" s="5" t="s">
        <v>246</v>
      </c>
      <c r="BK2335" s="4" t="s">
        <v>254</v>
      </c>
      <c r="BL2335" s="4" t="s">
        <v>255</v>
      </c>
      <c r="BM2335" s="4" t="s">
        <v>241</v>
      </c>
      <c r="BN2335" s="6">
        <f>0</f>
        <v>0</v>
      </c>
      <c r="BO2335" s="6">
        <f>0</f>
        <v>0</v>
      </c>
      <c r="BP2335" s="4" t="s">
        <v>256</v>
      </c>
      <c r="BQ2335" s="4" t="s">
        <v>257</v>
      </c>
      <c r="CE2335" s="4" t="s">
        <v>241</v>
      </c>
      <c r="CF2335" s="4" t="s">
        <v>241</v>
      </c>
      <c r="CJ2335" s="4" t="s">
        <v>276</v>
      </c>
      <c r="CK2335" s="4" t="s">
        <v>259</v>
      </c>
      <c r="CL2335" s="4" t="s">
        <v>241</v>
      </c>
      <c r="CO2335" s="5" t="s">
        <v>260</v>
      </c>
      <c r="CP2335" s="4" t="s">
        <v>241</v>
      </c>
      <c r="CQ2335" s="4" t="s">
        <v>261</v>
      </c>
      <c r="CR2335" s="4" t="s">
        <v>241</v>
      </c>
      <c r="CS2335" s="4" t="s">
        <v>241</v>
      </c>
      <c r="CT2335" s="4">
        <v>0</v>
      </c>
      <c r="CU2335" s="4" t="s">
        <v>262</v>
      </c>
      <c r="CV2335" s="4" t="s">
        <v>263</v>
      </c>
      <c r="CW2335" s="4" t="s">
        <v>263</v>
      </c>
      <c r="CX2335" s="4" t="s">
        <v>264</v>
      </c>
      <c r="DA2335" s="6">
        <f>1</f>
        <v>1</v>
      </c>
      <c r="DC2335" s="4" t="s">
        <v>325</v>
      </c>
      <c r="DD2335" s="4" t="s">
        <v>241</v>
      </c>
      <c r="DF2335" s="4" t="s">
        <v>325</v>
      </c>
      <c r="DG2335" s="6">
        <f>385</f>
        <v>385</v>
      </c>
      <c r="DI2335" s="4" t="s">
        <v>241</v>
      </c>
      <c r="DJ2335" s="4" t="s">
        <v>241</v>
      </c>
      <c r="DK2335" s="4" t="s">
        <v>241</v>
      </c>
      <c r="DL2335" s="4" t="s">
        <v>241</v>
      </c>
      <c r="DP2335" s="4" t="s">
        <v>241</v>
      </c>
      <c r="DQ2335" s="4" t="s">
        <v>241</v>
      </c>
      <c r="DR2335" s="4" t="s">
        <v>241</v>
      </c>
      <c r="DS2335" s="4" t="s">
        <v>241</v>
      </c>
      <c r="DV2335" s="4" t="s">
        <v>426</v>
      </c>
      <c r="DW2335" s="4" t="s">
        <v>3059</v>
      </c>
      <c r="HO2335" s="4" t="s">
        <v>267</v>
      </c>
    </row>
    <row r="2336" spans="1:223" ht="19.5" customHeight="1" x14ac:dyDescent="0.4">
      <c r="A2336" s="4">
        <v>1</v>
      </c>
      <c r="B2336" s="4" t="s">
        <v>239</v>
      </c>
      <c r="C2336" s="4">
        <v>4039</v>
      </c>
      <c r="D2336" s="4">
        <v>1</v>
      </c>
      <c r="E2336" s="4">
        <v>1</v>
      </c>
      <c r="F2336" s="4" t="s">
        <v>268</v>
      </c>
      <c r="G2336" s="4" t="s">
        <v>241</v>
      </c>
      <c r="H2336" s="4" t="s">
        <v>241</v>
      </c>
      <c r="I2336" s="4" t="s">
        <v>424</v>
      </c>
      <c r="J2336" s="4" t="s">
        <v>274</v>
      </c>
      <c r="K2336" s="4" t="s">
        <v>251</v>
      </c>
      <c r="L2336" s="4" t="s">
        <v>423</v>
      </c>
      <c r="M2336" s="5" t="s">
        <v>3295</v>
      </c>
      <c r="N2336" s="6">
        <f>1725</f>
        <v>1725</v>
      </c>
      <c r="O2336" s="4" t="s">
        <v>265</v>
      </c>
      <c r="P2336" s="6">
        <f>1</f>
        <v>1</v>
      </c>
      <c r="Q2336" s="6">
        <f>0</f>
        <v>0</v>
      </c>
      <c r="S2336" s="6">
        <f>0</f>
        <v>0</v>
      </c>
      <c r="T2336" s="6">
        <f>1</f>
        <v>1</v>
      </c>
      <c r="U2336" s="5" t="s">
        <v>245</v>
      </c>
      <c r="V2336" s="4" t="s">
        <v>270</v>
      </c>
      <c r="W2336" s="4" t="s">
        <v>271</v>
      </c>
      <c r="X2336" s="4" t="s">
        <v>273</v>
      </c>
      <c r="Y2336" s="4" t="s">
        <v>241</v>
      </c>
      <c r="AB2336" s="4" t="s">
        <v>241</v>
      </c>
      <c r="AD2336" s="5" t="s">
        <v>241</v>
      </c>
      <c r="AG2336" s="5" t="s">
        <v>246</v>
      </c>
      <c r="AH2336" s="4" t="s">
        <v>241</v>
      </c>
      <c r="AI2336" s="4" t="s">
        <v>247</v>
      </c>
      <c r="AJ2336" s="4" t="s">
        <v>248</v>
      </c>
      <c r="AZ2336" s="4" t="s">
        <v>249</v>
      </c>
      <c r="BA2336" s="4" t="s">
        <v>241</v>
      </c>
      <c r="BB2336" s="4" t="s">
        <v>250</v>
      </c>
      <c r="BC2336" s="4" t="s">
        <v>241</v>
      </c>
      <c r="BD2336" s="4" t="s">
        <v>252</v>
      </c>
      <c r="BE2336" s="4" t="s">
        <v>241</v>
      </c>
      <c r="BI2336" s="4" t="s">
        <v>253</v>
      </c>
      <c r="BJ2336" s="5" t="s">
        <v>246</v>
      </c>
      <c r="BK2336" s="4" t="s">
        <v>254</v>
      </c>
      <c r="BL2336" s="4" t="s">
        <v>255</v>
      </c>
      <c r="BM2336" s="4" t="s">
        <v>241</v>
      </c>
      <c r="BN2336" s="6">
        <f>0</f>
        <v>0</v>
      </c>
      <c r="BO2336" s="6">
        <f>0</f>
        <v>0</v>
      </c>
      <c r="BP2336" s="4" t="s">
        <v>256</v>
      </c>
      <c r="BQ2336" s="4" t="s">
        <v>257</v>
      </c>
      <c r="CE2336" s="4" t="s">
        <v>241</v>
      </c>
      <c r="CF2336" s="4" t="s">
        <v>241</v>
      </c>
      <c r="CJ2336" s="4" t="s">
        <v>276</v>
      </c>
      <c r="CK2336" s="4" t="s">
        <v>259</v>
      </c>
      <c r="CL2336" s="4" t="s">
        <v>241</v>
      </c>
      <c r="CO2336" s="5" t="s">
        <v>260</v>
      </c>
      <c r="CP2336" s="4" t="s">
        <v>241</v>
      </c>
      <c r="CQ2336" s="4" t="s">
        <v>261</v>
      </c>
      <c r="CR2336" s="4" t="s">
        <v>241</v>
      </c>
      <c r="CS2336" s="4" t="s">
        <v>241</v>
      </c>
      <c r="CT2336" s="4">
        <v>0</v>
      </c>
      <c r="CU2336" s="4" t="s">
        <v>262</v>
      </c>
      <c r="CV2336" s="4" t="s">
        <v>263</v>
      </c>
      <c r="CW2336" s="4" t="s">
        <v>263</v>
      </c>
      <c r="CX2336" s="4" t="s">
        <v>264</v>
      </c>
      <c r="DA2336" s="6">
        <f>1</f>
        <v>1</v>
      </c>
      <c r="DC2336" s="4" t="s">
        <v>325</v>
      </c>
      <c r="DD2336" s="4" t="s">
        <v>241</v>
      </c>
      <c r="DF2336" s="4" t="s">
        <v>325</v>
      </c>
      <c r="DG2336" s="6">
        <f>1725</f>
        <v>1725</v>
      </c>
      <c r="DI2336" s="4" t="s">
        <v>241</v>
      </c>
      <c r="DJ2336" s="4" t="s">
        <v>241</v>
      </c>
      <c r="DK2336" s="4" t="s">
        <v>241</v>
      </c>
      <c r="DL2336" s="4" t="s">
        <v>241</v>
      </c>
      <c r="DP2336" s="4" t="s">
        <v>241</v>
      </c>
      <c r="DQ2336" s="4" t="s">
        <v>241</v>
      </c>
      <c r="DR2336" s="4" t="s">
        <v>241</v>
      </c>
      <c r="DS2336" s="4" t="s">
        <v>241</v>
      </c>
      <c r="DV2336" s="4" t="s">
        <v>426</v>
      </c>
      <c r="DW2336" s="4" t="s">
        <v>3057</v>
      </c>
      <c r="HO2336" s="4" t="s">
        <v>267</v>
      </c>
    </row>
    <row r="2337" spans="1:223" ht="19.5" customHeight="1" x14ac:dyDescent="0.4">
      <c r="A2337" s="4">
        <v>1</v>
      </c>
      <c r="B2337" s="4" t="s">
        <v>239</v>
      </c>
      <c r="C2337" s="4">
        <v>4040</v>
      </c>
      <c r="D2337" s="4">
        <v>1</v>
      </c>
      <c r="E2337" s="4">
        <v>1</v>
      </c>
      <c r="F2337" s="4" t="s">
        <v>268</v>
      </c>
      <c r="G2337" s="4" t="s">
        <v>241</v>
      </c>
      <c r="H2337" s="4" t="s">
        <v>241</v>
      </c>
      <c r="I2337" s="4" t="s">
        <v>424</v>
      </c>
      <c r="J2337" s="4" t="s">
        <v>274</v>
      </c>
      <c r="K2337" s="4" t="s">
        <v>251</v>
      </c>
      <c r="L2337" s="4" t="s">
        <v>423</v>
      </c>
      <c r="M2337" s="5" t="s">
        <v>3297</v>
      </c>
      <c r="N2337" s="6">
        <f>640</f>
        <v>640</v>
      </c>
      <c r="O2337" s="4" t="s">
        <v>265</v>
      </c>
      <c r="P2337" s="6">
        <f>1</f>
        <v>1</v>
      </c>
      <c r="Q2337" s="6">
        <f>0</f>
        <v>0</v>
      </c>
      <c r="S2337" s="6">
        <f>0</f>
        <v>0</v>
      </c>
      <c r="T2337" s="6">
        <f>1</f>
        <v>1</v>
      </c>
      <c r="U2337" s="5" t="s">
        <v>245</v>
      </c>
      <c r="V2337" s="4" t="s">
        <v>270</v>
      </c>
      <c r="W2337" s="4" t="s">
        <v>271</v>
      </c>
      <c r="X2337" s="4" t="s">
        <v>273</v>
      </c>
      <c r="Y2337" s="4" t="s">
        <v>241</v>
      </c>
      <c r="AB2337" s="4" t="s">
        <v>241</v>
      </c>
      <c r="AD2337" s="5" t="s">
        <v>241</v>
      </c>
      <c r="AG2337" s="5" t="s">
        <v>246</v>
      </c>
      <c r="AH2337" s="4" t="s">
        <v>241</v>
      </c>
      <c r="AI2337" s="4" t="s">
        <v>247</v>
      </c>
      <c r="AJ2337" s="4" t="s">
        <v>248</v>
      </c>
      <c r="AZ2337" s="4" t="s">
        <v>249</v>
      </c>
      <c r="BA2337" s="4" t="s">
        <v>241</v>
      </c>
      <c r="BB2337" s="4" t="s">
        <v>250</v>
      </c>
      <c r="BC2337" s="4" t="s">
        <v>241</v>
      </c>
      <c r="BD2337" s="4" t="s">
        <v>252</v>
      </c>
      <c r="BE2337" s="4" t="s">
        <v>241</v>
      </c>
      <c r="BI2337" s="4" t="s">
        <v>253</v>
      </c>
      <c r="BJ2337" s="5" t="s">
        <v>246</v>
      </c>
      <c r="BK2337" s="4" t="s">
        <v>254</v>
      </c>
      <c r="BL2337" s="4" t="s">
        <v>255</v>
      </c>
      <c r="BM2337" s="4" t="s">
        <v>241</v>
      </c>
      <c r="BN2337" s="6">
        <f>0</f>
        <v>0</v>
      </c>
      <c r="BO2337" s="6">
        <f>0</f>
        <v>0</v>
      </c>
      <c r="BP2337" s="4" t="s">
        <v>256</v>
      </c>
      <c r="BQ2337" s="4" t="s">
        <v>257</v>
      </c>
      <c r="CE2337" s="4" t="s">
        <v>241</v>
      </c>
      <c r="CF2337" s="4" t="s">
        <v>241</v>
      </c>
      <c r="CJ2337" s="4" t="s">
        <v>276</v>
      </c>
      <c r="CK2337" s="4" t="s">
        <v>259</v>
      </c>
      <c r="CL2337" s="4" t="s">
        <v>241</v>
      </c>
      <c r="CO2337" s="5" t="s">
        <v>260</v>
      </c>
      <c r="CP2337" s="4" t="s">
        <v>241</v>
      </c>
      <c r="CQ2337" s="4" t="s">
        <v>261</v>
      </c>
      <c r="CR2337" s="4" t="s">
        <v>241</v>
      </c>
      <c r="CS2337" s="4" t="s">
        <v>241</v>
      </c>
      <c r="CT2337" s="4">
        <v>0</v>
      </c>
      <c r="CU2337" s="4" t="s">
        <v>262</v>
      </c>
      <c r="CV2337" s="4" t="s">
        <v>263</v>
      </c>
      <c r="CW2337" s="4" t="s">
        <v>263</v>
      </c>
      <c r="CX2337" s="4" t="s">
        <v>264</v>
      </c>
      <c r="DA2337" s="6">
        <f>1</f>
        <v>1</v>
      </c>
      <c r="DC2337" s="4" t="s">
        <v>325</v>
      </c>
      <c r="DD2337" s="4" t="s">
        <v>241</v>
      </c>
      <c r="DF2337" s="4" t="s">
        <v>325</v>
      </c>
      <c r="DG2337" s="6">
        <f>640</f>
        <v>640</v>
      </c>
      <c r="DI2337" s="4" t="s">
        <v>241</v>
      </c>
      <c r="DJ2337" s="4" t="s">
        <v>241</v>
      </c>
      <c r="DK2337" s="4" t="s">
        <v>241</v>
      </c>
      <c r="DL2337" s="4" t="s">
        <v>241</v>
      </c>
      <c r="DP2337" s="4" t="s">
        <v>241</v>
      </c>
      <c r="DQ2337" s="4" t="s">
        <v>241</v>
      </c>
      <c r="DR2337" s="4" t="s">
        <v>241</v>
      </c>
      <c r="DS2337" s="4" t="s">
        <v>241</v>
      </c>
      <c r="DV2337" s="4" t="s">
        <v>426</v>
      </c>
      <c r="DW2337" s="4" t="s">
        <v>3055</v>
      </c>
      <c r="HO2337" s="4" t="s">
        <v>267</v>
      </c>
    </row>
    <row r="2338" spans="1:223" ht="19.5" customHeight="1" x14ac:dyDescent="0.4">
      <c r="A2338" s="4">
        <v>1</v>
      </c>
      <c r="B2338" s="4" t="s">
        <v>239</v>
      </c>
      <c r="C2338" s="4">
        <v>4041</v>
      </c>
      <c r="D2338" s="4">
        <v>1</v>
      </c>
      <c r="E2338" s="4">
        <v>1</v>
      </c>
      <c r="F2338" s="4" t="s">
        <v>268</v>
      </c>
      <c r="G2338" s="4" t="s">
        <v>241</v>
      </c>
      <c r="H2338" s="4" t="s">
        <v>241</v>
      </c>
      <c r="I2338" s="4" t="s">
        <v>424</v>
      </c>
      <c r="J2338" s="4" t="s">
        <v>274</v>
      </c>
      <c r="K2338" s="4" t="s">
        <v>251</v>
      </c>
      <c r="L2338" s="4" t="s">
        <v>423</v>
      </c>
      <c r="M2338" s="5" t="s">
        <v>4617</v>
      </c>
      <c r="N2338" s="6">
        <f>743</f>
        <v>743</v>
      </c>
      <c r="O2338" s="4" t="s">
        <v>265</v>
      </c>
      <c r="P2338" s="6">
        <f>1</f>
        <v>1</v>
      </c>
      <c r="Q2338" s="6">
        <f>0</f>
        <v>0</v>
      </c>
      <c r="S2338" s="6">
        <f>0</f>
        <v>0</v>
      </c>
      <c r="T2338" s="6">
        <f>1</f>
        <v>1</v>
      </c>
      <c r="U2338" s="5" t="s">
        <v>245</v>
      </c>
      <c r="V2338" s="4" t="s">
        <v>270</v>
      </c>
      <c r="W2338" s="4" t="s">
        <v>271</v>
      </c>
      <c r="X2338" s="4" t="s">
        <v>273</v>
      </c>
      <c r="Y2338" s="4" t="s">
        <v>241</v>
      </c>
      <c r="AB2338" s="4" t="s">
        <v>241</v>
      </c>
      <c r="AD2338" s="5" t="s">
        <v>241</v>
      </c>
      <c r="AG2338" s="5" t="s">
        <v>246</v>
      </c>
      <c r="AH2338" s="4" t="s">
        <v>241</v>
      </c>
      <c r="AI2338" s="4" t="s">
        <v>247</v>
      </c>
      <c r="AJ2338" s="4" t="s">
        <v>248</v>
      </c>
      <c r="AZ2338" s="4" t="s">
        <v>249</v>
      </c>
      <c r="BA2338" s="4" t="s">
        <v>241</v>
      </c>
      <c r="BB2338" s="4" t="s">
        <v>250</v>
      </c>
      <c r="BC2338" s="4" t="s">
        <v>241</v>
      </c>
      <c r="BD2338" s="4" t="s">
        <v>252</v>
      </c>
      <c r="BE2338" s="4" t="s">
        <v>241</v>
      </c>
      <c r="BI2338" s="4" t="s">
        <v>253</v>
      </c>
      <c r="BJ2338" s="5" t="s">
        <v>246</v>
      </c>
      <c r="BK2338" s="4" t="s">
        <v>254</v>
      </c>
      <c r="BL2338" s="4" t="s">
        <v>255</v>
      </c>
      <c r="BM2338" s="4" t="s">
        <v>241</v>
      </c>
      <c r="BN2338" s="6">
        <f>0</f>
        <v>0</v>
      </c>
      <c r="BO2338" s="6">
        <f>0</f>
        <v>0</v>
      </c>
      <c r="BP2338" s="4" t="s">
        <v>256</v>
      </c>
      <c r="BQ2338" s="4" t="s">
        <v>257</v>
      </c>
      <c r="CE2338" s="4" t="s">
        <v>241</v>
      </c>
      <c r="CF2338" s="4" t="s">
        <v>241</v>
      </c>
      <c r="CJ2338" s="4" t="s">
        <v>276</v>
      </c>
      <c r="CK2338" s="4" t="s">
        <v>259</v>
      </c>
      <c r="CL2338" s="4" t="s">
        <v>241</v>
      </c>
      <c r="CO2338" s="5" t="s">
        <v>260</v>
      </c>
      <c r="CP2338" s="4" t="s">
        <v>241</v>
      </c>
      <c r="CQ2338" s="4" t="s">
        <v>261</v>
      </c>
      <c r="CR2338" s="4" t="s">
        <v>241</v>
      </c>
      <c r="CS2338" s="4" t="s">
        <v>241</v>
      </c>
      <c r="CT2338" s="4">
        <v>0</v>
      </c>
      <c r="CU2338" s="4" t="s">
        <v>262</v>
      </c>
      <c r="CV2338" s="4" t="s">
        <v>263</v>
      </c>
      <c r="CW2338" s="4" t="s">
        <v>263</v>
      </c>
      <c r="CX2338" s="4" t="s">
        <v>264</v>
      </c>
      <c r="DA2338" s="6">
        <f>1</f>
        <v>1</v>
      </c>
      <c r="DC2338" s="4" t="s">
        <v>325</v>
      </c>
      <c r="DD2338" s="4" t="s">
        <v>241</v>
      </c>
      <c r="DF2338" s="4" t="s">
        <v>325</v>
      </c>
      <c r="DG2338" s="6">
        <f>743</f>
        <v>743</v>
      </c>
      <c r="DI2338" s="4" t="s">
        <v>241</v>
      </c>
      <c r="DJ2338" s="4" t="s">
        <v>241</v>
      </c>
      <c r="DK2338" s="4" t="s">
        <v>241</v>
      </c>
      <c r="DL2338" s="4" t="s">
        <v>241</v>
      </c>
      <c r="DP2338" s="4" t="s">
        <v>241</v>
      </c>
      <c r="DQ2338" s="4" t="s">
        <v>241</v>
      </c>
      <c r="DR2338" s="4" t="s">
        <v>241</v>
      </c>
      <c r="DS2338" s="4" t="s">
        <v>241</v>
      </c>
      <c r="DV2338" s="4" t="s">
        <v>426</v>
      </c>
      <c r="DW2338" s="4" t="s">
        <v>3053</v>
      </c>
      <c r="HO2338" s="4" t="s">
        <v>267</v>
      </c>
    </row>
    <row r="2339" spans="1:223" ht="19.5" customHeight="1" x14ac:dyDescent="0.4">
      <c r="A2339" s="4">
        <v>1</v>
      </c>
      <c r="B2339" s="4" t="s">
        <v>239</v>
      </c>
      <c r="C2339" s="4">
        <v>4042</v>
      </c>
      <c r="D2339" s="4">
        <v>1</v>
      </c>
      <c r="E2339" s="4">
        <v>1</v>
      </c>
      <c r="F2339" s="4" t="s">
        <v>268</v>
      </c>
      <c r="G2339" s="4" t="s">
        <v>241</v>
      </c>
      <c r="H2339" s="4" t="s">
        <v>241</v>
      </c>
      <c r="I2339" s="4" t="s">
        <v>424</v>
      </c>
      <c r="J2339" s="4" t="s">
        <v>274</v>
      </c>
      <c r="K2339" s="4" t="s">
        <v>251</v>
      </c>
      <c r="L2339" s="4" t="s">
        <v>423</v>
      </c>
      <c r="M2339" s="5" t="s">
        <v>3301</v>
      </c>
      <c r="N2339" s="6">
        <f>3889</f>
        <v>3889</v>
      </c>
      <c r="O2339" s="4" t="s">
        <v>265</v>
      </c>
      <c r="P2339" s="6">
        <f>1</f>
        <v>1</v>
      </c>
      <c r="Q2339" s="6">
        <f>0</f>
        <v>0</v>
      </c>
      <c r="S2339" s="6">
        <f>0</f>
        <v>0</v>
      </c>
      <c r="T2339" s="6">
        <f>1</f>
        <v>1</v>
      </c>
      <c r="U2339" s="5" t="s">
        <v>245</v>
      </c>
      <c r="V2339" s="4" t="s">
        <v>270</v>
      </c>
      <c r="W2339" s="4" t="s">
        <v>271</v>
      </c>
      <c r="X2339" s="4" t="s">
        <v>273</v>
      </c>
      <c r="Y2339" s="4" t="s">
        <v>241</v>
      </c>
      <c r="AB2339" s="4" t="s">
        <v>241</v>
      </c>
      <c r="AD2339" s="5" t="s">
        <v>241</v>
      </c>
      <c r="AG2339" s="5" t="s">
        <v>246</v>
      </c>
      <c r="AH2339" s="4" t="s">
        <v>241</v>
      </c>
      <c r="AI2339" s="4" t="s">
        <v>247</v>
      </c>
      <c r="AJ2339" s="4" t="s">
        <v>248</v>
      </c>
      <c r="AZ2339" s="4" t="s">
        <v>249</v>
      </c>
      <c r="BA2339" s="4" t="s">
        <v>241</v>
      </c>
      <c r="BB2339" s="4" t="s">
        <v>250</v>
      </c>
      <c r="BC2339" s="4" t="s">
        <v>241</v>
      </c>
      <c r="BD2339" s="4" t="s">
        <v>252</v>
      </c>
      <c r="BE2339" s="4" t="s">
        <v>241</v>
      </c>
      <c r="BI2339" s="4" t="s">
        <v>253</v>
      </c>
      <c r="BJ2339" s="5" t="s">
        <v>246</v>
      </c>
      <c r="BK2339" s="4" t="s">
        <v>254</v>
      </c>
      <c r="BL2339" s="4" t="s">
        <v>255</v>
      </c>
      <c r="BM2339" s="4" t="s">
        <v>241</v>
      </c>
      <c r="BN2339" s="6">
        <f>0</f>
        <v>0</v>
      </c>
      <c r="BO2339" s="6">
        <f>0</f>
        <v>0</v>
      </c>
      <c r="BP2339" s="4" t="s">
        <v>256</v>
      </c>
      <c r="BQ2339" s="4" t="s">
        <v>257</v>
      </c>
      <c r="CE2339" s="4" t="s">
        <v>241</v>
      </c>
      <c r="CF2339" s="4" t="s">
        <v>241</v>
      </c>
      <c r="CJ2339" s="4" t="s">
        <v>276</v>
      </c>
      <c r="CK2339" s="4" t="s">
        <v>259</v>
      </c>
      <c r="CL2339" s="4" t="s">
        <v>241</v>
      </c>
      <c r="CO2339" s="5" t="s">
        <v>260</v>
      </c>
      <c r="CP2339" s="4" t="s">
        <v>241</v>
      </c>
      <c r="CQ2339" s="4" t="s">
        <v>261</v>
      </c>
      <c r="CR2339" s="4" t="s">
        <v>241</v>
      </c>
      <c r="CS2339" s="4" t="s">
        <v>241</v>
      </c>
      <c r="CT2339" s="4">
        <v>0</v>
      </c>
      <c r="CU2339" s="4" t="s">
        <v>262</v>
      </c>
      <c r="CV2339" s="4" t="s">
        <v>263</v>
      </c>
      <c r="CW2339" s="4" t="s">
        <v>263</v>
      </c>
      <c r="CX2339" s="4" t="s">
        <v>264</v>
      </c>
      <c r="DA2339" s="6">
        <f>1</f>
        <v>1</v>
      </c>
      <c r="DC2339" s="4" t="s">
        <v>325</v>
      </c>
      <c r="DD2339" s="4" t="s">
        <v>241</v>
      </c>
      <c r="DF2339" s="4" t="s">
        <v>325</v>
      </c>
      <c r="DG2339" s="6">
        <f>3889</f>
        <v>3889</v>
      </c>
      <c r="DI2339" s="4" t="s">
        <v>241</v>
      </c>
      <c r="DJ2339" s="4" t="s">
        <v>241</v>
      </c>
      <c r="DK2339" s="4" t="s">
        <v>241</v>
      </c>
      <c r="DL2339" s="4" t="s">
        <v>241</v>
      </c>
      <c r="DP2339" s="4" t="s">
        <v>241</v>
      </c>
      <c r="DQ2339" s="4" t="s">
        <v>241</v>
      </c>
      <c r="DR2339" s="4" t="s">
        <v>241</v>
      </c>
      <c r="DS2339" s="4" t="s">
        <v>241</v>
      </c>
      <c r="DV2339" s="4" t="s">
        <v>426</v>
      </c>
      <c r="DW2339" s="4" t="s">
        <v>3051</v>
      </c>
      <c r="HO2339" s="4" t="s">
        <v>267</v>
      </c>
    </row>
    <row r="2340" spans="1:223" ht="19.5" customHeight="1" x14ac:dyDescent="0.4">
      <c r="A2340" s="4">
        <v>1</v>
      </c>
      <c r="B2340" s="4" t="s">
        <v>239</v>
      </c>
      <c r="C2340" s="4">
        <v>4043</v>
      </c>
      <c r="D2340" s="4">
        <v>1</v>
      </c>
      <c r="E2340" s="4">
        <v>1</v>
      </c>
      <c r="F2340" s="4" t="s">
        <v>268</v>
      </c>
      <c r="G2340" s="4" t="s">
        <v>241</v>
      </c>
      <c r="H2340" s="4" t="s">
        <v>241</v>
      </c>
      <c r="I2340" s="4" t="s">
        <v>424</v>
      </c>
      <c r="J2340" s="4" t="s">
        <v>274</v>
      </c>
      <c r="K2340" s="4" t="s">
        <v>251</v>
      </c>
      <c r="L2340" s="4" t="s">
        <v>423</v>
      </c>
      <c r="M2340" s="5" t="s">
        <v>3302</v>
      </c>
      <c r="N2340" s="6">
        <f>2525</f>
        <v>2525</v>
      </c>
      <c r="O2340" s="4" t="s">
        <v>265</v>
      </c>
      <c r="P2340" s="6">
        <f>1</f>
        <v>1</v>
      </c>
      <c r="Q2340" s="6">
        <f>0</f>
        <v>0</v>
      </c>
      <c r="S2340" s="6">
        <f>0</f>
        <v>0</v>
      </c>
      <c r="T2340" s="6">
        <f>1</f>
        <v>1</v>
      </c>
      <c r="U2340" s="5" t="s">
        <v>245</v>
      </c>
      <c r="V2340" s="4" t="s">
        <v>270</v>
      </c>
      <c r="W2340" s="4" t="s">
        <v>271</v>
      </c>
      <c r="X2340" s="4" t="s">
        <v>273</v>
      </c>
      <c r="Y2340" s="4" t="s">
        <v>241</v>
      </c>
      <c r="AB2340" s="4" t="s">
        <v>241</v>
      </c>
      <c r="AD2340" s="5" t="s">
        <v>241</v>
      </c>
      <c r="AG2340" s="5" t="s">
        <v>246</v>
      </c>
      <c r="AH2340" s="4" t="s">
        <v>241</v>
      </c>
      <c r="AI2340" s="4" t="s">
        <v>247</v>
      </c>
      <c r="AJ2340" s="4" t="s">
        <v>248</v>
      </c>
      <c r="AZ2340" s="4" t="s">
        <v>249</v>
      </c>
      <c r="BA2340" s="4" t="s">
        <v>241</v>
      </c>
      <c r="BB2340" s="4" t="s">
        <v>250</v>
      </c>
      <c r="BC2340" s="4" t="s">
        <v>241</v>
      </c>
      <c r="BD2340" s="4" t="s">
        <v>252</v>
      </c>
      <c r="BE2340" s="4" t="s">
        <v>241</v>
      </c>
      <c r="BI2340" s="4" t="s">
        <v>253</v>
      </c>
      <c r="BJ2340" s="5" t="s">
        <v>246</v>
      </c>
      <c r="BK2340" s="4" t="s">
        <v>254</v>
      </c>
      <c r="BL2340" s="4" t="s">
        <v>255</v>
      </c>
      <c r="BM2340" s="4" t="s">
        <v>241</v>
      </c>
      <c r="BN2340" s="6">
        <f>0</f>
        <v>0</v>
      </c>
      <c r="BO2340" s="6">
        <f>0</f>
        <v>0</v>
      </c>
      <c r="BP2340" s="4" t="s">
        <v>256</v>
      </c>
      <c r="BQ2340" s="4" t="s">
        <v>257</v>
      </c>
      <c r="CE2340" s="4" t="s">
        <v>241</v>
      </c>
      <c r="CF2340" s="4" t="s">
        <v>241</v>
      </c>
      <c r="CJ2340" s="4" t="s">
        <v>276</v>
      </c>
      <c r="CK2340" s="4" t="s">
        <v>259</v>
      </c>
      <c r="CL2340" s="4" t="s">
        <v>241</v>
      </c>
      <c r="CO2340" s="5" t="s">
        <v>260</v>
      </c>
      <c r="CP2340" s="4" t="s">
        <v>241</v>
      </c>
      <c r="CQ2340" s="4" t="s">
        <v>261</v>
      </c>
      <c r="CR2340" s="4" t="s">
        <v>241</v>
      </c>
      <c r="CS2340" s="4" t="s">
        <v>241</v>
      </c>
      <c r="CT2340" s="4">
        <v>0</v>
      </c>
      <c r="CU2340" s="4" t="s">
        <v>262</v>
      </c>
      <c r="CV2340" s="4" t="s">
        <v>263</v>
      </c>
      <c r="CW2340" s="4" t="s">
        <v>263</v>
      </c>
      <c r="CX2340" s="4" t="s">
        <v>264</v>
      </c>
      <c r="DA2340" s="6">
        <f>1</f>
        <v>1</v>
      </c>
      <c r="DC2340" s="4" t="s">
        <v>325</v>
      </c>
      <c r="DD2340" s="4" t="s">
        <v>241</v>
      </c>
      <c r="DF2340" s="4" t="s">
        <v>325</v>
      </c>
      <c r="DG2340" s="6">
        <f>2525</f>
        <v>2525</v>
      </c>
      <c r="DI2340" s="4" t="s">
        <v>241</v>
      </c>
      <c r="DJ2340" s="4" t="s">
        <v>241</v>
      </c>
      <c r="DK2340" s="4" t="s">
        <v>241</v>
      </c>
      <c r="DL2340" s="4" t="s">
        <v>241</v>
      </c>
      <c r="DP2340" s="4" t="s">
        <v>241</v>
      </c>
      <c r="DQ2340" s="4" t="s">
        <v>241</v>
      </c>
      <c r="DR2340" s="4" t="s">
        <v>241</v>
      </c>
      <c r="DS2340" s="4" t="s">
        <v>241</v>
      </c>
      <c r="DV2340" s="4" t="s">
        <v>426</v>
      </c>
      <c r="DW2340" s="4" t="s">
        <v>3049</v>
      </c>
      <c r="HO2340" s="4" t="s">
        <v>267</v>
      </c>
    </row>
    <row r="2341" spans="1:223" ht="19.5" customHeight="1" x14ac:dyDescent="0.4">
      <c r="A2341" s="4">
        <v>1</v>
      </c>
      <c r="B2341" s="4" t="s">
        <v>239</v>
      </c>
      <c r="C2341" s="4">
        <v>4044</v>
      </c>
      <c r="D2341" s="4">
        <v>1</v>
      </c>
      <c r="E2341" s="4">
        <v>1</v>
      </c>
      <c r="F2341" s="4" t="s">
        <v>268</v>
      </c>
      <c r="G2341" s="4" t="s">
        <v>241</v>
      </c>
      <c r="H2341" s="4" t="s">
        <v>241</v>
      </c>
      <c r="I2341" s="4" t="s">
        <v>424</v>
      </c>
      <c r="J2341" s="4" t="s">
        <v>274</v>
      </c>
      <c r="K2341" s="4" t="s">
        <v>251</v>
      </c>
      <c r="L2341" s="4" t="s">
        <v>423</v>
      </c>
      <c r="M2341" s="5" t="s">
        <v>3304</v>
      </c>
      <c r="N2341" s="6">
        <f>638</f>
        <v>638</v>
      </c>
      <c r="O2341" s="4" t="s">
        <v>265</v>
      </c>
      <c r="P2341" s="6">
        <f>1</f>
        <v>1</v>
      </c>
      <c r="Q2341" s="6">
        <f>0</f>
        <v>0</v>
      </c>
      <c r="S2341" s="6">
        <f>0</f>
        <v>0</v>
      </c>
      <c r="T2341" s="6">
        <f>1</f>
        <v>1</v>
      </c>
      <c r="U2341" s="5" t="s">
        <v>245</v>
      </c>
      <c r="V2341" s="4" t="s">
        <v>270</v>
      </c>
      <c r="W2341" s="4" t="s">
        <v>271</v>
      </c>
      <c r="X2341" s="4" t="s">
        <v>273</v>
      </c>
      <c r="Y2341" s="4" t="s">
        <v>241</v>
      </c>
      <c r="AB2341" s="4" t="s">
        <v>241</v>
      </c>
      <c r="AD2341" s="5" t="s">
        <v>241</v>
      </c>
      <c r="AG2341" s="5" t="s">
        <v>246</v>
      </c>
      <c r="AH2341" s="4" t="s">
        <v>241</v>
      </c>
      <c r="AI2341" s="4" t="s">
        <v>247</v>
      </c>
      <c r="AJ2341" s="4" t="s">
        <v>248</v>
      </c>
      <c r="AZ2341" s="4" t="s">
        <v>249</v>
      </c>
      <c r="BA2341" s="4" t="s">
        <v>241</v>
      </c>
      <c r="BB2341" s="4" t="s">
        <v>250</v>
      </c>
      <c r="BC2341" s="4" t="s">
        <v>241</v>
      </c>
      <c r="BD2341" s="4" t="s">
        <v>252</v>
      </c>
      <c r="BE2341" s="4" t="s">
        <v>241</v>
      </c>
      <c r="BI2341" s="4" t="s">
        <v>253</v>
      </c>
      <c r="BJ2341" s="5" t="s">
        <v>246</v>
      </c>
      <c r="BK2341" s="4" t="s">
        <v>254</v>
      </c>
      <c r="BL2341" s="4" t="s">
        <v>255</v>
      </c>
      <c r="BM2341" s="4" t="s">
        <v>241</v>
      </c>
      <c r="BN2341" s="6">
        <f>0</f>
        <v>0</v>
      </c>
      <c r="BO2341" s="6">
        <f>0</f>
        <v>0</v>
      </c>
      <c r="BP2341" s="4" t="s">
        <v>256</v>
      </c>
      <c r="BQ2341" s="4" t="s">
        <v>257</v>
      </c>
      <c r="CE2341" s="4" t="s">
        <v>241</v>
      </c>
      <c r="CF2341" s="4" t="s">
        <v>241</v>
      </c>
      <c r="CJ2341" s="4" t="s">
        <v>276</v>
      </c>
      <c r="CK2341" s="4" t="s">
        <v>259</v>
      </c>
      <c r="CL2341" s="4" t="s">
        <v>241</v>
      </c>
      <c r="CO2341" s="5" t="s">
        <v>260</v>
      </c>
      <c r="CP2341" s="4" t="s">
        <v>241</v>
      </c>
      <c r="CQ2341" s="4" t="s">
        <v>261</v>
      </c>
      <c r="CR2341" s="4" t="s">
        <v>241</v>
      </c>
      <c r="CS2341" s="4" t="s">
        <v>241</v>
      </c>
      <c r="CT2341" s="4">
        <v>0</v>
      </c>
      <c r="CU2341" s="4" t="s">
        <v>262</v>
      </c>
      <c r="CV2341" s="4" t="s">
        <v>263</v>
      </c>
      <c r="CW2341" s="4" t="s">
        <v>263</v>
      </c>
      <c r="CX2341" s="4" t="s">
        <v>264</v>
      </c>
      <c r="DA2341" s="6">
        <f>1</f>
        <v>1</v>
      </c>
      <c r="DC2341" s="4" t="s">
        <v>325</v>
      </c>
      <c r="DD2341" s="4" t="s">
        <v>241</v>
      </c>
      <c r="DF2341" s="4" t="s">
        <v>325</v>
      </c>
      <c r="DG2341" s="6">
        <f>638</f>
        <v>638</v>
      </c>
      <c r="DI2341" s="4" t="s">
        <v>241</v>
      </c>
      <c r="DJ2341" s="4" t="s">
        <v>241</v>
      </c>
      <c r="DK2341" s="4" t="s">
        <v>241</v>
      </c>
      <c r="DL2341" s="4" t="s">
        <v>241</v>
      </c>
      <c r="DP2341" s="4" t="s">
        <v>241</v>
      </c>
      <c r="DQ2341" s="4" t="s">
        <v>241</v>
      </c>
      <c r="DR2341" s="4" t="s">
        <v>241</v>
      </c>
      <c r="DS2341" s="4" t="s">
        <v>241</v>
      </c>
      <c r="DV2341" s="4" t="s">
        <v>426</v>
      </c>
      <c r="DW2341" s="4" t="s">
        <v>3047</v>
      </c>
      <c r="HO2341" s="4" t="s">
        <v>267</v>
      </c>
    </row>
    <row r="2342" spans="1:223" ht="19.5" customHeight="1" x14ac:dyDescent="0.4">
      <c r="A2342" s="4">
        <v>1</v>
      </c>
      <c r="B2342" s="4" t="s">
        <v>239</v>
      </c>
      <c r="C2342" s="4">
        <v>4045</v>
      </c>
      <c r="D2342" s="4">
        <v>1</v>
      </c>
      <c r="E2342" s="4">
        <v>1</v>
      </c>
      <c r="F2342" s="4" t="s">
        <v>268</v>
      </c>
      <c r="G2342" s="4" t="s">
        <v>241</v>
      </c>
      <c r="H2342" s="4" t="s">
        <v>241</v>
      </c>
      <c r="I2342" s="4" t="s">
        <v>424</v>
      </c>
      <c r="J2342" s="4" t="s">
        <v>274</v>
      </c>
      <c r="K2342" s="4" t="s">
        <v>251</v>
      </c>
      <c r="L2342" s="4" t="s">
        <v>423</v>
      </c>
      <c r="M2342" s="5" t="s">
        <v>3307</v>
      </c>
      <c r="N2342" s="6">
        <f>211</f>
        <v>211</v>
      </c>
      <c r="O2342" s="4" t="s">
        <v>265</v>
      </c>
      <c r="P2342" s="6">
        <f>1</f>
        <v>1</v>
      </c>
      <c r="Q2342" s="6">
        <f>0</f>
        <v>0</v>
      </c>
      <c r="S2342" s="6">
        <f>0</f>
        <v>0</v>
      </c>
      <c r="T2342" s="6">
        <f>1</f>
        <v>1</v>
      </c>
      <c r="U2342" s="5" t="s">
        <v>245</v>
      </c>
      <c r="V2342" s="4" t="s">
        <v>270</v>
      </c>
      <c r="W2342" s="4" t="s">
        <v>271</v>
      </c>
      <c r="X2342" s="4" t="s">
        <v>273</v>
      </c>
      <c r="Y2342" s="4" t="s">
        <v>241</v>
      </c>
      <c r="AB2342" s="4" t="s">
        <v>241</v>
      </c>
      <c r="AD2342" s="5" t="s">
        <v>241</v>
      </c>
      <c r="AG2342" s="5" t="s">
        <v>246</v>
      </c>
      <c r="AH2342" s="4" t="s">
        <v>241</v>
      </c>
      <c r="AI2342" s="4" t="s">
        <v>247</v>
      </c>
      <c r="AJ2342" s="4" t="s">
        <v>248</v>
      </c>
      <c r="AZ2342" s="4" t="s">
        <v>249</v>
      </c>
      <c r="BA2342" s="4" t="s">
        <v>241</v>
      </c>
      <c r="BB2342" s="4" t="s">
        <v>250</v>
      </c>
      <c r="BC2342" s="4" t="s">
        <v>241</v>
      </c>
      <c r="BD2342" s="4" t="s">
        <v>252</v>
      </c>
      <c r="BE2342" s="4" t="s">
        <v>241</v>
      </c>
      <c r="BI2342" s="4" t="s">
        <v>253</v>
      </c>
      <c r="BJ2342" s="5" t="s">
        <v>246</v>
      </c>
      <c r="BK2342" s="4" t="s">
        <v>254</v>
      </c>
      <c r="BL2342" s="4" t="s">
        <v>255</v>
      </c>
      <c r="BM2342" s="4" t="s">
        <v>241</v>
      </c>
      <c r="BN2342" s="6">
        <f>0</f>
        <v>0</v>
      </c>
      <c r="BO2342" s="6">
        <f>0</f>
        <v>0</v>
      </c>
      <c r="BP2342" s="4" t="s">
        <v>256</v>
      </c>
      <c r="BQ2342" s="4" t="s">
        <v>257</v>
      </c>
      <c r="CE2342" s="4" t="s">
        <v>241</v>
      </c>
      <c r="CF2342" s="4" t="s">
        <v>241</v>
      </c>
      <c r="CJ2342" s="4" t="s">
        <v>276</v>
      </c>
      <c r="CK2342" s="4" t="s">
        <v>259</v>
      </c>
      <c r="CL2342" s="4" t="s">
        <v>241</v>
      </c>
      <c r="CO2342" s="5" t="s">
        <v>260</v>
      </c>
      <c r="CP2342" s="4" t="s">
        <v>241</v>
      </c>
      <c r="CQ2342" s="4" t="s">
        <v>261</v>
      </c>
      <c r="CR2342" s="4" t="s">
        <v>241</v>
      </c>
      <c r="CS2342" s="4" t="s">
        <v>241</v>
      </c>
      <c r="CT2342" s="4">
        <v>0</v>
      </c>
      <c r="CU2342" s="4" t="s">
        <v>262</v>
      </c>
      <c r="CV2342" s="4" t="s">
        <v>263</v>
      </c>
      <c r="CW2342" s="4" t="s">
        <v>263</v>
      </c>
      <c r="CX2342" s="4" t="s">
        <v>264</v>
      </c>
      <c r="DA2342" s="6">
        <f>1</f>
        <v>1</v>
      </c>
      <c r="DC2342" s="4" t="s">
        <v>325</v>
      </c>
      <c r="DD2342" s="4" t="s">
        <v>241</v>
      </c>
      <c r="DF2342" s="4" t="s">
        <v>325</v>
      </c>
      <c r="DG2342" s="6">
        <f>211</f>
        <v>211</v>
      </c>
      <c r="DI2342" s="4" t="s">
        <v>241</v>
      </c>
      <c r="DJ2342" s="4" t="s">
        <v>241</v>
      </c>
      <c r="DK2342" s="4" t="s">
        <v>241</v>
      </c>
      <c r="DL2342" s="4" t="s">
        <v>241</v>
      </c>
      <c r="DP2342" s="4" t="s">
        <v>241</v>
      </c>
      <c r="DQ2342" s="4" t="s">
        <v>241</v>
      </c>
      <c r="DR2342" s="4" t="s">
        <v>241</v>
      </c>
      <c r="DS2342" s="4" t="s">
        <v>241</v>
      </c>
      <c r="DV2342" s="4" t="s">
        <v>426</v>
      </c>
      <c r="DW2342" s="4" t="s">
        <v>3045</v>
      </c>
      <c r="HO2342" s="4" t="s">
        <v>267</v>
      </c>
    </row>
    <row r="2343" spans="1:223" ht="19.5" customHeight="1" x14ac:dyDescent="0.4">
      <c r="A2343" s="4">
        <v>1</v>
      </c>
      <c r="B2343" s="4" t="s">
        <v>239</v>
      </c>
      <c r="C2343" s="4">
        <v>4046</v>
      </c>
      <c r="D2343" s="4">
        <v>1</v>
      </c>
      <c r="E2343" s="4">
        <v>1</v>
      </c>
      <c r="F2343" s="4" t="s">
        <v>268</v>
      </c>
      <c r="G2343" s="4" t="s">
        <v>241</v>
      </c>
      <c r="H2343" s="4" t="s">
        <v>241</v>
      </c>
      <c r="I2343" s="4" t="s">
        <v>424</v>
      </c>
      <c r="J2343" s="4" t="s">
        <v>274</v>
      </c>
      <c r="K2343" s="4" t="s">
        <v>251</v>
      </c>
      <c r="L2343" s="4" t="s">
        <v>423</v>
      </c>
      <c r="M2343" s="5" t="s">
        <v>3308</v>
      </c>
      <c r="N2343" s="6">
        <f>861</f>
        <v>861</v>
      </c>
      <c r="O2343" s="4" t="s">
        <v>265</v>
      </c>
      <c r="P2343" s="6">
        <f>1</f>
        <v>1</v>
      </c>
      <c r="Q2343" s="6">
        <f>0</f>
        <v>0</v>
      </c>
      <c r="S2343" s="6">
        <f>0</f>
        <v>0</v>
      </c>
      <c r="T2343" s="6">
        <f>1</f>
        <v>1</v>
      </c>
      <c r="U2343" s="5" t="s">
        <v>245</v>
      </c>
      <c r="V2343" s="4" t="s">
        <v>270</v>
      </c>
      <c r="W2343" s="4" t="s">
        <v>271</v>
      </c>
      <c r="X2343" s="4" t="s">
        <v>273</v>
      </c>
      <c r="Y2343" s="4" t="s">
        <v>241</v>
      </c>
      <c r="AB2343" s="4" t="s">
        <v>241</v>
      </c>
      <c r="AD2343" s="5" t="s">
        <v>241</v>
      </c>
      <c r="AG2343" s="5" t="s">
        <v>246</v>
      </c>
      <c r="AH2343" s="4" t="s">
        <v>241</v>
      </c>
      <c r="AI2343" s="4" t="s">
        <v>247</v>
      </c>
      <c r="AJ2343" s="4" t="s">
        <v>248</v>
      </c>
      <c r="AZ2343" s="4" t="s">
        <v>249</v>
      </c>
      <c r="BA2343" s="4" t="s">
        <v>241</v>
      </c>
      <c r="BB2343" s="4" t="s">
        <v>250</v>
      </c>
      <c r="BC2343" s="4" t="s">
        <v>241</v>
      </c>
      <c r="BD2343" s="4" t="s">
        <v>252</v>
      </c>
      <c r="BE2343" s="4" t="s">
        <v>241</v>
      </c>
      <c r="BI2343" s="4" t="s">
        <v>253</v>
      </c>
      <c r="BJ2343" s="5" t="s">
        <v>246</v>
      </c>
      <c r="BK2343" s="4" t="s">
        <v>254</v>
      </c>
      <c r="BL2343" s="4" t="s">
        <v>255</v>
      </c>
      <c r="BM2343" s="4" t="s">
        <v>241</v>
      </c>
      <c r="BN2343" s="6">
        <f>0</f>
        <v>0</v>
      </c>
      <c r="BO2343" s="6">
        <f>0</f>
        <v>0</v>
      </c>
      <c r="BP2343" s="4" t="s">
        <v>256</v>
      </c>
      <c r="BQ2343" s="4" t="s">
        <v>257</v>
      </c>
      <c r="CE2343" s="4" t="s">
        <v>241</v>
      </c>
      <c r="CF2343" s="4" t="s">
        <v>241</v>
      </c>
      <c r="CJ2343" s="4" t="s">
        <v>276</v>
      </c>
      <c r="CK2343" s="4" t="s">
        <v>259</v>
      </c>
      <c r="CL2343" s="4" t="s">
        <v>241</v>
      </c>
      <c r="CO2343" s="5" t="s">
        <v>260</v>
      </c>
      <c r="CP2343" s="4" t="s">
        <v>241</v>
      </c>
      <c r="CQ2343" s="4" t="s">
        <v>261</v>
      </c>
      <c r="CR2343" s="4" t="s">
        <v>241</v>
      </c>
      <c r="CS2343" s="4" t="s">
        <v>241</v>
      </c>
      <c r="CT2343" s="4">
        <v>0</v>
      </c>
      <c r="CU2343" s="4" t="s">
        <v>262</v>
      </c>
      <c r="CV2343" s="4" t="s">
        <v>263</v>
      </c>
      <c r="CW2343" s="4" t="s">
        <v>263</v>
      </c>
      <c r="CX2343" s="4" t="s">
        <v>264</v>
      </c>
      <c r="DA2343" s="6">
        <f>1</f>
        <v>1</v>
      </c>
      <c r="DC2343" s="4" t="s">
        <v>325</v>
      </c>
      <c r="DD2343" s="4" t="s">
        <v>241</v>
      </c>
      <c r="DF2343" s="4" t="s">
        <v>325</v>
      </c>
      <c r="DG2343" s="6">
        <f>861</f>
        <v>861</v>
      </c>
      <c r="DI2343" s="4" t="s">
        <v>241</v>
      </c>
      <c r="DJ2343" s="4" t="s">
        <v>241</v>
      </c>
      <c r="DK2343" s="4" t="s">
        <v>241</v>
      </c>
      <c r="DL2343" s="4" t="s">
        <v>241</v>
      </c>
      <c r="DP2343" s="4" t="s">
        <v>241</v>
      </c>
      <c r="DQ2343" s="4" t="s">
        <v>241</v>
      </c>
      <c r="DR2343" s="4" t="s">
        <v>241</v>
      </c>
      <c r="DS2343" s="4" t="s">
        <v>241</v>
      </c>
      <c r="DV2343" s="4" t="s">
        <v>426</v>
      </c>
      <c r="DW2343" s="4" t="s">
        <v>1023</v>
      </c>
      <c r="HO2343" s="4" t="s">
        <v>267</v>
      </c>
    </row>
    <row r="2344" spans="1:223" ht="19.5" customHeight="1" x14ac:dyDescent="0.4">
      <c r="A2344" s="4">
        <v>1</v>
      </c>
      <c r="B2344" s="4" t="s">
        <v>239</v>
      </c>
      <c r="C2344" s="4">
        <v>4047</v>
      </c>
      <c r="D2344" s="4">
        <v>1</v>
      </c>
      <c r="E2344" s="4">
        <v>1</v>
      </c>
      <c r="F2344" s="4" t="s">
        <v>268</v>
      </c>
      <c r="G2344" s="4" t="s">
        <v>241</v>
      </c>
      <c r="H2344" s="4" t="s">
        <v>241</v>
      </c>
      <c r="I2344" s="4" t="s">
        <v>424</v>
      </c>
      <c r="J2344" s="4" t="s">
        <v>274</v>
      </c>
      <c r="K2344" s="4" t="s">
        <v>251</v>
      </c>
      <c r="L2344" s="4" t="s">
        <v>423</v>
      </c>
      <c r="M2344" s="5" t="s">
        <v>3309</v>
      </c>
      <c r="N2344" s="6">
        <f>596</f>
        <v>596</v>
      </c>
      <c r="O2344" s="4" t="s">
        <v>265</v>
      </c>
      <c r="P2344" s="6">
        <f>1</f>
        <v>1</v>
      </c>
      <c r="Q2344" s="6">
        <f>0</f>
        <v>0</v>
      </c>
      <c r="S2344" s="6">
        <f>0</f>
        <v>0</v>
      </c>
      <c r="T2344" s="6">
        <f>1</f>
        <v>1</v>
      </c>
      <c r="U2344" s="5" t="s">
        <v>245</v>
      </c>
      <c r="V2344" s="4" t="s">
        <v>270</v>
      </c>
      <c r="W2344" s="4" t="s">
        <v>271</v>
      </c>
      <c r="X2344" s="4" t="s">
        <v>273</v>
      </c>
      <c r="Y2344" s="4" t="s">
        <v>241</v>
      </c>
      <c r="AB2344" s="4" t="s">
        <v>241</v>
      </c>
      <c r="AD2344" s="5" t="s">
        <v>241</v>
      </c>
      <c r="AG2344" s="5" t="s">
        <v>246</v>
      </c>
      <c r="AH2344" s="4" t="s">
        <v>241</v>
      </c>
      <c r="AI2344" s="4" t="s">
        <v>247</v>
      </c>
      <c r="AJ2344" s="4" t="s">
        <v>248</v>
      </c>
      <c r="AZ2344" s="4" t="s">
        <v>249</v>
      </c>
      <c r="BA2344" s="4" t="s">
        <v>241</v>
      </c>
      <c r="BB2344" s="4" t="s">
        <v>250</v>
      </c>
      <c r="BC2344" s="4" t="s">
        <v>241</v>
      </c>
      <c r="BD2344" s="4" t="s">
        <v>252</v>
      </c>
      <c r="BE2344" s="4" t="s">
        <v>241</v>
      </c>
      <c r="BI2344" s="4" t="s">
        <v>253</v>
      </c>
      <c r="BJ2344" s="5" t="s">
        <v>246</v>
      </c>
      <c r="BK2344" s="4" t="s">
        <v>254</v>
      </c>
      <c r="BL2344" s="4" t="s">
        <v>255</v>
      </c>
      <c r="BM2344" s="4" t="s">
        <v>241</v>
      </c>
      <c r="BN2344" s="6">
        <f>0</f>
        <v>0</v>
      </c>
      <c r="BO2344" s="6">
        <f>0</f>
        <v>0</v>
      </c>
      <c r="BP2344" s="4" t="s">
        <v>256</v>
      </c>
      <c r="BQ2344" s="4" t="s">
        <v>257</v>
      </c>
      <c r="CE2344" s="4" t="s">
        <v>241</v>
      </c>
      <c r="CF2344" s="4" t="s">
        <v>241</v>
      </c>
      <c r="CJ2344" s="4" t="s">
        <v>276</v>
      </c>
      <c r="CK2344" s="4" t="s">
        <v>259</v>
      </c>
      <c r="CL2344" s="4" t="s">
        <v>241</v>
      </c>
      <c r="CO2344" s="5" t="s">
        <v>260</v>
      </c>
      <c r="CP2344" s="4" t="s">
        <v>241</v>
      </c>
      <c r="CQ2344" s="4" t="s">
        <v>261</v>
      </c>
      <c r="CR2344" s="4" t="s">
        <v>241</v>
      </c>
      <c r="CS2344" s="4" t="s">
        <v>241</v>
      </c>
      <c r="CT2344" s="4">
        <v>0</v>
      </c>
      <c r="CU2344" s="4" t="s">
        <v>262</v>
      </c>
      <c r="CV2344" s="4" t="s">
        <v>263</v>
      </c>
      <c r="CW2344" s="4" t="s">
        <v>263</v>
      </c>
      <c r="CX2344" s="4" t="s">
        <v>264</v>
      </c>
      <c r="DA2344" s="6">
        <f>1</f>
        <v>1</v>
      </c>
      <c r="DC2344" s="4" t="s">
        <v>325</v>
      </c>
      <c r="DD2344" s="4" t="s">
        <v>241</v>
      </c>
      <c r="DF2344" s="4" t="s">
        <v>325</v>
      </c>
      <c r="DG2344" s="6">
        <f>596</f>
        <v>596</v>
      </c>
      <c r="DI2344" s="4" t="s">
        <v>241</v>
      </c>
      <c r="DJ2344" s="4" t="s">
        <v>241</v>
      </c>
      <c r="DK2344" s="4" t="s">
        <v>241</v>
      </c>
      <c r="DL2344" s="4" t="s">
        <v>241</v>
      </c>
      <c r="DP2344" s="4" t="s">
        <v>241</v>
      </c>
      <c r="DQ2344" s="4" t="s">
        <v>241</v>
      </c>
      <c r="DR2344" s="4" t="s">
        <v>241</v>
      </c>
      <c r="DS2344" s="4" t="s">
        <v>241</v>
      </c>
      <c r="DV2344" s="4" t="s">
        <v>426</v>
      </c>
      <c r="DW2344" s="4" t="s">
        <v>3043</v>
      </c>
      <c r="HO2344" s="4" t="s">
        <v>267</v>
      </c>
    </row>
    <row r="2345" spans="1:223" ht="19.5" customHeight="1" x14ac:dyDescent="0.4">
      <c r="A2345" s="4">
        <v>1</v>
      </c>
      <c r="B2345" s="4" t="s">
        <v>239</v>
      </c>
      <c r="C2345" s="4">
        <v>4048</v>
      </c>
      <c r="D2345" s="4">
        <v>1</v>
      </c>
      <c r="E2345" s="4">
        <v>1</v>
      </c>
      <c r="F2345" s="4" t="s">
        <v>268</v>
      </c>
      <c r="G2345" s="4" t="s">
        <v>241</v>
      </c>
      <c r="H2345" s="4" t="s">
        <v>241</v>
      </c>
      <c r="I2345" s="4" t="s">
        <v>424</v>
      </c>
      <c r="J2345" s="4" t="s">
        <v>274</v>
      </c>
      <c r="K2345" s="4" t="s">
        <v>251</v>
      </c>
      <c r="L2345" s="4" t="s">
        <v>423</v>
      </c>
      <c r="M2345" s="5" t="s">
        <v>3311</v>
      </c>
      <c r="N2345" s="6">
        <f>1496</f>
        <v>1496</v>
      </c>
      <c r="O2345" s="4" t="s">
        <v>265</v>
      </c>
      <c r="P2345" s="6">
        <f>1</f>
        <v>1</v>
      </c>
      <c r="Q2345" s="6">
        <f>0</f>
        <v>0</v>
      </c>
      <c r="S2345" s="6">
        <f>0</f>
        <v>0</v>
      </c>
      <c r="T2345" s="6">
        <f>1</f>
        <v>1</v>
      </c>
      <c r="U2345" s="5" t="s">
        <v>245</v>
      </c>
      <c r="V2345" s="4" t="s">
        <v>270</v>
      </c>
      <c r="W2345" s="4" t="s">
        <v>271</v>
      </c>
      <c r="X2345" s="4" t="s">
        <v>273</v>
      </c>
      <c r="Y2345" s="4" t="s">
        <v>241</v>
      </c>
      <c r="AB2345" s="4" t="s">
        <v>241</v>
      </c>
      <c r="AD2345" s="5" t="s">
        <v>241</v>
      </c>
      <c r="AG2345" s="5" t="s">
        <v>246</v>
      </c>
      <c r="AH2345" s="4" t="s">
        <v>241</v>
      </c>
      <c r="AI2345" s="4" t="s">
        <v>247</v>
      </c>
      <c r="AJ2345" s="4" t="s">
        <v>248</v>
      </c>
      <c r="AZ2345" s="4" t="s">
        <v>249</v>
      </c>
      <c r="BA2345" s="4" t="s">
        <v>241</v>
      </c>
      <c r="BB2345" s="4" t="s">
        <v>250</v>
      </c>
      <c r="BC2345" s="4" t="s">
        <v>241</v>
      </c>
      <c r="BD2345" s="4" t="s">
        <v>252</v>
      </c>
      <c r="BE2345" s="4" t="s">
        <v>241</v>
      </c>
      <c r="BI2345" s="4" t="s">
        <v>253</v>
      </c>
      <c r="BJ2345" s="5" t="s">
        <v>246</v>
      </c>
      <c r="BK2345" s="4" t="s">
        <v>254</v>
      </c>
      <c r="BL2345" s="4" t="s">
        <v>255</v>
      </c>
      <c r="BM2345" s="4" t="s">
        <v>241</v>
      </c>
      <c r="BN2345" s="6">
        <f>0</f>
        <v>0</v>
      </c>
      <c r="BO2345" s="6">
        <f>0</f>
        <v>0</v>
      </c>
      <c r="BP2345" s="4" t="s">
        <v>256</v>
      </c>
      <c r="BQ2345" s="4" t="s">
        <v>257</v>
      </c>
      <c r="CE2345" s="4" t="s">
        <v>241</v>
      </c>
      <c r="CF2345" s="4" t="s">
        <v>241</v>
      </c>
      <c r="CJ2345" s="4" t="s">
        <v>276</v>
      </c>
      <c r="CK2345" s="4" t="s">
        <v>259</v>
      </c>
      <c r="CL2345" s="4" t="s">
        <v>241</v>
      </c>
      <c r="CO2345" s="5" t="s">
        <v>260</v>
      </c>
      <c r="CP2345" s="4" t="s">
        <v>241</v>
      </c>
      <c r="CQ2345" s="4" t="s">
        <v>261</v>
      </c>
      <c r="CR2345" s="4" t="s">
        <v>241</v>
      </c>
      <c r="CS2345" s="4" t="s">
        <v>241</v>
      </c>
      <c r="CT2345" s="4">
        <v>0</v>
      </c>
      <c r="CU2345" s="4" t="s">
        <v>262</v>
      </c>
      <c r="CV2345" s="4" t="s">
        <v>263</v>
      </c>
      <c r="CW2345" s="4" t="s">
        <v>263</v>
      </c>
      <c r="CX2345" s="4" t="s">
        <v>264</v>
      </c>
      <c r="DA2345" s="6">
        <f>1</f>
        <v>1</v>
      </c>
      <c r="DC2345" s="4" t="s">
        <v>325</v>
      </c>
      <c r="DD2345" s="4" t="s">
        <v>241</v>
      </c>
      <c r="DF2345" s="4" t="s">
        <v>325</v>
      </c>
      <c r="DG2345" s="6">
        <f>1496</f>
        <v>1496</v>
      </c>
      <c r="DI2345" s="4" t="s">
        <v>241</v>
      </c>
      <c r="DJ2345" s="4" t="s">
        <v>241</v>
      </c>
      <c r="DK2345" s="4" t="s">
        <v>241</v>
      </c>
      <c r="DL2345" s="4" t="s">
        <v>241</v>
      </c>
      <c r="DP2345" s="4" t="s">
        <v>241</v>
      </c>
      <c r="DQ2345" s="4" t="s">
        <v>241</v>
      </c>
      <c r="DR2345" s="4" t="s">
        <v>241</v>
      </c>
      <c r="DS2345" s="4" t="s">
        <v>241</v>
      </c>
      <c r="DV2345" s="4" t="s">
        <v>426</v>
      </c>
      <c r="DW2345" s="4" t="s">
        <v>3041</v>
      </c>
      <c r="HO2345" s="4" t="s">
        <v>267</v>
      </c>
    </row>
    <row r="2346" spans="1:223" ht="19.5" customHeight="1" x14ac:dyDescent="0.4">
      <c r="A2346" s="4">
        <v>1</v>
      </c>
      <c r="B2346" s="4" t="s">
        <v>239</v>
      </c>
      <c r="C2346" s="4">
        <v>4049</v>
      </c>
      <c r="D2346" s="4">
        <v>1</v>
      </c>
      <c r="E2346" s="4">
        <v>1</v>
      </c>
      <c r="F2346" s="4" t="s">
        <v>268</v>
      </c>
      <c r="G2346" s="4" t="s">
        <v>241</v>
      </c>
      <c r="H2346" s="4" t="s">
        <v>241</v>
      </c>
      <c r="I2346" s="4" t="s">
        <v>424</v>
      </c>
      <c r="J2346" s="4" t="s">
        <v>274</v>
      </c>
      <c r="K2346" s="4" t="s">
        <v>251</v>
      </c>
      <c r="L2346" s="4" t="s">
        <v>423</v>
      </c>
      <c r="M2346" s="5" t="s">
        <v>4625</v>
      </c>
      <c r="N2346" s="6">
        <f>2969</f>
        <v>2969</v>
      </c>
      <c r="O2346" s="4" t="s">
        <v>265</v>
      </c>
      <c r="P2346" s="6">
        <f>1</f>
        <v>1</v>
      </c>
      <c r="Q2346" s="6">
        <f>0</f>
        <v>0</v>
      </c>
      <c r="S2346" s="6">
        <f>0</f>
        <v>0</v>
      </c>
      <c r="T2346" s="6">
        <f>1</f>
        <v>1</v>
      </c>
      <c r="U2346" s="5" t="s">
        <v>245</v>
      </c>
      <c r="V2346" s="4" t="s">
        <v>270</v>
      </c>
      <c r="W2346" s="4" t="s">
        <v>271</v>
      </c>
      <c r="X2346" s="4" t="s">
        <v>273</v>
      </c>
      <c r="Y2346" s="4" t="s">
        <v>241</v>
      </c>
      <c r="AB2346" s="4" t="s">
        <v>241</v>
      </c>
      <c r="AD2346" s="5" t="s">
        <v>241</v>
      </c>
      <c r="AG2346" s="5" t="s">
        <v>246</v>
      </c>
      <c r="AH2346" s="4" t="s">
        <v>241</v>
      </c>
      <c r="AI2346" s="4" t="s">
        <v>247</v>
      </c>
      <c r="AJ2346" s="4" t="s">
        <v>248</v>
      </c>
      <c r="AZ2346" s="4" t="s">
        <v>249</v>
      </c>
      <c r="BA2346" s="4" t="s">
        <v>241</v>
      </c>
      <c r="BB2346" s="4" t="s">
        <v>250</v>
      </c>
      <c r="BC2346" s="4" t="s">
        <v>241</v>
      </c>
      <c r="BD2346" s="4" t="s">
        <v>252</v>
      </c>
      <c r="BE2346" s="4" t="s">
        <v>241</v>
      </c>
      <c r="BI2346" s="4" t="s">
        <v>253</v>
      </c>
      <c r="BJ2346" s="5" t="s">
        <v>246</v>
      </c>
      <c r="BK2346" s="4" t="s">
        <v>254</v>
      </c>
      <c r="BL2346" s="4" t="s">
        <v>255</v>
      </c>
      <c r="BM2346" s="4" t="s">
        <v>241</v>
      </c>
      <c r="BN2346" s="6">
        <f>0</f>
        <v>0</v>
      </c>
      <c r="BO2346" s="6">
        <f>0</f>
        <v>0</v>
      </c>
      <c r="BP2346" s="4" t="s">
        <v>256</v>
      </c>
      <c r="BQ2346" s="4" t="s">
        <v>257</v>
      </c>
      <c r="CE2346" s="4" t="s">
        <v>241</v>
      </c>
      <c r="CF2346" s="4" t="s">
        <v>241</v>
      </c>
      <c r="CJ2346" s="4" t="s">
        <v>276</v>
      </c>
      <c r="CK2346" s="4" t="s">
        <v>259</v>
      </c>
      <c r="CL2346" s="4" t="s">
        <v>241</v>
      </c>
      <c r="CO2346" s="5" t="s">
        <v>260</v>
      </c>
      <c r="CP2346" s="4" t="s">
        <v>241</v>
      </c>
      <c r="CQ2346" s="4" t="s">
        <v>261</v>
      </c>
      <c r="CR2346" s="4" t="s">
        <v>241</v>
      </c>
      <c r="CS2346" s="4" t="s">
        <v>241</v>
      </c>
      <c r="CT2346" s="4">
        <v>0</v>
      </c>
      <c r="CU2346" s="4" t="s">
        <v>262</v>
      </c>
      <c r="CV2346" s="4" t="s">
        <v>263</v>
      </c>
      <c r="CW2346" s="4" t="s">
        <v>263</v>
      </c>
      <c r="CX2346" s="4" t="s">
        <v>264</v>
      </c>
      <c r="DA2346" s="6">
        <f>1</f>
        <v>1</v>
      </c>
      <c r="DC2346" s="4" t="s">
        <v>325</v>
      </c>
      <c r="DD2346" s="4" t="s">
        <v>241</v>
      </c>
      <c r="DF2346" s="4" t="s">
        <v>325</v>
      </c>
      <c r="DG2346" s="6">
        <f>2969</f>
        <v>2969</v>
      </c>
      <c r="DI2346" s="4" t="s">
        <v>241</v>
      </c>
      <c r="DJ2346" s="4" t="s">
        <v>241</v>
      </c>
      <c r="DK2346" s="4" t="s">
        <v>241</v>
      </c>
      <c r="DL2346" s="4" t="s">
        <v>241</v>
      </c>
      <c r="DP2346" s="4" t="s">
        <v>241</v>
      </c>
      <c r="DQ2346" s="4" t="s">
        <v>241</v>
      </c>
      <c r="DR2346" s="4" t="s">
        <v>241</v>
      </c>
      <c r="DS2346" s="4" t="s">
        <v>241</v>
      </c>
      <c r="DV2346" s="4" t="s">
        <v>426</v>
      </c>
      <c r="DW2346" s="4" t="s">
        <v>3039</v>
      </c>
      <c r="HO2346" s="4" t="s">
        <v>267</v>
      </c>
    </row>
    <row r="2347" spans="1:223" ht="19.5" customHeight="1" x14ac:dyDescent="0.4">
      <c r="A2347" s="4">
        <v>1</v>
      </c>
      <c r="B2347" s="4" t="s">
        <v>239</v>
      </c>
      <c r="C2347" s="4">
        <v>4050</v>
      </c>
      <c r="D2347" s="4">
        <v>1</v>
      </c>
      <c r="E2347" s="4">
        <v>1</v>
      </c>
      <c r="F2347" s="4" t="s">
        <v>268</v>
      </c>
      <c r="G2347" s="4" t="s">
        <v>241</v>
      </c>
      <c r="H2347" s="4" t="s">
        <v>241</v>
      </c>
      <c r="I2347" s="4" t="s">
        <v>424</v>
      </c>
      <c r="J2347" s="4" t="s">
        <v>274</v>
      </c>
      <c r="K2347" s="4" t="s">
        <v>251</v>
      </c>
      <c r="L2347" s="4" t="s">
        <v>423</v>
      </c>
      <c r="M2347" s="5" t="s">
        <v>3317</v>
      </c>
      <c r="N2347" s="6">
        <f>1665</f>
        <v>1665</v>
      </c>
      <c r="O2347" s="4" t="s">
        <v>265</v>
      </c>
      <c r="P2347" s="6">
        <f>1</f>
        <v>1</v>
      </c>
      <c r="Q2347" s="6">
        <f>0</f>
        <v>0</v>
      </c>
      <c r="S2347" s="6">
        <f>0</f>
        <v>0</v>
      </c>
      <c r="T2347" s="6">
        <f>1</f>
        <v>1</v>
      </c>
      <c r="U2347" s="5" t="s">
        <v>245</v>
      </c>
      <c r="V2347" s="4" t="s">
        <v>270</v>
      </c>
      <c r="W2347" s="4" t="s">
        <v>271</v>
      </c>
      <c r="X2347" s="4" t="s">
        <v>273</v>
      </c>
      <c r="Y2347" s="4" t="s">
        <v>241</v>
      </c>
      <c r="AB2347" s="4" t="s">
        <v>241</v>
      </c>
      <c r="AD2347" s="5" t="s">
        <v>241</v>
      </c>
      <c r="AG2347" s="5" t="s">
        <v>246</v>
      </c>
      <c r="AH2347" s="4" t="s">
        <v>241</v>
      </c>
      <c r="AI2347" s="4" t="s">
        <v>247</v>
      </c>
      <c r="AJ2347" s="4" t="s">
        <v>248</v>
      </c>
      <c r="AZ2347" s="4" t="s">
        <v>249</v>
      </c>
      <c r="BA2347" s="4" t="s">
        <v>241</v>
      </c>
      <c r="BB2347" s="4" t="s">
        <v>250</v>
      </c>
      <c r="BC2347" s="4" t="s">
        <v>241</v>
      </c>
      <c r="BD2347" s="4" t="s">
        <v>252</v>
      </c>
      <c r="BE2347" s="4" t="s">
        <v>241</v>
      </c>
      <c r="BI2347" s="4" t="s">
        <v>253</v>
      </c>
      <c r="BJ2347" s="5" t="s">
        <v>246</v>
      </c>
      <c r="BK2347" s="4" t="s">
        <v>254</v>
      </c>
      <c r="BL2347" s="4" t="s">
        <v>255</v>
      </c>
      <c r="BM2347" s="4" t="s">
        <v>241</v>
      </c>
      <c r="BN2347" s="6">
        <f>0</f>
        <v>0</v>
      </c>
      <c r="BO2347" s="6">
        <f>0</f>
        <v>0</v>
      </c>
      <c r="BP2347" s="4" t="s">
        <v>256</v>
      </c>
      <c r="BQ2347" s="4" t="s">
        <v>257</v>
      </c>
      <c r="CE2347" s="4" t="s">
        <v>241</v>
      </c>
      <c r="CF2347" s="4" t="s">
        <v>241</v>
      </c>
      <c r="CJ2347" s="4" t="s">
        <v>276</v>
      </c>
      <c r="CK2347" s="4" t="s">
        <v>259</v>
      </c>
      <c r="CL2347" s="4" t="s">
        <v>241</v>
      </c>
      <c r="CO2347" s="5" t="s">
        <v>260</v>
      </c>
      <c r="CP2347" s="4" t="s">
        <v>241</v>
      </c>
      <c r="CQ2347" s="4" t="s">
        <v>261</v>
      </c>
      <c r="CR2347" s="4" t="s">
        <v>241</v>
      </c>
      <c r="CS2347" s="4" t="s">
        <v>241</v>
      </c>
      <c r="CT2347" s="4">
        <v>0</v>
      </c>
      <c r="CU2347" s="4" t="s">
        <v>262</v>
      </c>
      <c r="CV2347" s="4" t="s">
        <v>263</v>
      </c>
      <c r="CW2347" s="4" t="s">
        <v>263</v>
      </c>
      <c r="CX2347" s="4" t="s">
        <v>264</v>
      </c>
      <c r="DA2347" s="6">
        <f>1</f>
        <v>1</v>
      </c>
      <c r="DC2347" s="4" t="s">
        <v>325</v>
      </c>
      <c r="DD2347" s="4" t="s">
        <v>241</v>
      </c>
      <c r="DF2347" s="4" t="s">
        <v>325</v>
      </c>
      <c r="DG2347" s="6">
        <f>1665</f>
        <v>1665</v>
      </c>
      <c r="DI2347" s="4" t="s">
        <v>241</v>
      </c>
      <c r="DJ2347" s="4" t="s">
        <v>241</v>
      </c>
      <c r="DK2347" s="4" t="s">
        <v>241</v>
      </c>
      <c r="DL2347" s="4" t="s">
        <v>241</v>
      </c>
      <c r="DP2347" s="4" t="s">
        <v>241</v>
      </c>
      <c r="DQ2347" s="4" t="s">
        <v>241</v>
      </c>
      <c r="DR2347" s="4" t="s">
        <v>241</v>
      </c>
      <c r="DS2347" s="4" t="s">
        <v>241</v>
      </c>
      <c r="DV2347" s="4" t="s">
        <v>426</v>
      </c>
      <c r="DW2347" s="4" t="s">
        <v>3037</v>
      </c>
      <c r="HO2347" s="4" t="s">
        <v>267</v>
      </c>
    </row>
    <row r="2348" spans="1:223" ht="19.5" customHeight="1" x14ac:dyDescent="0.4">
      <c r="A2348" s="4">
        <v>1</v>
      </c>
      <c r="B2348" s="4" t="s">
        <v>239</v>
      </c>
      <c r="C2348" s="4">
        <v>4051</v>
      </c>
      <c r="D2348" s="4">
        <v>1</v>
      </c>
      <c r="E2348" s="4">
        <v>1</v>
      </c>
      <c r="F2348" s="4" t="s">
        <v>268</v>
      </c>
      <c r="G2348" s="4" t="s">
        <v>241</v>
      </c>
      <c r="H2348" s="4" t="s">
        <v>241</v>
      </c>
      <c r="I2348" s="4" t="s">
        <v>424</v>
      </c>
      <c r="J2348" s="4" t="s">
        <v>274</v>
      </c>
      <c r="K2348" s="4" t="s">
        <v>251</v>
      </c>
      <c r="L2348" s="4" t="s">
        <v>423</v>
      </c>
      <c r="M2348" s="5" t="s">
        <v>3318</v>
      </c>
      <c r="N2348" s="6">
        <f>777</f>
        <v>777</v>
      </c>
      <c r="O2348" s="4" t="s">
        <v>265</v>
      </c>
      <c r="P2348" s="6">
        <f>1</f>
        <v>1</v>
      </c>
      <c r="Q2348" s="6">
        <f>0</f>
        <v>0</v>
      </c>
      <c r="S2348" s="6">
        <f>0</f>
        <v>0</v>
      </c>
      <c r="T2348" s="6">
        <f>1</f>
        <v>1</v>
      </c>
      <c r="U2348" s="5" t="s">
        <v>245</v>
      </c>
      <c r="V2348" s="4" t="s">
        <v>270</v>
      </c>
      <c r="W2348" s="4" t="s">
        <v>271</v>
      </c>
      <c r="X2348" s="4" t="s">
        <v>273</v>
      </c>
      <c r="Y2348" s="4" t="s">
        <v>241</v>
      </c>
      <c r="AB2348" s="4" t="s">
        <v>241</v>
      </c>
      <c r="AD2348" s="5" t="s">
        <v>241</v>
      </c>
      <c r="AG2348" s="5" t="s">
        <v>246</v>
      </c>
      <c r="AH2348" s="4" t="s">
        <v>241</v>
      </c>
      <c r="AI2348" s="4" t="s">
        <v>247</v>
      </c>
      <c r="AJ2348" s="4" t="s">
        <v>248</v>
      </c>
      <c r="AZ2348" s="4" t="s">
        <v>249</v>
      </c>
      <c r="BA2348" s="4" t="s">
        <v>241</v>
      </c>
      <c r="BB2348" s="4" t="s">
        <v>250</v>
      </c>
      <c r="BC2348" s="4" t="s">
        <v>241</v>
      </c>
      <c r="BD2348" s="4" t="s">
        <v>252</v>
      </c>
      <c r="BE2348" s="4" t="s">
        <v>241</v>
      </c>
      <c r="BI2348" s="4" t="s">
        <v>253</v>
      </c>
      <c r="BJ2348" s="5" t="s">
        <v>246</v>
      </c>
      <c r="BK2348" s="4" t="s">
        <v>254</v>
      </c>
      <c r="BL2348" s="4" t="s">
        <v>255</v>
      </c>
      <c r="BM2348" s="4" t="s">
        <v>241</v>
      </c>
      <c r="BN2348" s="6">
        <f>0</f>
        <v>0</v>
      </c>
      <c r="BO2348" s="6">
        <f>0</f>
        <v>0</v>
      </c>
      <c r="BP2348" s="4" t="s">
        <v>256</v>
      </c>
      <c r="BQ2348" s="4" t="s">
        <v>257</v>
      </c>
      <c r="CE2348" s="4" t="s">
        <v>241</v>
      </c>
      <c r="CF2348" s="4" t="s">
        <v>241</v>
      </c>
      <c r="CJ2348" s="4" t="s">
        <v>276</v>
      </c>
      <c r="CK2348" s="4" t="s">
        <v>259</v>
      </c>
      <c r="CL2348" s="4" t="s">
        <v>241</v>
      </c>
      <c r="CO2348" s="5" t="s">
        <v>260</v>
      </c>
      <c r="CP2348" s="4" t="s">
        <v>241</v>
      </c>
      <c r="CQ2348" s="4" t="s">
        <v>261</v>
      </c>
      <c r="CR2348" s="4" t="s">
        <v>241</v>
      </c>
      <c r="CS2348" s="4" t="s">
        <v>241</v>
      </c>
      <c r="CT2348" s="4">
        <v>0</v>
      </c>
      <c r="CU2348" s="4" t="s">
        <v>262</v>
      </c>
      <c r="CV2348" s="4" t="s">
        <v>263</v>
      </c>
      <c r="CW2348" s="4" t="s">
        <v>263</v>
      </c>
      <c r="CX2348" s="4" t="s">
        <v>264</v>
      </c>
      <c r="DA2348" s="6">
        <f>1</f>
        <v>1</v>
      </c>
      <c r="DC2348" s="4" t="s">
        <v>325</v>
      </c>
      <c r="DD2348" s="4" t="s">
        <v>241</v>
      </c>
      <c r="DF2348" s="4" t="s">
        <v>325</v>
      </c>
      <c r="DG2348" s="6">
        <f>777</f>
        <v>777</v>
      </c>
      <c r="DI2348" s="4" t="s">
        <v>241</v>
      </c>
      <c r="DJ2348" s="4" t="s">
        <v>241</v>
      </c>
      <c r="DK2348" s="4" t="s">
        <v>241</v>
      </c>
      <c r="DL2348" s="4" t="s">
        <v>241</v>
      </c>
      <c r="DP2348" s="4" t="s">
        <v>241</v>
      </c>
      <c r="DQ2348" s="4" t="s">
        <v>241</v>
      </c>
      <c r="DR2348" s="4" t="s">
        <v>241</v>
      </c>
      <c r="DS2348" s="4" t="s">
        <v>241</v>
      </c>
      <c r="DV2348" s="4" t="s">
        <v>426</v>
      </c>
      <c r="DW2348" s="4" t="s">
        <v>3035</v>
      </c>
      <c r="HO2348" s="4" t="s">
        <v>267</v>
      </c>
    </row>
    <row r="2349" spans="1:223" ht="19.5" customHeight="1" x14ac:dyDescent="0.4">
      <c r="A2349" s="4">
        <v>1</v>
      </c>
      <c r="B2349" s="4" t="s">
        <v>239</v>
      </c>
      <c r="C2349" s="4">
        <v>4052</v>
      </c>
      <c r="D2349" s="4">
        <v>1</v>
      </c>
      <c r="E2349" s="4">
        <v>1</v>
      </c>
      <c r="F2349" s="4" t="s">
        <v>268</v>
      </c>
      <c r="G2349" s="4" t="s">
        <v>241</v>
      </c>
      <c r="H2349" s="4" t="s">
        <v>241</v>
      </c>
      <c r="I2349" s="4" t="s">
        <v>424</v>
      </c>
      <c r="J2349" s="4" t="s">
        <v>274</v>
      </c>
      <c r="K2349" s="4" t="s">
        <v>251</v>
      </c>
      <c r="L2349" s="4" t="s">
        <v>423</v>
      </c>
      <c r="M2349" s="5" t="s">
        <v>3320</v>
      </c>
      <c r="N2349" s="6">
        <f>1530</f>
        <v>1530</v>
      </c>
      <c r="O2349" s="4" t="s">
        <v>265</v>
      </c>
      <c r="P2349" s="6">
        <f>1</f>
        <v>1</v>
      </c>
      <c r="Q2349" s="6">
        <f>0</f>
        <v>0</v>
      </c>
      <c r="S2349" s="6">
        <f>0</f>
        <v>0</v>
      </c>
      <c r="T2349" s="6">
        <f>1</f>
        <v>1</v>
      </c>
      <c r="U2349" s="5" t="s">
        <v>245</v>
      </c>
      <c r="V2349" s="4" t="s">
        <v>270</v>
      </c>
      <c r="W2349" s="4" t="s">
        <v>271</v>
      </c>
      <c r="X2349" s="4" t="s">
        <v>273</v>
      </c>
      <c r="Y2349" s="4" t="s">
        <v>241</v>
      </c>
      <c r="AB2349" s="4" t="s">
        <v>241</v>
      </c>
      <c r="AD2349" s="5" t="s">
        <v>241</v>
      </c>
      <c r="AG2349" s="5" t="s">
        <v>246</v>
      </c>
      <c r="AH2349" s="4" t="s">
        <v>241</v>
      </c>
      <c r="AI2349" s="4" t="s">
        <v>247</v>
      </c>
      <c r="AJ2349" s="4" t="s">
        <v>248</v>
      </c>
      <c r="AZ2349" s="4" t="s">
        <v>249</v>
      </c>
      <c r="BA2349" s="4" t="s">
        <v>241</v>
      </c>
      <c r="BB2349" s="4" t="s">
        <v>250</v>
      </c>
      <c r="BC2349" s="4" t="s">
        <v>241</v>
      </c>
      <c r="BD2349" s="4" t="s">
        <v>252</v>
      </c>
      <c r="BE2349" s="4" t="s">
        <v>241</v>
      </c>
      <c r="BI2349" s="4" t="s">
        <v>253</v>
      </c>
      <c r="BJ2349" s="5" t="s">
        <v>246</v>
      </c>
      <c r="BK2349" s="4" t="s">
        <v>254</v>
      </c>
      <c r="BL2349" s="4" t="s">
        <v>255</v>
      </c>
      <c r="BM2349" s="4" t="s">
        <v>241</v>
      </c>
      <c r="BN2349" s="6">
        <f>0</f>
        <v>0</v>
      </c>
      <c r="BO2349" s="6">
        <f>0</f>
        <v>0</v>
      </c>
      <c r="BP2349" s="4" t="s">
        <v>256</v>
      </c>
      <c r="BQ2349" s="4" t="s">
        <v>257</v>
      </c>
      <c r="CE2349" s="4" t="s">
        <v>241</v>
      </c>
      <c r="CF2349" s="4" t="s">
        <v>241</v>
      </c>
      <c r="CJ2349" s="4" t="s">
        <v>276</v>
      </c>
      <c r="CK2349" s="4" t="s">
        <v>259</v>
      </c>
      <c r="CL2349" s="4" t="s">
        <v>241</v>
      </c>
      <c r="CO2349" s="5" t="s">
        <v>260</v>
      </c>
      <c r="CP2349" s="4" t="s">
        <v>241</v>
      </c>
      <c r="CQ2349" s="4" t="s">
        <v>261</v>
      </c>
      <c r="CR2349" s="4" t="s">
        <v>241</v>
      </c>
      <c r="CS2349" s="4" t="s">
        <v>241</v>
      </c>
      <c r="CT2349" s="4">
        <v>0</v>
      </c>
      <c r="CU2349" s="4" t="s">
        <v>262</v>
      </c>
      <c r="CV2349" s="4" t="s">
        <v>263</v>
      </c>
      <c r="CW2349" s="4" t="s">
        <v>263</v>
      </c>
      <c r="CX2349" s="4" t="s">
        <v>264</v>
      </c>
      <c r="DA2349" s="6">
        <f>1</f>
        <v>1</v>
      </c>
      <c r="DC2349" s="4" t="s">
        <v>325</v>
      </c>
      <c r="DD2349" s="4" t="s">
        <v>241</v>
      </c>
      <c r="DF2349" s="4" t="s">
        <v>325</v>
      </c>
      <c r="DG2349" s="6">
        <f>1530</f>
        <v>1530</v>
      </c>
      <c r="DI2349" s="4" t="s">
        <v>241</v>
      </c>
      <c r="DJ2349" s="4" t="s">
        <v>241</v>
      </c>
      <c r="DK2349" s="4" t="s">
        <v>241</v>
      </c>
      <c r="DL2349" s="4" t="s">
        <v>241</v>
      </c>
      <c r="DP2349" s="4" t="s">
        <v>241</v>
      </c>
      <c r="DQ2349" s="4" t="s">
        <v>241</v>
      </c>
      <c r="DR2349" s="4" t="s">
        <v>241</v>
      </c>
      <c r="DS2349" s="4" t="s">
        <v>241</v>
      </c>
      <c r="DV2349" s="4" t="s">
        <v>426</v>
      </c>
      <c r="DW2349" s="4" t="s">
        <v>3033</v>
      </c>
      <c r="HO2349" s="4" t="s">
        <v>267</v>
      </c>
    </row>
    <row r="2350" spans="1:223" ht="19.5" customHeight="1" x14ac:dyDescent="0.4">
      <c r="A2350" s="4">
        <v>1</v>
      </c>
      <c r="B2350" s="4" t="s">
        <v>239</v>
      </c>
      <c r="C2350" s="4">
        <v>4053</v>
      </c>
      <c r="D2350" s="4">
        <v>1</v>
      </c>
      <c r="E2350" s="4">
        <v>1</v>
      </c>
      <c r="F2350" s="4" t="s">
        <v>268</v>
      </c>
      <c r="G2350" s="4" t="s">
        <v>241</v>
      </c>
      <c r="H2350" s="4" t="s">
        <v>241</v>
      </c>
      <c r="I2350" s="4" t="s">
        <v>424</v>
      </c>
      <c r="J2350" s="4" t="s">
        <v>274</v>
      </c>
      <c r="K2350" s="4" t="s">
        <v>251</v>
      </c>
      <c r="L2350" s="4" t="s">
        <v>423</v>
      </c>
      <c r="M2350" s="5" t="s">
        <v>3323</v>
      </c>
      <c r="N2350" s="6">
        <f>1600</f>
        <v>1600</v>
      </c>
      <c r="O2350" s="4" t="s">
        <v>265</v>
      </c>
      <c r="P2350" s="6">
        <f>1</f>
        <v>1</v>
      </c>
      <c r="Q2350" s="6">
        <f>0</f>
        <v>0</v>
      </c>
      <c r="S2350" s="6">
        <f>0</f>
        <v>0</v>
      </c>
      <c r="T2350" s="6">
        <f>1</f>
        <v>1</v>
      </c>
      <c r="U2350" s="5" t="s">
        <v>245</v>
      </c>
      <c r="V2350" s="4" t="s">
        <v>270</v>
      </c>
      <c r="W2350" s="4" t="s">
        <v>271</v>
      </c>
      <c r="X2350" s="4" t="s">
        <v>273</v>
      </c>
      <c r="Y2350" s="4" t="s">
        <v>241</v>
      </c>
      <c r="AB2350" s="4" t="s">
        <v>241</v>
      </c>
      <c r="AD2350" s="5" t="s">
        <v>241</v>
      </c>
      <c r="AG2350" s="5" t="s">
        <v>246</v>
      </c>
      <c r="AH2350" s="4" t="s">
        <v>241</v>
      </c>
      <c r="AI2350" s="4" t="s">
        <v>247</v>
      </c>
      <c r="AJ2350" s="4" t="s">
        <v>248</v>
      </c>
      <c r="AZ2350" s="4" t="s">
        <v>249</v>
      </c>
      <c r="BA2350" s="4" t="s">
        <v>241</v>
      </c>
      <c r="BB2350" s="4" t="s">
        <v>250</v>
      </c>
      <c r="BC2350" s="4" t="s">
        <v>241</v>
      </c>
      <c r="BD2350" s="4" t="s">
        <v>252</v>
      </c>
      <c r="BE2350" s="4" t="s">
        <v>241</v>
      </c>
      <c r="BI2350" s="4" t="s">
        <v>253</v>
      </c>
      <c r="BJ2350" s="5" t="s">
        <v>246</v>
      </c>
      <c r="BK2350" s="4" t="s">
        <v>254</v>
      </c>
      <c r="BL2350" s="4" t="s">
        <v>255</v>
      </c>
      <c r="BM2350" s="4" t="s">
        <v>241</v>
      </c>
      <c r="BN2350" s="6">
        <f>0</f>
        <v>0</v>
      </c>
      <c r="BO2350" s="6">
        <f>0</f>
        <v>0</v>
      </c>
      <c r="BP2350" s="4" t="s">
        <v>256</v>
      </c>
      <c r="BQ2350" s="4" t="s">
        <v>257</v>
      </c>
      <c r="CE2350" s="4" t="s">
        <v>241</v>
      </c>
      <c r="CF2350" s="4" t="s">
        <v>241</v>
      </c>
      <c r="CJ2350" s="4" t="s">
        <v>276</v>
      </c>
      <c r="CK2350" s="4" t="s">
        <v>259</v>
      </c>
      <c r="CL2350" s="4" t="s">
        <v>241</v>
      </c>
      <c r="CO2350" s="5" t="s">
        <v>260</v>
      </c>
      <c r="CP2350" s="4" t="s">
        <v>241</v>
      </c>
      <c r="CQ2350" s="4" t="s">
        <v>261</v>
      </c>
      <c r="CR2350" s="4" t="s">
        <v>241</v>
      </c>
      <c r="CS2350" s="4" t="s">
        <v>241</v>
      </c>
      <c r="CT2350" s="4">
        <v>0</v>
      </c>
      <c r="CU2350" s="4" t="s">
        <v>262</v>
      </c>
      <c r="CV2350" s="4" t="s">
        <v>263</v>
      </c>
      <c r="CW2350" s="4" t="s">
        <v>263</v>
      </c>
      <c r="CX2350" s="4" t="s">
        <v>264</v>
      </c>
      <c r="DA2350" s="6">
        <f>1</f>
        <v>1</v>
      </c>
      <c r="DC2350" s="4" t="s">
        <v>325</v>
      </c>
      <c r="DD2350" s="4" t="s">
        <v>241</v>
      </c>
      <c r="DF2350" s="4" t="s">
        <v>325</v>
      </c>
      <c r="DG2350" s="6">
        <f>1600</f>
        <v>1600</v>
      </c>
      <c r="DI2350" s="4" t="s">
        <v>241</v>
      </c>
      <c r="DJ2350" s="4" t="s">
        <v>241</v>
      </c>
      <c r="DK2350" s="4" t="s">
        <v>241</v>
      </c>
      <c r="DL2350" s="4" t="s">
        <v>241</v>
      </c>
      <c r="DP2350" s="4" t="s">
        <v>241</v>
      </c>
      <c r="DQ2350" s="4" t="s">
        <v>241</v>
      </c>
      <c r="DR2350" s="4" t="s">
        <v>241</v>
      </c>
      <c r="DS2350" s="4" t="s">
        <v>241</v>
      </c>
      <c r="DV2350" s="4" t="s">
        <v>426</v>
      </c>
      <c r="DW2350" s="4" t="s">
        <v>3031</v>
      </c>
      <c r="HO2350" s="4" t="s">
        <v>267</v>
      </c>
    </row>
    <row r="2351" spans="1:223" ht="19.5" customHeight="1" x14ac:dyDescent="0.4">
      <c r="A2351" s="4">
        <v>1</v>
      </c>
      <c r="B2351" s="4" t="s">
        <v>239</v>
      </c>
      <c r="C2351" s="4">
        <v>4054</v>
      </c>
      <c r="D2351" s="4">
        <v>1</v>
      </c>
      <c r="E2351" s="4">
        <v>1</v>
      </c>
      <c r="F2351" s="4" t="s">
        <v>268</v>
      </c>
      <c r="G2351" s="4" t="s">
        <v>241</v>
      </c>
      <c r="H2351" s="4" t="s">
        <v>241</v>
      </c>
      <c r="I2351" s="4" t="s">
        <v>424</v>
      </c>
      <c r="J2351" s="4" t="s">
        <v>274</v>
      </c>
      <c r="K2351" s="4" t="s">
        <v>251</v>
      </c>
      <c r="L2351" s="4" t="s">
        <v>423</v>
      </c>
      <c r="M2351" s="5" t="s">
        <v>3325</v>
      </c>
      <c r="N2351" s="6">
        <f>549</f>
        <v>549</v>
      </c>
      <c r="O2351" s="4" t="s">
        <v>265</v>
      </c>
      <c r="P2351" s="6">
        <f>1</f>
        <v>1</v>
      </c>
      <c r="Q2351" s="6">
        <f>0</f>
        <v>0</v>
      </c>
      <c r="S2351" s="6">
        <f>0</f>
        <v>0</v>
      </c>
      <c r="T2351" s="6">
        <f>1</f>
        <v>1</v>
      </c>
      <c r="U2351" s="5" t="s">
        <v>245</v>
      </c>
      <c r="V2351" s="4" t="s">
        <v>270</v>
      </c>
      <c r="W2351" s="4" t="s">
        <v>271</v>
      </c>
      <c r="X2351" s="4" t="s">
        <v>273</v>
      </c>
      <c r="Y2351" s="4" t="s">
        <v>241</v>
      </c>
      <c r="AB2351" s="4" t="s">
        <v>241</v>
      </c>
      <c r="AD2351" s="5" t="s">
        <v>241</v>
      </c>
      <c r="AG2351" s="5" t="s">
        <v>246</v>
      </c>
      <c r="AH2351" s="4" t="s">
        <v>241</v>
      </c>
      <c r="AI2351" s="4" t="s">
        <v>247</v>
      </c>
      <c r="AJ2351" s="4" t="s">
        <v>248</v>
      </c>
      <c r="AZ2351" s="4" t="s">
        <v>249</v>
      </c>
      <c r="BA2351" s="4" t="s">
        <v>241</v>
      </c>
      <c r="BB2351" s="4" t="s">
        <v>250</v>
      </c>
      <c r="BC2351" s="4" t="s">
        <v>241</v>
      </c>
      <c r="BD2351" s="4" t="s">
        <v>252</v>
      </c>
      <c r="BE2351" s="4" t="s">
        <v>241</v>
      </c>
      <c r="BI2351" s="4" t="s">
        <v>253</v>
      </c>
      <c r="BJ2351" s="5" t="s">
        <v>246</v>
      </c>
      <c r="BK2351" s="4" t="s">
        <v>254</v>
      </c>
      <c r="BL2351" s="4" t="s">
        <v>255</v>
      </c>
      <c r="BM2351" s="4" t="s">
        <v>241</v>
      </c>
      <c r="BN2351" s="6">
        <f>0</f>
        <v>0</v>
      </c>
      <c r="BO2351" s="6">
        <f>0</f>
        <v>0</v>
      </c>
      <c r="BP2351" s="4" t="s">
        <v>256</v>
      </c>
      <c r="BQ2351" s="4" t="s">
        <v>257</v>
      </c>
      <c r="CE2351" s="4" t="s">
        <v>241</v>
      </c>
      <c r="CF2351" s="4" t="s">
        <v>241</v>
      </c>
      <c r="CJ2351" s="4" t="s">
        <v>276</v>
      </c>
      <c r="CK2351" s="4" t="s">
        <v>259</v>
      </c>
      <c r="CL2351" s="4" t="s">
        <v>241</v>
      </c>
      <c r="CO2351" s="5" t="s">
        <v>260</v>
      </c>
      <c r="CP2351" s="4" t="s">
        <v>241</v>
      </c>
      <c r="CQ2351" s="4" t="s">
        <v>261</v>
      </c>
      <c r="CR2351" s="4" t="s">
        <v>241</v>
      </c>
      <c r="CS2351" s="4" t="s">
        <v>241</v>
      </c>
      <c r="CT2351" s="4">
        <v>0</v>
      </c>
      <c r="CU2351" s="4" t="s">
        <v>262</v>
      </c>
      <c r="CV2351" s="4" t="s">
        <v>263</v>
      </c>
      <c r="CW2351" s="4" t="s">
        <v>263</v>
      </c>
      <c r="CX2351" s="4" t="s">
        <v>264</v>
      </c>
      <c r="DA2351" s="6">
        <f>1</f>
        <v>1</v>
      </c>
      <c r="DC2351" s="4" t="s">
        <v>325</v>
      </c>
      <c r="DD2351" s="4" t="s">
        <v>241</v>
      </c>
      <c r="DF2351" s="4" t="s">
        <v>325</v>
      </c>
      <c r="DG2351" s="6">
        <f>549</f>
        <v>549</v>
      </c>
      <c r="DI2351" s="4" t="s">
        <v>241</v>
      </c>
      <c r="DJ2351" s="4" t="s">
        <v>241</v>
      </c>
      <c r="DK2351" s="4" t="s">
        <v>241</v>
      </c>
      <c r="DL2351" s="4" t="s">
        <v>241</v>
      </c>
      <c r="DP2351" s="4" t="s">
        <v>241</v>
      </c>
      <c r="DQ2351" s="4" t="s">
        <v>241</v>
      </c>
      <c r="DR2351" s="4" t="s">
        <v>241</v>
      </c>
      <c r="DS2351" s="4" t="s">
        <v>241</v>
      </c>
      <c r="DV2351" s="4" t="s">
        <v>426</v>
      </c>
      <c r="DW2351" s="4" t="s">
        <v>3029</v>
      </c>
      <c r="HO2351" s="4" t="s">
        <v>267</v>
      </c>
    </row>
    <row r="2352" spans="1:223" ht="19.5" customHeight="1" x14ac:dyDescent="0.4">
      <c r="A2352" s="4">
        <v>1</v>
      </c>
      <c r="B2352" s="4" t="s">
        <v>239</v>
      </c>
      <c r="C2352" s="4">
        <v>4055</v>
      </c>
      <c r="D2352" s="4">
        <v>1</v>
      </c>
      <c r="E2352" s="4">
        <v>1</v>
      </c>
      <c r="F2352" s="4" t="s">
        <v>268</v>
      </c>
      <c r="G2352" s="4" t="s">
        <v>241</v>
      </c>
      <c r="H2352" s="4" t="s">
        <v>241</v>
      </c>
      <c r="I2352" s="4" t="s">
        <v>424</v>
      </c>
      <c r="J2352" s="4" t="s">
        <v>274</v>
      </c>
      <c r="K2352" s="4" t="s">
        <v>251</v>
      </c>
      <c r="L2352" s="4" t="s">
        <v>423</v>
      </c>
      <c r="M2352" s="5" t="s">
        <v>3327</v>
      </c>
      <c r="N2352" s="6">
        <f>307</f>
        <v>307</v>
      </c>
      <c r="O2352" s="4" t="s">
        <v>265</v>
      </c>
      <c r="P2352" s="6">
        <f>1</f>
        <v>1</v>
      </c>
      <c r="Q2352" s="6">
        <f>0</f>
        <v>0</v>
      </c>
      <c r="S2352" s="6">
        <f>0</f>
        <v>0</v>
      </c>
      <c r="T2352" s="6">
        <f>1</f>
        <v>1</v>
      </c>
      <c r="U2352" s="5" t="s">
        <v>245</v>
      </c>
      <c r="V2352" s="4" t="s">
        <v>270</v>
      </c>
      <c r="W2352" s="4" t="s">
        <v>271</v>
      </c>
      <c r="X2352" s="4" t="s">
        <v>273</v>
      </c>
      <c r="Y2352" s="4" t="s">
        <v>241</v>
      </c>
      <c r="AB2352" s="4" t="s">
        <v>241</v>
      </c>
      <c r="AD2352" s="5" t="s">
        <v>241</v>
      </c>
      <c r="AG2352" s="5" t="s">
        <v>246</v>
      </c>
      <c r="AH2352" s="4" t="s">
        <v>241</v>
      </c>
      <c r="AI2352" s="4" t="s">
        <v>247</v>
      </c>
      <c r="AJ2352" s="4" t="s">
        <v>248</v>
      </c>
      <c r="AZ2352" s="4" t="s">
        <v>249</v>
      </c>
      <c r="BA2352" s="4" t="s">
        <v>241</v>
      </c>
      <c r="BB2352" s="4" t="s">
        <v>250</v>
      </c>
      <c r="BC2352" s="4" t="s">
        <v>241</v>
      </c>
      <c r="BD2352" s="4" t="s">
        <v>252</v>
      </c>
      <c r="BE2352" s="4" t="s">
        <v>241</v>
      </c>
      <c r="BI2352" s="4" t="s">
        <v>253</v>
      </c>
      <c r="BJ2352" s="5" t="s">
        <v>246</v>
      </c>
      <c r="BK2352" s="4" t="s">
        <v>254</v>
      </c>
      <c r="BL2352" s="4" t="s">
        <v>255</v>
      </c>
      <c r="BM2352" s="4" t="s">
        <v>241</v>
      </c>
      <c r="BN2352" s="6">
        <f>0</f>
        <v>0</v>
      </c>
      <c r="BO2352" s="6">
        <f>0</f>
        <v>0</v>
      </c>
      <c r="BP2352" s="4" t="s">
        <v>256</v>
      </c>
      <c r="BQ2352" s="4" t="s">
        <v>257</v>
      </c>
      <c r="CE2352" s="4" t="s">
        <v>241</v>
      </c>
      <c r="CF2352" s="4" t="s">
        <v>241</v>
      </c>
      <c r="CJ2352" s="4" t="s">
        <v>276</v>
      </c>
      <c r="CK2352" s="4" t="s">
        <v>259</v>
      </c>
      <c r="CL2352" s="4" t="s">
        <v>241</v>
      </c>
      <c r="CO2352" s="5" t="s">
        <v>260</v>
      </c>
      <c r="CP2352" s="4" t="s">
        <v>241</v>
      </c>
      <c r="CQ2352" s="4" t="s">
        <v>261</v>
      </c>
      <c r="CR2352" s="4" t="s">
        <v>241</v>
      </c>
      <c r="CS2352" s="4" t="s">
        <v>241</v>
      </c>
      <c r="CT2352" s="4">
        <v>0</v>
      </c>
      <c r="CU2352" s="4" t="s">
        <v>262</v>
      </c>
      <c r="CV2352" s="4" t="s">
        <v>263</v>
      </c>
      <c r="CW2352" s="4" t="s">
        <v>263</v>
      </c>
      <c r="CX2352" s="4" t="s">
        <v>264</v>
      </c>
      <c r="DA2352" s="6">
        <f>1</f>
        <v>1</v>
      </c>
      <c r="DC2352" s="4" t="s">
        <v>325</v>
      </c>
      <c r="DD2352" s="4" t="s">
        <v>241</v>
      </c>
      <c r="DF2352" s="4" t="s">
        <v>325</v>
      </c>
      <c r="DG2352" s="6">
        <f>307</f>
        <v>307</v>
      </c>
      <c r="DI2352" s="4" t="s">
        <v>241</v>
      </c>
      <c r="DJ2352" s="4" t="s">
        <v>241</v>
      </c>
      <c r="DK2352" s="4" t="s">
        <v>241</v>
      </c>
      <c r="DL2352" s="4" t="s">
        <v>241</v>
      </c>
      <c r="DP2352" s="4" t="s">
        <v>241</v>
      </c>
      <c r="DQ2352" s="4" t="s">
        <v>241</v>
      </c>
      <c r="DR2352" s="4" t="s">
        <v>241</v>
      </c>
      <c r="DS2352" s="4" t="s">
        <v>241</v>
      </c>
      <c r="DV2352" s="4" t="s">
        <v>426</v>
      </c>
      <c r="DW2352" s="4" t="s">
        <v>3027</v>
      </c>
      <c r="HO2352" s="4" t="s">
        <v>267</v>
      </c>
    </row>
    <row r="2353" spans="1:223" ht="19.5" customHeight="1" x14ac:dyDescent="0.4">
      <c r="A2353" s="4">
        <v>1</v>
      </c>
      <c r="B2353" s="4" t="s">
        <v>239</v>
      </c>
      <c r="C2353" s="4">
        <v>4056</v>
      </c>
      <c r="D2353" s="4">
        <v>1</v>
      </c>
      <c r="E2353" s="4">
        <v>1</v>
      </c>
      <c r="F2353" s="4" t="s">
        <v>268</v>
      </c>
      <c r="G2353" s="4" t="s">
        <v>241</v>
      </c>
      <c r="H2353" s="4" t="s">
        <v>241</v>
      </c>
      <c r="I2353" s="4" t="s">
        <v>424</v>
      </c>
      <c r="J2353" s="4" t="s">
        <v>274</v>
      </c>
      <c r="K2353" s="4" t="s">
        <v>251</v>
      </c>
      <c r="L2353" s="4" t="s">
        <v>423</v>
      </c>
      <c r="M2353" s="5" t="s">
        <v>3330</v>
      </c>
      <c r="N2353" s="6">
        <f>212</f>
        <v>212</v>
      </c>
      <c r="O2353" s="4" t="s">
        <v>265</v>
      </c>
      <c r="P2353" s="6">
        <f>1</f>
        <v>1</v>
      </c>
      <c r="Q2353" s="6">
        <f>0</f>
        <v>0</v>
      </c>
      <c r="S2353" s="6">
        <f>0</f>
        <v>0</v>
      </c>
      <c r="T2353" s="6">
        <f>1</f>
        <v>1</v>
      </c>
      <c r="U2353" s="5" t="s">
        <v>245</v>
      </c>
      <c r="V2353" s="4" t="s">
        <v>270</v>
      </c>
      <c r="W2353" s="4" t="s">
        <v>271</v>
      </c>
      <c r="X2353" s="4" t="s">
        <v>273</v>
      </c>
      <c r="Y2353" s="4" t="s">
        <v>241</v>
      </c>
      <c r="AB2353" s="4" t="s">
        <v>241</v>
      </c>
      <c r="AD2353" s="5" t="s">
        <v>241</v>
      </c>
      <c r="AG2353" s="5" t="s">
        <v>246</v>
      </c>
      <c r="AH2353" s="4" t="s">
        <v>241</v>
      </c>
      <c r="AI2353" s="4" t="s">
        <v>247</v>
      </c>
      <c r="AJ2353" s="4" t="s">
        <v>248</v>
      </c>
      <c r="AZ2353" s="4" t="s">
        <v>249</v>
      </c>
      <c r="BA2353" s="4" t="s">
        <v>241</v>
      </c>
      <c r="BB2353" s="4" t="s">
        <v>250</v>
      </c>
      <c r="BC2353" s="4" t="s">
        <v>241</v>
      </c>
      <c r="BD2353" s="4" t="s">
        <v>252</v>
      </c>
      <c r="BE2353" s="4" t="s">
        <v>241</v>
      </c>
      <c r="BI2353" s="4" t="s">
        <v>253</v>
      </c>
      <c r="BJ2353" s="5" t="s">
        <v>246</v>
      </c>
      <c r="BK2353" s="4" t="s">
        <v>254</v>
      </c>
      <c r="BL2353" s="4" t="s">
        <v>255</v>
      </c>
      <c r="BM2353" s="4" t="s">
        <v>241</v>
      </c>
      <c r="BN2353" s="6">
        <f>0</f>
        <v>0</v>
      </c>
      <c r="BO2353" s="6">
        <f>0</f>
        <v>0</v>
      </c>
      <c r="BP2353" s="4" t="s">
        <v>256</v>
      </c>
      <c r="BQ2353" s="4" t="s">
        <v>257</v>
      </c>
      <c r="CE2353" s="4" t="s">
        <v>241</v>
      </c>
      <c r="CF2353" s="4" t="s">
        <v>241</v>
      </c>
      <c r="CJ2353" s="4" t="s">
        <v>276</v>
      </c>
      <c r="CK2353" s="4" t="s">
        <v>259</v>
      </c>
      <c r="CL2353" s="4" t="s">
        <v>241</v>
      </c>
      <c r="CO2353" s="5" t="s">
        <v>260</v>
      </c>
      <c r="CP2353" s="4" t="s">
        <v>241</v>
      </c>
      <c r="CQ2353" s="4" t="s">
        <v>261</v>
      </c>
      <c r="CR2353" s="4" t="s">
        <v>241</v>
      </c>
      <c r="CS2353" s="4" t="s">
        <v>241</v>
      </c>
      <c r="CT2353" s="4">
        <v>0</v>
      </c>
      <c r="CU2353" s="4" t="s">
        <v>262</v>
      </c>
      <c r="CV2353" s="4" t="s">
        <v>263</v>
      </c>
      <c r="CW2353" s="4" t="s">
        <v>263</v>
      </c>
      <c r="CX2353" s="4" t="s">
        <v>264</v>
      </c>
      <c r="DA2353" s="6">
        <f>1</f>
        <v>1</v>
      </c>
      <c r="DC2353" s="4" t="s">
        <v>325</v>
      </c>
      <c r="DD2353" s="4" t="s">
        <v>241</v>
      </c>
      <c r="DF2353" s="4" t="s">
        <v>325</v>
      </c>
      <c r="DG2353" s="6">
        <f>212</f>
        <v>212</v>
      </c>
      <c r="DI2353" s="4" t="s">
        <v>241</v>
      </c>
      <c r="DJ2353" s="4" t="s">
        <v>241</v>
      </c>
      <c r="DK2353" s="4" t="s">
        <v>241</v>
      </c>
      <c r="DL2353" s="4" t="s">
        <v>241</v>
      </c>
      <c r="DP2353" s="4" t="s">
        <v>241</v>
      </c>
      <c r="DQ2353" s="4" t="s">
        <v>241</v>
      </c>
      <c r="DR2353" s="4" t="s">
        <v>241</v>
      </c>
      <c r="DS2353" s="4" t="s">
        <v>241</v>
      </c>
      <c r="DV2353" s="4" t="s">
        <v>426</v>
      </c>
      <c r="DW2353" s="4" t="s">
        <v>2560</v>
      </c>
      <c r="HO2353" s="4" t="s">
        <v>267</v>
      </c>
    </row>
    <row r="2354" spans="1:223" ht="19.5" customHeight="1" x14ac:dyDescent="0.4">
      <c r="A2354" s="4">
        <v>1</v>
      </c>
      <c r="B2354" s="4" t="s">
        <v>239</v>
      </c>
      <c r="C2354" s="4">
        <v>4057</v>
      </c>
      <c r="D2354" s="4">
        <v>1</v>
      </c>
      <c r="E2354" s="4">
        <v>1</v>
      </c>
      <c r="F2354" s="4" t="s">
        <v>268</v>
      </c>
      <c r="G2354" s="4" t="s">
        <v>241</v>
      </c>
      <c r="H2354" s="4" t="s">
        <v>241</v>
      </c>
      <c r="I2354" s="4" t="s">
        <v>424</v>
      </c>
      <c r="J2354" s="4" t="s">
        <v>274</v>
      </c>
      <c r="K2354" s="4" t="s">
        <v>251</v>
      </c>
      <c r="L2354" s="4" t="s">
        <v>423</v>
      </c>
      <c r="M2354" s="5" t="s">
        <v>3333</v>
      </c>
      <c r="N2354" s="6">
        <f>321</f>
        <v>321</v>
      </c>
      <c r="O2354" s="4" t="s">
        <v>265</v>
      </c>
      <c r="P2354" s="6">
        <f>1</f>
        <v>1</v>
      </c>
      <c r="Q2354" s="6">
        <f>0</f>
        <v>0</v>
      </c>
      <c r="S2354" s="6">
        <f>0</f>
        <v>0</v>
      </c>
      <c r="T2354" s="6">
        <f>1</f>
        <v>1</v>
      </c>
      <c r="U2354" s="5" t="s">
        <v>245</v>
      </c>
      <c r="V2354" s="4" t="s">
        <v>270</v>
      </c>
      <c r="W2354" s="4" t="s">
        <v>271</v>
      </c>
      <c r="X2354" s="4" t="s">
        <v>273</v>
      </c>
      <c r="Y2354" s="4" t="s">
        <v>241</v>
      </c>
      <c r="AB2354" s="4" t="s">
        <v>241</v>
      </c>
      <c r="AD2354" s="5" t="s">
        <v>241</v>
      </c>
      <c r="AG2354" s="5" t="s">
        <v>246</v>
      </c>
      <c r="AH2354" s="4" t="s">
        <v>241</v>
      </c>
      <c r="AI2354" s="4" t="s">
        <v>247</v>
      </c>
      <c r="AJ2354" s="4" t="s">
        <v>248</v>
      </c>
      <c r="AZ2354" s="4" t="s">
        <v>249</v>
      </c>
      <c r="BA2354" s="4" t="s">
        <v>241</v>
      </c>
      <c r="BB2354" s="4" t="s">
        <v>250</v>
      </c>
      <c r="BC2354" s="4" t="s">
        <v>241</v>
      </c>
      <c r="BD2354" s="4" t="s">
        <v>252</v>
      </c>
      <c r="BE2354" s="4" t="s">
        <v>241</v>
      </c>
      <c r="BI2354" s="4" t="s">
        <v>253</v>
      </c>
      <c r="BJ2354" s="5" t="s">
        <v>246</v>
      </c>
      <c r="BK2354" s="4" t="s">
        <v>254</v>
      </c>
      <c r="BL2354" s="4" t="s">
        <v>255</v>
      </c>
      <c r="BM2354" s="4" t="s">
        <v>241</v>
      </c>
      <c r="BN2354" s="6">
        <f>0</f>
        <v>0</v>
      </c>
      <c r="BO2354" s="6">
        <f>0</f>
        <v>0</v>
      </c>
      <c r="BP2354" s="4" t="s">
        <v>256</v>
      </c>
      <c r="BQ2354" s="4" t="s">
        <v>257</v>
      </c>
      <c r="CE2354" s="4" t="s">
        <v>241</v>
      </c>
      <c r="CF2354" s="4" t="s">
        <v>241</v>
      </c>
      <c r="CJ2354" s="4" t="s">
        <v>276</v>
      </c>
      <c r="CK2354" s="4" t="s">
        <v>259</v>
      </c>
      <c r="CL2354" s="4" t="s">
        <v>241</v>
      </c>
      <c r="CO2354" s="5" t="s">
        <v>260</v>
      </c>
      <c r="CP2354" s="4" t="s">
        <v>241</v>
      </c>
      <c r="CQ2354" s="4" t="s">
        <v>261</v>
      </c>
      <c r="CR2354" s="4" t="s">
        <v>241</v>
      </c>
      <c r="CS2354" s="4" t="s">
        <v>241</v>
      </c>
      <c r="CT2354" s="4">
        <v>0</v>
      </c>
      <c r="CU2354" s="4" t="s">
        <v>262</v>
      </c>
      <c r="CV2354" s="4" t="s">
        <v>263</v>
      </c>
      <c r="CW2354" s="4" t="s">
        <v>263</v>
      </c>
      <c r="CX2354" s="4" t="s">
        <v>264</v>
      </c>
      <c r="DA2354" s="6">
        <f>1</f>
        <v>1</v>
      </c>
      <c r="DC2354" s="4" t="s">
        <v>325</v>
      </c>
      <c r="DD2354" s="4" t="s">
        <v>241</v>
      </c>
      <c r="DF2354" s="4" t="s">
        <v>325</v>
      </c>
      <c r="DG2354" s="6">
        <f>321</f>
        <v>321</v>
      </c>
      <c r="DI2354" s="4" t="s">
        <v>241</v>
      </c>
      <c r="DJ2354" s="4" t="s">
        <v>241</v>
      </c>
      <c r="DK2354" s="4" t="s">
        <v>241</v>
      </c>
      <c r="DL2354" s="4" t="s">
        <v>241</v>
      </c>
      <c r="DP2354" s="4" t="s">
        <v>241</v>
      </c>
      <c r="DQ2354" s="4" t="s">
        <v>241</v>
      </c>
      <c r="DR2354" s="4" t="s">
        <v>241</v>
      </c>
      <c r="DS2354" s="4" t="s">
        <v>241</v>
      </c>
      <c r="DV2354" s="4" t="s">
        <v>426</v>
      </c>
      <c r="DW2354" s="4" t="s">
        <v>3025</v>
      </c>
      <c r="HO2354" s="4" t="s">
        <v>267</v>
      </c>
    </row>
    <row r="2355" spans="1:223" ht="19.5" customHeight="1" x14ac:dyDescent="0.4">
      <c r="A2355" s="4">
        <v>1</v>
      </c>
      <c r="B2355" s="4" t="s">
        <v>239</v>
      </c>
      <c r="C2355" s="4">
        <v>4058</v>
      </c>
      <c r="D2355" s="4">
        <v>1</v>
      </c>
      <c r="E2355" s="4">
        <v>1</v>
      </c>
      <c r="F2355" s="4" t="s">
        <v>268</v>
      </c>
      <c r="G2355" s="4" t="s">
        <v>241</v>
      </c>
      <c r="H2355" s="4" t="s">
        <v>241</v>
      </c>
      <c r="I2355" s="4" t="s">
        <v>424</v>
      </c>
      <c r="J2355" s="4" t="s">
        <v>274</v>
      </c>
      <c r="K2355" s="4" t="s">
        <v>251</v>
      </c>
      <c r="L2355" s="4" t="s">
        <v>423</v>
      </c>
      <c r="M2355" s="5" t="s">
        <v>3335</v>
      </c>
      <c r="N2355" s="6">
        <f>1112</f>
        <v>1112</v>
      </c>
      <c r="O2355" s="4" t="s">
        <v>265</v>
      </c>
      <c r="P2355" s="6">
        <f>1</f>
        <v>1</v>
      </c>
      <c r="Q2355" s="6">
        <f>0</f>
        <v>0</v>
      </c>
      <c r="S2355" s="6">
        <f>0</f>
        <v>0</v>
      </c>
      <c r="T2355" s="6">
        <f>1</f>
        <v>1</v>
      </c>
      <c r="U2355" s="5" t="s">
        <v>245</v>
      </c>
      <c r="V2355" s="4" t="s">
        <v>270</v>
      </c>
      <c r="W2355" s="4" t="s">
        <v>271</v>
      </c>
      <c r="X2355" s="4" t="s">
        <v>273</v>
      </c>
      <c r="Y2355" s="4" t="s">
        <v>241</v>
      </c>
      <c r="AB2355" s="4" t="s">
        <v>241</v>
      </c>
      <c r="AD2355" s="5" t="s">
        <v>241</v>
      </c>
      <c r="AG2355" s="5" t="s">
        <v>246</v>
      </c>
      <c r="AH2355" s="4" t="s">
        <v>241</v>
      </c>
      <c r="AI2355" s="4" t="s">
        <v>247</v>
      </c>
      <c r="AJ2355" s="4" t="s">
        <v>248</v>
      </c>
      <c r="AZ2355" s="4" t="s">
        <v>249</v>
      </c>
      <c r="BA2355" s="4" t="s">
        <v>241</v>
      </c>
      <c r="BB2355" s="4" t="s">
        <v>250</v>
      </c>
      <c r="BC2355" s="4" t="s">
        <v>241</v>
      </c>
      <c r="BD2355" s="4" t="s">
        <v>252</v>
      </c>
      <c r="BE2355" s="4" t="s">
        <v>241</v>
      </c>
      <c r="BI2355" s="4" t="s">
        <v>253</v>
      </c>
      <c r="BJ2355" s="5" t="s">
        <v>246</v>
      </c>
      <c r="BK2355" s="4" t="s">
        <v>254</v>
      </c>
      <c r="BL2355" s="4" t="s">
        <v>255</v>
      </c>
      <c r="BM2355" s="4" t="s">
        <v>241</v>
      </c>
      <c r="BN2355" s="6">
        <f>0</f>
        <v>0</v>
      </c>
      <c r="BO2355" s="6">
        <f>0</f>
        <v>0</v>
      </c>
      <c r="BP2355" s="4" t="s">
        <v>256</v>
      </c>
      <c r="BQ2355" s="4" t="s">
        <v>257</v>
      </c>
      <c r="CE2355" s="4" t="s">
        <v>241</v>
      </c>
      <c r="CF2355" s="4" t="s">
        <v>241</v>
      </c>
      <c r="CJ2355" s="4" t="s">
        <v>276</v>
      </c>
      <c r="CK2355" s="4" t="s">
        <v>259</v>
      </c>
      <c r="CL2355" s="4" t="s">
        <v>241</v>
      </c>
      <c r="CO2355" s="5" t="s">
        <v>260</v>
      </c>
      <c r="CP2355" s="4" t="s">
        <v>241</v>
      </c>
      <c r="CQ2355" s="4" t="s">
        <v>261</v>
      </c>
      <c r="CR2355" s="4" t="s">
        <v>241</v>
      </c>
      <c r="CS2355" s="4" t="s">
        <v>241</v>
      </c>
      <c r="CT2355" s="4">
        <v>0</v>
      </c>
      <c r="CU2355" s="4" t="s">
        <v>262</v>
      </c>
      <c r="CV2355" s="4" t="s">
        <v>263</v>
      </c>
      <c r="CW2355" s="4" t="s">
        <v>263</v>
      </c>
      <c r="CX2355" s="4" t="s">
        <v>264</v>
      </c>
      <c r="DA2355" s="6">
        <f>1</f>
        <v>1</v>
      </c>
      <c r="DC2355" s="4" t="s">
        <v>325</v>
      </c>
      <c r="DD2355" s="4" t="s">
        <v>241</v>
      </c>
      <c r="DF2355" s="4" t="s">
        <v>325</v>
      </c>
      <c r="DG2355" s="6">
        <f>1112</f>
        <v>1112</v>
      </c>
      <c r="DI2355" s="4" t="s">
        <v>241</v>
      </c>
      <c r="DJ2355" s="4" t="s">
        <v>241</v>
      </c>
      <c r="DK2355" s="4" t="s">
        <v>241</v>
      </c>
      <c r="DL2355" s="4" t="s">
        <v>241</v>
      </c>
      <c r="DP2355" s="4" t="s">
        <v>241</v>
      </c>
      <c r="DQ2355" s="4" t="s">
        <v>241</v>
      </c>
      <c r="DR2355" s="4" t="s">
        <v>241</v>
      </c>
      <c r="DS2355" s="4" t="s">
        <v>241</v>
      </c>
      <c r="DV2355" s="4" t="s">
        <v>426</v>
      </c>
      <c r="DW2355" s="4" t="s">
        <v>3023</v>
      </c>
      <c r="HO2355" s="4" t="s">
        <v>267</v>
      </c>
    </row>
    <row r="2356" spans="1:223" ht="19.5" customHeight="1" x14ac:dyDescent="0.4">
      <c r="A2356" s="4">
        <v>1</v>
      </c>
      <c r="B2356" s="4" t="s">
        <v>239</v>
      </c>
      <c r="C2356" s="4">
        <v>4059</v>
      </c>
      <c r="D2356" s="4">
        <v>1</v>
      </c>
      <c r="E2356" s="4">
        <v>1</v>
      </c>
      <c r="F2356" s="4" t="s">
        <v>268</v>
      </c>
      <c r="G2356" s="4" t="s">
        <v>241</v>
      </c>
      <c r="H2356" s="4" t="s">
        <v>241</v>
      </c>
      <c r="I2356" s="4" t="s">
        <v>424</v>
      </c>
      <c r="J2356" s="4" t="s">
        <v>274</v>
      </c>
      <c r="K2356" s="4" t="s">
        <v>251</v>
      </c>
      <c r="L2356" s="4" t="s">
        <v>423</v>
      </c>
      <c r="M2356" s="5" t="s">
        <v>3336</v>
      </c>
      <c r="N2356" s="6">
        <f>287</f>
        <v>287</v>
      </c>
      <c r="O2356" s="4" t="s">
        <v>265</v>
      </c>
      <c r="P2356" s="6">
        <f>1</f>
        <v>1</v>
      </c>
      <c r="Q2356" s="6">
        <f>0</f>
        <v>0</v>
      </c>
      <c r="S2356" s="6">
        <f>0</f>
        <v>0</v>
      </c>
      <c r="T2356" s="6">
        <f>1</f>
        <v>1</v>
      </c>
      <c r="U2356" s="5" t="s">
        <v>245</v>
      </c>
      <c r="V2356" s="4" t="s">
        <v>270</v>
      </c>
      <c r="W2356" s="4" t="s">
        <v>271</v>
      </c>
      <c r="X2356" s="4" t="s">
        <v>273</v>
      </c>
      <c r="Y2356" s="4" t="s">
        <v>241</v>
      </c>
      <c r="AB2356" s="4" t="s">
        <v>241</v>
      </c>
      <c r="AD2356" s="5" t="s">
        <v>241</v>
      </c>
      <c r="AG2356" s="5" t="s">
        <v>246</v>
      </c>
      <c r="AH2356" s="4" t="s">
        <v>241</v>
      </c>
      <c r="AI2356" s="4" t="s">
        <v>247</v>
      </c>
      <c r="AJ2356" s="4" t="s">
        <v>248</v>
      </c>
      <c r="AZ2356" s="4" t="s">
        <v>249</v>
      </c>
      <c r="BA2356" s="4" t="s">
        <v>241</v>
      </c>
      <c r="BB2356" s="4" t="s">
        <v>250</v>
      </c>
      <c r="BC2356" s="4" t="s">
        <v>241</v>
      </c>
      <c r="BD2356" s="4" t="s">
        <v>252</v>
      </c>
      <c r="BE2356" s="4" t="s">
        <v>241</v>
      </c>
      <c r="BI2356" s="4" t="s">
        <v>253</v>
      </c>
      <c r="BJ2356" s="5" t="s">
        <v>246</v>
      </c>
      <c r="BK2356" s="4" t="s">
        <v>254</v>
      </c>
      <c r="BL2356" s="4" t="s">
        <v>255</v>
      </c>
      <c r="BM2356" s="4" t="s">
        <v>241</v>
      </c>
      <c r="BN2356" s="6">
        <f>0</f>
        <v>0</v>
      </c>
      <c r="BO2356" s="6">
        <f>0</f>
        <v>0</v>
      </c>
      <c r="BP2356" s="4" t="s">
        <v>256</v>
      </c>
      <c r="BQ2356" s="4" t="s">
        <v>257</v>
      </c>
      <c r="CE2356" s="4" t="s">
        <v>241</v>
      </c>
      <c r="CF2356" s="4" t="s">
        <v>241</v>
      </c>
      <c r="CJ2356" s="4" t="s">
        <v>276</v>
      </c>
      <c r="CK2356" s="4" t="s">
        <v>259</v>
      </c>
      <c r="CL2356" s="4" t="s">
        <v>241</v>
      </c>
      <c r="CO2356" s="5" t="s">
        <v>260</v>
      </c>
      <c r="CP2356" s="4" t="s">
        <v>241</v>
      </c>
      <c r="CQ2356" s="4" t="s">
        <v>261</v>
      </c>
      <c r="CR2356" s="4" t="s">
        <v>241</v>
      </c>
      <c r="CS2356" s="4" t="s">
        <v>241</v>
      </c>
      <c r="CT2356" s="4">
        <v>0</v>
      </c>
      <c r="CU2356" s="4" t="s">
        <v>262</v>
      </c>
      <c r="CV2356" s="4" t="s">
        <v>263</v>
      </c>
      <c r="CW2356" s="4" t="s">
        <v>263</v>
      </c>
      <c r="CX2356" s="4" t="s">
        <v>264</v>
      </c>
      <c r="DA2356" s="6">
        <f>1</f>
        <v>1</v>
      </c>
      <c r="DC2356" s="4" t="s">
        <v>325</v>
      </c>
      <c r="DD2356" s="4" t="s">
        <v>241</v>
      </c>
      <c r="DF2356" s="4" t="s">
        <v>325</v>
      </c>
      <c r="DG2356" s="6">
        <f>287</f>
        <v>287</v>
      </c>
      <c r="DI2356" s="4" t="s">
        <v>241</v>
      </c>
      <c r="DJ2356" s="4" t="s">
        <v>241</v>
      </c>
      <c r="DK2356" s="4" t="s">
        <v>241</v>
      </c>
      <c r="DL2356" s="4" t="s">
        <v>241</v>
      </c>
      <c r="DP2356" s="4" t="s">
        <v>241</v>
      </c>
      <c r="DQ2356" s="4" t="s">
        <v>241</v>
      </c>
      <c r="DR2356" s="4" t="s">
        <v>241</v>
      </c>
      <c r="DS2356" s="4" t="s">
        <v>241</v>
      </c>
      <c r="DV2356" s="4" t="s">
        <v>426</v>
      </c>
      <c r="DW2356" s="4" t="s">
        <v>3021</v>
      </c>
      <c r="HO2356" s="4" t="s">
        <v>267</v>
      </c>
    </row>
    <row r="2357" spans="1:223" ht="19.5" customHeight="1" x14ac:dyDescent="0.4">
      <c r="A2357" s="4">
        <v>1</v>
      </c>
      <c r="B2357" s="4" t="s">
        <v>239</v>
      </c>
      <c r="C2357" s="4">
        <v>4060</v>
      </c>
      <c r="D2357" s="4">
        <v>1</v>
      </c>
      <c r="E2357" s="4">
        <v>1</v>
      </c>
      <c r="F2357" s="4" t="s">
        <v>268</v>
      </c>
      <c r="G2357" s="4" t="s">
        <v>241</v>
      </c>
      <c r="H2357" s="4" t="s">
        <v>241</v>
      </c>
      <c r="I2357" s="4" t="s">
        <v>424</v>
      </c>
      <c r="J2357" s="4" t="s">
        <v>274</v>
      </c>
      <c r="K2357" s="4" t="s">
        <v>251</v>
      </c>
      <c r="L2357" s="4" t="s">
        <v>423</v>
      </c>
      <c r="M2357" s="5" t="s">
        <v>3339</v>
      </c>
      <c r="N2357" s="6">
        <f>1279</f>
        <v>1279</v>
      </c>
      <c r="O2357" s="4" t="s">
        <v>265</v>
      </c>
      <c r="P2357" s="6">
        <f>1</f>
        <v>1</v>
      </c>
      <c r="Q2357" s="6">
        <f>0</f>
        <v>0</v>
      </c>
      <c r="S2357" s="6">
        <f>0</f>
        <v>0</v>
      </c>
      <c r="T2357" s="6">
        <f>1</f>
        <v>1</v>
      </c>
      <c r="U2357" s="5" t="s">
        <v>245</v>
      </c>
      <c r="V2357" s="4" t="s">
        <v>270</v>
      </c>
      <c r="W2357" s="4" t="s">
        <v>271</v>
      </c>
      <c r="X2357" s="4" t="s">
        <v>273</v>
      </c>
      <c r="Y2357" s="4" t="s">
        <v>241</v>
      </c>
      <c r="AB2357" s="4" t="s">
        <v>241</v>
      </c>
      <c r="AD2357" s="5" t="s">
        <v>241</v>
      </c>
      <c r="AG2357" s="5" t="s">
        <v>246</v>
      </c>
      <c r="AH2357" s="4" t="s">
        <v>241</v>
      </c>
      <c r="AI2357" s="4" t="s">
        <v>247</v>
      </c>
      <c r="AJ2357" s="4" t="s">
        <v>248</v>
      </c>
      <c r="AZ2357" s="4" t="s">
        <v>249</v>
      </c>
      <c r="BA2357" s="4" t="s">
        <v>241</v>
      </c>
      <c r="BB2357" s="4" t="s">
        <v>250</v>
      </c>
      <c r="BC2357" s="4" t="s">
        <v>241</v>
      </c>
      <c r="BD2357" s="4" t="s">
        <v>252</v>
      </c>
      <c r="BE2357" s="4" t="s">
        <v>241</v>
      </c>
      <c r="BI2357" s="4" t="s">
        <v>253</v>
      </c>
      <c r="BJ2357" s="5" t="s">
        <v>246</v>
      </c>
      <c r="BK2357" s="4" t="s">
        <v>254</v>
      </c>
      <c r="BL2357" s="4" t="s">
        <v>255</v>
      </c>
      <c r="BM2357" s="4" t="s">
        <v>241</v>
      </c>
      <c r="BN2357" s="6">
        <f>0</f>
        <v>0</v>
      </c>
      <c r="BO2357" s="6">
        <f>0</f>
        <v>0</v>
      </c>
      <c r="BP2357" s="4" t="s">
        <v>256</v>
      </c>
      <c r="BQ2357" s="4" t="s">
        <v>257</v>
      </c>
      <c r="CE2357" s="4" t="s">
        <v>241</v>
      </c>
      <c r="CF2357" s="4" t="s">
        <v>241</v>
      </c>
      <c r="CJ2357" s="4" t="s">
        <v>276</v>
      </c>
      <c r="CK2357" s="4" t="s">
        <v>259</v>
      </c>
      <c r="CL2357" s="4" t="s">
        <v>241</v>
      </c>
      <c r="CO2357" s="5" t="s">
        <v>260</v>
      </c>
      <c r="CP2357" s="4" t="s">
        <v>241</v>
      </c>
      <c r="CQ2357" s="4" t="s">
        <v>261</v>
      </c>
      <c r="CR2357" s="4" t="s">
        <v>241</v>
      </c>
      <c r="CS2357" s="4" t="s">
        <v>241</v>
      </c>
      <c r="CT2357" s="4">
        <v>0</v>
      </c>
      <c r="CU2357" s="4" t="s">
        <v>262</v>
      </c>
      <c r="CV2357" s="4" t="s">
        <v>263</v>
      </c>
      <c r="CW2357" s="4" t="s">
        <v>263</v>
      </c>
      <c r="CX2357" s="4" t="s">
        <v>264</v>
      </c>
      <c r="DA2357" s="6">
        <f>1</f>
        <v>1</v>
      </c>
      <c r="DC2357" s="4" t="s">
        <v>325</v>
      </c>
      <c r="DD2357" s="4" t="s">
        <v>241</v>
      </c>
      <c r="DF2357" s="4" t="s">
        <v>325</v>
      </c>
      <c r="DG2357" s="6">
        <f>1279</f>
        <v>1279</v>
      </c>
      <c r="DI2357" s="4" t="s">
        <v>241</v>
      </c>
      <c r="DJ2357" s="4" t="s">
        <v>241</v>
      </c>
      <c r="DK2357" s="4" t="s">
        <v>241</v>
      </c>
      <c r="DL2357" s="4" t="s">
        <v>241</v>
      </c>
      <c r="DP2357" s="4" t="s">
        <v>241</v>
      </c>
      <c r="DQ2357" s="4" t="s">
        <v>241</v>
      </c>
      <c r="DR2357" s="4" t="s">
        <v>241</v>
      </c>
      <c r="DS2357" s="4" t="s">
        <v>241</v>
      </c>
      <c r="DV2357" s="4" t="s">
        <v>426</v>
      </c>
      <c r="DW2357" s="4" t="s">
        <v>3019</v>
      </c>
      <c r="HO2357" s="4" t="s">
        <v>267</v>
      </c>
    </row>
    <row r="2358" spans="1:223" ht="19.5" customHeight="1" x14ac:dyDescent="0.4">
      <c r="A2358" s="4">
        <v>1</v>
      </c>
      <c r="B2358" s="4" t="s">
        <v>239</v>
      </c>
      <c r="C2358" s="4">
        <v>4061</v>
      </c>
      <c r="D2358" s="4">
        <v>1</v>
      </c>
      <c r="E2358" s="4">
        <v>1</v>
      </c>
      <c r="F2358" s="4" t="s">
        <v>268</v>
      </c>
      <c r="G2358" s="4" t="s">
        <v>241</v>
      </c>
      <c r="H2358" s="4" t="s">
        <v>241</v>
      </c>
      <c r="I2358" s="4" t="s">
        <v>424</v>
      </c>
      <c r="J2358" s="4" t="s">
        <v>274</v>
      </c>
      <c r="K2358" s="4" t="s">
        <v>251</v>
      </c>
      <c r="L2358" s="4" t="s">
        <v>423</v>
      </c>
      <c r="M2358" s="5" t="s">
        <v>3341</v>
      </c>
      <c r="N2358" s="6">
        <f>928</f>
        <v>928</v>
      </c>
      <c r="O2358" s="4" t="s">
        <v>265</v>
      </c>
      <c r="P2358" s="6">
        <f>1</f>
        <v>1</v>
      </c>
      <c r="Q2358" s="6">
        <f>0</f>
        <v>0</v>
      </c>
      <c r="S2358" s="6">
        <f>0</f>
        <v>0</v>
      </c>
      <c r="T2358" s="6">
        <f>1</f>
        <v>1</v>
      </c>
      <c r="U2358" s="5" t="s">
        <v>245</v>
      </c>
      <c r="V2358" s="4" t="s">
        <v>270</v>
      </c>
      <c r="W2358" s="4" t="s">
        <v>271</v>
      </c>
      <c r="X2358" s="4" t="s">
        <v>273</v>
      </c>
      <c r="Y2358" s="4" t="s">
        <v>241</v>
      </c>
      <c r="AB2358" s="4" t="s">
        <v>241</v>
      </c>
      <c r="AD2358" s="5" t="s">
        <v>241</v>
      </c>
      <c r="AG2358" s="5" t="s">
        <v>246</v>
      </c>
      <c r="AH2358" s="4" t="s">
        <v>241</v>
      </c>
      <c r="AI2358" s="4" t="s">
        <v>247</v>
      </c>
      <c r="AJ2358" s="4" t="s">
        <v>248</v>
      </c>
      <c r="AZ2358" s="4" t="s">
        <v>249</v>
      </c>
      <c r="BA2358" s="4" t="s">
        <v>241</v>
      </c>
      <c r="BB2358" s="4" t="s">
        <v>250</v>
      </c>
      <c r="BC2358" s="4" t="s">
        <v>241</v>
      </c>
      <c r="BD2358" s="4" t="s">
        <v>252</v>
      </c>
      <c r="BE2358" s="4" t="s">
        <v>241</v>
      </c>
      <c r="BI2358" s="4" t="s">
        <v>253</v>
      </c>
      <c r="BJ2358" s="5" t="s">
        <v>246</v>
      </c>
      <c r="BK2358" s="4" t="s">
        <v>254</v>
      </c>
      <c r="BL2358" s="4" t="s">
        <v>255</v>
      </c>
      <c r="BM2358" s="4" t="s">
        <v>241</v>
      </c>
      <c r="BN2358" s="6">
        <f>0</f>
        <v>0</v>
      </c>
      <c r="BO2358" s="6">
        <f>0</f>
        <v>0</v>
      </c>
      <c r="BP2358" s="4" t="s">
        <v>256</v>
      </c>
      <c r="BQ2358" s="4" t="s">
        <v>257</v>
      </c>
      <c r="CE2358" s="4" t="s">
        <v>241</v>
      </c>
      <c r="CF2358" s="4" t="s">
        <v>241</v>
      </c>
      <c r="CJ2358" s="4" t="s">
        <v>276</v>
      </c>
      <c r="CK2358" s="4" t="s">
        <v>259</v>
      </c>
      <c r="CL2358" s="4" t="s">
        <v>241</v>
      </c>
      <c r="CO2358" s="5" t="s">
        <v>260</v>
      </c>
      <c r="CP2358" s="4" t="s">
        <v>241</v>
      </c>
      <c r="CQ2358" s="4" t="s">
        <v>261</v>
      </c>
      <c r="CR2358" s="4" t="s">
        <v>241</v>
      </c>
      <c r="CS2358" s="4" t="s">
        <v>241</v>
      </c>
      <c r="CT2358" s="4">
        <v>0</v>
      </c>
      <c r="CU2358" s="4" t="s">
        <v>262</v>
      </c>
      <c r="CV2358" s="4" t="s">
        <v>263</v>
      </c>
      <c r="CW2358" s="4" t="s">
        <v>263</v>
      </c>
      <c r="CX2358" s="4" t="s">
        <v>264</v>
      </c>
      <c r="DA2358" s="6">
        <f>1</f>
        <v>1</v>
      </c>
      <c r="DC2358" s="4" t="s">
        <v>325</v>
      </c>
      <c r="DD2358" s="4" t="s">
        <v>241</v>
      </c>
      <c r="DF2358" s="4" t="s">
        <v>325</v>
      </c>
      <c r="DG2358" s="6">
        <f>928</f>
        <v>928</v>
      </c>
      <c r="DI2358" s="4" t="s">
        <v>241</v>
      </c>
      <c r="DJ2358" s="4" t="s">
        <v>241</v>
      </c>
      <c r="DK2358" s="4" t="s">
        <v>241</v>
      </c>
      <c r="DL2358" s="4" t="s">
        <v>241</v>
      </c>
      <c r="DP2358" s="4" t="s">
        <v>241</v>
      </c>
      <c r="DQ2358" s="4" t="s">
        <v>241</v>
      </c>
      <c r="DR2358" s="4" t="s">
        <v>241</v>
      </c>
      <c r="DS2358" s="4" t="s">
        <v>241</v>
      </c>
      <c r="DV2358" s="4" t="s">
        <v>426</v>
      </c>
      <c r="DW2358" s="4" t="s">
        <v>3017</v>
      </c>
      <c r="HO2358" s="4" t="s">
        <v>267</v>
      </c>
    </row>
    <row r="2359" spans="1:223" ht="19.5" customHeight="1" x14ac:dyDescent="0.4">
      <c r="A2359" s="4">
        <v>1</v>
      </c>
      <c r="B2359" s="4" t="s">
        <v>239</v>
      </c>
      <c r="C2359" s="4">
        <v>4062</v>
      </c>
      <c r="D2359" s="4">
        <v>1</v>
      </c>
      <c r="E2359" s="4">
        <v>1</v>
      </c>
      <c r="F2359" s="4" t="s">
        <v>268</v>
      </c>
      <c r="G2359" s="4" t="s">
        <v>241</v>
      </c>
      <c r="H2359" s="4" t="s">
        <v>241</v>
      </c>
      <c r="I2359" s="4" t="s">
        <v>424</v>
      </c>
      <c r="J2359" s="4" t="s">
        <v>274</v>
      </c>
      <c r="K2359" s="4" t="s">
        <v>251</v>
      </c>
      <c r="L2359" s="4" t="s">
        <v>423</v>
      </c>
      <c r="M2359" s="5" t="s">
        <v>3346</v>
      </c>
      <c r="N2359" s="6">
        <f>1930</f>
        <v>1930</v>
      </c>
      <c r="O2359" s="4" t="s">
        <v>265</v>
      </c>
      <c r="P2359" s="6">
        <f>1</f>
        <v>1</v>
      </c>
      <c r="Q2359" s="6">
        <f>0</f>
        <v>0</v>
      </c>
      <c r="S2359" s="6">
        <f>0</f>
        <v>0</v>
      </c>
      <c r="T2359" s="6">
        <f>1</f>
        <v>1</v>
      </c>
      <c r="U2359" s="5" t="s">
        <v>245</v>
      </c>
      <c r="V2359" s="4" t="s">
        <v>270</v>
      </c>
      <c r="W2359" s="4" t="s">
        <v>271</v>
      </c>
      <c r="X2359" s="4" t="s">
        <v>273</v>
      </c>
      <c r="Y2359" s="4" t="s">
        <v>241</v>
      </c>
      <c r="AB2359" s="4" t="s">
        <v>241</v>
      </c>
      <c r="AD2359" s="5" t="s">
        <v>241</v>
      </c>
      <c r="AG2359" s="5" t="s">
        <v>246</v>
      </c>
      <c r="AH2359" s="4" t="s">
        <v>241</v>
      </c>
      <c r="AI2359" s="4" t="s">
        <v>247</v>
      </c>
      <c r="AJ2359" s="4" t="s">
        <v>248</v>
      </c>
      <c r="AZ2359" s="4" t="s">
        <v>249</v>
      </c>
      <c r="BA2359" s="4" t="s">
        <v>241</v>
      </c>
      <c r="BB2359" s="4" t="s">
        <v>250</v>
      </c>
      <c r="BC2359" s="4" t="s">
        <v>241</v>
      </c>
      <c r="BD2359" s="4" t="s">
        <v>252</v>
      </c>
      <c r="BE2359" s="4" t="s">
        <v>241</v>
      </c>
      <c r="BI2359" s="4" t="s">
        <v>253</v>
      </c>
      <c r="BJ2359" s="5" t="s">
        <v>246</v>
      </c>
      <c r="BK2359" s="4" t="s">
        <v>254</v>
      </c>
      <c r="BL2359" s="4" t="s">
        <v>255</v>
      </c>
      <c r="BM2359" s="4" t="s">
        <v>241</v>
      </c>
      <c r="BN2359" s="6">
        <f>0</f>
        <v>0</v>
      </c>
      <c r="BO2359" s="6">
        <f>0</f>
        <v>0</v>
      </c>
      <c r="BP2359" s="4" t="s">
        <v>256</v>
      </c>
      <c r="BQ2359" s="4" t="s">
        <v>257</v>
      </c>
      <c r="CE2359" s="4" t="s">
        <v>241</v>
      </c>
      <c r="CF2359" s="4" t="s">
        <v>241</v>
      </c>
      <c r="CJ2359" s="4" t="s">
        <v>276</v>
      </c>
      <c r="CK2359" s="4" t="s">
        <v>259</v>
      </c>
      <c r="CL2359" s="4" t="s">
        <v>241</v>
      </c>
      <c r="CO2359" s="5" t="s">
        <v>260</v>
      </c>
      <c r="CP2359" s="4" t="s">
        <v>241</v>
      </c>
      <c r="CQ2359" s="4" t="s">
        <v>261</v>
      </c>
      <c r="CR2359" s="4" t="s">
        <v>241</v>
      </c>
      <c r="CS2359" s="4" t="s">
        <v>241</v>
      </c>
      <c r="CT2359" s="4">
        <v>0</v>
      </c>
      <c r="CU2359" s="4" t="s">
        <v>262</v>
      </c>
      <c r="CV2359" s="4" t="s">
        <v>263</v>
      </c>
      <c r="CW2359" s="4" t="s">
        <v>263</v>
      </c>
      <c r="CX2359" s="4" t="s">
        <v>264</v>
      </c>
      <c r="DA2359" s="6">
        <f>1</f>
        <v>1</v>
      </c>
      <c r="DC2359" s="4" t="s">
        <v>325</v>
      </c>
      <c r="DD2359" s="4" t="s">
        <v>241</v>
      </c>
      <c r="DF2359" s="4" t="s">
        <v>325</v>
      </c>
      <c r="DG2359" s="6">
        <f>1930</f>
        <v>1930</v>
      </c>
      <c r="DI2359" s="4" t="s">
        <v>241</v>
      </c>
      <c r="DJ2359" s="4" t="s">
        <v>241</v>
      </c>
      <c r="DK2359" s="4" t="s">
        <v>241</v>
      </c>
      <c r="DL2359" s="4" t="s">
        <v>241</v>
      </c>
      <c r="DP2359" s="4" t="s">
        <v>241</v>
      </c>
      <c r="DQ2359" s="4" t="s">
        <v>241</v>
      </c>
      <c r="DR2359" s="4" t="s">
        <v>241</v>
      </c>
      <c r="DS2359" s="4" t="s">
        <v>241</v>
      </c>
      <c r="DV2359" s="4" t="s">
        <v>426</v>
      </c>
      <c r="DW2359" s="4" t="s">
        <v>3015</v>
      </c>
      <c r="HO2359" s="4" t="s">
        <v>267</v>
      </c>
    </row>
    <row r="2360" spans="1:223" ht="19.5" customHeight="1" x14ac:dyDescent="0.4">
      <c r="A2360" s="4">
        <v>1</v>
      </c>
      <c r="B2360" s="4" t="s">
        <v>239</v>
      </c>
      <c r="C2360" s="4">
        <v>4063</v>
      </c>
      <c r="D2360" s="4">
        <v>1</v>
      </c>
      <c r="E2360" s="4">
        <v>1</v>
      </c>
      <c r="F2360" s="4" t="s">
        <v>268</v>
      </c>
      <c r="G2360" s="4" t="s">
        <v>241</v>
      </c>
      <c r="H2360" s="4" t="s">
        <v>241</v>
      </c>
      <c r="I2360" s="4" t="s">
        <v>424</v>
      </c>
      <c r="J2360" s="4" t="s">
        <v>274</v>
      </c>
      <c r="K2360" s="4" t="s">
        <v>251</v>
      </c>
      <c r="L2360" s="4" t="s">
        <v>423</v>
      </c>
      <c r="M2360" s="5" t="s">
        <v>3347</v>
      </c>
      <c r="N2360" s="6">
        <f>579</f>
        <v>579</v>
      </c>
      <c r="O2360" s="4" t="s">
        <v>265</v>
      </c>
      <c r="P2360" s="6">
        <f>1</f>
        <v>1</v>
      </c>
      <c r="Q2360" s="6">
        <f>0</f>
        <v>0</v>
      </c>
      <c r="S2360" s="6">
        <f>0</f>
        <v>0</v>
      </c>
      <c r="T2360" s="6">
        <f>1</f>
        <v>1</v>
      </c>
      <c r="U2360" s="5" t="s">
        <v>245</v>
      </c>
      <c r="V2360" s="4" t="s">
        <v>270</v>
      </c>
      <c r="W2360" s="4" t="s">
        <v>271</v>
      </c>
      <c r="X2360" s="4" t="s">
        <v>273</v>
      </c>
      <c r="Y2360" s="4" t="s">
        <v>241</v>
      </c>
      <c r="AB2360" s="4" t="s">
        <v>241</v>
      </c>
      <c r="AD2360" s="5" t="s">
        <v>241</v>
      </c>
      <c r="AG2360" s="5" t="s">
        <v>246</v>
      </c>
      <c r="AH2360" s="4" t="s">
        <v>241</v>
      </c>
      <c r="AI2360" s="4" t="s">
        <v>247</v>
      </c>
      <c r="AJ2360" s="4" t="s">
        <v>248</v>
      </c>
      <c r="AZ2360" s="4" t="s">
        <v>249</v>
      </c>
      <c r="BA2360" s="4" t="s">
        <v>241</v>
      </c>
      <c r="BB2360" s="4" t="s">
        <v>250</v>
      </c>
      <c r="BC2360" s="4" t="s">
        <v>241</v>
      </c>
      <c r="BD2360" s="4" t="s">
        <v>252</v>
      </c>
      <c r="BE2360" s="4" t="s">
        <v>241</v>
      </c>
      <c r="BI2360" s="4" t="s">
        <v>253</v>
      </c>
      <c r="BJ2360" s="5" t="s">
        <v>246</v>
      </c>
      <c r="BK2360" s="4" t="s">
        <v>254</v>
      </c>
      <c r="BL2360" s="4" t="s">
        <v>255</v>
      </c>
      <c r="BM2360" s="4" t="s">
        <v>241</v>
      </c>
      <c r="BN2360" s="6">
        <f>0</f>
        <v>0</v>
      </c>
      <c r="BO2360" s="6">
        <f>0</f>
        <v>0</v>
      </c>
      <c r="BP2360" s="4" t="s">
        <v>256</v>
      </c>
      <c r="BQ2360" s="4" t="s">
        <v>257</v>
      </c>
      <c r="CE2360" s="4" t="s">
        <v>241</v>
      </c>
      <c r="CF2360" s="4" t="s">
        <v>241</v>
      </c>
      <c r="CJ2360" s="4" t="s">
        <v>276</v>
      </c>
      <c r="CK2360" s="4" t="s">
        <v>259</v>
      </c>
      <c r="CL2360" s="4" t="s">
        <v>241</v>
      </c>
      <c r="CO2360" s="5" t="s">
        <v>260</v>
      </c>
      <c r="CP2360" s="4" t="s">
        <v>241</v>
      </c>
      <c r="CQ2360" s="4" t="s">
        <v>261</v>
      </c>
      <c r="CR2360" s="4" t="s">
        <v>241</v>
      </c>
      <c r="CS2360" s="4" t="s">
        <v>241</v>
      </c>
      <c r="CT2360" s="4">
        <v>0</v>
      </c>
      <c r="CU2360" s="4" t="s">
        <v>262</v>
      </c>
      <c r="CV2360" s="4" t="s">
        <v>263</v>
      </c>
      <c r="CW2360" s="4" t="s">
        <v>263</v>
      </c>
      <c r="CX2360" s="4" t="s">
        <v>264</v>
      </c>
      <c r="DA2360" s="6">
        <f>1</f>
        <v>1</v>
      </c>
      <c r="DC2360" s="4" t="s">
        <v>325</v>
      </c>
      <c r="DD2360" s="4" t="s">
        <v>241</v>
      </c>
      <c r="DF2360" s="4" t="s">
        <v>325</v>
      </c>
      <c r="DG2360" s="6">
        <f>579</f>
        <v>579</v>
      </c>
      <c r="DI2360" s="4" t="s">
        <v>241</v>
      </c>
      <c r="DJ2360" s="4" t="s">
        <v>241</v>
      </c>
      <c r="DK2360" s="4" t="s">
        <v>241</v>
      </c>
      <c r="DL2360" s="4" t="s">
        <v>241</v>
      </c>
      <c r="DP2360" s="4" t="s">
        <v>241</v>
      </c>
      <c r="DQ2360" s="4" t="s">
        <v>241</v>
      </c>
      <c r="DR2360" s="4" t="s">
        <v>241</v>
      </c>
      <c r="DS2360" s="4" t="s">
        <v>241</v>
      </c>
      <c r="DV2360" s="4" t="s">
        <v>426</v>
      </c>
      <c r="DW2360" s="4" t="s">
        <v>3013</v>
      </c>
      <c r="HO2360" s="4" t="s">
        <v>267</v>
      </c>
    </row>
    <row r="2361" spans="1:223" ht="19.5" customHeight="1" x14ac:dyDescent="0.4">
      <c r="A2361" s="4">
        <v>1</v>
      </c>
      <c r="B2361" s="4" t="s">
        <v>239</v>
      </c>
      <c r="C2361" s="4">
        <v>4064</v>
      </c>
      <c r="D2361" s="4">
        <v>1</v>
      </c>
      <c r="E2361" s="4">
        <v>1</v>
      </c>
      <c r="F2361" s="4" t="s">
        <v>268</v>
      </c>
      <c r="G2361" s="4" t="s">
        <v>241</v>
      </c>
      <c r="H2361" s="4" t="s">
        <v>241</v>
      </c>
      <c r="I2361" s="4" t="s">
        <v>424</v>
      </c>
      <c r="J2361" s="4" t="s">
        <v>274</v>
      </c>
      <c r="K2361" s="4" t="s">
        <v>251</v>
      </c>
      <c r="L2361" s="4" t="s">
        <v>423</v>
      </c>
      <c r="M2361" s="5" t="s">
        <v>4641</v>
      </c>
      <c r="N2361" s="6">
        <f>2748</f>
        <v>2748</v>
      </c>
      <c r="O2361" s="4" t="s">
        <v>265</v>
      </c>
      <c r="P2361" s="6">
        <f>1</f>
        <v>1</v>
      </c>
      <c r="Q2361" s="6">
        <f>0</f>
        <v>0</v>
      </c>
      <c r="S2361" s="6">
        <f>0</f>
        <v>0</v>
      </c>
      <c r="T2361" s="6">
        <f>1</f>
        <v>1</v>
      </c>
      <c r="U2361" s="5" t="s">
        <v>245</v>
      </c>
      <c r="V2361" s="4" t="s">
        <v>270</v>
      </c>
      <c r="W2361" s="4" t="s">
        <v>271</v>
      </c>
      <c r="X2361" s="4" t="s">
        <v>273</v>
      </c>
      <c r="Y2361" s="4" t="s">
        <v>241</v>
      </c>
      <c r="AB2361" s="4" t="s">
        <v>241</v>
      </c>
      <c r="AD2361" s="5" t="s">
        <v>241</v>
      </c>
      <c r="AG2361" s="5" t="s">
        <v>246</v>
      </c>
      <c r="AH2361" s="4" t="s">
        <v>241</v>
      </c>
      <c r="AI2361" s="4" t="s">
        <v>247</v>
      </c>
      <c r="AJ2361" s="4" t="s">
        <v>248</v>
      </c>
      <c r="AZ2361" s="4" t="s">
        <v>249</v>
      </c>
      <c r="BA2361" s="4" t="s">
        <v>241</v>
      </c>
      <c r="BB2361" s="4" t="s">
        <v>250</v>
      </c>
      <c r="BC2361" s="4" t="s">
        <v>241</v>
      </c>
      <c r="BD2361" s="4" t="s">
        <v>252</v>
      </c>
      <c r="BE2361" s="4" t="s">
        <v>241</v>
      </c>
      <c r="BI2361" s="4" t="s">
        <v>253</v>
      </c>
      <c r="BJ2361" s="5" t="s">
        <v>246</v>
      </c>
      <c r="BK2361" s="4" t="s">
        <v>254</v>
      </c>
      <c r="BL2361" s="4" t="s">
        <v>255</v>
      </c>
      <c r="BM2361" s="4" t="s">
        <v>241</v>
      </c>
      <c r="BN2361" s="6">
        <f>0</f>
        <v>0</v>
      </c>
      <c r="BO2361" s="6">
        <f>0</f>
        <v>0</v>
      </c>
      <c r="BP2361" s="4" t="s">
        <v>256</v>
      </c>
      <c r="BQ2361" s="4" t="s">
        <v>257</v>
      </c>
      <c r="CE2361" s="4" t="s">
        <v>241</v>
      </c>
      <c r="CF2361" s="4" t="s">
        <v>241</v>
      </c>
      <c r="CJ2361" s="4" t="s">
        <v>276</v>
      </c>
      <c r="CK2361" s="4" t="s">
        <v>259</v>
      </c>
      <c r="CL2361" s="4" t="s">
        <v>241</v>
      </c>
      <c r="CO2361" s="5" t="s">
        <v>260</v>
      </c>
      <c r="CP2361" s="4" t="s">
        <v>241</v>
      </c>
      <c r="CQ2361" s="4" t="s">
        <v>261</v>
      </c>
      <c r="CR2361" s="4" t="s">
        <v>241</v>
      </c>
      <c r="CS2361" s="4" t="s">
        <v>241</v>
      </c>
      <c r="CT2361" s="4">
        <v>0</v>
      </c>
      <c r="CU2361" s="4" t="s">
        <v>262</v>
      </c>
      <c r="CV2361" s="4" t="s">
        <v>263</v>
      </c>
      <c r="CW2361" s="4" t="s">
        <v>263</v>
      </c>
      <c r="CX2361" s="4" t="s">
        <v>264</v>
      </c>
      <c r="DA2361" s="6">
        <f>1</f>
        <v>1</v>
      </c>
      <c r="DC2361" s="4" t="s">
        <v>325</v>
      </c>
      <c r="DD2361" s="4" t="s">
        <v>241</v>
      </c>
      <c r="DF2361" s="4" t="s">
        <v>325</v>
      </c>
      <c r="DG2361" s="6">
        <f>2748</f>
        <v>2748</v>
      </c>
      <c r="DI2361" s="4" t="s">
        <v>241</v>
      </c>
      <c r="DJ2361" s="4" t="s">
        <v>241</v>
      </c>
      <c r="DK2361" s="4" t="s">
        <v>241</v>
      </c>
      <c r="DL2361" s="4" t="s">
        <v>241</v>
      </c>
      <c r="DP2361" s="4" t="s">
        <v>241</v>
      </c>
      <c r="DQ2361" s="4" t="s">
        <v>241</v>
      </c>
      <c r="DR2361" s="4" t="s">
        <v>241</v>
      </c>
      <c r="DS2361" s="4" t="s">
        <v>241</v>
      </c>
      <c r="DV2361" s="4" t="s">
        <v>426</v>
      </c>
      <c r="DW2361" s="4" t="s">
        <v>3011</v>
      </c>
      <c r="HO2361" s="4" t="s">
        <v>267</v>
      </c>
    </row>
    <row r="2362" spans="1:223" ht="19.5" customHeight="1" x14ac:dyDescent="0.4">
      <c r="A2362" s="4">
        <v>1</v>
      </c>
      <c r="B2362" s="4" t="s">
        <v>239</v>
      </c>
      <c r="C2362" s="4">
        <v>4065</v>
      </c>
      <c r="D2362" s="4">
        <v>1</v>
      </c>
      <c r="E2362" s="4">
        <v>1</v>
      </c>
      <c r="F2362" s="4" t="s">
        <v>268</v>
      </c>
      <c r="G2362" s="4" t="s">
        <v>241</v>
      </c>
      <c r="H2362" s="4" t="s">
        <v>241</v>
      </c>
      <c r="I2362" s="4" t="s">
        <v>424</v>
      </c>
      <c r="J2362" s="4" t="s">
        <v>274</v>
      </c>
      <c r="K2362" s="4" t="s">
        <v>251</v>
      </c>
      <c r="L2362" s="4" t="s">
        <v>423</v>
      </c>
      <c r="M2362" s="5" t="s">
        <v>3352</v>
      </c>
      <c r="N2362" s="6">
        <f>917</f>
        <v>917</v>
      </c>
      <c r="O2362" s="4" t="s">
        <v>265</v>
      </c>
      <c r="P2362" s="6">
        <f>1</f>
        <v>1</v>
      </c>
      <c r="Q2362" s="6">
        <f>0</f>
        <v>0</v>
      </c>
      <c r="S2362" s="6">
        <f>0</f>
        <v>0</v>
      </c>
      <c r="T2362" s="6">
        <f>1</f>
        <v>1</v>
      </c>
      <c r="U2362" s="5" t="s">
        <v>245</v>
      </c>
      <c r="V2362" s="4" t="s">
        <v>270</v>
      </c>
      <c r="W2362" s="4" t="s">
        <v>271</v>
      </c>
      <c r="X2362" s="4" t="s">
        <v>273</v>
      </c>
      <c r="Y2362" s="4" t="s">
        <v>241</v>
      </c>
      <c r="AB2362" s="4" t="s">
        <v>241</v>
      </c>
      <c r="AD2362" s="5" t="s">
        <v>241</v>
      </c>
      <c r="AG2362" s="5" t="s">
        <v>246</v>
      </c>
      <c r="AH2362" s="4" t="s">
        <v>241</v>
      </c>
      <c r="AI2362" s="4" t="s">
        <v>247</v>
      </c>
      <c r="AJ2362" s="4" t="s">
        <v>248</v>
      </c>
      <c r="AZ2362" s="4" t="s">
        <v>249</v>
      </c>
      <c r="BA2362" s="4" t="s">
        <v>241</v>
      </c>
      <c r="BB2362" s="4" t="s">
        <v>250</v>
      </c>
      <c r="BC2362" s="4" t="s">
        <v>241</v>
      </c>
      <c r="BD2362" s="4" t="s">
        <v>252</v>
      </c>
      <c r="BE2362" s="4" t="s">
        <v>241</v>
      </c>
      <c r="BI2362" s="4" t="s">
        <v>253</v>
      </c>
      <c r="BJ2362" s="5" t="s">
        <v>246</v>
      </c>
      <c r="BK2362" s="4" t="s">
        <v>254</v>
      </c>
      <c r="BL2362" s="4" t="s">
        <v>255</v>
      </c>
      <c r="BM2362" s="4" t="s">
        <v>241</v>
      </c>
      <c r="BN2362" s="6">
        <f>0</f>
        <v>0</v>
      </c>
      <c r="BO2362" s="6">
        <f>0</f>
        <v>0</v>
      </c>
      <c r="BP2362" s="4" t="s">
        <v>256</v>
      </c>
      <c r="BQ2362" s="4" t="s">
        <v>257</v>
      </c>
      <c r="CE2362" s="4" t="s">
        <v>241</v>
      </c>
      <c r="CF2362" s="4" t="s">
        <v>241</v>
      </c>
      <c r="CJ2362" s="4" t="s">
        <v>276</v>
      </c>
      <c r="CK2362" s="4" t="s">
        <v>259</v>
      </c>
      <c r="CL2362" s="4" t="s">
        <v>241</v>
      </c>
      <c r="CO2362" s="5" t="s">
        <v>260</v>
      </c>
      <c r="CP2362" s="4" t="s">
        <v>241</v>
      </c>
      <c r="CQ2362" s="4" t="s">
        <v>261</v>
      </c>
      <c r="CR2362" s="4" t="s">
        <v>241</v>
      </c>
      <c r="CS2362" s="4" t="s">
        <v>241</v>
      </c>
      <c r="CT2362" s="4">
        <v>0</v>
      </c>
      <c r="CU2362" s="4" t="s">
        <v>262</v>
      </c>
      <c r="CV2362" s="4" t="s">
        <v>263</v>
      </c>
      <c r="CW2362" s="4" t="s">
        <v>263</v>
      </c>
      <c r="CX2362" s="4" t="s">
        <v>264</v>
      </c>
      <c r="DA2362" s="6">
        <f>1</f>
        <v>1</v>
      </c>
      <c r="DC2362" s="4" t="s">
        <v>325</v>
      </c>
      <c r="DD2362" s="4" t="s">
        <v>241</v>
      </c>
      <c r="DF2362" s="4" t="s">
        <v>325</v>
      </c>
      <c r="DG2362" s="6">
        <f>917</f>
        <v>917</v>
      </c>
      <c r="DI2362" s="4" t="s">
        <v>241</v>
      </c>
      <c r="DJ2362" s="4" t="s">
        <v>241</v>
      </c>
      <c r="DK2362" s="4" t="s">
        <v>241</v>
      </c>
      <c r="DL2362" s="4" t="s">
        <v>241</v>
      </c>
      <c r="DP2362" s="4" t="s">
        <v>241</v>
      </c>
      <c r="DQ2362" s="4" t="s">
        <v>241</v>
      </c>
      <c r="DR2362" s="4" t="s">
        <v>241</v>
      </c>
      <c r="DS2362" s="4" t="s">
        <v>241</v>
      </c>
      <c r="DV2362" s="4" t="s">
        <v>426</v>
      </c>
      <c r="DW2362" s="4" t="s">
        <v>3009</v>
      </c>
      <c r="HO2362" s="4" t="s">
        <v>267</v>
      </c>
    </row>
    <row r="2363" spans="1:223" ht="19.5" customHeight="1" x14ac:dyDescent="0.4">
      <c r="A2363" s="4">
        <v>1</v>
      </c>
      <c r="B2363" s="4" t="s">
        <v>239</v>
      </c>
      <c r="C2363" s="4">
        <v>4066</v>
      </c>
      <c r="D2363" s="4">
        <v>1</v>
      </c>
      <c r="E2363" s="4">
        <v>1</v>
      </c>
      <c r="F2363" s="4" t="s">
        <v>268</v>
      </c>
      <c r="G2363" s="4" t="s">
        <v>241</v>
      </c>
      <c r="H2363" s="4" t="s">
        <v>241</v>
      </c>
      <c r="I2363" s="4" t="s">
        <v>424</v>
      </c>
      <c r="J2363" s="4" t="s">
        <v>274</v>
      </c>
      <c r="K2363" s="4" t="s">
        <v>251</v>
      </c>
      <c r="L2363" s="4" t="s">
        <v>423</v>
      </c>
      <c r="M2363" s="5" t="s">
        <v>3356</v>
      </c>
      <c r="N2363" s="6">
        <f>854</f>
        <v>854</v>
      </c>
      <c r="O2363" s="4" t="s">
        <v>265</v>
      </c>
      <c r="P2363" s="6">
        <f>1</f>
        <v>1</v>
      </c>
      <c r="Q2363" s="6">
        <f>0</f>
        <v>0</v>
      </c>
      <c r="S2363" s="6">
        <f>0</f>
        <v>0</v>
      </c>
      <c r="T2363" s="6">
        <f>1</f>
        <v>1</v>
      </c>
      <c r="U2363" s="5" t="s">
        <v>245</v>
      </c>
      <c r="V2363" s="4" t="s">
        <v>270</v>
      </c>
      <c r="W2363" s="4" t="s">
        <v>271</v>
      </c>
      <c r="X2363" s="4" t="s">
        <v>273</v>
      </c>
      <c r="Y2363" s="4" t="s">
        <v>241</v>
      </c>
      <c r="AB2363" s="4" t="s">
        <v>241</v>
      </c>
      <c r="AD2363" s="5" t="s">
        <v>241</v>
      </c>
      <c r="AG2363" s="5" t="s">
        <v>246</v>
      </c>
      <c r="AH2363" s="4" t="s">
        <v>241</v>
      </c>
      <c r="AI2363" s="4" t="s">
        <v>247</v>
      </c>
      <c r="AJ2363" s="4" t="s">
        <v>248</v>
      </c>
      <c r="AZ2363" s="4" t="s">
        <v>249</v>
      </c>
      <c r="BA2363" s="4" t="s">
        <v>241</v>
      </c>
      <c r="BB2363" s="4" t="s">
        <v>250</v>
      </c>
      <c r="BC2363" s="4" t="s">
        <v>241</v>
      </c>
      <c r="BD2363" s="4" t="s">
        <v>252</v>
      </c>
      <c r="BE2363" s="4" t="s">
        <v>241</v>
      </c>
      <c r="BI2363" s="4" t="s">
        <v>253</v>
      </c>
      <c r="BJ2363" s="5" t="s">
        <v>246</v>
      </c>
      <c r="BK2363" s="4" t="s">
        <v>254</v>
      </c>
      <c r="BL2363" s="4" t="s">
        <v>255</v>
      </c>
      <c r="BM2363" s="4" t="s">
        <v>241</v>
      </c>
      <c r="BN2363" s="6">
        <f>0</f>
        <v>0</v>
      </c>
      <c r="BO2363" s="6">
        <f>0</f>
        <v>0</v>
      </c>
      <c r="BP2363" s="4" t="s">
        <v>256</v>
      </c>
      <c r="BQ2363" s="4" t="s">
        <v>257</v>
      </c>
      <c r="CE2363" s="4" t="s">
        <v>241</v>
      </c>
      <c r="CF2363" s="4" t="s">
        <v>241</v>
      </c>
      <c r="CJ2363" s="4" t="s">
        <v>276</v>
      </c>
      <c r="CK2363" s="4" t="s">
        <v>259</v>
      </c>
      <c r="CL2363" s="4" t="s">
        <v>241</v>
      </c>
      <c r="CO2363" s="5" t="s">
        <v>260</v>
      </c>
      <c r="CP2363" s="4" t="s">
        <v>241</v>
      </c>
      <c r="CQ2363" s="4" t="s">
        <v>261</v>
      </c>
      <c r="CR2363" s="4" t="s">
        <v>241</v>
      </c>
      <c r="CS2363" s="4" t="s">
        <v>241</v>
      </c>
      <c r="CT2363" s="4">
        <v>0</v>
      </c>
      <c r="CU2363" s="4" t="s">
        <v>262</v>
      </c>
      <c r="CV2363" s="4" t="s">
        <v>263</v>
      </c>
      <c r="CW2363" s="4" t="s">
        <v>263</v>
      </c>
      <c r="CX2363" s="4" t="s">
        <v>264</v>
      </c>
      <c r="DA2363" s="6">
        <f>1</f>
        <v>1</v>
      </c>
      <c r="DC2363" s="4" t="s">
        <v>325</v>
      </c>
      <c r="DD2363" s="4" t="s">
        <v>241</v>
      </c>
      <c r="DF2363" s="4" t="s">
        <v>325</v>
      </c>
      <c r="DG2363" s="6">
        <f>854</f>
        <v>854</v>
      </c>
      <c r="DI2363" s="4" t="s">
        <v>241</v>
      </c>
      <c r="DJ2363" s="4" t="s">
        <v>241</v>
      </c>
      <c r="DK2363" s="4" t="s">
        <v>241</v>
      </c>
      <c r="DL2363" s="4" t="s">
        <v>241</v>
      </c>
      <c r="DP2363" s="4" t="s">
        <v>241</v>
      </c>
      <c r="DQ2363" s="4" t="s">
        <v>241</v>
      </c>
      <c r="DR2363" s="4" t="s">
        <v>241</v>
      </c>
      <c r="DS2363" s="4" t="s">
        <v>241</v>
      </c>
      <c r="DV2363" s="4" t="s">
        <v>426</v>
      </c>
      <c r="DW2363" s="4" t="s">
        <v>3007</v>
      </c>
      <c r="HO2363" s="4" t="s">
        <v>267</v>
      </c>
    </row>
    <row r="2364" spans="1:223" ht="19.5" customHeight="1" x14ac:dyDescent="0.4">
      <c r="A2364" s="4">
        <v>1</v>
      </c>
      <c r="B2364" s="4" t="s">
        <v>239</v>
      </c>
      <c r="C2364" s="4">
        <v>4067</v>
      </c>
      <c r="D2364" s="4">
        <v>1</v>
      </c>
      <c r="E2364" s="4">
        <v>1</v>
      </c>
      <c r="F2364" s="4" t="s">
        <v>268</v>
      </c>
      <c r="G2364" s="4" t="s">
        <v>241</v>
      </c>
      <c r="H2364" s="4" t="s">
        <v>241</v>
      </c>
      <c r="I2364" s="4" t="s">
        <v>424</v>
      </c>
      <c r="J2364" s="4" t="s">
        <v>274</v>
      </c>
      <c r="K2364" s="4" t="s">
        <v>251</v>
      </c>
      <c r="L2364" s="4" t="s">
        <v>423</v>
      </c>
      <c r="M2364" s="5" t="s">
        <v>3358</v>
      </c>
      <c r="N2364" s="6">
        <f>3005</f>
        <v>3005</v>
      </c>
      <c r="O2364" s="4" t="s">
        <v>265</v>
      </c>
      <c r="P2364" s="6">
        <f>1</f>
        <v>1</v>
      </c>
      <c r="Q2364" s="6">
        <f>0</f>
        <v>0</v>
      </c>
      <c r="S2364" s="6">
        <f>0</f>
        <v>0</v>
      </c>
      <c r="T2364" s="6">
        <f>1</f>
        <v>1</v>
      </c>
      <c r="U2364" s="5" t="s">
        <v>245</v>
      </c>
      <c r="V2364" s="4" t="s">
        <v>270</v>
      </c>
      <c r="W2364" s="4" t="s">
        <v>271</v>
      </c>
      <c r="X2364" s="4" t="s">
        <v>273</v>
      </c>
      <c r="Y2364" s="4" t="s">
        <v>241</v>
      </c>
      <c r="AB2364" s="4" t="s">
        <v>241</v>
      </c>
      <c r="AD2364" s="5" t="s">
        <v>241</v>
      </c>
      <c r="AG2364" s="5" t="s">
        <v>246</v>
      </c>
      <c r="AH2364" s="4" t="s">
        <v>241</v>
      </c>
      <c r="AI2364" s="4" t="s">
        <v>247</v>
      </c>
      <c r="AJ2364" s="4" t="s">
        <v>248</v>
      </c>
      <c r="AZ2364" s="4" t="s">
        <v>249</v>
      </c>
      <c r="BA2364" s="4" t="s">
        <v>241</v>
      </c>
      <c r="BB2364" s="4" t="s">
        <v>250</v>
      </c>
      <c r="BC2364" s="4" t="s">
        <v>241</v>
      </c>
      <c r="BD2364" s="4" t="s">
        <v>252</v>
      </c>
      <c r="BE2364" s="4" t="s">
        <v>241</v>
      </c>
      <c r="BI2364" s="4" t="s">
        <v>253</v>
      </c>
      <c r="BJ2364" s="5" t="s">
        <v>246</v>
      </c>
      <c r="BK2364" s="4" t="s">
        <v>254</v>
      </c>
      <c r="BL2364" s="4" t="s">
        <v>255</v>
      </c>
      <c r="BM2364" s="4" t="s">
        <v>241</v>
      </c>
      <c r="BN2364" s="6">
        <f>0</f>
        <v>0</v>
      </c>
      <c r="BO2364" s="6">
        <f>0</f>
        <v>0</v>
      </c>
      <c r="BP2364" s="4" t="s">
        <v>256</v>
      </c>
      <c r="BQ2364" s="4" t="s">
        <v>257</v>
      </c>
      <c r="CE2364" s="4" t="s">
        <v>241</v>
      </c>
      <c r="CF2364" s="4" t="s">
        <v>241</v>
      </c>
      <c r="CJ2364" s="4" t="s">
        <v>276</v>
      </c>
      <c r="CK2364" s="4" t="s">
        <v>259</v>
      </c>
      <c r="CL2364" s="4" t="s">
        <v>241</v>
      </c>
      <c r="CO2364" s="5" t="s">
        <v>260</v>
      </c>
      <c r="CP2364" s="4" t="s">
        <v>241</v>
      </c>
      <c r="CQ2364" s="4" t="s">
        <v>261</v>
      </c>
      <c r="CR2364" s="4" t="s">
        <v>241</v>
      </c>
      <c r="CS2364" s="4" t="s">
        <v>241</v>
      </c>
      <c r="CT2364" s="4">
        <v>0</v>
      </c>
      <c r="CU2364" s="4" t="s">
        <v>262</v>
      </c>
      <c r="CV2364" s="4" t="s">
        <v>263</v>
      </c>
      <c r="CW2364" s="4" t="s">
        <v>263</v>
      </c>
      <c r="CX2364" s="4" t="s">
        <v>264</v>
      </c>
      <c r="DA2364" s="6">
        <f>1</f>
        <v>1</v>
      </c>
      <c r="DC2364" s="4" t="s">
        <v>325</v>
      </c>
      <c r="DD2364" s="4" t="s">
        <v>241</v>
      </c>
      <c r="DF2364" s="4" t="s">
        <v>325</v>
      </c>
      <c r="DG2364" s="6">
        <f>3005</f>
        <v>3005</v>
      </c>
      <c r="DI2364" s="4" t="s">
        <v>241</v>
      </c>
      <c r="DJ2364" s="4" t="s">
        <v>241</v>
      </c>
      <c r="DK2364" s="4" t="s">
        <v>241</v>
      </c>
      <c r="DL2364" s="4" t="s">
        <v>241</v>
      </c>
      <c r="DP2364" s="4" t="s">
        <v>241</v>
      </c>
      <c r="DQ2364" s="4" t="s">
        <v>241</v>
      </c>
      <c r="DR2364" s="4" t="s">
        <v>241</v>
      </c>
      <c r="DS2364" s="4" t="s">
        <v>241</v>
      </c>
      <c r="DV2364" s="4" t="s">
        <v>426</v>
      </c>
      <c r="DW2364" s="4" t="s">
        <v>3005</v>
      </c>
      <c r="HO2364" s="4" t="s">
        <v>267</v>
      </c>
    </row>
    <row r="2365" spans="1:223" ht="19.5" customHeight="1" x14ac:dyDescent="0.4">
      <c r="A2365" s="4">
        <v>1</v>
      </c>
      <c r="B2365" s="4" t="s">
        <v>239</v>
      </c>
      <c r="C2365" s="4">
        <v>4068</v>
      </c>
      <c r="D2365" s="4">
        <v>1</v>
      </c>
      <c r="E2365" s="4">
        <v>1</v>
      </c>
      <c r="F2365" s="4" t="s">
        <v>268</v>
      </c>
      <c r="G2365" s="4" t="s">
        <v>241</v>
      </c>
      <c r="H2365" s="4" t="s">
        <v>241</v>
      </c>
      <c r="I2365" s="4" t="s">
        <v>424</v>
      </c>
      <c r="J2365" s="4" t="s">
        <v>274</v>
      </c>
      <c r="K2365" s="4" t="s">
        <v>251</v>
      </c>
      <c r="L2365" s="4" t="s">
        <v>423</v>
      </c>
      <c r="M2365" s="5" t="s">
        <v>3360</v>
      </c>
      <c r="N2365" s="6">
        <f>778</f>
        <v>778</v>
      </c>
      <c r="O2365" s="4" t="s">
        <v>265</v>
      </c>
      <c r="P2365" s="6">
        <f>1</f>
        <v>1</v>
      </c>
      <c r="Q2365" s="6">
        <f>0</f>
        <v>0</v>
      </c>
      <c r="S2365" s="6">
        <f>0</f>
        <v>0</v>
      </c>
      <c r="T2365" s="6">
        <f>1</f>
        <v>1</v>
      </c>
      <c r="U2365" s="5" t="s">
        <v>245</v>
      </c>
      <c r="V2365" s="4" t="s">
        <v>270</v>
      </c>
      <c r="W2365" s="4" t="s">
        <v>271</v>
      </c>
      <c r="X2365" s="4" t="s">
        <v>273</v>
      </c>
      <c r="Y2365" s="4" t="s">
        <v>241</v>
      </c>
      <c r="AB2365" s="4" t="s">
        <v>241</v>
      </c>
      <c r="AD2365" s="5" t="s">
        <v>241</v>
      </c>
      <c r="AG2365" s="5" t="s">
        <v>246</v>
      </c>
      <c r="AH2365" s="4" t="s">
        <v>241</v>
      </c>
      <c r="AI2365" s="4" t="s">
        <v>247</v>
      </c>
      <c r="AJ2365" s="4" t="s">
        <v>248</v>
      </c>
      <c r="AZ2365" s="4" t="s">
        <v>249</v>
      </c>
      <c r="BA2365" s="4" t="s">
        <v>241</v>
      </c>
      <c r="BB2365" s="4" t="s">
        <v>250</v>
      </c>
      <c r="BC2365" s="4" t="s">
        <v>241</v>
      </c>
      <c r="BD2365" s="4" t="s">
        <v>252</v>
      </c>
      <c r="BE2365" s="4" t="s">
        <v>241</v>
      </c>
      <c r="BI2365" s="4" t="s">
        <v>253</v>
      </c>
      <c r="BJ2365" s="5" t="s">
        <v>246</v>
      </c>
      <c r="BK2365" s="4" t="s">
        <v>254</v>
      </c>
      <c r="BL2365" s="4" t="s">
        <v>255</v>
      </c>
      <c r="BM2365" s="4" t="s">
        <v>241</v>
      </c>
      <c r="BN2365" s="6">
        <f>0</f>
        <v>0</v>
      </c>
      <c r="BO2365" s="6">
        <f>0</f>
        <v>0</v>
      </c>
      <c r="BP2365" s="4" t="s">
        <v>256</v>
      </c>
      <c r="BQ2365" s="4" t="s">
        <v>257</v>
      </c>
      <c r="CE2365" s="4" t="s">
        <v>241</v>
      </c>
      <c r="CF2365" s="4" t="s">
        <v>241</v>
      </c>
      <c r="CJ2365" s="4" t="s">
        <v>276</v>
      </c>
      <c r="CK2365" s="4" t="s">
        <v>259</v>
      </c>
      <c r="CL2365" s="4" t="s">
        <v>241</v>
      </c>
      <c r="CO2365" s="5" t="s">
        <v>260</v>
      </c>
      <c r="CP2365" s="4" t="s">
        <v>241</v>
      </c>
      <c r="CQ2365" s="4" t="s">
        <v>261</v>
      </c>
      <c r="CR2365" s="4" t="s">
        <v>241</v>
      </c>
      <c r="CS2365" s="4" t="s">
        <v>241</v>
      </c>
      <c r="CT2365" s="4">
        <v>0</v>
      </c>
      <c r="CU2365" s="4" t="s">
        <v>262</v>
      </c>
      <c r="CV2365" s="4" t="s">
        <v>263</v>
      </c>
      <c r="CW2365" s="4" t="s">
        <v>263</v>
      </c>
      <c r="CX2365" s="4" t="s">
        <v>264</v>
      </c>
      <c r="DA2365" s="6">
        <f>1</f>
        <v>1</v>
      </c>
      <c r="DC2365" s="4" t="s">
        <v>325</v>
      </c>
      <c r="DD2365" s="4" t="s">
        <v>241</v>
      </c>
      <c r="DF2365" s="4" t="s">
        <v>325</v>
      </c>
      <c r="DG2365" s="6">
        <f>778</f>
        <v>778</v>
      </c>
      <c r="DI2365" s="4" t="s">
        <v>241</v>
      </c>
      <c r="DJ2365" s="4" t="s">
        <v>241</v>
      </c>
      <c r="DK2365" s="4" t="s">
        <v>241</v>
      </c>
      <c r="DL2365" s="4" t="s">
        <v>241</v>
      </c>
      <c r="DP2365" s="4" t="s">
        <v>241</v>
      </c>
      <c r="DQ2365" s="4" t="s">
        <v>241</v>
      </c>
      <c r="DR2365" s="4" t="s">
        <v>241</v>
      </c>
      <c r="DS2365" s="4" t="s">
        <v>241</v>
      </c>
      <c r="DV2365" s="4" t="s">
        <v>426</v>
      </c>
      <c r="DW2365" s="4" t="s">
        <v>3003</v>
      </c>
      <c r="HO2365" s="4" t="s">
        <v>267</v>
      </c>
    </row>
    <row r="2366" spans="1:223" ht="19.5" customHeight="1" x14ac:dyDescent="0.4">
      <c r="A2366" s="4">
        <v>1</v>
      </c>
      <c r="B2366" s="4" t="s">
        <v>239</v>
      </c>
      <c r="C2366" s="4">
        <v>4069</v>
      </c>
      <c r="D2366" s="4">
        <v>1</v>
      </c>
      <c r="E2366" s="4">
        <v>1</v>
      </c>
      <c r="F2366" s="4" t="s">
        <v>268</v>
      </c>
      <c r="G2366" s="4" t="s">
        <v>241</v>
      </c>
      <c r="H2366" s="4" t="s">
        <v>241</v>
      </c>
      <c r="I2366" s="4" t="s">
        <v>424</v>
      </c>
      <c r="J2366" s="4" t="s">
        <v>274</v>
      </c>
      <c r="K2366" s="4" t="s">
        <v>251</v>
      </c>
      <c r="L2366" s="4" t="s">
        <v>423</v>
      </c>
      <c r="M2366" s="5" t="s">
        <v>3362</v>
      </c>
      <c r="N2366" s="6">
        <f>803</f>
        <v>803</v>
      </c>
      <c r="O2366" s="4" t="s">
        <v>265</v>
      </c>
      <c r="P2366" s="6">
        <f>1</f>
        <v>1</v>
      </c>
      <c r="Q2366" s="6">
        <f>0</f>
        <v>0</v>
      </c>
      <c r="S2366" s="6">
        <f>0</f>
        <v>0</v>
      </c>
      <c r="T2366" s="6">
        <f>1</f>
        <v>1</v>
      </c>
      <c r="U2366" s="5" t="s">
        <v>245</v>
      </c>
      <c r="V2366" s="4" t="s">
        <v>270</v>
      </c>
      <c r="W2366" s="4" t="s">
        <v>271</v>
      </c>
      <c r="X2366" s="4" t="s">
        <v>273</v>
      </c>
      <c r="Y2366" s="4" t="s">
        <v>241</v>
      </c>
      <c r="AB2366" s="4" t="s">
        <v>241</v>
      </c>
      <c r="AD2366" s="5" t="s">
        <v>241</v>
      </c>
      <c r="AG2366" s="5" t="s">
        <v>246</v>
      </c>
      <c r="AH2366" s="4" t="s">
        <v>241</v>
      </c>
      <c r="AI2366" s="4" t="s">
        <v>247</v>
      </c>
      <c r="AJ2366" s="4" t="s">
        <v>248</v>
      </c>
      <c r="AZ2366" s="4" t="s">
        <v>249</v>
      </c>
      <c r="BA2366" s="4" t="s">
        <v>241</v>
      </c>
      <c r="BB2366" s="4" t="s">
        <v>250</v>
      </c>
      <c r="BC2366" s="4" t="s">
        <v>241</v>
      </c>
      <c r="BD2366" s="4" t="s">
        <v>252</v>
      </c>
      <c r="BE2366" s="4" t="s">
        <v>241</v>
      </c>
      <c r="BI2366" s="4" t="s">
        <v>253</v>
      </c>
      <c r="BJ2366" s="5" t="s">
        <v>246</v>
      </c>
      <c r="BK2366" s="4" t="s">
        <v>254</v>
      </c>
      <c r="BL2366" s="4" t="s">
        <v>255</v>
      </c>
      <c r="BM2366" s="4" t="s">
        <v>241</v>
      </c>
      <c r="BN2366" s="6">
        <f>0</f>
        <v>0</v>
      </c>
      <c r="BO2366" s="6">
        <f>0</f>
        <v>0</v>
      </c>
      <c r="BP2366" s="4" t="s">
        <v>256</v>
      </c>
      <c r="BQ2366" s="4" t="s">
        <v>257</v>
      </c>
      <c r="CE2366" s="4" t="s">
        <v>241</v>
      </c>
      <c r="CF2366" s="4" t="s">
        <v>241</v>
      </c>
      <c r="CJ2366" s="4" t="s">
        <v>276</v>
      </c>
      <c r="CK2366" s="4" t="s">
        <v>259</v>
      </c>
      <c r="CL2366" s="4" t="s">
        <v>241</v>
      </c>
      <c r="CO2366" s="5" t="s">
        <v>260</v>
      </c>
      <c r="CP2366" s="4" t="s">
        <v>241</v>
      </c>
      <c r="CQ2366" s="4" t="s">
        <v>261</v>
      </c>
      <c r="CR2366" s="4" t="s">
        <v>241</v>
      </c>
      <c r="CS2366" s="4" t="s">
        <v>241</v>
      </c>
      <c r="CT2366" s="4">
        <v>0</v>
      </c>
      <c r="CU2366" s="4" t="s">
        <v>262</v>
      </c>
      <c r="CV2366" s="4" t="s">
        <v>263</v>
      </c>
      <c r="CW2366" s="4" t="s">
        <v>263</v>
      </c>
      <c r="CX2366" s="4" t="s">
        <v>264</v>
      </c>
      <c r="DA2366" s="6">
        <f>1</f>
        <v>1</v>
      </c>
      <c r="DC2366" s="4" t="s">
        <v>325</v>
      </c>
      <c r="DD2366" s="4" t="s">
        <v>241</v>
      </c>
      <c r="DF2366" s="4" t="s">
        <v>325</v>
      </c>
      <c r="DG2366" s="6">
        <f>803</f>
        <v>803</v>
      </c>
      <c r="DI2366" s="4" t="s">
        <v>241</v>
      </c>
      <c r="DJ2366" s="4" t="s">
        <v>241</v>
      </c>
      <c r="DK2366" s="4" t="s">
        <v>241</v>
      </c>
      <c r="DL2366" s="4" t="s">
        <v>241</v>
      </c>
      <c r="DP2366" s="4" t="s">
        <v>241</v>
      </c>
      <c r="DQ2366" s="4" t="s">
        <v>241</v>
      </c>
      <c r="DR2366" s="4" t="s">
        <v>241</v>
      </c>
      <c r="DS2366" s="4" t="s">
        <v>241</v>
      </c>
      <c r="DV2366" s="4" t="s">
        <v>426</v>
      </c>
      <c r="DW2366" s="4" t="s">
        <v>3001</v>
      </c>
      <c r="HO2366" s="4" t="s">
        <v>267</v>
      </c>
    </row>
    <row r="2367" spans="1:223" ht="19.5" customHeight="1" x14ac:dyDescent="0.4">
      <c r="A2367" s="4">
        <v>1</v>
      </c>
      <c r="B2367" s="4" t="s">
        <v>239</v>
      </c>
      <c r="C2367" s="4">
        <v>4070</v>
      </c>
      <c r="D2367" s="4">
        <v>1</v>
      </c>
      <c r="E2367" s="4">
        <v>1</v>
      </c>
      <c r="F2367" s="4" t="s">
        <v>268</v>
      </c>
      <c r="G2367" s="4" t="s">
        <v>241</v>
      </c>
      <c r="H2367" s="4" t="s">
        <v>241</v>
      </c>
      <c r="I2367" s="4" t="s">
        <v>424</v>
      </c>
      <c r="J2367" s="4" t="s">
        <v>274</v>
      </c>
      <c r="K2367" s="4" t="s">
        <v>251</v>
      </c>
      <c r="L2367" s="4" t="s">
        <v>423</v>
      </c>
      <c r="M2367" s="5" t="s">
        <v>3364</v>
      </c>
      <c r="N2367" s="6">
        <f>2479</f>
        <v>2479</v>
      </c>
      <c r="O2367" s="4" t="s">
        <v>265</v>
      </c>
      <c r="P2367" s="6">
        <f>1</f>
        <v>1</v>
      </c>
      <c r="Q2367" s="6">
        <f>0</f>
        <v>0</v>
      </c>
      <c r="S2367" s="6">
        <f>0</f>
        <v>0</v>
      </c>
      <c r="T2367" s="6">
        <f>1</f>
        <v>1</v>
      </c>
      <c r="U2367" s="5" t="s">
        <v>245</v>
      </c>
      <c r="V2367" s="4" t="s">
        <v>270</v>
      </c>
      <c r="W2367" s="4" t="s">
        <v>271</v>
      </c>
      <c r="X2367" s="4" t="s">
        <v>273</v>
      </c>
      <c r="Y2367" s="4" t="s">
        <v>241</v>
      </c>
      <c r="AB2367" s="4" t="s">
        <v>241</v>
      </c>
      <c r="AD2367" s="5" t="s">
        <v>241</v>
      </c>
      <c r="AG2367" s="5" t="s">
        <v>246</v>
      </c>
      <c r="AH2367" s="4" t="s">
        <v>241</v>
      </c>
      <c r="AI2367" s="4" t="s">
        <v>247</v>
      </c>
      <c r="AJ2367" s="4" t="s">
        <v>248</v>
      </c>
      <c r="AZ2367" s="4" t="s">
        <v>249</v>
      </c>
      <c r="BA2367" s="4" t="s">
        <v>241</v>
      </c>
      <c r="BB2367" s="4" t="s">
        <v>250</v>
      </c>
      <c r="BC2367" s="4" t="s">
        <v>241</v>
      </c>
      <c r="BD2367" s="4" t="s">
        <v>252</v>
      </c>
      <c r="BE2367" s="4" t="s">
        <v>241</v>
      </c>
      <c r="BI2367" s="4" t="s">
        <v>253</v>
      </c>
      <c r="BJ2367" s="5" t="s">
        <v>246</v>
      </c>
      <c r="BK2367" s="4" t="s">
        <v>254</v>
      </c>
      <c r="BL2367" s="4" t="s">
        <v>255</v>
      </c>
      <c r="BM2367" s="4" t="s">
        <v>241</v>
      </c>
      <c r="BN2367" s="6">
        <f>0</f>
        <v>0</v>
      </c>
      <c r="BO2367" s="6">
        <f>0</f>
        <v>0</v>
      </c>
      <c r="BP2367" s="4" t="s">
        <v>256</v>
      </c>
      <c r="BQ2367" s="4" t="s">
        <v>257</v>
      </c>
      <c r="CE2367" s="4" t="s">
        <v>241</v>
      </c>
      <c r="CF2367" s="4" t="s">
        <v>241</v>
      </c>
      <c r="CJ2367" s="4" t="s">
        <v>276</v>
      </c>
      <c r="CK2367" s="4" t="s">
        <v>259</v>
      </c>
      <c r="CL2367" s="4" t="s">
        <v>241</v>
      </c>
      <c r="CO2367" s="5" t="s">
        <v>260</v>
      </c>
      <c r="CP2367" s="4" t="s">
        <v>241</v>
      </c>
      <c r="CQ2367" s="4" t="s">
        <v>261</v>
      </c>
      <c r="CR2367" s="4" t="s">
        <v>241</v>
      </c>
      <c r="CS2367" s="4" t="s">
        <v>241</v>
      </c>
      <c r="CT2367" s="4">
        <v>0</v>
      </c>
      <c r="CU2367" s="4" t="s">
        <v>262</v>
      </c>
      <c r="CV2367" s="4" t="s">
        <v>263</v>
      </c>
      <c r="CW2367" s="4" t="s">
        <v>263</v>
      </c>
      <c r="CX2367" s="4" t="s">
        <v>264</v>
      </c>
      <c r="DA2367" s="6">
        <f>1</f>
        <v>1</v>
      </c>
      <c r="DC2367" s="4" t="s">
        <v>325</v>
      </c>
      <c r="DD2367" s="4" t="s">
        <v>241</v>
      </c>
      <c r="DF2367" s="4" t="s">
        <v>325</v>
      </c>
      <c r="DG2367" s="6">
        <f>2479</f>
        <v>2479</v>
      </c>
      <c r="DI2367" s="4" t="s">
        <v>241</v>
      </c>
      <c r="DJ2367" s="4" t="s">
        <v>241</v>
      </c>
      <c r="DK2367" s="4" t="s">
        <v>241</v>
      </c>
      <c r="DL2367" s="4" t="s">
        <v>241</v>
      </c>
      <c r="DP2367" s="4" t="s">
        <v>241</v>
      </c>
      <c r="DQ2367" s="4" t="s">
        <v>241</v>
      </c>
      <c r="DR2367" s="4" t="s">
        <v>241</v>
      </c>
      <c r="DS2367" s="4" t="s">
        <v>241</v>
      </c>
      <c r="DV2367" s="4" t="s">
        <v>426</v>
      </c>
      <c r="DW2367" s="4" t="s">
        <v>2999</v>
      </c>
      <c r="HO2367" s="4" t="s">
        <v>267</v>
      </c>
    </row>
    <row r="2368" spans="1:223" ht="19.5" customHeight="1" x14ac:dyDescent="0.4">
      <c r="A2368" s="4">
        <v>1</v>
      </c>
      <c r="B2368" s="4" t="s">
        <v>239</v>
      </c>
      <c r="C2368" s="4">
        <v>4071</v>
      </c>
      <c r="D2368" s="4">
        <v>1</v>
      </c>
      <c r="E2368" s="4">
        <v>1</v>
      </c>
      <c r="F2368" s="4" t="s">
        <v>268</v>
      </c>
      <c r="G2368" s="4" t="s">
        <v>241</v>
      </c>
      <c r="H2368" s="4" t="s">
        <v>241</v>
      </c>
      <c r="I2368" s="4" t="s">
        <v>424</v>
      </c>
      <c r="J2368" s="4" t="s">
        <v>274</v>
      </c>
      <c r="K2368" s="4" t="s">
        <v>251</v>
      </c>
      <c r="L2368" s="4" t="s">
        <v>423</v>
      </c>
      <c r="M2368" s="5" t="s">
        <v>4649</v>
      </c>
      <c r="N2368" s="6">
        <f>916</f>
        <v>916</v>
      </c>
      <c r="O2368" s="4" t="s">
        <v>265</v>
      </c>
      <c r="P2368" s="6">
        <f>1</f>
        <v>1</v>
      </c>
      <c r="Q2368" s="6">
        <f>0</f>
        <v>0</v>
      </c>
      <c r="S2368" s="6">
        <f>0</f>
        <v>0</v>
      </c>
      <c r="T2368" s="6">
        <f>1</f>
        <v>1</v>
      </c>
      <c r="U2368" s="5" t="s">
        <v>245</v>
      </c>
      <c r="V2368" s="4" t="s">
        <v>270</v>
      </c>
      <c r="W2368" s="4" t="s">
        <v>271</v>
      </c>
      <c r="X2368" s="4" t="s">
        <v>273</v>
      </c>
      <c r="Y2368" s="4" t="s">
        <v>241</v>
      </c>
      <c r="AB2368" s="4" t="s">
        <v>241</v>
      </c>
      <c r="AD2368" s="5" t="s">
        <v>241</v>
      </c>
      <c r="AG2368" s="5" t="s">
        <v>246</v>
      </c>
      <c r="AH2368" s="4" t="s">
        <v>241</v>
      </c>
      <c r="AI2368" s="4" t="s">
        <v>247</v>
      </c>
      <c r="AJ2368" s="4" t="s">
        <v>248</v>
      </c>
      <c r="AZ2368" s="4" t="s">
        <v>249</v>
      </c>
      <c r="BA2368" s="4" t="s">
        <v>241</v>
      </c>
      <c r="BB2368" s="4" t="s">
        <v>250</v>
      </c>
      <c r="BC2368" s="4" t="s">
        <v>241</v>
      </c>
      <c r="BD2368" s="4" t="s">
        <v>252</v>
      </c>
      <c r="BE2368" s="4" t="s">
        <v>241</v>
      </c>
      <c r="BI2368" s="4" t="s">
        <v>253</v>
      </c>
      <c r="BJ2368" s="5" t="s">
        <v>246</v>
      </c>
      <c r="BK2368" s="4" t="s">
        <v>254</v>
      </c>
      <c r="BL2368" s="4" t="s">
        <v>255</v>
      </c>
      <c r="BM2368" s="4" t="s">
        <v>241</v>
      </c>
      <c r="BN2368" s="6">
        <f>0</f>
        <v>0</v>
      </c>
      <c r="BO2368" s="6">
        <f>0</f>
        <v>0</v>
      </c>
      <c r="BP2368" s="4" t="s">
        <v>256</v>
      </c>
      <c r="BQ2368" s="4" t="s">
        <v>257</v>
      </c>
      <c r="CE2368" s="4" t="s">
        <v>241</v>
      </c>
      <c r="CF2368" s="4" t="s">
        <v>241</v>
      </c>
      <c r="CJ2368" s="4" t="s">
        <v>276</v>
      </c>
      <c r="CK2368" s="4" t="s">
        <v>259</v>
      </c>
      <c r="CL2368" s="4" t="s">
        <v>241</v>
      </c>
      <c r="CO2368" s="5" t="s">
        <v>260</v>
      </c>
      <c r="CP2368" s="4" t="s">
        <v>241</v>
      </c>
      <c r="CQ2368" s="4" t="s">
        <v>261</v>
      </c>
      <c r="CR2368" s="4" t="s">
        <v>241</v>
      </c>
      <c r="CS2368" s="4" t="s">
        <v>241</v>
      </c>
      <c r="CT2368" s="4">
        <v>0</v>
      </c>
      <c r="CU2368" s="4" t="s">
        <v>262</v>
      </c>
      <c r="CV2368" s="4" t="s">
        <v>263</v>
      </c>
      <c r="CW2368" s="4" t="s">
        <v>263</v>
      </c>
      <c r="CX2368" s="4" t="s">
        <v>264</v>
      </c>
      <c r="DA2368" s="6">
        <f>1</f>
        <v>1</v>
      </c>
      <c r="DC2368" s="4" t="s">
        <v>325</v>
      </c>
      <c r="DD2368" s="4" t="s">
        <v>241</v>
      </c>
      <c r="DF2368" s="4" t="s">
        <v>325</v>
      </c>
      <c r="DG2368" s="6">
        <f>916</f>
        <v>916</v>
      </c>
      <c r="DI2368" s="4" t="s">
        <v>241</v>
      </c>
      <c r="DJ2368" s="4" t="s">
        <v>241</v>
      </c>
      <c r="DK2368" s="4" t="s">
        <v>241</v>
      </c>
      <c r="DL2368" s="4" t="s">
        <v>241</v>
      </c>
      <c r="DP2368" s="4" t="s">
        <v>241</v>
      </c>
      <c r="DQ2368" s="4" t="s">
        <v>241</v>
      </c>
      <c r="DR2368" s="4" t="s">
        <v>241</v>
      </c>
      <c r="DS2368" s="4" t="s">
        <v>241</v>
      </c>
      <c r="DV2368" s="4" t="s">
        <v>426</v>
      </c>
      <c r="DW2368" s="4" t="s">
        <v>2997</v>
      </c>
      <c r="HO2368" s="4" t="s">
        <v>267</v>
      </c>
    </row>
    <row r="2369" spans="1:223" ht="19.5" customHeight="1" x14ac:dyDescent="0.4">
      <c r="A2369" s="4">
        <v>1</v>
      </c>
      <c r="B2369" s="4" t="s">
        <v>239</v>
      </c>
      <c r="C2369" s="4">
        <v>4072</v>
      </c>
      <c r="D2369" s="4">
        <v>1</v>
      </c>
      <c r="E2369" s="4">
        <v>1</v>
      </c>
      <c r="F2369" s="4" t="s">
        <v>268</v>
      </c>
      <c r="G2369" s="4" t="s">
        <v>241</v>
      </c>
      <c r="H2369" s="4" t="s">
        <v>241</v>
      </c>
      <c r="I2369" s="4" t="s">
        <v>424</v>
      </c>
      <c r="J2369" s="4" t="s">
        <v>274</v>
      </c>
      <c r="K2369" s="4" t="s">
        <v>251</v>
      </c>
      <c r="L2369" s="4" t="s">
        <v>423</v>
      </c>
      <c r="M2369" s="5" t="s">
        <v>3366</v>
      </c>
      <c r="N2369" s="6">
        <f>946</f>
        <v>946</v>
      </c>
      <c r="O2369" s="4" t="s">
        <v>265</v>
      </c>
      <c r="P2369" s="6">
        <f>1</f>
        <v>1</v>
      </c>
      <c r="Q2369" s="6">
        <f>0</f>
        <v>0</v>
      </c>
      <c r="S2369" s="6">
        <f>0</f>
        <v>0</v>
      </c>
      <c r="T2369" s="6">
        <f>1</f>
        <v>1</v>
      </c>
      <c r="U2369" s="5" t="s">
        <v>245</v>
      </c>
      <c r="V2369" s="4" t="s">
        <v>270</v>
      </c>
      <c r="W2369" s="4" t="s">
        <v>271</v>
      </c>
      <c r="X2369" s="4" t="s">
        <v>273</v>
      </c>
      <c r="Y2369" s="4" t="s">
        <v>241</v>
      </c>
      <c r="AB2369" s="4" t="s">
        <v>241</v>
      </c>
      <c r="AD2369" s="5" t="s">
        <v>241</v>
      </c>
      <c r="AG2369" s="5" t="s">
        <v>246</v>
      </c>
      <c r="AH2369" s="4" t="s">
        <v>241</v>
      </c>
      <c r="AI2369" s="4" t="s">
        <v>247</v>
      </c>
      <c r="AJ2369" s="4" t="s">
        <v>248</v>
      </c>
      <c r="AZ2369" s="4" t="s">
        <v>249</v>
      </c>
      <c r="BA2369" s="4" t="s">
        <v>241</v>
      </c>
      <c r="BB2369" s="4" t="s">
        <v>250</v>
      </c>
      <c r="BC2369" s="4" t="s">
        <v>241</v>
      </c>
      <c r="BD2369" s="4" t="s">
        <v>252</v>
      </c>
      <c r="BE2369" s="4" t="s">
        <v>241</v>
      </c>
      <c r="BI2369" s="4" t="s">
        <v>253</v>
      </c>
      <c r="BJ2369" s="5" t="s">
        <v>246</v>
      </c>
      <c r="BK2369" s="4" t="s">
        <v>254</v>
      </c>
      <c r="BL2369" s="4" t="s">
        <v>255</v>
      </c>
      <c r="BM2369" s="4" t="s">
        <v>241</v>
      </c>
      <c r="BN2369" s="6">
        <f>0</f>
        <v>0</v>
      </c>
      <c r="BO2369" s="6">
        <f>0</f>
        <v>0</v>
      </c>
      <c r="BP2369" s="4" t="s">
        <v>256</v>
      </c>
      <c r="BQ2369" s="4" t="s">
        <v>257</v>
      </c>
      <c r="CE2369" s="4" t="s">
        <v>241</v>
      </c>
      <c r="CF2369" s="4" t="s">
        <v>241</v>
      </c>
      <c r="CJ2369" s="4" t="s">
        <v>276</v>
      </c>
      <c r="CK2369" s="4" t="s">
        <v>259</v>
      </c>
      <c r="CL2369" s="4" t="s">
        <v>241</v>
      </c>
      <c r="CO2369" s="5" t="s">
        <v>260</v>
      </c>
      <c r="CP2369" s="4" t="s">
        <v>241</v>
      </c>
      <c r="CQ2369" s="4" t="s">
        <v>261</v>
      </c>
      <c r="CR2369" s="4" t="s">
        <v>241</v>
      </c>
      <c r="CS2369" s="4" t="s">
        <v>241</v>
      </c>
      <c r="CT2369" s="4">
        <v>0</v>
      </c>
      <c r="CU2369" s="4" t="s">
        <v>262</v>
      </c>
      <c r="CV2369" s="4" t="s">
        <v>263</v>
      </c>
      <c r="CW2369" s="4" t="s">
        <v>263</v>
      </c>
      <c r="CX2369" s="4" t="s">
        <v>264</v>
      </c>
      <c r="DA2369" s="6">
        <f>1</f>
        <v>1</v>
      </c>
      <c r="DC2369" s="4" t="s">
        <v>325</v>
      </c>
      <c r="DD2369" s="4" t="s">
        <v>241</v>
      </c>
      <c r="DF2369" s="4" t="s">
        <v>325</v>
      </c>
      <c r="DG2369" s="6">
        <f>946</f>
        <v>946</v>
      </c>
      <c r="DI2369" s="4" t="s">
        <v>241</v>
      </c>
      <c r="DJ2369" s="4" t="s">
        <v>241</v>
      </c>
      <c r="DK2369" s="4" t="s">
        <v>241</v>
      </c>
      <c r="DL2369" s="4" t="s">
        <v>241</v>
      </c>
      <c r="DP2369" s="4" t="s">
        <v>241</v>
      </c>
      <c r="DQ2369" s="4" t="s">
        <v>241</v>
      </c>
      <c r="DR2369" s="4" t="s">
        <v>241</v>
      </c>
      <c r="DS2369" s="4" t="s">
        <v>241</v>
      </c>
      <c r="DV2369" s="4" t="s">
        <v>426</v>
      </c>
      <c r="DW2369" s="4" t="s">
        <v>2995</v>
      </c>
      <c r="HO2369" s="4" t="s">
        <v>267</v>
      </c>
    </row>
    <row r="2370" spans="1:223" ht="19.5" customHeight="1" x14ac:dyDescent="0.4">
      <c r="A2370" s="4">
        <v>1</v>
      </c>
      <c r="B2370" s="4" t="s">
        <v>239</v>
      </c>
      <c r="C2370" s="4">
        <v>4073</v>
      </c>
      <c r="D2370" s="4">
        <v>1</v>
      </c>
      <c r="E2370" s="4">
        <v>1</v>
      </c>
      <c r="F2370" s="4" t="s">
        <v>268</v>
      </c>
      <c r="G2370" s="4" t="s">
        <v>241</v>
      </c>
      <c r="H2370" s="4" t="s">
        <v>241</v>
      </c>
      <c r="I2370" s="4" t="s">
        <v>424</v>
      </c>
      <c r="J2370" s="4" t="s">
        <v>274</v>
      </c>
      <c r="K2370" s="4" t="s">
        <v>251</v>
      </c>
      <c r="L2370" s="4" t="s">
        <v>423</v>
      </c>
      <c r="M2370" s="5" t="s">
        <v>3369</v>
      </c>
      <c r="N2370" s="6">
        <f>2352</f>
        <v>2352</v>
      </c>
      <c r="O2370" s="4" t="s">
        <v>265</v>
      </c>
      <c r="P2370" s="6">
        <f>1</f>
        <v>1</v>
      </c>
      <c r="Q2370" s="6">
        <f>0</f>
        <v>0</v>
      </c>
      <c r="S2370" s="6">
        <f>0</f>
        <v>0</v>
      </c>
      <c r="T2370" s="6">
        <f>1</f>
        <v>1</v>
      </c>
      <c r="U2370" s="5" t="s">
        <v>245</v>
      </c>
      <c r="V2370" s="4" t="s">
        <v>270</v>
      </c>
      <c r="W2370" s="4" t="s">
        <v>271</v>
      </c>
      <c r="X2370" s="4" t="s">
        <v>273</v>
      </c>
      <c r="Y2370" s="4" t="s">
        <v>241</v>
      </c>
      <c r="AB2370" s="4" t="s">
        <v>241</v>
      </c>
      <c r="AD2370" s="5" t="s">
        <v>241</v>
      </c>
      <c r="AG2370" s="5" t="s">
        <v>246</v>
      </c>
      <c r="AH2370" s="4" t="s">
        <v>241</v>
      </c>
      <c r="AI2370" s="4" t="s">
        <v>247</v>
      </c>
      <c r="AJ2370" s="4" t="s">
        <v>248</v>
      </c>
      <c r="AZ2370" s="4" t="s">
        <v>249</v>
      </c>
      <c r="BA2370" s="4" t="s">
        <v>241</v>
      </c>
      <c r="BB2370" s="4" t="s">
        <v>250</v>
      </c>
      <c r="BC2370" s="4" t="s">
        <v>241</v>
      </c>
      <c r="BD2370" s="4" t="s">
        <v>252</v>
      </c>
      <c r="BE2370" s="4" t="s">
        <v>241</v>
      </c>
      <c r="BI2370" s="4" t="s">
        <v>253</v>
      </c>
      <c r="BJ2370" s="5" t="s">
        <v>246</v>
      </c>
      <c r="BK2370" s="4" t="s">
        <v>254</v>
      </c>
      <c r="BL2370" s="4" t="s">
        <v>255</v>
      </c>
      <c r="BM2370" s="4" t="s">
        <v>241</v>
      </c>
      <c r="BN2370" s="6">
        <f>0</f>
        <v>0</v>
      </c>
      <c r="BO2370" s="6">
        <f>0</f>
        <v>0</v>
      </c>
      <c r="BP2370" s="4" t="s">
        <v>256</v>
      </c>
      <c r="BQ2370" s="4" t="s">
        <v>257</v>
      </c>
      <c r="CE2370" s="4" t="s">
        <v>241</v>
      </c>
      <c r="CF2370" s="4" t="s">
        <v>241</v>
      </c>
      <c r="CJ2370" s="4" t="s">
        <v>276</v>
      </c>
      <c r="CK2370" s="4" t="s">
        <v>259</v>
      </c>
      <c r="CL2370" s="4" t="s">
        <v>241</v>
      </c>
      <c r="CO2370" s="5" t="s">
        <v>260</v>
      </c>
      <c r="CP2370" s="4" t="s">
        <v>241</v>
      </c>
      <c r="CQ2370" s="4" t="s">
        <v>261</v>
      </c>
      <c r="CR2370" s="4" t="s">
        <v>241</v>
      </c>
      <c r="CS2370" s="4" t="s">
        <v>241</v>
      </c>
      <c r="CT2370" s="4">
        <v>0</v>
      </c>
      <c r="CU2370" s="4" t="s">
        <v>262</v>
      </c>
      <c r="CV2370" s="4" t="s">
        <v>263</v>
      </c>
      <c r="CW2370" s="4" t="s">
        <v>263</v>
      </c>
      <c r="CX2370" s="4" t="s">
        <v>264</v>
      </c>
      <c r="DA2370" s="6">
        <f>1</f>
        <v>1</v>
      </c>
      <c r="DC2370" s="4" t="s">
        <v>325</v>
      </c>
      <c r="DD2370" s="4" t="s">
        <v>241</v>
      </c>
      <c r="DF2370" s="4" t="s">
        <v>325</v>
      </c>
      <c r="DG2370" s="6">
        <f>2352</f>
        <v>2352</v>
      </c>
      <c r="DI2370" s="4" t="s">
        <v>241</v>
      </c>
      <c r="DJ2370" s="4" t="s">
        <v>241</v>
      </c>
      <c r="DK2370" s="4" t="s">
        <v>241</v>
      </c>
      <c r="DL2370" s="4" t="s">
        <v>241</v>
      </c>
      <c r="DP2370" s="4" t="s">
        <v>241</v>
      </c>
      <c r="DQ2370" s="4" t="s">
        <v>241</v>
      </c>
      <c r="DR2370" s="4" t="s">
        <v>241</v>
      </c>
      <c r="DS2370" s="4" t="s">
        <v>241</v>
      </c>
      <c r="DV2370" s="4" t="s">
        <v>426</v>
      </c>
      <c r="DW2370" s="4" t="s">
        <v>2993</v>
      </c>
      <c r="HO2370" s="4" t="s">
        <v>267</v>
      </c>
    </row>
    <row r="2371" spans="1:223" ht="19.5" customHeight="1" x14ac:dyDescent="0.4">
      <c r="A2371" s="4">
        <v>1</v>
      </c>
      <c r="B2371" s="4" t="s">
        <v>239</v>
      </c>
      <c r="C2371" s="4">
        <v>4074</v>
      </c>
      <c r="D2371" s="4">
        <v>1</v>
      </c>
      <c r="E2371" s="4">
        <v>1</v>
      </c>
      <c r="F2371" s="4" t="s">
        <v>268</v>
      </c>
      <c r="G2371" s="4" t="s">
        <v>241</v>
      </c>
      <c r="H2371" s="4" t="s">
        <v>241</v>
      </c>
      <c r="I2371" s="4" t="s">
        <v>424</v>
      </c>
      <c r="J2371" s="4" t="s">
        <v>274</v>
      </c>
      <c r="K2371" s="4" t="s">
        <v>251</v>
      </c>
      <c r="L2371" s="4" t="s">
        <v>423</v>
      </c>
      <c r="M2371" s="5" t="s">
        <v>3371</v>
      </c>
      <c r="N2371" s="6">
        <f>494</f>
        <v>494</v>
      </c>
      <c r="O2371" s="4" t="s">
        <v>265</v>
      </c>
      <c r="P2371" s="6">
        <f>1</f>
        <v>1</v>
      </c>
      <c r="Q2371" s="6">
        <f>0</f>
        <v>0</v>
      </c>
      <c r="S2371" s="6">
        <f>0</f>
        <v>0</v>
      </c>
      <c r="T2371" s="6">
        <f>1</f>
        <v>1</v>
      </c>
      <c r="U2371" s="5" t="s">
        <v>245</v>
      </c>
      <c r="V2371" s="4" t="s">
        <v>270</v>
      </c>
      <c r="W2371" s="4" t="s">
        <v>271</v>
      </c>
      <c r="X2371" s="4" t="s">
        <v>273</v>
      </c>
      <c r="Y2371" s="4" t="s">
        <v>241</v>
      </c>
      <c r="AB2371" s="4" t="s">
        <v>241</v>
      </c>
      <c r="AD2371" s="5" t="s">
        <v>241</v>
      </c>
      <c r="AG2371" s="5" t="s">
        <v>246</v>
      </c>
      <c r="AH2371" s="4" t="s">
        <v>241</v>
      </c>
      <c r="AI2371" s="4" t="s">
        <v>247</v>
      </c>
      <c r="AJ2371" s="4" t="s">
        <v>248</v>
      </c>
      <c r="AZ2371" s="4" t="s">
        <v>249</v>
      </c>
      <c r="BA2371" s="4" t="s">
        <v>241</v>
      </c>
      <c r="BB2371" s="4" t="s">
        <v>250</v>
      </c>
      <c r="BC2371" s="4" t="s">
        <v>241</v>
      </c>
      <c r="BD2371" s="4" t="s">
        <v>252</v>
      </c>
      <c r="BE2371" s="4" t="s">
        <v>241</v>
      </c>
      <c r="BI2371" s="4" t="s">
        <v>253</v>
      </c>
      <c r="BJ2371" s="5" t="s">
        <v>246</v>
      </c>
      <c r="BK2371" s="4" t="s">
        <v>254</v>
      </c>
      <c r="BL2371" s="4" t="s">
        <v>255</v>
      </c>
      <c r="BM2371" s="4" t="s">
        <v>241</v>
      </c>
      <c r="BN2371" s="6">
        <f>0</f>
        <v>0</v>
      </c>
      <c r="BO2371" s="6">
        <f>0</f>
        <v>0</v>
      </c>
      <c r="BP2371" s="4" t="s">
        <v>256</v>
      </c>
      <c r="BQ2371" s="4" t="s">
        <v>257</v>
      </c>
      <c r="CE2371" s="4" t="s">
        <v>241</v>
      </c>
      <c r="CF2371" s="4" t="s">
        <v>241</v>
      </c>
      <c r="CJ2371" s="4" t="s">
        <v>276</v>
      </c>
      <c r="CK2371" s="4" t="s">
        <v>259</v>
      </c>
      <c r="CL2371" s="4" t="s">
        <v>241</v>
      </c>
      <c r="CO2371" s="5" t="s">
        <v>260</v>
      </c>
      <c r="CP2371" s="4" t="s">
        <v>241</v>
      </c>
      <c r="CQ2371" s="4" t="s">
        <v>261</v>
      </c>
      <c r="CR2371" s="4" t="s">
        <v>241</v>
      </c>
      <c r="CS2371" s="4" t="s">
        <v>241</v>
      </c>
      <c r="CT2371" s="4">
        <v>0</v>
      </c>
      <c r="CU2371" s="4" t="s">
        <v>262</v>
      </c>
      <c r="CV2371" s="4" t="s">
        <v>263</v>
      </c>
      <c r="CW2371" s="4" t="s">
        <v>263</v>
      </c>
      <c r="CX2371" s="4" t="s">
        <v>264</v>
      </c>
      <c r="DA2371" s="6">
        <f>1</f>
        <v>1</v>
      </c>
      <c r="DC2371" s="4" t="s">
        <v>325</v>
      </c>
      <c r="DD2371" s="4" t="s">
        <v>241</v>
      </c>
      <c r="DF2371" s="4" t="s">
        <v>325</v>
      </c>
      <c r="DG2371" s="6">
        <f>494</f>
        <v>494</v>
      </c>
      <c r="DI2371" s="4" t="s">
        <v>241</v>
      </c>
      <c r="DJ2371" s="4" t="s">
        <v>241</v>
      </c>
      <c r="DK2371" s="4" t="s">
        <v>241</v>
      </c>
      <c r="DL2371" s="4" t="s">
        <v>241</v>
      </c>
      <c r="DP2371" s="4" t="s">
        <v>241</v>
      </c>
      <c r="DQ2371" s="4" t="s">
        <v>241</v>
      </c>
      <c r="DR2371" s="4" t="s">
        <v>241</v>
      </c>
      <c r="DS2371" s="4" t="s">
        <v>241</v>
      </c>
      <c r="DV2371" s="4" t="s">
        <v>426</v>
      </c>
      <c r="DW2371" s="4" t="s">
        <v>2991</v>
      </c>
      <c r="HO2371" s="4" t="s">
        <v>267</v>
      </c>
    </row>
    <row r="2372" spans="1:223" ht="19.5" customHeight="1" x14ac:dyDescent="0.4">
      <c r="A2372" s="4">
        <v>1</v>
      </c>
      <c r="B2372" s="4" t="s">
        <v>239</v>
      </c>
      <c r="C2372" s="4">
        <v>4075</v>
      </c>
      <c r="D2372" s="4">
        <v>1</v>
      </c>
      <c r="E2372" s="4">
        <v>1</v>
      </c>
      <c r="F2372" s="4" t="s">
        <v>268</v>
      </c>
      <c r="G2372" s="4" t="s">
        <v>241</v>
      </c>
      <c r="H2372" s="4" t="s">
        <v>241</v>
      </c>
      <c r="I2372" s="4" t="s">
        <v>424</v>
      </c>
      <c r="J2372" s="4" t="s">
        <v>274</v>
      </c>
      <c r="K2372" s="4" t="s">
        <v>251</v>
      </c>
      <c r="L2372" s="4" t="s">
        <v>423</v>
      </c>
      <c r="M2372" s="5" t="s">
        <v>3373</v>
      </c>
      <c r="N2372" s="6">
        <f>82</f>
        <v>82</v>
      </c>
      <c r="O2372" s="4" t="s">
        <v>265</v>
      </c>
      <c r="P2372" s="6">
        <f>1</f>
        <v>1</v>
      </c>
      <c r="Q2372" s="6">
        <f>0</f>
        <v>0</v>
      </c>
      <c r="S2372" s="6">
        <f>0</f>
        <v>0</v>
      </c>
      <c r="T2372" s="6">
        <f>1</f>
        <v>1</v>
      </c>
      <c r="U2372" s="5" t="s">
        <v>245</v>
      </c>
      <c r="V2372" s="4" t="s">
        <v>270</v>
      </c>
      <c r="W2372" s="4" t="s">
        <v>271</v>
      </c>
      <c r="X2372" s="4" t="s">
        <v>273</v>
      </c>
      <c r="Y2372" s="4" t="s">
        <v>241</v>
      </c>
      <c r="AB2372" s="4" t="s">
        <v>241</v>
      </c>
      <c r="AD2372" s="5" t="s">
        <v>241</v>
      </c>
      <c r="AG2372" s="5" t="s">
        <v>246</v>
      </c>
      <c r="AH2372" s="4" t="s">
        <v>241</v>
      </c>
      <c r="AI2372" s="4" t="s">
        <v>247</v>
      </c>
      <c r="AJ2372" s="4" t="s">
        <v>248</v>
      </c>
      <c r="AZ2372" s="4" t="s">
        <v>249</v>
      </c>
      <c r="BA2372" s="4" t="s">
        <v>241</v>
      </c>
      <c r="BB2372" s="4" t="s">
        <v>250</v>
      </c>
      <c r="BC2372" s="4" t="s">
        <v>241</v>
      </c>
      <c r="BD2372" s="4" t="s">
        <v>252</v>
      </c>
      <c r="BE2372" s="4" t="s">
        <v>241</v>
      </c>
      <c r="BI2372" s="4" t="s">
        <v>253</v>
      </c>
      <c r="BJ2372" s="5" t="s">
        <v>246</v>
      </c>
      <c r="BK2372" s="4" t="s">
        <v>254</v>
      </c>
      <c r="BL2372" s="4" t="s">
        <v>255</v>
      </c>
      <c r="BM2372" s="4" t="s">
        <v>241</v>
      </c>
      <c r="BN2372" s="6">
        <f>0</f>
        <v>0</v>
      </c>
      <c r="BO2372" s="6">
        <f>0</f>
        <v>0</v>
      </c>
      <c r="BP2372" s="4" t="s">
        <v>256</v>
      </c>
      <c r="BQ2372" s="4" t="s">
        <v>257</v>
      </c>
      <c r="CE2372" s="4" t="s">
        <v>241</v>
      </c>
      <c r="CF2372" s="4" t="s">
        <v>241</v>
      </c>
      <c r="CJ2372" s="4" t="s">
        <v>276</v>
      </c>
      <c r="CK2372" s="4" t="s">
        <v>259</v>
      </c>
      <c r="CL2372" s="4" t="s">
        <v>241</v>
      </c>
      <c r="CO2372" s="5" t="s">
        <v>260</v>
      </c>
      <c r="CP2372" s="4" t="s">
        <v>241</v>
      </c>
      <c r="CQ2372" s="4" t="s">
        <v>261</v>
      </c>
      <c r="CR2372" s="4" t="s">
        <v>241</v>
      </c>
      <c r="CS2372" s="4" t="s">
        <v>241</v>
      </c>
      <c r="CT2372" s="4">
        <v>0</v>
      </c>
      <c r="CU2372" s="4" t="s">
        <v>262</v>
      </c>
      <c r="CV2372" s="4" t="s">
        <v>263</v>
      </c>
      <c r="CW2372" s="4" t="s">
        <v>263</v>
      </c>
      <c r="CX2372" s="4" t="s">
        <v>264</v>
      </c>
      <c r="DA2372" s="6">
        <f>1</f>
        <v>1</v>
      </c>
      <c r="DC2372" s="4" t="s">
        <v>325</v>
      </c>
      <c r="DD2372" s="4" t="s">
        <v>241</v>
      </c>
      <c r="DF2372" s="4" t="s">
        <v>325</v>
      </c>
      <c r="DG2372" s="6">
        <f>82</f>
        <v>82</v>
      </c>
      <c r="DI2372" s="4" t="s">
        <v>241</v>
      </c>
      <c r="DJ2372" s="4" t="s">
        <v>241</v>
      </c>
      <c r="DK2372" s="4" t="s">
        <v>241</v>
      </c>
      <c r="DL2372" s="4" t="s">
        <v>241</v>
      </c>
      <c r="DP2372" s="4" t="s">
        <v>241</v>
      </c>
      <c r="DQ2372" s="4" t="s">
        <v>241</v>
      </c>
      <c r="DR2372" s="4" t="s">
        <v>241</v>
      </c>
      <c r="DS2372" s="4" t="s">
        <v>241</v>
      </c>
      <c r="DV2372" s="4" t="s">
        <v>426</v>
      </c>
      <c r="DW2372" s="4" t="s">
        <v>2989</v>
      </c>
      <c r="HO2372" s="4" t="s">
        <v>267</v>
      </c>
    </row>
    <row r="2373" spans="1:223" ht="19.5" customHeight="1" x14ac:dyDescent="0.4">
      <c r="A2373" s="4">
        <v>1</v>
      </c>
      <c r="B2373" s="4" t="s">
        <v>239</v>
      </c>
      <c r="C2373" s="4">
        <v>4076</v>
      </c>
      <c r="D2373" s="4">
        <v>1</v>
      </c>
      <c r="E2373" s="4">
        <v>1</v>
      </c>
      <c r="F2373" s="4" t="s">
        <v>268</v>
      </c>
      <c r="G2373" s="4" t="s">
        <v>241</v>
      </c>
      <c r="H2373" s="4" t="s">
        <v>241</v>
      </c>
      <c r="I2373" s="4" t="s">
        <v>424</v>
      </c>
      <c r="J2373" s="4" t="s">
        <v>274</v>
      </c>
      <c r="K2373" s="4" t="s">
        <v>251</v>
      </c>
      <c r="L2373" s="4" t="s">
        <v>423</v>
      </c>
      <c r="M2373" s="5" t="s">
        <v>3375</v>
      </c>
      <c r="N2373" s="6">
        <f>2853</f>
        <v>2853</v>
      </c>
      <c r="O2373" s="4" t="s">
        <v>265</v>
      </c>
      <c r="P2373" s="6">
        <f>1</f>
        <v>1</v>
      </c>
      <c r="Q2373" s="6">
        <f>0</f>
        <v>0</v>
      </c>
      <c r="S2373" s="6">
        <f>0</f>
        <v>0</v>
      </c>
      <c r="T2373" s="6">
        <f>1</f>
        <v>1</v>
      </c>
      <c r="U2373" s="5" t="s">
        <v>245</v>
      </c>
      <c r="V2373" s="4" t="s">
        <v>270</v>
      </c>
      <c r="W2373" s="4" t="s">
        <v>271</v>
      </c>
      <c r="X2373" s="4" t="s">
        <v>273</v>
      </c>
      <c r="Y2373" s="4" t="s">
        <v>241</v>
      </c>
      <c r="AB2373" s="4" t="s">
        <v>241</v>
      </c>
      <c r="AD2373" s="5" t="s">
        <v>241</v>
      </c>
      <c r="AG2373" s="5" t="s">
        <v>246</v>
      </c>
      <c r="AH2373" s="4" t="s">
        <v>241</v>
      </c>
      <c r="AI2373" s="4" t="s">
        <v>247</v>
      </c>
      <c r="AJ2373" s="4" t="s">
        <v>248</v>
      </c>
      <c r="AZ2373" s="4" t="s">
        <v>249</v>
      </c>
      <c r="BA2373" s="4" t="s">
        <v>241</v>
      </c>
      <c r="BB2373" s="4" t="s">
        <v>250</v>
      </c>
      <c r="BC2373" s="4" t="s">
        <v>241</v>
      </c>
      <c r="BD2373" s="4" t="s">
        <v>252</v>
      </c>
      <c r="BE2373" s="4" t="s">
        <v>241</v>
      </c>
      <c r="BI2373" s="4" t="s">
        <v>253</v>
      </c>
      <c r="BJ2373" s="5" t="s">
        <v>246</v>
      </c>
      <c r="BK2373" s="4" t="s">
        <v>254</v>
      </c>
      <c r="BL2373" s="4" t="s">
        <v>255</v>
      </c>
      <c r="BM2373" s="4" t="s">
        <v>241</v>
      </c>
      <c r="BN2373" s="6">
        <f>0</f>
        <v>0</v>
      </c>
      <c r="BO2373" s="6">
        <f>0</f>
        <v>0</v>
      </c>
      <c r="BP2373" s="4" t="s">
        <v>256</v>
      </c>
      <c r="BQ2373" s="4" t="s">
        <v>257</v>
      </c>
      <c r="CE2373" s="4" t="s">
        <v>241</v>
      </c>
      <c r="CF2373" s="4" t="s">
        <v>241</v>
      </c>
      <c r="CJ2373" s="4" t="s">
        <v>276</v>
      </c>
      <c r="CK2373" s="4" t="s">
        <v>259</v>
      </c>
      <c r="CL2373" s="4" t="s">
        <v>241</v>
      </c>
      <c r="CO2373" s="5" t="s">
        <v>260</v>
      </c>
      <c r="CP2373" s="4" t="s">
        <v>241</v>
      </c>
      <c r="CQ2373" s="4" t="s">
        <v>261</v>
      </c>
      <c r="CR2373" s="4" t="s">
        <v>241</v>
      </c>
      <c r="CS2373" s="4" t="s">
        <v>241</v>
      </c>
      <c r="CT2373" s="4">
        <v>0</v>
      </c>
      <c r="CU2373" s="4" t="s">
        <v>262</v>
      </c>
      <c r="CV2373" s="4" t="s">
        <v>263</v>
      </c>
      <c r="CW2373" s="4" t="s">
        <v>263</v>
      </c>
      <c r="CX2373" s="4" t="s">
        <v>264</v>
      </c>
      <c r="DA2373" s="6">
        <f>1</f>
        <v>1</v>
      </c>
      <c r="DC2373" s="4" t="s">
        <v>325</v>
      </c>
      <c r="DD2373" s="4" t="s">
        <v>241</v>
      </c>
      <c r="DF2373" s="4" t="s">
        <v>325</v>
      </c>
      <c r="DG2373" s="6">
        <f>2853</f>
        <v>2853</v>
      </c>
      <c r="DI2373" s="4" t="s">
        <v>241</v>
      </c>
      <c r="DJ2373" s="4" t="s">
        <v>241</v>
      </c>
      <c r="DK2373" s="4" t="s">
        <v>241</v>
      </c>
      <c r="DL2373" s="4" t="s">
        <v>241</v>
      </c>
      <c r="DP2373" s="4" t="s">
        <v>241</v>
      </c>
      <c r="DQ2373" s="4" t="s">
        <v>241</v>
      </c>
      <c r="DR2373" s="4" t="s">
        <v>241</v>
      </c>
      <c r="DS2373" s="4" t="s">
        <v>241</v>
      </c>
      <c r="DV2373" s="4" t="s">
        <v>426</v>
      </c>
      <c r="DW2373" s="4" t="s">
        <v>1020</v>
      </c>
      <c r="HO2373" s="4" t="s">
        <v>267</v>
      </c>
    </row>
    <row r="2374" spans="1:223" ht="19.5" customHeight="1" x14ac:dyDescent="0.4">
      <c r="A2374" s="4">
        <v>1</v>
      </c>
      <c r="B2374" s="4" t="s">
        <v>239</v>
      </c>
      <c r="C2374" s="4">
        <v>4077</v>
      </c>
      <c r="D2374" s="4">
        <v>1</v>
      </c>
      <c r="E2374" s="4">
        <v>1</v>
      </c>
      <c r="F2374" s="4" t="s">
        <v>268</v>
      </c>
      <c r="G2374" s="4" t="s">
        <v>241</v>
      </c>
      <c r="H2374" s="4" t="s">
        <v>241</v>
      </c>
      <c r="I2374" s="4" t="s">
        <v>424</v>
      </c>
      <c r="J2374" s="4" t="s">
        <v>274</v>
      </c>
      <c r="K2374" s="4" t="s">
        <v>251</v>
      </c>
      <c r="L2374" s="4" t="s">
        <v>423</v>
      </c>
      <c r="M2374" s="5" t="s">
        <v>3377</v>
      </c>
      <c r="N2374" s="6">
        <f>449</f>
        <v>449</v>
      </c>
      <c r="O2374" s="4" t="s">
        <v>265</v>
      </c>
      <c r="P2374" s="6">
        <f>1</f>
        <v>1</v>
      </c>
      <c r="Q2374" s="6">
        <f>0</f>
        <v>0</v>
      </c>
      <c r="S2374" s="6">
        <f>0</f>
        <v>0</v>
      </c>
      <c r="T2374" s="6">
        <f>1</f>
        <v>1</v>
      </c>
      <c r="U2374" s="5" t="s">
        <v>245</v>
      </c>
      <c r="V2374" s="4" t="s">
        <v>270</v>
      </c>
      <c r="W2374" s="4" t="s">
        <v>271</v>
      </c>
      <c r="X2374" s="4" t="s">
        <v>273</v>
      </c>
      <c r="Y2374" s="4" t="s">
        <v>241</v>
      </c>
      <c r="AB2374" s="4" t="s">
        <v>241</v>
      </c>
      <c r="AD2374" s="5" t="s">
        <v>241</v>
      </c>
      <c r="AG2374" s="5" t="s">
        <v>246</v>
      </c>
      <c r="AH2374" s="4" t="s">
        <v>241</v>
      </c>
      <c r="AI2374" s="4" t="s">
        <v>247</v>
      </c>
      <c r="AJ2374" s="4" t="s">
        <v>248</v>
      </c>
      <c r="AZ2374" s="4" t="s">
        <v>249</v>
      </c>
      <c r="BA2374" s="4" t="s">
        <v>241</v>
      </c>
      <c r="BB2374" s="4" t="s">
        <v>250</v>
      </c>
      <c r="BC2374" s="4" t="s">
        <v>241</v>
      </c>
      <c r="BD2374" s="4" t="s">
        <v>252</v>
      </c>
      <c r="BE2374" s="4" t="s">
        <v>241</v>
      </c>
      <c r="BI2374" s="4" t="s">
        <v>253</v>
      </c>
      <c r="BJ2374" s="5" t="s">
        <v>246</v>
      </c>
      <c r="BK2374" s="4" t="s">
        <v>254</v>
      </c>
      <c r="BL2374" s="4" t="s">
        <v>255</v>
      </c>
      <c r="BM2374" s="4" t="s">
        <v>241</v>
      </c>
      <c r="BN2374" s="6">
        <f>0</f>
        <v>0</v>
      </c>
      <c r="BO2374" s="6">
        <f>0</f>
        <v>0</v>
      </c>
      <c r="BP2374" s="4" t="s">
        <v>256</v>
      </c>
      <c r="BQ2374" s="4" t="s">
        <v>257</v>
      </c>
      <c r="CE2374" s="4" t="s">
        <v>241</v>
      </c>
      <c r="CF2374" s="4" t="s">
        <v>241</v>
      </c>
      <c r="CJ2374" s="4" t="s">
        <v>276</v>
      </c>
      <c r="CK2374" s="4" t="s">
        <v>259</v>
      </c>
      <c r="CL2374" s="4" t="s">
        <v>241</v>
      </c>
      <c r="CO2374" s="5" t="s">
        <v>260</v>
      </c>
      <c r="CP2374" s="4" t="s">
        <v>241</v>
      </c>
      <c r="CQ2374" s="4" t="s">
        <v>261</v>
      </c>
      <c r="CR2374" s="4" t="s">
        <v>241</v>
      </c>
      <c r="CS2374" s="4" t="s">
        <v>241</v>
      </c>
      <c r="CT2374" s="4">
        <v>0</v>
      </c>
      <c r="CU2374" s="4" t="s">
        <v>262</v>
      </c>
      <c r="CV2374" s="4" t="s">
        <v>263</v>
      </c>
      <c r="CW2374" s="4" t="s">
        <v>263</v>
      </c>
      <c r="CX2374" s="4" t="s">
        <v>264</v>
      </c>
      <c r="DA2374" s="6">
        <f>1</f>
        <v>1</v>
      </c>
      <c r="DC2374" s="4" t="s">
        <v>325</v>
      </c>
      <c r="DD2374" s="4" t="s">
        <v>241</v>
      </c>
      <c r="DF2374" s="4" t="s">
        <v>325</v>
      </c>
      <c r="DG2374" s="6">
        <f>449</f>
        <v>449</v>
      </c>
      <c r="DI2374" s="4" t="s">
        <v>241</v>
      </c>
      <c r="DJ2374" s="4" t="s">
        <v>241</v>
      </c>
      <c r="DK2374" s="4" t="s">
        <v>241</v>
      </c>
      <c r="DL2374" s="4" t="s">
        <v>241</v>
      </c>
      <c r="DP2374" s="4" t="s">
        <v>241</v>
      </c>
      <c r="DQ2374" s="4" t="s">
        <v>241</v>
      </c>
      <c r="DR2374" s="4" t="s">
        <v>241</v>
      </c>
      <c r="DS2374" s="4" t="s">
        <v>241</v>
      </c>
      <c r="DV2374" s="4" t="s">
        <v>426</v>
      </c>
      <c r="DW2374" s="4" t="s">
        <v>2987</v>
      </c>
      <c r="HO2374" s="4" t="s">
        <v>267</v>
      </c>
    </row>
    <row r="2375" spans="1:223" ht="19.5" customHeight="1" x14ac:dyDescent="0.4">
      <c r="A2375" s="4">
        <v>1</v>
      </c>
      <c r="B2375" s="4" t="s">
        <v>239</v>
      </c>
      <c r="C2375" s="4">
        <v>4078</v>
      </c>
      <c r="D2375" s="4">
        <v>1</v>
      </c>
      <c r="E2375" s="4">
        <v>1</v>
      </c>
      <c r="F2375" s="4" t="s">
        <v>268</v>
      </c>
      <c r="G2375" s="4" t="s">
        <v>241</v>
      </c>
      <c r="H2375" s="4" t="s">
        <v>241</v>
      </c>
      <c r="I2375" s="4" t="s">
        <v>424</v>
      </c>
      <c r="J2375" s="4" t="s">
        <v>274</v>
      </c>
      <c r="K2375" s="4" t="s">
        <v>251</v>
      </c>
      <c r="L2375" s="4" t="s">
        <v>423</v>
      </c>
      <c r="M2375" s="5" t="s">
        <v>4657</v>
      </c>
      <c r="N2375" s="6">
        <f>419</f>
        <v>419</v>
      </c>
      <c r="O2375" s="4" t="s">
        <v>265</v>
      </c>
      <c r="P2375" s="6">
        <f>1</f>
        <v>1</v>
      </c>
      <c r="Q2375" s="6">
        <f>0</f>
        <v>0</v>
      </c>
      <c r="S2375" s="6">
        <f>0</f>
        <v>0</v>
      </c>
      <c r="T2375" s="6">
        <f>1</f>
        <v>1</v>
      </c>
      <c r="U2375" s="5" t="s">
        <v>245</v>
      </c>
      <c r="V2375" s="4" t="s">
        <v>270</v>
      </c>
      <c r="W2375" s="4" t="s">
        <v>271</v>
      </c>
      <c r="X2375" s="4" t="s">
        <v>273</v>
      </c>
      <c r="Y2375" s="4" t="s">
        <v>241</v>
      </c>
      <c r="AB2375" s="4" t="s">
        <v>241</v>
      </c>
      <c r="AD2375" s="5" t="s">
        <v>241</v>
      </c>
      <c r="AG2375" s="5" t="s">
        <v>246</v>
      </c>
      <c r="AH2375" s="4" t="s">
        <v>241</v>
      </c>
      <c r="AI2375" s="4" t="s">
        <v>247</v>
      </c>
      <c r="AJ2375" s="4" t="s">
        <v>248</v>
      </c>
      <c r="AZ2375" s="4" t="s">
        <v>249</v>
      </c>
      <c r="BA2375" s="4" t="s">
        <v>241</v>
      </c>
      <c r="BB2375" s="4" t="s">
        <v>250</v>
      </c>
      <c r="BC2375" s="4" t="s">
        <v>241</v>
      </c>
      <c r="BD2375" s="4" t="s">
        <v>252</v>
      </c>
      <c r="BE2375" s="4" t="s">
        <v>241</v>
      </c>
      <c r="BI2375" s="4" t="s">
        <v>253</v>
      </c>
      <c r="BJ2375" s="5" t="s">
        <v>246</v>
      </c>
      <c r="BK2375" s="4" t="s">
        <v>254</v>
      </c>
      <c r="BL2375" s="4" t="s">
        <v>255</v>
      </c>
      <c r="BM2375" s="4" t="s">
        <v>241</v>
      </c>
      <c r="BN2375" s="6">
        <f>0</f>
        <v>0</v>
      </c>
      <c r="BO2375" s="6">
        <f>0</f>
        <v>0</v>
      </c>
      <c r="BP2375" s="4" t="s">
        <v>256</v>
      </c>
      <c r="BQ2375" s="4" t="s">
        <v>257</v>
      </c>
      <c r="CE2375" s="4" t="s">
        <v>241</v>
      </c>
      <c r="CF2375" s="4" t="s">
        <v>241</v>
      </c>
      <c r="CJ2375" s="4" t="s">
        <v>276</v>
      </c>
      <c r="CK2375" s="4" t="s">
        <v>259</v>
      </c>
      <c r="CL2375" s="4" t="s">
        <v>241</v>
      </c>
      <c r="CO2375" s="5" t="s">
        <v>260</v>
      </c>
      <c r="CP2375" s="4" t="s">
        <v>241</v>
      </c>
      <c r="CQ2375" s="4" t="s">
        <v>261</v>
      </c>
      <c r="CR2375" s="4" t="s">
        <v>241</v>
      </c>
      <c r="CS2375" s="4" t="s">
        <v>241</v>
      </c>
      <c r="CT2375" s="4">
        <v>0</v>
      </c>
      <c r="CU2375" s="4" t="s">
        <v>262</v>
      </c>
      <c r="CV2375" s="4" t="s">
        <v>263</v>
      </c>
      <c r="CW2375" s="4" t="s">
        <v>263</v>
      </c>
      <c r="CX2375" s="4" t="s">
        <v>264</v>
      </c>
      <c r="DA2375" s="6">
        <f>1</f>
        <v>1</v>
      </c>
      <c r="DC2375" s="4" t="s">
        <v>325</v>
      </c>
      <c r="DD2375" s="4" t="s">
        <v>241</v>
      </c>
      <c r="DF2375" s="4" t="s">
        <v>325</v>
      </c>
      <c r="DG2375" s="6">
        <f>419</f>
        <v>419</v>
      </c>
      <c r="DI2375" s="4" t="s">
        <v>241</v>
      </c>
      <c r="DJ2375" s="4" t="s">
        <v>241</v>
      </c>
      <c r="DK2375" s="4" t="s">
        <v>241</v>
      </c>
      <c r="DL2375" s="4" t="s">
        <v>241</v>
      </c>
      <c r="DP2375" s="4" t="s">
        <v>241</v>
      </c>
      <c r="DQ2375" s="4" t="s">
        <v>241</v>
      </c>
      <c r="DR2375" s="4" t="s">
        <v>241</v>
      </c>
      <c r="DS2375" s="4" t="s">
        <v>241</v>
      </c>
      <c r="DV2375" s="4" t="s">
        <v>426</v>
      </c>
      <c r="DW2375" s="4" t="s">
        <v>2985</v>
      </c>
      <c r="HO2375" s="4" t="s">
        <v>267</v>
      </c>
    </row>
    <row r="2376" spans="1:223" ht="19.5" customHeight="1" x14ac:dyDescent="0.4">
      <c r="A2376" s="4">
        <v>1</v>
      </c>
      <c r="B2376" s="4" t="s">
        <v>239</v>
      </c>
      <c r="C2376" s="4">
        <v>4079</v>
      </c>
      <c r="D2376" s="4">
        <v>1</v>
      </c>
      <c r="E2376" s="4">
        <v>1</v>
      </c>
      <c r="F2376" s="4" t="s">
        <v>268</v>
      </c>
      <c r="G2376" s="4" t="s">
        <v>241</v>
      </c>
      <c r="H2376" s="4" t="s">
        <v>241</v>
      </c>
      <c r="I2376" s="4" t="s">
        <v>424</v>
      </c>
      <c r="J2376" s="4" t="s">
        <v>274</v>
      </c>
      <c r="K2376" s="4" t="s">
        <v>251</v>
      </c>
      <c r="L2376" s="4" t="s">
        <v>423</v>
      </c>
      <c r="M2376" s="5" t="s">
        <v>3380</v>
      </c>
      <c r="N2376" s="6">
        <f>97</f>
        <v>97</v>
      </c>
      <c r="O2376" s="4" t="s">
        <v>265</v>
      </c>
      <c r="P2376" s="6">
        <f>1</f>
        <v>1</v>
      </c>
      <c r="Q2376" s="6">
        <f>0</f>
        <v>0</v>
      </c>
      <c r="S2376" s="6">
        <f>0</f>
        <v>0</v>
      </c>
      <c r="T2376" s="6">
        <f>1</f>
        <v>1</v>
      </c>
      <c r="U2376" s="5" t="s">
        <v>245</v>
      </c>
      <c r="V2376" s="4" t="s">
        <v>270</v>
      </c>
      <c r="W2376" s="4" t="s">
        <v>271</v>
      </c>
      <c r="X2376" s="4" t="s">
        <v>273</v>
      </c>
      <c r="Y2376" s="4" t="s">
        <v>241</v>
      </c>
      <c r="AB2376" s="4" t="s">
        <v>241</v>
      </c>
      <c r="AD2376" s="5" t="s">
        <v>241</v>
      </c>
      <c r="AG2376" s="5" t="s">
        <v>246</v>
      </c>
      <c r="AH2376" s="4" t="s">
        <v>241</v>
      </c>
      <c r="AI2376" s="4" t="s">
        <v>247</v>
      </c>
      <c r="AJ2376" s="4" t="s">
        <v>248</v>
      </c>
      <c r="AZ2376" s="4" t="s">
        <v>249</v>
      </c>
      <c r="BA2376" s="4" t="s">
        <v>241</v>
      </c>
      <c r="BB2376" s="4" t="s">
        <v>250</v>
      </c>
      <c r="BC2376" s="4" t="s">
        <v>241</v>
      </c>
      <c r="BD2376" s="4" t="s">
        <v>252</v>
      </c>
      <c r="BE2376" s="4" t="s">
        <v>241</v>
      </c>
      <c r="BI2376" s="4" t="s">
        <v>253</v>
      </c>
      <c r="BJ2376" s="5" t="s">
        <v>246</v>
      </c>
      <c r="BK2376" s="4" t="s">
        <v>254</v>
      </c>
      <c r="BL2376" s="4" t="s">
        <v>255</v>
      </c>
      <c r="BM2376" s="4" t="s">
        <v>241</v>
      </c>
      <c r="BN2376" s="6">
        <f>0</f>
        <v>0</v>
      </c>
      <c r="BO2376" s="6">
        <f>0</f>
        <v>0</v>
      </c>
      <c r="BP2376" s="4" t="s">
        <v>256</v>
      </c>
      <c r="BQ2376" s="4" t="s">
        <v>257</v>
      </c>
      <c r="CE2376" s="4" t="s">
        <v>241</v>
      </c>
      <c r="CF2376" s="4" t="s">
        <v>241</v>
      </c>
      <c r="CJ2376" s="4" t="s">
        <v>276</v>
      </c>
      <c r="CK2376" s="4" t="s">
        <v>259</v>
      </c>
      <c r="CL2376" s="4" t="s">
        <v>241</v>
      </c>
      <c r="CO2376" s="5" t="s">
        <v>260</v>
      </c>
      <c r="CP2376" s="4" t="s">
        <v>241</v>
      </c>
      <c r="CQ2376" s="4" t="s">
        <v>261</v>
      </c>
      <c r="CR2376" s="4" t="s">
        <v>241</v>
      </c>
      <c r="CS2376" s="4" t="s">
        <v>241</v>
      </c>
      <c r="CT2376" s="4">
        <v>0</v>
      </c>
      <c r="CU2376" s="4" t="s">
        <v>262</v>
      </c>
      <c r="CV2376" s="4" t="s">
        <v>263</v>
      </c>
      <c r="CW2376" s="4" t="s">
        <v>263</v>
      </c>
      <c r="CX2376" s="4" t="s">
        <v>264</v>
      </c>
      <c r="DA2376" s="6">
        <f>1</f>
        <v>1</v>
      </c>
      <c r="DC2376" s="4" t="s">
        <v>325</v>
      </c>
      <c r="DD2376" s="4" t="s">
        <v>241</v>
      </c>
      <c r="DF2376" s="4" t="s">
        <v>325</v>
      </c>
      <c r="DG2376" s="6">
        <f>97</f>
        <v>97</v>
      </c>
      <c r="DI2376" s="4" t="s">
        <v>241</v>
      </c>
      <c r="DJ2376" s="4" t="s">
        <v>241</v>
      </c>
      <c r="DK2376" s="4" t="s">
        <v>241</v>
      </c>
      <c r="DL2376" s="4" t="s">
        <v>241</v>
      </c>
      <c r="DP2376" s="4" t="s">
        <v>241</v>
      </c>
      <c r="DQ2376" s="4" t="s">
        <v>241</v>
      </c>
      <c r="DR2376" s="4" t="s">
        <v>241</v>
      </c>
      <c r="DS2376" s="4" t="s">
        <v>241</v>
      </c>
      <c r="DV2376" s="4" t="s">
        <v>426</v>
      </c>
      <c r="DW2376" s="4" t="s">
        <v>2983</v>
      </c>
      <c r="HO2376" s="4" t="s">
        <v>267</v>
      </c>
    </row>
    <row r="2377" spans="1:223" ht="19.5" customHeight="1" x14ac:dyDescent="0.4">
      <c r="A2377" s="4">
        <v>1</v>
      </c>
      <c r="B2377" s="4" t="s">
        <v>239</v>
      </c>
      <c r="C2377" s="4">
        <v>4080</v>
      </c>
      <c r="D2377" s="4">
        <v>1</v>
      </c>
      <c r="E2377" s="4">
        <v>1</v>
      </c>
      <c r="F2377" s="4" t="s">
        <v>268</v>
      </c>
      <c r="G2377" s="4" t="s">
        <v>241</v>
      </c>
      <c r="H2377" s="4" t="s">
        <v>241</v>
      </c>
      <c r="I2377" s="4" t="s">
        <v>424</v>
      </c>
      <c r="J2377" s="4" t="s">
        <v>274</v>
      </c>
      <c r="K2377" s="4" t="s">
        <v>251</v>
      </c>
      <c r="L2377" s="4" t="s">
        <v>423</v>
      </c>
      <c r="M2377" s="5" t="s">
        <v>3383</v>
      </c>
      <c r="N2377" s="6">
        <f>585</f>
        <v>585</v>
      </c>
      <c r="O2377" s="4" t="s">
        <v>265</v>
      </c>
      <c r="P2377" s="6">
        <f>1</f>
        <v>1</v>
      </c>
      <c r="Q2377" s="6">
        <f>0</f>
        <v>0</v>
      </c>
      <c r="S2377" s="6">
        <f>0</f>
        <v>0</v>
      </c>
      <c r="T2377" s="6">
        <f>1</f>
        <v>1</v>
      </c>
      <c r="U2377" s="5" t="s">
        <v>245</v>
      </c>
      <c r="V2377" s="4" t="s">
        <v>270</v>
      </c>
      <c r="W2377" s="4" t="s">
        <v>271</v>
      </c>
      <c r="X2377" s="4" t="s">
        <v>273</v>
      </c>
      <c r="Y2377" s="4" t="s">
        <v>241</v>
      </c>
      <c r="AB2377" s="4" t="s">
        <v>241</v>
      </c>
      <c r="AD2377" s="5" t="s">
        <v>241</v>
      </c>
      <c r="AG2377" s="5" t="s">
        <v>246</v>
      </c>
      <c r="AH2377" s="4" t="s">
        <v>241</v>
      </c>
      <c r="AI2377" s="4" t="s">
        <v>247</v>
      </c>
      <c r="AJ2377" s="4" t="s">
        <v>248</v>
      </c>
      <c r="AZ2377" s="4" t="s">
        <v>249</v>
      </c>
      <c r="BA2377" s="4" t="s">
        <v>241</v>
      </c>
      <c r="BB2377" s="4" t="s">
        <v>250</v>
      </c>
      <c r="BC2377" s="4" t="s">
        <v>241</v>
      </c>
      <c r="BD2377" s="4" t="s">
        <v>252</v>
      </c>
      <c r="BE2377" s="4" t="s">
        <v>241</v>
      </c>
      <c r="BI2377" s="4" t="s">
        <v>253</v>
      </c>
      <c r="BJ2377" s="5" t="s">
        <v>246</v>
      </c>
      <c r="BK2377" s="4" t="s">
        <v>254</v>
      </c>
      <c r="BL2377" s="4" t="s">
        <v>255</v>
      </c>
      <c r="BM2377" s="4" t="s">
        <v>241</v>
      </c>
      <c r="BN2377" s="6">
        <f>0</f>
        <v>0</v>
      </c>
      <c r="BO2377" s="6">
        <f>0</f>
        <v>0</v>
      </c>
      <c r="BP2377" s="4" t="s">
        <v>256</v>
      </c>
      <c r="BQ2377" s="4" t="s">
        <v>257</v>
      </c>
      <c r="CE2377" s="4" t="s">
        <v>241</v>
      </c>
      <c r="CF2377" s="4" t="s">
        <v>241</v>
      </c>
      <c r="CJ2377" s="4" t="s">
        <v>276</v>
      </c>
      <c r="CK2377" s="4" t="s">
        <v>259</v>
      </c>
      <c r="CL2377" s="4" t="s">
        <v>241</v>
      </c>
      <c r="CO2377" s="5" t="s">
        <v>260</v>
      </c>
      <c r="CP2377" s="4" t="s">
        <v>241</v>
      </c>
      <c r="CQ2377" s="4" t="s">
        <v>261</v>
      </c>
      <c r="CR2377" s="4" t="s">
        <v>241</v>
      </c>
      <c r="CS2377" s="4" t="s">
        <v>241</v>
      </c>
      <c r="CT2377" s="4">
        <v>0</v>
      </c>
      <c r="CU2377" s="4" t="s">
        <v>262</v>
      </c>
      <c r="CV2377" s="4" t="s">
        <v>263</v>
      </c>
      <c r="CW2377" s="4" t="s">
        <v>263</v>
      </c>
      <c r="CX2377" s="4" t="s">
        <v>264</v>
      </c>
      <c r="DA2377" s="6">
        <f>1</f>
        <v>1</v>
      </c>
      <c r="DC2377" s="4" t="s">
        <v>325</v>
      </c>
      <c r="DD2377" s="4" t="s">
        <v>241</v>
      </c>
      <c r="DF2377" s="4" t="s">
        <v>325</v>
      </c>
      <c r="DG2377" s="6">
        <f>585</f>
        <v>585</v>
      </c>
      <c r="DI2377" s="4" t="s">
        <v>241</v>
      </c>
      <c r="DJ2377" s="4" t="s">
        <v>241</v>
      </c>
      <c r="DK2377" s="4" t="s">
        <v>241</v>
      </c>
      <c r="DL2377" s="4" t="s">
        <v>241</v>
      </c>
      <c r="DP2377" s="4" t="s">
        <v>241</v>
      </c>
      <c r="DQ2377" s="4" t="s">
        <v>241</v>
      </c>
      <c r="DR2377" s="4" t="s">
        <v>241</v>
      </c>
      <c r="DS2377" s="4" t="s">
        <v>241</v>
      </c>
      <c r="DV2377" s="4" t="s">
        <v>426</v>
      </c>
      <c r="DW2377" s="4" t="s">
        <v>1899</v>
      </c>
      <c r="HO2377" s="4" t="s">
        <v>267</v>
      </c>
    </row>
    <row r="2378" spans="1:223" ht="19.5" customHeight="1" x14ac:dyDescent="0.4">
      <c r="A2378" s="4">
        <v>1</v>
      </c>
      <c r="B2378" s="4" t="s">
        <v>239</v>
      </c>
      <c r="C2378" s="4">
        <v>4081</v>
      </c>
      <c r="D2378" s="4">
        <v>1</v>
      </c>
      <c r="E2378" s="4">
        <v>1</v>
      </c>
      <c r="F2378" s="4" t="s">
        <v>268</v>
      </c>
      <c r="G2378" s="4" t="s">
        <v>241</v>
      </c>
      <c r="H2378" s="4" t="s">
        <v>241</v>
      </c>
      <c r="I2378" s="4" t="s">
        <v>424</v>
      </c>
      <c r="J2378" s="4" t="s">
        <v>274</v>
      </c>
      <c r="K2378" s="4" t="s">
        <v>251</v>
      </c>
      <c r="L2378" s="4" t="s">
        <v>423</v>
      </c>
      <c r="M2378" s="5" t="s">
        <v>3385</v>
      </c>
      <c r="N2378" s="6">
        <f>3354</f>
        <v>3354</v>
      </c>
      <c r="O2378" s="4" t="s">
        <v>265</v>
      </c>
      <c r="P2378" s="6">
        <f>1</f>
        <v>1</v>
      </c>
      <c r="Q2378" s="6">
        <f>0</f>
        <v>0</v>
      </c>
      <c r="S2378" s="6">
        <f>0</f>
        <v>0</v>
      </c>
      <c r="T2378" s="6">
        <f>1</f>
        <v>1</v>
      </c>
      <c r="U2378" s="5" t="s">
        <v>245</v>
      </c>
      <c r="V2378" s="4" t="s">
        <v>270</v>
      </c>
      <c r="W2378" s="4" t="s">
        <v>271</v>
      </c>
      <c r="X2378" s="4" t="s">
        <v>273</v>
      </c>
      <c r="Y2378" s="4" t="s">
        <v>241</v>
      </c>
      <c r="AB2378" s="4" t="s">
        <v>241</v>
      </c>
      <c r="AD2378" s="5" t="s">
        <v>241</v>
      </c>
      <c r="AG2378" s="5" t="s">
        <v>246</v>
      </c>
      <c r="AH2378" s="4" t="s">
        <v>241</v>
      </c>
      <c r="AI2378" s="4" t="s">
        <v>247</v>
      </c>
      <c r="AJ2378" s="4" t="s">
        <v>248</v>
      </c>
      <c r="AZ2378" s="4" t="s">
        <v>249</v>
      </c>
      <c r="BA2378" s="4" t="s">
        <v>241</v>
      </c>
      <c r="BB2378" s="4" t="s">
        <v>250</v>
      </c>
      <c r="BC2378" s="4" t="s">
        <v>241</v>
      </c>
      <c r="BD2378" s="4" t="s">
        <v>252</v>
      </c>
      <c r="BE2378" s="4" t="s">
        <v>241</v>
      </c>
      <c r="BI2378" s="4" t="s">
        <v>253</v>
      </c>
      <c r="BJ2378" s="5" t="s">
        <v>246</v>
      </c>
      <c r="BK2378" s="4" t="s">
        <v>254</v>
      </c>
      <c r="BL2378" s="4" t="s">
        <v>255</v>
      </c>
      <c r="BM2378" s="4" t="s">
        <v>241</v>
      </c>
      <c r="BN2378" s="6">
        <f>0</f>
        <v>0</v>
      </c>
      <c r="BO2378" s="6">
        <f>0</f>
        <v>0</v>
      </c>
      <c r="BP2378" s="4" t="s">
        <v>256</v>
      </c>
      <c r="BQ2378" s="4" t="s">
        <v>257</v>
      </c>
      <c r="CE2378" s="4" t="s">
        <v>241</v>
      </c>
      <c r="CF2378" s="4" t="s">
        <v>241</v>
      </c>
      <c r="CJ2378" s="4" t="s">
        <v>276</v>
      </c>
      <c r="CK2378" s="4" t="s">
        <v>259</v>
      </c>
      <c r="CL2378" s="4" t="s">
        <v>241</v>
      </c>
      <c r="CO2378" s="5" t="s">
        <v>260</v>
      </c>
      <c r="CP2378" s="4" t="s">
        <v>241</v>
      </c>
      <c r="CQ2378" s="4" t="s">
        <v>261</v>
      </c>
      <c r="CR2378" s="4" t="s">
        <v>241</v>
      </c>
      <c r="CS2378" s="4" t="s">
        <v>241</v>
      </c>
      <c r="CT2378" s="4">
        <v>0</v>
      </c>
      <c r="CU2378" s="4" t="s">
        <v>262</v>
      </c>
      <c r="CV2378" s="4" t="s">
        <v>263</v>
      </c>
      <c r="CW2378" s="4" t="s">
        <v>263</v>
      </c>
      <c r="CX2378" s="4" t="s">
        <v>264</v>
      </c>
      <c r="DA2378" s="6">
        <f>1</f>
        <v>1</v>
      </c>
      <c r="DC2378" s="4" t="s">
        <v>325</v>
      </c>
      <c r="DD2378" s="4" t="s">
        <v>241</v>
      </c>
      <c r="DF2378" s="4" t="s">
        <v>325</v>
      </c>
      <c r="DG2378" s="6">
        <f>3354</f>
        <v>3354</v>
      </c>
      <c r="DI2378" s="4" t="s">
        <v>241</v>
      </c>
      <c r="DJ2378" s="4" t="s">
        <v>241</v>
      </c>
      <c r="DK2378" s="4" t="s">
        <v>241</v>
      </c>
      <c r="DL2378" s="4" t="s">
        <v>241</v>
      </c>
      <c r="DP2378" s="4" t="s">
        <v>241</v>
      </c>
      <c r="DQ2378" s="4" t="s">
        <v>241</v>
      </c>
      <c r="DR2378" s="4" t="s">
        <v>241</v>
      </c>
      <c r="DS2378" s="4" t="s">
        <v>241</v>
      </c>
      <c r="DV2378" s="4" t="s">
        <v>426</v>
      </c>
      <c r="DW2378" s="4" t="s">
        <v>2981</v>
      </c>
      <c r="HO2378" s="4" t="s">
        <v>267</v>
      </c>
    </row>
    <row r="2379" spans="1:223" ht="19.5" customHeight="1" x14ac:dyDescent="0.4">
      <c r="A2379" s="4">
        <v>1</v>
      </c>
      <c r="B2379" s="4" t="s">
        <v>239</v>
      </c>
      <c r="C2379" s="4">
        <v>4082</v>
      </c>
      <c r="D2379" s="4">
        <v>1</v>
      </c>
      <c r="E2379" s="4">
        <v>1</v>
      </c>
      <c r="F2379" s="4" t="s">
        <v>268</v>
      </c>
      <c r="G2379" s="4" t="s">
        <v>241</v>
      </c>
      <c r="H2379" s="4" t="s">
        <v>241</v>
      </c>
      <c r="I2379" s="4" t="s">
        <v>424</v>
      </c>
      <c r="J2379" s="4" t="s">
        <v>274</v>
      </c>
      <c r="K2379" s="4" t="s">
        <v>251</v>
      </c>
      <c r="L2379" s="4" t="s">
        <v>423</v>
      </c>
      <c r="M2379" s="5" t="s">
        <v>3389</v>
      </c>
      <c r="N2379" s="6">
        <f>150</f>
        <v>150</v>
      </c>
      <c r="O2379" s="4" t="s">
        <v>265</v>
      </c>
      <c r="P2379" s="6">
        <f>1</f>
        <v>1</v>
      </c>
      <c r="Q2379" s="6">
        <f>0</f>
        <v>0</v>
      </c>
      <c r="S2379" s="6">
        <f>0</f>
        <v>0</v>
      </c>
      <c r="T2379" s="6">
        <f>1</f>
        <v>1</v>
      </c>
      <c r="U2379" s="5" t="s">
        <v>245</v>
      </c>
      <c r="V2379" s="4" t="s">
        <v>270</v>
      </c>
      <c r="W2379" s="4" t="s">
        <v>271</v>
      </c>
      <c r="X2379" s="4" t="s">
        <v>273</v>
      </c>
      <c r="Y2379" s="4" t="s">
        <v>241</v>
      </c>
      <c r="AB2379" s="4" t="s">
        <v>241</v>
      </c>
      <c r="AD2379" s="5" t="s">
        <v>241</v>
      </c>
      <c r="AG2379" s="5" t="s">
        <v>246</v>
      </c>
      <c r="AH2379" s="4" t="s">
        <v>241</v>
      </c>
      <c r="AI2379" s="4" t="s">
        <v>247</v>
      </c>
      <c r="AJ2379" s="4" t="s">
        <v>248</v>
      </c>
      <c r="AZ2379" s="4" t="s">
        <v>249</v>
      </c>
      <c r="BA2379" s="4" t="s">
        <v>241</v>
      </c>
      <c r="BB2379" s="4" t="s">
        <v>250</v>
      </c>
      <c r="BC2379" s="4" t="s">
        <v>241</v>
      </c>
      <c r="BD2379" s="4" t="s">
        <v>252</v>
      </c>
      <c r="BE2379" s="4" t="s">
        <v>241</v>
      </c>
      <c r="BI2379" s="4" t="s">
        <v>253</v>
      </c>
      <c r="BJ2379" s="5" t="s">
        <v>246</v>
      </c>
      <c r="BK2379" s="4" t="s">
        <v>254</v>
      </c>
      <c r="BL2379" s="4" t="s">
        <v>255</v>
      </c>
      <c r="BM2379" s="4" t="s">
        <v>241</v>
      </c>
      <c r="BN2379" s="6">
        <f>0</f>
        <v>0</v>
      </c>
      <c r="BO2379" s="6">
        <f>0</f>
        <v>0</v>
      </c>
      <c r="BP2379" s="4" t="s">
        <v>256</v>
      </c>
      <c r="BQ2379" s="4" t="s">
        <v>257</v>
      </c>
      <c r="CE2379" s="4" t="s">
        <v>241</v>
      </c>
      <c r="CF2379" s="4" t="s">
        <v>241</v>
      </c>
      <c r="CJ2379" s="4" t="s">
        <v>276</v>
      </c>
      <c r="CK2379" s="4" t="s">
        <v>259</v>
      </c>
      <c r="CL2379" s="4" t="s">
        <v>241</v>
      </c>
      <c r="CO2379" s="5" t="s">
        <v>260</v>
      </c>
      <c r="CP2379" s="4" t="s">
        <v>241</v>
      </c>
      <c r="CQ2379" s="4" t="s">
        <v>261</v>
      </c>
      <c r="CR2379" s="4" t="s">
        <v>241</v>
      </c>
      <c r="CS2379" s="4" t="s">
        <v>241</v>
      </c>
      <c r="CT2379" s="4">
        <v>0</v>
      </c>
      <c r="CU2379" s="4" t="s">
        <v>262</v>
      </c>
      <c r="CV2379" s="4" t="s">
        <v>263</v>
      </c>
      <c r="CW2379" s="4" t="s">
        <v>263</v>
      </c>
      <c r="CX2379" s="4" t="s">
        <v>264</v>
      </c>
      <c r="DA2379" s="6">
        <f>1</f>
        <v>1</v>
      </c>
      <c r="DC2379" s="4" t="s">
        <v>325</v>
      </c>
      <c r="DD2379" s="4" t="s">
        <v>241</v>
      </c>
      <c r="DF2379" s="4" t="s">
        <v>325</v>
      </c>
      <c r="DG2379" s="6">
        <f>150</f>
        <v>150</v>
      </c>
      <c r="DI2379" s="4" t="s">
        <v>241</v>
      </c>
      <c r="DJ2379" s="4" t="s">
        <v>241</v>
      </c>
      <c r="DK2379" s="4" t="s">
        <v>241</v>
      </c>
      <c r="DL2379" s="4" t="s">
        <v>241</v>
      </c>
      <c r="DP2379" s="4" t="s">
        <v>241</v>
      </c>
      <c r="DQ2379" s="4" t="s">
        <v>241</v>
      </c>
      <c r="DR2379" s="4" t="s">
        <v>241</v>
      </c>
      <c r="DS2379" s="4" t="s">
        <v>241</v>
      </c>
      <c r="DV2379" s="4" t="s">
        <v>426</v>
      </c>
      <c r="DW2379" s="4" t="s">
        <v>2979</v>
      </c>
      <c r="HO2379" s="4" t="s">
        <v>267</v>
      </c>
    </row>
    <row r="2380" spans="1:223" ht="19.5" customHeight="1" x14ac:dyDescent="0.4">
      <c r="A2380" s="4">
        <v>1</v>
      </c>
      <c r="B2380" s="4" t="s">
        <v>239</v>
      </c>
      <c r="C2380" s="4">
        <v>4083</v>
      </c>
      <c r="D2380" s="4">
        <v>1</v>
      </c>
      <c r="E2380" s="4">
        <v>1</v>
      </c>
      <c r="F2380" s="4" t="s">
        <v>268</v>
      </c>
      <c r="G2380" s="4" t="s">
        <v>241</v>
      </c>
      <c r="H2380" s="4" t="s">
        <v>241</v>
      </c>
      <c r="I2380" s="4" t="s">
        <v>424</v>
      </c>
      <c r="J2380" s="4" t="s">
        <v>274</v>
      </c>
      <c r="K2380" s="4" t="s">
        <v>251</v>
      </c>
      <c r="L2380" s="4" t="s">
        <v>423</v>
      </c>
      <c r="M2380" s="5" t="s">
        <v>3390</v>
      </c>
      <c r="N2380" s="6">
        <f>308</f>
        <v>308</v>
      </c>
      <c r="O2380" s="4" t="s">
        <v>265</v>
      </c>
      <c r="P2380" s="6">
        <f>1</f>
        <v>1</v>
      </c>
      <c r="Q2380" s="6">
        <f>0</f>
        <v>0</v>
      </c>
      <c r="S2380" s="6">
        <f>0</f>
        <v>0</v>
      </c>
      <c r="T2380" s="6">
        <f>1</f>
        <v>1</v>
      </c>
      <c r="U2380" s="5" t="s">
        <v>245</v>
      </c>
      <c r="V2380" s="4" t="s">
        <v>270</v>
      </c>
      <c r="W2380" s="4" t="s">
        <v>271</v>
      </c>
      <c r="X2380" s="4" t="s">
        <v>273</v>
      </c>
      <c r="Y2380" s="4" t="s">
        <v>241</v>
      </c>
      <c r="AB2380" s="4" t="s">
        <v>241</v>
      </c>
      <c r="AD2380" s="5" t="s">
        <v>241</v>
      </c>
      <c r="AG2380" s="5" t="s">
        <v>246</v>
      </c>
      <c r="AH2380" s="4" t="s">
        <v>241</v>
      </c>
      <c r="AI2380" s="4" t="s">
        <v>247</v>
      </c>
      <c r="AJ2380" s="4" t="s">
        <v>248</v>
      </c>
      <c r="AZ2380" s="4" t="s">
        <v>249</v>
      </c>
      <c r="BA2380" s="4" t="s">
        <v>241</v>
      </c>
      <c r="BB2380" s="4" t="s">
        <v>250</v>
      </c>
      <c r="BC2380" s="4" t="s">
        <v>241</v>
      </c>
      <c r="BD2380" s="4" t="s">
        <v>252</v>
      </c>
      <c r="BE2380" s="4" t="s">
        <v>241</v>
      </c>
      <c r="BI2380" s="4" t="s">
        <v>253</v>
      </c>
      <c r="BJ2380" s="5" t="s">
        <v>246</v>
      </c>
      <c r="BK2380" s="4" t="s">
        <v>254</v>
      </c>
      <c r="BL2380" s="4" t="s">
        <v>255</v>
      </c>
      <c r="BM2380" s="4" t="s">
        <v>241</v>
      </c>
      <c r="BN2380" s="6">
        <f>0</f>
        <v>0</v>
      </c>
      <c r="BO2380" s="6">
        <f>0</f>
        <v>0</v>
      </c>
      <c r="BP2380" s="4" t="s">
        <v>256</v>
      </c>
      <c r="BQ2380" s="4" t="s">
        <v>257</v>
      </c>
      <c r="CE2380" s="4" t="s">
        <v>241</v>
      </c>
      <c r="CF2380" s="4" t="s">
        <v>241</v>
      </c>
      <c r="CJ2380" s="4" t="s">
        <v>276</v>
      </c>
      <c r="CK2380" s="4" t="s">
        <v>259</v>
      </c>
      <c r="CL2380" s="4" t="s">
        <v>241</v>
      </c>
      <c r="CO2380" s="5" t="s">
        <v>260</v>
      </c>
      <c r="CP2380" s="4" t="s">
        <v>241</v>
      </c>
      <c r="CQ2380" s="4" t="s">
        <v>261</v>
      </c>
      <c r="CR2380" s="4" t="s">
        <v>241</v>
      </c>
      <c r="CS2380" s="4" t="s">
        <v>241</v>
      </c>
      <c r="CT2380" s="4">
        <v>0</v>
      </c>
      <c r="CU2380" s="4" t="s">
        <v>262</v>
      </c>
      <c r="CV2380" s="4" t="s">
        <v>263</v>
      </c>
      <c r="CW2380" s="4" t="s">
        <v>263</v>
      </c>
      <c r="CX2380" s="4" t="s">
        <v>264</v>
      </c>
      <c r="DA2380" s="6">
        <f>1</f>
        <v>1</v>
      </c>
      <c r="DC2380" s="4" t="s">
        <v>325</v>
      </c>
      <c r="DD2380" s="4" t="s">
        <v>241</v>
      </c>
      <c r="DF2380" s="4" t="s">
        <v>325</v>
      </c>
      <c r="DG2380" s="6">
        <f>308</f>
        <v>308</v>
      </c>
      <c r="DI2380" s="4" t="s">
        <v>241</v>
      </c>
      <c r="DJ2380" s="4" t="s">
        <v>241</v>
      </c>
      <c r="DK2380" s="4" t="s">
        <v>241</v>
      </c>
      <c r="DL2380" s="4" t="s">
        <v>241</v>
      </c>
      <c r="DP2380" s="4" t="s">
        <v>241</v>
      </c>
      <c r="DQ2380" s="4" t="s">
        <v>241</v>
      </c>
      <c r="DR2380" s="4" t="s">
        <v>241</v>
      </c>
      <c r="DS2380" s="4" t="s">
        <v>241</v>
      </c>
      <c r="DV2380" s="4" t="s">
        <v>426</v>
      </c>
      <c r="DW2380" s="4" t="s">
        <v>2977</v>
      </c>
      <c r="HO2380" s="4" t="s">
        <v>267</v>
      </c>
    </row>
    <row r="2381" spans="1:223" ht="19.5" customHeight="1" x14ac:dyDescent="0.4">
      <c r="A2381" s="4">
        <v>1</v>
      </c>
      <c r="B2381" s="4" t="s">
        <v>239</v>
      </c>
      <c r="C2381" s="4">
        <v>4084</v>
      </c>
      <c r="D2381" s="4">
        <v>1</v>
      </c>
      <c r="E2381" s="4">
        <v>1</v>
      </c>
      <c r="F2381" s="4" t="s">
        <v>268</v>
      </c>
      <c r="G2381" s="4" t="s">
        <v>241</v>
      </c>
      <c r="H2381" s="4" t="s">
        <v>241</v>
      </c>
      <c r="I2381" s="4" t="s">
        <v>424</v>
      </c>
      <c r="J2381" s="4" t="s">
        <v>274</v>
      </c>
      <c r="K2381" s="4" t="s">
        <v>251</v>
      </c>
      <c r="L2381" s="4" t="s">
        <v>423</v>
      </c>
      <c r="M2381" s="5" t="s">
        <v>3392</v>
      </c>
      <c r="N2381" s="6">
        <f>2080</f>
        <v>2080</v>
      </c>
      <c r="O2381" s="4" t="s">
        <v>265</v>
      </c>
      <c r="P2381" s="6">
        <f>1</f>
        <v>1</v>
      </c>
      <c r="Q2381" s="6">
        <f>0</f>
        <v>0</v>
      </c>
      <c r="S2381" s="6">
        <f>0</f>
        <v>0</v>
      </c>
      <c r="T2381" s="6">
        <f>1</f>
        <v>1</v>
      </c>
      <c r="U2381" s="5" t="s">
        <v>245</v>
      </c>
      <c r="V2381" s="4" t="s">
        <v>270</v>
      </c>
      <c r="W2381" s="4" t="s">
        <v>271</v>
      </c>
      <c r="X2381" s="4" t="s">
        <v>273</v>
      </c>
      <c r="Y2381" s="4" t="s">
        <v>241</v>
      </c>
      <c r="AB2381" s="4" t="s">
        <v>241</v>
      </c>
      <c r="AD2381" s="5" t="s">
        <v>241</v>
      </c>
      <c r="AG2381" s="5" t="s">
        <v>246</v>
      </c>
      <c r="AH2381" s="4" t="s">
        <v>241</v>
      </c>
      <c r="AI2381" s="4" t="s">
        <v>247</v>
      </c>
      <c r="AJ2381" s="4" t="s">
        <v>248</v>
      </c>
      <c r="AZ2381" s="4" t="s">
        <v>249</v>
      </c>
      <c r="BA2381" s="4" t="s">
        <v>241</v>
      </c>
      <c r="BB2381" s="4" t="s">
        <v>250</v>
      </c>
      <c r="BC2381" s="4" t="s">
        <v>241</v>
      </c>
      <c r="BD2381" s="4" t="s">
        <v>252</v>
      </c>
      <c r="BE2381" s="4" t="s">
        <v>241</v>
      </c>
      <c r="BI2381" s="4" t="s">
        <v>253</v>
      </c>
      <c r="BJ2381" s="5" t="s">
        <v>246</v>
      </c>
      <c r="BK2381" s="4" t="s">
        <v>254</v>
      </c>
      <c r="BL2381" s="4" t="s">
        <v>255</v>
      </c>
      <c r="BM2381" s="4" t="s">
        <v>241</v>
      </c>
      <c r="BN2381" s="6">
        <f>0</f>
        <v>0</v>
      </c>
      <c r="BO2381" s="6">
        <f>0</f>
        <v>0</v>
      </c>
      <c r="BP2381" s="4" t="s">
        <v>256</v>
      </c>
      <c r="BQ2381" s="4" t="s">
        <v>257</v>
      </c>
      <c r="CE2381" s="4" t="s">
        <v>241</v>
      </c>
      <c r="CF2381" s="4" t="s">
        <v>241</v>
      </c>
      <c r="CJ2381" s="4" t="s">
        <v>276</v>
      </c>
      <c r="CK2381" s="4" t="s">
        <v>259</v>
      </c>
      <c r="CL2381" s="4" t="s">
        <v>241</v>
      </c>
      <c r="CO2381" s="5" t="s">
        <v>260</v>
      </c>
      <c r="CP2381" s="4" t="s">
        <v>241</v>
      </c>
      <c r="CQ2381" s="4" t="s">
        <v>261</v>
      </c>
      <c r="CR2381" s="4" t="s">
        <v>241</v>
      </c>
      <c r="CS2381" s="4" t="s">
        <v>241</v>
      </c>
      <c r="CT2381" s="4">
        <v>0</v>
      </c>
      <c r="CU2381" s="4" t="s">
        <v>262</v>
      </c>
      <c r="CV2381" s="4" t="s">
        <v>263</v>
      </c>
      <c r="CW2381" s="4" t="s">
        <v>263</v>
      </c>
      <c r="CX2381" s="4" t="s">
        <v>264</v>
      </c>
      <c r="DA2381" s="6">
        <f>1</f>
        <v>1</v>
      </c>
      <c r="DC2381" s="4" t="s">
        <v>325</v>
      </c>
      <c r="DD2381" s="4" t="s">
        <v>241</v>
      </c>
      <c r="DF2381" s="4" t="s">
        <v>325</v>
      </c>
      <c r="DG2381" s="6">
        <f>2080</f>
        <v>2080</v>
      </c>
      <c r="DI2381" s="4" t="s">
        <v>241</v>
      </c>
      <c r="DJ2381" s="4" t="s">
        <v>241</v>
      </c>
      <c r="DK2381" s="4" t="s">
        <v>241</v>
      </c>
      <c r="DL2381" s="4" t="s">
        <v>241</v>
      </c>
      <c r="DP2381" s="4" t="s">
        <v>241</v>
      </c>
      <c r="DQ2381" s="4" t="s">
        <v>241</v>
      </c>
      <c r="DR2381" s="4" t="s">
        <v>241</v>
      </c>
      <c r="DS2381" s="4" t="s">
        <v>241</v>
      </c>
      <c r="DV2381" s="4" t="s">
        <v>426</v>
      </c>
      <c r="DW2381" s="4" t="s">
        <v>1911</v>
      </c>
      <c r="HO2381" s="4" t="s">
        <v>267</v>
      </c>
    </row>
    <row r="2382" spans="1:223" ht="19.5" customHeight="1" x14ac:dyDescent="0.4">
      <c r="A2382" s="4">
        <v>1</v>
      </c>
      <c r="B2382" s="4" t="s">
        <v>239</v>
      </c>
      <c r="C2382" s="4">
        <v>4085</v>
      </c>
      <c r="D2382" s="4">
        <v>1</v>
      </c>
      <c r="E2382" s="4">
        <v>1</v>
      </c>
      <c r="F2382" s="4" t="s">
        <v>268</v>
      </c>
      <c r="G2382" s="4" t="s">
        <v>241</v>
      </c>
      <c r="H2382" s="4" t="s">
        <v>241</v>
      </c>
      <c r="I2382" s="4" t="s">
        <v>424</v>
      </c>
      <c r="J2382" s="4" t="s">
        <v>274</v>
      </c>
      <c r="K2382" s="4" t="s">
        <v>251</v>
      </c>
      <c r="L2382" s="4" t="s">
        <v>423</v>
      </c>
      <c r="M2382" s="5" t="s">
        <v>3394</v>
      </c>
      <c r="N2382" s="6">
        <f>132</f>
        <v>132</v>
      </c>
      <c r="O2382" s="4" t="s">
        <v>265</v>
      </c>
      <c r="P2382" s="6">
        <f>1</f>
        <v>1</v>
      </c>
      <c r="Q2382" s="6">
        <f>0</f>
        <v>0</v>
      </c>
      <c r="S2382" s="6">
        <f>0</f>
        <v>0</v>
      </c>
      <c r="T2382" s="6">
        <f>1</f>
        <v>1</v>
      </c>
      <c r="U2382" s="5" t="s">
        <v>245</v>
      </c>
      <c r="V2382" s="4" t="s">
        <v>270</v>
      </c>
      <c r="W2382" s="4" t="s">
        <v>271</v>
      </c>
      <c r="X2382" s="4" t="s">
        <v>273</v>
      </c>
      <c r="Y2382" s="4" t="s">
        <v>241</v>
      </c>
      <c r="AB2382" s="4" t="s">
        <v>241</v>
      </c>
      <c r="AD2382" s="5" t="s">
        <v>241</v>
      </c>
      <c r="AG2382" s="5" t="s">
        <v>246</v>
      </c>
      <c r="AH2382" s="4" t="s">
        <v>241</v>
      </c>
      <c r="AI2382" s="4" t="s">
        <v>247</v>
      </c>
      <c r="AJ2382" s="4" t="s">
        <v>248</v>
      </c>
      <c r="AZ2382" s="4" t="s">
        <v>249</v>
      </c>
      <c r="BA2382" s="4" t="s">
        <v>241</v>
      </c>
      <c r="BB2382" s="4" t="s">
        <v>250</v>
      </c>
      <c r="BC2382" s="4" t="s">
        <v>241</v>
      </c>
      <c r="BD2382" s="4" t="s">
        <v>252</v>
      </c>
      <c r="BE2382" s="4" t="s">
        <v>241</v>
      </c>
      <c r="BI2382" s="4" t="s">
        <v>253</v>
      </c>
      <c r="BJ2382" s="5" t="s">
        <v>246</v>
      </c>
      <c r="BK2382" s="4" t="s">
        <v>254</v>
      </c>
      <c r="BL2382" s="4" t="s">
        <v>255</v>
      </c>
      <c r="BM2382" s="4" t="s">
        <v>241</v>
      </c>
      <c r="BN2382" s="6">
        <f>0</f>
        <v>0</v>
      </c>
      <c r="BO2382" s="6">
        <f>0</f>
        <v>0</v>
      </c>
      <c r="BP2382" s="4" t="s">
        <v>256</v>
      </c>
      <c r="BQ2382" s="4" t="s">
        <v>257</v>
      </c>
      <c r="CE2382" s="4" t="s">
        <v>241</v>
      </c>
      <c r="CF2382" s="4" t="s">
        <v>241</v>
      </c>
      <c r="CJ2382" s="4" t="s">
        <v>276</v>
      </c>
      <c r="CK2382" s="4" t="s">
        <v>259</v>
      </c>
      <c r="CL2382" s="4" t="s">
        <v>241</v>
      </c>
      <c r="CO2382" s="5" t="s">
        <v>260</v>
      </c>
      <c r="CP2382" s="4" t="s">
        <v>241</v>
      </c>
      <c r="CQ2382" s="4" t="s">
        <v>261</v>
      </c>
      <c r="CR2382" s="4" t="s">
        <v>241</v>
      </c>
      <c r="CS2382" s="4" t="s">
        <v>241</v>
      </c>
      <c r="CT2382" s="4">
        <v>0</v>
      </c>
      <c r="CU2382" s="4" t="s">
        <v>262</v>
      </c>
      <c r="CV2382" s="4" t="s">
        <v>263</v>
      </c>
      <c r="CW2382" s="4" t="s">
        <v>263</v>
      </c>
      <c r="CX2382" s="4" t="s">
        <v>264</v>
      </c>
      <c r="DA2382" s="6">
        <f>1</f>
        <v>1</v>
      </c>
      <c r="DC2382" s="4" t="s">
        <v>325</v>
      </c>
      <c r="DD2382" s="4" t="s">
        <v>241</v>
      </c>
      <c r="DF2382" s="4" t="s">
        <v>325</v>
      </c>
      <c r="DG2382" s="6">
        <f>132</f>
        <v>132</v>
      </c>
      <c r="DI2382" s="4" t="s">
        <v>241</v>
      </c>
      <c r="DJ2382" s="4" t="s">
        <v>241</v>
      </c>
      <c r="DK2382" s="4" t="s">
        <v>241</v>
      </c>
      <c r="DL2382" s="4" t="s">
        <v>241</v>
      </c>
      <c r="DP2382" s="4" t="s">
        <v>241</v>
      </c>
      <c r="DQ2382" s="4" t="s">
        <v>241</v>
      </c>
      <c r="DR2382" s="4" t="s">
        <v>241</v>
      </c>
      <c r="DS2382" s="4" t="s">
        <v>241</v>
      </c>
      <c r="DV2382" s="4" t="s">
        <v>426</v>
      </c>
      <c r="DW2382" s="4" t="s">
        <v>2973</v>
      </c>
      <c r="HO2382" s="4" t="s">
        <v>267</v>
      </c>
    </row>
    <row r="2383" spans="1:223" ht="19.5" customHeight="1" x14ac:dyDescent="0.4">
      <c r="A2383" s="4">
        <v>1</v>
      </c>
      <c r="B2383" s="4" t="s">
        <v>239</v>
      </c>
      <c r="C2383" s="4">
        <v>4086</v>
      </c>
      <c r="D2383" s="4">
        <v>1</v>
      </c>
      <c r="E2383" s="4">
        <v>1</v>
      </c>
      <c r="F2383" s="4" t="s">
        <v>268</v>
      </c>
      <c r="G2383" s="4" t="s">
        <v>241</v>
      </c>
      <c r="H2383" s="4" t="s">
        <v>241</v>
      </c>
      <c r="I2383" s="4" t="s">
        <v>424</v>
      </c>
      <c r="J2383" s="4" t="s">
        <v>274</v>
      </c>
      <c r="K2383" s="4" t="s">
        <v>251</v>
      </c>
      <c r="L2383" s="4" t="s">
        <v>423</v>
      </c>
      <c r="M2383" s="5" t="s">
        <v>3395</v>
      </c>
      <c r="N2383" s="6">
        <f>915</f>
        <v>915</v>
      </c>
      <c r="O2383" s="4" t="s">
        <v>265</v>
      </c>
      <c r="P2383" s="6">
        <f>1</f>
        <v>1</v>
      </c>
      <c r="Q2383" s="6">
        <f>0</f>
        <v>0</v>
      </c>
      <c r="S2383" s="6">
        <f>0</f>
        <v>0</v>
      </c>
      <c r="T2383" s="6">
        <f>1</f>
        <v>1</v>
      </c>
      <c r="U2383" s="5" t="s">
        <v>245</v>
      </c>
      <c r="V2383" s="4" t="s">
        <v>270</v>
      </c>
      <c r="W2383" s="4" t="s">
        <v>271</v>
      </c>
      <c r="X2383" s="4" t="s">
        <v>273</v>
      </c>
      <c r="Y2383" s="4" t="s">
        <v>241</v>
      </c>
      <c r="AB2383" s="4" t="s">
        <v>241</v>
      </c>
      <c r="AD2383" s="5" t="s">
        <v>241</v>
      </c>
      <c r="AG2383" s="5" t="s">
        <v>246</v>
      </c>
      <c r="AH2383" s="4" t="s">
        <v>241</v>
      </c>
      <c r="AI2383" s="4" t="s">
        <v>247</v>
      </c>
      <c r="AJ2383" s="4" t="s">
        <v>248</v>
      </c>
      <c r="AZ2383" s="4" t="s">
        <v>249</v>
      </c>
      <c r="BA2383" s="4" t="s">
        <v>241</v>
      </c>
      <c r="BB2383" s="4" t="s">
        <v>250</v>
      </c>
      <c r="BC2383" s="4" t="s">
        <v>241</v>
      </c>
      <c r="BD2383" s="4" t="s">
        <v>252</v>
      </c>
      <c r="BE2383" s="4" t="s">
        <v>241</v>
      </c>
      <c r="BI2383" s="4" t="s">
        <v>253</v>
      </c>
      <c r="BJ2383" s="5" t="s">
        <v>246</v>
      </c>
      <c r="BK2383" s="4" t="s">
        <v>254</v>
      </c>
      <c r="BL2383" s="4" t="s">
        <v>255</v>
      </c>
      <c r="BM2383" s="4" t="s">
        <v>241</v>
      </c>
      <c r="BN2383" s="6">
        <f>0</f>
        <v>0</v>
      </c>
      <c r="BO2383" s="6">
        <f>0</f>
        <v>0</v>
      </c>
      <c r="BP2383" s="4" t="s">
        <v>256</v>
      </c>
      <c r="BQ2383" s="4" t="s">
        <v>257</v>
      </c>
      <c r="CE2383" s="4" t="s">
        <v>241</v>
      </c>
      <c r="CF2383" s="4" t="s">
        <v>241</v>
      </c>
      <c r="CJ2383" s="4" t="s">
        <v>276</v>
      </c>
      <c r="CK2383" s="4" t="s">
        <v>259</v>
      </c>
      <c r="CL2383" s="4" t="s">
        <v>241</v>
      </c>
      <c r="CO2383" s="5" t="s">
        <v>260</v>
      </c>
      <c r="CP2383" s="4" t="s">
        <v>241</v>
      </c>
      <c r="CQ2383" s="4" t="s">
        <v>261</v>
      </c>
      <c r="CR2383" s="4" t="s">
        <v>241</v>
      </c>
      <c r="CS2383" s="4" t="s">
        <v>241</v>
      </c>
      <c r="CT2383" s="4">
        <v>0</v>
      </c>
      <c r="CU2383" s="4" t="s">
        <v>262</v>
      </c>
      <c r="CV2383" s="4" t="s">
        <v>263</v>
      </c>
      <c r="CW2383" s="4" t="s">
        <v>263</v>
      </c>
      <c r="CX2383" s="4" t="s">
        <v>264</v>
      </c>
      <c r="DA2383" s="6">
        <f>1</f>
        <v>1</v>
      </c>
      <c r="DC2383" s="4" t="s">
        <v>325</v>
      </c>
      <c r="DD2383" s="4" t="s">
        <v>241</v>
      </c>
      <c r="DF2383" s="4" t="s">
        <v>325</v>
      </c>
      <c r="DG2383" s="6">
        <f>915</f>
        <v>915</v>
      </c>
      <c r="DI2383" s="4" t="s">
        <v>241</v>
      </c>
      <c r="DJ2383" s="4" t="s">
        <v>241</v>
      </c>
      <c r="DK2383" s="4" t="s">
        <v>241</v>
      </c>
      <c r="DL2383" s="4" t="s">
        <v>241</v>
      </c>
      <c r="DP2383" s="4" t="s">
        <v>241</v>
      </c>
      <c r="DQ2383" s="4" t="s">
        <v>241</v>
      </c>
      <c r="DR2383" s="4" t="s">
        <v>241</v>
      </c>
      <c r="DS2383" s="4" t="s">
        <v>241</v>
      </c>
      <c r="DV2383" s="4" t="s">
        <v>426</v>
      </c>
      <c r="DW2383" s="4" t="s">
        <v>2971</v>
      </c>
      <c r="HO2383" s="4" t="s">
        <v>267</v>
      </c>
    </row>
    <row r="2384" spans="1:223" ht="19.5" customHeight="1" x14ac:dyDescent="0.4">
      <c r="A2384" s="4">
        <v>1</v>
      </c>
      <c r="B2384" s="4" t="s">
        <v>239</v>
      </c>
      <c r="C2384" s="4">
        <v>4087</v>
      </c>
      <c r="D2384" s="4">
        <v>1</v>
      </c>
      <c r="E2384" s="4">
        <v>1</v>
      </c>
      <c r="F2384" s="4" t="s">
        <v>268</v>
      </c>
      <c r="G2384" s="4" t="s">
        <v>241</v>
      </c>
      <c r="H2384" s="4" t="s">
        <v>241</v>
      </c>
      <c r="I2384" s="4" t="s">
        <v>424</v>
      </c>
      <c r="J2384" s="4" t="s">
        <v>274</v>
      </c>
      <c r="K2384" s="4" t="s">
        <v>251</v>
      </c>
      <c r="L2384" s="4" t="s">
        <v>423</v>
      </c>
      <c r="M2384" s="5" t="s">
        <v>3397</v>
      </c>
      <c r="N2384" s="6">
        <f>269</f>
        <v>269</v>
      </c>
      <c r="O2384" s="4" t="s">
        <v>265</v>
      </c>
      <c r="P2384" s="6">
        <f>1</f>
        <v>1</v>
      </c>
      <c r="Q2384" s="6">
        <f>0</f>
        <v>0</v>
      </c>
      <c r="S2384" s="6">
        <f>0</f>
        <v>0</v>
      </c>
      <c r="T2384" s="6">
        <f>1</f>
        <v>1</v>
      </c>
      <c r="U2384" s="5" t="s">
        <v>245</v>
      </c>
      <c r="V2384" s="4" t="s">
        <v>270</v>
      </c>
      <c r="W2384" s="4" t="s">
        <v>271</v>
      </c>
      <c r="X2384" s="4" t="s">
        <v>273</v>
      </c>
      <c r="Y2384" s="4" t="s">
        <v>241</v>
      </c>
      <c r="AB2384" s="4" t="s">
        <v>241</v>
      </c>
      <c r="AD2384" s="5" t="s">
        <v>241</v>
      </c>
      <c r="AG2384" s="5" t="s">
        <v>246</v>
      </c>
      <c r="AH2384" s="4" t="s">
        <v>241</v>
      </c>
      <c r="AI2384" s="4" t="s">
        <v>247</v>
      </c>
      <c r="AJ2384" s="4" t="s">
        <v>248</v>
      </c>
      <c r="AZ2384" s="4" t="s">
        <v>249</v>
      </c>
      <c r="BA2384" s="4" t="s">
        <v>241</v>
      </c>
      <c r="BB2384" s="4" t="s">
        <v>250</v>
      </c>
      <c r="BC2384" s="4" t="s">
        <v>241</v>
      </c>
      <c r="BD2384" s="4" t="s">
        <v>252</v>
      </c>
      <c r="BE2384" s="4" t="s">
        <v>241</v>
      </c>
      <c r="BI2384" s="4" t="s">
        <v>253</v>
      </c>
      <c r="BJ2384" s="5" t="s">
        <v>246</v>
      </c>
      <c r="BK2384" s="4" t="s">
        <v>254</v>
      </c>
      <c r="BL2384" s="4" t="s">
        <v>255</v>
      </c>
      <c r="BM2384" s="4" t="s">
        <v>241</v>
      </c>
      <c r="BN2384" s="6">
        <f>0</f>
        <v>0</v>
      </c>
      <c r="BO2384" s="6">
        <f>0</f>
        <v>0</v>
      </c>
      <c r="BP2384" s="4" t="s">
        <v>256</v>
      </c>
      <c r="BQ2384" s="4" t="s">
        <v>257</v>
      </c>
      <c r="CE2384" s="4" t="s">
        <v>241</v>
      </c>
      <c r="CF2384" s="4" t="s">
        <v>241</v>
      </c>
      <c r="CJ2384" s="4" t="s">
        <v>276</v>
      </c>
      <c r="CK2384" s="4" t="s">
        <v>259</v>
      </c>
      <c r="CL2384" s="4" t="s">
        <v>241</v>
      </c>
      <c r="CO2384" s="5" t="s">
        <v>260</v>
      </c>
      <c r="CP2384" s="4" t="s">
        <v>241</v>
      </c>
      <c r="CQ2384" s="4" t="s">
        <v>261</v>
      </c>
      <c r="CR2384" s="4" t="s">
        <v>241</v>
      </c>
      <c r="CS2384" s="4" t="s">
        <v>241</v>
      </c>
      <c r="CT2384" s="4">
        <v>0</v>
      </c>
      <c r="CU2384" s="4" t="s">
        <v>262</v>
      </c>
      <c r="CV2384" s="4" t="s">
        <v>263</v>
      </c>
      <c r="CW2384" s="4" t="s">
        <v>263</v>
      </c>
      <c r="CX2384" s="4" t="s">
        <v>264</v>
      </c>
      <c r="DA2384" s="6">
        <f>1</f>
        <v>1</v>
      </c>
      <c r="DC2384" s="4" t="s">
        <v>325</v>
      </c>
      <c r="DD2384" s="4" t="s">
        <v>241</v>
      </c>
      <c r="DF2384" s="4" t="s">
        <v>325</v>
      </c>
      <c r="DG2384" s="6">
        <f>269</f>
        <v>269</v>
      </c>
      <c r="DI2384" s="4" t="s">
        <v>241</v>
      </c>
      <c r="DJ2384" s="4" t="s">
        <v>241</v>
      </c>
      <c r="DK2384" s="4" t="s">
        <v>241</v>
      </c>
      <c r="DL2384" s="4" t="s">
        <v>241</v>
      </c>
      <c r="DP2384" s="4" t="s">
        <v>241</v>
      </c>
      <c r="DQ2384" s="4" t="s">
        <v>241</v>
      </c>
      <c r="DR2384" s="4" t="s">
        <v>241</v>
      </c>
      <c r="DS2384" s="4" t="s">
        <v>241</v>
      </c>
      <c r="DV2384" s="4" t="s">
        <v>426</v>
      </c>
      <c r="DW2384" s="4" t="s">
        <v>2969</v>
      </c>
      <c r="HO2384" s="4" t="s">
        <v>267</v>
      </c>
    </row>
    <row r="2385" spans="1:223" ht="19.5" customHeight="1" x14ac:dyDescent="0.4">
      <c r="A2385" s="4">
        <v>1</v>
      </c>
      <c r="B2385" s="4" t="s">
        <v>239</v>
      </c>
      <c r="C2385" s="4">
        <v>4088</v>
      </c>
      <c r="D2385" s="4">
        <v>1</v>
      </c>
      <c r="E2385" s="4">
        <v>1</v>
      </c>
      <c r="F2385" s="4" t="s">
        <v>268</v>
      </c>
      <c r="G2385" s="4" t="s">
        <v>241</v>
      </c>
      <c r="H2385" s="4" t="s">
        <v>241</v>
      </c>
      <c r="I2385" s="4" t="s">
        <v>424</v>
      </c>
      <c r="J2385" s="4" t="s">
        <v>274</v>
      </c>
      <c r="K2385" s="4" t="s">
        <v>251</v>
      </c>
      <c r="L2385" s="4" t="s">
        <v>423</v>
      </c>
      <c r="M2385" s="5" t="s">
        <v>3399</v>
      </c>
      <c r="N2385" s="6">
        <f>1535</f>
        <v>1535</v>
      </c>
      <c r="O2385" s="4" t="s">
        <v>265</v>
      </c>
      <c r="P2385" s="6">
        <f>1</f>
        <v>1</v>
      </c>
      <c r="Q2385" s="6">
        <f>0</f>
        <v>0</v>
      </c>
      <c r="S2385" s="6">
        <f>0</f>
        <v>0</v>
      </c>
      <c r="T2385" s="6">
        <f>1</f>
        <v>1</v>
      </c>
      <c r="U2385" s="5" t="s">
        <v>245</v>
      </c>
      <c r="V2385" s="4" t="s">
        <v>270</v>
      </c>
      <c r="W2385" s="4" t="s">
        <v>271</v>
      </c>
      <c r="X2385" s="4" t="s">
        <v>273</v>
      </c>
      <c r="Y2385" s="4" t="s">
        <v>241</v>
      </c>
      <c r="AB2385" s="4" t="s">
        <v>241</v>
      </c>
      <c r="AD2385" s="5" t="s">
        <v>241</v>
      </c>
      <c r="AG2385" s="5" t="s">
        <v>246</v>
      </c>
      <c r="AH2385" s="4" t="s">
        <v>241</v>
      </c>
      <c r="AI2385" s="4" t="s">
        <v>247</v>
      </c>
      <c r="AJ2385" s="4" t="s">
        <v>248</v>
      </c>
      <c r="AZ2385" s="4" t="s">
        <v>249</v>
      </c>
      <c r="BA2385" s="4" t="s">
        <v>241</v>
      </c>
      <c r="BB2385" s="4" t="s">
        <v>250</v>
      </c>
      <c r="BC2385" s="4" t="s">
        <v>241</v>
      </c>
      <c r="BD2385" s="4" t="s">
        <v>252</v>
      </c>
      <c r="BE2385" s="4" t="s">
        <v>241</v>
      </c>
      <c r="BI2385" s="4" t="s">
        <v>253</v>
      </c>
      <c r="BJ2385" s="5" t="s">
        <v>246</v>
      </c>
      <c r="BK2385" s="4" t="s">
        <v>254</v>
      </c>
      <c r="BL2385" s="4" t="s">
        <v>255</v>
      </c>
      <c r="BM2385" s="4" t="s">
        <v>241</v>
      </c>
      <c r="BN2385" s="6">
        <f>0</f>
        <v>0</v>
      </c>
      <c r="BO2385" s="6">
        <f>0</f>
        <v>0</v>
      </c>
      <c r="BP2385" s="4" t="s">
        <v>256</v>
      </c>
      <c r="BQ2385" s="4" t="s">
        <v>257</v>
      </c>
      <c r="CE2385" s="4" t="s">
        <v>241</v>
      </c>
      <c r="CF2385" s="4" t="s">
        <v>241</v>
      </c>
      <c r="CJ2385" s="4" t="s">
        <v>276</v>
      </c>
      <c r="CK2385" s="4" t="s">
        <v>259</v>
      </c>
      <c r="CL2385" s="4" t="s">
        <v>241</v>
      </c>
      <c r="CO2385" s="5" t="s">
        <v>260</v>
      </c>
      <c r="CP2385" s="4" t="s">
        <v>241</v>
      </c>
      <c r="CQ2385" s="4" t="s">
        <v>261</v>
      </c>
      <c r="CR2385" s="4" t="s">
        <v>241</v>
      </c>
      <c r="CS2385" s="4" t="s">
        <v>241</v>
      </c>
      <c r="CT2385" s="4">
        <v>0</v>
      </c>
      <c r="CU2385" s="4" t="s">
        <v>262</v>
      </c>
      <c r="CV2385" s="4" t="s">
        <v>263</v>
      </c>
      <c r="CW2385" s="4" t="s">
        <v>263</v>
      </c>
      <c r="CX2385" s="4" t="s">
        <v>264</v>
      </c>
      <c r="DA2385" s="6">
        <f>1</f>
        <v>1</v>
      </c>
      <c r="DC2385" s="4" t="s">
        <v>325</v>
      </c>
      <c r="DD2385" s="4" t="s">
        <v>241</v>
      </c>
      <c r="DF2385" s="4" t="s">
        <v>325</v>
      </c>
      <c r="DG2385" s="6">
        <f>1535</f>
        <v>1535</v>
      </c>
      <c r="DI2385" s="4" t="s">
        <v>241</v>
      </c>
      <c r="DJ2385" s="4" t="s">
        <v>241</v>
      </c>
      <c r="DK2385" s="4" t="s">
        <v>241</v>
      </c>
      <c r="DL2385" s="4" t="s">
        <v>241</v>
      </c>
      <c r="DP2385" s="4" t="s">
        <v>241</v>
      </c>
      <c r="DQ2385" s="4" t="s">
        <v>241</v>
      </c>
      <c r="DR2385" s="4" t="s">
        <v>241</v>
      </c>
      <c r="DS2385" s="4" t="s">
        <v>241</v>
      </c>
      <c r="DV2385" s="4" t="s">
        <v>426</v>
      </c>
      <c r="DW2385" s="4" t="s">
        <v>1887</v>
      </c>
      <c r="HO2385" s="4" t="s">
        <v>267</v>
      </c>
    </row>
    <row r="2386" spans="1:223" ht="19.5" customHeight="1" x14ac:dyDescent="0.4">
      <c r="A2386" s="4">
        <v>1</v>
      </c>
      <c r="B2386" s="4" t="s">
        <v>239</v>
      </c>
      <c r="C2386" s="4">
        <v>4089</v>
      </c>
      <c r="D2386" s="4">
        <v>1</v>
      </c>
      <c r="E2386" s="4">
        <v>1</v>
      </c>
      <c r="F2386" s="4" t="s">
        <v>268</v>
      </c>
      <c r="G2386" s="4" t="s">
        <v>241</v>
      </c>
      <c r="H2386" s="4" t="s">
        <v>241</v>
      </c>
      <c r="I2386" s="4" t="s">
        <v>424</v>
      </c>
      <c r="J2386" s="4" t="s">
        <v>274</v>
      </c>
      <c r="K2386" s="4" t="s">
        <v>251</v>
      </c>
      <c r="L2386" s="4" t="s">
        <v>423</v>
      </c>
      <c r="M2386" s="5" t="s">
        <v>3402</v>
      </c>
      <c r="N2386" s="6">
        <f>87</f>
        <v>87</v>
      </c>
      <c r="O2386" s="4" t="s">
        <v>265</v>
      </c>
      <c r="P2386" s="6">
        <f>1</f>
        <v>1</v>
      </c>
      <c r="Q2386" s="6">
        <f>0</f>
        <v>0</v>
      </c>
      <c r="S2386" s="6">
        <f>0</f>
        <v>0</v>
      </c>
      <c r="T2386" s="6">
        <f>1</f>
        <v>1</v>
      </c>
      <c r="U2386" s="5" t="s">
        <v>245</v>
      </c>
      <c r="V2386" s="4" t="s">
        <v>270</v>
      </c>
      <c r="W2386" s="4" t="s">
        <v>271</v>
      </c>
      <c r="X2386" s="4" t="s">
        <v>273</v>
      </c>
      <c r="Y2386" s="4" t="s">
        <v>241</v>
      </c>
      <c r="AB2386" s="4" t="s">
        <v>241</v>
      </c>
      <c r="AD2386" s="5" t="s">
        <v>241</v>
      </c>
      <c r="AG2386" s="5" t="s">
        <v>246</v>
      </c>
      <c r="AH2386" s="4" t="s">
        <v>241</v>
      </c>
      <c r="AI2386" s="4" t="s">
        <v>247</v>
      </c>
      <c r="AJ2386" s="4" t="s">
        <v>248</v>
      </c>
      <c r="AZ2386" s="4" t="s">
        <v>249</v>
      </c>
      <c r="BA2386" s="4" t="s">
        <v>241</v>
      </c>
      <c r="BB2386" s="4" t="s">
        <v>250</v>
      </c>
      <c r="BC2386" s="4" t="s">
        <v>241</v>
      </c>
      <c r="BD2386" s="4" t="s">
        <v>252</v>
      </c>
      <c r="BE2386" s="4" t="s">
        <v>241</v>
      </c>
      <c r="BI2386" s="4" t="s">
        <v>253</v>
      </c>
      <c r="BJ2386" s="5" t="s">
        <v>246</v>
      </c>
      <c r="BK2386" s="4" t="s">
        <v>254</v>
      </c>
      <c r="BL2386" s="4" t="s">
        <v>255</v>
      </c>
      <c r="BM2386" s="4" t="s">
        <v>241</v>
      </c>
      <c r="BN2386" s="6">
        <f>0</f>
        <v>0</v>
      </c>
      <c r="BO2386" s="6">
        <f>0</f>
        <v>0</v>
      </c>
      <c r="BP2386" s="4" t="s">
        <v>256</v>
      </c>
      <c r="BQ2386" s="4" t="s">
        <v>257</v>
      </c>
      <c r="CE2386" s="4" t="s">
        <v>241</v>
      </c>
      <c r="CF2386" s="4" t="s">
        <v>241</v>
      </c>
      <c r="CJ2386" s="4" t="s">
        <v>276</v>
      </c>
      <c r="CK2386" s="4" t="s">
        <v>259</v>
      </c>
      <c r="CL2386" s="4" t="s">
        <v>241</v>
      </c>
      <c r="CO2386" s="5" t="s">
        <v>260</v>
      </c>
      <c r="CP2386" s="4" t="s">
        <v>241</v>
      </c>
      <c r="CQ2386" s="4" t="s">
        <v>261</v>
      </c>
      <c r="CR2386" s="4" t="s">
        <v>241</v>
      </c>
      <c r="CS2386" s="4" t="s">
        <v>241</v>
      </c>
      <c r="CT2386" s="4">
        <v>0</v>
      </c>
      <c r="CU2386" s="4" t="s">
        <v>262</v>
      </c>
      <c r="CV2386" s="4" t="s">
        <v>263</v>
      </c>
      <c r="CW2386" s="4" t="s">
        <v>263</v>
      </c>
      <c r="CX2386" s="4" t="s">
        <v>264</v>
      </c>
      <c r="DA2386" s="6">
        <f>1</f>
        <v>1</v>
      </c>
      <c r="DC2386" s="4" t="s">
        <v>325</v>
      </c>
      <c r="DD2386" s="4" t="s">
        <v>241</v>
      </c>
      <c r="DF2386" s="4" t="s">
        <v>325</v>
      </c>
      <c r="DG2386" s="6">
        <f>87</f>
        <v>87</v>
      </c>
      <c r="DI2386" s="4" t="s">
        <v>241</v>
      </c>
      <c r="DJ2386" s="4" t="s">
        <v>241</v>
      </c>
      <c r="DK2386" s="4" t="s">
        <v>241</v>
      </c>
      <c r="DL2386" s="4" t="s">
        <v>241</v>
      </c>
      <c r="DP2386" s="4" t="s">
        <v>241</v>
      </c>
      <c r="DQ2386" s="4" t="s">
        <v>241</v>
      </c>
      <c r="DR2386" s="4" t="s">
        <v>241</v>
      </c>
      <c r="DS2386" s="4" t="s">
        <v>241</v>
      </c>
      <c r="DV2386" s="4" t="s">
        <v>426</v>
      </c>
      <c r="DW2386" s="4" t="s">
        <v>2965</v>
      </c>
      <c r="HO2386" s="4" t="s">
        <v>267</v>
      </c>
    </row>
    <row r="2387" spans="1:223" ht="19.5" customHeight="1" x14ac:dyDescent="0.4">
      <c r="A2387" s="4">
        <v>1</v>
      </c>
      <c r="B2387" s="4" t="s">
        <v>239</v>
      </c>
      <c r="C2387" s="4">
        <v>4090</v>
      </c>
      <c r="D2387" s="4">
        <v>1</v>
      </c>
      <c r="E2387" s="4">
        <v>1</v>
      </c>
      <c r="F2387" s="4" t="s">
        <v>268</v>
      </c>
      <c r="G2387" s="4" t="s">
        <v>241</v>
      </c>
      <c r="H2387" s="4" t="s">
        <v>241</v>
      </c>
      <c r="I2387" s="4" t="s">
        <v>424</v>
      </c>
      <c r="J2387" s="4" t="s">
        <v>274</v>
      </c>
      <c r="K2387" s="4" t="s">
        <v>251</v>
      </c>
      <c r="L2387" s="4" t="s">
        <v>423</v>
      </c>
      <c r="M2387" s="5" t="s">
        <v>3408</v>
      </c>
      <c r="N2387" s="6">
        <f>1119</f>
        <v>1119</v>
      </c>
      <c r="O2387" s="4" t="s">
        <v>265</v>
      </c>
      <c r="P2387" s="6">
        <f>1</f>
        <v>1</v>
      </c>
      <c r="Q2387" s="6">
        <f>0</f>
        <v>0</v>
      </c>
      <c r="S2387" s="6">
        <f>0</f>
        <v>0</v>
      </c>
      <c r="T2387" s="6">
        <f>1</f>
        <v>1</v>
      </c>
      <c r="U2387" s="5" t="s">
        <v>245</v>
      </c>
      <c r="V2387" s="4" t="s">
        <v>270</v>
      </c>
      <c r="W2387" s="4" t="s">
        <v>271</v>
      </c>
      <c r="X2387" s="4" t="s">
        <v>273</v>
      </c>
      <c r="Y2387" s="4" t="s">
        <v>241</v>
      </c>
      <c r="AB2387" s="4" t="s">
        <v>241</v>
      </c>
      <c r="AD2387" s="5" t="s">
        <v>241</v>
      </c>
      <c r="AG2387" s="5" t="s">
        <v>246</v>
      </c>
      <c r="AH2387" s="4" t="s">
        <v>241</v>
      </c>
      <c r="AI2387" s="4" t="s">
        <v>247</v>
      </c>
      <c r="AJ2387" s="4" t="s">
        <v>248</v>
      </c>
      <c r="AZ2387" s="4" t="s">
        <v>249</v>
      </c>
      <c r="BA2387" s="4" t="s">
        <v>241</v>
      </c>
      <c r="BB2387" s="4" t="s">
        <v>250</v>
      </c>
      <c r="BC2387" s="4" t="s">
        <v>241</v>
      </c>
      <c r="BD2387" s="4" t="s">
        <v>252</v>
      </c>
      <c r="BE2387" s="4" t="s">
        <v>241</v>
      </c>
      <c r="BI2387" s="4" t="s">
        <v>253</v>
      </c>
      <c r="BJ2387" s="5" t="s">
        <v>246</v>
      </c>
      <c r="BK2387" s="4" t="s">
        <v>254</v>
      </c>
      <c r="BL2387" s="4" t="s">
        <v>255</v>
      </c>
      <c r="BM2387" s="4" t="s">
        <v>241</v>
      </c>
      <c r="BN2387" s="6">
        <f>0</f>
        <v>0</v>
      </c>
      <c r="BO2387" s="6">
        <f>0</f>
        <v>0</v>
      </c>
      <c r="BP2387" s="4" t="s">
        <v>256</v>
      </c>
      <c r="BQ2387" s="4" t="s">
        <v>257</v>
      </c>
      <c r="CE2387" s="4" t="s">
        <v>241</v>
      </c>
      <c r="CF2387" s="4" t="s">
        <v>241</v>
      </c>
      <c r="CJ2387" s="4" t="s">
        <v>276</v>
      </c>
      <c r="CK2387" s="4" t="s">
        <v>259</v>
      </c>
      <c r="CL2387" s="4" t="s">
        <v>241</v>
      </c>
      <c r="CO2387" s="5" t="s">
        <v>260</v>
      </c>
      <c r="CP2387" s="4" t="s">
        <v>241</v>
      </c>
      <c r="CQ2387" s="4" t="s">
        <v>261</v>
      </c>
      <c r="CR2387" s="4" t="s">
        <v>241</v>
      </c>
      <c r="CS2387" s="4" t="s">
        <v>241</v>
      </c>
      <c r="CT2387" s="4">
        <v>0</v>
      </c>
      <c r="CU2387" s="4" t="s">
        <v>262</v>
      </c>
      <c r="CV2387" s="4" t="s">
        <v>263</v>
      </c>
      <c r="CW2387" s="4" t="s">
        <v>263</v>
      </c>
      <c r="CX2387" s="4" t="s">
        <v>264</v>
      </c>
      <c r="DA2387" s="6">
        <f>1</f>
        <v>1</v>
      </c>
      <c r="DC2387" s="4" t="s">
        <v>325</v>
      </c>
      <c r="DD2387" s="4" t="s">
        <v>241</v>
      </c>
      <c r="DF2387" s="4" t="s">
        <v>325</v>
      </c>
      <c r="DG2387" s="6">
        <f>1119</f>
        <v>1119</v>
      </c>
      <c r="DI2387" s="4" t="s">
        <v>241</v>
      </c>
      <c r="DJ2387" s="4" t="s">
        <v>241</v>
      </c>
      <c r="DK2387" s="4" t="s">
        <v>241</v>
      </c>
      <c r="DL2387" s="4" t="s">
        <v>241</v>
      </c>
      <c r="DP2387" s="4" t="s">
        <v>241</v>
      </c>
      <c r="DQ2387" s="4" t="s">
        <v>241</v>
      </c>
      <c r="DR2387" s="4" t="s">
        <v>241</v>
      </c>
      <c r="DS2387" s="4" t="s">
        <v>241</v>
      </c>
      <c r="DV2387" s="4" t="s">
        <v>426</v>
      </c>
      <c r="DW2387" s="4" t="s">
        <v>2963</v>
      </c>
      <c r="HO2387" s="4" t="s">
        <v>267</v>
      </c>
    </row>
    <row r="2388" spans="1:223" ht="19.5" customHeight="1" x14ac:dyDescent="0.4">
      <c r="A2388" s="4">
        <v>1</v>
      </c>
      <c r="B2388" s="4" t="s">
        <v>239</v>
      </c>
      <c r="C2388" s="4">
        <v>4091</v>
      </c>
      <c r="D2388" s="4">
        <v>1</v>
      </c>
      <c r="E2388" s="4">
        <v>1</v>
      </c>
      <c r="F2388" s="4" t="s">
        <v>268</v>
      </c>
      <c r="G2388" s="4" t="s">
        <v>241</v>
      </c>
      <c r="H2388" s="4" t="s">
        <v>241</v>
      </c>
      <c r="I2388" s="4" t="s">
        <v>424</v>
      </c>
      <c r="J2388" s="4" t="s">
        <v>274</v>
      </c>
      <c r="K2388" s="4" t="s">
        <v>251</v>
      </c>
      <c r="L2388" s="4" t="s">
        <v>423</v>
      </c>
      <c r="M2388" s="5" t="s">
        <v>3409</v>
      </c>
      <c r="N2388" s="6">
        <f>2382</f>
        <v>2382</v>
      </c>
      <c r="O2388" s="4" t="s">
        <v>265</v>
      </c>
      <c r="P2388" s="6">
        <f>1</f>
        <v>1</v>
      </c>
      <c r="Q2388" s="6">
        <f>0</f>
        <v>0</v>
      </c>
      <c r="S2388" s="6">
        <f>0</f>
        <v>0</v>
      </c>
      <c r="T2388" s="6">
        <f>1</f>
        <v>1</v>
      </c>
      <c r="U2388" s="5" t="s">
        <v>245</v>
      </c>
      <c r="V2388" s="4" t="s">
        <v>270</v>
      </c>
      <c r="W2388" s="4" t="s">
        <v>271</v>
      </c>
      <c r="X2388" s="4" t="s">
        <v>273</v>
      </c>
      <c r="Y2388" s="4" t="s">
        <v>241</v>
      </c>
      <c r="AB2388" s="4" t="s">
        <v>241</v>
      </c>
      <c r="AD2388" s="5" t="s">
        <v>241</v>
      </c>
      <c r="AG2388" s="5" t="s">
        <v>246</v>
      </c>
      <c r="AH2388" s="4" t="s">
        <v>241</v>
      </c>
      <c r="AI2388" s="4" t="s">
        <v>247</v>
      </c>
      <c r="AJ2388" s="4" t="s">
        <v>248</v>
      </c>
      <c r="AZ2388" s="4" t="s">
        <v>249</v>
      </c>
      <c r="BA2388" s="4" t="s">
        <v>241</v>
      </c>
      <c r="BB2388" s="4" t="s">
        <v>250</v>
      </c>
      <c r="BC2388" s="4" t="s">
        <v>241</v>
      </c>
      <c r="BD2388" s="4" t="s">
        <v>252</v>
      </c>
      <c r="BE2388" s="4" t="s">
        <v>241</v>
      </c>
      <c r="BI2388" s="4" t="s">
        <v>253</v>
      </c>
      <c r="BJ2388" s="5" t="s">
        <v>246</v>
      </c>
      <c r="BK2388" s="4" t="s">
        <v>254</v>
      </c>
      <c r="BL2388" s="4" t="s">
        <v>255</v>
      </c>
      <c r="BM2388" s="4" t="s">
        <v>241</v>
      </c>
      <c r="BN2388" s="6">
        <f>0</f>
        <v>0</v>
      </c>
      <c r="BO2388" s="6">
        <f>0</f>
        <v>0</v>
      </c>
      <c r="BP2388" s="4" t="s">
        <v>256</v>
      </c>
      <c r="BQ2388" s="4" t="s">
        <v>257</v>
      </c>
      <c r="CE2388" s="4" t="s">
        <v>241</v>
      </c>
      <c r="CF2388" s="4" t="s">
        <v>241</v>
      </c>
      <c r="CJ2388" s="4" t="s">
        <v>276</v>
      </c>
      <c r="CK2388" s="4" t="s">
        <v>259</v>
      </c>
      <c r="CL2388" s="4" t="s">
        <v>241</v>
      </c>
      <c r="CO2388" s="5" t="s">
        <v>260</v>
      </c>
      <c r="CP2388" s="4" t="s">
        <v>241</v>
      </c>
      <c r="CQ2388" s="4" t="s">
        <v>261</v>
      </c>
      <c r="CR2388" s="4" t="s">
        <v>241</v>
      </c>
      <c r="CS2388" s="4" t="s">
        <v>241</v>
      </c>
      <c r="CT2388" s="4">
        <v>0</v>
      </c>
      <c r="CU2388" s="4" t="s">
        <v>262</v>
      </c>
      <c r="CV2388" s="4" t="s">
        <v>263</v>
      </c>
      <c r="CW2388" s="4" t="s">
        <v>263</v>
      </c>
      <c r="CX2388" s="4" t="s">
        <v>264</v>
      </c>
      <c r="DA2388" s="6">
        <f>1</f>
        <v>1</v>
      </c>
      <c r="DC2388" s="4" t="s">
        <v>325</v>
      </c>
      <c r="DD2388" s="4" t="s">
        <v>241</v>
      </c>
      <c r="DF2388" s="4" t="s">
        <v>325</v>
      </c>
      <c r="DG2388" s="6">
        <f>2382</f>
        <v>2382</v>
      </c>
      <c r="DI2388" s="4" t="s">
        <v>241</v>
      </c>
      <c r="DJ2388" s="4" t="s">
        <v>241</v>
      </c>
      <c r="DK2388" s="4" t="s">
        <v>241</v>
      </c>
      <c r="DL2388" s="4" t="s">
        <v>241</v>
      </c>
      <c r="DP2388" s="4" t="s">
        <v>241</v>
      </c>
      <c r="DQ2388" s="4" t="s">
        <v>241</v>
      </c>
      <c r="DR2388" s="4" t="s">
        <v>241</v>
      </c>
      <c r="DS2388" s="4" t="s">
        <v>241</v>
      </c>
      <c r="DV2388" s="4" t="s">
        <v>426</v>
      </c>
      <c r="DW2388" s="4" t="s">
        <v>2961</v>
      </c>
      <c r="HO2388" s="4" t="s">
        <v>267</v>
      </c>
    </row>
    <row r="2389" spans="1:223" ht="19.5" customHeight="1" x14ac:dyDescent="0.4">
      <c r="A2389" s="4">
        <v>1</v>
      </c>
      <c r="B2389" s="4" t="s">
        <v>239</v>
      </c>
      <c r="C2389" s="4">
        <v>4092</v>
      </c>
      <c r="D2389" s="4">
        <v>1</v>
      </c>
      <c r="E2389" s="4">
        <v>1</v>
      </c>
      <c r="F2389" s="4" t="s">
        <v>268</v>
      </c>
      <c r="G2389" s="4" t="s">
        <v>241</v>
      </c>
      <c r="H2389" s="4" t="s">
        <v>241</v>
      </c>
      <c r="I2389" s="4" t="s">
        <v>424</v>
      </c>
      <c r="J2389" s="4" t="s">
        <v>274</v>
      </c>
      <c r="K2389" s="4" t="s">
        <v>251</v>
      </c>
      <c r="L2389" s="4" t="s">
        <v>423</v>
      </c>
      <c r="M2389" s="5" t="s">
        <v>3411</v>
      </c>
      <c r="N2389" s="6">
        <f>3393</f>
        <v>3393</v>
      </c>
      <c r="O2389" s="4" t="s">
        <v>265</v>
      </c>
      <c r="P2389" s="6">
        <f>1</f>
        <v>1</v>
      </c>
      <c r="Q2389" s="6">
        <f>0</f>
        <v>0</v>
      </c>
      <c r="S2389" s="6">
        <f>0</f>
        <v>0</v>
      </c>
      <c r="T2389" s="6">
        <f>1</f>
        <v>1</v>
      </c>
      <c r="U2389" s="5" t="s">
        <v>245</v>
      </c>
      <c r="V2389" s="4" t="s">
        <v>270</v>
      </c>
      <c r="W2389" s="4" t="s">
        <v>271</v>
      </c>
      <c r="X2389" s="4" t="s">
        <v>273</v>
      </c>
      <c r="Y2389" s="4" t="s">
        <v>241</v>
      </c>
      <c r="AB2389" s="4" t="s">
        <v>241</v>
      </c>
      <c r="AD2389" s="5" t="s">
        <v>241</v>
      </c>
      <c r="AG2389" s="5" t="s">
        <v>246</v>
      </c>
      <c r="AH2389" s="4" t="s">
        <v>241</v>
      </c>
      <c r="AI2389" s="4" t="s">
        <v>247</v>
      </c>
      <c r="AJ2389" s="4" t="s">
        <v>248</v>
      </c>
      <c r="AZ2389" s="4" t="s">
        <v>249</v>
      </c>
      <c r="BA2389" s="4" t="s">
        <v>241</v>
      </c>
      <c r="BB2389" s="4" t="s">
        <v>250</v>
      </c>
      <c r="BC2389" s="4" t="s">
        <v>241</v>
      </c>
      <c r="BD2389" s="4" t="s">
        <v>252</v>
      </c>
      <c r="BE2389" s="4" t="s">
        <v>241</v>
      </c>
      <c r="BI2389" s="4" t="s">
        <v>253</v>
      </c>
      <c r="BJ2389" s="5" t="s">
        <v>246</v>
      </c>
      <c r="BK2389" s="4" t="s">
        <v>254</v>
      </c>
      <c r="BL2389" s="4" t="s">
        <v>255</v>
      </c>
      <c r="BM2389" s="4" t="s">
        <v>241</v>
      </c>
      <c r="BN2389" s="6">
        <f>0</f>
        <v>0</v>
      </c>
      <c r="BO2389" s="6">
        <f>0</f>
        <v>0</v>
      </c>
      <c r="BP2389" s="4" t="s">
        <v>256</v>
      </c>
      <c r="BQ2389" s="4" t="s">
        <v>257</v>
      </c>
      <c r="CE2389" s="4" t="s">
        <v>241</v>
      </c>
      <c r="CF2389" s="4" t="s">
        <v>241</v>
      </c>
      <c r="CJ2389" s="4" t="s">
        <v>276</v>
      </c>
      <c r="CK2389" s="4" t="s">
        <v>259</v>
      </c>
      <c r="CL2389" s="4" t="s">
        <v>241</v>
      </c>
      <c r="CO2389" s="5" t="s">
        <v>260</v>
      </c>
      <c r="CP2389" s="4" t="s">
        <v>241</v>
      </c>
      <c r="CQ2389" s="4" t="s">
        <v>261</v>
      </c>
      <c r="CR2389" s="4" t="s">
        <v>241</v>
      </c>
      <c r="CS2389" s="4" t="s">
        <v>241</v>
      </c>
      <c r="CT2389" s="4">
        <v>0</v>
      </c>
      <c r="CU2389" s="4" t="s">
        <v>262</v>
      </c>
      <c r="CV2389" s="4" t="s">
        <v>263</v>
      </c>
      <c r="CW2389" s="4" t="s">
        <v>263</v>
      </c>
      <c r="CX2389" s="4" t="s">
        <v>264</v>
      </c>
      <c r="DA2389" s="6">
        <f>1</f>
        <v>1</v>
      </c>
      <c r="DC2389" s="4" t="s">
        <v>325</v>
      </c>
      <c r="DD2389" s="4" t="s">
        <v>241</v>
      </c>
      <c r="DF2389" s="4" t="s">
        <v>325</v>
      </c>
      <c r="DG2389" s="6">
        <f>3393</f>
        <v>3393</v>
      </c>
      <c r="DI2389" s="4" t="s">
        <v>241</v>
      </c>
      <c r="DJ2389" s="4" t="s">
        <v>241</v>
      </c>
      <c r="DK2389" s="4" t="s">
        <v>241</v>
      </c>
      <c r="DL2389" s="4" t="s">
        <v>241</v>
      </c>
      <c r="DP2389" s="4" t="s">
        <v>241</v>
      </c>
      <c r="DQ2389" s="4" t="s">
        <v>241</v>
      </c>
      <c r="DR2389" s="4" t="s">
        <v>241</v>
      </c>
      <c r="DS2389" s="4" t="s">
        <v>241</v>
      </c>
      <c r="DV2389" s="4" t="s">
        <v>426</v>
      </c>
      <c r="DW2389" s="4" t="s">
        <v>2841</v>
      </c>
      <c r="HO2389" s="4" t="s">
        <v>267</v>
      </c>
    </row>
    <row r="2390" spans="1:223" ht="19.5" customHeight="1" x14ac:dyDescent="0.4">
      <c r="A2390" s="4">
        <v>1</v>
      </c>
      <c r="B2390" s="4" t="s">
        <v>239</v>
      </c>
      <c r="C2390" s="4">
        <v>4093</v>
      </c>
      <c r="D2390" s="4">
        <v>1</v>
      </c>
      <c r="E2390" s="4">
        <v>1</v>
      </c>
      <c r="F2390" s="4" t="s">
        <v>268</v>
      </c>
      <c r="G2390" s="4" t="s">
        <v>241</v>
      </c>
      <c r="H2390" s="4" t="s">
        <v>241</v>
      </c>
      <c r="I2390" s="4" t="s">
        <v>424</v>
      </c>
      <c r="J2390" s="4" t="s">
        <v>274</v>
      </c>
      <c r="K2390" s="4" t="s">
        <v>251</v>
      </c>
      <c r="L2390" s="4" t="s">
        <v>423</v>
      </c>
      <c r="M2390" s="5" t="s">
        <v>3412</v>
      </c>
      <c r="N2390" s="6">
        <f>3242</f>
        <v>3242</v>
      </c>
      <c r="O2390" s="4" t="s">
        <v>265</v>
      </c>
      <c r="P2390" s="6">
        <f>1</f>
        <v>1</v>
      </c>
      <c r="Q2390" s="6">
        <f>0</f>
        <v>0</v>
      </c>
      <c r="S2390" s="6">
        <f>0</f>
        <v>0</v>
      </c>
      <c r="T2390" s="6">
        <f>1</f>
        <v>1</v>
      </c>
      <c r="U2390" s="5" t="s">
        <v>245</v>
      </c>
      <c r="V2390" s="4" t="s">
        <v>270</v>
      </c>
      <c r="W2390" s="4" t="s">
        <v>271</v>
      </c>
      <c r="X2390" s="4" t="s">
        <v>273</v>
      </c>
      <c r="Y2390" s="4" t="s">
        <v>241</v>
      </c>
      <c r="AB2390" s="4" t="s">
        <v>241</v>
      </c>
      <c r="AD2390" s="5" t="s">
        <v>241</v>
      </c>
      <c r="AG2390" s="5" t="s">
        <v>246</v>
      </c>
      <c r="AH2390" s="4" t="s">
        <v>241</v>
      </c>
      <c r="AI2390" s="4" t="s">
        <v>247</v>
      </c>
      <c r="AJ2390" s="4" t="s">
        <v>248</v>
      </c>
      <c r="AZ2390" s="4" t="s">
        <v>249</v>
      </c>
      <c r="BA2390" s="4" t="s">
        <v>241</v>
      </c>
      <c r="BB2390" s="4" t="s">
        <v>250</v>
      </c>
      <c r="BC2390" s="4" t="s">
        <v>241</v>
      </c>
      <c r="BD2390" s="4" t="s">
        <v>252</v>
      </c>
      <c r="BE2390" s="4" t="s">
        <v>241</v>
      </c>
      <c r="BI2390" s="4" t="s">
        <v>253</v>
      </c>
      <c r="BJ2390" s="5" t="s">
        <v>246</v>
      </c>
      <c r="BK2390" s="4" t="s">
        <v>254</v>
      </c>
      <c r="BL2390" s="4" t="s">
        <v>255</v>
      </c>
      <c r="BM2390" s="4" t="s">
        <v>241</v>
      </c>
      <c r="BN2390" s="6">
        <f>0</f>
        <v>0</v>
      </c>
      <c r="BO2390" s="6">
        <f>0</f>
        <v>0</v>
      </c>
      <c r="BP2390" s="4" t="s">
        <v>256</v>
      </c>
      <c r="BQ2390" s="4" t="s">
        <v>257</v>
      </c>
      <c r="CE2390" s="4" t="s">
        <v>241</v>
      </c>
      <c r="CF2390" s="4" t="s">
        <v>241</v>
      </c>
      <c r="CJ2390" s="4" t="s">
        <v>276</v>
      </c>
      <c r="CK2390" s="4" t="s">
        <v>259</v>
      </c>
      <c r="CL2390" s="4" t="s">
        <v>241</v>
      </c>
      <c r="CO2390" s="5" t="s">
        <v>260</v>
      </c>
      <c r="CP2390" s="4" t="s">
        <v>241</v>
      </c>
      <c r="CQ2390" s="4" t="s">
        <v>261</v>
      </c>
      <c r="CR2390" s="4" t="s">
        <v>241</v>
      </c>
      <c r="CS2390" s="4" t="s">
        <v>241</v>
      </c>
      <c r="CT2390" s="4">
        <v>0</v>
      </c>
      <c r="CU2390" s="4" t="s">
        <v>262</v>
      </c>
      <c r="CV2390" s="4" t="s">
        <v>263</v>
      </c>
      <c r="CW2390" s="4" t="s">
        <v>263</v>
      </c>
      <c r="CX2390" s="4" t="s">
        <v>264</v>
      </c>
      <c r="DA2390" s="6">
        <f>1</f>
        <v>1</v>
      </c>
      <c r="DC2390" s="4" t="s">
        <v>325</v>
      </c>
      <c r="DD2390" s="4" t="s">
        <v>241</v>
      </c>
      <c r="DF2390" s="4" t="s">
        <v>325</v>
      </c>
      <c r="DG2390" s="6">
        <f>3242</f>
        <v>3242</v>
      </c>
      <c r="DI2390" s="4" t="s">
        <v>241</v>
      </c>
      <c r="DJ2390" s="4" t="s">
        <v>241</v>
      </c>
      <c r="DK2390" s="4" t="s">
        <v>241</v>
      </c>
      <c r="DL2390" s="4" t="s">
        <v>241</v>
      </c>
      <c r="DP2390" s="4" t="s">
        <v>241</v>
      </c>
      <c r="DQ2390" s="4" t="s">
        <v>241</v>
      </c>
      <c r="DR2390" s="4" t="s">
        <v>241</v>
      </c>
      <c r="DS2390" s="4" t="s">
        <v>241</v>
      </c>
      <c r="DV2390" s="4" t="s">
        <v>426</v>
      </c>
      <c r="DW2390" s="4" t="s">
        <v>2837</v>
      </c>
      <c r="HO2390" s="4" t="s">
        <v>267</v>
      </c>
    </row>
    <row r="2391" spans="1:223" ht="19.5" customHeight="1" x14ac:dyDescent="0.4">
      <c r="A2391" s="4">
        <v>1</v>
      </c>
      <c r="B2391" s="4" t="s">
        <v>239</v>
      </c>
      <c r="C2391" s="4">
        <v>4094</v>
      </c>
      <c r="D2391" s="4">
        <v>1</v>
      </c>
      <c r="E2391" s="4">
        <v>1</v>
      </c>
      <c r="F2391" s="4" t="s">
        <v>268</v>
      </c>
      <c r="G2391" s="4" t="s">
        <v>241</v>
      </c>
      <c r="H2391" s="4" t="s">
        <v>241</v>
      </c>
      <c r="I2391" s="4" t="s">
        <v>424</v>
      </c>
      <c r="J2391" s="4" t="s">
        <v>274</v>
      </c>
      <c r="K2391" s="4" t="s">
        <v>251</v>
      </c>
      <c r="L2391" s="4" t="s">
        <v>423</v>
      </c>
      <c r="M2391" s="5" t="s">
        <v>3414</v>
      </c>
      <c r="N2391" s="6">
        <f>1031</f>
        <v>1031</v>
      </c>
      <c r="O2391" s="4" t="s">
        <v>265</v>
      </c>
      <c r="P2391" s="6">
        <f>1</f>
        <v>1</v>
      </c>
      <c r="Q2391" s="6">
        <f>0</f>
        <v>0</v>
      </c>
      <c r="S2391" s="6">
        <f>0</f>
        <v>0</v>
      </c>
      <c r="T2391" s="6">
        <f>1</f>
        <v>1</v>
      </c>
      <c r="U2391" s="5" t="s">
        <v>245</v>
      </c>
      <c r="V2391" s="4" t="s">
        <v>270</v>
      </c>
      <c r="W2391" s="4" t="s">
        <v>271</v>
      </c>
      <c r="X2391" s="4" t="s">
        <v>273</v>
      </c>
      <c r="Y2391" s="4" t="s">
        <v>241</v>
      </c>
      <c r="AB2391" s="4" t="s">
        <v>241</v>
      </c>
      <c r="AD2391" s="5" t="s">
        <v>241</v>
      </c>
      <c r="AG2391" s="5" t="s">
        <v>246</v>
      </c>
      <c r="AH2391" s="4" t="s">
        <v>241</v>
      </c>
      <c r="AI2391" s="4" t="s">
        <v>247</v>
      </c>
      <c r="AJ2391" s="4" t="s">
        <v>248</v>
      </c>
      <c r="AZ2391" s="4" t="s">
        <v>249</v>
      </c>
      <c r="BA2391" s="4" t="s">
        <v>241</v>
      </c>
      <c r="BB2391" s="4" t="s">
        <v>250</v>
      </c>
      <c r="BC2391" s="4" t="s">
        <v>241</v>
      </c>
      <c r="BD2391" s="4" t="s">
        <v>252</v>
      </c>
      <c r="BE2391" s="4" t="s">
        <v>241</v>
      </c>
      <c r="BI2391" s="4" t="s">
        <v>253</v>
      </c>
      <c r="BJ2391" s="5" t="s">
        <v>246</v>
      </c>
      <c r="BK2391" s="4" t="s">
        <v>254</v>
      </c>
      <c r="BL2391" s="4" t="s">
        <v>255</v>
      </c>
      <c r="BM2391" s="4" t="s">
        <v>241</v>
      </c>
      <c r="BN2391" s="6">
        <f>0</f>
        <v>0</v>
      </c>
      <c r="BO2391" s="6">
        <f>0</f>
        <v>0</v>
      </c>
      <c r="BP2391" s="4" t="s">
        <v>256</v>
      </c>
      <c r="BQ2391" s="4" t="s">
        <v>257</v>
      </c>
      <c r="CE2391" s="4" t="s">
        <v>241</v>
      </c>
      <c r="CF2391" s="4" t="s">
        <v>241</v>
      </c>
      <c r="CJ2391" s="4" t="s">
        <v>276</v>
      </c>
      <c r="CK2391" s="4" t="s">
        <v>259</v>
      </c>
      <c r="CL2391" s="4" t="s">
        <v>241</v>
      </c>
      <c r="CO2391" s="5" t="s">
        <v>260</v>
      </c>
      <c r="CP2391" s="4" t="s">
        <v>241</v>
      </c>
      <c r="CQ2391" s="4" t="s">
        <v>261</v>
      </c>
      <c r="CR2391" s="4" t="s">
        <v>241</v>
      </c>
      <c r="CS2391" s="4" t="s">
        <v>241</v>
      </c>
      <c r="CT2391" s="4">
        <v>0</v>
      </c>
      <c r="CU2391" s="4" t="s">
        <v>262</v>
      </c>
      <c r="CV2391" s="4" t="s">
        <v>263</v>
      </c>
      <c r="CW2391" s="4" t="s">
        <v>263</v>
      </c>
      <c r="CX2391" s="4" t="s">
        <v>264</v>
      </c>
      <c r="DA2391" s="6">
        <f>1</f>
        <v>1</v>
      </c>
      <c r="DC2391" s="4" t="s">
        <v>325</v>
      </c>
      <c r="DD2391" s="4" t="s">
        <v>241</v>
      </c>
      <c r="DF2391" s="4" t="s">
        <v>325</v>
      </c>
      <c r="DG2391" s="6">
        <f>1031</f>
        <v>1031</v>
      </c>
      <c r="DI2391" s="4" t="s">
        <v>241</v>
      </c>
      <c r="DJ2391" s="4" t="s">
        <v>241</v>
      </c>
      <c r="DK2391" s="4" t="s">
        <v>241</v>
      </c>
      <c r="DL2391" s="4" t="s">
        <v>241</v>
      </c>
      <c r="DP2391" s="4" t="s">
        <v>241</v>
      </c>
      <c r="DQ2391" s="4" t="s">
        <v>241</v>
      </c>
      <c r="DR2391" s="4" t="s">
        <v>241</v>
      </c>
      <c r="DS2391" s="4" t="s">
        <v>241</v>
      </c>
      <c r="DV2391" s="4" t="s">
        <v>426</v>
      </c>
      <c r="DW2391" s="4" t="s">
        <v>2361</v>
      </c>
      <c r="HO2391" s="4" t="s">
        <v>267</v>
      </c>
    </row>
    <row r="2392" spans="1:223" ht="19.5" customHeight="1" x14ac:dyDescent="0.4">
      <c r="A2392" s="4">
        <v>1</v>
      </c>
      <c r="B2392" s="4" t="s">
        <v>239</v>
      </c>
      <c r="C2392" s="4">
        <v>4095</v>
      </c>
      <c r="D2392" s="4">
        <v>1</v>
      </c>
      <c r="E2392" s="4">
        <v>1</v>
      </c>
      <c r="F2392" s="4" t="s">
        <v>268</v>
      </c>
      <c r="G2392" s="4" t="s">
        <v>241</v>
      </c>
      <c r="H2392" s="4" t="s">
        <v>241</v>
      </c>
      <c r="I2392" s="4" t="s">
        <v>424</v>
      </c>
      <c r="J2392" s="4" t="s">
        <v>274</v>
      </c>
      <c r="K2392" s="4" t="s">
        <v>251</v>
      </c>
      <c r="L2392" s="4" t="s">
        <v>423</v>
      </c>
      <c r="M2392" s="5" t="s">
        <v>3415</v>
      </c>
      <c r="N2392" s="6">
        <f>2164</f>
        <v>2164</v>
      </c>
      <c r="O2392" s="4" t="s">
        <v>265</v>
      </c>
      <c r="P2392" s="6">
        <f>1</f>
        <v>1</v>
      </c>
      <c r="Q2392" s="6">
        <f>0</f>
        <v>0</v>
      </c>
      <c r="S2392" s="6">
        <f>0</f>
        <v>0</v>
      </c>
      <c r="T2392" s="6">
        <f>1</f>
        <v>1</v>
      </c>
      <c r="U2392" s="5" t="s">
        <v>245</v>
      </c>
      <c r="V2392" s="4" t="s">
        <v>270</v>
      </c>
      <c r="W2392" s="4" t="s">
        <v>271</v>
      </c>
      <c r="X2392" s="4" t="s">
        <v>273</v>
      </c>
      <c r="Y2392" s="4" t="s">
        <v>241</v>
      </c>
      <c r="AB2392" s="4" t="s">
        <v>241</v>
      </c>
      <c r="AD2392" s="5" t="s">
        <v>241</v>
      </c>
      <c r="AG2392" s="5" t="s">
        <v>246</v>
      </c>
      <c r="AH2392" s="4" t="s">
        <v>241</v>
      </c>
      <c r="AI2392" s="4" t="s">
        <v>247</v>
      </c>
      <c r="AJ2392" s="4" t="s">
        <v>248</v>
      </c>
      <c r="AZ2392" s="4" t="s">
        <v>249</v>
      </c>
      <c r="BA2392" s="4" t="s">
        <v>241</v>
      </c>
      <c r="BB2392" s="4" t="s">
        <v>250</v>
      </c>
      <c r="BC2392" s="4" t="s">
        <v>241</v>
      </c>
      <c r="BD2392" s="4" t="s">
        <v>252</v>
      </c>
      <c r="BE2392" s="4" t="s">
        <v>241</v>
      </c>
      <c r="BI2392" s="4" t="s">
        <v>253</v>
      </c>
      <c r="BJ2392" s="5" t="s">
        <v>246</v>
      </c>
      <c r="BK2392" s="4" t="s">
        <v>254</v>
      </c>
      <c r="BL2392" s="4" t="s">
        <v>255</v>
      </c>
      <c r="BM2392" s="4" t="s">
        <v>241</v>
      </c>
      <c r="BN2392" s="6">
        <f>0</f>
        <v>0</v>
      </c>
      <c r="BO2392" s="6">
        <f>0</f>
        <v>0</v>
      </c>
      <c r="BP2392" s="4" t="s">
        <v>256</v>
      </c>
      <c r="BQ2392" s="4" t="s">
        <v>257</v>
      </c>
      <c r="CE2392" s="4" t="s">
        <v>241</v>
      </c>
      <c r="CF2392" s="4" t="s">
        <v>241</v>
      </c>
      <c r="CJ2392" s="4" t="s">
        <v>276</v>
      </c>
      <c r="CK2392" s="4" t="s">
        <v>259</v>
      </c>
      <c r="CL2392" s="4" t="s">
        <v>241</v>
      </c>
      <c r="CO2392" s="5" t="s">
        <v>260</v>
      </c>
      <c r="CP2392" s="4" t="s">
        <v>241</v>
      </c>
      <c r="CQ2392" s="4" t="s">
        <v>261</v>
      </c>
      <c r="CR2392" s="4" t="s">
        <v>241</v>
      </c>
      <c r="CS2392" s="4" t="s">
        <v>241</v>
      </c>
      <c r="CT2392" s="4">
        <v>0</v>
      </c>
      <c r="CU2392" s="4" t="s">
        <v>262</v>
      </c>
      <c r="CV2392" s="4" t="s">
        <v>263</v>
      </c>
      <c r="CW2392" s="4" t="s">
        <v>263</v>
      </c>
      <c r="CX2392" s="4" t="s">
        <v>264</v>
      </c>
      <c r="DA2392" s="6">
        <f>1</f>
        <v>1</v>
      </c>
      <c r="DC2392" s="4" t="s">
        <v>325</v>
      </c>
      <c r="DD2392" s="4" t="s">
        <v>241</v>
      </c>
      <c r="DF2392" s="4" t="s">
        <v>325</v>
      </c>
      <c r="DG2392" s="6">
        <f>2164</f>
        <v>2164</v>
      </c>
      <c r="DI2392" s="4" t="s">
        <v>241</v>
      </c>
      <c r="DJ2392" s="4" t="s">
        <v>241</v>
      </c>
      <c r="DK2392" s="4" t="s">
        <v>241</v>
      </c>
      <c r="DL2392" s="4" t="s">
        <v>241</v>
      </c>
      <c r="DP2392" s="4" t="s">
        <v>241</v>
      </c>
      <c r="DQ2392" s="4" t="s">
        <v>241</v>
      </c>
      <c r="DR2392" s="4" t="s">
        <v>241</v>
      </c>
      <c r="DS2392" s="4" t="s">
        <v>241</v>
      </c>
      <c r="DV2392" s="4" t="s">
        <v>426</v>
      </c>
      <c r="DW2392" s="4" t="s">
        <v>2901</v>
      </c>
      <c r="HO2392" s="4" t="s">
        <v>267</v>
      </c>
    </row>
    <row r="2393" spans="1:223" ht="19.5" customHeight="1" x14ac:dyDescent="0.4">
      <c r="A2393" s="4">
        <v>1</v>
      </c>
      <c r="B2393" s="4" t="s">
        <v>239</v>
      </c>
      <c r="C2393" s="4">
        <v>4096</v>
      </c>
      <c r="D2393" s="4">
        <v>1</v>
      </c>
      <c r="E2393" s="4">
        <v>1</v>
      </c>
      <c r="F2393" s="4" t="s">
        <v>268</v>
      </c>
      <c r="G2393" s="4" t="s">
        <v>241</v>
      </c>
      <c r="H2393" s="4" t="s">
        <v>241</v>
      </c>
      <c r="I2393" s="4" t="s">
        <v>424</v>
      </c>
      <c r="J2393" s="4" t="s">
        <v>274</v>
      </c>
      <c r="K2393" s="4" t="s">
        <v>251</v>
      </c>
      <c r="L2393" s="4" t="s">
        <v>423</v>
      </c>
      <c r="M2393" s="5" t="s">
        <v>3417</v>
      </c>
      <c r="N2393" s="6">
        <f>784</f>
        <v>784</v>
      </c>
      <c r="O2393" s="4" t="s">
        <v>265</v>
      </c>
      <c r="P2393" s="6">
        <f>1</f>
        <v>1</v>
      </c>
      <c r="Q2393" s="6">
        <f>0</f>
        <v>0</v>
      </c>
      <c r="S2393" s="6">
        <f>0</f>
        <v>0</v>
      </c>
      <c r="T2393" s="6">
        <f>1</f>
        <v>1</v>
      </c>
      <c r="U2393" s="5" t="s">
        <v>245</v>
      </c>
      <c r="V2393" s="4" t="s">
        <v>270</v>
      </c>
      <c r="W2393" s="4" t="s">
        <v>271</v>
      </c>
      <c r="X2393" s="4" t="s">
        <v>273</v>
      </c>
      <c r="Y2393" s="4" t="s">
        <v>241</v>
      </c>
      <c r="AB2393" s="4" t="s">
        <v>241</v>
      </c>
      <c r="AD2393" s="5" t="s">
        <v>241</v>
      </c>
      <c r="AG2393" s="5" t="s">
        <v>246</v>
      </c>
      <c r="AH2393" s="4" t="s">
        <v>241</v>
      </c>
      <c r="AI2393" s="4" t="s">
        <v>247</v>
      </c>
      <c r="AJ2393" s="4" t="s">
        <v>248</v>
      </c>
      <c r="AZ2393" s="4" t="s">
        <v>249</v>
      </c>
      <c r="BA2393" s="4" t="s">
        <v>241</v>
      </c>
      <c r="BB2393" s="4" t="s">
        <v>250</v>
      </c>
      <c r="BC2393" s="4" t="s">
        <v>241</v>
      </c>
      <c r="BD2393" s="4" t="s">
        <v>252</v>
      </c>
      <c r="BE2393" s="4" t="s">
        <v>241</v>
      </c>
      <c r="BI2393" s="4" t="s">
        <v>253</v>
      </c>
      <c r="BJ2393" s="5" t="s">
        <v>246</v>
      </c>
      <c r="BK2393" s="4" t="s">
        <v>254</v>
      </c>
      <c r="BL2393" s="4" t="s">
        <v>255</v>
      </c>
      <c r="BM2393" s="4" t="s">
        <v>241</v>
      </c>
      <c r="BN2393" s="6">
        <f>0</f>
        <v>0</v>
      </c>
      <c r="BO2393" s="6">
        <f>0</f>
        <v>0</v>
      </c>
      <c r="BP2393" s="4" t="s">
        <v>256</v>
      </c>
      <c r="BQ2393" s="4" t="s">
        <v>257</v>
      </c>
      <c r="CE2393" s="4" t="s">
        <v>241</v>
      </c>
      <c r="CF2393" s="4" t="s">
        <v>241</v>
      </c>
      <c r="CJ2393" s="4" t="s">
        <v>276</v>
      </c>
      <c r="CK2393" s="4" t="s">
        <v>259</v>
      </c>
      <c r="CL2393" s="4" t="s">
        <v>241</v>
      </c>
      <c r="CO2393" s="5" t="s">
        <v>260</v>
      </c>
      <c r="CP2393" s="4" t="s">
        <v>241</v>
      </c>
      <c r="CQ2393" s="4" t="s">
        <v>261</v>
      </c>
      <c r="CR2393" s="4" t="s">
        <v>241</v>
      </c>
      <c r="CS2393" s="4" t="s">
        <v>241</v>
      </c>
      <c r="CT2393" s="4">
        <v>0</v>
      </c>
      <c r="CU2393" s="4" t="s">
        <v>262</v>
      </c>
      <c r="CV2393" s="4" t="s">
        <v>263</v>
      </c>
      <c r="CW2393" s="4" t="s">
        <v>263</v>
      </c>
      <c r="CX2393" s="4" t="s">
        <v>264</v>
      </c>
      <c r="DA2393" s="6">
        <f>1</f>
        <v>1</v>
      </c>
      <c r="DC2393" s="4" t="s">
        <v>325</v>
      </c>
      <c r="DD2393" s="4" t="s">
        <v>241</v>
      </c>
      <c r="DF2393" s="4" t="s">
        <v>325</v>
      </c>
      <c r="DG2393" s="6">
        <f>784</f>
        <v>784</v>
      </c>
      <c r="DI2393" s="4" t="s">
        <v>241</v>
      </c>
      <c r="DJ2393" s="4" t="s">
        <v>241</v>
      </c>
      <c r="DK2393" s="4" t="s">
        <v>241</v>
      </c>
      <c r="DL2393" s="4" t="s">
        <v>241</v>
      </c>
      <c r="DP2393" s="4" t="s">
        <v>241</v>
      </c>
      <c r="DQ2393" s="4" t="s">
        <v>241</v>
      </c>
      <c r="DR2393" s="4" t="s">
        <v>241</v>
      </c>
      <c r="DS2393" s="4" t="s">
        <v>241</v>
      </c>
      <c r="DV2393" s="4" t="s">
        <v>426</v>
      </c>
      <c r="DW2393" s="4" t="s">
        <v>2822</v>
      </c>
      <c r="HO2393" s="4" t="s">
        <v>267</v>
      </c>
    </row>
    <row r="2394" spans="1:223" ht="19.5" customHeight="1" x14ac:dyDescent="0.4">
      <c r="A2394" s="4">
        <v>1</v>
      </c>
      <c r="B2394" s="4" t="s">
        <v>239</v>
      </c>
      <c r="C2394" s="4">
        <v>4097</v>
      </c>
      <c r="D2394" s="4">
        <v>1</v>
      </c>
      <c r="E2394" s="4">
        <v>1</v>
      </c>
      <c r="F2394" s="4" t="s">
        <v>268</v>
      </c>
      <c r="G2394" s="4" t="s">
        <v>241</v>
      </c>
      <c r="H2394" s="4" t="s">
        <v>241</v>
      </c>
      <c r="I2394" s="4" t="s">
        <v>424</v>
      </c>
      <c r="J2394" s="4" t="s">
        <v>274</v>
      </c>
      <c r="K2394" s="4" t="s">
        <v>251</v>
      </c>
      <c r="L2394" s="4" t="s">
        <v>423</v>
      </c>
      <c r="M2394" s="5" t="s">
        <v>3421</v>
      </c>
      <c r="N2394" s="6">
        <f>398</f>
        <v>398</v>
      </c>
      <c r="O2394" s="4" t="s">
        <v>265</v>
      </c>
      <c r="P2394" s="6">
        <f>1</f>
        <v>1</v>
      </c>
      <c r="Q2394" s="6">
        <f>0</f>
        <v>0</v>
      </c>
      <c r="S2394" s="6">
        <f>0</f>
        <v>0</v>
      </c>
      <c r="T2394" s="6">
        <f>1</f>
        <v>1</v>
      </c>
      <c r="U2394" s="5" t="s">
        <v>245</v>
      </c>
      <c r="V2394" s="4" t="s">
        <v>270</v>
      </c>
      <c r="W2394" s="4" t="s">
        <v>271</v>
      </c>
      <c r="X2394" s="4" t="s">
        <v>273</v>
      </c>
      <c r="Y2394" s="4" t="s">
        <v>241</v>
      </c>
      <c r="AB2394" s="4" t="s">
        <v>241</v>
      </c>
      <c r="AD2394" s="5" t="s">
        <v>241</v>
      </c>
      <c r="AG2394" s="5" t="s">
        <v>246</v>
      </c>
      <c r="AH2394" s="4" t="s">
        <v>241</v>
      </c>
      <c r="AI2394" s="4" t="s">
        <v>247</v>
      </c>
      <c r="AJ2394" s="4" t="s">
        <v>248</v>
      </c>
      <c r="AZ2394" s="4" t="s">
        <v>249</v>
      </c>
      <c r="BA2394" s="4" t="s">
        <v>241</v>
      </c>
      <c r="BB2394" s="4" t="s">
        <v>250</v>
      </c>
      <c r="BC2394" s="4" t="s">
        <v>241</v>
      </c>
      <c r="BD2394" s="4" t="s">
        <v>252</v>
      </c>
      <c r="BE2394" s="4" t="s">
        <v>241</v>
      </c>
      <c r="BI2394" s="4" t="s">
        <v>253</v>
      </c>
      <c r="BJ2394" s="5" t="s">
        <v>246</v>
      </c>
      <c r="BK2394" s="4" t="s">
        <v>254</v>
      </c>
      <c r="BL2394" s="4" t="s">
        <v>255</v>
      </c>
      <c r="BM2394" s="4" t="s">
        <v>241</v>
      </c>
      <c r="BN2394" s="6">
        <f>0</f>
        <v>0</v>
      </c>
      <c r="BO2394" s="6">
        <f>0</f>
        <v>0</v>
      </c>
      <c r="BP2394" s="4" t="s">
        <v>256</v>
      </c>
      <c r="BQ2394" s="4" t="s">
        <v>257</v>
      </c>
      <c r="CE2394" s="4" t="s">
        <v>241</v>
      </c>
      <c r="CF2394" s="4" t="s">
        <v>241</v>
      </c>
      <c r="CJ2394" s="4" t="s">
        <v>276</v>
      </c>
      <c r="CK2394" s="4" t="s">
        <v>259</v>
      </c>
      <c r="CL2394" s="4" t="s">
        <v>241</v>
      </c>
      <c r="CO2394" s="5" t="s">
        <v>260</v>
      </c>
      <c r="CP2394" s="4" t="s">
        <v>241</v>
      </c>
      <c r="CQ2394" s="4" t="s">
        <v>261</v>
      </c>
      <c r="CR2394" s="4" t="s">
        <v>241</v>
      </c>
      <c r="CS2394" s="4" t="s">
        <v>241</v>
      </c>
      <c r="CT2394" s="4">
        <v>0</v>
      </c>
      <c r="CU2394" s="4" t="s">
        <v>262</v>
      </c>
      <c r="CV2394" s="4" t="s">
        <v>263</v>
      </c>
      <c r="CW2394" s="4" t="s">
        <v>263</v>
      </c>
      <c r="CX2394" s="4" t="s">
        <v>264</v>
      </c>
      <c r="DA2394" s="6">
        <f>1</f>
        <v>1</v>
      </c>
      <c r="DC2394" s="4" t="s">
        <v>325</v>
      </c>
      <c r="DD2394" s="4" t="s">
        <v>241</v>
      </c>
      <c r="DF2394" s="4" t="s">
        <v>325</v>
      </c>
      <c r="DG2394" s="6">
        <f>398</f>
        <v>398</v>
      </c>
      <c r="DI2394" s="4" t="s">
        <v>241</v>
      </c>
      <c r="DJ2394" s="4" t="s">
        <v>241</v>
      </c>
      <c r="DK2394" s="4" t="s">
        <v>241</v>
      </c>
      <c r="DL2394" s="4" t="s">
        <v>241</v>
      </c>
      <c r="DP2394" s="4" t="s">
        <v>241</v>
      </c>
      <c r="DQ2394" s="4" t="s">
        <v>241</v>
      </c>
      <c r="DR2394" s="4" t="s">
        <v>241</v>
      </c>
      <c r="DS2394" s="4" t="s">
        <v>241</v>
      </c>
      <c r="DV2394" s="4" t="s">
        <v>426</v>
      </c>
      <c r="DW2394" s="4" t="s">
        <v>2847</v>
      </c>
      <c r="HO2394" s="4" t="s">
        <v>267</v>
      </c>
    </row>
    <row r="2395" spans="1:223" ht="19.5" customHeight="1" x14ac:dyDescent="0.4">
      <c r="A2395" s="4">
        <v>1</v>
      </c>
      <c r="B2395" s="4" t="s">
        <v>239</v>
      </c>
      <c r="C2395" s="4">
        <v>4098</v>
      </c>
      <c r="D2395" s="4">
        <v>1</v>
      </c>
      <c r="E2395" s="4">
        <v>1</v>
      </c>
      <c r="F2395" s="4" t="s">
        <v>268</v>
      </c>
      <c r="G2395" s="4" t="s">
        <v>241</v>
      </c>
      <c r="H2395" s="4" t="s">
        <v>241</v>
      </c>
      <c r="I2395" s="4" t="s">
        <v>424</v>
      </c>
      <c r="J2395" s="4" t="s">
        <v>274</v>
      </c>
      <c r="K2395" s="4" t="s">
        <v>251</v>
      </c>
      <c r="L2395" s="4" t="s">
        <v>423</v>
      </c>
      <c r="M2395" s="5" t="s">
        <v>4681</v>
      </c>
      <c r="N2395" s="6">
        <f>222</f>
        <v>222</v>
      </c>
      <c r="O2395" s="4" t="s">
        <v>265</v>
      </c>
      <c r="P2395" s="6">
        <f>1</f>
        <v>1</v>
      </c>
      <c r="Q2395" s="6">
        <f>0</f>
        <v>0</v>
      </c>
      <c r="S2395" s="6">
        <f>0</f>
        <v>0</v>
      </c>
      <c r="T2395" s="6">
        <f>1</f>
        <v>1</v>
      </c>
      <c r="U2395" s="5" t="s">
        <v>245</v>
      </c>
      <c r="V2395" s="4" t="s">
        <v>270</v>
      </c>
      <c r="W2395" s="4" t="s">
        <v>271</v>
      </c>
      <c r="X2395" s="4" t="s">
        <v>273</v>
      </c>
      <c r="Y2395" s="4" t="s">
        <v>241</v>
      </c>
      <c r="AB2395" s="4" t="s">
        <v>241</v>
      </c>
      <c r="AD2395" s="5" t="s">
        <v>241</v>
      </c>
      <c r="AG2395" s="5" t="s">
        <v>246</v>
      </c>
      <c r="AH2395" s="4" t="s">
        <v>241</v>
      </c>
      <c r="AI2395" s="4" t="s">
        <v>247</v>
      </c>
      <c r="AJ2395" s="4" t="s">
        <v>248</v>
      </c>
      <c r="AZ2395" s="4" t="s">
        <v>249</v>
      </c>
      <c r="BA2395" s="4" t="s">
        <v>241</v>
      </c>
      <c r="BB2395" s="4" t="s">
        <v>250</v>
      </c>
      <c r="BC2395" s="4" t="s">
        <v>241</v>
      </c>
      <c r="BD2395" s="4" t="s">
        <v>252</v>
      </c>
      <c r="BE2395" s="4" t="s">
        <v>241</v>
      </c>
      <c r="BI2395" s="4" t="s">
        <v>253</v>
      </c>
      <c r="BJ2395" s="5" t="s">
        <v>246</v>
      </c>
      <c r="BK2395" s="4" t="s">
        <v>254</v>
      </c>
      <c r="BL2395" s="4" t="s">
        <v>255</v>
      </c>
      <c r="BM2395" s="4" t="s">
        <v>241</v>
      </c>
      <c r="BN2395" s="6">
        <f>0</f>
        <v>0</v>
      </c>
      <c r="BO2395" s="6">
        <f>0</f>
        <v>0</v>
      </c>
      <c r="BP2395" s="4" t="s">
        <v>256</v>
      </c>
      <c r="BQ2395" s="4" t="s">
        <v>257</v>
      </c>
      <c r="CE2395" s="4" t="s">
        <v>241</v>
      </c>
      <c r="CF2395" s="4" t="s">
        <v>241</v>
      </c>
      <c r="CJ2395" s="4" t="s">
        <v>276</v>
      </c>
      <c r="CK2395" s="4" t="s">
        <v>259</v>
      </c>
      <c r="CL2395" s="4" t="s">
        <v>241</v>
      </c>
      <c r="CO2395" s="5" t="s">
        <v>260</v>
      </c>
      <c r="CP2395" s="4" t="s">
        <v>241</v>
      </c>
      <c r="CQ2395" s="4" t="s">
        <v>261</v>
      </c>
      <c r="CR2395" s="4" t="s">
        <v>241</v>
      </c>
      <c r="CS2395" s="4" t="s">
        <v>241</v>
      </c>
      <c r="CT2395" s="4">
        <v>0</v>
      </c>
      <c r="CU2395" s="4" t="s">
        <v>262</v>
      </c>
      <c r="CV2395" s="4" t="s">
        <v>263</v>
      </c>
      <c r="CW2395" s="4" t="s">
        <v>263</v>
      </c>
      <c r="CX2395" s="4" t="s">
        <v>264</v>
      </c>
      <c r="DA2395" s="6">
        <f>1</f>
        <v>1</v>
      </c>
      <c r="DC2395" s="4" t="s">
        <v>325</v>
      </c>
      <c r="DD2395" s="4" t="s">
        <v>241</v>
      </c>
      <c r="DF2395" s="4" t="s">
        <v>325</v>
      </c>
      <c r="DG2395" s="6">
        <f>222</f>
        <v>222</v>
      </c>
      <c r="DI2395" s="4" t="s">
        <v>241</v>
      </c>
      <c r="DJ2395" s="4" t="s">
        <v>241</v>
      </c>
      <c r="DK2395" s="4" t="s">
        <v>241</v>
      </c>
      <c r="DL2395" s="4" t="s">
        <v>241</v>
      </c>
      <c r="DP2395" s="4" t="s">
        <v>241</v>
      </c>
      <c r="DQ2395" s="4" t="s">
        <v>241</v>
      </c>
      <c r="DR2395" s="4" t="s">
        <v>241</v>
      </c>
      <c r="DS2395" s="4" t="s">
        <v>241</v>
      </c>
      <c r="DV2395" s="4" t="s">
        <v>426</v>
      </c>
      <c r="DW2395" s="4" t="s">
        <v>2930</v>
      </c>
      <c r="HO2395" s="4" t="s">
        <v>267</v>
      </c>
    </row>
    <row r="2396" spans="1:223" ht="19.5" customHeight="1" x14ac:dyDescent="0.4">
      <c r="A2396" s="4">
        <v>1</v>
      </c>
      <c r="B2396" s="4" t="s">
        <v>239</v>
      </c>
      <c r="C2396" s="4">
        <v>4099</v>
      </c>
      <c r="D2396" s="4">
        <v>1</v>
      </c>
      <c r="E2396" s="4">
        <v>1</v>
      </c>
      <c r="F2396" s="4" t="s">
        <v>268</v>
      </c>
      <c r="G2396" s="4" t="s">
        <v>241</v>
      </c>
      <c r="H2396" s="4" t="s">
        <v>241</v>
      </c>
      <c r="I2396" s="4" t="s">
        <v>424</v>
      </c>
      <c r="J2396" s="4" t="s">
        <v>274</v>
      </c>
      <c r="K2396" s="4" t="s">
        <v>251</v>
      </c>
      <c r="L2396" s="4" t="s">
        <v>423</v>
      </c>
      <c r="M2396" s="5" t="s">
        <v>3428</v>
      </c>
      <c r="N2396" s="6">
        <f>638</f>
        <v>638</v>
      </c>
      <c r="O2396" s="4" t="s">
        <v>265</v>
      </c>
      <c r="P2396" s="6">
        <f>1</f>
        <v>1</v>
      </c>
      <c r="Q2396" s="6">
        <f>0</f>
        <v>0</v>
      </c>
      <c r="S2396" s="6">
        <f>0</f>
        <v>0</v>
      </c>
      <c r="T2396" s="6">
        <f>1</f>
        <v>1</v>
      </c>
      <c r="U2396" s="5" t="s">
        <v>245</v>
      </c>
      <c r="V2396" s="4" t="s">
        <v>270</v>
      </c>
      <c r="W2396" s="4" t="s">
        <v>271</v>
      </c>
      <c r="X2396" s="4" t="s">
        <v>273</v>
      </c>
      <c r="Y2396" s="4" t="s">
        <v>241</v>
      </c>
      <c r="AB2396" s="4" t="s">
        <v>241</v>
      </c>
      <c r="AD2396" s="5" t="s">
        <v>241</v>
      </c>
      <c r="AG2396" s="5" t="s">
        <v>246</v>
      </c>
      <c r="AH2396" s="4" t="s">
        <v>241</v>
      </c>
      <c r="AI2396" s="4" t="s">
        <v>247</v>
      </c>
      <c r="AJ2396" s="4" t="s">
        <v>248</v>
      </c>
      <c r="AZ2396" s="4" t="s">
        <v>249</v>
      </c>
      <c r="BA2396" s="4" t="s">
        <v>241</v>
      </c>
      <c r="BB2396" s="4" t="s">
        <v>250</v>
      </c>
      <c r="BC2396" s="4" t="s">
        <v>241</v>
      </c>
      <c r="BD2396" s="4" t="s">
        <v>252</v>
      </c>
      <c r="BE2396" s="4" t="s">
        <v>241</v>
      </c>
      <c r="BI2396" s="4" t="s">
        <v>253</v>
      </c>
      <c r="BJ2396" s="5" t="s">
        <v>246</v>
      </c>
      <c r="BK2396" s="4" t="s">
        <v>254</v>
      </c>
      <c r="BL2396" s="4" t="s">
        <v>255</v>
      </c>
      <c r="BM2396" s="4" t="s">
        <v>241</v>
      </c>
      <c r="BN2396" s="6">
        <f>0</f>
        <v>0</v>
      </c>
      <c r="BO2396" s="6">
        <f>0</f>
        <v>0</v>
      </c>
      <c r="BP2396" s="4" t="s">
        <v>256</v>
      </c>
      <c r="BQ2396" s="4" t="s">
        <v>257</v>
      </c>
      <c r="CE2396" s="4" t="s">
        <v>241</v>
      </c>
      <c r="CF2396" s="4" t="s">
        <v>241</v>
      </c>
      <c r="CJ2396" s="4" t="s">
        <v>276</v>
      </c>
      <c r="CK2396" s="4" t="s">
        <v>259</v>
      </c>
      <c r="CL2396" s="4" t="s">
        <v>241</v>
      </c>
      <c r="CO2396" s="5" t="s">
        <v>260</v>
      </c>
      <c r="CP2396" s="4" t="s">
        <v>241</v>
      </c>
      <c r="CQ2396" s="4" t="s">
        <v>261</v>
      </c>
      <c r="CR2396" s="4" t="s">
        <v>241</v>
      </c>
      <c r="CS2396" s="4" t="s">
        <v>241</v>
      </c>
      <c r="CT2396" s="4">
        <v>0</v>
      </c>
      <c r="CU2396" s="4" t="s">
        <v>262</v>
      </c>
      <c r="CV2396" s="4" t="s">
        <v>263</v>
      </c>
      <c r="CW2396" s="4" t="s">
        <v>263</v>
      </c>
      <c r="CX2396" s="4" t="s">
        <v>264</v>
      </c>
      <c r="DA2396" s="6">
        <f>1</f>
        <v>1</v>
      </c>
      <c r="DC2396" s="4" t="s">
        <v>325</v>
      </c>
      <c r="DD2396" s="4" t="s">
        <v>241</v>
      </c>
      <c r="DF2396" s="4" t="s">
        <v>325</v>
      </c>
      <c r="DG2396" s="6">
        <f>638</f>
        <v>638</v>
      </c>
      <c r="DI2396" s="4" t="s">
        <v>241</v>
      </c>
      <c r="DJ2396" s="4" t="s">
        <v>241</v>
      </c>
      <c r="DK2396" s="4" t="s">
        <v>241</v>
      </c>
      <c r="DL2396" s="4" t="s">
        <v>241</v>
      </c>
      <c r="DP2396" s="4" t="s">
        <v>241</v>
      </c>
      <c r="DQ2396" s="4" t="s">
        <v>241</v>
      </c>
      <c r="DR2396" s="4" t="s">
        <v>241</v>
      </c>
      <c r="DS2396" s="4" t="s">
        <v>241</v>
      </c>
      <c r="DV2396" s="4" t="s">
        <v>426</v>
      </c>
      <c r="DW2396" s="4" t="s">
        <v>2922</v>
      </c>
      <c r="HO2396" s="4" t="s">
        <v>267</v>
      </c>
    </row>
    <row r="2397" spans="1:223" ht="19.5" customHeight="1" x14ac:dyDescent="0.4">
      <c r="A2397" s="4">
        <v>1</v>
      </c>
      <c r="B2397" s="4" t="s">
        <v>239</v>
      </c>
      <c r="C2397" s="4">
        <v>4100</v>
      </c>
      <c r="D2397" s="4">
        <v>1</v>
      </c>
      <c r="E2397" s="4">
        <v>1</v>
      </c>
      <c r="F2397" s="4" t="s">
        <v>268</v>
      </c>
      <c r="G2397" s="4" t="s">
        <v>241</v>
      </c>
      <c r="H2397" s="4" t="s">
        <v>241</v>
      </c>
      <c r="I2397" s="4" t="s">
        <v>424</v>
      </c>
      <c r="J2397" s="4" t="s">
        <v>274</v>
      </c>
      <c r="K2397" s="4" t="s">
        <v>251</v>
      </c>
      <c r="L2397" s="4" t="s">
        <v>423</v>
      </c>
      <c r="M2397" s="5" t="s">
        <v>3430</v>
      </c>
      <c r="N2397" s="6">
        <f>1464</f>
        <v>1464</v>
      </c>
      <c r="O2397" s="4" t="s">
        <v>265</v>
      </c>
      <c r="P2397" s="6">
        <f>1</f>
        <v>1</v>
      </c>
      <c r="Q2397" s="6">
        <f>0</f>
        <v>0</v>
      </c>
      <c r="S2397" s="6">
        <f>0</f>
        <v>0</v>
      </c>
      <c r="T2397" s="6">
        <f>1</f>
        <v>1</v>
      </c>
      <c r="U2397" s="5" t="s">
        <v>245</v>
      </c>
      <c r="V2397" s="4" t="s">
        <v>270</v>
      </c>
      <c r="W2397" s="4" t="s">
        <v>271</v>
      </c>
      <c r="X2397" s="4" t="s">
        <v>273</v>
      </c>
      <c r="Y2397" s="4" t="s">
        <v>241</v>
      </c>
      <c r="AB2397" s="4" t="s">
        <v>241</v>
      </c>
      <c r="AD2397" s="5" t="s">
        <v>241</v>
      </c>
      <c r="AG2397" s="5" t="s">
        <v>246</v>
      </c>
      <c r="AH2397" s="4" t="s">
        <v>241</v>
      </c>
      <c r="AI2397" s="4" t="s">
        <v>247</v>
      </c>
      <c r="AJ2397" s="4" t="s">
        <v>248</v>
      </c>
      <c r="AZ2397" s="4" t="s">
        <v>249</v>
      </c>
      <c r="BA2397" s="4" t="s">
        <v>241</v>
      </c>
      <c r="BB2397" s="4" t="s">
        <v>250</v>
      </c>
      <c r="BC2397" s="4" t="s">
        <v>241</v>
      </c>
      <c r="BD2397" s="4" t="s">
        <v>252</v>
      </c>
      <c r="BE2397" s="4" t="s">
        <v>241</v>
      </c>
      <c r="BI2397" s="4" t="s">
        <v>253</v>
      </c>
      <c r="BJ2397" s="5" t="s">
        <v>246</v>
      </c>
      <c r="BK2397" s="4" t="s">
        <v>254</v>
      </c>
      <c r="BL2397" s="4" t="s">
        <v>255</v>
      </c>
      <c r="BM2397" s="4" t="s">
        <v>241</v>
      </c>
      <c r="BN2397" s="6">
        <f>0</f>
        <v>0</v>
      </c>
      <c r="BO2397" s="6">
        <f>0</f>
        <v>0</v>
      </c>
      <c r="BP2397" s="4" t="s">
        <v>256</v>
      </c>
      <c r="BQ2397" s="4" t="s">
        <v>257</v>
      </c>
      <c r="CE2397" s="4" t="s">
        <v>241</v>
      </c>
      <c r="CF2397" s="4" t="s">
        <v>241</v>
      </c>
      <c r="CJ2397" s="4" t="s">
        <v>276</v>
      </c>
      <c r="CK2397" s="4" t="s">
        <v>259</v>
      </c>
      <c r="CL2397" s="4" t="s">
        <v>241</v>
      </c>
      <c r="CO2397" s="5" t="s">
        <v>260</v>
      </c>
      <c r="CP2397" s="4" t="s">
        <v>241</v>
      </c>
      <c r="CQ2397" s="4" t="s">
        <v>261</v>
      </c>
      <c r="CR2397" s="4" t="s">
        <v>241</v>
      </c>
      <c r="CS2397" s="4" t="s">
        <v>241</v>
      </c>
      <c r="CT2397" s="4">
        <v>0</v>
      </c>
      <c r="CU2397" s="4" t="s">
        <v>262</v>
      </c>
      <c r="CV2397" s="4" t="s">
        <v>263</v>
      </c>
      <c r="CW2397" s="4" t="s">
        <v>263</v>
      </c>
      <c r="CX2397" s="4" t="s">
        <v>264</v>
      </c>
      <c r="DA2397" s="6">
        <f>1</f>
        <v>1</v>
      </c>
      <c r="DC2397" s="4" t="s">
        <v>325</v>
      </c>
      <c r="DD2397" s="4" t="s">
        <v>241</v>
      </c>
      <c r="DF2397" s="4" t="s">
        <v>325</v>
      </c>
      <c r="DG2397" s="6">
        <f>1464</f>
        <v>1464</v>
      </c>
      <c r="DI2397" s="4" t="s">
        <v>241</v>
      </c>
      <c r="DJ2397" s="4" t="s">
        <v>241</v>
      </c>
      <c r="DK2397" s="4" t="s">
        <v>241</v>
      </c>
      <c r="DL2397" s="4" t="s">
        <v>241</v>
      </c>
      <c r="DP2397" s="4" t="s">
        <v>241</v>
      </c>
      <c r="DQ2397" s="4" t="s">
        <v>241</v>
      </c>
      <c r="DR2397" s="4" t="s">
        <v>241</v>
      </c>
      <c r="DS2397" s="4" t="s">
        <v>241</v>
      </c>
      <c r="DV2397" s="4" t="s">
        <v>426</v>
      </c>
      <c r="DW2397" s="4" t="s">
        <v>2126</v>
      </c>
      <c r="HO2397" s="4" t="s">
        <v>267</v>
      </c>
    </row>
    <row r="2398" spans="1:223" ht="19.5" customHeight="1" x14ac:dyDescent="0.4">
      <c r="A2398" s="4">
        <v>1</v>
      </c>
      <c r="B2398" s="4" t="s">
        <v>239</v>
      </c>
      <c r="C2398" s="4">
        <v>4101</v>
      </c>
      <c r="D2398" s="4">
        <v>1</v>
      </c>
      <c r="E2398" s="4">
        <v>1</v>
      </c>
      <c r="F2398" s="4" t="s">
        <v>268</v>
      </c>
      <c r="G2398" s="4" t="s">
        <v>241</v>
      </c>
      <c r="H2398" s="4" t="s">
        <v>241</v>
      </c>
      <c r="I2398" s="4" t="s">
        <v>424</v>
      </c>
      <c r="J2398" s="4" t="s">
        <v>274</v>
      </c>
      <c r="K2398" s="4" t="s">
        <v>251</v>
      </c>
      <c r="L2398" s="4" t="s">
        <v>423</v>
      </c>
      <c r="M2398" s="5" t="s">
        <v>3434</v>
      </c>
      <c r="N2398" s="6">
        <f>750</f>
        <v>750</v>
      </c>
      <c r="O2398" s="4" t="s">
        <v>265</v>
      </c>
      <c r="P2398" s="6">
        <f>1</f>
        <v>1</v>
      </c>
      <c r="Q2398" s="6">
        <f>0</f>
        <v>0</v>
      </c>
      <c r="S2398" s="6">
        <f>0</f>
        <v>0</v>
      </c>
      <c r="T2398" s="6">
        <f>1</f>
        <v>1</v>
      </c>
      <c r="U2398" s="5" t="s">
        <v>245</v>
      </c>
      <c r="V2398" s="4" t="s">
        <v>270</v>
      </c>
      <c r="W2398" s="4" t="s">
        <v>271</v>
      </c>
      <c r="X2398" s="4" t="s">
        <v>273</v>
      </c>
      <c r="Y2398" s="4" t="s">
        <v>241</v>
      </c>
      <c r="AB2398" s="4" t="s">
        <v>241</v>
      </c>
      <c r="AD2398" s="5" t="s">
        <v>241</v>
      </c>
      <c r="AG2398" s="5" t="s">
        <v>246</v>
      </c>
      <c r="AH2398" s="4" t="s">
        <v>241</v>
      </c>
      <c r="AI2398" s="4" t="s">
        <v>247</v>
      </c>
      <c r="AJ2398" s="4" t="s">
        <v>248</v>
      </c>
      <c r="AZ2398" s="4" t="s">
        <v>249</v>
      </c>
      <c r="BA2398" s="4" t="s">
        <v>241</v>
      </c>
      <c r="BB2398" s="4" t="s">
        <v>250</v>
      </c>
      <c r="BC2398" s="4" t="s">
        <v>241</v>
      </c>
      <c r="BD2398" s="4" t="s">
        <v>252</v>
      </c>
      <c r="BE2398" s="4" t="s">
        <v>241</v>
      </c>
      <c r="BI2398" s="4" t="s">
        <v>253</v>
      </c>
      <c r="BJ2398" s="5" t="s">
        <v>246</v>
      </c>
      <c r="BK2398" s="4" t="s">
        <v>254</v>
      </c>
      <c r="BL2398" s="4" t="s">
        <v>255</v>
      </c>
      <c r="BM2398" s="4" t="s">
        <v>241</v>
      </c>
      <c r="BN2398" s="6">
        <f>0</f>
        <v>0</v>
      </c>
      <c r="BO2398" s="6">
        <f>0</f>
        <v>0</v>
      </c>
      <c r="BP2398" s="4" t="s">
        <v>256</v>
      </c>
      <c r="BQ2398" s="4" t="s">
        <v>257</v>
      </c>
      <c r="CE2398" s="4" t="s">
        <v>241</v>
      </c>
      <c r="CF2398" s="4" t="s">
        <v>241</v>
      </c>
      <c r="CJ2398" s="4" t="s">
        <v>276</v>
      </c>
      <c r="CK2398" s="4" t="s">
        <v>259</v>
      </c>
      <c r="CL2398" s="4" t="s">
        <v>241</v>
      </c>
      <c r="CO2398" s="5" t="s">
        <v>260</v>
      </c>
      <c r="CP2398" s="4" t="s">
        <v>241</v>
      </c>
      <c r="CQ2398" s="4" t="s">
        <v>261</v>
      </c>
      <c r="CR2398" s="4" t="s">
        <v>241</v>
      </c>
      <c r="CS2398" s="4" t="s">
        <v>241</v>
      </c>
      <c r="CT2398" s="4">
        <v>0</v>
      </c>
      <c r="CU2398" s="4" t="s">
        <v>262</v>
      </c>
      <c r="CV2398" s="4" t="s">
        <v>263</v>
      </c>
      <c r="CW2398" s="4" t="s">
        <v>263</v>
      </c>
      <c r="CX2398" s="4" t="s">
        <v>264</v>
      </c>
      <c r="DA2398" s="6">
        <f>1</f>
        <v>1</v>
      </c>
      <c r="DC2398" s="4" t="s">
        <v>325</v>
      </c>
      <c r="DD2398" s="4" t="s">
        <v>241</v>
      </c>
      <c r="DF2398" s="4" t="s">
        <v>325</v>
      </c>
      <c r="DG2398" s="6">
        <f>750</f>
        <v>750</v>
      </c>
      <c r="DI2398" s="4" t="s">
        <v>241</v>
      </c>
      <c r="DJ2398" s="4" t="s">
        <v>241</v>
      </c>
      <c r="DK2398" s="4" t="s">
        <v>241</v>
      </c>
      <c r="DL2398" s="4" t="s">
        <v>241</v>
      </c>
      <c r="DP2398" s="4" t="s">
        <v>241</v>
      </c>
      <c r="DQ2398" s="4" t="s">
        <v>241</v>
      </c>
      <c r="DR2398" s="4" t="s">
        <v>241</v>
      </c>
      <c r="DS2398" s="4" t="s">
        <v>241</v>
      </c>
      <c r="DV2398" s="4" t="s">
        <v>426</v>
      </c>
      <c r="DW2398" s="4" t="s">
        <v>2857</v>
      </c>
      <c r="HO2398" s="4" t="s">
        <v>267</v>
      </c>
    </row>
    <row r="2399" spans="1:223" ht="19.5" customHeight="1" x14ac:dyDescent="0.4">
      <c r="A2399" s="4">
        <v>1</v>
      </c>
      <c r="B2399" s="4" t="s">
        <v>239</v>
      </c>
      <c r="C2399" s="4">
        <v>4102</v>
      </c>
      <c r="D2399" s="4">
        <v>1</v>
      </c>
      <c r="E2399" s="4">
        <v>1</v>
      </c>
      <c r="F2399" s="4" t="s">
        <v>268</v>
      </c>
      <c r="G2399" s="4" t="s">
        <v>241</v>
      </c>
      <c r="H2399" s="4" t="s">
        <v>241</v>
      </c>
      <c r="I2399" s="4" t="s">
        <v>424</v>
      </c>
      <c r="J2399" s="4" t="s">
        <v>274</v>
      </c>
      <c r="K2399" s="4" t="s">
        <v>251</v>
      </c>
      <c r="L2399" s="4" t="s">
        <v>423</v>
      </c>
      <c r="M2399" s="5" t="s">
        <v>3439</v>
      </c>
      <c r="N2399" s="6">
        <f>868</f>
        <v>868</v>
      </c>
      <c r="O2399" s="4" t="s">
        <v>265</v>
      </c>
      <c r="P2399" s="6">
        <f>1</f>
        <v>1</v>
      </c>
      <c r="Q2399" s="6">
        <f>0</f>
        <v>0</v>
      </c>
      <c r="S2399" s="6">
        <f>0</f>
        <v>0</v>
      </c>
      <c r="T2399" s="6">
        <f>1</f>
        <v>1</v>
      </c>
      <c r="U2399" s="5" t="s">
        <v>245</v>
      </c>
      <c r="V2399" s="4" t="s">
        <v>270</v>
      </c>
      <c r="W2399" s="4" t="s">
        <v>271</v>
      </c>
      <c r="X2399" s="4" t="s">
        <v>273</v>
      </c>
      <c r="Y2399" s="4" t="s">
        <v>241</v>
      </c>
      <c r="AB2399" s="4" t="s">
        <v>241</v>
      </c>
      <c r="AD2399" s="5" t="s">
        <v>241</v>
      </c>
      <c r="AG2399" s="5" t="s">
        <v>246</v>
      </c>
      <c r="AH2399" s="4" t="s">
        <v>241</v>
      </c>
      <c r="AI2399" s="4" t="s">
        <v>247</v>
      </c>
      <c r="AJ2399" s="4" t="s">
        <v>248</v>
      </c>
      <c r="AZ2399" s="4" t="s">
        <v>249</v>
      </c>
      <c r="BA2399" s="4" t="s">
        <v>241</v>
      </c>
      <c r="BB2399" s="4" t="s">
        <v>250</v>
      </c>
      <c r="BC2399" s="4" t="s">
        <v>241</v>
      </c>
      <c r="BD2399" s="4" t="s">
        <v>252</v>
      </c>
      <c r="BE2399" s="4" t="s">
        <v>241</v>
      </c>
      <c r="BI2399" s="4" t="s">
        <v>253</v>
      </c>
      <c r="BJ2399" s="5" t="s">
        <v>246</v>
      </c>
      <c r="BK2399" s="4" t="s">
        <v>254</v>
      </c>
      <c r="BL2399" s="4" t="s">
        <v>255</v>
      </c>
      <c r="BM2399" s="4" t="s">
        <v>241</v>
      </c>
      <c r="BN2399" s="6">
        <f>0</f>
        <v>0</v>
      </c>
      <c r="BO2399" s="6">
        <f>0</f>
        <v>0</v>
      </c>
      <c r="BP2399" s="4" t="s">
        <v>256</v>
      </c>
      <c r="BQ2399" s="4" t="s">
        <v>257</v>
      </c>
      <c r="CE2399" s="4" t="s">
        <v>241</v>
      </c>
      <c r="CF2399" s="4" t="s">
        <v>241</v>
      </c>
      <c r="CJ2399" s="4" t="s">
        <v>276</v>
      </c>
      <c r="CK2399" s="4" t="s">
        <v>259</v>
      </c>
      <c r="CL2399" s="4" t="s">
        <v>241</v>
      </c>
      <c r="CO2399" s="5" t="s">
        <v>260</v>
      </c>
      <c r="CP2399" s="4" t="s">
        <v>241</v>
      </c>
      <c r="CQ2399" s="4" t="s">
        <v>261</v>
      </c>
      <c r="CR2399" s="4" t="s">
        <v>241</v>
      </c>
      <c r="CS2399" s="4" t="s">
        <v>241</v>
      </c>
      <c r="CT2399" s="4">
        <v>0</v>
      </c>
      <c r="CU2399" s="4" t="s">
        <v>262</v>
      </c>
      <c r="CV2399" s="4" t="s">
        <v>263</v>
      </c>
      <c r="CW2399" s="4" t="s">
        <v>263</v>
      </c>
      <c r="CX2399" s="4" t="s">
        <v>264</v>
      </c>
      <c r="DA2399" s="6">
        <f>1</f>
        <v>1</v>
      </c>
      <c r="DC2399" s="4" t="s">
        <v>325</v>
      </c>
      <c r="DD2399" s="4" t="s">
        <v>241</v>
      </c>
      <c r="DF2399" s="4" t="s">
        <v>325</v>
      </c>
      <c r="DG2399" s="6">
        <f>868</f>
        <v>868</v>
      </c>
      <c r="DI2399" s="4" t="s">
        <v>241</v>
      </c>
      <c r="DJ2399" s="4" t="s">
        <v>241</v>
      </c>
      <c r="DK2399" s="4" t="s">
        <v>241</v>
      </c>
      <c r="DL2399" s="4" t="s">
        <v>241</v>
      </c>
      <c r="DP2399" s="4" t="s">
        <v>241</v>
      </c>
      <c r="DQ2399" s="4" t="s">
        <v>241</v>
      </c>
      <c r="DR2399" s="4" t="s">
        <v>241</v>
      </c>
      <c r="DS2399" s="4" t="s">
        <v>241</v>
      </c>
      <c r="DV2399" s="4" t="s">
        <v>426</v>
      </c>
      <c r="DW2399" s="4" t="s">
        <v>2910</v>
      </c>
      <c r="HO2399" s="4" t="s">
        <v>267</v>
      </c>
    </row>
    <row r="2400" spans="1:223" ht="19.5" customHeight="1" x14ac:dyDescent="0.4">
      <c r="A2400" s="4">
        <v>1</v>
      </c>
      <c r="B2400" s="4" t="s">
        <v>239</v>
      </c>
      <c r="C2400" s="4">
        <v>4103</v>
      </c>
      <c r="D2400" s="4">
        <v>1</v>
      </c>
      <c r="E2400" s="4">
        <v>1</v>
      </c>
      <c r="F2400" s="4" t="s">
        <v>268</v>
      </c>
      <c r="G2400" s="4" t="s">
        <v>241</v>
      </c>
      <c r="H2400" s="4" t="s">
        <v>241</v>
      </c>
      <c r="I2400" s="4" t="s">
        <v>424</v>
      </c>
      <c r="J2400" s="4" t="s">
        <v>274</v>
      </c>
      <c r="K2400" s="4" t="s">
        <v>251</v>
      </c>
      <c r="L2400" s="4" t="s">
        <v>423</v>
      </c>
      <c r="M2400" s="5" t="s">
        <v>3446</v>
      </c>
      <c r="N2400" s="6">
        <f>1006</f>
        <v>1006</v>
      </c>
      <c r="O2400" s="4" t="s">
        <v>265</v>
      </c>
      <c r="P2400" s="6">
        <f>1</f>
        <v>1</v>
      </c>
      <c r="Q2400" s="6">
        <f>0</f>
        <v>0</v>
      </c>
      <c r="S2400" s="6">
        <f>0</f>
        <v>0</v>
      </c>
      <c r="T2400" s="6">
        <f>1</f>
        <v>1</v>
      </c>
      <c r="U2400" s="5" t="s">
        <v>245</v>
      </c>
      <c r="V2400" s="4" t="s">
        <v>270</v>
      </c>
      <c r="W2400" s="4" t="s">
        <v>271</v>
      </c>
      <c r="X2400" s="4" t="s">
        <v>273</v>
      </c>
      <c r="Y2400" s="4" t="s">
        <v>241</v>
      </c>
      <c r="AB2400" s="4" t="s">
        <v>241</v>
      </c>
      <c r="AD2400" s="5" t="s">
        <v>241</v>
      </c>
      <c r="AG2400" s="5" t="s">
        <v>246</v>
      </c>
      <c r="AH2400" s="4" t="s">
        <v>241</v>
      </c>
      <c r="AI2400" s="4" t="s">
        <v>247</v>
      </c>
      <c r="AJ2400" s="4" t="s">
        <v>248</v>
      </c>
      <c r="AZ2400" s="4" t="s">
        <v>249</v>
      </c>
      <c r="BA2400" s="4" t="s">
        <v>241</v>
      </c>
      <c r="BB2400" s="4" t="s">
        <v>250</v>
      </c>
      <c r="BC2400" s="4" t="s">
        <v>241</v>
      </c>
      <c r="BD2400" s="4" t="s">
        <v>252</v>
      </c>
      <c r="BE2400" s="4" t="s">
        <v>241</v>
      </c>
      <c r="BI2400" s="4" t="s">
        <v>253</v>
      </c>
      <c r="BJ2400" s="5" t="s">
        <v>246</v>
      </c>
      <c r="BK2400" s="4" t="s">
        <v>254</v>
      </c>
      <c r="BL2400" s="4" t="s">
        <v>255</v>
      </c>
      <c r="BM2400" s="4" t="s">
        <v>241</v>
      </c>
      <c r="BN2400" s="6">
        <f>0</f>
        <v>0</v>
      </c>
      <c r="BO2400" s="6">
        <f>0</f>
        <v>0</v>
      </c>
      <c r="BP2400" s="4" t="s">
        <v>256</v>
      </c>
      <c r="BQ2400" s="4" t="s">
        <v>257</v>
      </c>
      <c r="CE2400" s="4" t="s">
        <v>241</v>
      </c>
      <c r="CF2400" s="4" t="s">
        <v>241</v>
      </c>
      <c r="CJ2400" s="4" t="s">
        <v>276</v>
      </c>
      <c r="CK2400" s="4" t="s">
        <v>259</v>
      </c>
      <c r="CL2400" s="4" t="s">
        <v>241</v>
      </c>
      <c r="CO2400" s="5" t="s">
        <v>260</v>
      </c>
      <c r="CP2400" s="4" t="s">
        <v>241</v>
      </c>
      <c r="CQ2400" s="4" t="s">
        <v>261</v>
      </c>
      <c r="CR2400" s="4" t="s">
        <v>241</v>
      </c>
      <c r="CS2400" s="4" t="s">
        <v>241</v>
      </c>
      <c r="CT2400" s="4">
        <v>0</v>
      </c>
      <c r="CU2400" s="4" t="s">
        <v>262</v>
      </c>
      <c r="CV2400" s="4" t="s">
        <v>263</v>
      </c>
      <c r="CW2400" s="4" t="s">
        <v>263</v>
      </c>
      <c r="CX2400" s="4" t="s">
        <v>264</v>
      </c>
      <c r="DA2400" s="6">
        <f>1</f>
        <v>1</v>
      </c>
      <c r="DC2400" s="4" t="s">
        <v>325</v>
      </c>
      <c r="DD2400" s="4" t="s">
        <v>241</v>
      </c>
      <c r="DF2400" s="4" t="s">
        <v>325</v>
      </c>
      <c r="DG2400" s="6">
        <f>1006</f>
        <v>1006</v>
      </c>
      <c r="DI2400" s="4" t="s">
        <v>241</v>
      </c>
      <c r="DJ2400" s="4" t="s">
        <v>241</v>
      </c>
      <c r="DK2400" s="4" t="s">
        <v>241</v>
      </c>
      <c r="DL2400" s="4" t="s">
        <v>241</v>
      </c>
      <c r="DP2400" s="4" t="s">
        <v>241</v>
      </c>
      <c r="DQ2400" s="4" t="s">
        <v>241</v>
      </c>
      <c r="DR2400" s="4" t="s">
        <v>241</v>
      </c>
      <c r="DS2400" s="4" t="s">
        <v>241</v>
      </c>
      <c r="DV2400" s="4" t="s">
        <v>426</v>
      </c>
      <c r="DW2400" s="4" t="s">
        <v>2871</v>
      </c>
      <c r="HO2400" s="4" t="s">
        <v>267</v>
      </c>
    </row>
    <row r="2401" spans="1:223" ht="19.5" customHeight="1" x14ac:dyDescent="0.4">
      <c r="A2401" s="4">
        <v>1</v>
      </c>
      <c r="B2401" s="4" t="s">
        <v>239</v>
      </c>
      <c r="C2401" s="4">
        <v>4104</v>
      </c>
      <c r="D2401" s="4">
        <v>1</v>
      </c>
      <c r="E2401" s="4">
        <v>1</v>
      </c>
      <c r="F2401" s="4" t="s">
        <v>268</v>
      </c>
      <c r="G2401" s="4" t="s">
        <v>241</v>
      </c>
      <c r="H2401" s="4" t="s">
        <v>241</v>
      </c>
      <c r="I2401" s="4" t="s">
        <v>424</v>
      </c>
      <c r="J2401" s="4" t="s">
        <v>274</v>
      </c>
      <c r="K2401" s="4" t="s">
        <v>251</v>
      </c>
      <c r="L2401" s="4" t="s">
        <v>423</v>
      </c>
      <c r="M2401" s="5" t="s">
        <v>3450</v>
      </c>
      <c r="N2401" s="6">
        <f>20</f>
        <v>20</v>
      </c>
      <c r="O2401" s="4" t="s">
        <v>265</v>
      </c>
      <c r="P2401" s="6">
        <f>1</f>
        <v>1</v>
      </c>
      <c r="Q2401" s="6">
        <f>0</f>
        <v>0</v>
      </c>
      <c r="S2401" s="6">
        <f>0</f>
        <v>0</v>
      </c>
      <c r="T2401" s="6">
        <f>1</f>
        <v>1</v>
      </c>
      <c r="U2401" s="5" t="s">
        <v>245</v>
      </c>
      <c r="V2401" s="4" t="s">
        <v>270</v>
      </c>
      <c r="W2401" s="4" t="s">
        <v>271</v>
      </c>
      <c r="X2401" s="4" t="s">
        <v>273</v>
      </c>
      <c r="Y2401" s="4" t="s">
        <v>241</v>
      </c>
      <c r="AB2401" s="4" t="s">
        <v>241</v>
      </c>
      <c r="AD2401" s="5" t="s">
        <v>241</v>
      </c>
      <c r="AG2401" s="5" t="s">
        <v>246</v>
      </c>
      <c r="AH2401" s="4" t="s">
        <v>241</v>
      </c>
      <c r="AI2401" s="4" t="s">
        <v>247</v>
      </c>
      <c r="AJ2401" s="4" t="s">
        <v>248</v>
      </c>
      <c r="AZ2401" s="4" t="s">
        <v>249</v>
      </c>
      <c r="BA2401" s="4" t="s">
        <v>241</v>
      </c>
      <c r="BB2401" s="4" t="s">
        <v>250</v>
      </c>
      <c r="BC2401" s="4" t="s">
        <v>241</v>
      </c>
      <c r="BD2401" s="4" t="s">
        <v>252</v>
      </c>
      <c r="BE2401" s="4" t="s">
        <v>241</v>
      </c>
      <c r="BI2401" s="4" t="s">
        <v>253</v>
      </c>
      <c r="BJ2401" s="5" t="s">
        <v>246</v>
      </c>
      <c r="BK2401" s="4" t="s">
        <v>254</v>
      </c>
      <c r="BL2401" s="4" t="s">
        <v>255</v>
      </c>
      <c r="BM2401" s="4" t="s">
        <v>241</v>
      </c>
      <c r="BN2401" s="6">
        <f>0</f>
        <v>0</v>
      </c>
      <c r="BO2401" s="6">
        <f>0</f>
        <v>0</v>
      </c>
      <c r="BP2401" s="4" t="s">
        <v>256</v>
      </c>
      <c r="BQ2401" s="4" t="s">
        <v>257</v>
      </c>
      <c r="CE2401" s="4" t="s">
        <v>241</v>
      </c>
      <c r="CF2401" s="4" t="s">
        <v>241</v>
      </c>
      <c r="CJ2401" s="4" t="s">
        <v>276</v>
      </c>
      <c r="CK2401" s="4" t="s">
        <v>259</v>
      </c>
      <c r="CL2401" s="4" t="s">
        <v>241</v>
      </c>
      <c r="CO2401" s="5" t="s">
        <v>260</v>
      </c>
      <c r="CP2401" s="4" t="s">
        <v>241</v>
      </c>
      <c r="CQ2401" s="4" t="s">
        <v>261</v>
      </c>
      <c r="CR2401" s="4" t="s">
        <v>241</v>
      </c>
      <c r="CS2401" s="4" t="s">
        <v>241</v>
      </c>
      <c r="CT2401" s="4">
        <v>0</v>
      </c>
      <c r="CU2401" s="4" t="s">
        <v>262</v>
      </c>
      <c r="CV2401" s="4" t="s">
        <v>263</v>
      </c>
      <c r="CW2401" s="4" t="s">
        <v>263</v>
      </c>
      <c r="CX2401" s="4" t="s">
        <v>264</v>
      </c>
      <c r="DA2401" s="6">
        <f>1</f>
        <v>1</v>
      </c>
      <c r="DC2401" s="4" t="s">
        <v>325</v>
      </c>
      <c r="DD2401" s="4" t="s">
        <v>241</v>
      </c>
      <c r="DF2401" s="4" t="s">
        <v>325</v>
      </c>
      <c r="DG2401" s="6">
        <f>20</f>
        <v>20</v>
      </c>
      <c r="DI2401" s="4" t="s">
        <v>241</v>
      </c>
      <c r="DJ2401" s="4" t="s">
        <v>241</v>
      </c>
      <c r="DK2401" s="4" t="s">
        <v>241</v>
      </c>
      <c r="DL2401" s="4" t="s">
        <v>241</v>
      </c>
      <c r="DP2401" s="4" t="s">
        <v>241</v>
      </c>
      <c r="DQ2401" s="4" t="s">
        <v>241</v>
      </c>
      <c r="DR2401" s="4" t="s">
        <v>241</v>
      </c>
      <c r="DS2401" s="4" t="s">
        <v>241</v>
      </c>
      <c r="DV2401" s="4" t="s">
        <v>426</v>
      </c>
      <c r="DW2401" s="4" t="s">
        <v>2861</v>
      </c>
      <c r="HO2401" s="4" t="s">
        <v>267</v>
      </c>
    </row>
    <row r="2402" spans="1:223" ht="19.5" customHeight="1" x14ac:dyDescent="0.4">
      <c r="A2402" s="4">
        <v>1</v>
      </c>
      <c r="B2402" s="4" t="s">
        <v>239</v>
      </c>
      <c r="C2402" s="4">
        <v>4105</v>
      </c>
      <c r="D2402" s="4">
        <v>1</v>
      </c>
      <c r="E2402" s="4">
        <v>1</v>
      </c>
      <c r="F2402" s="4" t="s">
        <v>268</v>
      </c>
      <c r="G2402" s="4" t="s">
        <v>241</v>
      </c>
      <c r="H2402" s="4" t="s">
        <v>241</v>
      </c>
      <c r="I2402" s="4" t="s">
        <v>424</v>
      </c>
      <c r="J2402" s="4" t="s">
        <v>274</v>
      </c>
      <c r="K2402" s="4" t="s">
        <v>251</v>
      </c>
      <c r="L2402" s="4" t="s">
        <v>423</v>
      </c>
      <c r="M2402" s="5" t="s">
        <v>3454</v>
      </c>
      <c r="N2402" s="6">
        <f>107</f>
        <v>107</v>
      </c>
      <c r="O2402" s="4" t="s">
        <v>265</v>
      </c>
      <c r="P2402" s="6">
        <f>1</f>
        <v>1</v>
      </c>
      <c r="Q2402" s="6">
        <f>0</f>
        <v>0</v>
      </c>
      <c r="S2402" s="6">
        <f>0</f>
        <v>0</v>
      </c>
      <c r="T2402" s="6">
        <f>1</f>
        <v>1</v>
      </c>
      <c r="U2402" s="5" t="s">
        <v>245</v>
      </c>
      <c r="V2402" s="4" t="s">
        <v>270</v>
      </c>
      <c r="W2402" s="4" t="s">
        <v>271</v>
      </c>
      <c r="X2402" s="4" t="s">
        <v>273</v>
      </c>
      <c r="Y2402" s="4" t="s">
        <v>241</v>
      </c>
      <c r="AB2402" s="4" t="s">
        <v>241</v>
      </c>
      <c r="AD2402" s="5" t="s">
        <v>241</v>
      </c>
      <c r="AG2402" s="5" t="s">
        <v>246</v>
      </c>
      <c r="AH2402" s="4" t="s">
        <v>241</v>
      </c>
      <c r="AI2402" s="4" t="s">
        <v>247</v>
      </c>
      <c r="AJ2402" s="4" t="s">
        <v>248</v>
      </c>
      <c r="AZ2402" s="4" t="s">
        <v>249</v>
      </c>
      <c r="BA2402" s="4" t="s">
        <v>241</v>
      </c>
      <c r="BB2402" s="4" t="s">
        <v>250</v>
      </c>
      <c r="BC2402" s="4" t="s">
        <v>241</v>
      </c>
      <c r="BD2402" s="4" t="s">
        <v>252</v>
      </c>
      <c r="BE2402" s="4" t="s">
        <v>241</v>
      </c>
      <c r="BI2402" s="4" t="s">
        <v>253</v>
      </c>
      <c r="BJ2402" s="5" t="s">
        <v>246</v>
      </c>
      <c r="BK2402" s="4" t="s">
        <v>254</v>
      </c>
      <c r="BL2402" s="4" t="s">
        <v>255</v>
      </c>
      <c r="BM2402" s="4" t="s">
        <v>241</v>
      </c>
      <c r="BN2402" s="6">
        <f>0</f>
        <v>0</v>
      </c>
      <c r="BO2402" s="6">
        <f>0</f>
        <v>0</v>
      </c>
      <c r="BP2402" s="4" t="s">
        <v>256</v>
      </c>
      <c r="BQ2402" s="4" t="s">
        <v>257</v>
      </c>
      <c r="CE2402" s="4" t="s">
        <v>241</v>
      </c>
      <c r="CF2402" s="4" t="s">
        <v>241</v>
      </c>
      <c r="CJ2402" s="4" t="s">
        <v>276</v>
      </c>
      <c r="CK2402" s="4" t="s">
        <v>259</v>
      </c>
      <c r="CL2402" s="4" t="s">
        <v>241</v>
      </c>
      <c r="CO2402" s="5" t="s">
        <v>260</v>
      </c>
      <c r="CP2402" s="4" t="s">
        <v>241</v>
      </c>
      <c r="CQ2402" s="4" t="s">
        <v>261</v>
      </c>
      <c r="CR2402" s="4" t="s">
        <v>241</v>
      </c>
      <c r="CS2402" s="4" t="s">
        <v>241</v>
      </c>
      <c r="CT2402" s="4">
        <v>0</v>
      </c>
      <c r="CU2402" s="4" t="s">
        <v>262</v>
      </c>
      <c r="CV2402" s="4" t="s">
        <v>263</v>
      </c>
      <c r="CW2402" s="4" t="s">
        <v>263</v>
      </c>
      <c r="CX2402" s="4" t="s">
        <v>264</v>
      </c>
      <c r="DA2402" s="6">
        <f>1</f>
        <v>1</v>
      </c>
      <c r="DC2402" s="4" t="s">
        <v>325</v>
      </c>
      <c r="DD2402" s="4" t="s">
        <v>241</v>
      </c>
      <c r="DF2402" s="4" t="s">
        <v>325</v>
      </c>
      <c r="DG2402" s="6">
        <f>107</f>
        <v>107</v>
      </c>
      <c r="DI2402" s="4" t="s">
        <v>241</v>
      </c>
      <c r="DJ2402" s="4" t="s">
        <v>241</v>
      </c>
      <c r="DK2402" s="4" t="s">
        <v>241</v>
      </c>
      <c r="DL2402" s="4" t="s">
        <v>241</v>
      </c>
      <c r="DP2402" s="4" t="s">
        <v>241</v>
      </c>
      <c r="DQ2402" s="4" t="s">
        <v>241</v>
      </c>
      <c r="DR2402" s="4" t="s">
        <v>241</v>
      </c>
      <c r="DS2402" s="4" t="s">
        <v>241</v>
      </c>
      <c r="DV2402" s="4" t="s">
        <v>426</v>
      </c>
      <c r="DW2402" s="4" t="s">
        <v>2873</v>
      </c>
      <c r="HO2402" s="4" t="s">
        <v>267</v>
      </c>
    </row>
    <row r="2403" spans="1:223" ht="19.5" customHeight="1" x14ac:dyDescent="0.4">
      <c r="A2403" s="4">
        <v>1</v>
      </c>
      <c r="B2403" s="4" t="s">
        <v>239</v>
      </c>
      <c r="C2403" s="4">
        <v>4106</v>
      </c>
      <c r="D2403" s="4">
        <v>1</v>
      </c>
      <c r="E2403" s="4">
        <v>1</v>
      </c>
      <c r="F2403" s="4" t="s">
        <v>268</v>
      </c>
      <c r="G2403" s="4" t="s">
        <v>241</v>
      </c>
      <c r="H2403" s="4" t="s">
        <v>241</v>
      </c>
      <c r="I2403" s="4" t="s">
        <v>424</v>
      </c>
      <c r="J2403" s="4" t="s">
        <v>274</v>
      </c>
      <c r="K2403" s="4" t="s">
        <v>251</v>
      </c>
      <c r="L2403" s="4" t="s">
        <v>423</v>
      </c>
      <c r="M2403" s="5" t="s">
        <v>3459</v>
      </c>
      <c r="N2403" s="6">
        <f>957</f>
        <v>957</v>
      </c>
      <c r="O2403" s="4" t="s">
        <v>265</v>
      </c>
      <c r="P2403" s="6">
        <f>1</f>
        <v>1</v>
      </c>
      <c r="Q2403" s="6">
        <f>0</f>
        <v>0</v>
      </c>
      <c r="S2403" s="6">
        <f>0</f>
        <v>0</v>
      </c>
      <c r="T2403" s="6">
        <f>1</f>
        <v>1</v>
      </c>
      <c r="U2403" s="5" t="s">
        <v>245</v>
      </c>
      <c r="V2403" s="4" t="s">
        <v>270</v>
      </c>
      <c r="W2403" s="4" t="s">
        <v>271</v>
      </c>
      <c r="X2403" s="4" t="s">
        <v>273</v>
      </c>
      <c r="Y2403" s="4" t="s">
        <v>241</v>
      </c>
      <c r="AB2403" s="4" t="s">
        <v>241</v>
      </c>
      <c r="AD2403" s="5" t="s">
        <v>241</v>
      </c>
      <c r="AG2403" s="5" t="s">
        <v>246</v>
      </c>
      <c r="AH2403" s="4" t="s">
        <v>241</v>
      </c>
      <c r="AI2403" s="4" t="s">
        <v>247</v>
      </c>
      <c r="AJ2403" s="4" t="s">
        <v>248</v>
      </c>
      <c r="AZ2403" s="4" t="s">
        <v>249</v>
      </c>
      <c r="BA2403" s="4" t="s">
        <v>241</v>
      </c>
      <c r="BB2403" s="4" t="s">
        <v>250</v>
      </c>
      <c r="BC2403" s="4" t="s">
        <v>241</v>
      </c>
      <c r="BD2403" s="4" t="s">
        <v>252</v>
      </c>
      <c r="BE2403" s="4" t="s">
        <v>241</v>
      </c>
      <c r="BI2403" s="4" t="s">
        <v>253</v>
      </c>
      <c r="BJ2403" s="5" t="s">
        <v>246</v>
      </c>
      <c r="BK2403" s="4" t="s">
        <v>254</v>
      </c>
      <c r="BL2403" s="4" t="s">
        <v>255</v>
      </c>
      <c r="BM2403" s="4" t="s">
        <v>241</v>
      </c>
      <c r="BN2403" s="6">
        <f>0</f>
        <v>0</v>
      </c>
      <c r="BO2403" s="6">
        <f>0</f>
        <v>0</v>
      </c>
      <c r="BP2403" s="4" t="s">
        <v>256</v>
      </c>
      <c r="BQ2403" s="4" t="s">
        <v>257</v>
      </c>
      <c r="CE2403" s="4" t="s">
        <v>241</v>
      </c>
      <c r="CF2403" s="4" t="s">
        <v>241</v>
      </c>
      <c r="CJ2403" s="4" t="s">
        <v>276</v>
      </c>
      <c r="CK2403" s="4" t="s">
        <v>259</v>
      </c>
      <c r="CL2403" s="4" t="s">
        <v>241</v>
      </c>
      <c r="CO2403" s="5" t="s">
        <v>260</v>
      </c>
      <c r="CP2403" s="4" t="s">
        <v>241</v>
      </c>
      <c r="CQ2403" s="4" t="s">
        <v>261</v>
      </c>
      <c r="CR2403" s="4" t="s">
        <v>241</v>
      </c>
      <c r="CS2403" s="4" t="s">
        <v>241</v>
      </c>
      <c r="CT2403" s="4">
        <v>0</v>
      </c>
      <c r="CU2403" s="4" t="s">
        <v>262</v>
      </c>
      <c r="CV2403" s="4" t="s">
        <v>263</v>
      </c>
      <c r="CW2403" s="4" t="s">
        <v>263</v>
      </c>
      <c r="CX2403" s="4" t="s">
        <v>264</v>
      </c>
      <c r="DA2403" s="6">
        <f>1</f>
        <v>1</v>
      </c>
      <c r="DC2403" s="4" t="s">
        <v>325</v>
      </c>
      <c r="DD2403" s="4" t="s">
        <v>241</v>
      </c>
      <c r="DF2403" s="4" t="s">
        <v>325</v>
      </c>
      <c r="DG2403" s="6">
        <f>957</f>
        <v>957</v>
      </c>
      <c r="DI2403" s="4" t="s">
        <v>241</v>
      </c>
      <c r="DJ2403" s="4" t="s">
        <v>241</v>
      </c>
      <c r="DK2403" s="4" t="s">
        <v>241</v>
      </c>
      <c r="DL2403" s="4" t="s">
        <v>241</v>
      </c>
      <c r="DP2403" s="4" t="s">
        <v>241</v>
      </c>
      <c r="DQ2403" s="4" t="s">
        <v>241</v>
      </c>
      <c r="DR2403" s="4" t="s">
        <v>241</v>
      </c>
      <c r="DS2403" s="4" t="s">
        <v>241</v>
      </c>
      <c r="DV2403" s="4" t="s">
        <v>426</v>
      </c>
      <c r="DW2403" s="4" t="s">
        <v>2952</v>
      </c>
      <c r="HO2403" s="4" t="s">
        <v>267</v>
      </c>
    </row>
    <row r="2404" spans="1:223" ht="19.5" customHeight="1" x14ac:dyDescent="0.4">
      <c r="A2404" s="4">
        <v>1</v>
      </c>
      <c r="B2404" s="4" t="s">
        <v>239</v>
      </c>
      <c r="C2404" s="4">
        <v>4107</v>
      </c>
      <c r="D2404" s="4">
        <v>1</v>
      </c>
      <c r="E2404" s="4">
        <v>1</v>
      </c>
      <c r="F2404" s="4" t="s">
        <v>268</v>
      </c>
      <c r="G2404" s="4" t="s">
        <v>241</v>
      </c>
      <c r="H2404" s="4" t="s">
        <v>241</v>
      </c>
      <c r="I2404" s="4" t="s">
        <v>424</v>
      </c>
      <c r="J2404" s="4" t="s">
        <v>274</v>
      </c>
      <c r="K2404" s="4" t="s">
        <v>251</v>
      </c>
      <c r="L2404" s="4" t="s">
        <v>423</v>
      </c>
      <c r="M2404" s="5" t="s">
        <v>3463</v>
      </c>
      <c r="N2404" s="6">
        <f>1893</f>
        <v>1893</v>
      </c>
      <c r="O2404" s="4" t="s">
        <v>265</v>
      </c>
      <c r="P2404" s="6">
        <f>1</f>
        <v>1</v>
      </c>
      <c r="Q2404" s="6">
        <f>0</f>
        <v>0</v>
      </c>
      <c r="S2404" s="6">
        <f>0</f>
        <v>0</v>
      </c>
      <c r="T2404" s="6">
        <f>1</f>
        <v>1</v>
      </c>
      <c r="U2404" s="5" t="s">
        <v>245</v>
      </c>
      <c r="V2404" s="4" t="s">
        <v>270</v>
      </c>
      <c r="W2404" s="4" t="s">
        <v>271</v>
      </c>
      <c r="X2404" s="4" t="s">
        <v>273</v>
      </c>
      <c r="Y2404" s="4" t="s">
        <v>241</v>
      </c>
      <c r="AB2404" s="4" t="s">
        <v>241</v>
      </c>
      <c r="AD2404" s="5" t="s">
        <v>241</v>
      </c>
      <c r="AG2404" s="5" t="s">
        <v>246</v>
      </c>
      <c r="AH2404" s="4" t="s">
        <v>241</v>
      </c>
      <c r="AI2404" s="4" t="s">
        <v>247</v>
      </c>
      <c r="AJ2404" s="4" t="s">
        <v>248</v>
      </c>
      <c r="AZ2404" s="4" t="s">
        <v>249</v>
      </c>
      <c r="BA2404" s="4" t="s">
        <v>241</v>
      </c>
      <c r="BB2404" s="4" t="s">
        <v>250</v>
      </c>
      <c r="BC2404" s="4" t="s">
        <v>241</v>
      </c>
      <c r="BD2404" s="4" t="s">
        <v>252</v>
      </c>
      <c r="BE2404" s="4" t="s">
        <v>241</v>
      </c>
      <c r="BI2404" s="4" t="s">
        <v>253</v>
      </c>
      <c r="BJ2404" s="5" t="s">
        <v>246</v>
      </c>
      <c r="BK2404" s="4" t="s">
        <v>254</v>
      </c>
      <c r="BL2404" s="4" t="s">
        <v>255</v>
      </c>
      <c r="BM2404" s="4" t="s">
        <v>241</v>
      </c>
      <c r="BN2404" s="6">
        <f>0</f>
        <v>0</v>
      </c>
      <c r="BO2404" s="6">
        <f>0</f>
        <v>0</v>
      </c>
      <c r="BP2404" s="4" t="s">
        <v>256</v>
      </c>
      <c r="BQ2404" s="4" t="s">
        <v>257</v>
      </c>
      <c r="CE2404" s="4" t="s">
        <v>241</v>
      </c>
      <c r="CF2404" s="4" t="s">
        <v>241</v>
      </c>
      <c r="CJ2404" s="4" t="s">
        <v>276</v>
      </c>
      <c r="CK2404" s="4" t="s">
        <v>259</v>
      </c>
      <c r="CL2404" s="4" t="s">
        <v>241</v>
      </c>
      <c r="CO2404" s="5" t="s">
        <v>260</v>
      </c>
      <c r="CP2404" s="4" t="s">
        <v>241</v>
      </c>
      <c r="CQ2404" s="4" t="s">
        <v>261</v>
      </c>
      <c r="CR2404" s="4" t="s">
        <v>241</v>
      </c>
      <c r="CS2404" s="4" t="s">
        <v>241</v>
      </c>
      <c r="CT2404" s="4">
        <v>0</v>
      </c>
      <c r="CU2404" s="4" t="s">
        <v>262</v>
      </c>
      <c r="CV2404" s="4" t="s">
        <v>263</v>
      </c>
      <c r="CW2404" s="4" t="s">
        <v>263</v>
      </c>
      <c r="CX2404" s="4" t="s">
        <v>264</v>
      </c>
      <c r="DA2404" s="6">
        <f>1</f>
        <v>1</v>
      </c>
      <c r="DC2404" s="4" t="s">
        <v>325</v>
      </c>
      <c r="DD2404" s="4" t="s">
        <v>241</v>
      </c>
      <c r="DF2404" s="4" t="s">
        <v>325</v>
      </c>
      <c r="DG2404" s="6">
        <f>1893</f>
        <v>1893</v>
      </c>
      <c r="DI2404" s="4" t="s">
        <v>241</v>
      </c>
      <c r="DJ2404" s="4" t="s">
        <v>241</v>
      </c>
      <c r="DK2404" s="4" t="s">
        <v>241</v>
      </c>
      <c r="DL2404" s="4" t="s">
        <v>241</v>
      </c>
      <c r="DP2404" s="4" t="s">
        <v>241</v>
      </c>
      <c r="DQ2404" s="4" t="s">
        <v>241</v>
      </c>
      <c r="DR2404" s="4" t="s">
        <v>241</v>
      </c>
      <c r="DS2404" s="4" t="s">
        <v>241</v>
      </c>
      <c r="DV2404" s="4" t="s">
        <v>426</v>
      </c>
      <c r="DW2404" s="4" t="s">
        <v>2156</v>
      </c>
      <c r="HO2404" s="4" t="s">
        <v>267</v>
      </c>
    </row>
    <row r="2405" spans="1:223" ht="19.5" customHeight="1" x14ac:dyDescent="0.4">
      <c r="A2405" s="4">
        <v>1</v>
      </c>
      <c r="B2405" s="4" t="s">
        <v>239</v>
      </c>
      <c r="C2405" s="4">
        <v>4108</v>
      </c>
      <c r="D2405" s="4">
        <v>1</v>
      </c>
      <c r="E2405" s="4">
        <v>1</v>
      </c>
      <c r="F2405" s="4" t="s">
        <v>268</v>
      </c>
      <c r="G2405" s="4" t="s">
        <v>241</v>
      </c>
      <c r="H2405" s="4" t="s">
        <v>241</v>
      </c>
      <c r="I2405" s="4" t="s">
        <v>424</v>
      </c>
      <c r="J2405" s="4" t="s">
        <v>274</v>
      </c>
      <c r="K2405" s="4" t="s">
        <v>251</v>
      </c>
      <c r="L2405" s="4" t="s">
        <v>423</v>
      </c>
      <c r="M2405" s="5" t="s">
        <v>3468</v>
      </c>
      <c r="N2405" s="6">
        <f>1023</f>
        <v>1023</v>
      </c>
      <c r="O2405" s="4" t="s">
        <v>265</v>
      </c>
      <c r="P2405" s="6">
        <f>1</f>
        <v>1</v>
      </c>
      <c r="Q2405" s="6">
        <f>0</f>
        <v>0</v>
      </c>
      <c r="S2405" s="6">
        <f>0</f>
        <v>0</v>
      </c>
      <c r="T2405" s="6">
        <f>1</f>
        <v>1</v>
      </c>
      <c r="U2405" s="5" t="s">
        <v>245</v>
      </c>
      <c r="V2405" s="4" t="s">
        <v>270</v>
      </c>
      <c r="W2405" s="4" t="s">
        <v>271</v>
      </c>
      <c r="X2405" s="4" t="s">
        <v>273</v>
      </c>
      <c r="Y2405" s="4" t="s">
        <v>241</v>
      </c>
      <c r="AB2405" s="4" t="s">
        <v>241</v>
      </c>
      <c r="AD2405" s="5" t="s">
        <v>241</v>
      </c>
      <c r="AG2405" s="5" t="s">
        <v>246</v>
      </c>
      <c r="AH2405" s="4" t="s">
        <v>241</v>
      </c>
      <c r="AI2405" s="4" t="s">
        <v>247</v>
      </c>
      <c r="AJ2405" s="4" t="s">
        <v>248</v>
      </c>
      <c r="AZ2405" s="4" t="s">
        <v>249</v>
      </c>
      <c r="BA2405" s="4" t="s">
        <v>241</v>
      </c>
      <c r="BB2405" s="4" t="s">
        <v>250</v>
      </c>
      <c r="BC2405" s="4" t="s">
        <v>241</v>
      </c>
      <c r="BD2405" s="4" t="s">
        <v>252</v>
      </c>
      <c r="BE2405" s="4" t="s">
        <v>241</v>
      </c>
      <c r="BI2405" s="4" t="s">
        <v>253</v>
      </c>
      <c r="BJ2405" s="5" t="s">
        <v>246</v>
      </c>
      <c r="BK2405" s="4" t="s">
        <v>254</v>
      </c>
      <c r="BL2405" s="4" t="s">
        <v>255</v>
      </c>
      <c r="BM2405" s="4" t="s">
        <v>241</v>
      </c>
      <c r="BN2405" s="6">
        <f>0</f>
        <v>0</v>
      </c>
      <c r="BO2405" s="6">
        <f>0</f>
        <v>0</v>
      </c>
      <c r="BP2405" s="4" t="s">
        <v>256</v>
      </c>
      <c r="BQ2405" s="4" t="s">
        <v>257</v>
      </c>
      <c r="CE2405" s="4" t="s">
        <v>241</v>
      </c>
      <c r="CF2405" s="4" t="s">
        <v>241</v>
      </c>
      <c r="CJ2405" s="4" t="s">
        <v>276</v>
      </c>
      <c r="CK2405" s="4" t="s">
        <v>259</v>
      </c>
      <c r="CL2405" s="4" t="s">
        <v>241</v>
      </c>
      <c r="CO2405" s="5" t="s">
        <v>260</v>
      </c>
      <c r="CP2405" s="4" t="s">
        <v>241</v>
      </c>
      <c r="CQ2405" s="4" t="s">
        <v>261</v>
      </c>
      <c r="CR2405" s="4" t="s">
        <v>241</v>
      </c>
      <c r="CS2405" s="4" t="s">
        <v>241</v>
      </c>
      <c r="CT2405" s="4">
        <v>0</v>
      </c>
      <c r="CU2405" s="4" t="s">
        <v>262</v>
      </c>
      <c r="CV2405" s="4" t="s">
        <v>263</v>
      </c>
      <c r="CW2405" s="4" t="s">
        <v>263</v>
      </c>
      <c r="CX2405" s="4" t="s">
        <v>264</v>
      </c>
      <c r="DA2405" s="6">
        <f>1</f>
        <v>1</v>
      </c>
      <c r="DC2405" s="4" t="s">
        <v>325</v>
      </c>
      <c r="DD2405" s="4" t="s">
        <v>241</v>
      </c>
      <c r="DF2405" s="4" t="s">
        <v>325</v>
      </c>
      <c r="DG2405" s="6">
        <f>1023</f>
        <v>1023</v>
      </c>
      <c r="DI2405" s="4" t="s">
        <v>241</v>
      </c>
      <c r="DJ2405" s="4" t="s">
        <v>241</v>
      </c>
      <c r="DK2405" s="4" t="s">
        <v>241</v>
      </c>
      <c r="DL2405" s="4" t="s">
        <v>241</v>
      </c>
      <c r="DP2405" s="4" t="s">
        <v>241</v>
      </c>
      <c r="DQ2405" s="4" t="s">
        <v>241</v>
      </c>
      <c r="DR2405" s="4" t="s">
        <v>241</v>
      </c>
      <c r="DS2405" s="4" t="s">
        <v>241</v>
      </c>
      <c r="DV2405" s="4" t="s">
        <v>426</v>
      </c>
      <c r="DW2405" s="4" t="s">
        <v>2948</v>
      </c>
      <c r="HO2405" s="4" t="s">
        <v>267</v>
      </c>
    </row>
    <row r="2406" spans="1:223" ht="19.5" customHeight="1" x14ac:dyDescent="0.4">
      <c r="A2406" s="4">
        <v>1</v>
      </c>
      <c r="B2406" s="4" t="s">
        <v>239</v>
      </c>
      <c r="C2406" s="4">
        <v>4109</v>
      </c>
      <c r="D2406" s="4">
        <v>1</v>
      </c>
      <c r="E2406" s="4">
        <v>1</v>
      </c>
      <c r="F2406" s="4" t="s">
        <v>268</v>
      </c>
      <c r="G2406" s="4" t="s">
        <v>241</v>
      </c>
      <c r="H2406" s="4" t="s">
        <v>241</v>
      </c>
      <c r="I2406" s="4" t="s">
        <v>424</v>
      </c>
      <c r="J2406" s="4" t="s">
        <v>274</v>
      </c>
      <c r="K2406" s="4" t="s">
        <v>251</v>
      </c>
      <c r="L2406" s="4" t="s">
        <v>423</v>
      </c>
      <c r="M2406" s="5" t="s">
        <v>3471</v>
      </c>
      <c r="N2406" s="6">
        <f>1038</f>
        <v>1038</v>
      </c>
      <c r="O2406" s="4" t="s">
        <v>265</v>
      </c>
      <c r="P2406" s="6">
        <f>1</f>
        <v>1</v>
      </c>
      <c r="Q2406" s="6">
        <f>0</f>
        <v>0</v>
      </c>
      <c r="S2406" s="6">
        <f>0</f>
        <v>0</v>
      </c>
      <c r="T2406" s="6">
        <f>1</f>
        <v>1</v>
      </c>
      <c r="U2406" s="5" t="s">
        <v>245</v>
      </c>
      <c r="V2406" s="4" t="s">
        <v>270</v>
      </c>
      <c r="W2406" s="4" t="s">
        <v>271</v>
      </c>
      <c r="X2406" s="4" t="s">
        <v>273</v>
      </c>
      <c r="Y2406" s="4" t="s">
        <v>241</v>
      </c>
      <c r="AB2406" s="4" t="s">
        <v>241</v>
      </c>
      <c r="AD2406" s="5" t="s">
        <v>241</v>
      </c>
      <c r="AG2406" s="5" t="s">
        <v>246</v>
      </c>
      <c r="AH2406" s="4" t="s">
        <v>241</v>
      </c>
      <c r="AI2406" s="4" t="s">
        <v>247</v>
      </c>
      <c r="AJ2406" s="4" t="s">
        <v>248</v>
      </c>
      <c r="AZ2406" s="4" t="s">
        <v>249</v>
      </c>
      <c r="BA2406" s="4" t="s">
        <v>241</v>
      </c>
      <c r="BB2406" s="4" t="s">
        <v>250</v>
      </c>
      <c r="BC2406" s="4" t="s">
        <v>241</v>
      </c>
      <c r="BD2406" s="4" t="s">
        <v>252</v>
      </c>
      <c r="BE2406" s="4" t="s">
        <v>241</v>
      </c>
      <c r="BI2406" s="4" t="s">
        <v>253</v>
      </c>
      <c r="BJ2406" s="5" t="s">
        <v>246</v>
      </c>
      <c r="BK2406" s="4" t="s">
        <v>254</v>
      </c>
      <c r="BL2406" s="4" t="s">
        <v>255</v>
      </c>
      <c r="BM2406" s="4" t="s">
        <v>241</v>
      </c>
      <c r="BN2406" s="6">
        <f>0</f>
        <v>0</v>
      </c>
      <c r="BO2406" s="6">
        <f>0</f>
        <v>0</v>
      </c>
      <c r="BP2406" s="4" t="s">
        <v>256</v>
      </c>
      <c r="BQ2406" s="4" t="s">
        <v>257</v>
      </c>
      <c r="CE2406" s="4" t="s">
        <v>241</v>
      </c>
      <c r="CF2406" s="4" t="s">
        <v>241</v>
      </c>
      <c r="CJ2406" s="4" t="s">
        <v>276</v>
      </c>
      <c r="CK2406" s="4" t="s">
        <v>259</v>
      </c>
      <c r="CL2406" s="4" t="s">
        <v>241</v>
      </c>
      <c r="CO2406" s="5" t="s">
        <v>260</v>
      </c>
      <c r="CP2406" s="4" t="s">
        <v>241</v>
      </c>
      <c r="CQ2406" s="4" t="s">
        <v>261</v>
      </c>
      <c r="CR2406" s="4" t="s">
        <v>241</v>
      </c>
      <c r="CS2406" s="4" t="s">
        <v>241</v>
      </c>
      <c r="CT2406" s="4">
        <v>0</v>
      </c>
      <c r="CU2406" s="4" t="s">
        <v>262</v>
      </c>
      <c r="CV2406" s="4" t="s">
        <v>263</v>
      </c>
      <c r="CW2406" s="4" t="s">
        <v>263</v>
      </c>
      <c r="CX2406" s="4" t="s">
        <v>264</v>
      </c>
      <c r="DA2406" s="6">
        <f>1</f>
        <v>1</v>
      </c>
      <c r="DC2406" s="4" t="s">
        <v>325</v>
      </c>
      <c r="DD2406" s="4" t="s">
        <v>241</v>
      </c>
      <c r="DF2406" s="4" t="s">
        <v>325</v>
      </c>
      <c r="DG2406" s="6">
        <f>1038</f>
        <v>1038</v>
      </c>
      <c r="DI2406" s="4" t="s">
        <v>241</v>
      </c>
      <c r="DJ2406" s="4" t="s">
        <v>241</v>
      </c>
      <c r="DK2406" s="4" t="s">
        <v>241</v>
      </c>
      <c r="DL2406" s="4" t="s">
        <v>241</v>
      </c>
      <c r="DP2406" s="4" t="s">
        <v>241</v>
      </c>
      <c r="DQ2406" s="4" t="s">
        <v>241</v>
      </c>
      <c r="DR2406" s="4" t="s">
        <v>241</v>
      </c>
      <c r="DS2406" s="4" t="s">
        <v>241</v>
      </c>
      <c r="DV2406" s="4" t="s">
        <v>426</v>
      </c>
      <c r="DW2406" s="4" t="s">
        <v>2853</v>
      </c>
      <c r="HO2406" s="4" t="s">
        <v>267</v>
      </c>
    </row>
    <row r="2407" spans="1:223" ht="19.5" customHeight="1" x14ac:dyDescent="0.4">
      <c r="A2407" s="4">
        <v>1</v>
      </c>
      <c r="B2407" s="4" t="s">
        <v>239</v>
      </c>
      <c r="C2407" s="4">
        <v>4110</v>
      </c>
      <c r="D2407" s="4">
        <v>1</v>
      </c>
      <c r="E2407" s="4">
        <v>1</v>
      </c>
      <c r="F2407" s="4" t="s">
        <v>268</v>
      </c>
      <c r="G2407" s="4" t="s">
        <v>241</v>
      </c>
      <c r="H2407" s="4" t="s">
        <v>241</v>
      </c>
      <c r="I2407" s="4" t="s">
        <v>424</v>
      </c>
      <c r="J2407" s="4" t="s">
        <v>274</v>
      </c>
      <c r="K2407" s="4" t="s">
        <v>251</v>
      </c>
      <c r="L2407" s="4" t="s">
        <v>423</v>
      </c>
      <c r="M2407" s="5" t="s">
        <v>3473</v>
      </c>
      <c r="N2407" s="6">
        <f>1897</f>
        <v>1897</v>
      </c>
      <c r="O2407" s="4" t="s">
        <v>265</v>
      </c>
      <c r="P2407" s="6">
        <f>1</f>
        <v>1</v>
      </c>
      <c r="Q2407" s="6">
        <f>0</f>
        <v>0</v>
      </c>
      <c r="S2407" s="6">
        <f>0</f>
        <v>0</v>
      </c>
      <c r="T2407" s="6">
        <f>1</f>
        <v>1</v>
      </c>
      <c r="U2407" s="5" t="s">
        <v>245</v>
      </c>
      <c r="V2407" s="4" t="s">
        <v>270</v>
      </c>
      <c r="W2407" s="4" t="s">
        <v>271</v>
      </c>
      <c r="X2407" s="4" t="s">
        <v>273</v>
      </c>
      <c r="Y2407" s="4" t="s">
        <v>241</v>
      </c>
      <c r="AB2407" s="4" t="s">
        <v>241</v>
      </c>
      <c r="AD2407" s="5" t="s">
        <v>241</v>
      </c>
      <c r="AG2407" s="5" t="s">
        <v>246</v>
      </c>
      <c r="AH2407" s="4" t="s">
        <v>241</v>
      </c>
      <c r="AI2407" s="4" t="s">
        <v>247</v>
      </c>
      <c r="AJ2407" s="4" t="s">
        <v>248</v>
      </c>
      <c r="AZ2407" s="4" t="s">
        <v>249</v>
      </c>
      <c r="BA2407" s="4" t="s">
        <v>241</v>
      </c>
      <c r="BB2407" s="4" t="s">
        <v>250</v>
      </c>
      <c r="BC2407" s="4" t="s">
        <v>241</v>
      </c>
      <c r="BD2407" s="4" t="s">
        <v>252</v>
      </c>
      <c r="BE2407" s="4" t="s">
        <v>241</v>
      </c>
      <c r="BI2407" s="4" t="s">
        <v>253</v>
      </c>
      <c r="BJ2407" s="5" t="s">
        <v>246</v>
      </c>
      <c r="BK2407" s="4" t="s">
        <v>254</v>
      </c>
      <c r="BL2407" s="4" t="s">
        <v>255</v>
      </c>
      <c r="BM2407" s="4" t="s">
        <v>241</v>
      </c>
      <c r="BN2407" s="6">
        <f>0</f>
        <v>0</v>
      </c>
      <c r="BO2407" s="6">
        <f>0</f>
        <v>0</v>
      </c>
      <c r="BP2407" s="4" t="s">
        <v>256</v>
      </c>
      <c r="BQ2407" s="4" t="s">
        <v>257</v>
      </c>
      <c r="CE2407" s="4" t="s">
        <v>241</v>
      </c>
      <c r="CF2407" s="4" t="s">
        <v>241</v>
      </c>
      <c r="CJ2407" s="4" t="s">
        <v>276</v>
      </c>
      <c r="CK2407" s="4" t="s">
        <v>259</v>
      </c>
      <c r="CL2407" s="4" t="s">
        <v>241</v>
      </c>
      <c r="CO2407" s="5" t="s">
        <v>260</v>
      </c>
      <c r="CP2407" s="4" t="s">
        <v>241</v>
      </c>
      <c r="CQ2407" s="4" t="s">
        <v>261</v>
      </c>
      <c r="CR2407" s="4" t="s">
        <v>241</v>
      </c>
      <c r="CS2407" s="4" t="s">
        <v>241</v>
      </c>
      <c r="CT2407" s="4">
        <v>0</v>
      </c>
      <c r="CU2407" s="4" t="s">
        <v>262</v>
      </c>
      <c r="CV2407" s="4" t="s">
        <v>263</v>
      </c>
      <c r="CW2407" s="4" t="s">
        <v>263</v>
      </c>
      <c r="CX2407" s="4" t="s">
        <v>264</v>
      </c>
      <c r="DA2407" s="6">
        <f>1</f>
        <v>1</v>
      </c>
      <c r="DC2407" s="4" t="s">
        <v>325</v>
      </c>
      <c r="DD2407" s="4" t="s">
        <v>241</v>
      </c>
      <c r="DF2407" s="4" t="s">
        <v>325</v>
      </c>
      <c r="DG2407" s="6">
        <f>1897</f>
        <v>1897</v>
      </c>
      <c r="DI2407" s="4" t="s">
        <v>241</v>
      </c>
      <c r="DJ2407" s="4" t="s">
        <v>241</v>
      </c>
      <c r="DK2407" s="4" t="s">
        <v>241</v>
      </c>
      <c r="DL2407" s="4" t="s">
        <v>241</v>
      </c>
      <c r="DP2407" s="4" t="s">
        <v>241</v>
      </c>
      <c r="DQ2407" s="4" t="s">
        <v>241</v>
      </c>
      <c r="DR2407" s="4" t="s">
        <v>241</v>
      </c>
      <c r="DS2407" s="4" t="s">
        <v>241</v>
      </c>
      <c r="DV2407" s="4" t="s">
        <v>426</v>
      </c>
      <c r="DW2407" s="4" t="s">
        <v>2851</v>
      </c>
      <c r="HO2407" s="4" t="s">
        <v>267</v>
      </c>
    </row>
    <row r="2408" spans="1:223" ht="19.5" customHeight="1" x14ac:dyDescent="0.4">
      <c r="A2408" s="4">
        <v>1</v>
      </c>
      <c r="B2408" s="4" t="s">
        <v>239</v>
      </c>
      <c r="C2408" s="4">
        <v>4111</v>
      </c>
      <c r="D2408" s="4">
        <v>1</v>
      </c>
      <c r="E2408" s="4">
        <v>1</v>
      </c>
      <c r="F2408" s="4" t="s">
        <v>268</v>
      </c>
      <c r="G2408" s="4" t="s">
        <v>241</v>
      </c>
      <c r="H2408" s="4" t="s">
        <v>241</v>
      </c>
      <c r="I2408" s="4" t="s">
        <v>424</v>
      </c>
      <c r="J2408" s="4" t="s">
        <v>274</v>
      </c>
      <c r="K2408" s="4" t="s">
        <v>251</v>
      </c>
      <c r="L2408" s="4" t="s">
        <v>423</v>
      </c>
      <c r="M2408" s="5" t="s">
        <v>3475</v>
      </c>
      <c r="N2408" s="6">
        <f>967</f>
        <v>967</v>
      </c>
      <c r="O2408" s="4" t="s">
        <v>265</v>
      </c>
      <c r="P2408" s="6">
        <f>1</f>
        <v>1</v>
      </c>
      <c r="Q2408" s="6">
        <f>0</f>
        <v>0</v>
      </c>
      <c r="S2408" s="6">
        <f>0</f>
        <v>0</v>
      </c>
      <c r="T2408" s="6">
        <f>1</f>
        <v>1</v>
      </c>
      <c r="U2408" s="5" t="s">
        <v>245</v>
      </c>
      <c r="V2408" s="4" t="s">
        <v>270</v>
      </c>
      <c r="W2408" s="4" t="s">
        <v>271</v>
      </c>
      <c r="X2408" s="4" t="s">
        <v>273</v>
      </c>
      <c r="Y2408" s="4" t="s">
        <v>241</v>
      </c>
      <c r="AB2408" s="4" t="s">
        <v>241</v>
      </c>
      <c r="AD2408" s="5" t="s">
        <v>241</v>
      </c>
      <c r="AG2408" s="5" t="s">
        <v>246</v>
      </c>
      <c r="AH2408" s="4" t="s">
        <v>241</v>
      </c>
      <c r="AI2408" s="4" t="s">
        <v>247</v>
      </c>
      <c r="AJ2408" s="4" t="s">
        <v>248</v>
      </c>
      <c r="AZ2408" s="4" t="s">
        <v>249</v>
      </c>
      <c r="BA2408" s="4" t="s">
        <v>241</v>
      </c>
      <c r="BB2408" s="4" t="s">
        <v>250</v>
      </c>
      <c r="BC2408" s="4" t="s">
        <v>241</v>
      </c>
      <c r="BD2408" s="4" t="s">
        <v>252</v>
      </c>
      <c r="BE2408" s="4" t="s">
        <v>241</v>
      </c>
      <c r="BI2408" s="4" t="s">
        <v>253</v>
      </c>
      <c r="BJ2408" s="5" t="s">
        <v>246</v>
      </c>
      <c r="BK2408" s="4" t="s">
        <v>254</v>
      </c>
      <c r="BL2408" s="4" t="s">
        <v>255</v>
      </c>
      <c r="BM2408" s="4" t="s">
        <v>241</v>
      </c>
      <c r="BN2408" s="6">
        <f>0</f>
        <v>0</v>
      </c>
      <c r="BO2408" s="6">
        <f>0</f>
        <v>0</v>
      </c>
      <c r="BP2408" s="4" t="s">
        <v>256</v>
      </c>
      <c r="BQ2408" s="4" t="s">
        <v>257</v>
      </c>
      <c r="CE2408" s="4" t="s">
        <v>241</v>
      </c>
      <c r="CF2408" s="4" t="s">
        <v>241</v>
      </c>
      <c r="CJ2408" s="4" t="s">
        <v>276</v>
      </c>
      <c r="CK2408" s="4" t="s">
        <v>259</v>
      </c>
      <c r="CL2408" s="4" t="s">
        <v>241</v>
      </c>
      <c r="CO2408" s="5" t="s">
        <v>260</v>
      </c>
      <c r="CP2408" s="4" t="s">
        <v>241</v>
      </c>
      <c r="CQ2408" s="4" t="s">
        <v>261</v>
      </c>
      <c r="CR2408" s="4" t="s">
        <v>241</v>
      </c>
      <c r="CS2408" s="4" t="s">
        <v>241</v>
      </c>
      <c r="CT2408" s="4">
        <v>0</v>
      </c>
      <c r="CU2408" s="4" t="s">
        <v>262</v>
      </c>
      <c r="CV2408" s="4" t="s">
        <v>263</v>
      </c>
      <c r="CW2408" s="4" t="s">
        <v>263</v>
      </c>
      <c r="CX2408" s="4" t="s">
        <v>264</v>
      </c>
      <c r="DA2408" s="6">
        <f>1</f>
        <v>1</v>
      </c>
      <c r="DC2408" s="4" t="s">
        <v>325</v>
      </c>
      <c r="DD2408" s="4" t="s">
        <v>241</v>
      </c>
      <c r="DF2408" s="4" t="s">
        <v>325</v>
      </c>
      <c r="DG2408" s="6">
        <f>967</f>
        <v>967</v>
      </c>
      <c r="DI2408" s="4" t="s">
        <v>241</v>
      </c>
      <c r="DJ2408" s="4" t="s">
        <v>241</v>
      </c>
      <c r="DK2408" s="4" t="s">
        <v>241</v>
      </c>
      <c r="DL2408" s="4" t="s">
        <v>241</v>
      </c>
      <c r="DP2408" s="4" t="s">
        <v>241</v>
      </c>
      <c r="DQ2408" s="4" t="s">
        <v>241</v>
      </c>
      <c r="DR2408" s="4" t="s">
        <v>241</v>
      </c>
      <c r="DS2408" s="4" t="s">
        <v>241</v>
      </c>
      <c r="DV2408" s="4" t="s">
        <v>426</v>
      </c>
      <c r="DW2408" s="4" t="s">
        <v>2946</v>
      </c>
      <c r="HO2408" s="4" t="s">
        <v>267</v>
      </c>
    </row>
    <row r="2409" spans="1:223" ht="19.5" customHeight="1" x14ac:dyDescent="0.4">
      <c r="A2409" s="4">
        <v>1</v>
      </c>
      <c r="B2409" s="4" t="s">
        <v>239</v>
      </c>
      <c r="C2409" s="4">
        <v>4112</v>
      </c>
      <c r="D2409" s="4">
        <v>1</v>
      </c>
      <c r="E2409" s="4">
        <v>1</v>
      </c>
      <c r="F2409" s="4" t="s">
        <v>268</v>
      </c>
      <c r="G2409" s="4" t="s">
        <v>241</v>
      </c>
      <c r="H2409" s="4" t="s">
        <v>241</v>
      </c>
      <c r="I2409" s="4" t="s">
        <v>424</v>
      </c>
      <c r="J2409" s="4" t="s">
        <v>274</v>
      </c>
      <c r="K2409" s="4" t="s">
        <v>251</v>
      </c>
      <c r="L2409" s="4" t="s">
        <v>423</v>
      </c>
      <c r="M2409" s="5" t="s">
        <v>3478</v>
      </c>
      <c r="N2409" s="6">
        <f>284</f>
        <v>284</v>
      </c>
      <c r="O2409" s="4" t="s">
        <v>265</v>
      </c>
      <c r="P2409" s="6">
        <f>1</f>
        <v>1</v>
      </c>
      <c r="Q2409" s="6">
        <f>0</f>
        <v>0</v>
      </c>
      <c r="S2409" s="6">
        <f>0</f>
        <v>0</v>
      </c>
      <c r="T2409" s="6">
        <f>1</f>
        <v>1</v>
      </c>
      <c r="U2409" s="5" t="s">
        <v>245</v>
      </c>
      <c r="V2409" s="4" t="s">
        <v>270</v>
      </c>
      <c r="W2409" s="4" t="s">
        <v>271</v>
      </c>
      <c r="X2409" s="4" t="s">
        <v>273</v>
      </c>
      <c r="Y2409" s="4" t="s">
        <v>241</v>
      </c>
      <c r="AB2409" s="4" t="s">
        <v>241</v>
      </c>
      <c r="AD2409" s="5" t="s">
        <v>241</v>
      </c>
      <c r="AG2409" s="5" t="s">
        <v>246</v>
      </c>
      <c r="AH2409" s="4" t="s">
        <v>241</v>
      </c>
      <c r="AI2409" s="4" t="s">
        <v>247</v>
      </c>
      <c r="AJ2409" s="4" t="s">
        <v>248</v>
      </c>
      <c r="AZ2409" s="4" t="s">
        <v>249</v>
      </c>
      <c r="BA2409" s="4" t="s">
        <v>241</v>
      </c>
      <c r="BB2409" s="4" t="s">
        <v>250</v>
      </c>
      <c r="BC2409" s="4" t="s">
        <v>241</v>
      </c>
      <c r="BD2409" s="4" t="s">
        <v>252</v>
      </c>
      <c r="BE2409" s="4" t="s">
        <v>241</v>
      </c>
      <c r="BI2409" s="4" t="s">
        <v>253</v>
      </c>
      <c r="BJ2409" s="5" t="s">
        <v>246</v>
      </c>
      <c r="BK2409" s="4" t="s">
        <v>254</v>
      </c>
      <c r="BL2409" s="4" t="s">
        <v>255</v>
      </c>
      <c r="BM2409" s="4" t="s">
        <v>241</v>
      </c>
      <c r="BN2409" s="6">
        <f>0</f>
        <v>0</v>
      </c>
      <c r="BO2409" s="6">
        <f>0</f>
        <v>0</v>
      </c>
      <c r="BP2409" s="4" t="s">
        <v>256</v>
      </c>
      <c r="BQ2409" s="4" t="s">
        <v>257</v>
      </c>
      <c r="CE2409" s="4" t="s">
        <v>241</v>
      </c>
      <c r="CF2409" s="4" t="s">
        <v>241</v>
      </c>
      <c r="CJ2409" s="4" t="s">
        <v>276</v>
      </c>
      <c r="CK2409" s="4" t="s">
        <v>259</v>
      </c>
      <c r="CL2409" s="4" t="s">
        <v>241</v>
      </c>
      <c r="CO2409" s="5" t="s">
        <v>260</v>
      </c>
      <c r="CP2409" s="4" t="s">
        <v>241</v>
      </c>
      <c r="CQ2409" s="4" t="s">
        <v>261</v>
      </c>
      <c r="CR2409" s="4" t="s">
        <v>241</v>
      </c>
      <c r="CS2409" s="4" t="s">
        <v>241</v>
      </c>
      <c r="CT2409" s="4">
        <v>0</v>
      </c>
      <c r="CU2409" s="4" t="s">
        <v>262</v>
      </c>
      <c r="CV2409" s="4" t="s">
        <v>263</v>
      </c>
      <c r="CW2409" s="4" t="s">
        <v>263</v>
      </c>
      <c r="CX2409" s="4" t="s">
        <v>264</v>
      </c>
      <c r="DA2409" s="6">
        <f>1</f>
        <v>1</v>
      </c>
      <c r="DC2409" s="4" t="s">
        <v>325</v>
      </c>
      <c r="DD2409" s="4" t="s">
        <v>241</v>
      </c>
      <c r="DF2409" s="4" t="s">
        <v>325</v>
      </c>
      <c r="DG2409" s="6">
        <f>284</f>
        <v>284</v>
      </c>
      <c r="DI2409" s="4" t="s">
        <v>241</v>
      </c>
      <c r="DJ2409" s="4" t="s">
        <v>241</v>
      </c>
      <c r="DK2409" s="4" t="s">
        <v>241</v>
      </c>
      <c r="DL2409" s="4" t="s">
        <v>241</v>
      </c>
      <c r="DP2409" s="4" t="s">
        <v>241</v>
      </c>
      <c r="DQ2409" s="4" t="s">
        <v>241</v>
      </c>
      <c r="DR2409" s="4" t="s">
        <v>241</v>
      </c>
      <c r="DS2409" s="4" t="s">
        <v>241</v>
      </c>
      <c r="DV2409" s="4" t="s">
        <v>426</v>
      </c>
      <c r="DW2409" s="4" t="s">
        <v>1956</v>
      </c>
      <c r="HO2409" s="4" t="s">
        <v>267</v>
      </c>
    </row>
    <row r="2410" spans="1:223" ht="19.5" customHeight="1" x14ac:dyDescent="0.4">
      <c r="A2410" s="4">
        <v>1</v>
      </c>
      <c r="B2410" s="4" t="s">
        <v>239</v>
      </c>
      <c r="C2410" s="4">
        <v>4113</v>
      </c>
      <c r="D2410" s="4">
        <v>1</v>
      </c>
      <c r="E2410" s="4">
        <v>1</v>
      </c>
      <c r="F2410" s="4" t="s">
        <v>268</v>
      </c>
      <c r="G2410" s="4" t="s">
        <v>241</v>
      </c>
      <c r="H2410" s="4" t="s">
        <v>241</v>
      </c>
      <c r="I2410" s="4" t="s">
        <v>424</v>
      </c>
      <c r="J2410" s="4" t="s">
        <v>274</v>
      </c>
      <c r="K2410" s="4" t="s">
        <v>251</v>
      </c>
      <c r="L2410" s="4" t="s">
        <v>423</v>
      </c>
      <c r="M2410" s="5" t="s">
        <v>3482</v>
      </c>
      <c r="N2410" s="6">
        <f>526</f>
        <v>526</v>
      </c>
      <c r="O2410" s="4" t="s">
        <v>265</v>
      </c>
      <c r="P2410" s="6">
        <f>1</f>
        <v>1</v>
      </c>
      <c r="Q2410" s="6">
        <f>0</f>
        <v>0</v>
      </c>
      <c r="S2410" s="6">
        <f>0</f>
        <v>0</v>
      </c>
      <c r="T2410" s="6">
        <f>1</f>
        <v>1</v>
      </c>
      <c r="U2410" s="5" t="s">
        <v>245</v>
      </c>
      <c r="V2410" s="4" t="s">
        <v>270</v>
      </c>
      <c r="W2410" s="4" t="s">
        <v>271</v>
      </c>
      <c r="X2410" s="4" t="s">
        <v>273</v>
      </c>
      <c r="Y2410" s="4" t="s">
        <v>241</v>
      </c>
      <c r="AB2410" s="4" t="s">
        <v>241</v>
      </c>
      <c r="AD2410" s="5" t="s">
        <v>241</v>
      </c>
      <c r="AG2410" s="5" t="s">
        <v>246</v>
      </c>
      <c r="AH2410" s="4" t="s">
        <v>241</v>
      </c>
      <c r="AI2410" s="4" t="s">
        <v>247</v>
      </c>
      <c r="AJ2410" s="4" t="s">
        <v>248</v>
      </c>
      <c r="AZ2410" s="4" t="s">
        <v>249</v>
      </c>
      <c r="BA2410" s="4" t="s">
        <v>241</v>
      </c>
      <c r="BB2410" s="4" t="s">
        <v>250</v>
      </c>
      <c r="BC2410" s="4" t="s">
        <v>241</v>
      </c>
      <c r="BD2410" s="4" t="s">
        <v>252</v>
      </c>
      <c r="BE2410" s="4" t="s">
        <v>241</v>
      </c>
      <c r="BI2410" s="4" t="s">
        <v>253</v>
      </c>
      <c r="BJ2410" s="5" t="s">
        <v>246</v>
      </c>
      <c r="BK2410" s="4" t="s">
        <v>254</v>
      </c>
      <c r="BL2410" s="4" t="s">
        <v>255</v>
      </c>
      <c r="BM2410" s="4" t="s">
        <v>241</v>
      </c>
      <c r="BN2410" s="6">
        <f>0</f>
        <v>0</v>
      </c>
      <c r="BO2410" s="6">
        <f>0</f>
        <v>0</v>
      </c>
      <c r="BP2410" s="4" t="s">
        <v>256</v>
      </c>
      <c r="BQ2410" s="4" t="s">
        <v>257</v>
      </c>
      <c r="CE2410" s="4" t="s">
        <v>241</v>
      </c>
      <c r="CF2410" s="4" t="s">
        <v>241</v>
      </c>
      <c r="CJ2410" s="4" t="s">
        <v>276</v>
      </c>
      <c r="CK2410" s="4" t="s">
        <v>259</v>
      </c>
      <c r="CL2410" s="4" t="s">
        <v>241</v>
      </c>
      <c r="CO2410" s="5" t="s">
        <v>260</v>
      </c>
      <c r="CP2410" s="4" t="s">
        <v>241</v>
      </c>
      <c r="CQ2410" s="4" t="s">
        <v>261</v>
      </c>
      <c r="CR2410" s="4" t="s">
        <v>241</v>
      </c>
      <c r="CS2410" s="4" t="s">
        <v>241</v>
      </c>
      <c r="CT2410" s="4">
        <v>0</v>
      </c>
      <c r="CU2410" s="4" t="s">
        <v>262</v>
      </c>
      <c r="CV2410" s="4" t="s">
        <v>263</v>
      </c>
      <c r="CW2410" s="4" t="s">
        <v>263</v>
      </c>
      <c r="CX2410" s="4" t="s">
        <v>264</v>
      </c>
      <c r="DA2410" s="6">
        <f>1</f>
        <v>1</v>
      </c>
      <c r="DC2410" s="4" t="s">
        <v>325</v>
      </c>
      <c r="DD2410" s="4" t="s">
        <v>241</v>
      </c>
      <c r="DF2410" s="4" t="s">
        <v>325</v>
      </c>
      <c r="DG2410" s="6">
        <f>526</f>
        <v>526</v>
      </c>
      <c r="DI2410" s="4" t="s">
        <v>241</v>
      </c>
      <c r="DJ2410" s="4" t="s">
        <v>241</v>
      </c>
      <c r="DK2410" s="4" t="s">
        <v>241</v>
      </c>
      <c r="DL2410" s="4" t="s">
        <v>241</v>
      </c>
      <c r="DP2410" s="4" t="s">
        <v>241</v>
      </c>
      <c r="DQ2410" s="4" t="s">
        <v>241</v>
      </c>
      <c r="DR2410" s="4" t="s">
        <v>241</v>
      </c>
      <c r="DS2410" s="4" t="s">
        <v>241</v>
      </c>
      <c r="DV2410" s="4" t="s">
        <v>426</v>
      </c>
      <c r="DW2410" s="4" t="s">
        <v>1958</v>
      </c>
      <c r="HO2410" s="4" t="s">
        <v>267</v>
      </c>
    </row>
    <row r="2411" spans="1:223" ht="19.5" customHeight="1" x14ac:dyDescent="0.4">
      <c r="A2411" s="4">
        <v>1</v>
      </c>
      <c r="B2411" s="4" t="s">
        <v>239</v>
      </c>
      <c r="C2411" s="4">
        <v>4114</v>
      </c>
      <c r="D2411" s="4">
        <v>1</v>
      </c>
      <c r="E2411" s="4">
        <v>1</v>
      </c>
      <c r="F2411" s="4" t="s">
        <v>268</v>
      </c>
      <c r="G2411" s="4" t="s">
        <v>241</v>
      </c>
      <c r="H2411" s="4" t="s">
        <v>241</v>
      </c>
      <c r="I2411" s="4" t="s">
        <v>424</v>
      </c>
      <c r="J2411" s="4" t="s">
        <v>274</v>
      </c>
      <c r="K2411" s="4" t="s">
        <v>251</v>
      </c>
      <c r="L2411" s="4" t="s">
        <v>423</v>
      </c>
      <c r="M2411" s="5" t="s">
        <v>3486</v>
      </c>
      <c r="N2411" s="6">
        <f>596</f>
        <v>596</v>
      </c>
      <c r="O2411" s="4" t="s">
        <v>265</v>
      </c>
      <c r="P2411" s="6">
        <f>1</f>
        <v>1</v>
      </c>
      <c r="Q2411" s="6">
        <f>0</f>
        <v>0</v>
      </c>
      <c r="S2411" s="6">
        <f>0</f>
        <v>0</v>
      </c>
      <c r="T2411" s="6">
        <f>1</f>
        <v>1</v>
      </c>
      <c r="U2411" s="5" t="s">
        <v>245</v>
      </c>
      <c r="V2411" s="4" t="s">
        <v>270</v>
      </c>
      <c r="W2411" s="4" t="s">
        <v>271</v>
      </c>
      <c r="X2411" s="4" t="s">
        <v>273</v>
      </c>
      <c r="Y2411" s="4" t="s">
        <v>241</v>
      </c>
      <c r="AB2411" s="4" t="s">
        <v>241</v>
      </c>
      <c r="AD2411" s="5" t="s">
        <v>241</v>
      </c>
      <c r="AG2411" s="5" t="s">
        <v>246</v>
      </c>
      <c r="AH2411" s="4" t="s">
        <v>241</v>
      </c>
      <c r="AI2411" s="4" t="s">
        <v>247</v>
      </c>
      <c r="AJ2411" s="4" t="s">
        <v>248</v>
      </c>
      <c r="AZ2411" s="4" t="s">
        <v>249</v>
      </c>
      <c r="BA2411" s="4" t="s">
        <v>241</v>
      </c>
      <c r="BB2411" s="4" t="s">
        <v>250</v>
      </c>
      <c r="BC2411" s="4" t="s">
        <v>241</v>
      </c>
      <c r="BD2411" s="4" t="s">
        <v>252</v>
      </c>
      <c r="BE2411" s="4" t="s">
        <v>241</v>
      </c>
      <c r="BI2411" s="4" t="s">
        <v>253</v>
      </c>
      <c r="BJ2411" s="5" t="s">
        <v>246</v>
      </c>
      <c r="BK2411" s="4" t="s">
        <v>254</v>
      </c>
      <c r="BL2411" s="4" t="s">
        <v>255</v>
      </c>
      <c r="BM2411" s="4" t="s">
        <v>241</v>
      </c>
      <c r="BN2411" s="6">
        <f>0</f>
        <v>0</v>
      </c>
      <c r="BO2411" s="6">
        <f>0</f>
        <v>0</v>
      </c>
      <c r="BP2411" s="4" t="s">
        <v>256</v>
      </c>
      <c r="BQ2411" s="4" t="s">
        <v>257</v>
      </c>
      <c r="CE2411" s="4" t="s">
        <v>241</v>
      </c>
      <c r="CF2411" s="4" t="s">
        <v>241</v>
      </c>
      <c r="CJ2411" s="4" t="s">
        <v>276</v>
      </c>
      <c r="CK2411" s="4" t="s">
        <v>259</v>
      </c>
      <c r="CL2411" s="4" t="s">
        <v>241</v>
      </c>
      <c r="CO2411" s="5" t="s">
        <v>260</v>
      </c>
      <c r="CP2411" s="4" t="s">
        <v>241</v>
      </c>
      <c r="CQ2411" s="4" t="s">
        <v>261</v>
      </c>
      <c r="CR2411" s="4" t="s">
        <v>241</v>
      </c>
      <c r="CS2411" s="4" t="s">
        <v>241</v>
      </c>
      <c r="CT2411" s="4">
        <v>0</v>
      </c>
      <c r="CU2411" s="4" t="s">
        <v>262</v>
      </c>
      <c r="CV2411" s="4" t="s">
        <v>263</v>
      </c>
      <c r="CW2411" s="4" t="s">
        <v>263</v>
      </c>
      <c r="CX2411" s="4" t="s">
        <v>264</v>
      </c>
      <c r="DA2411" s="6">
        <f>1</f>
        <v>1</v>
      </c>
      <c r="DC2411" s="4" t="s">
        <v>325</v>
      </c>
      <c r="DD2411" s="4" t="s">
        <v>241</v>
      </c>
      <c r="DF2411" s="4" t="s">
        <v>325</v>
      </c>
      <c r="DG2411" s="6">
        <f>596</f>
        <v>596</v>
      </c>
      <c r="DI2411" s="4" t="s">
        <v>241</v>
      </c>
      <c r="DJ2411" s="4" t="s">
        <v>241</v>
      </c>
      <c r="DK2411" s="4" t="s">
        <v>241</v>
      </c>
      <c r="DL2411" s="4" t="s">
        <v>241</v>
      </c>
      <c r="DP2411" s="4" t="s">
        <v>241</v>
      </c>
      <c r="DQ2411" s="4" t="s">
        <v>241</v>
      </c>
      <c r="DR2411" s="4" t="s">
        <v>241</v>
      </c>
      <c r="DS2411" s="4" t="s">
        <v>241</v>
      </c>
      <c r="DV2411" s="4" t="s">
        <v>426</v>
      </c>
      <c r="DW2411" s="4" t="s">
        <v>1836</v>
      </c>
      <c r="HO2411" s="4" t="s">
        <v>267</v>
      </c>
    </row>
    <row r="2412" spans="1:223" ht="19.5" customHeight="1" x14ac:dyDescent="0.4">
      <c r="A2412" s="4">
        <v>1</v>
      </c>
      <c r="B2412" s="4" t="s">
        <v>239</v>
      </c>
      <c r="C2412" s="4">
        <v>4115</v>
      </c>
      <c r="D2412" s="4">
        <v>1</v>
      </c>
      <c r="E2412" s="4">
        <v>1</v>
      </c>
      <c r="F2412" s="4" t="s">
        <v>268</v>
      </c>
      <c r="G2412" s="4" t="s">
        <v>241</v>
      </c>
      <c r="H2412" s="4" t="s">
        <v>241</v>
      </c>
      <c r="I2412" s="4" t="s">
        <v>424</v>
      </c>
      <c r="J2412" s="4" t="s">
        <v>274</v>
      </c>
      <c r="K2412" s="4" t="s">
        <v>251</v>
      </c>
      <c r="L2412" s="4" t="s">
        <v>423</v>
      </c>
      <c r="M2412" s="5" t="s">
        <v>3487</v>
      </c>
      <c r="N2412" s="6">
        <f>499</f>
        <v>499</v>
      </c>
      <c r="O2412" s="4" t="s">
        <v>265</v>
      </c>
      <c r="P2412" s="6">
        <f>1</f>
        <v>1</v>
      </c>
      <c r="Q2412" s="6">
        <f>0</f>
        <v>0</v>
      </c>
      <c r="S2412" s="6">
        <f>0</f>
        <v>0</v>
      </c>
      <c r="T2412" s="6">
        <f>1</f>
        <v>1</v>
      </c>
      <c r="U2412" s="5" t="s">
        <v>245</v>
      </c>
      <c r="V2412" s="4" t="s">
        <v>270</v>
      </c>
      <c r="W2412" s="4" t="s">
        <v>271</v>
      </c>
      <c r="X2412" s="4" t="s">
        <v>273</v>
      </c>
      <c r="Y2412" s="4" t="s">
        <v>241</v>
      </c>
      <c r="AB2412" s="4" t="s">
        <v>241</v>
      </c>
      <c r="AD2412" s="5" t="s">
        <v>241</v>
      </c>
      <c r="AG2412" s="5" t="s">
        <v>246</v>
      </c>
      <c r="AH2412" s="4" t="s">
        <v>241</v>
      </c>
      <c r="AI2412" s="4" t="s">
        <v>247</v>
      </c>
      <c r="AJ2412" s="4" t="s">
        <v>248</v>
      </c>
      <c r="AZ2412" s="4" t="s">
        <v>249</v>
      </c>
      <c r="BA2412" s="4" t="s">
        <v>241</v>
      </c>
      <c r="BB2412" s="4" t="s">
        <v>250</v>
      </c>
      <c r="BC2412" s="4" t="s">
        <v>241</v>
      </c>
      <c r="BD2412" s="4" t="s">
        <v>252</v>
      </c>
      <c r="BE2412" s="4" t="s">
        <v>241</v>
      </c>
      <c r="BI2412" s="4" t="s">
        <v>253</v>
      </c>
      <c r="BJ2412" s="5" t="s">
        <v>246</v>
      </c>
      <c r="BK2412" s="4" t="s">
        <v>254</v>
      </c>
      <c r="BL2412" s="4" t="s">
        <v>255</v>
      </c>
      <c r="BM2412" s="4" t="s">
        <v>241</v>
      </c>
      <c r="BN2412" s="6">
        <f>0</f>
        <v>0</v>
      </c>
      <c r="BO2412" s="6">
        <f>0</f>
        <v>0</v>
      </c>
      <c r="BP2412" s="4" t="s">
        <v>256</v>
      </c>
      <c r="BQ2412" s="4" t="s">
        <v>257</v>
      </c>
      <c r="CE2412" s="4" t="s">
        <v>241</v>
      </c>
      <c r="CF2412" s="4" t="s">
        <v>241</v>
      </c>
      <c r="CJ2412" s="4" t="s">
        <v>276</v>
      </c>
      <c r="CK2412" s="4" t="s">
        <v>259</v>
      </c>
      <c r="CL2412" s="4" t="s">
        <v>241</v>
      </c>
      <c r="CO2412" s="5" t="s">
        <v>260</v>
      </c>
      <c r="CP2412" s="4" t="s">
        <v>241</v>
      </c>
      <c r="CQ2412" s="4" t="s">
        <v>261</v>
      </c>
      <c r="CR2412" s="4" t="s">
        <v>241</v>
      </c>
      <c r="CS2412" s="4" t="s">
        <v>241</v>
      </c>
      <c r="CT2412" s="4">
        <v>0</v>
      </c>
      <c r="CU2412" s="4" t="s">
        <v>262</v>
      </c>
      <c r="CV2412" s="4" t="s">
        <v>263</v>
      </c>
      <c r="CW2412" s="4" t="s">
        <v>263</v>
      </c>
      <c r="CX2412" s="4" t="s">
        <v>264</v>
      </c>
      <c r="DA2412" s="6">
        <f>1</f>
        <v>1</v>
      </c>
      <c r="DC2412" s="4" t="s">
        <v>325</v>
      </c>
      <c r="DD2412" s="4" t="s">
        <v>241</v>
      </c>
      <c r="DF2412" s="4" t="s">
        <v>325</v>
      </c>
      <c r="DG2412" s="6">
        <f>499</f>
        <v>499</v>
      </c>
      <c r="DI2412" s="4" t="s">
        <v>241</v>
      </c>
      <c r="DJ2412" s="4" t="s">
        <v>241</v>
      </c>
      <c r="DK2412" s="4" t="s">
        <v>241</v>
      </c>
      <c r="DL2412" s="4" t="s">
        <v>241</v>
      </c>
      <c r="DP2412" s="4" t="s">
        <v>241</v>
      </c>
      <c r="DQ2412" s="4" t="s">
        <v>241</v>
      </c>
      <c r="DR2412" s="4" t="s">
        <v>241</v>
      </c>
      <c r="DS2412" s="4" t="s">
        <v>241</v>
      </c>
      <c r="DV2412" s="4" t="s">
        <v>426</v>
      </c>
      <c r="DW2412" s="4" t="s">
        <v>1826</v>
      </c>
      <c r="HO2412" s="4" t="s">
        <v>267</v>
      </c>
    </row>
    <row r="2413" spans="1:223" ht="19.5" customHeight="1" x14ac:dyDescent="0.4">
      <c r="A2413" s="4">
        <v>1</v>
      </c>
      <c r="B2413" s="4" t="s">
        <v>239</v>
      </c>
      <c r="C2413" s="4">
        <v>4116</v>
      </c>
      <c r="D2413" s="4">
        <v>1</v>
      </c>
      <c r="E2413" s="4">
        <v>1</v>
      </c>
      <c r="F2413" s="4" t="s">
        <v>268</v>
      </c>
      <c r="G2413" s="4" t="s">
        <v>241</v>
      </c>
      <c r="H2413" s="4" t="s">
        <v>241</v>
      </c>
      <c r="I2413" s="4" t="s">
        <v>424</v>
      </c>
      <c r="J2413" s="4" t="s">
        <v>274</v>
      </c>
      <c r="K2413" s="4" t="s">
        <v>251</v>
      </c>
      <c r="L2413" s="4" t="s">
        <v>423</v>
      </c>
      <c r="M2413" s="5" t="s">
        <v>4712</v>
      </c>
      <c r="N2413" s="6">
        <f>2631</f>
        <v>2631</v>
      </c>
      <c r="O2413" s="4" t="s">
        <v>265</v>
      </c>
      <c r="P2413" s="6">
        <f>1</f>
        <v>1</v>
      </c>
      <c r="Q2413" s="6">
        <f>0</f>
        <v>0</v>
      </c>
      <c r="S2413" s="6">
        <f>0</f>
        <v>0</v>
      </c>
      <c r="T2413" s="6">
        <f>1</f>
        <v>1</v>
      </c>
      <c r="U2413" s="5" t="s">
        <v>245</v>
      </c>
      <c r="V2413" s="4" t="s">
        <v>270</v>
      </c>
      <c r="W2413" s="4" t="s">
        <v>271</v>
      </c>
      <c r="X2413" s="4" t="s">
        <v>273</v>
      </c>
      <c r="Y2413" s="4" t="s">
        <v>241</v>
      </c>
      <c r="AB2413" s="4" t="s">
        <v>241</v>
      </c>
      <c r="AD2413" s="5" t="s">
        <v>241</v>
      </c>
      <c r="AG2413" s="5" t="s">
        <v>246</v>
      </c>
      <c r="AH2413" s="4" t="s">
        <v>241</v>
      </c>
      <c r="AI2413" s="4" t="s">
        <v>247</v>
      </c>
      <c r="AJ2413" s="4" t="s">
        <v>248</v>
      </c>
      <c r="AZ2413" s="4" t="s">
        <v>249</v>
      </c>
      <c r="BA2413" s="4" t="s">
        <v>241</v>
      </c>
      <c r="BB2413" s="4" t="s">
        <v>250</v>
      </c>
      <c r="BC2413" s="4" t="s">
        <v>241</v>
      </c>
      <c r="BD2413" s="4" t="s">
        <v>252</v>
      </c>
      <c r="BE2413" s="4" t="s">
        <v>241</v>
      </c>
      <c r="BI2413" s="4" t="s">
        <v>253</v>
      </c>
      <c r="BJ2413" s="5" t="s">
        <v>246</v>
      </c>
      <c r="BK2413" s="4" t="s">
        <v>254</v>
      </c>
      <c r="BL2413" s="4" t="s">
        <v>255</v>
      </c>
      <c r="BM2413" s="4" t="s">
        <v>241</v>
      </c>
      <c r="BN2413" s="6">
        <f>0</f>
        <v>0</v>
      </c>
      <c r="BO2413" s="6">
        <f>0</f>
        <v>0</v>
      </c>
      <c r="BP2413" s="4" t="s">
        <v>256</v>
      </c>
      <c r="BQ2413" s="4" t="s">
        <v>257</v>
      </c>
      <c r="CE2413" s="4" t="s">
        <v>241</v>
      </c>
      <c r="CF2413" s="4" t="s">
        <v>241</v>
      </c>
      <c r="CJ2413" s="4" t="s">
        <v>276</v>
      </c>
      <c r="CK2413" s="4" t="s">
        <v>259</v>
      </c>
      <c r="CL2413" s="4" t="s">
        <v>241</v>
      </c>
      <c r="CO2413" s="5" t="s">
        <v>260</v>
      </c>
      <c r="CP2413" s="4" t="s">
        <v>241</v>
      </c>
      <c r="CQ2413" s="4" t="s">
        <v>261</v>
      </c>
      <c r="CR2413" s="4" t="s">
        <v>241</v>
      </c>
      <c r="CS2413" s="4" t="s">
        <v>241</v>
      </c>
      <c r="CT2413" s="4">
        <v>0</v>
      </c>
      <c r="CU2413" s="4" t="s">
        <v>262</v>
      </c>
      <c r="CV2413" s="4" t="s">
        <v>263</v>
      </c>
      <c r="CW2413" s="4" t="s">
        <v>263</v>
      </c>
      <c r="CX2413" s="4" t="s">
        <v>264</v>
      </c>
      <c r="DA2413" s="6">
        <f>1</f>
        <v>1</v>
      </c>
      <c r="DC2413" s="4" t="s">
        <v>325</v>
      </c>
      <c r="DD2413" s="4" t="s">
        <v>241</v>
      </c>
      <c r="DF2413" s="4" t="s">
        <v>325</v>
      </c>
      <c r="DG2413" s="6">
        <f>2631</f>
        <v>2631</v>
      </c>
      <c r="DI2413" s="4" t="s">
        <v>241</v>
      </c>
      <c r="DJ2413" s="4" t="s">
        <v>241</v>
      </c>
      <c r="DK2413" s="4" t="s">
        <v>241</v>
      </c>
      <c r="DL2413" s="4" t="s">
        <v>241</v>
      </c>
      <c r="DP2413" s="4" t="s">
        <v>241</v>
      </c>
      <c r="DQ2413" s="4" t="s">
        <v>241</v>
      </c>
      <c r="DR2413" s="4" t="s">
        <v>241</v>
      </c>
      <c r="DS2413" s="4" t="s">
        <v>241</v>
      </c>
      <c r="DV2413" s="4" t="s">
        <v>426</v>
      </c>
      <c r="DW2413" s="4" t="s">
        <v>1675</v>
      </c>
      <c r="HO2413" s="4" t="s">
        <v>267</v>
      </c>
    </row>
    <row r="2414" spans="1:223" ht="19.5" customHeight="1" x14ac:dyDescent="0.4">
      <c r="A2414" s="4">
        <v>1</v>
      </c>
      <c r="B2414" s="4" t="s">
        <v>239</v>
      </c>
      <c r="C2414" s="4">
        <v>4117</v>
      </c>
      <c r="D2414" s="4">
        <v>1</v>
      </c>
      <c r="E2414" s="4">
        <v>1</v>
      </c>
      <c r="F2414" s="4" t="s">
        <v>268</v>
      </c>
      <c r="G2414" s="4" t="s">
        <v>241</v>
      </c>
      <c r="H2414" s="4" t="s">
        <v>241</v>
      </c>
      <c r="I2414" s="4" t="s">
        <v>424</v>
      </c>
      <c r="J2414" s="4" t="s">
        <v>274</v>
      </c>
      <c r="K2414" s="4" t="s">
        <v>251</v>
      </c>
      <c r="L2414" s="4" t="s">
        <v>423</v>
      </c>
      <c r="M2414" s="5" t="s">
        <v>3504</v>
      </c>
      <c r="N2414" s="6">
        <f>667</f>
        <v>667</v>
      </c>
      <c r="O2414" s="4" t="s">
        <v>265</v>
      </c>
      <c r="P2414" s="6">
        <f>1</f>
        <v>1</v>
      </c>
      <c r="Q2414" s="6">
        <f>0</f>
        <v>0</v>
      </c>
      <c r="S2414" s="6">
        <f>0</f>
        <v>0</v>
      </c>
      <c r="T2414" s="6">
        <f>1</f>
        <v>1</v>
      </c>
      <c r="U2414" s="5" t="s">
        <v>245</v>
      </c>
      <c r="V2414" s="4" t="s">
        <v>270</v>
      </c>
      <c r="W2414" s="4" t="s">
        <v>271</v>
      </c>
      <c r="X2414" s="4" t="s">
        <v>273</v>
      </c>
      <c r="Y2414" s="4" t="s">
        <v>241</v>
      </c>
      <c r="AB2414" s="4" t="s">
        <v>241</v>
      </c>
      <c r="AD2414" s="5" t="s">
        <v>241</v>
      </c>
      <c r="AG2414" s="5" t="s">
        <v>246</v>
      </c>
      <c r="AH2414" s="4" t="s">
        <v>241</v>
      </c>
      <c r="AI2414" s="4" t="s">
        <v>247</v>
      </c>
      <c r="AJ2414" s="4" t="s">
        <v>248</v>
      </c>
      <c r="AZ2414" s="4" t="s">
        <v>249</v>
      </c>
      <c r="BA2414" s="4" t="s">
        <v>241</v>
      </c>
      <c r="BB2414" s="4" t="s">
        <v>250</v>
      </c>
      <c r="BC2414" s="4" t="s">
        <v>241</v>
      </c>
      <c r="BD2414" s="4" t="s">
        <v>252</v>
      </c>
      <c r="BE2414" s="4" t="s">
        <v>241</v>
      </c>
      <c r="BI2414" s="4" t="s">
        <v>253</v>
      </c>
      <c r="BJ2414" s="5" t="s">
        <v>246</v>
      </c>
      <c r="BK2414" s="4" t="s">
        <v>254</v>
      </c>
      <c r="BL2414" s="4" t="s">
        <v>255</v>
      </c>
      <c r="BM2414" s="4" t="s">
        <v>241</v>
      </c>
      <c r="BN2414" s="6">
        <f>0</f>
        <v>0</v>
      </c>
      <c r="BO2414" s="6">
        <f>0</f>
        <v>0</v>
      </c>
      <c r="BP2414" s="4" t="s">
        <v>256</v>
      </c>
      <c r="BQ2414" s="4" t="s">
        <v>257</v>
      </c>
      <c r="CE2414" s="4" t="s">
        <v>241</v>
      </c>
      <c r="CF2414" s="4" t="s">
        <v>241</v>
      </c>
      <c r="CJ2414" s="4" t="s">
        <v>276</v>
      </c>
      <c r="CK2414" s="4" t="s">
        <v>259</v>
      </c>
      <c r="CL2414" s="4" t="s">
        <v>241</v>
      </c>
      <c r="CO2414" s="5" t="s">
        <v>260</v>
      </c>
      <c r="CP2414" s="4" t="s">
        <v>241</v>
      </c>
      <c r="CQ2414" s="4" t="s">
        <v>261</v>
      </c>
      <c r="CR2414" s="4" t="s">
        <v>241</v>
      </c>
      <c r="CS2414" s="4" t="s">
        <v>241</v>
      </c>
      <c r="CT2414" s="4">
        <v>0</v>
      </c>
      <c r="CU2414" s="4" t="s">
        <v>262</v>
      </c>
      <c r="CV2414" s="4" t="s">
        <v>263</v>
      </c>
      <c r="CW2414" s="4" t="s">
        <v>263</v>
      </c>
      <c r="CX2414" s="4" t="s">
        <v>264</v>
      </c>
      <c r="DA2414" s="6">
        <f>1</f>
        <v>1</v>
      </c>
      <c r="DC2414" s="4" t="s">
        <v>325</v>
      </c>
      <c r="DD2414" s="4" t="s">
        <v>241</v>
      </c>
      <c r="DF2414" s="4" t="s">
        <v>325</v>
      </c>
      <c r="DG2414" s="6">
        <f>667</f>
        <v>667</v>
      </c>
      <c r="DI2414" s="4" t="s">
        <v>241</v>
      </c>
      <c r="DJ2414" s="4" t="s">
        <v>241</v>
      </c>
      <c r="DK2414" s="4" t="s">
        <v>241</v>
      </c>
      <c r="DL2414" s="4" t="s">
        <v>241</v>
      </c>
      <c r="DP2414" s="4" t="s">
        <v>241</v>
      </c>
      <c r="DQ2414" s="4" t="s">
        <v>241</v>
      </c>
      <c r="DR2414" s="4" t="s">
        <v>241</v>
      </c>
      <c r="DS2414" s="4" t="s">
        <v>241</v>
      </c>
      <c r="DV2414" s="4" t="s">
        <v>426</v>
      </c>
      <c r="DW2414" s="4" t="s">
        <v>1883</v>
      </c>
      <c r="HO2414" s="4" t="s">
        <v>267</v>
      </c>
    </row>
    <row r="2415" spans="1:223" ht="19.5" customHeight="1" x14ac:dyDescent="0.4">
      <c r="A2415" s="4">
        <v>1</v>
      </c>
      <c r="B2415" s="4" t="s">
        <v>239</v>
      </c>
      <c r="C2415" s="4">
        <v>4118</v>
      </c>
      <c r="D2415" s="4">
        <v>1</v>
      </c>
      <c r="E2415" s="4">
        <v>1</v>
      </c>
      <c r="F2415" s="4" t="s">
        <v>268</v>
      </c>
      <c r="G2415" s="4" t="s">
        <v>241</v>
      </c>
      <c r="H2415" s="4" t="s">
        <v>241</v>
      </c>
      <c r="I2415" s="4" t="s">
        <v>424</v>
      </c>
      <c r="J2415" s="4" t="s">
        <v>274</v>
      </c>
      <c r="K2415" s="4" t="s">
        <v>251</v>
      </c>
      <c r="L2415" s="4" t="s">
        <v>423</v>
      </c>
      <c r="M2415" s="5" t="s">
        <v>3514</v>
      </c>
      <c r="N2415" s="6">
        <f>215</f>
        <v>215</v>
      </c>
      <c r="O2415" s="4" t="s">
        <v>265</v>
      </c>
      <c r="P2415" s="6">
        <f>1</f>
        <v>1</v>
      </c>
      <c r="Q2415" s="6">
        <f>0</f>
        <v>0</v>
      </c>
      <c r="S2415" s="6">
        <f>0</f>
        <v>0</v>
      </c>
      <c r="T2415" s="6">
        <f>1</f>
        <v>1</v>
      </c>
      <c r="U2415" s="5" t="s">
        <v>245</v>
      </c>
      <c r="V2415" s="4" t="s">
        <v>270</v>
      </c>
      <c r="W2415" s="4" t="s">
        <v>271</v>
      </c>
      <c r="X2415" s="4" t="s">
        <v>273</v>
      </c>
      <c r="Y2415" s="4" t="s">
        <v>241</v>
      </c>
      <c r="AB2415" s="4" t="s">
        <v>241</v>
      </c>
      <c r="AD2415" s="5" t="s">
        <v>241</v>
      </c>
      <c r="AG2415" s="5" t="s">
        <v>246</v>
      </c>
      <c r="AH2415" s="4" t="s">
        <v>241</v>
      </c>
      <c r="AI2415" s="4" t="s">
        <v>247</v>
      </c>
      <c r="AJ2415" s="4" t="s">
        <v>248</v>
      </c>
      <c r="AZ2415" s="4" t="s">
        <v>249</v>
      </c>
      <c r="BA2415" s="4" t="s">
        <v>241</v>
      </c>
      <c r="BB2415" s="4" t="s">
        <v>250</v>
      </c>
      <c r="BC2415" s="4" t="s">
        <v>241</v>
      </c>
      <c r="BD2415" s="4" t="s">
        <v>252</v>
      </c>
      <c r="BE2415" s="4" t="s">
        <v>241</v>
      </c>
      <c r="BI2415" s="4" t="s">
        <v>253</v>
      </c>
      <c r="BJ2415" s="5" t="s">
        <v>246</v>
      </c>
      <c r="BK2415" s="4" t="s">
        <v>254</v>
      </c>
      <c r="BL2415" s="4" t="s">
        <v>255</v>
      </c>
      <c r="BM2415" s="4" t="s">
        <v>241</v>
      </c>
      <c r="BN2415" s="6">
        <f>0</f>
        <v>0</v>
      </c>
      <c r="BO2415" s="6">
        <f>0</f>
        <v>0</v>
      </c>
      <c r="BP2415" s="4" t="s">
        <v>256</v>
      </c>
      <c r="BQ2415" s="4" t="s">
        <v>257</v>
      </c>
      <c r="CE2415" s="4" t="s">
        <v>241</v>
      </c>
      <c r="CF2415" s="4" t="s">
        <v>241</v>
      </c>
      <c r="CJ2415" s="4" t="s">
        <v>276</v>
      </c>
      <c r="CK2415" s="4" t="s">
        <v>259</v>
      </c>
      <c r="CL2415" s="4" t="s">
        <v>241</v>
      </c>
      <c r="CO2415" s="5" t="s">
        <v>260</v>
      </c>
      <c r="CP2415" s="4" t="s">
        <v>241</v>
      </c>
      <c r="CQ2415" s="4" t="s">
        <v>261</v>
      </c>
      <c r="CR2415" s="4" t="s">
        <v>241</v>
      </c>
      <c r="CS2415" s="4" t="s">
        <v>241</v>
      </c>
      <c r="CT2415" s="4">
        <v>0</v>
      </c>
      <c r="CU2415" s="4" t="s">
        <v>262</v>
      </c>
      <c r="CV2415" s="4" t="s">
        <v>263</v>
      </c>
      <c r="CW2415" s="4" t="s">
        <v>263</v>
      </c>
      <c r="CX2415" s="4" t="s">
        <v>264</v>
      </c>
      <c r="DA2415" s="6">
        <f>1</f>
        <v>1</v>
      </c>
      <c r="DC2415" s="4" t="s">
        <v>325</v>
      </c>
      <c r="DD2415" s="4" t="s">
        <v>241</v>
      </c>
      <c r="DF2415" s="4" t="s">
        <v>325</v>
      </c>
      <c r="DG2415" s="6">
        <f>215</f>
        <v>215</v>
      </c>
      <c r="DI2415" s="4" t="s">
        <v>241</v>
      </c>
      <c r="DJ2415" s="4" t="s">
        <v>241</v>
      </c>
      <c r="DK2415" s="4" t="s">
        <v>241</v>
      </c>
      <c r="DL2415" s="4" t="s">
        <v>241</v>
      </c>
      <c r="DP2415" s="4" t="s">
        <v>241</v>
      </c>
      <c r="DQ2415" s="4" t="s">
        <v>241</v>
      </c>
      <c r="DR2415" s="4" t="s">
        <v>241</v>
      </c>
      <c r="DS2415" s="4" t="s">
        <v>241</v>
      </c>
      <c r="DV2415" s="4" t="s">
        <v>426</v>
      </c>
      <c r="DW2415" s="4" t="s">
        <v>1869</v>
      </c>
      <c r="HO2415" s="4" t="s">
        <v>267</v>
      </c>
    </row>
    <row r="2416" spans="1:223" ht="19.5" customHeight="1" x14ac:dyDescent="0.4">
      <c r="A2416" s="4">
        <v>1</v>
      </c>
      <c r="B2416" s="4" t="s">
        <v>239</v>
      </c>
      <c r="C2416" s="4">
        <v>4119</v>
      </c>
      <c r="D2416" s="4">
        <v>1</v>
      </c>
      <c r="E2416" s="4">
        <v>1</v>
      </c>
      <c r="F2416" s="4" t="s">
        <v>268</v>
      </c>
      <c r="G2416" s="4" t="s">
        <v>241</v>
      </c>
      <c r="H2416" s="4" t="s">
        <v>241</v>
      </c>
      <c r="I2416" s="4" t="s">
        <v>424</v>
      </c>
      <c r="J2416" s="4" t="s">
        <v>274</v>
      </c>
      <c r="K2416" s="4" t="s">
        <v>251</v>
      </c>
      <c r="L2416" s="4" t="s">
        <v>423</v>
      </c>
      <c r="M2416" s="5" t="s">
        <v>3519</v>
      </c>
      <c r="N2416" s="6">
        <f>807</f>
        <v>807</v>
      </c>
      <c r="O2416" s="4" t="s">
        <v>265</v>
      </c>
      <c r="P2416" s="6">
        <f>1</f>
        <v>1</v>
      </c>
      <c r="Q2416" s="6">
        <f>0</f>
        <v>0</v>
      </c>
      <c r="S2416" s="6">
        <f>0</f>
        <v>0</v>
      </c>
      <c r="T2416" s="6">
        <f>1</f>
        <v>1</v>
      </c>
      <c r="U2416" s="5" t="s">
        <v>245</v>
      </c>
      <c r="V2416" s="4" t="s">
        <v>270</v>
      </c>
      <c r="W2416" s="4" t="s">
        <v>271</v>
      </c>
      <c r="X2416" s="4" t="s">
        <v>273</v>
      </c>
      <c r="Y2416" s="4" t="s">
        <v>241</v>
      </c>
      <c r="AB2416" s="4" t="s">
        <v>241</v>
      </c>
      <c r="AD2416" s="5" t="s">
        <v>241</v>
      </c>
      <c r="AG2416" s="5" t="s">
        <v>246</v>
      </c>
      <c r="AH2416" s="4" t="s">
        <v>241</v>
      </c>
      <c r="AI2416" s="4" t="s">
        <v>247</v>
      </c>
      <c r="AJ2416" s="4" t="s">
        <v>248</v>
      </c>
      <c r="AZ2416" s="4" t="s">
        <v>249</v>
      </c>
      <c r="BA2416" s="4" t="s">
        <v>241</v>
      </c>
      <c r="BB2416" s="4" t="s">
        <v>250</v>
      </c>
      <c r="BC2416" s="4" t="s">
        <v>241</v>
      </c>
      <c r="BD2416" s="4" t="s">
        <v>252</v>
      </c>
      <c r="BE2416" s="4" t="s">
        <v>241</v>
      </c>
      <c r="BI2416" s="4" t="s">
        <v>253</v>
      </c>
      <c r="BJ2416" s="5" t="s">
        <v>246</v>
      </c>
      <c r="BK2416" s="4" t="s">
        <v>254</v>
      </c>
      <c r="BL2416" s="4" t="s">
        <v>255</v>
      </c>
      <c r="BM2416" s="4" t="s">
        <v>241</v>
      </c>
      <c r="BN2416" s="6">
        <f>0</f>
        <v>0</v>
      </c>
      <c r="BO2416" s="6">
        <f>0</f>
        <v>0</v>
      </c>
      <c r="BP2416" s="4" t="s">
        <v>256</v>
      </c>
      <c r="BQ2416" s="4" t="s">
        <v>257</v>
      </c>
      <c r="CE2416" s="4" t="s">
        <v>241</v>
      </c>
      <c r="CF2416" s="4" t="s">
        <v>241</v>
      </c>
      <c r="CJ2416" s="4" t="s">
        <v>276</v>
      </c>
      <c r="CK2416" s="4" t="s">
        <v>259</v>
      </c>
      <c r="CL2416" s="4" t="s">
        <v>241</v>
      </c>
      <c r="CO2416" s="5" t="s">
        <v>260</v>
      </c>
      <c r="CP2416" s="4" t="s">
        <v>241</v>
      </c>
      <c r="CQ2416" s="4" t="s">
        <v>261</v>
      </c>
      <c r="CR2416" s="4" t="s">
        <v>241</v>
      </c>
      <c r="CS2416" s="4" t="s">
        <v>241</v>
      </c>
      <c r="CT2416" s="4">
        <v>0</v>
      </c>
      <c r="CU2416" s="4" t="s">
        <v>262</v>
      </c>
      <c r="CV2416" s="4" t="s">
        <v>263</v>
      </c>
      <c r="CW2416" s="4" t="s">
        <v>263</v>
      </c>
      <c r="CX2416" s="4" t="s">
        <v>264</v>
      </c>
      <c r="DA2416" s="6">
        <f>1</f>
        <v>1</v>
      </c>
      <c r="DC2416" s="4" t="s">
        <v>325</v>
      </c>
      <c r="DD2416" s="4" t="s">
        <v>241</v>
      </c>
      <c r="DF2416" s="4" t="s">
        <v>325</v>
      </c>
      <c r="DG2416" s="6">
        <f>807</f>
        <v>807</v>
      </c>
      <c r="DI2416" s="4" t="s">
        <v>241</v>
      </c>
      <c r="DJ2416" s="4" t="s">
        <v>241</v>
      </c>
      <c r="DK2416" s="4" t="s">
        <v>241</v>
      </c>
      <c r="DL2416" s="4" t="s">
        <v>241</v>
      </c>
      <c r="DP2416" s="4" t="s">
        <v>241</v>
      </c>
      <c r="DQ2416" s="4" t="s">
        <v>241</v>
      </c>
      <c r="DR2416" s="4" t="s">
        <v>241</v>
      </c>
      <c r="DS2416" s="4" t="s">
        <v>241</v>
      </c>
      <c r="DV2416" s="4" t="s">
        <v>426</v>
      </c>
      <c r="DW2416" s="4" t="s">
        <v>2250</v>
      </c>
      <c r="HO2416" s="4" t="s">
        <v>267</v>
      </c>
    </row>
    <row r="2417" spans="1:223" ht="19.5" customHeight="1" x14ac:dyDescent="0.4">
      <c r="A2417" s="4">
        <v>1</v>
      </c>
      <c r="B2417" s="4" t="s">
        <v>239</v>
      </c>
      <c r="C2417" s="4">
        <v>4120</v>
      </c>
      <c r="D2417" s="4">
        <v>1</v>
      </c>
      <c r="E2417" s="4">
        <v>1</v>
      </c>
      <c r="F2417" s="4" t="s">
        <v>268</v>
      </c>
      <c r="G2417" s="4" t="s">
        <v>241</v>
      </c>
      <c r="H2417" s="4" t="s">
        <v>241</v>
      </c>
      <c r="I2417" s="4" t="s">
        <v>424</v>
      </c>
      <c r="J2417" s="4" t="s">
        <v>274</v>
      </c>
      <c r="K2417" s="4" t="s">
        <v>251</v>
      </c>
      <c r="L2417" s="4" t="s">
        <v>423</v>
      </c>
      <c r="M2417" s="5" t="s">
        <v>3527</v>
      </c>
      <c r="N2417" s="6">
        <f>808</f>
        <v>808</v>
      </c>
      <c r="O2417" s="4" t="s">
        <v>265</v>
      </c>
      <c r="P2417" s="6">
        <f>1</f>
        <v>1</v>
      </c>
      <c r="Q2417" s="6">
        <f>0</f>
        <v>0</v>
      </c>
      <c r="S2417" s="6">
        <f>0</f>
        <v>0</v>
      </c>
      <c r="T2417" s="6">
        <f>1</f>
        <v>1</v>
      </c>
      <c r="U2417" s="5" t="s">
        <v>245</v>
      </c>
      <c r="V2417" s="4" t="s">
        <v>270</v>
      </c>
      <c r="W2417" s="4" t="s">
        <v>271</v>
      </c>
      <c r="X2417" s="4" t="s">
        <v>273</v>
      </c>
      <c r="Y2417" s="4" t="s">
        <v>241</v>
      </c>
      <c r="AB2417" s="4" t="s">
        <v>241</v>
      </c>
      <c r="AD2417" s="5" t="s">
        <v>241</v>
      </c>
      <c r="AG2417" s="5" t="s">
        <v>246</v>
      </c>
      <c r="AH2417" s="4" t="s">
        <v>241</v>
      </c>
      <c r="AI2417" s="4" t="s">
        <v>247</v>
      </c>
      <c r="AJ2417" s="4" t="s">
        <v>248</v>
      </c>
      <c r="AZ2417" s="4" t="s">
        <v>249</v>
      </c>
      <c r="BA2417" s="4" t="s">
        <v>241</v>
      </c>
      <c r="BB2417" s="4" t="s">
        <v>250</v>
      </c>
      <c r="BC2417" s="4" t="s">
        <v>241</v>
      </c>
      <c r="BD2417" s="4" t="s">
        <v>252</v>
      </c>
      <c r="BE2417" s="4" t="s">
        <v>241</v>
      </c>
      <c r="BI2417" s="4" t="s">
        <v>253</v>
      </c>
      <c r="BJ2417" s="5" t="s">
        <v>246</v>
      </c>
      <c r="BK2417" s="4" t="s">
        <v>254</v>
      </c>
      <c r="BL2417" s="4" t="s">
        <v>255</v>
      </c>
      <c r="BM2417" s="4" t="s">
        <v>241</v>
      </c>
      <c r="BN2417" s="6">
        <f>0</f>
        <v>0</v>
      </c>
      <c r="BO2417" s="6">
        <f>0</f>
        <v>0</v>
      </c>
      <c r="BP2417" s="4" t="s">
        <v>256</v>
      </c>
      <c r="BQ2417" s="4" t="s">
        <v>257</v>
      </c>
      <c r="CE2417" s="4" t="s">
        <v>241</v>
      </c>
      <c r="CF2417" s="4" t="s">
        <v>241</v>
      </c>
      <c r="CJ2417" s="4" t="s">
        <v>276</v>
      </c>
      <c r="CK2417" s="4" t="s">
        <v>259</v>
      </c>
      <c r="CL2417" s="4" t="s">
        <v>241</v>
      </c>
      <c r="CO2417" s="5" t="s">
        <v>260</v>
      </c>
      <c r="CP2417" s="4" t="s">
        <v>241</v>
      </c>
      <c r="CQ2417" s="4" t="s">
        <v>261</v>
      </c>
      <c r="CR2417" s="4" t="s">
        <v>241</v>
      </c>
      <c r="CS2417" s="4" t="s">
        <v>241</v>
      </c>
      <c r="CT2417" s="4">
        <v>0</v>
      </c>
      <c r="CU2417" s="4" t="s">
        <v>262</v>
      </c>
      <c r="CV2417" s="4" t="s">
        <v>263</v>
      </c>
      <c r="CW2417" s="4" t="s">
        <v>263</v>
      </c>
      <c r="CX2417" s="4" t="s">
        <v>264</v>
      </c>
      <c r="DA2417" s="6">
        <f>1</f>
        <v>1</v>
      </c>
      <c r="DC2417" s="4" t="s">
        <v>325</v>
      </c>
      <c r="DD2417" s="4" t="s">
        <v>241</v>
      </c>
      <c r="DF2417" s="4" t="s">
        <v>325</v>
      </c>
      <c r="DG2417" s="6">
        <f>808</f>
        <v>808</v>
      </c>
      <c r="DI2417" s="4" t="s">
        <v>241</v>
      </c>
      <c r="DJ2417" s="4" t="s">
        <v>241</v>
      </c>
      <c r="DK2417" s="4" t="s">
        <v>241</v>
      </c>
      <c r="DL2417" s="4" t="s">
        <v>241</v>
      </c>
      <c r="DP2417" s="4" t="s">
        <v>241</v>
      </c>
      <c r="DQ2417" s="4" t="s">
        <v>241</v>
      </c>
      <c r="DR2417" s="4" t="s">
        <v>241</v>
      </c>
      <c r="DS2417" s="4" t="s">
        <v>241</v>
      </c>
      <c r="DV2417" s="4" t="s">
        <v>426</v>
      </c>
      <c r="DW2417" s="4" t="s">
        <v>1877</v>
      </c>
      <c r="HO2417" s="4" t="s">
        <v>267</v>
      </c>
    </row>
    <row r="2418" spans="1:223" ht="19.5" customHeight="1" x14ac:dyDescent="0.4">
      <c r="A2418" s="4">
        <v>1</v>
      </c>
      <c r="B2418" s="4" t="s">
        <v>239</v>
      </c>
      <c r="C2418" s="4">
        <v>4121</v>
      </c>
      <c r="D2418" s="4">
        <v>1</v>
      </c>
      <c r="E2418" s="4">
        <v>1</v>
      </c>
      <c r="F2418" s="4" t="s">
        <v>268</v>
      </c>
      <c r="G2418" s="4" t="s">
        <v>241</v>
      </c>
      <c r="H2418" s="4" t="s">
        <v>241</v>
      </c>
      <c r="I2418" s="4" t="s">
        <v>424</v>
      </c>
      <c r="J2418" s="4" t="s">
        <v>274</v>
      </c>
      <c r="K2418" s="4" t="s">
        <v>251</v>
      </c>
      <c r="L2418" s="4" t="s">
        <v>423</v>
      </c>
      <c r="M2418" s="5" t="s">
        <v>3534</v>
      </c>
      <c r="N2418" s="6">
        <f>2368</f>
        <v>2368</v>
      </c>
      <c r="O2418" s="4" t="s">
        <v>265</v>
      </c>
      <c r="P2418" s="6">
        <f>1</f>
        <v>1</v>
      </c>
      <c r="Q2418" s="6">
        <f>0</f>
        <v>0</v>
      </c>
      <c r="S2418" s="6">
        <f>0</f>
        <v>0</v>
      </c>
      <c r="T2418" s="6">
        <f>1</f>
        <v>1</v>
      </c>
      <c r="U2418" s="5" t="s">
        <v>245</v>
      </c>
      <c r="V2418" s="4" t="s">
        <v>270</v>
      </c>
      <c r="W2418" s="4" t="s">
        <v>271</v>
      </c>
      <c r="X2418" s="4" t="s">
        <v>273</v>
      </c>
      <c r="Y2418" s="4" t="s">
        <v>241</v>
      </c>
      <c r="AB2418" s="4" t="s">
        <v>241</v>
      </c>
      <c r="AD2418" s="5" t="s">
        <v>241</v>
      </c>
      <c r="AG2418" s="5" t="s">
        <v>246</v>
      </c>
      <c r="AH2418" s="4" t="s">
        <v>241</v>
      </c>
      <c r="AI2418" s="4" t="s">
        <v>247</v>
      </c>
      <c r="AJ2418" s="4" t="s">
        <v>248</v>
      </c>
      <c r="AZ2418" s="4" t="s">
        <v>249</v>
      </c>
      <c r="BA2418" s="4" t="s">
        <v>241</v>
      </c>
      <c r="BB2418" s="4" t="s">
        <v>250</v>
      </c>
      <c r="BC2418" s="4" t="s">
        <v>241</v>
      </c>
      <c r="BD2418" s="4" t="s">
        <v>252</v>
      </c>
      <c r="BE2418" s="4" t="s">
        <v>241</v>
      </c>
      <c r="BI2418" s="4" t="s">
        <v>253</v>
      </c>
      <c r="BJ2418" s="5" t="s">
        <v>246</v>
      </c>
      <c r="BK2418" s="4" t="s">
        <v>254</v>
      </c>
      <c r="BL2418" s="4" t="s">
        <v>255</v>
      </c>
      <c r="BM2418" s="4" t="s">
        <v>241</v>
      </c>
      <c r="BN2418" s="6">
        <f>0</f>
        <v>0</v>
      </c>
      <c r="BO2418" s="6">
        <f>0</f>
        <v>0</v>
      </c>
      <c r="BP2418" s="4" t="s">
        <v>256</v>
      </c>
      <c r="BQ2418" s="4" t="s">
        <v>257</v>
      </c>
      <c r="CE2418" s="4" t="s">
        <v>241</v>
      </c>
      <c r="CF2418" s="4" t="s">
        <v>241</v>
      </c>
      <c r="CJ2418" s="4" t="s">
        <v>276</v>
      </c>
      <c r="CK2418" s="4" t="s">
        <v>259</v>
      </c>
      <c r="CL2418" s="4" t="s">
        <v>241</v>
      </c>
      <c r="CO2418" s="5" t="s">
        <v>260</v>
      </c>
      <c r="CP2418" s="4" t="s">
        <v>241</v>
      </c>
      <c r="CQ2418" s="4" t="s">
        <v>261</v>
      </c>
      <c r="CR2418" s="4" t="s">
        <v>241</v>
      </c>
      <c r="CS2418" s="4" t="s">
        <v>241</v>
      </c>
      <c r="CT2418" s="4">
        <v>0</v>
      </c>
      <c r="CU2418" s="4" t="s">
        <v>262</v>
      </c>
      <c r="CV2418" s="4" t="s">
        <v>263</v>
      </c>
      <c r="CW2418" s="4" t="s">
        <v>263</v>
      </c>
      <c r="CX2418" s="4" t="s">
        <v>264</v>
      </c>
      <c r="DA2418" s="6">
        <f>1</f>
        <v>1</v>
      </c>
      <c r="DC2418" s="4" t="s">
        <v>325</v>
      </c>
      <c r="DD2418" s="4" t="s">
        <v>241</v>
      </c>
      <c r="DF2418" s="4" t="s">
        <v>325</v>
      </c>
      <c r="DG2418" s="6">
        <f>2368</f>
        <v>2368</v>
      </c>
      <c r="DI2418" s="4" t="s">
        <v>241</v>
      </c>
      <c r="DJ2418" s="4" t="s">
        <v>241</v>
      </c>
      <c r="DK2418" s="4" t="s">
        <v>241</v>
      </c>
      <c r="DL2418" s="4" t="s">
        <v>241</v>
      </c>
      <c r="DP2418" s="4" t="s">
        <v>241</v>
      </c>
      <c r="DQ2418" s="4" t="s">
        <v>241</v>
      </c>
      <c r="DR2418" s="4" t="s">
        <v>241</v>
      </c>
      <c r="DS2418" s="4" t="s">
        <v>241</v>
      </c>
      <c r="DV2418" s="4" t="s">
        <v>426</v>
      </c>
      <c r="DW2418" s="4" t="s">
        <v>2826</v>
      </c>
      <c r="HO2418" s="4" t="s">
        <v>267</v>
      </c>
    </row>
    <row r="2419" spans="1:223" ht="19.5" customHeight="1" x14ac:dyDescent="0.4">
      <c r="A2419" s="4">
        <v>1</v>
      </c>
      <c r="B2419" s="4" t="s">
        <v>239</v>
      </c>
      <c r="C2419" s="4">
        <v>4122</v>
      </c>
      <c r="D2419" s="4">
        <v>1</v>
      </c>
      <c r="E2419" s="4">
        <v>1</v>
      </c>
      <c r="F2419" s="4" t="s">
        <v>268</v>
      </c>
      <c r="G2419" s="4" t="s">
        <v>241</v>
      </c>
      <c r="H2419" s="4" t="s">
        <v>241</v>
      </c>
      <c r="I2419" s="4" t="s">
        <v>424</v>
      </c>
      <c r="J2419" s="4" t="s">
        <v>274</v>
      </c>
      <c r="K2419" s="4" t="s">
        <v>251</v>
      </c>
      <c r="L2419" s="4" t="s">
        <v>423</v>
      </c>
      <c r="M2419" s="5" t="s">
        <v>3547</v>
      </c>
      <c r="N2419" s="6">
        <f>245</f>
        <v>245</v>
      </c>
      <c r="O2419" s="4" t="s">
        <v>265</v>
      </c>
      <c r="P2419" s="6">
        <f>1</f>
        <v>1</v>
      </c>
      <c r="Q2419" s="6">
        <f>0</f>
        <v>0</v>
      </c>
      <c r="S2419" s="6">
        <f>0</f>
        <v>0</v>
      </c>
      <c r="T2419" s="6">
        <f>1</f>
        <v>1</v>
      </c>
      <c r="U2419" s="5" t="s">
        <v>245</v>
      </c>
      <c r="V2419" s="4" t="s">
        <v>270</v>
      </c>
      <c r="W2419" s="4" t="s">
        <v>271</v>
      </c>
      <c r="X2419" s="4" t="s">
        <v>273</v>
      </c>
      <c r="Y2419" s="4" t="s">
        <v>241</v>
      </c>
      <c r="AB2419" s="4" t="s">
        <v>241</v>
      </c>
      <c r="AD2419" s="5" t="s">
        <v>241</v>
      </c>
      <c r="AG2419" s="5" t="s">
        <v>246</v>
      </c>
      <c r="AH2419" s="4" t="s">
        <v>241</v>
      </c>
      <c r="AI2419" s="4" t="s">
        <v>247</v>
      </c>
      <c r="AJ2419" s="4" t="s">
        <v>248</v>
      </c>
      <c r="AZ2419" s="4" t="s">
        <v>249</v>
      </c>
      <c r="BA2419" s="4" t="s">
        <v>241</v>
      </c>
      <c r="BB2419" s="4" t="s">
        <v>250</v>
      </c>
      <c r="BC2419" s="4" t="s">
        <v>241</v>
      </c>
      <c r="BD2419" s="4" t="s">
        <v>252</v>
      </c>
      <c r="BE2419" s="4" t="s">
        <v>241</v>
      </c>
      <c r="BI2419" s="4" t="s">
        <v>253</v>
      </c>
      <c r="BJ2419" s="5" t="s">
        <v>246</v>
      </c>
      <c r="BK2419" s="4" t="s">
        <v>254</v>
      </c>
      <c r="BL2419" s="4" t="s">
        <v>255</v>
      </c>
      <c r="BM2419" s="4" t="s">
        <v>241</v>
      </c>
      <c r="BN2419" s="6">
        <f>0</f>
        <v>0</v>
      </c>
      <c r="BO2419" s="6">
        <f>0</f>
        <v>0</v>
      </c>
      <c r="BP2419" s="4" t="s">
        <v>256</v>
      </c>
      <c r="BQ2419" s="4" t="s">
        <v>257</v>
      </c>
      <c r="CE2419" s="4" t="s">
        <v>241</v>
      </c>
      <c r="CF2419" s="4" t="s">
        <v>241</v>
      </c>
      <c r="CJ2419" s="4" t="s">
        <v>276</v>
      </c>
      <c r="CK2419" s="4" t="s">
        <v>259</v>
      </c>
      <c r="CL2419" s="4" t="s">
        <v>241</v>
      </c>
      <c r="CO2419" s="5" t="s">
        <v>260</v>
      </c>
      <c r="CP2419" s="4" t="s">
        <v>241</v>
      </c>
      <c r="CQ2419" s="4" t="s">
        <v>261</v>
      </c>
      <c r="CR2419" s="4" t="s">
        <v>241</v>
      </c>
      <c r="CS2419" s="4" t="s">
        <v>241</v>
      </c>
      <c r="CT2419" s="4">
        <v>0</v>
      </c>
      <c r="CU2419" s="4" t="s">
        <v>262</v>
      </c>
      <c r="CV2419" s="4" t="s">
        <v>263</v>
      </c>
      <c r="CW2419" s="4" t="s">
        <v>263</v>
      </c>
      <c r="CX2419" s="4" t="s">
        <v>264</v>
      </c>
      <c r="DA2419" s="6">
        <f>1</f>
        <v>1</v>
      </c>
      <c r="DC2419" s="4" t="s">
        <v>325</v>
      </c>
      <c r="DD2419" s="4" t="s">
        <v>241</v>
      </c>
      <c r="DF2419" s="4" t="s">
        <v>325</v>
      </c>
      <c r="DG2419" s="6">
        <f>245</f>
        <v>245</v>
      </c>
      <c r="DI2419" s="4" t="s">
        <v>241</v>
      </c>
      <c r="DJ2419" s="4" t="s">
        <v>241</v>
      </c>
      <c r="DK2419" s="4" t="s">
        <v>241</v>
      </c>
      <c r="DL2419" s="4" t="s">
        <v>241</v>
      </c>
      <c r="DP2419" s="4" t="s">
        <v>241</v>
      </c>
      <c r="DQ2419" s="4" t="s">
        <v>241</v>
      </c>
      <c r="DR2419" s="4" t="s">
        <v>241</v>
      </c>
      <c r="DS2419" s="4" t="s">
        <v>241</v>
      </c>
      <c r="DV2419" s="4" t="s">
        <v>426</v>
      </c>
      <c r="DW2419" s="4" t="s">
        <v>1461</v>
      </c>
      <c r="HO2419" s="4" t="s">
        <v>267</v>
      </c>
    </row>
    <row r="2420" spans="1:223" ht="19.5" customHeight="1" x14ac:dyDescent="0.4">
      <c r="A2420" s="4">
        <v>1</v>
      </c>
      <c r="B2420" s="4" t="s">
        <v>239</v>
      </c>
      <c r="C2420" s="4">
        <v>4123</v>
      </c>
      <c r="D2420" s="4">
        <v>1</v>
      </c>
      <c r="E2420" s="4">
        <v>1</v>
      </c>
      <c r="F2420" s="4" t="s">
        <v>268</v>
      </c>
      <c r="G2420" s="4" t="s">
        <v>241</v>
      </c>
      <c r="H2420" s="4" t="s">
        <v>241</v>
      </c>
      <c r="I2420" s="4" t="s">
        <v>424</v>
      </c>
      <c r="J2420" s="4" t="s">
        <v>274</v>
      </c>
      <c r="K2420" s="4" t="s">
        <v>251</v>
      </c>
      <c r="L2420" s="4" t="s">
        <v>423</v>
      </c>
      <c r="M2420" s="5" t="s">
        <v>3554</v>
      </c>
      <c r="N2420" s="6">
        <f>911</f>
        <v>911</v>
      </c>
      <c r="O2420" s="4" t="s">
        <v>265</v>
      </c>
      <c r="P2420" s="6">
        <f>1</f>
        <v>1</v>
      </c>
      <c r="Q2420" s="6">
        <f>0</f>
        <v>0</v>
      </c>
      <c r="S2420" s="6">
        <f>0</f>
        <v>0</v>
      </c>
      <c r="T2420" s="6">
        <f>1</f>
        <v>1</v>
      </c>
      <c r="U2420" s="5" t="s">
        <v>245</v>
      </c>
      <c r="V2420" s="4" t="s">
        <v>270</v>
      </c>
      <c r="W2420" s="4" t="s">
        <v>271</v>
      </c>
      <c r="X2420" s="4" t="s">
        <v>273</v>
      </c>
      <c r="Y2420" s="4" t="s">
        <v>241</v>
      </c>
      <c r="AB2420" s="4" t="s">
        <v>241</v>
      </c>
      <c r="AD2420" s="5" t="s">
        <v>241</v>
      </c>
      <c r="AG2420" s="5" t="s">
        <v>246</v>
      </c>
      <c r="AH2420" s="4" t="s">
        <v>241</v>
      </c>
      <c r="AI2420" s="4" t="s">
        <v>247</v>
      </c>
      <c r="AJ2420" s="4" t="s">
        <v>248</v>
      </c>
      <c r="AZ2420" s="4" t="s">
        <v>249</v>
      </c>
      <c r="BA2420" s="4" t="s">
        <v>241</v>
      </c>
      <c r="BB2420" s="4" t="s">
        <v>250</v>
      </c>
      <c r="BC2420" s="4" t="s">
        <v>241</v>
      </c>
      <c r="BD2420" s="4" t="s">
        <v>252</v>
      </c>
      <c r="BE2420" s="4" t="s">
        <v>241</v>
      </c>
      <c r="BI2420" s="4" t="s">
        <v>253</v>
      </c>
      <c r="BJ2420" s="5" t="s">
        <v>246</v>
      </c>
      <c r="BK2420" s="4" t="s">
        <v>254</v>
      </c>
      <c r="BL2420" s="4" t="s">
        <v>255</v>
      </c>
      <c r="BM2420" s="4" t="s">
        <v>241</v>
      </c>
      <c r="BN2420" s="6">
        <f>0</f>
        <v>0</v>
      </c>
      <c r="BO2420" s="6">
        <f>0</f>
        <v>0</v>
      </c>
      <c r="BP2420" s="4" t="s">
        <v>256</v>
      </c>
      <c r="BQ2420" s="4" t="s">
        <v>257</v>
      </c>
      <c r="CE2420" s="4" t="s">
        <v>241</v>
      </c>
      <c r="CF2420" s="4" t="s">
        <v>241</v>
      </c>
      <c r="CJ2420" s="4" t="s">
        <v>276</v>
      </c>
      <c r="CK2420" s="4" t="s">
        <v>259</v>
      </c>
      <c r="CL2420" s="4" t="s">
        <v>241</v>
      </c>
      <c r="CO2420" s="5" t="s">
        <v>260</v>
      </c>
      <c r="CP2420" s="4" t="s">
        <v>241</v>
      </c>
      <c r="CQ2420" s="4" t="s">
        <v>261</v>
      </c>
      <c r="CR2420" s="4" t="s">
        <v>241</v>
      </c>
      <c r="CS2420" s="4" t="s">
        <v>241</v>
      </c>
      <c r="CT2420" s="4">
        <v>0</v>
      </c>
      <c r="CU2420" s="4" t="s">
        <v>262</v>
      </c>
      <c r="CV2420" s="4" t="s">
        <v>263</v>
      </c>
      <c r="CW2420" s="4" t="s">
        <v>263</v>
      </c>
      <c r="CX2420" s="4" t="s">
        <v>264</v>
      </c>
      <c r="DA2420" s="6">
        <f>1</f>
        <v>1</v>
      </c>
      <c r="DC2420" s="4" t="s">
        <v>325</v>
      </c>
      <c r="DD2420" s="4" t="s">
        <v>241</v>
      </c>
      <c r="DF2420" s="4" t="s">
        <v>325</v>
      </c>
      <c r="DG2420" s="6">
        <f>911</f>
        <v>911</v>
      </c>
      <c r="DI2420" s="4" t="s">
        <v>241</v>
      </c>
      <c r="DJ2420" s="4" t="s">
        <v>241</v>
      </c>
      <c r="DK2420" s="4" t="s">
        <v>241</v>
      </c>
      <c r="DL2420" s="4" t="s">
        <v>241</v>
      </c>
      <c r="DP2420" s="4" t="s">
        <v>241</v>
      </c>
      <c r="DQ2420" s="4" t="s">
        <v>241</v>
      </c>
      <c r="DR2420" s="4" t="s">
        <v>241</v>
      </c>
      <c r="DS2420" s="4" t="s">
        <v>241</v>
      </c>
      <c r="DV2420" s="4" t="s">
        <v>426</v>
      </c>
      <c r="DW2420" s="4" t="s">
        <v>2797</v>
      </c>
      <c r="HO2420" s="4" t="s">
        <v>267</v>
      </c>
    </row>
    <row r="2421" spans="1:223" ht="19.5" customHeight="1" x14ac:dyDescent="0.4">
      <c r="A2421" s="4">
        <v>1</v>
      </c>
      <c r="B2421" s="4" t="s">
        <v>239</v>
      </c>
      <c r="C2421" s="4">
        <v>4124</v>
      </c>
      <c r="D2421" s="4">
        <v>1</v>
      </c>
      <c r="E2421" s="4">
        <v>1</v>
      </c>
      <c r="F2421" s="4" t="s">
        <v>268</v>
      </c>
      <c r="G2421" s="4" t="s">
        <v>241</v>
      </c>
      <c r="H2421" s="4" t="s">
        <v>241</v>
      </c>
      <c r="I2421" s="4" t="s">
        <v>424</v>
      </c>
      <c r="J2421" s="4" t="s">
        <v>274</v>
      </c>
      <c r="K2421" s="4" t="s">
        <v>251</v>
      </c>
      <c r="L2421" s="4" t="s">
        <v>423</v>
      </c>
      <c r="M2421" s="5" t="s">
        <v>3563</v>
      </c>
      <c r="N2421" s="6">
        <f>75</f>
        <v>75</v>
      </c>
      <c r="O2421" s="4" t="s">
        <v>265</v>
      </c>
      <c r="P2421" s="6">
        <f>1</f>
        <v>1</v>
      </c>
      <c r="Q2421" s="6">
        <f>0</f>
        <v>0</v>
      </c>
      <c r="S2421" s="6">
        <f>0</f>
        <v>0</v>
      </c>
      <c r="T2421" s="6">
        <f>1</f>
        <v>1</v>
      </c>
      <c r="U2421" s="5" t="s">
        <v>245</v>
      </c>
      <c r="V2421" s="4" t="s">
        <v>270</v>
      </c>
      <c r="W2421" s="4" t="s">
        <v>271</v>
      </c>
      <c r="X2421" s="4" t="s">
        <v>273</v>
      </c>
      <c r="Y2421" s="4" t="s">
        <v>241</v>
      </c>
      <c r="AB2421" s="4" t="s">
        <v>241</v>
      </c>
      <c r="AD2421" s="5" t="s">
        <v>241</v>
      </c>
      <c r="AG2421" s="5" t="s">
        <v>246</v>
      </c>
      <c r="AH2421" s="4" t="s">
        <v>241</v>
      </c>
      <c r="AI2421" s="4" t="s">
        <v>247</v>
      </c>
      <c r="AJ2421" s="4" t="s">
        <v>248</v>
      </c>
      <c r="AZ2421" s="4" t="s">
        <v>249</v>
      </c>
      <c r="BA2421" s="4" t="s">
        <v>241</v>
      </c>
      <c r="BB2421" s="4" t="s">
        <v>250</v>
      </c>
      <c r="BC2421" s="4" t="s">
        <v>241</v>
      </c>
      <c r="BD2421" s="4" t="s">
        <v>252</v>
      </c>
      <c r="BE2421" s="4" t="s">
        <v>241</v>
      </c>
      <c r="BI2421" s="4" t="s">
        <v>253</v>
      </c>
      <c r="BJ2421" s="5" t="s">
        <v>246</v>
      </c>
      <c r="BK2421" s="4" t="s">
        <v>254</v>
      </c>
      <c r="BL2421" s="4" t="s">
        <v>255</v>
      </c>
      <c r="BM2421" s="4" t="s">
        <v>241</v>
      </c>
      <c r="BN2421" s="6">
        <f>0</f>
        <v>0</v>
      </c>
      <c r="BO2421" s="6">
        <f>0</f>
        <v>0</v>
      </c>
      <c r="BP2421" s="4" t="s">
        <v>256</v>
      </c>
      <c r="BQ2421" s="4" t="s">
        <v>257</v>
      </c>
      <c r="CE2421" s="4" t="s">
        <v>241</v>
      </c>
      <c r="CF2421" s="4" t="s">
        <v>241</v>
      </c>
      <c r="CJ2421" s="4" t="s">
        <v>276</v>
      </c>
      <c r="CK2421" s="4" t="s">
        <v>259</v>
      </c>
      <c r="CL2421" s="4" t="s">
        <v>241</v>
      </c>
      <c r="CO2421" s="5" t="s">
        <v>260</v>
      </c>
      <c r="CP2421" s="4" t="s">
        <v>241</v>
      </c>
      <c r="CQ2421" s="4" t="s">
        <v>261</v>
      </c>
      <c r="CR2421" s="4" t="s">
        <v>241</v>
      </c>
      <c r="CS2421" s="4" t="s">
        <v>241</v>
      </c>
      <c r="CT2421" s="4">
        <v>0</v>
      </c>
      <c r="CU2421" s="4" t="s">
        <v>262</v>
      </c>
      <c r="CV2421" s="4" t="s">
        <v>263</v>
      </c>
      <c r="CW2421" s="4" t="s">
        <v>263</v>
      </c>
      <c r="CX2421" s="4" t="s">
        <v>264</v>
      </c>
      <c r="DA2421" s="6">
        <f>1</f>
        <v>1</v>
      </c>
      <c r="DC2421" s="4" t="s">
        <v>325</v>
      </c>
      <c r="DD2421" s="4" t="s">
        <v>241</v>
      </c>
      <c r="DF2421" s="4" t="s">
        <v>325</v>
      </c>
      <c r="DG2421" s="6">
        <f>75</f>
        <v>75</v>
      </c>
      <c r="DI2421" s="4" t="s">
        <v>241</v>
      </c>
      <c r="DJ2421" s="4" t="s">
        <v>241</v>
      </c>
      <c r="DK2421" s="4" t="s">
        <v>241</v>
      </c>
      <c r="DL2421" s="4" t="s">
        <v>241</v>
      </c>
      <c r="DP2421" s="4" t="s">
        <v>241</v>
      </c>
      <c r="DQ2421" s="4" t="s">
        <v>241</v>
      </c>
      <c r="DR2421" s="4" t="s">
        <v>241</v>
      </c>
      <c r="DS2421" s="4" t="s">
        <v>241</v>
      </c>
      <c r="DV2421" s="4" t="s">
        <v>426</v>
      </c>
      <c r="DW2421" s="4" t="s">
        <v>2775</v>
      </c>
      <c r="HO2421" s="4" t="s">
        <v>267</v>
      </c>
    </row>
    <row r="2422" spans="1:223" ht="19.5" customHeight="1" x14ac:dyDescent="0.4">
      <c r="A2422" s="4">
        <v>1</v>
      </c>
      <c r="B2422" s="4" t="s">
        <v>239</v>
      </c>
      <c r="C2422" s="4">
        <v>4125</v>
      </c>
      <c r="D2422" s="4">
        <v>1</v>
      </c>
      <c r="E2422" s="4">
        <v>1</v>
      </c>
      <c r="F2422" s="4" t="s">
        <v>268</v>
      </c>
      <c r="G2422" s="4" t="s">
        <v>241</v>
      </c>
      <c r="H2422" s="4" t="s">
        <v>241</v>
      </c>
      <c r="I2422" s="4" t="s">
        <v>424</v>
      </c>
      <c r="J2422" s="4" t="s">
        <v>274</v>
      </c>
      <c r="K2422" s="4" t="s">
        <v>251</v>
      </c>
      <c r="L2422" s="4" t="s">
        <v>423</v>
      </c>
      <c r="M2422" s="5" t="s">
        <v>3573</v>
      </c>
      <c r="N2422" s="6">
        <f>533</f>
        <v>533</v>
      </c>
      <c r="O2422" s="4" t="s">
        <v>265</v>
      </c>
      <c r="P2422" s="6">
        <f>1</f>
        <v>1</v>
      </c>
      <c r="Q2422" s="6">
        <f>0</f>
        <v>0</v>
      </c>
      <c r="S2422" s="6">
        <f>0</f>
        <v>0</v>
      </c>
      <c r="T2422" s="6">
        <f>1</f>
        <v>1</v>
      </c>
      <c r="U2422" s="5" t="s">
        <v>245</v>
      </c>
      <c r="V2422" s="4" t="s">
        <v>270</v>
      </c>
      <c r="W2422" s="4" t="s">
        <v>271</v>
      </c>
      <c r="X2422" s="4" t="s">
        <v>273</v>
      </c>
      <c r="Y2422" s="4" t="s">
        <v>241</v>
      </c>
      <c r="AB2422" s="4" t="s">
        <v>241</v>
      </c>
      <c r="AD2422" s="5" t="s">
        <v>241</v>
      </c>
      <c r="AG2422" s="5" t="s">
        <v>246</v>
      </c>
      <c r="AH2422" s="4" t="s">
        <v>241</v>
      </c>
      <c r="AI2422" s="4" t="s">
        <v>247</v>
      </c>
      <c r="AJ2422" s="4" t="s">
        <v>248</v>
      </c>
      <c r="AZ2422" s="4" t="s">
        <v>249</v>
      </c>
      <c r="BA2422" s="4" t="s">
        <v>241</v>
      </c>
      <c r="BB2422" s="4" t="s">
        <v>250</v>
      </c>
      <c r="BC2422" s="4" t="s">
        <v>241</v>
      </c>
      <c r="BD2422" s="4" t="s">
        <v>252</v>
      </c>
      <c r="BE2422" s="4" t="s">
        <v>241</v>
      </c>
      <c r="BI2422" s="4" t="s">
        <v>253</v>
      </c>
      <c r="BJ2422" s="5" t="s">
        <v>246</v>
      </c>
      <c r="BK2422" s="4" t="s">
        <v>254</v>
      </c>
      <c r="BL2422" s="4" t="s">
        <v>255</v>
      </c>
      <c r="BM2422" s="4" t="s">
        <v>241</v>
      </c>
      <c r="BN2422" s="6">
        <f>0</f>
        <v>0</v>
      </c>
      <c r="BO2422" s="6">
        <f>0</f>
        <v>0</v>
      </c>
      <c r="BP2422" s="4" t="s">
        <v>256</v>
      </c>
      <c r="BQ2422" s="4" t="s">
        <v>257</v>
      </c>
      <c r="CE2422" s="4" t="s">
        <v>241</v>
      </c>
      <c r="CF2422" s="4" t="s">
        <v>241</v>
      </c>
      <c r="CJ2422" s="4" t="s">
        <v>276</v>
      </c>
      <c r="CK2422" s="4" t="s">
        <v>259</v>
      </c>
      <c r="CL2422" s="4" t="s">
        <v>241</v>
      </c>
      <c r="CO2422" s="5" t="s">
        <v>260</v>
      </c>
      <c r="CP2422" s="4" t="s">
        <v>241</v>
      </c>
      <c r="CQ2422" s="4" t="s">
        <v>261</v>
      </c>
      <c r="CR2422" s="4" t="s">
        <v>241</v>
      </c>
      <c r="CS2422" s="4" t="s">
        <v>241</v>
      </c>
      <c r="CT2422" s="4">
        <v>0</v>
      </c>
      <c r="CU2422" s="4" t="s">
        <v>262</v>
      </c>
      <c r="CV2422" s="4" t="s">
        <v>263</v>
      </c>
      <c r="CW2422" s="4" t="s">
        <v>263</v>
      </c>
      <c r="CX2422" s="4" t="s">
        <v>264</v>
      </c>
      <c r="DA2422" s="6">
        <f>1</f>
        <v>1</v>
      </c>
      <c r="DC2422" s="4" t="s">
        <v>325</v>
      </c>
      <c r="DD2422" s="4" t="s">
        <v>241</v>
      </c>
      <c r="DF2422" s="4" t="s">
        <v>325</v>
      </c>
      <c r="DG2422" s="6">
        <f>533</f>
        <v>533</v>
      </c>
      <c r="DI2422" s="4" t="s">
        <v>241</v>
      </c>
      <c r="DJ2422" s="4" t="s">
        <v>241</v>
      </c>
      <c r="DK2422" s="4" t="s">
        <v>241</v>
      </c>
      <c r="DL2422" s="4" t="s">
        <v>241</v>
      </c>
      <c r="DP2422" s="4" t="s">
        <v>241</v>
      </c>
      <c r="DQ2422" s="4" t="s">
        <v>241</v>
      </c>
      <c r="DR2422" s="4" t="s">
        <v>241</v>
      </c>
      <c r="DS2422" s="4" t="s">
        <v>241</v>
      </c>
      <c r="DV2422" s="4" t="s">
        <v>426</v>
      </c>
      <c r="DW2422" s="4" t="s">
        <v>1750</v>
      </c>
      <c r="HO2422" s="4" t="s">
        <v>267</v>
      </c>
    </row>
    <row r="2423" spans="1:223" ht="19.5" customHeight="1" x14ac:dyDescent="0.4">
      <c r="A2423" s="4">
        <v>1</v>
      </c>
      <c r="B2423" s="4" t="s">
        <v>239</v>
      </c>
      <c r="C2423" s="4">
        <v>4126</v>
      </c>
      <c r="D2423" s="4">
        <v>1</v>
      </c>
      <c r="E2423" s="4">
        <v>1</v>
      </c>
      <c r="F2423" s="4" t="s">
        <v>268</v>
      </c>
      <c r="G2423" s="4" t="s">
        <v>241</v>
      </c>
      <c r="H2423" s="4" t="s">
        <v>241</v>
      </c>
      <c r="I2423" s="4" t="s">
        <v>424</v>
      </c>
      <c r="J2423" s="4" t="s">
        <v>274</v>
      </c>
      <c r="K2423" s="4" t="s">
        <v>251</v>
      </c>
      <c r="L2423" s="4" t="s">
        <v>423</v>
      </c>
      <c r="M2423" s="5" t="s">
        <v>3582</v>
      </c>
      <c r="N2423" s="6">
        <f>3268</f>
        <v>3268</v>
      </c>
      <c r="O2423" s="4" t="s">
        <v>265</v>
      </c>
      <c r="P2423" s="6">
        <f>1</f>
        <v>1</v>
      </c>
      <c r="Q2423" s="6">
        <f>0</f>
        <v>0</v>
      </c>
      <c r="S2423" s="6">
        <f>0</f>
        <v>0</v>
      </c>
      <c r="T2423" s="6">
        <f>1</f>
        <v>1</v>
      </c>
      <c r="U2423" s="5" t="s">
        <v>245</v>
      </c>
      <c r="V2423" s="4" t="s">
        <v>270</v>
      </c>
      <c r="W2423" s="4" t="s">
        <v>271</v>
      </c>
      <c r="X2423" s="4" t="s">
        <v>273</v>
      </c>
      <c r="Y2423" s="4" t="s">
        <v>241</v>
      </c>
      <c r="AB2423" s="4" t="s">
        <v>241</v>
      </c>
      <c r="AD2423" s="5" t="s">
        <v>241</v>
      </c>
      <c r="AG2423" s="5" t="s">
        <v>246</v>
      </c>
      <c r="AH2423" s="4" t="s">
        <v>241</v>
      </c>
      <c r="AI2423" s="4" t="s">
        <v>247</v>
      </c>
      <c r="AJ2423" s="4" t="s">
        <v>248</v>
      </c>
      <c r="AZ2423" s="4" t="s">
        <v>249</v>
      </c>
      <c r="BA2423" s="4" t="s">
        <v>241</v>
      </c>
      <c r="BB2423" s="4" t="s">
        <v>250</v>
      </c>
      <c r="BC2423" s="4" t="s">
        <v>241</v>
      </c>
      <c r="BD2423" s="4" t="s">
        <v>252</v>
      </c>
      <c r="BE2423" s="4" t="s">
        <v>241</v>
      </c>
      <c r="BI2423" s="4" t="s">
        <v>253</v>
      </c>
      <c r="BJ2423" s="5" t="s">
        <v>246</v>
      </c>
      <c r="BK2423" s="4" t="s">
        <v>254</v>
      </c>
      <c r="BL2423" s="4" t="s">
        <v>255</v>
      </c>
      <c r="BM2423" s="4" t="s">
        <v>241</v>
      </c>
      <c r="BN2423" s="6">
        <f>0</f>
        <v>0</v>
      </c>
      <c r="BO2423" s="6">
        <f>0</f>
        <v>0</v>
      </c>
      <c r="BP2423" s="4" t="s">
        <v>256</v>
      </c>
      <c r="BQ2423" s="4" t="s">
        <v>257</v>
      </c>
      <c r="CE2423" s="4" t="s">
        <v>241</v>
      </c>
      <c r="CF2423" s="4" t="s">
        <v>241</v>
      </c>
      <c r="CJ2423" s="4" t="s">
        <v>276</v>
      </c>
      <c r="CK2423" s="4" t="s">
        <v>259</v>
      </c>
      <c r="CL2423" s="4" t="s">
        <v>241</v>
      </c>
      <c r="CO2423" s="5" t="s">
        <v>260</v>
      </c>
      <c r="CP2423" s="4" t="s">
        <v>241</v>
      </c>
      <c r="CQ2423" s="4" t="s">
        <v>261</v>
      </c>
      <c r="CR2423" s="4" t="s">
        <v>241</v>
      </c>
      <c r="CS2423" s="4" t="s">
        <v>241</v>
      </c>
      <c r="CT2423" s="4">
        <v>0</v>
      </c>
      <c r="CU2423" s="4" t="s">
        <v>262</v>
      </c>
      <c r="CV2423" s="4" t="s">
        <v>263</v>
      </c>
      <c r="CW2423" s="4" t="s">
        <v>263</v>
      </c>
      <c r="CX2423" s="4" t="s">
        <v>264</v>
      </c>
      <c r="DA2423" s="6">
        <f>1</f>
        <v>1</v>
      </c>
      <c r="DC2423" s="4" t="s">
        <v>325</v>
      </c>
      <c r="DD2423" s="4" t="s">
        <v>241</v>
      </c>
      <c r="DF2423" s="4" t="s">
        <v>325</v>
      </c>
      <c r="DG2423" s="6">
        <f>3268</f>
        <v>3268</v>
      </c>
      <c r="DI2423" s="4" t="s">
        <v>241</v>
      </c>
      <c r="DJ2423" s="4" t="s">
        <v>241</v>
      </c>
      <c r="DK2423" s="4" t="s">
        <v>241</v>
      </c>
      <c r="DL2423" s="4" t="s">
        <v>241</v>
      </c>
      <c r="DP2423" s="4" t="s">
        <v>241</v>
      </c>
      <c r="DQ2423" s="4" t="s">
        <v>241</v>
      </c>
      <c r="DR2423" s="4" t="s">
        <v>241</v>
      </c>
      <c r="DS2423" s="4" t="s">
        <v>241</v>
      </c>
      <c r="DV2423" s="4" t="s">
        <v>426</v>
      </c>
      <c r="DW2423" s="4" t="s">
        <v>1017</v>
      </c>
      <c r="HO2423" s="4" t="s">
        <v>267</v>
      </c>
    </row>
    <row r="2424" spans="1:223" ht="19.5" customHeight="1" x14ac:dyDescent="0.4">
      <c r="A2424" s="4">
        <v>1</v>
      </c>
      <c r="B2424" s="4" t="s">
        <v>239</v>
      </c>
      <c r="C2424" s="4">
        <v>4127</v>
      </c>
      <c r="D2424" s="4">
        <v>1</v>
      </c>
      <c r="E2424" s="4">
        <v>1</v>
      </c>
      <c r="F2424" s="4" t="s">
        <v>268</v>
      </c>
      <c r="G2424" s="4" t="s">
        <v>241</v>
      </c>
      <c r="H2424" s="4" t="s">
        <v>241</v>
      </c>
      <c r="I2424" s="4" t="s">
        <v>424</v>
      </c>
      <c r="J2424" s="4" t="s">
        <v>274</v>
      </c>
      <c r="K2424" s="4" t="s">
        <v>251</v>
      </c>
      <c r="L2424" s="4" t="s">
        <v>423</v>
      </c>
      <c r="M2424" s="5" t="s">
        <v>3589</v>
      </c>
      <c r="N2424" s="6">
        <f>169</f>
        <v>169</v>
      </c>
      <c r="O2424" s="4" t="s">
        <v>265</v>
      </c>
      <c r="P2424" s="6">
        <f>1</f>
        <v>1</v>
      </c>
      <c r="Q2424" s="6">
        <f>0</f>
        <v>0</v>
      </c>
      <c r="S2424" s="6">
        <f>0</f>
        <v>0</v>
      </c>
      <c r="T2424" s="6">
        <f>1</f>
        <v>1</v>
      </c>
      <c r="U2424" s="5" t="s">
        <v>245</v>
      </c>
      <c r="V2424" s="4" t="s">
        <v>270</v>
      </c>
      <c r="W2424" s="4" t="s">
        <v>271</v>
      </c>
      <c r="X2424" s="4" t="s">
        <v>273</v>
      </c>
      <c r="Y2424" s="4" t="s">
        <v>241</v>
      </c>
      <c r="AB2424" s="4" t="s">
        <v>241</v>
      </c>
      <c r="AD2424" s="5" t="s">
        <v>241</v>
      </c>
      <c r="AG2424" s="5" t="s">
        <v>246</v>
      </c>
      <c r="AH2424" s="4" t="s">
        <v>241</v>
      </c>
      <c r="AI2424" s="4" t="s">
        <v>247</v>
      </c>
      <c r="AJ2424" s="4" t="s">
        <v>248</v>
      </c>
      <c r="AZ2424" s="4" t="s">
        <v>249</v>
      </c>
      <c r="BA2424" s="4" t="s">
        <v>241</v>
      </c>
      <c r="BB2424" s="4" t="s">
        <v>250</v>
      </c>
      <c r="BC2424" s="4" t="s">
        <v>241</v>
      </c>
      <c r="BD2424" s="4" t="s">
        <v>252</v>
      </c>
      <c r="BE2424" s="4" t="s">
        <v>241</v>
      </c>
      <c r="BI2424" s="4" t="s">
        <v>253</v>
      </c>
      <c r="BJ2424" s="5" t="s">
        <v>246</v>
      </c>
      <c r="BK2424" s="4" t="s">
        <v>254</v>
      </c>
      <c r="BL2424" s="4" t="s">
        <v>255</v>
      </c>
      <c r="BM2424" s="4" t="s">
        <v>241</v>
      </c>
      <c r="BN2424" s="6">
        <f>0</f>
        <v>0</v>
      </c>
      <c r="BO2424" s="6">
        <f>0</f>
        <v>0</v>
      </c>
      <c r="BP2424" s="4" t="s">
        <v>256</v>
      </c>
      <c r="BQ2424" s="4" t="s">
        <v>257</v>
      </c>
      <c r="CE2424" s="4" t="s">
        <v>241</v>
      </c>
      <c r="CF2424" s="4" t="s">
        <v>241</v>
      </c>
      <c r="CJ2424" s="4" t="s">
        <v>276</v>
      </c>
      <c r="CK2424" s="4" t="s">
        <v>259</v>
      </c>
      <c r="CL2424" s="4" t="s">
        <v>241</v>
      </c>
      <c r="CO2424" s="5" t="s">
        <v>260</v>
      </c>
      <c r="CP2424" s="4" t="s">
        <v>241</v>
      </c>
      <c r="CQ2424" s="4" t="s">
        <v>261</v>
      </c>
      <c r="CR2424" s="4" t="s">
        <v>241</v>
      </c>
      <c r="CS2424" s="4" t="s">
        <v>241</v>
      </c>
      <c r="CT2424" s="4">
        <v>0</v>
      </c>
      <c r="CU2424" s="4" t="s">
        <v>262</v>
      </c>
      <c r="CV2424" s="4" t="s">
        <v>263</v>
      </c>
      <c r="CW2424" s="4" t="s">
        <v>263</v>
      </c>
      <c r="CX2424" s="4" t="s">
        <v>264</v>
      </c>
      <c r="DA2424" s="6">
        <f>1</f>
        <v>1</v>
      </c>
      <c r="DC2424" s="4" t="s">
        <v>325</v>
      </c>
      <c r="DD2424" s="4" t="s">
        <v>241</v>
      </c>
      <c r="DF2424" s="4" t="s">
        <v>325</v>
      </c>
      <c r="DG2424" s="6">
        <f>169</f>
        <v>169</v>
      </c>
      <c r="DI2424" s="4" t="s">
        <v>241</v>
      </c>
      <c r="DJ2424" s="4" t="s">
        <v>241</v>
      </c>
      <c r="DK2424" s="4" t="s">
        <v>241</v>
      </c>
      <c r="DL2424" s="4" t="s">
        <v>241</v>
      </c>
      <c r="DP2424" s="4" t="s">
        <v>241</v>
      </c>
      <c r="DQ2424" s="4" t="s">
        <v>241</v>
      </c>
      <c r="DR2424" s="4" t="s">
        <v>241</v>
      </c>
      <c r="DS2424" s="4" t="s">
        <v>241</v>
      </c>
      <c r="DV2424" s="4" t="s">
        <v>426</v>
      </c>
      <c r="DW2424" s="4" t="s">
        <v>2793</v>
      </c>
      <c r="HO2424" s="4" t="s">
        <v>267</v>
      </c>
    </row>
    <row r="2425" spans="1:223" ht="19.5" customHeight="1" x14ac:dyDescent="0.4">
      <c r="A2425" s="4">
        <v>1</v>
      </c>
      <c r="B2425" s="4" t="s">
        <v>239</v>
      </c>
      <c r="C2425" s="4">
        <v>4128</v>
      </c>
      <c r="D2425" s="4">
        <v>1</v>
      </c>
      <c r="E2425" s="4">
        <v>1</v>
      </c>
      <c r="F2425" s="4" t="s">
        <v>268</v>
      </c>
      <c r="G2425" s="4" t="s">
        <v>241</v>
      </c>
      <c r="H2425" s="4" t="s">
        <v>241</v>
      </c>
      <c r="I2425" s="4" t="s">
        <v>424</v>
      </c>
      <c r="J2425" s="4" t="s">
        <v>274</v>
      </c>
      <c r="K2425" s="4" t="s">
        <v>251</v>
      </c>
      <c r="L2425" s="4" t="s">
        <v>423</v>
      </c>
      <c r="M2425" s="5" t="s">
        <v>3592</v>
      </c>
      <c r="N2425" s="6">
        <f>436</f>
        <v>436</v>
      </c>
      <c r="O2425" s="4" t="s">
        <v>265</v>
      </c>
      <c r="P2425" s="6">
        <f>1</f>
        <v>1</v>
      </c>
      <c r="Q2425" s="6">
        <f>0</f>
        <v>0</v>
      </c>
      <c r="S2425" s="6">
        <f>0</f>
        <v>0</v>
      </c>
      <c r="T2425" s="6">
        <f>1</f>
        <v>1</v>
      </c>
      <c r="U2425" s="5" t="s">
        <v>245</v>
      </c>
      <c r="V2425" s="4" t="s">
        <v>270</v>
      </c>
      <c r="W2425" s="4" t="s">
        <v>271</v>
      </c>
      <c r="X2425" s="4" t="s">
        <v>273</v>
      </c>
      <c r="Y2425" s="4" t="s">
        <v>241</v>
      </c>
      <c r="AB2425" s="4" t="s">
        <v>241</v>
      </c>
      <c r="AD2425" s="5" t="s">
        <v>241</v>
      </c>
      <c r="AG2425" s="5" t="s">
        <v>246</v>
      </c>
      <c r="AH2425" s="4" t="s">
        <v>241</v>
      </c>
      <c r="AI2425" s="4" t="s">
        <v>247</v>
      </c>
      <c r="AJ2425" s="4" t="s">
        <v>248</v>
      </c>
      <c r="AZ2425" s="4" t="s">
        <v>249</v>
      </c>
      <c r="BA2425" s="4" t="s">
        <v>241</v>
      </c>
      <c r="BB2425" s="4" t="s">
        <v>250</v>
      </c>
      <c r="BC2425" s="4" t="s">
        <v>241</v>
      </c>
      <c r="BD2425" s="4" t="s">
        <v>252</v>
      </c>
      <c r="BE2425" s="4" t="s">
        <v>241</v>
      </c>
      <c r="BI2425" s="4" t="s">
        <v>253</v>
      </c>
      <c r="BJ2425" s="5" t="s">
        <v>246</v>
      </c>
      <c r="BK2425" s="4" t="s">
        <v>254</v>
      </c>
      <c r="BL2425" s="4" t="s">
        <v>255</v>
      </c>
      <c r="BM2425" s="4" t="s">
        <v>241</v>
      </c>
      <c r="BN2425" s="6">
        <f>0</f>
        <v>0</v>
      </c>
      <c r="BO2425" s="6">
        <f>0</f>
        <v>0</v>
      </c>
      <c r="BP2425" s="4" t="s">
        <v>256</v>
      </c>
      <c r="BQ2425" s="4" t="s">
        <v>257</v>
      </c>
      <c r="CE2425" s="4" t="s">
        <v>241</v>
      </c>
      <c r="CF2425" s="4" t="s">
        <v>241</v>
      </c>
      <c r="CJ2425" s="4" t="s">
        <v>276</v>
      </c>
      <c r="CK2425" s="4" t="s">
        <v>259</v>
      </c>
      <c r="CL2425" s="4" t="s">
        <v>241</v>
      </c>
      <c r="CO2425" s="5" t="s">
        <v>260</v>
      </c>
      <c r="CP2425" s="4" t="s">
        <v>241</v>
      </c>
      <c r="CQ2425" s="4" t="s">
        <v>261</v>
      </c>
      <c r="CR2425" s="4" t="s">
        <v>241</v>
      </c>
      <c r="CS2425" s="4" t="s">
        <v>241</v>
      </c>
      <c r="CT2425" s="4">
        <v>0</v>
      </c>
      <c r="CU2425" s="4" t="s">
        <v>262</v>
      </c>
      <c r="CV2425" s="4" t="s">
        <v>263</v>
      </c>
      <c r="CW2425" s="4" t="s">
        <v>263</v>
      </c>
      <c r="CX2425" s="4" t="s">
        <v>264</v>
      </c>
      <c r="DA2425" s="6">
        <f>1</f>
        <v>1</v>
      </c>
      <c r="DC2425" s="4" t="s">
        <v>325</v>
      </c>
      <c r="DD2425" s="4" t="s">
        <v>241</v>
      </c>
      <c r="DF2425" s="4" t="s">
        <v>325</v>
      </c>
      <c r="DG2425" s="6">
        <f>436</f>
        <v>436</v>
      </c>
      <c r="DI2425" s="4" t="s">
        <v>241</v>
      </c>
      <c r="DJ2425" s="4" t="s">
        <v>241</v>
      </c>
      <c r="DK2425" s="4" t="s">
        <v>241</v>
      </c>
      <c r="DL2425" s="4" t="s">
        <v>241</v>
      </c>
      <c r="DP2425" s="4" t="s">
        <v>241</v>
      </c>
      <c r="DQ2425" s="4" t="s">
        <v>241</v>
      </c>
      <c r="DR2425" s="4" t="s">
        <v>241</v>
      </c>
      <c r="DS2425" s="4" t="s">
        <v>241</v>
      </c>
      <c r="DV2425" s="4" t="s">
        <v>426</v>
      </c>
      <c r="DW2425" s="4" t="s">
        <v>2920</v>
      </c>
      <c r="HO2425" s="4" t="s">
        <v>267</v>
      </c>
    </row>
    <row r="2426" spans="1:223" ht="19.5" customHeight="1" x14ac:dyDescent="0.4">
      <c r="A2426" s="4">
        <v>1</v>
      </c>
      <c r="B2426" s="4" t="s">
        <v>239</v>
      </c>
      <c r="C2426" s="4">
        <v>4129</v>
      </c>
      <c r="D2426" s="4">
        <v>1</v>
      </c>
      <c r="E2426" s="4">
        <v>1</v>
      </c>
      <c r="F2426" s="4" t="s">
        <v>268</v>
      </c>
      <c r="G2426" s="4" t="s">
        <v>241</v>
      </c>
      <c r="H2426" s="4" t="s">
        <v>241</v>
      </c>
      <c r="I2426" s="4" t="s">
        <v>424</v>
      </c>
      <c r="J2426" s="4" t="s">
        <v>274</v>
      </c>
      <c r="K2426" s="4" t="s">
        <v>251</v>
      </c>
      <c r="L2426" s="4" t="s">
        <v>423</v>
      </c>
      <c r="M2426" s="5" t="s">
        <v>3595</v>
      </c>
      <c r="N2426" s="6">
        <f>487</f>
        <v>487</v>
      </c>
      <c r="O2426" s="4" t="s">
        <v>265</v>
      </c>
      <c r="P2426" s="6">
        <f>1</f>
        <v>1</v>
      </c>
      <c r="Q2426" s="6">
        <f>0</f>
        <v>0</v>
      </c>
      <c r="S2426" s="6">
        <f>0</f>
        <v>0</v>
      </c>
      <c r="T2426" s="6">
        <f>1</f>
        <v>1</v>
      </c>
      <c r="U2426" s="5" t="s">
        <v>245</v>
      </c>
      <c r="V2426" s="4" t="s">
        <v>270</v>
      </c>
      <c r="W2426" s="4" t="s">
        <v>271</v>
      </c>
      <c r="X2426" s="4" t="s">
        <v>273</v>
      </c>
      <c r="Y2426" s="4" t="s">
        <v>241</v>
      </c>
      <c r="AB2426" s="4" t="s">
        <v>241</v>
      </c>
      <c r="AD2426" s="5" t="s">
        <v>241</v>
      </c>
      <c r="AG2426" s="5" t="s">
        <v>246</v>
      </c>
      <c r="AH2426" s="4" t="s">
        <v>241</v>
      </c>
      <c r="AI2426" s="4" t="s">
        <v>247</v>
      </c>
      <c r="AJ2426" s="4" t="s">
        <v>248</v>
      </c>
      <c r="AZ2426" s="4" t="s">
        <v>249</v>
      </c>
      <c r="BA2426" s="4" t="s">
        <v>241</v>
      </c>
      <c r="BB2426" s="4" t="s">
        <v>250</v>
      </c>
      <c r="BC2426" s="4" t="s">
        <v>241</v>
      </c>
      <c r="BD2426" s="4" t="s">
        <v>252</v>
      </c>
      <c r="BE2426" s="4" t="s">
        <v>241</v>
      </c>
      <c r="BI2426" s="4" t="s">
        <v>253</v>
      </c>
      <c r="BJ2426" s="5" t="s">
        <v>246</v>
      </c>
      <c r="BK2426" s="4" t="s">
        <v>254</v>
      </c>
      <c r="BL2426" s="4" t="s">
        <v>255</v>
      </c>
      <c r="BM2426" s="4" t="s">
        <v>241</v>
      </c>
      <c r="BN2426" s="6">
        <f>0</f>
        <v>0</v>
      </c>
      <c r="BO2426" s="6">
        <f>0</f>
        <v>0</v>
      </c>
      <c r="BP2426" s="4" t="s">
        <v>256</v>
      </c>
      <c r="BQ2426" s="4" t="s">
        <v>257</v>
      </c>
      <c r="CE2426" s="4" t="s">
        <v>241</v>
      </c>
      <c r="CF2426" s="4" t="s">
        <v>241</v>
      </c>
      <c r="CJ2426" s="4" t="s">
        <v>276</v>
      </c>
      <c r="CK2426" s="4" t="s">
        <v>259</v>
      </c>
      <c r="CL2426" s="4" t="s">
        <v>241</v>
      </c>
      <c r="CO2426" s="5" t="s">
        <v>260</v>
      </c>
      <c r="CP2426" s="4" t="s">
        <v>241</v>
      </c>
      <c r="CQ2426" s="4" t="s">
        <v>261</v>
      </c>
      <c r="CR2426" s="4" t="s">
        <v>241</v>
      </c>
      <c r="CS2426" s="4" t="s">
        <v>241</v>
      </c>
      <c r="CT2426" s="4">
        <v>0</v>
      </c>
      <c r="CU2426" s="4" t="s">
        <v>262</v>
      </c>
      <c r="CV2426" s="4" t="s">
        <v>263</v>
      </c>
      <c r="CW2426" s="4" t="s">
        <v>263</v>
      </c>
      <c r="CX2426" s="4" t="s">
        <v>264</v>
      </c>
      <c r="DA2426" s="6">
        <f>1</f>
        <v>1</v>
      </c>
      <c r="DC2426" s="4" t="s">
        <v>325</v>
      </c>
      <c r="DD2426" s="4" t="s">
        <v>241</v>
      </c>
      <c r="DF2426" s="4" t="s">
        <v>325</v>
      </c>
      <c r="DG2426" s="6">
        <f>487</f>
        <v>487</v>
      </c>
      <c r="DI2426" s="4" t="s">
        <v>241</v>
      </c>
      <c r="DJ2426" s="4" t="s">
        <v>241</v>
      </c>
      <c r="DK2426" s="4" t="s">
        <v>241</v>
      </c>
      <c r="DL2426" s="4" t="s">
        <v>241</v>
      </c>
      <c r="DP2426" s="4" t="s">
        <v>241</v>
      </c>
      <c r="DQ2426" s="4" t="s">
        <v>241</v>
      </c>
      <c r="DR2426" s="4" t="s">
        <v>241</v>
      </c>
      <c r="DS2426" s="4" t="s">
        <v>241</v>
      </c>
      <c r="DV2426" s="4" t="s">
        <v>426</v>
      </c>
      <c r="DW2426" s="4" t="s">
        <v>2709</v>
      </c>
      <c r="HO2426" s="4" t="s">
        <v>267</v>
      </c>
    </row>
    <row r="2427" spans="1:223" ht="19.5" customHeight="1" x14ac:dyDescent="0.4">
      <c r="A2427" s="4">
        <v>1</v>
      </c>
      <c r="B2427" s="4" t="s">
        <v>239</v>
      </c>
      <c r="C2427" s="4">
        <v>4130</v>
      </c>
      <c r="D2427" s="4">
        <v>1</v>
      </c>
      <c r="E2427" s="4">
        <v>1</v>
      </c>
      <c r="F2427" s="4" t="s">
        <v>268</v>
      </c>
      <c r="G2427" s="4" t="s">
        <v>241</v>
      </c>
      <c r="H2427" s="4" t="s">
        <v>241</v>
      </c>
      <c r="I2427" s="4" t="s">
        <v>424</v>
      </c>
      <c r="J2427" s="4" t="s">
        <v>274</v>
      </c>
      <c r="K2427" s="4" t="s">
        <v>251</v>
      </c>
      <c r="L2427" s="4" t="s">
        <v>423</v>
      </c>
      <c r="M2427" s="5" t="s">
        <v>3598</v>
      </c>
      <c r="N2427" s="6">
        <f>44</f>
        <v>44</v>
      </c>
      <c r="O2427" s="4" t="s">
        <v>265</v>
      </c>
      <c r="P2427" s="6">
        <f>1</f>
        <v>1</v>
      </c>
      <c r="Q2427" s="6">
        <f>0</f>
        <v>0</v>
      </c>
      <c r="S2427" s="6">
        <f>0</f>
        <v>0</v>
      </c>
      <c r="T2427" s="6">
        <f>1</f>
        <v>1</v>
      </c>
      <c r="U2427" s="5" t="s">
        <v>245</v>
      </c>
      <c r="V2427" s="4" t="s">
        <v>270</v>
      </c>
      <c r="W2427" s="4" t="s">
        <v>271</v>
      </c>
      <c r="X2427" s="4" t="s">
        <v>273</v>
      </c>
      <c r="Y2427" s="4" t="s">
        <v>241</v>
      </c>
      <c r="AB2427" s="4" t="s">
        <v>241</v>
      </c>
      <c r="AD2427" s="5" t="s">
        <v>241</v>
      </c>
      <c r="AG2427" s="5" t="s">
        <v>246</v>
      </c>
      <c r="AH2427" s="4" t="s">
        <v>241</v>
      </c>
      <c r="AI2427" s="4" t="s">
        <v>247</v>
      </c>
      <c r="AJ2427" s="4" t="s">
        <v>248</v>
      </c>
      <c r="AZ2427" s="4" t="s">
        <v>249</v>
      </c>
      <c r="BA2427" s="4" t="s">
        <v>241</v>
      </c>
      <c r="BB2427" s="4" t="s">
        <v>250</v>
      </c>
      <c r="BC2427" s="4" t="s">
        <v>241</v>
      </c>
      <c r="BD2427" s="4" t="s">
        <v>252</v>
      </c>
      <c r="BE2427" s="4" t="s">
        <v>241</v>
      </c>
      <c r="BI2427" s="4" t="s">
        <v>253</v>
      </c>
      <c r="BJ2427" s="5" t="s">
        <v>246</v>
      </c>
      <c r="BK2427" s="4" t="s">
        <v>254</v>
      </c>
      <c r="BL2427" s="4" t="s">
        <v>255</v>
      </c>
      <c r="BM2427" s="4" t="s">
        <v>241</v>
      </c>
      <c r="BN2427" s="6">
        <f>0</f>
        <v>0</v>
      </c>
      <c r="BO2427" s="6">
        <f>0</f>
        <v>0</v>
      </c>
      <c r="BP2427" s="4" t="s">
        <v>256</v>
      </c>
      <c r="BQ2427" s="4" t="s">
        <v>257</v>
      </c>
      <c r="CE2427" s="4" t="s">
        <v>241</v>
      </c>
      <c r="CF2427" s="4" t="s">
        <v>241</v>
      </c>
      <c r="CJ2427" s="4" t="s">
        <v>276</v>
      </c>
      <c r="CK2427" s="4" t="s">
        <v>259</v>
      </c>
      <c r="CL2427" s="4" t="s">
        <v>241</v>
      </c>
      <c r="CO2427" s="5" t="s">
        <v>260</v>
      </c>
      <c r="CP2427" s="4" t="s">
        <v>241</v>
      </c>
      <c r="CQ2427" s="4" t="s">
        <v>261</v>
      </c>
      <c r="CR2427" s="4" t="s">
        <v>241</v>
      </c>
      <c r="CS2427" s="4" t="s">
        <v>241</v>
      </c>
      <c r="CT2427" s="4">
        <v>0</v>
      </c>
      <c r="CU2427" s="4" t="s">
        <v>262</v>
      </c>
      <c r="CV2427" s="4" t="s">
        <v>263</v>
      </c>
      <c r="CW2427" s="4" t="s">
        <v>263</v>
      </c>
      <c r="CX2427" s="4" t="s">
        <v>264</v>
      </c>
      <c r="DA2427" s="6">
        <f>1</f>
        <v>1</v>
      </c>
      <c r="DC2427" s="4" t="s">
        <v>325</v>
      </c>
      <c r="DD2427" s="4" t="s">
        <v>241</v>
      </c>
      <c r="DF2427" s="4" t="s">
        <v>325</v>
      </c>
      <c r="DG2427" s="6">
        <f>44</f>
        <v>44</v>
      </c>
      <c r="DI2427" s="4" t="s">
        <v>241</v>
      </c>
      <c r="DJ2427" s="4" t="s">
        <v>241</v>
      </c>
      <c r="DK2427" s="4" t="s">
        <v>241</v>
      </c>
      <c r="DL2427" s="4" t="s">
        <v>241</v>
      </c>
      <c r="DP2427" s="4" t="s">
        <v>241</v>
      </c>
      <c r="DQ2427" s="4" t="s">
        <v>241</v>
      </c>
      <c r="DR2427" s="4" t="s">
        <v>241</v>
      </c>
      <c r="DS2427" s="4" t="s">
        <v>241</v>
      </c>
      <c r="DV2427" s="4" t="s">
        <v>426</v>
      </c>
      <c r="DW2427" s="4" t="s">
        <v>2621</v>
      </c>
      <c r="HO2427" s="4" t="s">
        <v>267</v>
      </c>
    </row>
    <row r="2428" spans="1:223" ht="19.5" customHeight="1" x14ac:dyDescent="0.4">
      <c r="A2428" s="4">
        <v>1</v>
      </c>
      <c r="B2428" s="4" t="s">
        <v>239</v>
      </c>
      <c r="C2428" s="4">
        <v>4131</v>
      </c>
      <c r="D2428" s="4">
        <v>1</v>
      </c>
      <c r="E2428" s="4">
        <v>1</v>
      </c>
      <c r="F2428" s="4" t="s">
        <v>268</v>
      </c>
      <c r="G2428" s="4" t="s">
        <v>241</v>
      </c>
      <c r="H2428" s="4" t="s">
        <v>241</v>
      </c>
      <c r="I2428" s="4" t="s">
        <v>424</v>
      </c>
      <c r="J2428" s="4" t="s">
        <v>274</v>
      </c>
      <c r="K2428" s="4" t="s">
        <v>251</v>
      </c>
      <c r="L2428" s="4" t="s">
        <v>423</v>
      </c>
      <c r="M2428" s="5" t="s">
        <v>3601</v>
      </c>
      <c r="N2428" s="6">
        <f>736</f>
        <v>736</v>
      </c>
      <c r="O2428" s="4" t="s">
        <v>265</v>
      </c>
      <c r="P2428" s="6">
        <f>1</f>
        <v>1</v>
      </c>
      <c r="Q2428" s="6">
        <f>0</f>
        <v>0</v>
      </c>
      <c r="S2428" s="6">
        <f>0</f>
        <v>0</v>
      </c>
      <c r="T2428" s="6">
        <f>1</f>
        <v>1</v>
      </c>
      <c r="U2428" s="5" t="s">
        <v>245</v>
      </c>
      <c r="V2428" s="4" t="s">
        <v>270</v>
      </c>
      <c r="W2428" s="4" t="s">
        <v>271</v>
      </c>
      <c r="X2428" s="4" t="s">
        <v>273</v>
      </c>
      <c r="Y2428" s="4" t="s">
        <v>241</v>
      </c>
      <c r="AB2428" s="4" t="s">
        <v>241</v>
      </c>
      <c r="AD2428" s="5" t="s">
        <v>241</v>
      </c>
      <c r="AG2428" s="5" t="s">
        <v>246</v>
      </c>
      <c r="AH2428" s="4" t="s">
        <v>241</v>
      </c>
      <c r="AI2428" s="4" t="s">
        <v>247</v>
      </c>
      <c r="AJ2428" s="4" t="s">
        <v>248</v>
      </c>
      <c r="AZ2428" s="4" t="s">
        <v>249</v>
      </c>
      <c r="BA2428" s="4" t="s">
        <v>241</v>
      </c>
      <c r="BB2428" s="4" t="s">
        <v>250</v>
      </c>
      <c r="BC2428" s="4" t="s">
        <v>241</v>
      </c>
      <c r="BD2428" s="4" t="s">
        <v>252</v>
      </c>
      <c r="BE2428" s="4" t="s">
        <v>241</v>
      </c>
      <c r="BI2428" s="4" t="s">
        <v>253</v>
      </c>
      <c r="BJ2428" s="5" t="s">
        <v>246</v>
      </c>
      <c r="BK2428" s="4" t="s">
        <v>254</v>
      </c>
      <c r="BL2428" s="4" t="s">
        <v>255</v>
      </c>
      <c r="BM2428" s="4" t="s">
        <v>241</v>
      </c>
      <c r="BN2428" s="6">
        <f>0</f>
        <v>0</v>
      </c>
      <c r="BO2428" s="6">
        <f>0</f>
        <v>0</v>
      </c>
      <c r="BP2428" s="4" t="s">
        <v>256</v>
      </c>
      <c r="BQ2428" s="4" t="s">
        <v>257</v>
      </c>
      <c r="CE2428" s="4" t="s">
        <v>241</v>
      </c>
      <c r="CF2428" s="4" t="s">
        <v>241</v>
      </c>
      <c r="CJ2428" s="4" t="s">
        <v>276</v>
      </c>
      <c r="CK2428" s="4" t="s">
        <v>259</v>
      </c>
      <c r="CL2428" s="4" t="s">
        <v>241</v>
      </c>
      <c r="CO2428" s="5" t="s">
        <v>260</v>
      </c>
      <c r="CP2428" s="4" t="s">
        <v>241</v>
      </c>
      <c r="CQ2428" s="4" t="s">
        <v>261</v>
      </c>
      <c r="CR2428" s="4" t="s">
        <v>241</v>
      </c>
      <c r="CS2428" s="4" t="s">
        <v>241</v>
      </c>
      <c r="CT2428" s="4">
        <v>0</v>
      </c>
      <c r="CU2428" s="4" t="s">
        <v>262</v>
      </c>
      <c r="CV2428" s="4" t="s">
        <v>263</v>
      </c>
      <c r="CW2428" s="4" t="s">
        <v>263</v>
      </c>
      <c r="CX2428" s="4" t="s">
        <v>264</v>
      </c>
      <c r="DA2428" s="6">
        <f>1</f>
        <v>1</v>
      </c>
      <c r="DC2428" s="4" t="s">
        <v>325</v>
      </c>
      <c r="DD2428" s="4" t="s">
        <v>241</v>
      </c>
      <c r="DF2428" s="4" t="s">
        <v>325</v>
      </c>
      <c r="DG2428" s="6">
        <f>736</f>
        <v>736</v>
      </c>
      <c r="DI2428" s="4" t="s">
        <v>241</v>
      </c>
      <c r="DJ2428" s="4" t="s">
        <v>241</v>
      </c>
      <c r="DK2428" s="4" t="s">
        <v>241</v>
      </c>
      <c r="DL2428" s="4" t="s">
        <v>241</v>
      </c>
      <c r="DP2428" s="4" t="s">
        <v>241</v>
      </c>
      <c r="DQ2428" s="4" t="s">
        <v>241</v>
      </c>
      <c r="DR2428" s="4" t="s">
        <v>241</v>
      </c>
      <c r="DS2428" s="4" t="s">
        <v>241</v>
      </c>
      <c r="DV2428" s="4" t="s">
        <v>426</v>
      </c>
      <c r="DW2428" s="4" t="s">
        <v>2591</v>
      </c>
      <c r="HO2428" s="4" t="s">
        <v>267</v>
      </c>
    </row>
    <row r="2429" spans="1:223" ht="19.5" customHeight="1" x14ac:dyDescent="0.4">
      <c r="A2429" s="4">
        <v>1</v>
      </c>
      <c r="B2429" s="4" t="s">
        <v>239</v>
      </c>
      <c r="C2429" s="4">
        <v>4132</v>
      </c>
      <c r="D2429" s="4">
        <v>1</v>
      </c>
      <c r="E2429" s="4">
        <v>1</v>
      </c>
      <c r="F2429" s="4" t="s">
        <v>268</v>
      </c>
      <c r="G2429" s="4" t="s">
        <v>241</v>
      </c>
      <c r="H2429" s="4" t="s">
        <v>241</v>
      </c>
      <c r="I2429" s="4" t="s">
        <v>424</v>
      </c>
      <c r="J2429" s="4" t="s">
        <v>274</v>
      </c>
      <c r="K2429" s="4" t="s">
        <v>251</v>
      </c>
      <c r="L2429" s="4" t="s">
        <v>423</v>
      </c>
      <c r="M2429" s="5" t="s">
        <v>3603</v>
      </c>
      <c r="N2429" s="6">
        <f>1991</f>
        <v>1991</v>
      </c>
      <c r="O2429" s="4" t="s">
        <v>265</v>
      </c>
      <c r="P2429" s="6">
        <f>1</f>
        <v>1</v>
      </c>
      <c r="Q2429" s="6">
        <f>0</f>
        <v>0</v>
      </c>
      <c r="S2429" s="6">
        <f>0</f>
        <v>0</v>
      </c>
      <c r="T2429" s="6">
        <f>1</f>
        <v>1</v>
      </c>
      <c r="U2429" s="5" t="s">
        <v>245</v>
      </c>
      <c r="V2429" s="4" t="s">
        <v>270</v>
      </c>
      <c r="W2429" s="4" t="s">
        <v>271</v>
      </c>
      <c r="X2429" s="4" t="s">
        <v>273</v>
      </c>
      <c r="Y2429" s="4" t="s">
        <v>241</v>
      </c>
      <c r="AB2429" s="4" t="s">
        <v>241</v>
      </c>
      <c r="AD2429" s="5" t="s">
        <v>241</v>
      </c>
      <c r="AG2429" s="5" t="s">
        <v>246</v>
      </c>
      <c r="AH2429" s="4" t="s">
        <v>241</v>
      </c>
      <c r="AI2429" s="4" t="s">
        <v>247</v>
      </c>
      <c r="AJ2429" s="4" t="s">
        <v>248</v>
      </c>
      <c r="AZ2429" s="4" t="s">
        <v>249</v>
      </c>
      <c r="BA2429" s="4" t="s">
        <v>241</v>
      </c>
      <c r="BB2429" s="4" t="s">
        <v>250</v>
      </c>
      <c r="BC2429" s="4" t="s">
        <v>241</v>
      </c>
      <c r="BD2429" s="4" t="s">
        <v>252</v>
      </c>
      <c r="BE2429" s="4" t="s">
        <v>241</v>
      </c>
      <c r="BI2429" s="4" t="s">
        <v>253</v>
      </c>
      <c r="BJ2429" s="5" t="s">
        <v>246</v>
      </c>
      <c r="BK2429" s="4" t="s">
        <v>254</v>
      </c>
      <c r="BL2429" s="4" t="s">
        <v>255</v>
      </c>
      <c r="BM2429" s="4" t="s">
        <v>241</v>
      </c>
      <c r="BN2429" s="6">
        <f>0</f>
        <v>0</v>
      </c>
      <c r="BO2429" s="6">
        <f>0</f>
        <v>0</v>
      </c>
      <c r="BP2429" s="4" t="s">
        <v>256</v>
      </c>
      <c r="BQ2429" s="4" t="s">
        <v>257</v>
      </c>
      <c r="CE2429" s="4" t="s">
        <v>241</v>
      </c>
      <c r="CF2429" s="4" t="s">
        <v>241</v>
      </c>
      <c r="CJ2429" s="4" t="s">
        <v>276</v>
      </c>
      <c r="CK2429" s="4" t="s">
        <v>259</v>
      </c>
      <c r="CL2429" s="4" t="s">
        <v>241</v>
      </c>
      <c r="CO2429" s="5" t="s">
        <v>260</v>
      </c>
      <c r="CP2429" s="4" t="s">
        <v>241</v>
      </c>
      <c r="CQ2429" s="4" t="s">
        <v>261</v>
      </c>
      <c r="CR2429" s="4" t="s">
        <v>241</v>
      </c>
      <c r="CS2429" s="4" t="s">
        <v>241</v>
      </c>
      <c r="CT2429" s="4">
        <v>0</v>
      </c>
      <c r="CU2429" s="4" t="s">
        <v>262</v>
      </c>
      <c r="CV2429" s="4" t="s">
        <v>263</v>
      </c>
      <c r="CW2429" s="4" t="s">
        <v>263</v>
      </c>
      <c r="CX2429" s="4" t="s">
        <v>264</v>
      </c>
      <c r="DA2429" s="6">
        <f>1</f>
        <v>1</v>
      </c>
      <c r="DC2429" s="4" t="s">
        <v>325</v>
      </c>
      <c r="DD2429" s="4" t="s">
        <v>241</v>
      </c>
      <c r="DF2429" s="4" t="s">
        <v>325</v>
      </c>
      <c r="DG2429" s="6">
        <f>1991</f>
        <v>1991</v>
      </c>
      <c r="DI2429" s="4" t="s">
        <v>241</v>
      </c>
      <c r="DJ2429" s="4" t="s">
        <v>241</v>
      </c>
      <c r="DK2429" s="4" t="s">
        <v>241</v>
      </c>
      <c r="DL2429" s="4" t="s">
        <v>241</v>
      </c>
      <c r="DP2429" s="4" t="s">
        <v>241</v>
      </c>
      <c r="DQ2429" s="4" t="s">
        <v>241</v>
      </c>
      <c r="DR2429" s="4" t="s">
        <v>241</v>
      </c>
      <c r="DS2429" s="4" t="s">
        <v>241</v>
      </c>
      <c r="DV2429" s="4" t="s">
        <v>426</v>
      </c>
      <c r="DW2429" s="4" t="s">
        <v>1828</v>
      </c>
      <c r="HO2429" s="4" t="s">
        <v>267</v>
      </c>
    </row>
    <row r="2430" spans="1:223" ht="19.5" customHeight="1" x14ac:dyDescent="0.4">
      <c r="A2430" s="4">
        <v>1</v>
      </c>
      <c r="B2430" s="4" t="s">
        <v>239</v>
      </c>
      <c r="C2430" s="4">
        <v>4133</v>
      </c>
      <c r="D2430" s="4">
        <v>1</v>
      </c>
      <c r="E2430" s="4">
        <v>1</v>
      </c>
      <c r="F2430" s="4" t="s">
        <v>268</v>
      </c>
      <c r="G2430" s="4" t="s">
        <v>241</v>
      </c>
      <c r="H2430" s="4" t="s">
        <v>241</v>
      </c>
      <c r="I2430" s="4" t="s">
        <v>424</v>
      </c>
      <c r="J2430" s="4" t="s">
        <v>274</v>
      </c>
      <c r="K2430" s="4" t="s">
        <v>251</v>
      </c>
      <c r="L2430" s="4" t="s">
        <v>423</v>
      </c>
      <c r="M2430" s="5" t="s">
        <v>4752</v>
      </c>
      <c r="N2430" s="6">
        <f>47</f>
        <v>47</v>
      </c>
      <c r="O2430" s="4" t="s">
        <v>265</v>
      </c>
      <c r="P2430" s="6">
        <f>1</f>
        <v>1</v>
      </c>
      <c r="Q2430" s="6">
        <f>0</f>
        <v>0</v>
      </c>
      <c r="S2430" s="6">
        <f>0</f>
        <v>0</v>
      </c>
      <c r="T2430" s="6">
        <f>1</f>
        <v>1</v>
      </c>
      <c r="U2430" s="5" t="s">
        <v>245</v>
      </c>
      <c r="V2430" s="4" t="s">
        <v>270</v>
      </c>
      <c r="W2430" s="4" t="s">
        <v>271</v>
      </c>
      <c r="X2430" s="4" t="s">
        <v>273</v>
      </c>
      <c r="Y2430" s="4" t="s">
        <v>241</v>
      </c>
      <c r="AB2430" s="4" t="s">
        <v>241</v>
      </c>
      <c r="AD2430" s="5" t="s">
        <v>241</v>
      </c>
      <c r="AG2430" s="5" t="s">
        <v>246</v>
      </c>
      <c r="AH2430" s="4" t="s">
        <v>241</v>
      </c>
      <c r="AI2430" s="4" t="s">
        <v>247</v>
      </c>
      <c r="AJ2430" s="4" t="s">
        <v>248</v>
      </c>
      <c r="AZ2430" s="4" t="s">
        <v>249</v>
      </c>
      <c r="BA2430" s="4" t="s">
        <v>241</v>
      </c>
      <c r="BB2430" s="4" t="s">
        <v>250</v>
      </c>
      <c r="BC2430" s="4" t="s">
        <v>241</v>
      </c>
      <c r="BD2430" s="4" t="s">
        <v>252</v>
      </c>
      <c r="BE2430" s="4" t="s">
        <v>241</v>
      </c>
      <c r="BI2430" s="4" t="s">
        <v>253</v>
      </c>
      <c r="BJ2430" s="5" t="s">
        <v>246</v>
      </c>
      <c r="BK2430" s="4" t="s">
        <v>254</v>
      </c>
      <c r="BL2430" s="4" t="s">
        <v>255</v>
      </c>
      <c r="BM2430" s="4" t="s">
        <v>241</v>
      </c>
      <c r="BN2430" s="6">
        <f>0</f>
        <v>0</v>
      </c>
      <c r="BO2430" s="6">
        <f>0</f>
        <v>0</v>
      </c>
      <c r="BP2430" s="4" t="s">
        <v>256</v>
      </c>
      <c r="BQ2430" s="4" t="s">
        <v>257</v>
      </c>
      <c r="CE2430" s="4" t="s">
        <v>241</v>
      </c>
      <c r="CF2430" s="4" t="s">
        <v>241</v>
      </c>
      <c r="CJ2430" s="4" t="s">
        <v>276</v>
      </c>
      <c r="CK2430" s="4" t="s">
        <v>259</v>
      </c>
      <c r="CL2430" s="4" t="s">
        <v>241</v>
      </c>
      <c r="CO2430" s="5" t="s">
        <v>260</v>
      </c>
      <c r="CP2430" s="4" t="s">
        <v>241</v>
      </c>
      <c r="CQ2430" s="4" t="s">
        <v>261</v>
      </c>
      <c r="CR2430" s="4" t="s">
        <v>241</v>
      </c>
      <c r="CS2430" s="4" t="s">
        <v>241</v>
      </c>
      <c r="CT2430" s="4">
        <v>0</v>
      </c>
      <c r="CU2430" s="4" t="s">
        <v>262</v>
      </c>
      <c r="CV2430" s="4" t="s">
        <v>263</v>
      </c>
      <c r="CW2430" s="4" t="s">
        <v>263</v>
      </c>
      <c r="CX2430" s="4" t="s">
        <v>264</v>
      </c>
      <c r="DA2430" s="6">
        <f>1</f>
        <v>1</v>
      </c>
      <c r="DC2430" s="4" t="s">
        <v>325</v>
      </c>
      <c r="DD2430" s="4" t="s">
        <v>241</v>
      </c>
      <c r="DF2430" s="4" t="s">
        <v>325</v>
      </c>
      <c r="DG2430" s="6">
        <f>47</f>
        <v>47</v>
      </c>
      <c r="DI2430" s="4" t="s">
        <v>241</v>
      </c>
      <c r="DJ2430" s="4" t="s">
        <v>241</v>
      </c>
      <c r="DK2430" s="4" t="s">
        <v>241</v>
      </c>
      <c r="DL2430" s="4" t="s">
        <v>241</v>
      </c>
      <c r="DP2430" s="4" t="s">
        <v>241</v>
      </c>
      <c r="DQ2430" s="4" t="s">
        <v>241</v>
      </c>
      <c r="DR2430" s="4" t="s">
        <v>241</v>
      </c>
      <c r="DS2430" s="4" t="s">
        <v>241</v>
      </c>
      <c r="DV2430" s="4" t="s">
        <v>426</v>
      </c>
      <c r="DW2430" s="4" t="s">
        <v>2571</v>
      </c>
      <c r="HO2430" s="4" t="s">
        <v>267</v>
      </c>
    </row>
    <row r="2431" spans="1:223" ht="19.5" customHeight="1" x14ac:dyDescent="0.4">
      <c r="A2431" s="4">
        <v>1</v>
      </c>
      <c r="B2431" s="4" t="s">
        <v>239</v>
      </c>
      <c r="C2431" s="4">
        <v>4134</v>
      </c>
      <c r="D2431" s="4">
        <v>1</v>
      </c>
      <c r="E2431" s="4">
        <v>1</v>
      </c>
      <c r="F2431" s="4" t="s">
        <v>268</v>
      </c>
      <c r="G2431" s="4" t="s">
        <v>241</v>
      </c>
      <c r="H2431" s="4" t="s">
        <v>241</v>
      </c>
      <c r="I2431" s="4" t="s">
        <v>424</v>
      </c>
      <c r="J2431" s="4" t="s">
        <v>274</v>
      </c>
      <c r="K2431" s="4" t="s">
        <v>251</v>
      </c>
      <c r="L2431" s="4" t="s">
        <v>423</v>
      </c>
      <c r="M2431" s="5" t="s">
        <v>3607</v>
      </c>
      <c r="N2431" s="6">
        <f>2112</f>
        <v>2112</v>
      </c>
      <c r="O2431" s="4" t="s">
        <v>265</v>
      </c>
      <c r="P2431" s="6">
        <f>1</f>
        <v>1</v>
      </c>
      <c r="Q2431" s="6">
        <f>0</f>
        <v>0</v>
      </c>
      <c r="S2431" s="6">
        <f>0</f>
        <v>0</v>
      </c>
      <c r="T2431" s="6">
        <f>1</f>
        <v>1</v>
      </c>
      <c r="U2431" s="5" t="s">
        <v>245</v>
      </c>
      <c r="V2431" s="4" t="s">
        <v>270</v>
      </c>
      <c r="W2431" s="4" t="s">
        <v>271</v>
      </c>
      <c r="X2431" s="4" t="s">
        <v>273</v>
      </c>
      <c r="Y2431" s="4" t="s">
        <v>241</v>
      </c>
      <c r="AB2431" s="4" t="s">
        <v>241</v>
      </c>
      <c r="AD2431" s="5" t="s">
        <v>241</v>
      </c>
      <c r="AG2431" s="5" t="s">
        <v>246</v>
      </c>
      <c r="AH2431" s="4" t="s">
        <v>241</v>
      </c>
      <c r="AI2431" s="4" t="s">
        <v>247</v>
      </c>
      <c r="AJ2431" s="4" t="s">
        <v>248</v>
      </c>
      <c r="AZ2431" s="4" t="s">
        <v>249</v>
      </c>
      <c r="BA2431" s="4" t="s">
        <v>241</v>
      </c>
      <c r="BB2431" s="4" t="s">
        <v>250</v>
      </c>
      <c r="BC2431" s="4" t="s">
        <v>241</v>
      </c>
      <c r="BD2431" s="4" t="s">
        <v>252</v>
      </c>
      <c r="BE2431" s="4" t="s">
        <v>241</v>
      </c>
      <c r="BI2431" s="4" t="s">
        <v>253</v>
      </c>
      <c r="BJ2431" s="5" t="s">
        <v>246</v>
      </c>
      <c r="BK2431" s="4" t="s">
        <v>254</v>
      </c>
      <c r="BL2431" s="4" t="s">
        <v>255</v>
      </c>
      <c r="BM2431" s="4" t="s">
        <v>241</v>
      </c>
      <c r="BN2431" s="6">
        <f>0</f>
        <v>0</v>
      </c>
      <c r="BO2431" s="6">
        <f>0</f>
        <v>0</v>
      </c>
      <c r="BP2431" s="4" t="s">
        <v>256</v>
      </c>
      <c r="BQ2431" s="4" t="s">
        <v>257</v>
      </c>
      <c r="CE2431" s="4" t="s">
        <v>241</v>
      </c>
      <c r="CF2431" s="4" t="s">
        <v>241</v>
      </c>
      <c r="CJ2431" s="4" t="s">
        <v>276</v>
      </c>
      <c r="CK2431" s="4" t="s">
        <v>259</v>
      </c>
      <c r="CL2431" s="4" t="s">
        <v>241</v>
      </c>
      <c r="CO2431" s="5" t="s">
        <v>260</v>
      </c>
      <c r="CP2431" s="4" t="s">
        <v>241</v>
      </c>
      <c r="CQ2431" s="4" t="s">
        <v>261</v>
      </c>
      <c r="CR2431" s="4" t="s">
        <v>241</v>
      </c>
      <c r="CS2431" s="4" t="s">
        <v>241</v>
      </c>
      <c r="CT2431" s="4">
        <v>0</v>
      </c>
      <c r="CU2431" s="4" t="s">
        <v>262</v>
      </c>
      <c r="CV2431" s="4" t="s">
        <v>263</v>
      </c>
      <c r="CW2431" s="4" t="s">
        <v>263</v>
      </c>
      <c r="CX2431" s="4" t="s">
        <v>264</v>
      </c>
      <c r="DA2431" s="6">
        <f>1</f>
        <v>1</v>
      </c>
      <c r="DC2431" s="4" t="s">
        <v>325</v>
      </c>
      <c r="DD2431" s="4" t="s">
        <v>241</v>
      </c>
      <c r="DF2431" s="4" t="s">
        <v>325</v>
      </c>
      <c r="DG2431" s="6">
        <f>2112</f>
        <v>2112</v>
      </c>
      <c r="DI2431" s="4" t="s">
        <v>241</v>
      </c>
      <c r="DJ2431" s="4" t="s">
        <v>241</v>
      </c>
      <c r="DK2431" s="4" t="s">
        <v>241</v>
      </c>
      <c r="DL2431" s="4" t="s">
        <v>241</v>
      </c>
      <c r="DP2431" s="4" t="s">
        <v>241</v>
      </c>
      <c r="DQ2431" s="4" t="s">
        <v>241</v>
      </c>
      <c r="DR2431" s="4" t="s">
        <v>241</v>
      </c>
      <c r="DS2431" s="4" t="s">
        <v>241</v>
      </c>
      <c r="DV2431" s="4" t="s">
        <v>426</v>
      </c>
      <c r="DW2431" s="4" t="s">
        <v>1821</v>
      </c>
      <c r="HO2431" s="4" t="s">
        <v>267</v>
      </c>
    </row>
    <row r="2432" spans="1:223" ht="19.5" customHeight="1" x14ac:dyDescent="0.4">
      <c r="A2432" s="4">
        <v>1</v>
      </c>
      <c r="B2432" s="4" t="s">
        <v>239</v>
      </c>
      <c r="C2432" s="4">
        <v>4135</v>
      </c>
      <c r="D2432" s="4">
        <v>1</v>
      </c>
      <c r="E2432" s="4">
        <v>1</v>
      </c>
      <c r="F2432" s="4" t="s">
        <v>268</v>
      </c>
      <c r="G2432" s="4" t="s">
        <v>241</v>
      </c>
      <c r="H2432" s="4" t="s">
        <v>241</v>
      </c>
      <c r="I2432" s="4" t="s">
        <v>424</v>
      </c>
      <c r="J2432" s="4" t="s">
        <v>274</v>
      </c>
      <c r="K2432" s="4" t="s">
        <v>251</v>
      </c>
      <c r="L2432" s="4" t="s">
        <v>423</v>
      </c>
      <c r="M2432" s="5" t="s">
        <v>3608</v>
      </c>
      <c r="N2432" s="6">
        <f>1161</f>
        <v>1161</v>
      </c>
      <c r="O2432" s="4" t="s">
        <v>265</v>
      </c>
      <c r="P2432" s="6">
        <f>1</f>
        <v>1</v>
      </c>
      <c r="Q2432" s="6">
        <f>0</f>
        <v>0</v>
      </c>
      <c r="S2432" s="6">
        <f>0</f>
        <v>0</v>
      </c>
      <c r="T2432" s="6">
        <f>1</f>
        <v>1</v>
      </c>
      <c r="U2432" s="5" t="s">
        <v>245</v>
      </c>
      <c r="V2432" s="4" t="s">
        <v>270</v>
      </c>
      <c r="W2432" s="4" t="s">
        <v>271</v>
      </c>
      <c r="X2432" s="4" t="s">
        <v>273</v>
      </c>
      <c r="Y2432" s="4" t="s">
        <v>241</v>
      </c>
      <c r="AB2432" s="4" t="s">
        <v>241</v>
      </c>
      <c r="AD2432" s="5" t="s">
        <v>241</v>
      </c>
      <c r="AG2432" s="5" t="s">
        <v>246</v>
      </c>
      <c r="AH2432" s="4" t="s">
        <v>241</v>
      </c>
      <c r="AI2432" s="4" t="s">
        <v>247</v>
      </c>
      <c r="AJ2432" s="4" t="s">
        <v>248</v>
      </c>
      <c r="AZ2432" s="4" t="s">
        <v>249</v>
      </c>
      <c r="BA2432" s="4" t="s">
        <v>241</v>
      </c>
      <c r="BB2432" s="4" t="s">
        <v>250</v>
      </c>
      <c r="BC2432" s="4" t="s">
        <v>241</v>
      </c>
      <c r="BD2432" s="4" t="s">
        <v>252</v>
      </c>
      <c r="BE2432" s="4" t="s">
        <v>241</v>
      </c>
      <c r="BI2432" s="4" t="s">
        <v>253</v>
      </c>
      <c r="BJ2432" s="5" t="s">
        <v>246</v>
      </c>
      <c r="BK2432" s="4" t="s">
        <v>254</v>
      </c>
      <c r="BL2432" s="4" t="s">
        <v>255</v>
      </c>
      <c r="BM2432" s="4" t="s">
        <v>241</v>
      </c>
      <c r="BN2432" s="6">
        <f>0</f>
        <v>0</v>
      </c>
      <c r="BO2432" s="6">
        <f>0</f>
        <v>0</v>
      </c>
      <c r="BP2432" s="4" t="s">
        <v>256</v>
      </c>
      <c r="BQ2432" s="4" t="s">
        <v>257</v>
      </c>
      <c r="CE2432" s="4" t="s">
        <v>241</v>
      </c>
      <c r="CF2432" s="4" t="s">
        <v>241</v>
      </c>
      <c r="CJ2432" s="4" t="s">
        <v>276</v>
      </c>
      <c r="CK2432" s="4" t="s">
        <v>259</v>
      </c>
      <c r="CL2432" s="4" t="s">
        <v>241</v>
      </c>
      <c r="CO2432" s="5" t="s">
        <v>260</v>
      </c>
      <c r="CP2432" s="4" t="s">
        <v>241</v>
      </c>
      <c r="CQ2432" s="4" t="s">
        <v>261</v>
      </c>
      <c r="CR2432" s="4" t="s">
        <v>241</v>
      </c>
      <c r="CS2432" s="4" t="s">
        <v>241</v>
      </c>
      <c r="CT2432" s="4">
        <v>0</v>
      </c>
      <c r="CU2432" s="4" t="s">
        <v>262</v>
      </c>
      <c r="CV2432" s="4" t="s">
        <v>263</v>
      </c>
      <c r="CW2432" s="4" t="s">
        <v>263</v>
      </c>
      <c r="CX2432" s="4" t="s">
        <v>264</v>
      </c>
      <c r="DA2432" s="6">
        <f>1</f>
        <v>1</v>
      </c>
      <c r="DC2432" s="4" t="s">
        <v>325</v>
      </c>
      <c r="DD2432" s="4" t="s">
        <v>241</v>
      </c>
      <c r="DF2432" s="4" t="s">
        <v>325</v>
      </c>
      <c r="DG2432" s="6">
        <f>1161</f>
        <v>1161</v>
      </c>
      <c r="DI2432" s="4" t="s">
        <v>241</v>
      </c>
      <c r="DJ2432" s="4" t="s">
        <v>241</v>
      </c>
      <c r="DK2432" s="4" t="s">
        <v>241</v>
      </c>
      <c r="DL2432" s="4" t="s">
        <v>241</v>
      </c>
      <c r="DP2432" s="4" t="s">
        <v>241</v>
      </c>
      <c r="DQ2432" s="4" t="s">
        <v>241</v>
      </c>
      <c r="DR2432" s="4" t="s">
        <v>241</v>
      </c>
      <c r="DS2432" s="4" t="s">
        <v>241</v>
      </c>
      <c r="DV2432" s="4" t="s">
        <v>426</v>
      </c>
      <c r="DW2432" s="4" t="s">
        <v>2130</v>
      </c>
      <c r="HO2432" s="4" t="s">
        <v>267</v>
      </c>
    </row>
    <row r="2433" spans="1:223" ht="19.5" customHeight="1" x14ac:dyDescent="0.4">
      <c r="A2433" s="4">
        <v>1</v>
      </c>
      <c r="B2433" s="4" t="s">
        <v>239</v>
      </c>
      <c r="C2433" s="4">
        <v>4136</v>
      </c>
      <c r="D2433" s="4">
        <v>1</v>
      </c>
      <c r="E2433" s="4">
        <v>1</v>
      </c>
      <c r="F2433" s="4" t="s">
        <v>268</v>
      </c>
      <c r="G2433" s="4" t="s">
        <v>241</v>
      </c>
      <c r="H2433" s="4" t="s">
        <v>241</v>
      </c>
      <c r="I2433" s="4" t="s">
        <v>424</v>
      </c>
      <c r="J2433" s="4" t="s">
        <v>274</v>
      </c>
      <c r="K2433" s="4" t="s">
        <v>251</v>
      </c>
      <c r="L2433" s="4" t="s">
        <v>423</v>
      </c>
      <c r="M2433" s="5" t="s">
        <v>3611</v>
      </c>
      <c r="N2433" s="6">
        <f>134</f>
        <v>134</v>
      </c>
      <c r="O2433" s="4" t="s">
        <v>265</v>
      </c>
      <c r="P2433" s="6">
        <f>1</f>
        <v>1</v>
      </c>
      <c r="Q2433" s="6">
        <f>0</f>
        <v>0</v>
      </c>
      <c r="S2433" s="6">
        <f>0</f>
        <v>0</v>
      </c>
      <c r="T2433" s="6">
        <f>1</f>
        <v>1</v>
      </c>
      <c r="U2433" s="5" t="s">
        <v>245</v>
      </c>
      <c r="V2433" s="4" t="s">
        <v>270</v>
      </c>
      <c r="W2433" s="4" t="s">
        <v>271</v>
      </c>
      <c r="X2433" s="4" t="s">
        <v>273</v>
      </c>
      <c r="Y2433" s="4" t="s">
        <v>241</v>
      </c>
      <c r="AB2433" s="4" t="s">
        <v>241</v>
      </c>
      <c r="AD2433" s="5" t="s">
        <v>241</v>
      </c>
      <c r="AG2433" s="5" t="s">
        <v>246</v>
      </c>
      <c r="AH2433" s="4" t="s">
        <v>241</v>
      </c>
      <c r="AI2433" s="4" t="s">
        <v>247</v>
      </c>
      <c r="AJ2433" s="4" t="s">
        <v>248</v>
      </c>
      <c r="AZ2433" s="4" t="s">
        <v>249</v>
      </c>
      <c r="BA2433" s="4" t="s">
        <v>241</v>
      </c>
      <c r="BB2433" s="4" t="s">
        <v>250</v>
      </c>
      <c r="BC2433" s="4" t="s">
        <v>241</v>
      </c>
      <c r="BD2433" s="4" t="s">
        <v>252</v>
      </c>
      <c r="BE2433" s="4" t="s">
        <v>241</v>
      </c>
      <c r="BI2433" s="4" t="s">
        <v>253</v>
      </c>
      <c r="BJ2433" s="5" t="s">
        <v>246</v>
      </c>
      <c r="BK2433" s="4" t="s">
        <v>254</v>
      </c>
      <c r="BL2433" s="4" t="s">
        <v>255</v>
      </c>
      <c r="BM2433" s="4" t="s">
        <v>241</v>
      </c>
      <c r="BN2433" s="6">
        <f>0</f>
        <v>0</v>
      </c>
      <c r="BO2433" s="6">
        <f>0</f>
        <v>0</v>
      </c>
      <c r="BP2433" s="4" t="s">
        <v>256</v>
      </c>
      <c r="BQ2433" s="4" t="s">
        <v>257</v>
      </c>
      <c r="CE2433" s="4" t="s">
        <v>241</v>
      </c>
      <c r="CF2433" s="4" t="s">
        <v>241</v>
      </c>
      <c r="CJ2433" s="4" t="s">
        <v>276</v>
      </c>
      <c r="CK2433" s="4" t="s">
        <v>259</v>
      </c>
      <c r="CL2433" s="4" t="s">
        <v>241</v>
      </c>
      <c r="CO2433" s="5" t="s">
        <v>260</v>
      </c>
      <c r="CP2433" s="4" t="s">
        <v>241</v>
      </c>
      <c r="CQ2433" s="4" t="s">
        <v>261</v>
      </c>
      <c r="CR2433" s="4" t="s">
        <v>241</v>
      </c>
      <c r="CS2433" s="4" t="s">
        <v>241</v>
      </c>
      <c r="CT2433" s="4">
        <v>0</v>
      </c>
      <c r="CU2433" s="4" t="s">
        <v>262</v>
      </c>
      <c r="CV2433" s="4" t="s">
        <v>263</v>
      </c>
      <c r="CW2433" s="4" t="s">
        <v>263</v>
      </c>
      <c r="CX2433" s="4" t="s">
        <v>264</v>
      </c>
      <c r="DA2433" s="6">
        <f>1</f>
        <v>1</v>
      </c>
      <c r="DC2433" s="4" t="s">
        <v>325</v>
      </c>
      <c r="DD2433" s="4" t="s">
        <v>241</v>
      </c>
      <c r="DF2433" s="4" t="s">
        <v>325</v>
      </c>
      <c r="DG2433" s="6">
        <f>134</f>
        <v>134</v>
      </c>
      <c r="DI2433" s="4" t="s">
        <v>241</v>
      </c>
      <c r="DJ2433" s="4" t="s">
        <v>241</v>
      </c>
      <c r="DK2433" s="4" t="s">
        <v>241</v>
      </c>
      <c r="DL2433" s="4" t="s">
        <v>241</v>
      </c>
      <c r="DP2433" s="4" t="s">
        <v>241</v>
      </c>
      <c r="DQ2433" s="4" t="s">
        <v>241</v>
      </c>
      <c r="DR2433" s="4" t="s">
        <v>241</v>
      </c>
      <c r="DS2433" s="4" t="s">
        <v>241</v>
      </c>
      <c r="DV2433" s="4" t="s">
        <v>426</v>
      </c>
      <c r="DW2433" s="4" t="s">
        <v>1928</v>
      </c>
      <c r="HO2433" s="4" t="s">
        <v>267</v>
      </c>
    </row>
    <row r="2434" spans="1:223" ht="19.5" customHeight="1" x14ac:dyDescent="0.4">
      <c r="A2434" s="4">
        <v>1</v>
      </c>
      <c r="B2434" s="4" t="s">
        <v>239</v>
      </c>
      <c r="C2434" s="4">
        <v>4137</v>
      </c>
      <c r="D2434" s="4">
        <v>1</v>
      </c>
      <c r="E2434" s="4">
        <v>1</v>
      </c>
      <c r="F2434" s="4" t="s">
        <v>268</v>
      </c>
      <c r="G2434" s="4" t="s">
        <v>241</v>
      </c>
      <c r="H2434" s="4" t="s">
        <v>241</v>
      </c>
      <c r="I2434" s="4" t="s">
        <v>424</v>
      </c>
      <c r="J2434" s="4" t="s">
        <v>274</v>
      </c>
      <c r="K2434" s="4" t="s">
        <v>251</v>
      </c>
      <c r="L2434" s="4" t="s">
        <v>423</v>
      </c>
      <c r="M2434" s="5" t="s">
        <v>4764</v>
      </c>
      <c r="N2434" s="6">
        <f>436</f>
        <v>436</v>
      </c>
      <c r="O2434" s="4" t="s">
        <v>265</v>
      </c>
      <c r="P2434" s="6">
        <f>1</f>
        <v>1</v>
      </c>
      <c r="Q2434" s="6">
        <f>0</f>
        <v>0</v>
      </c>
      <c r="S2434" s="6">
        <f>0</f>
        <v>0</v>
      </c>
      <c r="T2434" s="6">
        <f>1</f>
        <v>1</v>
      </c>
      <c r="U2434" s="5" t="s">
        <v>245</v>
      </c>
      <c r="V2434" s="4" t="s">
        <v>270</v>
      </c>
      <c r="W2434" s="4" t="s">
        <v>271</v>
      </c>
      <c r="X2434" s="4" t="s">
        <v>273</v>
      </c>
      <c r="Y2434" s="4" t="s">
        <v>241</v>
      </c>
      <c r="AB2434" s="4" t="s">
        <v>241</v>
      </c>
      <c r="AD2434" s="5" t="s">
        <v>241</v>
      </c>
      <c r="AG2434" s="5" t="s">
        <v>246</v>
      </c>
      <c r="AH2434" s="4" t="s">
        <v>241</v>
      </c>
      <c r="AI2434" s="4" t="s">
        <v>247</v>
      </c>
      <c r="AJ2434" s="4" t="s">
        <v>248</v>
      </c>
      <c r="AZ2434" s="4" t="s">
        <v>249</v>
      </c>
      <c r="BA2434" s="4" t="s">
        <v>241</v>
      </c>
      <c r="BB2434" s="4" t="s">
        <v>250</v>
      </c>
      <c r="BC2434" s="4" t="s">
        <v>241</v>
      </c>
      <c r="BD2434" s="4" t="s">
        <v>252</v>
      </c>
      <c r="BE2434" s="4" t="s">
        <v>241</v>
      </c>
      <c r="BI2434" s="4" t="s">
        <v>253</v>
      </c>
      <c r="BJ2434" s="5" t="s">
        <v>246</v>
      </c>
      <c r="BK2434" s="4" t="s">
        <v>254</v>
      </c>
      <c r="BL2434" s="4" t="s">
        <v>255</v>
      </c>
      <c r="BM2434" s="4" t="s">
        <v>241</v>
      </c>
      <c r="BN2434" s="6">
        <f>0</f>
        <v>0</v>
      </c>
      <c r="BO2434" s="6">
        <f>0</f>
        <v>0</v>
      </c>
      <c r="BP2434" s="4" t="s">
        <v>256</v>
      </c>
      <c r="BQ2434" s="4" t="s">
        <v>257</v>
      </c>
      <c r="CE2434" s="4" t="s">
        <v>241</v>
      </c>
      <c r="CF2434" s="4" t="s">
        <v>241</v>
      </c>
      <c r="CJ2434" s="4" t="s">
        <v>276</v>
      </c>
      <c r="CK2434" s="4" t="s">
        <v>259</v>
      </c>
      <c r="CL2434" s="4" t="s">
        <v>241</v>
      </c>
      <c r="CO2434" s="5" t="s">
        <v>260</v>
      </c>
      <c r="CP2434" s="4" t="s">
        <v>241</v>
      </c>
      <c r="CQ2434" s="4" t="s">
        <v>261</v>
      </c>
      <c r="CR2434" s="4" t="s">
        <v>241</v>
      </c>
      <c r="CS2434" s="4" t="s">
        <v>241</v>
      </c>
      <c r="CT2434" s="4">
        <v>0</v>
      </c>
      <c r="CU2434" s="4" t="s">
        <v>262</v>
      </c>
      <c r="CV2434" s="4" t="s">
        <v>263</v>
      </c>
      <c r="CW2434" s="4" t="s">
        <v>263</v>
      </c>
      <c r="CX2434" s="4" t="s">
        <v>264</v>
      </c>
      <c r="DA2434" s="6">
        <f>1</f>
        <v>1</v>
      </c>
      <c r="DC2434" s="4" t="s">
        <v>325</v>
      </c>
      <c r="DD2434" s="4" t="s">
        <v>241</v>
      </c>
      <c r="DF2434" s="4" t="s">
        <v>325</v>
      </c>
      <c r="DG2434" s="6">
        <f>436</f>
        <v>436</v>
      </c>
      <c r="DI2434" s="4" t="s">
        <v>241</v>
      </c>
      <c r="DJ2434" s="4" t="s">
        <v>241</v>
      </c>
      <c r="DK2434" s="4" t="s">
        <v>241</v>
      </c>
      <c r="DL2434" s="4" t="s">
        <v>241</v>
      </c>
      <c r="DP2434" s="4" t="s">
        <v>241</v>
      </c>
      <c r="DQ2434" s="4" t="s">
        <v>241</v>
      </c>
      <c r="DR2434" s="4" t="s">
        <v>241</v>
      </c>
      <c r="DS2434" s="4" t="s">
        <v>241</v>
      </c>
      <c r="DV2434" s="4" t="s">
        <v>426</v>
      </c>
      <c r="DW2434" s="4" t="s">
        <v>1939</v>
      </c>
      <c r="HO2434" s="4" t="s">
        <v>267</v>
      </c>
    </row>
    <row r="2435" spans="1:223" ht="19.5" customHeight="1" x14ac:dyDescent="0.4">
      <c r="A2435" s="4">
        <v>1</v>
      </c>
      <c r="B2435" s="4" t="s">
        <v>239</v>
      </c>
      <c r="C2435" s="4">
        <v>4138</v>
      </c>
      <c r="D2435" s="4">
        <v>1</v>
      </c>
      <c r="E2435" s="4">
        <v>1</v>
      </c>
      <c r="F2435" s="4" t="s">
        <v>268</v>
      </c>
      <c r="G2435" s="4" t="s">
        <v>241</v>
      </c>
      <c r="H2435" s="4" t="s">
        <v>241</v>
      </c>
      <c r="I2435" s="4" t="s">
        <v>424</v>
      </c>
      <c r="J2435" s="4" t="s">
        <v>274</v>
      </c>
      <c r="K2435" s="4" t="s">
        <v>251</v>
      </c>
      <c r="L2435" s="4" t="s">
        <v>423</v>
      </c>
      <c r="M2435" s="5" t="s">
        <v>4170</v>
      </c>
      <c r="N2435" s="6">
        <f>219</f>
        <v>219</v>
      </c>
      <c r="O2435" s="4" t="s">
        <v>265</v>
      </c>
      <c r="P2435" s="6">
        <f>1</f>
        <v>1</v>
      </c>
      <c r="Q2435" s="6">
        <f>0</f>
        <v>0</v>
      </c>
      <c r="S2435" s="6">
        <f>0</f>
        <v>0</v>
      </c>
      <c r="T2435" s="6">
        <f>1</f>
        <v>1</v>
      </c>
      <c r="U2435" s="5" t="s">
        <v>245</v>
      </c>
      <c r="V2435" s="4" t="s">
        <v>270</v>
      </c>
      <c r="W2435" s="4" t="s">
        <v>271</v>
      </c>
      <c r="X2435" s="4" t="s">
        <v>273</v>
      </c>
      <c r="Y2435" s="4" t="s">
        <v>241</v>
      </c>
      <c r="AB2435" s="4" t="s">
        <v>241</v>
      </c>
      <c r="AD2435" s="5" t="s">
        <v>241</v>
      </c>
      <c r="AG2435" s="5" t="s">
        <v>246</v>
      </c>
      <c r="AH2435" s="4" t="s">
        <v>241</v>
      </c>
      <c r="AI2435" s="4" t="s">
        <v>247</v>
      </c>
      <c r="AJ2435" s="4" t="s">
        <v>248</v>
      </c>
      <c r="AZ2435" s="4" t="s">
        <v>249</v>
      </c>
      <c r="BA2435" s="4" t="s">
        <v>241</v>
      </c>
      <c r="BB2435" s="4" t="s">
        <v>250</v>
      </c>
      <c r="BC2435" s="4" t="s">
        <v>241</v>
      </c>
      <c r="BD2435" s="4" t="s">
        <v>252</v>
      </c>
      <c r="BE2435" s="4" t="s">
        <v>241</v>
      </c>
      <c r="BI2435" s="4" t="s">
        <v>253</v>
      </c>
      <c r="BJ2435" s="5" t="s">
        <v>246</v>
      </c>
      <c r="BK2435" s="4" t="s">
        <v>254</v>
      </c>
      <c r="BL2435" s="4" t="s">
        <v>255</v>
      </c>
      <c r="BM2435" s="4" t="s">
        <v>241</v>
      </c>
      <c r="BN2435" s="6">
        <f>0</f>
        <v>0</v>
      </c>
      <c r="BO2435" s="6">
        <f>0</f>
        <v>0</v>
      </c>
      <c r="BP2435" s="4" t="s">
        <v>256</v>
      </c>
      <c r="BQ2435" s="4" t="s">
        <v>257</v>
      </c>
      <c r="CE2435" s="4" t="s">
        <v>241</v>
      </c>
      <c r="CF2435" s="4" t="s">
        <v>241</v>
      </c>
      <c r="CJ2435" s="4" t="s">
        <v>276</v>
      </c>
      <c r="CK2435" s="4" t="s">
        <v>259</v>
      </c>
      <c r="CL2435" s="4" t="s">
        <v>241</v>
      </c>
      <c r="CO2435" s="5" t="s">
        <v>260</v>
      </c>
      <c r="CP2435" s="4" t="s">
        <v>241</v>
      </c>
      <c r="CQ2435" s="4" t="s">
        <v>261</v>
      </c>
      <c r="CR2435" s="4" t="s">
        <v>241</v>
      </c>
      <c r="CS2435" s="4" t="s">
        <v>241</v>
      </c>
      <c r="CT2435" s="4">
        <v>0</v>
      </c>
      <c r="CU2435" s="4" t="s">
        <v>262</v>
      </c>
      <c r="CV2435" s="4" t="s">
        <v>263</v>
      </c>
      <c r="CW2435" s="4" t="s">
        <v>263</v>
      </c>
      <c r="CX2435" s="4" t="s">
        <v>264</v>
      </c>
      <c r="DA2435" s="6">
        <f>1</f>
        <v>1</v>
      </c>
      <c r="DC2435" s="4" t="s">
        <v>325</v>
      </c>
      <c r="DD2435" s="4" t="s">
        <v>241</v>
      </c>
      <c r="DF2435" s="4" t="s">
        <v>325</v>
      </c>
      <c r="DG2435" s="6">
        <f>219</f>
        <v>219</v>
      </c>
      <c r="DI2435" s="4" t="s">
        <v>241</v>
      </c>
      <c r="DJ2435" s="4" t="s">
        <v>241</v>
      </c>
      <c r="DK2435" s="4" t="s">
        <v>241</v>
      </c>
      <c r="DL2435" s="4" t="s">
        <v>241</v>
      </c>
      <c r="DP2435" s="4" t="s">
        <v>241</v>
      </c>
      <c r="DQ2435" s="4" t="s">
        <v>241</v>
      </c>
      <c r="DR2435" s="4" t="s">
        <v>241</v>
      </c>
      <c r="DS2435" s="4" t="s">
        <v>241</v>
      </c>
      <c r="DV2435" s="4" t="s">
        <v>426</v>
      </c>
      <c r="DW2435" s="4" t="s">
        <v>1924</v>
      </c>
      <c r="HO2435" s="4" t="s">
        <v>267</v>
      </c>
    </row>
    <row r="2436" spans="1:223" ht="19.5" customHeight="1" x14ac:dyDescent="0.4">
      <c r="A2436" s="4">
        <v>1</v>
      </c>
      <c r="B2436" s="4" t="s">
        <v>239</v>
      </c>
      <c r="C2436" s="4">
        <v>4139</v>
      </c>
      <c r="D2436" s="4">
        <v>1</v>
      </c>
      <c r="E2436" s="4">
        <v>1</v>
      </c>
      <c r="F2436" s="4" t="s">
        <v>268</v>
      </c>
      <c r="G2436" s="4" t="s">
        <v>241</v>
      </c>
      <c r="H2436" s="4" t="s">
        <v>241</v>
      </c>
      <c r="I2436" s="4" t="s">
        <v>424</v>
      </c>
      <c r="J2436" s="4" t="s">
        <v>274</v>
      </c>
      <c r="K2436" s="4" t="s">
        <v>251</v>
      </c>
      <c r="L2436" s="4" t="s">
        <v>423</v>
      </c>
      <c r="M2436" s="5" t="s">
        <v>4204</v>
      </c>
      <c r="N2436" s="6">
        <f>218</f>
        <v>218</v>
      </c>
      <c r="O2436" s="4" t="s">
        <v>265</v>
      </c>
      <c r="P2436" s="6">
        <f>1</f>
        <v>1</v>
      </c>
      <c r="Q2436" s="6">
        <f>0</f>
        <v>0</v>
      </c>
      <c r="S2436" s="6">
        <f>0</f>
        <v>0</v>
      </c>
      <c r="T2436" s="6">
        <f>1</f>
        <v>1</v>
      </c>
      <c r="U2436" s="5" t="s">
        <v>245</v>
      </c>
      <c r="V2436" s="4" t="s">
        <v>270</v>
      </c>
      <c r="W2436" s="4" t="s">
        <v>271</v>
      </c>
      <c r="X2436" s="4" t="s">
        <v>273</v>
      </c>
      <c r="Y2436" s="4" t="s">
        <v>241</v>
      </c>
      <c r="AB2436" s="4" t="s">
        <v>241</v>
      </c>
      <c r="AD2436" s="5" t="s">
        <v>241</v>
      </c>
      <c r="AG2436" s="5" t="s">
        <v>246</v>
      </c>
      <c r="AH2436" s="4" t="s">
        <v>241</v>
      </c>
      <c r="AI2436" s="4" t="s">
        <v>247</v>
      </c>
      <c r="AJ2436" s="4" t="s">
        <v>248</v>
      </c>
      <c r="AZ2436" s="4" t="s">
        <v>249</v>
      </c>
      <c r="BA2436" s="4" t="s">
        <v>241</v>
      </c>
      <c r="BB2436" s="4" t="s">
        <v>250</v>
      </c>
      <c r="BC2436" s="4" t="s">
        <v>241</v>
      </c>
      <c r="BD2436" s="4" t="s">
        <v>252</v>
      </c>
      <c r="BE2436" s="4" t="s">
        <v>241</v>
      </c>
      <c r="BI2436" s="4" t="s">
        <v>253</v>
      </c>
      <c r="BJ2436" s="5" t="s">
        <v>246</v>
      </c>
      <c r="BK2436" s="4" t="s">
        <v>254</v>
      </c>
      <c r="BL2436" s="4" t="s">
        <v>255</v>
      </c>
      <c r="BM2436" s="4" t="s">
        <v>241</v>
      </c>
      <c r="BN2436" s="6">
        <f>0</f>
        <v>0</v>
      </c>
      <c r="BO2436" s="6">
        <f>0</f>
        <v>0</v>
      </c>
      <c r="BP2436" s="4" t="s">
        <v>256</v>
      </c>
      <c r="BQ2436" s="4" t="s">
        <v>257</v>
      </c>
      <c r="CE2436" s="4" t="s">
        <v>241</v>
      </c>
      <c r="CF2436" s="4" t="s">
        <v>241</v>
      </c>
      <c r="CJ2436" s="4" t="s">
        <v>276</v>
      </c>
      <c r="CK2436" s="4" t="s">
        <v>259</v>
      </c>
      <c r="CL2436" s="4" t="s">
        <v>241</v>
      </c>
      <c r="CO2436" s="5" t="s">
        <v>260</v>
      </c>
      <c r="CP2436" s="4" t="s">
        <v>241</v>
      </c>
      <c r="CQ2436" s="4" t="s">
        <v>261</v>
      </c>
      <c r="CR2436" s="4" t="s">
        <v>241</v>
      </c>
      <c r="CS2436" s="4" t="s">
        <v>241</v>
      </c>
      <c r="CT2436" s="4">
        <v>0</v>
      </c>
      <c r="CU2436" s="4" t="s">
        <v>262</v>
      </c>
      <c r="CV2436" s="4" t="s">
        <v>263</v>
      </c>
      <c r="CW2436" s="4" t="s">
        <v>263</v>
      </c>
      <c r="CX2436" s="4" t="s">
        <v>264</v>
      </c>
      <c r="DA2436" s="6">
        <f>1</f>
        <v>1</v>
      </c>
      <c r="DC2436" s="4" t="s">
        <v>325</v>
      </c>
      <c r="DD2436" s="4" t="s">
        <v>241</v>
      </c>
      <c r="DF2436" s="4" t="s">
        <v>325</v>
      </c>
      <c r="DG2436" s="6">
        <f>218</f>
        <v>218</v>
      </c>
      <c r="DI2436" s="4" t="s">
        <v>241</v>
      </c>
      <c r="DJ2436" s="4" t="s">
        <v>241</v>
      </c>
      <c r="DK2436" s="4" t="s">
        <v>241</v>
      </c>
      <c r="DL2436" s="4" t="s">
        <v>241</v>
      </c>
      <c r="DP2436" s="4" t="s">
        <v>241</v>
      </c>
      <c r="DQ2436" s="4" t="s">
        <v>241</v>
      </c>
      <c r="DR2436" s="4" t="s">
        <v>241</v>
      </c>
      <c r="DS2436" s="4" t="s">
        <v>241</v>
      </c>
      <c r="DV2436" s="4" t="s">
        <v>426</v>
      </c>
      <c r="DW2436" s="4" t="s">
        <v>1916</v>
      </c>
      <c r="HO2436" s="4" t="s">
        <v>267</v>
      </c>
    </row>
    <row r="2437" spans="1:223" ht="19.5" customHeight="1" x14ac:dyDescent="0.4">
      <c r="A2437" s="4">
        <v>1</v>
      </c>
      <c r="B2437" s="4" t="s">
        <v>239</v>
      </c>
      <c r="C2437" s="4">
        <v>4140</v>
      </c>
      <c r="D2437" s="4">
        <v>1</v>
      </c>
      <c r="E2437" s="4">
        <v>1</v>
      </c>
      <c r="F2437" s="4" t="s">
        <v>268</v>
      </c>
      <c r="G2437" s="4" t="s">
        <v>241</v>
      </c>
      <c r="H2437" s="4" t="s">
        <v>241</v>
      </c>
      <c r="I2437" s="4" t="s">
        <v>424</v>
      </c>
      <c r="J2437" s="4" t="s">
        <v>274</v>
      </c>
      <c r="K2437" s="4" t="s">
        <v>251</v>
      </c>
      <c r="L2437" s="4" t="s">
        <v>423</v>
      </c>
      <c r="M2437" s="5" t="s">
        <v>853</v>
      </c>
      <c r="N2437" s="6">
        <f>1677</f>
        <v>1677</v>
      </c>
      <c r="O2437" s="4" t="s">
        <v>265</v>
      </c>
      <c r="P2437" s="6">
        <f>1</f>
        <v>1</v>
      </c>
      <c r="Q2437" s="6">
        <f>0</f>
        <v>0</v>
      </c>
      <c r="S2437" s="6">
        <f>0</f>
        <v>0</v>
      </c>
      <c r="T2437" s="6">
        <f>1</f>
        <v>1</v>
      </c>
      <c r="U2437" s="5" t="s">
        <v>245</v>
      </c>
      <c r="V2437" s="4" t="s">
        <v>270</v>
      </c>
      <c r="W2437" s="4" t="s">
        <v>271</v>
      </c>
      <c r="X2437" s="4" t="s">
        <v>273</v>
      </c>
      <c r="Y2437" s="4" t="s">
        <v>241</v>
      </c>
      <c r="AB2437" s="4" t="s">
        <v>241</v>
      </c>
      <c r="AD2437" s="5" t="s">
        <v>241</v>
      </c>
      <c r="AG2437" s="5" t="s">
        <v>246</v>
      </c>
      <c r="AH2437" s="4" t="s">
        <v>241</v>
      </c>
      <c r="AI2437" s="4" t="s">
        <v>247</v>
      </c>
      <c r="AJ2437" s="4" t="s">
        <v>248</v>
      </c>
      <c r="AZ2437" s="4" t="s">
        <v>249</v>
      </c>
      <c r="BA2437" s="4" t="s">
        <v>241</v>
      </c>
      <c r="BB2437" s="4" t="s">
        <v>250</v>
      </c>
      <c r="BC2437" s="4" t="s">
        <v>241</v>
      </c>
      <c r="BD2437" s="4" t="s">
        <v>252</v>
      </c>
      <c r="BE2437" s="4" t="s">
        <v>241</v>
      </c>
      <c r="BI2437" s="4" t="s">
        <v>253</v>
      </c>
      <c r="BJ2437" s="5" t="s">
        <v>246</v>
      </c>
      <c r="BK2437" s="4" t="s">
        <v>254</v>
      </c>
      <c r="BL2437" s="4" t="s">
        <v>255</v>
      </c>
      <c r="BM2437" s="4" t="s">
        <v>241</v>
      </c>
      <c r="BN2437" s="6">
        <f>0</f>
        <v>0</v>
      </c>
      <c r="BO2437" s="6">
        <f>0</f>
        <v>0</v>
      </c>
      <c r="BP2437" s="4" t="s">
        <v>256</v>
      </c>
      <c r="BQ2437" s="4" t="s">
        <v>257</v>
      </c>
      <c r="CE2437" s="4" t="s">
        <v>241</v>
      </c>
      <c r="CF2437" s="4" t="s">
        <v>241</v>
      </c>
      <c r="CJ2437" s="4" t="s">
        <v>276</v>
      </c>
      <c r="CK2437" s="4" t="s">
        <v>259</v>
      </c>
      <c r="CL2437" s="4" t="s">
        <v>241</v>
      </c>
      <c r="CO2437" s="5" t="s">
        <v>260</v>
      </c>
      <c r="CP2437" s="4" t="s">
        <v>241</v>
      </c>
      <c r="CQ2437" s="4" t="s">
        <v>261</v>
      </c>
      <c r="CR2437" s="4" t="s">
        <v>241</v>
      </c>
      <c r="CS2437" s="4" t="s">
        <v>241</v>
      </c>
      <c r="CT2437" s="4">
        <v>0</v>
      </c>
      <c r="CU2437" s="4" t="s">
        <v>262</v>
      </c>
      <c r="CV2437" s="4" t="s">
        <v>263</v>
      </c>
      <c r="CW2437" s="4" t="s">
        <v>263</v>
      </c>
      <c r="CX2437" s="4" t="s">
        <v>264</v>
      </c>
      <c r="DA2437" s="6">
        <f>1</f>
        <v>1</v>
      </c>
      <c r="DC2437" s="4" t="s">
        <v>325</v>
      </c>
      <c r="DD2437" s="4" t="s">
        <v>241</v>
      </c>
      <c r="DF2437" s="4" t="s">
        <v>325</v>
      </c>
      <c r="DG2437" s="6">
        <f>1677</f>
        <v>1677</v>
      </c>
      <c r="DI2437" s="4" t="s">
        <v>241</v>
      </c>
      <c r="DJ2437" s="4" t="s">
        <v>241</v>
      </c>
      <c r="DK2437" s="4" t="s">
        <v>241</v>
      </c>
      <c r="DL2437" s="4" t="s">
        <v>241</v>
      </c>
      <c r="DP2437" s="4" t="s">
        <v>241</v>
      </c>
      <c r="DQ2437" s="4" t="s">
        <v>241</v>
      </c>
      <c r="DR2437" s="4" t="s">
        <v>241</v>
      </c>
      <c r="DS2437" s="4" t="s">
        <v>241</v>
      </c>
      <c r="DV2437" s="4" t="s">
        <v>426</v>
      </c>
      <c r="DW2437" s="4" t="s">
        <v>854</v>
      </c>
      <c r="HO2437" s="4" t="s">
        <v>267</v>
      </c>
    </row>
    <row r="2438" spans="1:223" ht="19.5" customHeight="1" x14ac:dyDescent="0.4">
      <c r="A2438" s="4">
        <v>1</v>
      </c>
      <c r="B2438" s="4" t="s">
        <v>239</v>
      </c>
      <c r="C2438" s="4">
        <v>4141</v>
      </c>
      <c r="D2438" s="4">
        <v>1</v>
      </c>
      <c r="E2438" s="4">
        <v>1</v>
      </c>
      <c r="F2438" s="4" t="s">
        <v>268</v>
      </c>
      <c r="G2438" s="4" t="s">
        <v>241</v>
      </c>
      <c r="H2438" s="4" t="s">
        <v>241</v>
      </c>
      <c r="I2438" s="4" t="s">
        <v>424</v>
      </c>
      <c r="J2438" s="4" t="s">
        <v>274</v>
      </c>
      <c r="K2438" s="4" t="s">
        <v>251</v>
      </c>
      <c r="L2438" s="4" t="s">
        <v>423</v>
      </c>
      <c r="M2438" s="5" t="s">
        <v>4919</v>
      </c>
      <c r="N2438" s="6">
        <f>151</f>
        <v>151</v>
      </c>
      <c r="O2438" s="4" t="s">
        <v>265</v>
      </c>
      <c r="P2438" s="6">
        <f>1</f>
        <v>1</v>
      </c>
      <c r="Q2438" s="6">
        <f>0</f>
        <v>0</v>
      </c>
      <c r="S2438" s="6">
        <f>0</f>
        <v>0</v>
      </c>
      <c r="T2438" s="6">
        <f>1</f>
        <v>1</v>
      </c>
      <c r="U2438" s="5" t="s">
        <v>245</v>
      </c>
      <c r="V2438" s="4" t="s">
        <v>270</v>
      </c>
      <c r="W2438" s="4" t="s">
        <v>271</v>
      </c>
      <c r="X2438" s="4" t="s">
        <v>273</v>
      </c>
      <c r="Y2438" s="4" t="s">
        <v>241</v>
      </c>
      <c r="AB2438" s="4" t="s">
        <v>241</v>
      </c>
      <c r="AD2438" s="5" t="s">
        <v>241</v>
      </c>
      <c r="AG2438" s="5" t="s">
        <v>246</v>
      </c>
      <c r="AH2438" s="4" t="s">
        <v>241</v>
      </c>
      <c r="AI2438" s="4" t="s">
        <v>247</v>
      </c>
      <c r="AJ2438" s="4" t="s">
        <v>248</v>
      </c>
      <c r="AZ2438" s="4" t="s">
        <v>249</v>
      </c>
      <c r="BA2438" s="4" t="s">
        <v>241</v>
      </c>
      <c r="BB2438" s="4" t="s">
        <v>250</v>
      </c>
      <c r="BC2438" s="4" t="s">
        <v>241</v>
      </c>
      <c r="BD2438" s="4" t="s">
        <v>252</v>
      </c>
      <c r="BE2438" s="4" t="s">
        <v>241</v>
      </c>
      <c r="BI2438" s="4" t="s">
        <v>253</v>
      </c>
      <c r="BJ2438" s="5" t="s">
        <v>246</v>
      </c>
      <c r="BK2438" s="4" t="s">
        <v>254</v>
      </c>
      <c r="BL2438" s="4" t="s">
        <v>255</v>
      </c>
      <c r="BM2438" s="4" t="s">
        <v>241</v>
      </c>
      <c r="BN2438" s="6">
        <f>0</f>
        <v>0</v>
      </c>
      <c r="BO2438" s="6">
        <f>0</f>
        <v>0</v>
      </c>
      <c r="BP2438" s="4" t="s">
        <v>256</v>
      </c>
      <c r="BQ2438" s="4" t="s">
        <v>257</v>
      </c>
      <c r="CE2438" s="4" t="s">
        <v>241</v>
      </c>
      <c r="CF2438" s="4" t="s">
        <v>241</v>
      </c>
      <c r="CJ2438" s="4" t="s">
        <v>276</v>
      </c>
      <c r="CK2438" s="4" t="s">
        <v>259</v>
      </c>
      <c r="CL2438" s="4" t="s">
        <v>241</v>
      </c>
      <c r="CO2438" s="5" t="s">
        <v>260</v>
      </c>
      <c r="CP2438" s="4" t="s">
        <v>241</v>
      </c>
      <c r="CQ2438" s="4" t="s">
        <v>261</v>
      </c>
      <c r="CR2438" s="4" t="s">
        <v>241</v>
      </c>
      <c r="CS2438" s="4" t="s">
        <v>241</v>
      </c>
      <c r="CT2438" s="4">
        <v>0</v>
      </c>
      <c r="CU2438" s="4" t="s">
        <v>262</v>
      </c>
      <c r="CV2438" s="4" t="s">
        <v>263</v>
      </c>
      <c r="CW2438" s="4" t="s">
        <v>263</v>
      </c>
      <c r="CX2438" s="4" t="s">
        <v>264</v>
      </c>
      <c r="DA2438" s="6">
        <f>1</f>
        <v>1</v>
      </c>
      <c r="DC2438" s="4" t="s">
        <v>325</v>
      </c>
      <c r="DD2438" s="4" t="s">
        <v>241</v>
      </c>
      <c r="DF2438" s="4" t="s">
        <v>325</v>
      </c>
      <c r="DG2438" s="6">
        <f>151</f>
        <v>151</v>
      </c>
      <c r="DI2438" s="4" t="s">
        <v>241</v>
      </c>
      <c r="DJ2438" s="4" t="s">
        <v>241</v>
      </c>
      <c r="DK2438" s="4" t="s">
        <v>241</v>
      </c>
      <c r="DL2438" s="4" t="s">
        <v>241</v>
      </c>
      <c r="DP2438" s="4" t="s">
        <v>241</v>
      </c>
      <c r="DQ2438" s="4" t="s">
        <v>241</v>
      </c>
      <c r="DR2438" s="4" t="s">
        <v>241</v>
      </c>
      <c r="DS2438" s="4" t="s">
        <v>241</v>
      </c>
      <c r="DV2438" s="4" t="s">
        <v>426</v>
      </c>
      <c r="DW2438" s="4" t="s">
        <v>1905</v>
      </c>
      <c r="HO2438" s="4" t="s">
        <v>267</v>
      </c>
    </row>
    <row r="2439" spans="1:223" ht="19.5" customHeight="1" x14ac:dyDescent="0.4">
      <c r="A2439" s="4">
        <v>1</v>
      </c>
      <c r="B2439" s="4" t="s">
        <v>239</v>
      </c>
      <c r="C2439" s="4">
        <v>4142</v>
      </c>
      <c r="D2439" s="4">
        <v>1</v>
      </c>
      <c r="E2439" s="4">
        <v>1</v>
      </c>
      <c r="F2439" s="4" t="s">
        <v>268</v>
      </c>
      <c r="G2439" s="4" t="s">
        <v>241</v>
      </c>
      <c r="H2439" s="4" t="s">
        <v>241</v>
      </c>
      <c r="I2439" s="4" t="s">
        <v>424</v>
      </c>
      <c r="J2439" s="4" t="s">
        <v>274</v>
      </c>
      <c r="K2439" s="4" t="s">
        <v>251</v>
      </c>
      <c r="L2439" s="4" t="s">
        <v>423</v>
      </c>
      <c r="M2439" s="5" t="s">
        <v>3765</v>
      </c>
      <c r="N2439" s="6">
        <f>65</f>
        <v>65</v>
      </c>
      <c r="O2439" s="4" t="s">
        <v>265</v>
      </c>
      <c r="P2439" s="6">
        <f>1</f>
        <v>1</v>
      </c>
      <c r="Q2439" s="6">
        <f>0</f>
        <v>0</v>
      </c>
      <c r="S2439" s="6">
        <f>0</f>
        <v>0</v>
      </c>
      <c r="T2439" s="6">
        <f>1</f>
        <v>1</v>
      </c>
      <c r="U2439" s="5" t="s">
        <v>245</v>
      </c>
      <c r="V2439" s="4" t="s">
        <v>270</v>
      </c>
      <c r="W2439" s="4" t="s">
        <v>271</v>
      </c>
      <c r="X2439" s="4" t="s">
        <v>273</v>
      </c>
      <c r="Y2439" s="4" t="s">
        <v>241</v>
      </c>
      <c r="AB2439" s="4" t="s">
        <v>241</v>
      </c>
      <c r="AD2439" s="5" t="s">
        <v>241</v>
      </c>
      <c r="AG2439" s="5" t="s">
        <v>246</v>
      </c>
      <c r="AH2439" s="4" t="s">
        <v>241</v>
      </c>
      <c r="AI2439" s="4" t="s">
        <v>247</v>
      </c>
      <c r="AJ2439" s="4" t="s">
        <v>248</v>
      </c>
      <c r="AZ2439" s="4" t="s">
        <v>249</v>
      </c>
      <c r="BA2439" s="4" t="s">
        <v>241</v>
      </c>
      <c r="BB2439" s="4" t="s">
        <v>250</v>
      </c>
      <c r="BC2439" s="4" t="s">
        <v>241</v>
      </c>
      <c r="BD2439" s="4" t="s">
        <v>252</v>
      </c>
      <c r="BE2439" s="4" t="s">
        <v>241</v>
      </c>
      <c r="BI2439" s="4" t="s">
        <v>253</v>
      </c>
      <c r="BJ2439" s="5" t="s">
        <v>246</v>
      </c>
      <c r="BK2439" s="4" t="s">
        <v>254</v>
      </c>
      <c r="BL2439" s="4" t="s">
        <v>255</v>
      </c>
      <c r="BM2439" s="4" t="s">
        <v>241</v>
      </c>
      <c r="BN2439" s="6">
        <f>0</f>
        <v>0</v>
      </c>
      <c r="BO2439" s="6">
        <f>0</f>
        <v>0</v>
      </c>
      <c r="BP2439" s="4" t="s">
        <v>256</v>
      </c>
      <c r="BQ2439" s="4" t="s">
        <v>257</v>
      </c>
      <c r="CE2439" s="4" t="s">
        <v>241</v>
      </c>
      <c r="CF2439" s="4" t="s">
        <v>241</v>
      </c>
      <c r="CJ2439" s="4" t="s">
        <v>276</v>
      </c>
      <c r="CK2439" s="4" t="s">
        <v>259</v>
      </c>
      <c r="CL2439" s="4" t="s">
        <v>241</v>
      </c>
      <c r="CO2439" s="5" t="s">
        <v>260</v>
      </c>
      <c r="CP2439" s="4" t="s">
        <v>241</v>
      </c>
      <c r="CQ2439" s="4" t="s">
        <v>261</v>
      </c>
      <c r="CR2439" s="4" t="s">
        <v>241</v>
      </c>
      <c r="CS2439" s="4" t="s">
        <v>241</v>
      </c>
      <c r="CT2439" s="4">
        <v>0</v>
      </c>
      <c r="CU2439" s="4" t="s">
        <v>262</v>
      </c>
      <c r="CV2439" s="4" t="s">
        <v>263</v>
      </c>
      <c r="CW2439" s="4" t="s">
        <v>263</v>
      </c>
      <c r="CX2439" s="4" t="s">
        <v>264</v>
      </c>
      <c r="DA2439" s="6">
        <f>1</f>
        <v>1</v>
      </c>
      <c r="DC2439" s="4" t="s">
        <v>325</v>
      </c>
      <c r="DD2439" s="4" t="s">
        <v>241</v>
      </c>
      <c r="DF2439" s="4" t="s">
        <v>325</v>
      </c>
      <c r="DG2439" s="6">
        <f>65</f>
        <v>65</v>
      </c>
      <c r="DI2439" s="4" t="s">
        <v>241</v>
      </c>
      <c r="DJ2439" s="4" t="s">
        <v>241</v>
      </c>
      <c r="DK2439" s="4" t="s">
        <v>241</v>
      </c>
      <c r="DL2439" s="4" t="s">
        <v>241</v>
      </c>
      <c r="DP2439" s="4" t="s">
        <v>241</v>
      </c>
      <c r="DQ2439" s="4" t="s">
        <v>241</v>
      </c>
      <c r="DR2439" s="4" t="s">
        <v>241</v>
      </c>
      <c r="DS2439" s="4" t="s">
        <v>241</v>
      </c>
      <c r="DV2439" s="4" t="s">
        <v>426</v>
      </c>
      <c r="DW2439" s="4" t="s">
        <v>1879</v>
      </c>
      <c r="HO2439" s="4" t="s">
        <v>267</v>
      </c>
    </row>
    <row r="2440" spans="1:223" ht="19.5" customHeight="1" x14ac:dyDescent="0.4">
      <c r="A2440" s="4">
        <v>1</v>
      </c>
      <c r="B2440" s="4" t="s">
        <v>239</v>
      </c>
      <c r="C2440" s="4">
        <v>4143</v>
      </c>
      <c r="D2440" s="4">
        <v>1</v>
      </c>
      <c r="E2440" s="4">
        <v>1</v>
      </c>
      <c r="F2440" s="4" t="s">
        <v>268</v>
      </c>
      <c r="G2440" s="4" t="s">
        <v>241</v>
      </c>
      <c r="H2440" s="4" t="s">
        <v>241</v>
      </c>
      <c r="I2440" s="4" t="s">
        <v>424</v>
      </c>
      <c r="J2440" s="4" t="s">
        <v>274</v>
      </c>
      <c r="K2440" s="4" t="s">
        <v>251</v>
      </c>
      <c r="L2440" s="4" t="s">
        <v>423</v>
      </c>
      <c r="M2440" s="5" t="s">
        <v>4851</v>
      </c>
      <c r="N2440" s="6">
        <f>3358</f>
        <v>3358</v>
      </c>
      <c r="O2440" s="4" t="s">
        <v>265</v>
      </c>
      <c r="P2440" s="6">
        <f>1</f>
        <v>1</v>
      </c>
      <c r="Q2440" s="6">
        <f>0</f>
        <v>0</v>
      </c>
      <c r="S2440" s="6">
        <f>0</f>
        <v>0</v>
      </c>
      <c r="T2440" s="6">
        <f>1</f>
        <v>1</v>
      </c>
      <c r="U2440" s="5" t="s">
        <v>245</v>
      </c>
      <c r="V2440" s="4" t="s">
        <v>270</v>
      </c>
      <c r="W2440" s="4" t="s">
        <v>271</v>
      </c>
      <c r="X2440" s="4" t="s">
        <v>273</v>
      </c>
      <c r="Y2440" s="4" t="s">
        <v>241</v>
      </c>
      <c r="AB2440" s="4" t="s">
        <v>241</v>
      </c>
      <c r="AD2440" s="5" t="s">
        <v>241</v>
      </c>
      <c r="AG2440" s="5" t="s">
        <v>246</v>
      </c>
      <c r="AH2440" s="4" t="s">
        <v>241</v>
      </c>
      <c r="AI2440" s="4" t="s">
        <v>247</v>
      </c>
      <c r="AJ2440" s="4" t="s">
        <v>248</v>
      </c>
      <c r="AZ2440" s="4" t="s">
        <v>249</v>
      </c>
      <c r="BA2440" s="4" t="s">
        <v>241</v>
      </c>
      <c r="BB2440" s="4" t="s">
        <v>250</v>
      </c>
      <c r="BC2440" s="4" t="s">
        <v>241</v>
      </c>
      <c r="BD2440" s="4" t="s">
        <v>252</v>
      </c>
      <c r="BE2440" s="4" t="s">
        <v>241</v>
      </c>
      <c r="BI2440" s="4" t="s">
        <v>253</v>
      </c>
      <c r="BJ2440" s="5" t="s">
        <v>246</v>
      </c>
      <c r="BK2440" s="4" t="s">
        <v>254</v>
      </c>
      <c r="BL2440" s="4" t="s">
        <v>255</v>
      </c>
      <c r="BM2440" s="4" t="s">
        <v>241</v>
      </c>
      <c r="BN2440" s="6">
        <f>0</f>
        <v>0</v>
      </c>
      <c r="BO2440" s="6">
        <f>0</f>
        <v>0</v>
      </c>
      <c r="BP2440" s="4" t="s">
        <v>256</v>
      </c>
      <c r="BQ2440" s="4" t="s">
        <v>257</v>
      </c>
      <c r="CE2440" s="4" t="s">
        <v>241</v>
      </c>
      <c r="CF2440" s="4" t="s">
        <v>241</v>
      </c>
      <c r="CJ2440" s="4" t="s">
        <v>276</v>
      </c>
      <c r="CK2440" s="4" t="s">
        <v>259</v>
      </c>
      <c r="CL2440" s="4" t="s">
        <v>241</v>
      </c>
      <c r="CO2440" s="5" t="s">
        <v>260</v>
      </c>
      <c r="CP2440" s="4" t="s">
        <v>241</v>
      </c>
      <c r="CQ2440" s="4" t="s">
        <v>261</v>
      </c>
      <c r="CR2440" s="4" t="s">
        <v>241</v>
      </c>
      <c r="CS2440" s="4" t="s">
        <v>241</v>
      </c>
      <c r="CT2440" s="4">
        <v>0</v>
      </c>
      <c r="CU2440" s="4" t="s">
        <v>262</v>
      </c>
      <c r="CV2440" s="4" t="s">
        <v>263</v>
      </c>
      <c r="CW2440" s="4" t="s">
        <v>263</v>
      </c>
      <c r="CX2440" s="4" t="s">
        <v>264</v>
      </c>
      <c r="DA2440" s="6">
        <f>1</f>
        <v>1</v>
      </c>
      <c r="DC2440" s="4" t="s">
        <v>325</v>
      </c>
      <c r="DD2440" s="4" t="s">
        <v>241</v>
      </c>
      <c r="DF2440" s="4" t="s">
        <v>325</v>
      </c>
      <c r="DG2440" s="6">
        <f>3358</f>
        <v>3358</v>
      </c>
      <c r="DI2440" s="4" t="s">
        <v>241</v>
      </c>
      <c r="DJ2440" s="4" t="s">
        <v>241</v>
      </c>
      <c r="DK2440" s="4" t="s">
        <v>241</v>
      </c>
      <c r="DL2440" s="4" t="s">
        <v>241</v>
      </c>
      <c r="DP2440" s="4" t="s">
        <v>241</v>
      </c>
      <c r="DQ2440" s="4" t="s">
        <v>241</v>
      </c>
      <c r="DR2440" s="4" t="s">
        <v>241</v>
      </c>
      <c r="DS2440" s="4" t="s">
        <v>241</v>
      </c>
      <c r="DV2440" s="4" t="s">
        <v>426</v>
      </c>
      <c r="DW2440" s="4" t="s">
        <v>2967</v>
      </c>
      <c r="HO2440" s="4" t="s">
        <v>267</v>
      </c>
    </row>
    <row r="2441" spans="1:223" ht="19.5" customHeight="1" x14ac:dyDescent="0.4">
      <c r="A2441" s="4">
        <v>1</v>
      </c>
      <c r="B2441" s="4" t="s">
        <v>239</v>
      </c>
      <c r="C2441" s="4">
        <v>4144</v>
      </c>
      <c r="D2441" s="4">
        <v>1</v>
      </c>
      <c r="E2441" s="4">
        <v>1</v>
      </c>
      <c r="F2441" s="4" t="s">
        <v>268</v>
      </c>
      <c r="G2441" s="4" t="s">
        <v>241</v>
      </c>
      <c r="H2441" s="4" t="s">
        <v>241</v>
      </c>
      <c r="I2441" s="4" t="s">
        <v>424</v>
      </c>
      <c r="J2441" s="4" t="s">
        <v>274</v>
      </c>
      <c r="K2441" s="4" t="s">
        <v>251</v>
      </c>
      <c r="L2441" s="4" t="s">
        <v>423</v>
      </c>
      <c r="M2441" s="5" t="s">
        <v>4835</v>
      </c>
      <c r="N2441" s="6">
        <f>177</f>
        <v>177</v>
      </c>
      <c r="O2441" s="4" t="s">
        <v>265</v>
      </c>
      <c r="P2441" s="6">
        <f>1</f>
        <v>1</v>
      </c>
      <c r="Q2441" s="6">
        <f>0</f>
        <v>0</v>
      </c>
      <c r="S2441" s="6">
        <f>0</f>
        <v>0</v>
      </c>
      <c r="T2441" s="6">
        <f>1</f>
        <v>1</v>
      </c>
      <c r="U2441" s="5" t="s">
        <v>245</v>
      </c>
      <c r="V2441" s="4" t="s">
        <v>270</v>
      </c>
      <c r="W2441" s="4" t="s">
        <v>271</v>
      </c>
      <c r="X2441" s="4" t="s">
        <v>273</v>
      </c>
      <c r="Y2441" s="4" t="s">
        <v>241</v>
      </c>
      <c r="AB2441" s="4" t="s">
        <v>241</v>
      </c>
      <c r="AD2441" s="5" t="s">
        <v>241</v>
      </c>
      <c r="AG2441" s="5" t="s">
        <v>246</v>
      </c>
      <c r="AH2441" s="4" t="s">
        <v>241</v>
      </c>
      <c r="AI2441" s="4" t="s">
        <v>247</v>
      </c>
      <c r="AJ2441" s="4" t="s">
        <v>248</v>
      </c>
      <c r="AZ2441" s="4" t="s">
        <v>249</v>
      </c>
      <c r="BA2441" s="4" t="s">
        <v>241</v>
      </c>
      <c r="BB2441" s="4" t="s">
        <v>250</v>
      </c>
      <c r="BC2441" s="4" t="s">
        <v>241</v>
      </c>
      <c r="BD2441" s="4" t="s">
        <v>252</v>
      </c>
      <c r="BE2441" s="4" t="s">
        <v>241</v>
      </c>
      <c r="BI2441" s="4" t="s">
        <v>253</v>
      </c>
      <c r="BJ2441" s="5" t="s">
        <v>246</v>
      </c>
      <c r="BK2441" s="4" t="s">
        <v>254</v>
      </c>
      <c r="BL2441" s="4" t="s">
        <v>255</v>
      </c>
      <c r="BM2441" s="4" t="s">
        <v>241</v>
      </c>
      <c r="BN2441" s="6">
        <f>0</f>
        <v>0</v>
      </c>
      <c r="BO2441" s="6">
        <f>0</f>
        <v>0</v>
      </c>
      <c r="BP2441" s="4" t="s">
        <v>256</v>
      </c>
      <c r="BQ2441" s="4" t="s">
        <v>257</v>
      </c>
      <c r="CE2441" s="4" t="s">
        <v>241</v>
      </c>
      <c r="CF2441" s="4" t="s">
        <v>241</v>
      </c>
      <c r="CJ2441" s="4" t="s">
        <v>276</v>
      </c>
      <c r="CK2441" s="4" t="s">
        <v>259</v>
      </c>
      <c r="CL2441" s="4" t="s">
        <v>241</v>
      </c>
      <c r="CO2441" s="5" t="s">
        <v>260</v>
      </c>
      <c r="CP2441" s="4" t="s">
        <v>241</v>
      </c>
      <c r="CQ2441" s="4" t="s">
        <v>261</v>
      </c>
      <c r="CR2441" s="4" t="s">
        <v>241</v>
      </c>
      <c r="CS2441" s="4" t="s">
        <v>241</v>
      </c>
      <c r="CT2441" s="4">
        <v>0</v>
      </c>
      <c r="CU2441" s="4" t="s">
        <v>262</v>
      </c>
      <c r="CV2441" s="4" t="s">
        <v>263</v>
      </c>
      <c r="CW2441" s="4" t="s">
        <v>263</v>
      </c>
      <c r="CX2441" s="4" t="s">
        <v>264</v>
      </c>
      <c r="DA2441" s="6">
        <f>1</f>
        <v>1</v>
      </c>
      <c r="DC2441" s="4" t="s">
        <v>325</v>
      </c>
      <c r="DD2441" s="4" t="s">
        <v>241</v>
      </c>
      <c r="DF2441" s="4" t="s">
        <v>325</v>
      </c>
      <c r="DG2441" s="6">
        <f>177</f>
        <v>177</v>
      </c>
      <c r="DI2441" s="4" t="s">
        <v>241</v>
      </c>
      <c r="DJ2441" s="4" t="s">
        <v>241</v>
      </c>
      <c r="DK2441" s="4" t="s">
        <v>241</v>
      </c>
      <c r="DL2441" s="4" t="s">
        <v>241</v>
      </c>
      <c r="DP2441" s="4" t="s">
        <v>241</v>
      </c>
      <c r="DQ2441" s="4" t="s">
        <v>241</v>
      </c>
      <c r="DR2441" s="4" t="s">
        <v>241</v>
      </c>
      <c r="DS2441" s="4" t="s">
        <v>241</v>
      </c>
      <c r="DV2441" s="4" t="s">
        <v>426</v>
      </c>
      <c r="DW2441" s="4" t="s">
        <v>2958</v>
      </c>
      <c r="HO2441" s="4" t="s">
        <v>267</v>
      </c>
    </row>
    <row r="2442" spans="1:223" ht="19.5" customHeight="1" x14ac:dyDescent="0.4">
      <c r="A2442" s="4">
        <v>1</v>
      </c>
      <c r="B2442" s="4" t="s">
        <v>239</v>
      </c>
      <c r="C2442" s="4">
        <v>4145</v>
      </c>
      <c r="D2442" s="4">
        <v>1</v>
      </c>
      <c r="E2442" s="4">
        <v>1</v>
      </c>
      <c r="F2442" s="4" t="s">
        <v>268</v>
      </c>
      <c r="G2442" s="4" t="s">
        <v>241</v>
      </c>
      <c r="H2442" s="4" t="s">
        <v>241</v>
      </c>
      <c r="I2442" s="4" t="s">
        <v>424</v>
      </c>
      <c r="J2442" s="4" t="s">
        <v>274</v>
      </c>
      <c r="K2442" s="4" t="s">
        <v>251</v>
      </c>
      <c r="L2442" s="4" t="s">
        <v>423</v>
      </c>
      <c r="M2442" s="5" t="s">
        <v>3269</v>
      </c>
      <c r="N2442" s="6">
        <f>174</f>
        <v>174</v>
      </c>
      <c r="O2442" s="4" t="s">
        <v>265</v>
      </c>
      <c r="P2442" s="6">
        <f>1</f>
        <v>1</v>
      </c>
      <c r="Q2442" s="6">
        <f>0</f>
        <v>0</v>
      </c>
      <c r="S2442" s="6">
        <f>0</f>
        <v>0</v>
      </c>
      <c r="T2442" s="6">
        <f>1</f>
        <v>1</v>
      </c>
      <c r="U2442" s="5" t="s">
        <v>245</v>
      </c>
      <c r="V2442" s="4" t="s">
        <v>270</v>
      </c>
      <c r="W2442" s="4" t="s">
        <v>271</v>
      </c>
      <c r="X2442" s="4" t="s">
        <v>273</v>
      </c>
      <c r="Y2442" s="4" t="s">
        <v>241</v>
      </c>
      <c r="AB2442" s="4" t="s">
        <v>241</v>
      </c>
      <c r="AD2442" s="5" t="s">
        <v>241</v>
      </c>
      <c r="AG2442" s="5" t="s">
        <v>246</v>
      </c>
      <c r="AH2442" s="4" t="s">
        <v>241</v>
      </c>
      <c r="AI2442" s="4" t="s">
        <v>247</v>
      </c>
      <c r="AJ2442" s="4" t="s">
        <v>248</v>
      </c>
      <c r="AZ2442" s="4" t="s">
        <v>249</v>
      </c>
      <c r="BA2442" s="4" t="s">
        <v>241</v>
      </c>
      <c r="BB2442" s="4" t="s">
        <v>250</v>
      </c>
      <c r="BC2442" s="4" t="s">
        <v>241</v>
      </c>
      <c r="BD2442" s="4" t="s">
        <v>252</v>
      </c>
      <c r="BE2442" s="4" t="s">
        <v>241</v>
      </c>
      <c r="BI2442" s="4" t="s">
        <v>253</v>
      </c>
      <c r="BJ2442" s="5" t="s">
        <v>246</v>
      </c>
      <c r="BK2442" s="4" t="s">
        <v>254</v>
      </c>
      <c r="BL2442" s="4" t="s">
        <v>255</v>
      </c>
      <c r="BM2442" s="4" t="s">
        <v>241</v>
      </c>
      <c r="BN2442" s="6">
        <f>0</f>
        <v>0</v>
      </c>
      <c r="BO2442" s="6">
        <f>0</f>
        <v>0</v>
      </c>
      <c r="BP2442" s="4" t="s">
        <v>256</v>
      </c>
      <c r="BQ2442" s="4" t="s">
        <v>257</v>
      </c>
      <c r="CE2442" s="4" t="s">
        <v>241</v>
      </c>
      <c r="CF2442" s="4" t="s">
        <v>241</v>
      </c>
      <c r="CJ2442" s="4" t="s">
        <v>276</v>
      </c>
      <c r="CK2442" s="4" t="s">
        <v>259</v>
      </c>
      <c r="CL2442" s="4" t="s">
        <v>241</v>
      </c>
      <c r="CO2442" s="5" t="s">
        <v>260</v>
      </c>
      <c r="CP2442" s="4" t="s">
        <v>241</v>
      </c>
      <c r="CQ2442" s="4" t="s">
        <v>261</v>
      </c>
      <c r="CR2442" s="4" t="s">
        <v>241</v>
      </c>
      <c r="CS2442" s="4" t="s">
        <v>241</v>
      </c>
      <c r="CT2442" s="4">
        <v>0</v>
      </c>
      <c r="CU2442" s="4" t="s">
        <v>262</v>
      </c>
      <c r="CV2442" s="4" t="s">
        <v>263</v>
      </c>
      <c r="CW2442" s="4" t="s">
        <v>263</v>
      </c>
      <c r="CX2442" s="4" t="s">
        <v>264</v>
      </c>
      <c r="DA2442" s="6">
        <f>1</f>
        <v>1</v>
      </c>
      <c r="DC2442" s="4" t="s">
        <v>325</v>
      </c>
      <c r="DD2442" s="4" t="s">
        <v>241</v>
      </c>
      <c r="DF2442" s="4" t="s">
        <v>325</v>
      </c>
      <c r="DG2442" s="6">
        <f>174</f>
        <v>174</v>
      </c>
      <c r="DI2442" s="4" t="s">
        <v>241</v>
      </c>
      <c r="DJ2442" s="4" t="s">
        <v>241</v>
      </c>
      <c r="DK2442" s="4" t="s">
        <v>241</v>
      </c>
      <c r="DL2442" s="4" t="s">
        <v>241</v>
      </c>
      <c r="DP2442" s="4" t="s">
        <v>241</v>
      </c>
      <c r="DQ2442" s="4" t="s">
        <v>241</v>
      </c>
      <c r="DR2442" s="4" t="s">
        <v>241</v>
      </c>
      <c r="DS2442" s="4" t="s">
        <v>241</v>
      </c>
      <c r="DV2442" s="4" t="s">
        <v>426</v>
      </c>
      <c r="DW2442" s="4" t="s">
        <v>1846</v>
      </c>
      <c r="HO2442" s="4" t="s">
        <v>267</v>
      </c>
    </row>
    <row r="2443" spans="1:223" ht="19.5" customHeight="1" x14ac:dyDescent="0.4">
      <c r="A2443" s="4">
        <v>1</v>
      </c>
      <c r="B2443" s="4" t="s">
        <v>239</v>
      </c>
      <c r="C2443" s="4">
        <v>4146</v>
      </c>
      <c r="D2443" s="4">
        <v>1</v>
      </c>
      <c r="E2443" s="4">
        <v>1</v>
      </c>
      <c r="F2443" s="4" t="s">
        <v>268</v>
      </c>
      <c r="G2443" s="4" t="s">
        <v>241</v>
      </c>
      <c r="H2443" s="4" t="s">
        <v>241</v>
      </c>
      <c r="I2443" s="4" t="s">
        <v>424</v>
      </c>
      <c r="J2443" s="4" t="s">
        <v>274</v>
      </c>
      <c r="K2443" s="4" t="s">
        <v>251</v>
      </c>
      <c r="L2443" s="4" t="s">
        <v>423</v>
      </c>
      <c r="M2443" s="5" t="s">
        <v>823</v>
      </c>
      <c r="N2443" s="6">
        <f>218</f>
        <v>218</v>
      </c>
      <c r="O2443" s="4" t="s">
        <v>265</v>
      </c>
      <c r="P2443" s="6">
        <f>1</f>
        <v>1</v>
      </c>
      <c r="Q2443" s="6">
        <f>0</f>
        <v>0</v>
      </c>
      <c r="S2443" s="6">
        <f>0</f>
        <v>0</v>
      </c>
      <c r="T2443" s="6">
        <f>1</f>
        <v>1</v>
      </c>
      <c r="U2443" s="5" t="s">
        <v>245</v>
      </c>
      <c r="V2443" s="4" t="s">
        <v>270</v>
      </c>
      <c r="W2443" s="4" t="s">
        <v>271</v>
      </c>
      <c r="X2443" s="4" t="s">
        <v>273</v>
      </c>
      <c r="Y2443" s="4" t="s">
        <v>241</v>
      </c>
      <c r="AB2443" s="4" t="s">
        <v>241</v>
      </c>
      <c r="AD2443" s="5" t="s">
        <v>241</v>
      </c>
      <c r="AG2443" s="5" t="s">
        <v>246</v>
      </c>
      <c r="AH2443" s="4" t="s">
        <v>241</v>
      </c>
      <c r="AI2443" s="4" t="s">
        <v>247</v>
      </c>
      <c r="AJ2443" s="4" t="s">
        <v>248</v>
      </c>
      <c r="AZ2443" s="4" t="s">
        <v>249</v>
      </c>
      <c r="BA2443" s="4" t="s">
        <v>241</v>
      </c>
      <c r="BB2443" s="4" t="s">
        <v>250</v>
      </c>
      <c r="BC2443" s="4" t="s">
        <v>241</v>
      </c>
      <c r="BD2443" s="4" t="s">
        <v>252</v>
      </c>
      <c r="BE2443" s="4" t="s">
        <v>241</v>
      </c>
      <c r="BI2443" s="4" t="s">
        <v>253</v>
      </c>
      <c r="BJ2443" s="5" t="s">
        <v>246</v>
      </c>
      <c r="BK2443" s="4" t="s">
        <v>254</v>
      </c>
      <c r="BL2443" s="4" t="s">
        <v>255</v>
      </c>
      <c r="BM2443" s="4" t="s">
        <v>241</v>
      </c>
      <c r="BN2443" s="6">
        <f>0</f>
        <v>0</v>
      </c>
      <c r="BO2443" s="6">
        <f>0</f>
        <v>0</v>
      </c>
      <c r="BP2443" s="4" t="s">
        <v>256</v>
      </c>
      <c r="BQ2443" s="4" t="s">
        <v>257</v>
      </c>
      <c r="CE2443" s="4" t="s">
        <v>241</v>
      </c>
      <c r="CF2443" s="4" t="s">
        <v>241</v>
      </c>
      <c r="CJ2443" s="4" t="s">
        <v>276</v>
      </c>
      <c r="CK2443" s="4" t="s">
        <v>259</v>
      </c>
      <c r="CL2443" s="4" t="s">
        <v>241</v>
      </c>
      <c r="CO2443" s="5" t="s">
        <v>260</v>
      </c>
      <c r="CP2443" s="4" t="s">
        <v>241</v>
      </c>
      <c r="CQ2443" s="4" t="s">
        <v>261</v>
      </c>
      <c r="CR2443" s="4" t="s">
        <v>241</v>
      </c>
      <c r="CS2443" s="4" t="s">
        <v>241</v>
      </c>
      <c r="CT2443" s="4">
        <v>0</v>
      </c>
      <c r="CU2443" s="4" t="s">
        <v>262</v>
      </c>
      <c r="CV2443" s="4" t="s">
        <v>263</v>
      </c>
      <c r="CW2443" s="4" t="s">
        <v>263</v>
      </c>
      <c r="CX2443" s="4" t="s">
        <v>264</v>
      </c>
      <c r="DA2443" s="6">
        <f>1</f>
        <v>1</v>
      </c>
      <c r="DC2443" s="4" t="s">
        <v>325</v>
      </c>
      <c r="DD2443" s="4" t="s">
        <v>241</v>
      </c>
      <c r="DF2443" s="4" t="s">
        <v>325</v>
      </c>
      <c r="DG2443" s="6">
        <f>218</f>
        <v>218</v>
      </c>
      <c r="DI2443" s="4" t="s">
        <v>241</v>
      </c>
      <c r="DJ2443" s="4" t="s">
        <v>241</v>
      </c>
      <c r="DK2443" s="4" t="s">
        <v>241</v>
      </c>
      <c r="DL2443" s="4" t="s">
        <v>241</v>
      </c>
      <c r="DP2443" s="4" t="s">
        <v>241</v>
      </c>
      <c r="DQ2443" s="4" t="s">
        <v>241</v>
      </c>
      <c r="DR2443" s="4" t="s">
        <v>241</v>
      </c>
      <c r="DS2443" s="4" t="s">
        <v>241</v>
      </c>
      <c r="DV2443" s="4" t="s">
        <v>426</v>
      </c>
      <c r="DW2443" s="4" t="s">
        <v>824</v>
      </c>
      <c r="HO2443" s="4" t="s">
        <v>267</v>
      </c>
    </row>
    <row r="2444" spans="1:223" ht="19.5" customHeight="1" x14ac:dyDescent="0.4">
      <c r="A2444" s="4">
        <v>1</v>
      </c>
      <c r="B2444" s="4" t="s">
        <v>239</v>
      </c>
      <c r="C2444" s="4">
        <v>4147</v>
      </c>
      <c r="D2444" s="4">
        <v>1</v>
      </c>
      <c r="E2444" s="4">
        <v>1</v>
      </c>
      <c r="F2444" s="4" t="s">
        <v>268</v>
      </c>
      <c r="G2444" s="4" t="s">
        <v>241</v>
      </c>
      <c r="H2444" s="4" t="s">
        <v>241</v>
      </c>
      <c r="I2444" s="4" t="s">
        <v>424</v>
      </c>
      <c r="J2444" s="4" t="s">
        <v>274</v>
      </c>
      <c r="K2444" s="4" t="s">
        <v>251</v>
      </c>
      <c r="L2444" s="4" t="s">
        <v>423</v>
      </c>
      <c r="M2444" s="5" t="s">
        <v>821</v>
      </c>
      <c r="N2444" s="6">
        <f>362</f>
        <v>362</v>
      </c>
      <c r="O2444" s="4" t="s">
        <v>265</v>
      </c>
      <c r="P2444" s="6">
        <f>1</f>
        <v>1</v>
      </c>
      <c r="Q2444" s="6">
        <f>0</f>
        <v>0</v>
      </c>
      <c r="S2444" s="6">
        <f>0</f>
        <v>0</v>
      </c>
      <c r="T2444" s="6">
        <f>1</f>
        <v>1</v>
      </c>
      <c r="U2444" s="5" t="s">
        <v>245</v>
      </c>
      <c r="V2444" s="4" t="s">
        <v>270</v>
      </c>
      <c r="W2444" s="4" t="s">
        <v>271</v>
      </c>
      <c r="X2444" s="4" t="s">
        <v>273</v>
      </c>
      <c r="Y2444" s="4" t="s">
        <v>241</v>
      </c>
      <c r="AB2444" s="4" t="s">
        <v>241</v>
      </c>
      <c r="AD2444" s="5" t="s">
        <v>241</v>
      </c>
      <c r="AG2444" s="5" t="s">
        <v>246</v>
      </c>
      <c r="AH2444" s="4" t="s">
        <v>241</v>
      </c>
      <c r="AI2444" s="4" t="s">
        <v>247</v>
      </c>
      <c r="AJ2444" s="4" t="s">
        <v>248</v>
      </c>
      <c r="AZ2444" s="4" t="s">
        <v>249</v>
      </c>
      <c r="BA2444" s="4" t="s">
        <v>241</v>
      </c>
      <c r="BB2444" s="4" t="s">
        <v>250</v>
      </c>
      <c r="BC2444" s="4" t="s">
        <v>241</v>
      </c>
      <c r="BD2444" s="4" t="s">
        <v>252</v>
      </c>
      <c r="BE2444" s="4" t="s">
        <v>241</v>
      </c>
      <c r="BI2444" s="4" t="s">
        <v>253</v>
      </c>
      <c r="BJ2444" s="5" t="s">
        <v>246</v>
      </c>
      <c r="BK2444" s="4" t="s">
        <v>254</v>
      </c>
      <c r="BL2444" s="4" t="s">
        <v>255</v>
      </c>
      <c r="BM2444" s="4" t="s">
        <v>241</v>
      </c>
      <c r="BN2444" s="6">
        <f>0</f>
        <v>0</v>
      </c>
      <c r="BO2444" s="6">
        <f>0</f>
        <v>0</v>
      </c>
      <c r="BP2444" s="4" t="s">
        <v>256</v>
      </c>
      <c r="BQ2444" s="4" t="s">
        <v>257</v>
      </c>
      <c r="CE2444" s="4" t="s">
        <v>241</v>
      </c>
      <c r="CF2444" s="4" t="s">
        <v>241</v>
      </c>
      <c r="CJ2444" s="4" t="s">
        <v>276</v>
      </c>
      <c r="CK2444" s="4" t="s">
        <v>259</v>
      </c>
      <c r="CL2444" s="4" t="s">
        <v>241</v>
      </c>
      <c r="CO2444" s="5" t="s">
        <v>260</v>
      </c>
      <c r="CP2444" s="4" t="s">
        <v>241</v>
      </c>
      <c r="CQ2444" s="4" t="s">
        <v>261</v>
      </c>
      <c r="CR2444" s="4" t="s">
        <v>241</v>
      </c>
      <c r="CS2444" s="4" t="s">
        <v>241</v>
      </c>
      <c r="CT2444" s="4">
        <v>0</v>
      </c>
      <c r="CU2444" s="4" t="s">
        <v>262</v>
      </c>
      <c r="CV2444" s="4" t="s">
        <v>263</v>
      </c>
      <c r="CW2444" s="4" t="s">
        <v>263</v>
      </c>
      <c r="CX2444" s="4" t="s">
        <v>264</v>
      </c>
      <c r="DA2444" s="6">
        <f>1</f>
        <v>1</v>
      </c>
      <c r="DC2444" s="4" t="s">
        <v>325</v>
      </c>
      <c r="DD2444" s="4" t="s">
        <v>241</v>
      </c>
      <c r="DF2444" s="4" t="s">
        <v>325</v>
      </c>
      <c r="DG2444" s="6">
        <f>362</f>
        <v>362</v>
      </c>
      <c r="DI2444" s="4" t="s">
        <v>241</v>
      </c>
      <c r="DJ2444" s="4" t="s">
        <v>241</v>
      </c>
      <c r="DK2444" s="4" t="s">
        <v>241</v>
      </c>
      <c r="DL2444" s="4" t="s">
        <v>241</v>
      </c>
      <c r="DP2444" s="4" t="s">
        <v>241</v>
      </c>
      <c r="DQ2444" s="4" t="s">
        <v>241</v>
      </c>
      <c r="DR2444" s="4" t="s">
        <v>241</v>
      </c>
      <c r="DS2444" s="4" t="s">
        <v>241</v>
      </c>
      <c r="DV2444" s="4" t="s">
        <v>426</v>
      </c>
      <c r="DW2444" s="4" t="s">
        <v>822</v>
      </c>
      <c r="HO2444" s="4" t="s">
        <v>267</v>
      </c>
    </row>
    <row r="2445" spans="1:223" ht="19.5" customHeight="1" x14ac:dyDescent="0.4">
      <c r="A2445" s="4">
        <v>1</v>
      </c>
      <c r="B2445" s="4" t="s">
        <v>239</v>
      </c>
      <c r="C2445" s="4">
        <v>4148</v>
      </c>
      <c r="D2445" s="4">
        <v>1</v>
      </c>
      <c r="E2445" s="4">
        <v>1</v>
      </c>
      <c r="F2445" s="4" t="s">
        <v>268</v>
      </c>
      <c r="G2445" s="4" t="s">
        <v>241</v>
      </c>
      <c r="H2445" s="4" t="s">
        <v>241</v>
      </c>
      <c r="I2445" s="4" t="s">
        <v>424</v>
      </c>
      <c r="J2445" s="4" t="s">
        <v>274</v>
      </c>
      <c r="K2445" s="4" t="s">
        <v>251</v>
      </c>
      <c r="L2445" s="4" t="s">
        <v>423</v>
      </c>
      <c r="M2445" s="5" t="s">
        <v>815</v>
      </c>
      <c r="N2445" s="6">
        <f>1499</f>
        <v>1499</v>
      </c>
      <c r="O2445" s="4" t="s">
        <v>265</v>
      </c>
      <c r="P2445" s="6">
        <f>1</f>
        <v>1</v>
      </c>
      <c r="Q2445" s="6">
        <f>0</f>
        <v>0</v>
      </c>
      <c r="S2445" s="6">
        <f>0</f>
        <v>0</v>
      </c>
      <c r="T2445" s="6">
        <f>1</f>
        <v>1</v>
      </c>
      <c r="U2445" s="5" t="s">
        <v>245</v>
      </c>
      <c r="V2445" s="4" t="s">
        <v>270</v>
      </c>
      <c r="W2445" s="4" t="s">
        <v>271</v>
      </c>
      <c r="X2445" s="4" t="s">
        <v>273</v>
      </c>
      <c r="Y2445" s="4" t="s">
        <v>241</v>
      </c>
      <c r="AB2445" s="4" t="s">
        <v>241</v>
      </c>
      <c r="AD2445" s="5" t="s">
        <v>241</v>
      </c>
      <c r="AG2445" s="5" t="s">
        <v>246</v>
      </c>
      <c r="AH2445" s="4" t="s">
        <v>241</v>
      </c>
      <c r="AI2445" s="4" t="s">
        <v>247</v>
      </c>
      <c r="AJ2445" s="4" t="s">
        <v>248</v>
      </c>
      <c r="AZ2445" s="4" t="s">
        <v>249</v>
      </c>
      <c r="BA2445" s="4" t="s">
        <v>241</v>
      </c>
      <c r="BB2445" s="4" t="s">
        <v>250</v>
      </c>
      <c r="BC2445" s="4" t="s">
        <v>241</v>
      </c>
      <c r="BD2445" s="4" t="s">
        <v>252</v>
      </c>
      <c r="BE2445" s="4" t="s">
        <v>241</v>
      </c>
      <c r="BI2445" s="4" t="s">
        <v>253</v>
      </c>
      <c r="BJ2445" s="5" t="s">
        <v>246</v>
      </c>
      <c r="BK2445" s="4" t="s">
        <v>254</v>
      </c>
      <c r="BL2445" s="4" t="s">
        <v>255</v>
      </c>
      <c r="BM2445" s="4" t="s">
        <v>241</v>
      </c>
      <c r="BN2445" s="6">
        <f>0</f>
        <v>0</v>
      </c>
      <c r="BO2445" s="6">
        <f>0</f>
        <v>0</v>
      </c>
      <c r="BP2445" s="4" t="s">
        <v>256</v>
      </c>
      <c r="BQ2445" s="4" t="s">
        <v>257</v>
      </c>
      <c r="CE2445" s="4" t="s">
        <v>241</v>
      </c>
      <c r="CF2445" s="4" t="s">
        <v>241</v>
      </c>
      <c r="CJ2445" s="4" t="s">
        <v>276</v>
      </c>
      <c r="CK2445" s="4" t="s">
        <v>259</v>
      </c>
      <c r="CL2445" s="4" t="s">
        <v>241</v>
      </c>
      <c r="CO2445" s="5" t="s">
        <v>260</v>
      </c>
      <c r="CP2445" s="4" t="s">
        <v>241</v>
      </c>
      <c r="CQ2445" s="4" t="s">
        <v>261</v>
      </c>
      <c r="CR2445" s="4" t="s">
        <v>241</v>
      </c>
      <c r="CS2445" s="4" t="s">
        <v>241</v>
      </c>
      <c r="CT2445" s="4">
        <v>0</v>
      </c>
      <c r="CU2445" s="4" t="s">
        <v>262</v>
      </c>
      <c r="CV2445" s="4" t="s">
        <v>263</v>
      </c>
      <c r="CW2445" s="4" t="s">
        <v>263</v>
      </c>
      <c r="CX2445" s="4" t="s">
        <v>264</v>
      </c>
      <c r="DA2445" s="6">
        <f>1</f>
        <v>1</v>
      </c>
      <c r="DC2445" s="4" t="s">
        <v>325</v>
      </c>
      <c r="DD2445" s="4" t="s">
        <v>241</v>
      </c>
      <c r="DF2445" s="4" t="s">
        <v>325</v>
      </c>
      <c r="DG2445" s="6">
        <f>1499</f>
        <v>1499</v>
      </c>
      <c r="DI2445" s="4" t="s">
        <v>241</v>
      </c>
      <c r="DJ2445" s="4" t="s">
        <v>241</v>
      </c>
      <c r="DK2445" s="4" t="s">
        <v>241</v>
      </c>
      <c r="DL2445" s="4" t="s">
        <v>241</v>
      </c>
      <c r="DP2445" s="4" t="s">
        <v>241</v>
      </c>
      <c r="DQ2445" s="4" t="s">
        <v>241</v>
      </c>
      <c r="DR2445" s="4" t="s">
        <v>241</v>
      </c>
      <c r="DS2445" s="4" t="s">
        <v>241</v>
      </c>
      <c r="DV2445" s="4" t="s">
        <v>426</v>
      </c>
      <c r="DW2445" s="4" t="s">
        <v>816</v>
      </c>
      <c r="HO2445" s="4" t="s">
        <v>267</v>
      </c>
    </row>
    <row r="2446" spans="1:223" ht="19.5" customHeight="1" x14ac:dyDescent="0.4">
      <c r="A2446" s="4">
        <v>1</v>
      </c>
      <c r="B2446" s="4" t="s">
        <v>239</v>
      </c>
      <c r="C2446" s="4">
        <v>4149</v>
      </c>
      <c r="D2446" s="4">
        <v>1</v>
      </c>
      <c r="E2446" s="4">
        <v>1</v>
      </c>
      <c r="F2446" s="4" t="s">
        <v>268</v>
      </c>
      <c r="G2446" s="4" t="s">
        <v>241</v>
      </c>
      <c r="H2446" s="4" t="s">
        <v>241</v>
      </c>
      <c r="I2446" s="4" t="s">
        <v>424</v>
      </c>
      <c r="J2446" s="4" t="s">
        <v>274</v>
      </c>
      <c r="K2446" s="4" t="s">
        <v>251</v>
      </c>
      <c r="L2446" s="4" t="s">
        <v>423</v>
      </c>
      <c r="M2446" s="5" t="s">
        <v>4494</v>
      </c>
      <c r="N2446" s="6">
        <f>1664</f>
        <v>1664</v>
      </c>
      <c r="O2446" s="4" t="s">
        <v>265</v>
      </c>
      <c r="P2446" s="6">
        <f>1</f>
        <v>1</v>
      </c>
      <c r="Q2446" s="6">
        <f>0</f>
        <v>0</v>
      </c>
      <c r="S2446" s="6">
        <f>0</f>
        <v>0</v>
      </c>
      <c r="T2446" s="6">
        <f>1</f>
        <v>1</v>
      </c>
      <c r="U2446" s="5" t="s">
        <v>245</v>
      </c>
      <c r="V2446" s="4" t="s">
        <v>270</v>
      </c>
      <c r="W2446" s="4" t="s">
        <v>271</v>
      </c>
      <c r="X2446" s="4" t="s">
        <v>273</v>
      </c>
      <c r="Y2446" s="4" t="s">
        <v>241</v>
      </c>
      <c r="AB2446" s="4" t="s">
        <v>241</v>
      </c>
      <c r="AD2446" s="5" t="s">
        <v>241</v>
      </c>
      <c r="AG2446" s="5" t="s">
        <v>246</v>
      </c>
      <c r="AH2446" s="4" t="s">
        <v>241</v>
      </c>
      <c r="AI2446" s="4" t="s">
        <v>247</v>
      </c>
      <c r="AJ2446" s="4" t="s">
        <v>248</v>
      </c>
      <c r="AZ2446" s="4" t="s">
        <v>249</v>
      </c>
      <c r="BA2446" s="4" t="s">
        <v>241</v>
      </c>
      <c r="BB2446" s="4" t="s">
        <v>250</v>
      </c>
      <c r="BC2446" s="4" t="s">
        <v>241</v>
      </c>
      <c r="BD2446" s="4" t="s">
        <v>252</v>
      </c>
      <c r="BE2446" s="4" t="s">
        <v>241</v>
      </c>
      <c r="BI2446" s="4" t="s">
        <v>253</v>
      </c>
      <c r="BJ2446" s="5" t="s">
        <v>246</v>
      </c>
      <c r="BK2446" s="4" t="s">
        <v>254</v>
      </c>
      <c r="BL2446" s="4" t="s">
        <v>255</v>
      </c>
      <c r="BM2446" s="4" t="s">
        <v>241</v>
      </c>
      <c r="BN2446" s="6">
        <f>0</f>
        <v>0</v>
      </c>
      <c r="BO2446" s="6">
        <f>0</f>
        <v>0</v>
      </c>
      <c r="BP2446" s="4" t="s">
        <v>256</v>
      </c>
      <c r="BQ2446" s="4" t="s">
        <v>257</v>
      </c>
      <c r="CE2446" s="4" t="s">
        <v>241</v>
      </c>
      <c r="CF2446" s="4" t="s">
        <v>241</v>
      </c>
      <c r="CJ2446" s="4" t="s">
        <v>276</v>
      </c>
      <c r="CK2446" s="4" t="s">
        <v>259</v>
      </c>
      <c r="CL2446" s="4" t="s">
        <v>241</v>
      </c>
      <c r="CO2446" s="5" t="s">
        <v>260</v>
      </c>
      <c r="CP2446" s="4" t="s">
        <v>241</v>
      </c>
      <c r="CQ2446" s="4" t="s">
        <v>261</v>
      </c>
      <c r="CR2446" s="4" t="s">
        <v>241</v>
      </c>
      <c r="CS2446" s="4" t="s">
        <v>241</v>
      </c>
      <c r="CT2446" s="4">
        <v>0</v>
      </c>
      <c r="CU2446" s="4" t="s">
        <v>262</v>
      </c>
      <c r="CV2446" s="4" t="s">
        <v>263</v>
      </c>
      <c r="CW2446" s="4" t="s">
        <v>263</v>
      </c>
      <c r="CX2446" s="4" t="s">
        <v>264</v>
      </c>
      <c r="DA2446" s="6">
        <f>1</f>
        <v>1</v>
      </c>
      <c r="DC2446" s="4" t="s">
        <v>325</v>
      </c>
      <c r="DD2446" s="4" t="s">
        <v>241</v>
      </c>
      <c r="DF2446" s="4" t="s">
        <v>325</v>
      </c>
      <c r="DG2446" s="6">
        <f>1664</f>
        <v>1664</v>
      </c>
      <c r="DI2446" s="4" t="s">
        <v>241</v>
      </c>
      <c r="DJ2446" s="4" t="s">
        <v>241</v>
      </c>
      <c r="DK2446" s="4" t="s">
        <v>241</v>
      </c>
      <c r="DL2446" s="4" t="s">
        <v>241</v>
      </c>
      <c r="DP2446" s="4" t="s">
        <v>241</v>
      </c>
      <c r="DQ2446" s="4" t="s">
        <v>241</v>
      </c>
      <c r="DR2446" s="4" t="s">
        <v>241</v>
      </c>
      <c r="DS2446" s="4" t="s">
        <v>241</v>
      </c>
      <c r="DV2446" s="4" t="s">
        <v>426</v>
      </c>
      <c r="DW2446" s="4" t="s">
        <v>1873</v>
      </c>
      <c r="HO2446" s="4" t="s">
        <v>267</v>
      </c>
    </row>
    <row r="2447" spans="1:223" ht="19.5" customHeight="1" x14ac:dyDescent="0.4">
      <c r="A2447" s="4">
        <v>1</v>
      </c>
      <c r="B2447" s="4" t="s">
        <v>239</v>
      </c>
      <c r="C2447" s="4">
        <v>4150</v>
      </c>
      <c r="D2447" s="4">
        <v>1</v>
      </c>
      <c r="E2447" s="4">
        <v>1</v>
      </c>
      <c r="F2447" s="4" t="s">
        <v>268</v>
      </c>
      <c r="G2447" s="4" t="s">
        <v>241</v>
      </c>
      <c r="H2447" s="4" t="s">
        <v>241</v>
      </c>
      <c r="I2447" s="4" t="s">
        <v>424</v>
      </c>
      <c r="J2447" s="4" t="s">
        <v>274</v>
      </c>
      <c r="K2447" s="4" t="s">
        <v>251</v>
      </c>
      <c r="L2447" s="4" t="s">
        <v>423</v>
      </c>
      <c r="M2447" s="5" t="s">
        <v>803</v>
      </c>
      <c r="N2447" s="6">
        <f>2818</f>
        <v>2818</v>
      </c>
      <c r="O2447" s="4" t="s">
        <v>265</v>
      </c>
      <c r="P2447" s="6">
        <f>1</f>
        <v>1</v>
      </c>
      <c r="Q2447" s="6">
        <f>0</f>
        <v>0</v>
      </c>
      <c r="S2447" s="6">
        <f>0</f>
        <v>0</v>
      </c>
      <c r="T2447" s="6">
        <f>1</f>
        <v>1</v>
      </c>
      <c r="U2447" s="5" t="s">
        <v>245</v>
      </c>
      <c r="V2447" s="4" t="s">
        <v>270</v>
      </c>
      <c r="W2447" s="4" t="s">
        <v>271</v>
      </c>
      <c r="X2447" s="4" t="s">
        <v>273</v>
      </c>
      <c r="Y2447" s="4" t="s">
        <v>241</v>
      </c>
      <c r="AB2447" s="4" t="s">
        <v>241</v>
      </c>
      <c r="AD2447" s="5" t="s">
        <v>241</v>
      </c>
      <c r="AG2447" s="5" t="s">
        <v>246</v>
      </c>
      <c r="AH2447" s="4" t="s">
        <v>241</v>
      </c>
      <c r="AI2447" s="4" t="s">
        <v>247</v>
      </c>
      <c r="AJ2447" s="4" t="s">
        <v>248</v>
      </c>
      <c r="AZ2447" s="4" t="s">
        <v>249</v>
      </c>
      <c r="BA2447" s="4" t="s">
        <v>241</v>
      </c>
      <c r="BB2447" s="4" t="s">
        <v>250</v>
      </c>
      <c r="BC2447" s="4" t="s">
        <v>241</v>
      </c>
      <c r="BD2447" s="4" t="s">
        <v>252</v>
      </c>
      <c r="BE2447" s="4" t="s">
        <v>241</v>
      </c>
      <c r="BI2447" s="4" t="s">
        <v>253</v>
      </c>
      <c r="BJ2447" s="5" t="s">
        <v>246</v>
      </c>
      <c r="BK2447" s="4" t="s">
        <v>254</v>
      </c>
      <c r="BL2447" s="4" t="s">
        <v>255</v>
      </c>
      <c r="BM2447" s="4" t="s">
        <v>241</v>
      </c>
      <c r="BN2447" s="6">
        <f>0</f>
        <v>0</v>
      </c>
      <c r="BO2447" s="6">
        <f>0</f>
        <v>0</v>
      </c>
      <c r="BP2447" s="4" t="s">
        <v>256</v>
      </c>
      <c r="BQ2447" s="4" t="s">
        <v>257</v>
      </c>
      <c r="CE2447" s="4" t="s">
        <v>241</v>
      </c>
      <c r="CF2447" s="4" t="s">
        <v>241</v>
      </c>
      <c r="CJ2447" s="4" t="s">
        <v>276</v>
      </c>
      <c r="CK2447" s="4" t="s">
        <v>259</v>
      </c>
      <c r="CL2447" s="4" t="s">
        <v>241</v>
      </c>
      <c r="CO2447" s="5" t="s">
        <v>260</v>
      </c>
      <c r="CP2447" s="4" t="s">
        <v>241</v>
      </c>
      <c r="CQ2447" s="4" t="s">
        <v>261</v>
      </c>
      <c r="CR2447" s="4" t="s">
        <v>241</v>
      </c>
      <c r="CS2447" s="4" t="s">
        <v>241</v>
      </c>
      <c r="CT2447" s="4">
        <v>0</v>
      </c>
      <c r="CU2447" s="4" t="s">
        <v>262</v>
      </c>
      <c r="CV2447" s="4" t="s">
        <v>263</v>
      </c>
      <c r="CW2447" s="4" t="s">
        <v>263</v>
      </c>
      <c r="CX2447" s="4" t="s">
        <v>264</v>
      </c>
      <c r="DA2447" s="6">
        <f>1</f>
        <v>1</v>
      </c>
      <c r="DC2447" s="4" t="s">
        <v>325</v>
      </c>
      <c r="DD2447" s="4" t="s">
        <v>241</v>
      </c>
      <c r="DF2447" s="4" t="s">
        <v>325</v>
      </c>
      <c r="DG2447" s="6">
        <f>2818</f>
        <v>2818</v>
      </c>
      <c r="DI2447" s="4" t="s">
        <v>241</v>
      </c>
      <c r="DJ2447" s="4" t="s">
        <v>241</v>
      </c>
      <c r="DK2447" s="4" t="s">
        <v>241</v>
      </c>
      <c r="DL2447" s="4" t="s">
        <v>241</v>
      </c>
      <c r="DP2447" s="4" t="s">
        <v>241</v>
      </c>
      <c r="DQ2447" s="4" t="s">
        <v>241</v>
      </c>
      <c r="DR2447" s="4" t="s">
        <v>241</v>
      </c>
      <c r="DS2447" s="4" t="s">
        <v>241</v>
      </c>
      <c r="DV2447" s="4" t="s">
        <v>426</v>
      </c>
      <c r="DW2447" s="4" t="s">
        <v>804</v>
      </c>
      <c r="HO2447" s="4" t="s">
        <v>267</v>
      </c>
    </row>
    <row r="2448" spans="1:223" ht="19.5" customHeight="1" x14ac:dyDescent="0.4">
      <c r="A2448" s="4">
        <v>1</v>
      </c>
      <c r="B2448" s="4" t="s">
        <v>239</v>
      </c>
      <c r="C2448" s="4">
        <v>4151</v>
      </c>
      <c r="D2448" s="4">
        <v>1</v>
      </c>
      <c r="E2448" s="4">
        <v>1</v>
      </c>
      <c r="F2448" s="4" t="s">
        <v>268</v>
      </c>
      <c r="G2448" s="4" t="s">
        <v>241</v>
      </c>
      <c r="H2448" s="4" t="s">
        <v>241</v>
      </c>
      <c r="I2448" s="4" t="s">
        <v>424</v>
      </c>
      <c r="J2448" s="4" t="s">
        <v>274</v>
      </c>
      <c r="K2448" s="4" t="s">
        <v>251</v>
      </c>
      <c r="L2448" s="4" t="s">
        <v>423</v>
      </c>
      <c r="M2448" s="5" t="s">
        <v>795</v>
      </c>
      <c r="N2448" s="6">
        <f>2429</f>
        <v>2429</v>
      </c>
      <c r="O2448" s="4" t="s">
        <v>265</v>
      </c>
      <c r="P2448" s="6">
        <f>1</f>
        <v>1</v>
      </c>
      <c r="Q2448" s="6">
        <f>0</f>
        <v>0</v>
      </c>
      <c r="S2448" s="6">
        <f>0</f>
        <v>0</v>
      </c>
      <c r="T2448" s="6">
        <f>1</f>
        <v>1</v>
      </c>
      <c r="U2448" s="5" t="s">
        <v>245</v>
      </c>
      <c r="V2448" s="4" t="s">
        <v>270</v>
      </c>
      <c r="W2448" s="4" t="s">
        <v>271</v>
      </c>
      <c r="X2448" s="4" t="s">
        <v>273</v>
      </c>
      <c r="Y2448" s="4" t="s">
        <v>241</v>
      </c>
      <c r="AB2448" s="4" t="s">
        <v>241</v>
      </c>
      <c r="AD2448" s="5" t="s">
        <v>241</v>
      </c>
      <c r="AG2448" s="5" t="s">
        <v>246</v>
      </c>
      <c r="AH2448" s="4" t="s">
        <v>241</v>
      </c>
      <c r="AI2448" s="4" t="s">
        <v>247</v>
      </c>
      <c r="AJ2448" s="4" t="s">
        <v>248</v>
      </c>
      <c r="AZ2448" s="4" t="s">
        <v>249</v>
      </c>
      <c r="BA2448" s="4" t="s">
        <v>241</v>
      </c>
      <c r="BB2448" s="4" t="s">
        <v>250</v>
      </c>
      <c r="BC2448" s="4" t="s">
        <v>241</v>
      </c>
      <c r="BD2448" s="4" t="s">
        <v>252</v>
      </c>
      <c r="BE2448" s="4" t="s">
        <v>241</v>
      </c>
      <c r="BI2448" s="4" t="s">
        <v>253</v>
      </c>
      <c r="BJ2448" s="5" t="s">
        <v>246</v>
      </c>
      <c r="BK2448" s="4" t="s">
        <v>254</v>
      </c>
      <c r="BL2448" s="4" t="s">
        <v>255</v>
      </c>
      <c r="BM2448" s="4" t="s">
        <v>241</v>
      </c>
      <c r="BN2448" s="6">
        <f>0</f>
        <v>0</v>
      </c>
      <c r="BO2448" s="6">
        <f>0</f>
        <v>0</v>
      </c>
      <c r="BP2448" s="4" t="s">
        <v>256</v>
      </c>
      <c r="BQ2448" s="4" t="s">
        <v>257</v>
      </c>
      <c r="CE2448" s="4" t="s">
        <v>241</v>
      </c>
      <c r="CF2448" s="4" t="s">
        <v>241</v>
      </c>
      <c r="CJ2448" s="4" t="s">
        <v>276</v>
      </c>
      <c r="CK2448" s="4" t="s">
        <v>259</v>
      </c>
      <c r="CL2448" s="4" t="s">
        <v>241</v>
      </c>
      <c r="CO2448" s="5" t="s">
        <v>260</v>
      </c>
      <c r="CP2448" s="4" t="s">
        <v>241</v>
      </c>
      <c r="CQ2448" s="4" t="s">
        <v>261</v>
      </c>
      <c r="CR2448" s="4" t="s">
        <v>241</v>
      </c>
      <c r="CS2448" s="4" t="s">
        <v>241</v>
      </c>
      <c r="CT2448" s="4">
        <v>0</v>
      </c>
      <c r="CU2448" s="4" t="s">
        <v>262</v>
      </c>
      <c r="CV2448" s="4" t="s">
        <v>263</v>
      </c>
      <c r="CW2448" s="4" t="s">
        <v>263</v>
      </c>
      <c r="CX2448" s="4" t="s">
        <v>264</v>
      </c>
      <c r="DA2448" s="6">
        <f>1</f>
        <v>1</v>
      </c>
      <c r="DC2448" s="4" t="s">
        <v>325</v>
      </c>
      <c r="DD2448" s="4" t="s">
        <v>241</v>
      </c>
      <c r="DF2448" s="4" t="s">
        <v>325</v>
      </c>
      <c r="DG2448" s="6">
        <f>2429</f>
        <v>2429</v>
      </c>
      <c r="DI2448" s="4" t="s">
        <v>241</v>
      </c>
      <c r="DJ2448" s="4" t="s">
        <v>241</v>
      </c>
      <c r="DK2448" s="4" t="s">
        <v>241</v>
      </c>
      <c r="DL2448" s="4" t="s">
        <v>241</v>
      </c>
      <c r="DP2448" s="4" t="s">
        <v>241</v>
      </c>
      <c r="DQ2448" s="4" t="s">
        <v>241</v>
      </c>
      <c r="DR2448" s="4" t="s">
        <v>241</v>
      </c>
      <c r="DS2448" s="4" t="s">
        <v>241</v>
      </c>
      <c r="DV2448" s="4" t="s">
        <v>426</v>
      </c>
      <c r="DW2448" s="4" t="s">
        <v>796</v>
      </c>
      <c r="HO2448" s="4" t="s">
        <v>267</v>
      </c>
    </row>
    <row r="2449" spans="1:223" ht="19.5" customHeight="1" x14ac:dyDescent="0.4">
      <c r="A2449" s="4">
        <v>1</v>
      </c>
      <c r="B2449" s="4" t="s">
        <v>239</v>
      </c>
      <c r="C2449" s="4">
        <v>4152</v>
      </c>
      <c r="D2449" s="4">
        <v>1</v>
      </c>
      <c r="E2449" s="4">
        <v>1</v>
      </c>
      <c r="F2449" s="4" t="s">
        <v>268</v>
      </c>
      <c r="G2449" s="4" t="s">
        <v>241</v>
      </c>
      <c r="H2449" s="4" t="s">
        <v>241</v>
      </c>
      <c r="I2449" s="4" t="s">
        <v>424</v>
      </c>
      <c r="J2449" s="4" t="s">
        <v>274</v>
      </c>
      <c r="K2449" s="4" t="s">
        <v>251</v>
      </c>
      <c r="L2449" s="4" t="s">
        <v>423</v>
      </c>
      <c r="M2449" s="5" t="s">
        <v>789</v>
      </c>
      <c r="N2449" s="6">
        <f>1007</f>
        <v>1007</v>
      </c>
      <c r="O2449" s="4" t="s">
        <v>265</v>
      </c>
      <c r="P2449" s="6">
        <f>1</f>
        <v>1</v>
      </c>
      <c r="Q2449" s="6">
        <f>0</f>
        <v>0</v>
      </c>
      <c r="S2449" s="6">
        <f>0</f>
        <v>0</v>
      </c>
      <c r="T2449" s="6">
        <f>1</f>
        <v>1</v>
      </c>
      <c r="U2449" s="5" t="s">
        <v>245</v>
      </c>
      <c r="V2449" s="4" t="s">
        <v>270</v>
      </c>
      <c r="W2449" s="4" t="s">
        <v>271</v>
      </c>
      <c r="X2449" s="4" t="s">
        <v>273</v>
      </c>
      <c r="Y2449" s="4" t="s">
        <v>241</v>
      </c>
      <c r="AB2449" s="4" t="s">
        <v>241</v>
      </c>
      <c r="AD2449" s="5" t="s">
        <v>241</v>
      </c>
      <c r="AG2449" s="5" t="s">
        <v>246</v>
      </c>
      <c r="AH2449" s="4" t="s">
        <v>241</v>
      </c>
      <c r="AI2449" s="4" t="s">
        <v>247</v>
      </c>
      <c r="AJ2449" s="4" t="s">
        <v>248</v>
      </c>
      <c r="AZ2449" s="4" t="s">
        <v>249</v>
      </c>
      <c r="BA2449" s="4" t="s">
        <v>241</v>
      </c>
      <c r="BB2449" s="4" t="s">
        <v>250</v>
      </c>
      <c r="BC2449" s="4" t="s">
        <v>241</v>
      </c>
      <c r="BD2449" s="4" t="s">
        <v>252</v>
      </c>
      <c r="BE2449" s="4" t="s">
        <v>241</v>
      </c>
      <c r="BI2449" s="4" t="s">
        <v>253</v>
      </c>
      <c r="BJ2449" s="5" t="s">
        <v>246</v>
      </c>
      <c r="BK2449" s="4" t="s">
        <v>254</v>
      </c>
      <c r="BL2449" s="4" t="s">
        <v>255</v>
      </c>
      <c r="BM2449" s="4" t="s">
        <v>241</v>
      </c>
      <c r="BN2449" s="6">
        <f>0</f>
        <v>0</v>
      </c>
      <c r="BO2449" s="6">
        <f>0</f>
        <v>0</v>
      </c>
      <c r="BP2449" s="4" t="s">
        <v>256</v>
      </c>
      <c r="BQ2449" s="4" t="s">
        <v>257</v>
      </c>
      <c r="CE2449" s="4" t="s">
        <v>241</v>
      </c>
      <c r="CF2449" s="4" t="s">
        <v>241</v>
      </c>
      <c r="CJ2449" s="4" t="s">
        <v>276</v>
      </c>
      <c r="CK2449" s="4" t="s">
        <v>259</v>
      </c>
      <c r="CL2449" s="4" t="s">
        <v>241</v>
      </c>
      <c r="CO2449" s="5" t="s">
        <v>260</v>
      </c>
      <c r="CP2449" s="4" t="s">
        <v>241</v>
      </c>
      <c r="CQ2449" s="4" t="s">
        <v>261</v>
      </c>
      <c r="CR2449" s="4" t="s">
        <v>241</v>
      </c>
      <c r="CS2449" s="4" t="s">
        <v>241</v>
      </c>
      <c r="CT2449" s="4">
        <v>0</v>
      </c>
      <c r="CU2449" s="4" t="s">
        <v>262</v>
      </c>
      <c r="CV2449" s="4" t="s">
        <v>263</v>
      </c>
      <c r="CW2449" s="4" t="s">
        <v>263</v>
      </c>
      <c r="CX2449" s="4" t="s">
        <v>264</v>
      </c>
      <c r="DA2449" s="6">
        <f>1</f>
        <v>1</v>
      </c>
      <c r="DC2449" s="4" t="s">
        <v>325</v>
      </c>
      <c r="DD2449" s="4" t="s">
        <v>241</v>
      </c>
      <c r="DF2449" s="4" t="s">
        <v>325</v>
      </c>
      <c r="DG2449" s="6">
        <f>1007</f>
        <v>1007</v>
      </c>
      <c r="DI2449" s="4" t="s">
        <v>241</v>
      </c>
      <c r="DJ2449" s="4" t="s">
        <v>241</v>
      </c>
      <c r="DK2449" s="4" t="s">
        <v>241</v>
      </c>
      <c r="DL2449" s="4" t="s">
        <v>241</v>
      </c>
      <c r="DP2449" s="4" t="s">
        <v>241</v>
      </c>
      <c r="DQ2449" s="4" t="s">
        <v>241</v>
      </c>
      <c r="DR2449" s="4" t="s">
        <v>241</v>
      </c>
      <c r="DS2449" s="4" t="s">
        <v>241</v>
      </c>
      <c r="DV2449" s="4" t="s">
        <v>426</v>
      </c>
      <c r="DW2449" s="4" t="s">
        <v>790</v>
      </c>
      <c r="HO2449" s="4" t="s">
        <v>267</v>
      </c>
    </row>
    <row r="2450" spans="1:223" ht="19.5" customHeight="1" x14ac:dyDescent="0.4">
      <c r="A2450" s="4">
        <v>1</v>
      </c>
      <c r="B2450" s="4" t="s">
        <v>239</v>
      </c>
      <c r="C2450" s="4">
        <v>4153</v>
      </c>
      <c r="D2450" s="4">
        <v>1</v>
      </c>
      <c r="E2450" s="4">
        <v>1</v>
      </c>
      <c r="F2450" s="4" t="s">
        <v>268</v>
      </c>
      <c r="G2450" s="4" t="s">
        <v>241</v>
      </c>
      <c r="H2450" s="4" t="s">
        <v>241</v>
      </c>
      <c r="I2450" s="4" t="s">
        <v>424</v>
      </c>
      <c r="J2450" s="4" t="s">
        <v>274</v>
      </c>
      <c r="K2450" s="4" t="s">
        <v>251</v>
      </c>
      <c r="L2450" s="4" t="s">
        <v>423</v>
      </c>
      <c r="M2450" s="5" t="s">
        <v>787</v>
      </c>
      <c r="N2450" s="6">
        <f>1661</f>
        <v>1661</v>
      </c>
      <c r="O2450" s="4" t="s">
        <v>265</v>
      </c>
      <c r="P2450" s="6">
        <f>1</f>
        <v>1</v>
      </c>
      <c r="Q2450" s="6">
        <f>0</f>
        <v>0</v>
      </c>
      <c r="S2450" s="6">
        <f>0</f>
        <v>0</v>
      </c>
      <c r="T2450" s="6">
        <f>1</f>
        <v>1</v>
      </c>
      <c r="U2450" s="5" t="s">
        <v>245</v>
      </c>
      <c r="V2450" s="4" t="s">
        <v>270</v>
      </c>
      <c r="W2450" s="4" t="s">
        <v>271</v>
      </c>
      <c r="X2450" s="4" t="s">
        <v>273</v>
      </c>
      <c r="Y2450" s="4" t="s">
        <v>241</v>
      </c>
      <c r="AB2450" s="4" t="s">
        <v>241</v>
      </c>
      <c r="AD2450" s="5" t="s">
        <v>241</v>
      </c>
      <c r="AG2450" s="5" t="s">
        <v>246</v>
      </c>
      <c r="AH2450" s="4" t="s">
        <v>241</v>
      </c>
      <c r="AI2450" s="4" t="s">
        <v>247</v>
      </c>
      <c r="AJ2450" s="4" t="s">
        <v>248</v>
      </c>
      <c r="AZ2450" s="4" t="s">
        <v>249</v>
      </c>
      <c r="BA2450" s="4" t="s">
        <v>241</v>
      </c>
      <c r="BB2450" s="4" t="s">
        <v>250</v>
      </c>
      <c r="BC2450" s="4" t="s">
        <v>241</v>
      </c>
      <c r="BD2450" s="4" t="s">
        <v>252</v>
      </c>
      <c r="BE2450" s="4" t="s">
        <v>241</v>
      </c>
      <c r="BI2450" s="4" t="s">
        <v>253</v>
      </c>
      <c r="BJ2450" s="5" t="s">
        <v>246</v>
      </c>
      <c r="BK2450" s="4" t="s">
        <v>254</v>
      </c>
      <c r="BL2450" s="4" t="s">
        <v>255</v>
      </c>
      <c r="BM2450" s="4" t="s">
        <v>241</v>
      </c>
      <c r="BN2450" s="6">
        <f>0</f>
        <v>0</v>
      </c>
      <c r="BO2450" s="6">
        <f>0</f>
        <v>0</v>
      </c>
      <c r="BP2450" s="4" t="s">
        <v>256</v>
      </c>
      <c r="BQ2450" s="4" t="s">
        <v>257</v>
      </c>
      <c r="CE2450" s="4" t="s">
        <v>241</v>
      </c>
      <c r="CF2450" s="4" t="s">
        <v>241</v>
      </c>
      <c r="CJ2450" s="4" t="s">
        <v>276</v>
      </c>
      <c r="CK2450" s="4" t="s">
        <v>259</v>
      </c>
      <c r="CL2450" s="4" t="s">
        <v>241</v>
      </c>
      <c r="CO2450" s="5" t="s">
        <v>260</v>
      </c>
      <c r="CP2450" s="4" t="s">
        <v>241</v>
      </c>
      <c r="CQ2450" s="4" t="s">
        <v>261</v>
      </c>
      <c r="CR2450" s="4" t="s">
        <v>241</v>
      </c>
      <c r="CS2450" s="4" t="s">
        <v>241</v>
      </c>
      <c r="CT2450" s="4">
        <v>0</v>
      </c>
      <c r="CU2450" s="4" t="s">
        <v>262</v>
      </c>
      <c r="CV2450" s="4" t="s">
        <v>263</v>
      </c>
      <c r="CW2450" s="4" t="s">
        <v>263</v>
      </c>
      <c r="CX2450" s="4" t="s">
        <v>264</v>
      </c>
      <c r="DA2450" s="6">
        <f>1</f>
        <v>1</v>
      </c>
      <c r="DC2450" s="4" t="s">
        <v>325</v>
      </c>
      <c r="DD2450" s="4" t="s">
        <v>241</v>
      </c>
      <c r="DF2450" s="4" t="s">
        <v>325</v>
      </c>
      <c r="DG2450" s="6">
        <f>1661</f>
        <v>1661</v>
      </c>
      <c r="DI2450" s="4" t="s">
        <v>241</v>
      </c>
      <c r="DJ2450" s="4" t="s">
        <v>241</v>
      </c>
      <c r="DK2450" s="4" t="s">
        <v>241</v>
      </c>
      <c r="DL2450" s="4" t="s">
        <v>241</v>
      </c>
      <c r="DP2450" s="4" t="s">
        <v>241</v>
      </c>
      <c r="DQ2450" s="4" t="s">
        <v>241</v>
      </c>
      <c r="DR2450" s="4" t="s">
        <v>241</v>
      </c>
      <c r="DS2450" s="4" t="s">
        <v>241</v>
      </c>
      <c r="DV2450" s="4" t="s">
        <v>426</v>
      </c>
      <c r="DW2450" s="4" t="s">
        <v>788</v>
      </c>
      <c r="HO2450" s="4" t="s">
        <v>267</v>
      </c>
    </row>
    <row r="2451" spans="1:223" ht="19.5" customHeight="1" x14ac:dyDescent="0.4">
      <c r="A2451" s="4">
        <v>1</v>
      </c>
      <c r="B2451" s="4" t="s">
        <v>239</v>
      </c>
      <c r="C2451" s="4">
        <v>4154</v>
      </c>
      <c r="D2451" s="4">
        <v>1</v>
      </c>
      <c r="E2451" s="4">
        <v>1</v>
      </c>
      <c r="F2451" s="4" t="s">
        <v>268</v>
      </c>
      <c r="G2451" s="4" t="s">
        <v>241</v>
      </c>
      <c r="H2451" s="4" t="s">
        <v>241</v>
      </c>
      <c r="I2451" s="4" t="s">
        <v>424</v>
      </c>
      <c r="J2451" s="4" t="s">
        <v>274</v>
      </c>
      <c r="K2451" s="4" t="s">
        <v>251</v>
      </c>
      <c r="L2451" s="4" t="s">
        <v>423</v>
      </c>
      <c r="M2451" s="5" t="s">
        <v>763</v>
      </c>
      <c r="N2451" s="6">
        <f>1687</f>
        <v>1687</v>
      </c>
      <c r="O2451" s="4" t="s">
        <v>265</v>
      </c>
      <c r="P2451" s="6">
        <f>1</f>
        <v>1</v>
      </c>
      <c r="Q2451" s="6">
        <f>0</f>
        <v>0</v>
      </c>
      <c r="S2451" s="6">
        <f>0</f>
        <v>0</v>
      </c>
      <c r="T2451" s="6">
        <f>1</f>
        <v>1</v>
      </c>
      <c r="U2451" s="5" t="s">
        <v>245</v>
      </c>
      <c r="V2451" s="4" t="s">
        <v>270</v>
      </c>
      <c r="W2451" s="4" t="s">
        <v>271</v>
      </c>
      <c r="X2451" s="4" t="s">
        <v>273</v>
      </c>
      <c r="Y2451" s="4" t="s">
        <v>241</v>
      </c>
      <c r="AB2451" s="4" t="s">
        <v>241</v>
      </c>
      <c r="AD2451" s="5" t="s">
        <v>241</v>
      </c>
      <c r="AG2451" s="5" t="s">
        <v>246</v>
      </c>
      <c r="AH2451" s="4" t="s">
        <v>241</v>
      </c>
      <c r="AI2451" s="4" t="s">
        <v>247</v>
      </c>
      <c r="AJ2451" s="4" t="s">
        <v>248</v>
      </c>
      <c r="AZ2451" s="4" t="s">
        <v>249</v>
      </c>
      <c r="BA2451" s="4" t="s">
        <v>241</v>
      </c>
      <c r="BB2451" s="4" t="s">
        <v>250</v>
      </c>
      <c r="BC2451" s="4" t="s">
        <v>241</v>
      </c>
      <c r="BD2451" s="4" t="s">
        <v>252</v>
      </c>
      <c r="BE2451" s="4" t="s">
        <v>241</v>
      </c>
      <c r="BI2451" s="4" t="s">
        <v>253</v>
      </c>
      <c r="BJ2451" s="5" t="s">
        <v>246</v>
      </c>
      <c r="BK2451" s="4" t="s">
        <v>254</v>
      </c>
      <c r="BL2451" s="4" t="s">
        <v>255</v>
      </c>
      <c r="BM2451" s="4" t="s">
        <v>241</v>
      </c>
      <c r="BN2451" s="6">
        <f>0</f>
        <v>0</v>
      </c>
      <c r="BO2451" s="6">
        <f>0</f>
        <v>0</v>
      </c>
      <c r="BP2451" s="4" t="s">
        <v>256</v>
      </c>
      <c r="BQ2451" s="4" t="s">
        <v>257</v>
      </c>
      <c r="CE2451" s="4" t="s">
        <v>241</v>
      </c>
      <c r="CF2451" s="4" t="s">
        <v>241</v>
      </c>
      <c r="CJ2451" s="4" t="s">
        <v>276</v>
      </c>
      <c r="CK2451" s="4" t="s">
        <v>259</v>
      </c>
      <c r="CL2451" s="4" t="s">
        <v>241</v>
      </c>
      <c r="CO2451" s="5" t="s">
        <v>260</v>
      </c>
      <c r="CP2451" s="4" t="s">
        <v>241</v>
      </c>
      <c r="CQ2451" s="4" t="s">
        <v>261</v>
      </c>
      <c r="CR2451" s="4" t="s">
        <v>241</v>
      </c>
      <c r="CS2451" s="4" t="s">
        <v>241</v>
      </c>
      <c r="CT2451" s="4">
        <v>0</v>
      </c>
      <c r="CU2451" s="4" t="s">
        <v>262</v>
      </c>
      <c r="CV2451" s="4" t="s">
        <v>263</v>
      </c>
      <c r="CW2451" s="4" t="s">
        <v>263</v>
      </c>
      <c r="CX2451" s="4" t="s">
        <v>264</v>
      </c>
      <c r="DA2451" s="6">
        <f>1</f>
        <v>1</v>
      </c>
      <c r="DC2451" s="4" t="s">
        <v>325</v>
      </c>
      <c r="DD2451" s="4" t="s">
        <v>241</v>
      </c>
      <c r="DF2451" s="4" t="s">
        <v>325</v>
      </c>
      <c r="DG2451" s="6">
        <f>1687</f>
        <v>1687</v>
      </c>
      <c r="DI2451" s="4" t="s">
        <v>241</v>
      </c>
      <c r="DJ2451" s="4" t="s">
        <v>241</v>
      </c>
      <c r="DK2451" s="4" t="s">
        <v>241</v>
      </c>
      <c r="DL2451" s="4" t="s">
        <v>241</v>
      </c>
      <c r="DP2451" s="4" t="s">
        <v>241</v>
      </c>
      <c r="DQ2451" s="4" t="s">
        <v>241</v>
      </c>
      <c r="DR2451" s="4" t="s">
        <v>241</v>
      </c>
      <c r="DS2451" s="4" t="s">
        <v>241</v>
      </c>
      <c r="DV2451" s="4" t="s">
        <v>426</v>
      </c>
      <c r="DW2451" s="4" t="s">
        <v>764</v>
      </c>
      <c r="HO2451" s="4" t="s">
        <v>267</v>
      </c>
    </row>
    <row r="2452" spans="1:223" ht="19.5" customHeight="1" x14ac:dyDescent="0.4">
      <c r="A2452" s="4">
        <v>1</v>
      </c>
      <c r="B2452" s="4" t="s">
        <v>239</v>
      </c>
      <c r="C2452" s="4">
        <v>4155</v>
      </c>
      <c r="D2452" s="4">
        <v>1</v>
      </c>
      <c r="E2452" s="4">
        <v>1</v>
      </c>
      <c r="F2452" s="4" t="s">
        <v>268</v>
      </c>
      <c r="G2452" s="4" t="s">
        <v>241</v>
      </c>
      <c r="H2452" s="4" t="s">
        <v>241</v>
      </c>
      <c r="I2452" s="4" t="s">
        <v>424</v>
      </c>
      <c r="J2452" s="4" t="s">
        <v>274</v>
      </c>
      <c r="K2452" s="4" t="s">
        <v>251</v>
      </c>
      <c r="L2452" s="4" t="s">
        <v>423</v>
      </c>
      <c r="M2452" s="5" t="s">
        <v>759</v>
      </c>
      <c r="N2452" s="6">
        <f>140</f>
        <v>140</v>
      </c>
      <c r="O2452" s="4" t="s">
        <v>265</v>
      </c>
      <c r="P2452" s="6">
        <f>1</f>
        <v>1</v>
      </c>
      <c r="Q2452" s="6">
        <f>0</f>
        <v>0</v>
      </c>
      <c r="S2452" s="6">
        <f>0</f>
        <v>0</v>
      </c>
      <c r="T2452" s="6">
        <f>1</f>
        <v>1</v>
      </c>
      <c r="U2452" s="5" t="s">
        <v>245</v>
      </c>
      <c r="V2452" s="4" t="s">
        <v>270</v>
      </c>
      <c r="W2452" s="4" t="s">
        <v>271</v>
      </c>
      <c r="X2452" s="4" t="s">
        <v>273</v>
      </c>
      <c r="Y2452" s="4" t="s">
        <v>241</v>
      </c>
      <c r="AB2452" s="4" t="s">
        <v>241</v>
      </c>
      <c r="AD2452" s="5" t="s">
        <v>241</v>
      </c>
      <c r="AG2452" s="5" t="s">
        <v>246</v>
      </c>
      <c r="AH2452" s="4" t="s">
        <v>241</v>
      </c>
      <c r="AI2452" s="4" t="s">
        <v>247</v>
      </c>
      <c r="AJ2452" s="4" t="s">
        <v>248</v>
      </c>
      <c r="AZ2452" s="4" t="s">
        <v>249</v>
      </c>
      <c r="BA2452" s="4" t="s">
        <v>241</v>
      </c>
      <c r="BB2452" s="4" t="s">
        <v>250</v>
      </c>
      <c r="BC2452" s="4" t="s">
        <v>241</v>
      </c>
      <c r="BD2452" s="4" t="s">
        <v>252</v>
      </c>
      <c r="BE2452" s="4" t="s">
        <v>241</v>
      </c>
      <c r="BI2452" s="4" t="s">
        <v>253</v>
      </c>
      <c r="BJ2452" s="5" t="s">
        <v>246</v>
      </c>
      <c r="BK2452" s="4" t="s">
        <v>254</v>
      </c>
      <c r="BL2452" s="4" t="s">
        <v>255</v>
      </c>
      <c r="BM2452" s="4" t="s">
        <v>241</v>
      </c>
      <c r="BN2452" s="6">
        <f>0</f>
        <v>0</v>
      </c>
      <c r="BO2452" s="6">
        <f>0</f>
        <v>0</v>
      </c>
      <c r="BP2452" s="4" t="s">
        <v>256</v>
      </c>
      <c r="BQ2452" s="4" t="s">
        <v>257</v>
      </c>
      <c r="CE2452" s="4" t="s">
        <v>241</v>
      </c>
      <c r="CF2452" s="4" t="s">
        <v>241</v>
      </c>
      <c r="CJ2452" s="4" t="s">
        <v>276</v>
      </c>
      <c r="CK2452" s="4" t="s">
        <v>259</v>
      </c>
      <c r="CL2452" s="4" t="s">
        <v>241</v>
      </c>
      <c r="CO2452" s="5" t="s">
        <v>260</v>
      </c>
      <c r="CP2452" s="4" t="s">
        <v>241</v>
      </c>
      <c r="CQ2452" s="4" t="s">
        <v>261</v>
      </c>
      <c r="CR2452" s="4" t="s">
        <v>241</v>
      </c>
      <c r="CS2452" s="4" t="s">
        <v>241</v>
      </c>
      <c r="CT2452" s="4">
        <v>0</v>
      </c>
      <c r="CU2452" s="4" t="s">
        <v>262</v>
      </c>
      <c r="CV2452" s="4" t="s">
        <v>263</v>
      </c>
      <c r="CW2452" s="4" t="s">
        <v>263</v>
      </c>
      <c r="CX2452" s="4" t="s">
        <v>264</v>
      </c>
      <c r="DA2452" s="6">
        <f>1</f>
        <v>1</v>
      </c>
      <c r="DC2452" s="4" t="s">
        <v>325</v>
      </c>
      <c r="DD2452" s="4" t="s">
        <v>241</v>
      </c>
      <c r="DF2452" s="4" t="s">
        <v>325</v>
      </c>
      <c r="DG2452" s="6">
        <f>140</f>
        <v>140</v>
      </c>
      <c r="DI2452" s="4" t="s">
        <v>241</v>
      </c>
      <c r="DJ2452" s="4" t="s">
        <v>241</v>
      </c>
      <c r="DK2452" s="4" t="s">
        <v>241</v>
      </c>
      <c r="DL2452" s="4" t="s">
        <v>241</v>
      </c>
      <c r="DP2452" s="4" t="s">
        <v>241</v>
      </c>
      <c r="DQ2452" s="4" t="s">
        <v>241</v>
      </c>
      <c r="DR2452" s="4" t="s">
        <v>241</v>
      </c>
      <c r="DS2452" s="4" t="s">
        <v>241</v>
      </c>
      <c r="DV2452" s="4" t="s">
        <v>426</v>
      </c>
      <c r="DW2452" s="4" t="s">
        <v>760</v>
      </c>
      <c r="HO2452" s="4" t="s">
        <v>267</v>
      </c>
    </row>
    <row r="2453" spans="1:223" ht="19.5" customHeight="1" x14ac:dyDescent="0.4">
      <c r="A2453" s="4">
        <v>1</v>
      </c>
      <c r="B2453" s="4" t="s">
        <v>239</v>
      </c>
      <c r="C2453" s="4">
        <v>4156</v>
      </c>
      <c r="D2453" s="4">
        <v>1</v>
      </c>
      <c r="E2453" s="4">
        <v>1</v>
      </c>
      <c r="F2453" s="4" t="s">
        <v>268</v>
      </c>
      <c r="G2453" s="4" t="s">
        <v>241</v>
      </c>
      <c r="H2453" s="4" t="s">
        <v>241</v>
      </c>
      <c r="I2453" s="4" t="s">
        <v>424</v>
      </c>
      <c r="J2453" s="4" t="s">
        <v>274</v>
      </c>
      <c r="K2453" s="4" t="s">
        <v>251</v>
      </c>
      <c r="L2453" s="4" t="s">
        <v>423</v>
      </c>
      <c r="M2453" s="5" t="s">
        <v>753</v>
      </c>
      <c r="N2453" s="6">
        <f>1728</f>
        <v>1728</v>
      </c>
      <c r="O2453" s="4" t="s">
        <v>265</v>
      </c>
      <c r="P2453" s="6">
        <f>1</f>
        <v>1</v>
      </c>
      <c r="Q2453" s="6">
        <f>0</f>
        <v>0</v>
      </c>
      <c r="S2453" s="6">
        <f>0</f>
        <v>0</v>
      </c>
      <c r="T2453" s="6">
        <f>1</f>
        <v>1</v>
      </c>
      <c r="U2453" s="5" t="s">
        <v>245</v>
      </c>
      <c r="V2453" s="4" t="s">
        <v>270</v>
      </c>
      <c r="W2453" s="4" t="s">
        <v>271</v>
      </c>
      <c r="X2453" s="4" t="s">
        <v>273</v>
      </c>
      <c r="Y2453" s="4" t="s">
        <v>241</v>
      </c>
      <c r="AB2453" s="4" t="s">
        <v>241</v>
      </c>
      <c r="AD2453" s="5" t="s">
        <v>241</v>
      </c>
      <c r="AG2453" s="5" t="s">
        <v>246</v>
      </c>
      <c r="AH2453" s="4" t="s">
        <v>241</v>
      </c>
      <c r="AI2453" s="4" t="s">
        <v>247</v>
      </c>
      <c r="AJ2453" s="4" t="s">
        <v>248</v>
      </c>
      <c r="AZ2453" s="4" t="s">
        <v>249</v>
      </c>
      <c r="BA2453" s="4" t="s">
        <v>241</v>
      </c>
      <c r="BB2453" s="4" t="s">
        <v>250</v>
      </c>
      <c r="BC2453" s="4" t="s">
        <v>241</v>
      </c>
      <c r="BD2453" s="4" t="s">
        <v>252</v>
      </c>
      <c r="BE2453" s="4" t="s">
        <v>241</v>
      </c>
      <c r="BI2453" s="4" t="s">
        <v>253</v>
      </c>
      <c r="BJ2453" s="5" t="s">
        <v>246</v>
      </c>
      <c r="BK2453" s="4" t="s">
        <v>254</v>
      </c>
      <c r="BL2453" s="4" t="s">
        <v>255</v>
      </c>
      <c r="BM2453" s="4" t="s">
        <v>241</v>
      </c>
      <c r="BN2453" s="6">
        <f>0</f>
        <v>0</v>
      </c>
      <c r="BO2453" s="6">
        <f>0</f>
        <v>0</v>
      </c>
      <c r="BP2453" s="4" t="s">
        <v>256</v>
      </c>
      <c r="BQ2453" s="4" t="s">
        <v>257</v>
      </c>
      <c r="CE2453" s="4" t="s">
        <v>241</v>
      </c>
      <c r="CF2453" s="4" t="s">
        <v>241</v>
      </c>
      <c r="CJ2453" s="4" t="s">
        <v>276</v>
      </c>
      <c r="CK2453" s="4" t="s">
        <v>259</v>
      </c>
      <c r="CL2453" s="4" t="s">
        <v>241</v>
      </c>
      <c r="CO2453" s="5" t="s">
        <v>260</v>
      </c>
      <c r="CP2453" s="4" t="s">
        <v>241</v>
      </c>
      <c r="CQ2453" s="4" t="s">
        <v>261</v>
      </c>
      <c r="CR2453" s="4" t="s">
        <v>241</v>
      </c>
      <c r="CS2453" s="4" t="s">
        <v>241</v>
      </c>
      <c r="CT2453" s="4">
        <v>0</v>
      </c>
      <c r="CU2453" s="4" t="s">
        <v>262</v>
      </c>
      <c r="CV2453" s="4" t="s">
        <v>263</v>
      </c>
      <c r="CW2453" s="4" t="s">
        <v>263</v>
      </c>
      <c r="CX2453" s="4" t="s">
        <v>264</v>
      </c>
      <c r="DA2453" s="6">
        <f>1</f>
        <v>1</v>
      </c>
      <c r="DC2453" s="4" t="s">
        <v>325</v>
      </c>
      <c r="DD2453" s="4" t="s">
        <v>241</v>
      </c>
      <c r="DF2453" s="4" t="s">
        <v>325</v>
      </c>
      <c r="DG2453" s="6">
        <f>1728</f>
        <v>1728</v>
      </c>
      <c r="DI2453" s="4" t="s">
        <v>241</v>
      </c>
      <c r="DJ2453" s="4" t="s">
        <v>241</v>
      </c>
      <c r="DK2453" s="4" t="s">
        <v>241</v>
      </c>
      <c r="DL2453" s="4" t="s">
        <v>241</v>
      </c>
      <c r="DP2453" s="4" t="s">
        <v>241</v>
      </c>
      <c r="DQ2453" s="4" t="s">
        <v>241</v>
      </c>
      <c r="DR2453" s="4" t="s">
        <v>241</v>
      </c>
      <c r="DS2453" s="4" t="s">
        <v>241</v>
      </c>
      <c r="DV2453" s="4" t="s">
        <v>426</v>
      </c>
      <c r="DW2453" s="4" t="s">
        <v>754</v>
      </c>
      <c r="HO2453" s="4" t="s">
        <v>267</v>
      </c>
    </row>
    <row r="2454" spans="1:223" ht="19.5" customHeight="1" x14ac:dyDescent="0.4">
      <c r="A2454" s="4">
        <v>1</v>
      </c>
      <c r="B2454" s="4" t="s">
        <v>239</v>
      </c>
      <c r="C2454" s="4">
        <v>4157</v>
      </c>
      <c r="D2454" s="4">
        <v>1</v>
      </c>
      <c r="E2454" s="4">
        <v>1</v>
      </c>
      <c r="F2454" s="4" t="s">
        <v>268</v>
      </c>
      <c r="G2454" s="4" t="s">
        <v>241</v>
      </c>
      <c r="H2454" s="4" t="s">
        <v>241</v>
      </c>
      <c r="I2454" s="4" t="s">
        <v>424</v>
      </c>
      <c r="J2454" s="4" t="s">
        <v>274</v>
      </c>
      <c r="K2454" s="4" t="s">
        <v>251</v>
      </c>
      <c r="L2454" s="4" t="s">
        <v>423</v>
      </c>
      <c r="M2454" s="5" t="s">
        <v>4433</v>
      </c>
      <c r="N2454" s="6">
        <f>1667</f>
        <v>1667</v>
      </c>
      <c r="O2454" s="4" t="s">
        <v>265</v>
      </c>
      <c r="P2454" s="6">
        <f>1</f>
        <v>1</v>
      </c>
      <c r="Q2454" s="6">
        <f>0</f>
        <v>0</v>
      </c>
      <c r="S2454" s="6">
        <f>0</f>
        <v>0</v>
      </c>
      <c r="T2454" s="6">
        <f>1</f>
        <v>1</v>
      </c>
      <c r="U2454" s="5" t="s">
        <v>245</v>
      </c>
      <c r="V2454" s="4" t="s">
        <v>270</v>
      </c>
      <c r="W2454" s="4" t="s">
        <v>271</v>
      </c>
      <c r="X2454" s="4" t="s">
        <v>273</v>
      </c>
      <c r="Y2454" s="4" t="s">
        <v>241</v>
      </c>
      <c r="AB2454" s="4" t="s">
        <v>241</v>
      </c>
      <c r="AD2454" s="5" t="s">
        <v>241</v>
      </c>
      <c r="AG2454" s="5" t="s">
        <v>246</v>
      </c>
      <c r="AH2454" s="4" t="s">
        <v>241</v>
      </c>
      <c r="AI2454" s="4" t="s">
        <v>247</v>
      </c>
      <c r="AJ2454" s="4" t="s">
        <v>248</v>
      </c>
      <c r="AZ2454" s="4" t="s">
        <v>249</v>
      </c>
      <c r="BA2454" s="4" t="s">
        <v>241</v>
      </c>
      <c r="BB2454" s="4" t="s">
        <v>250</v>
      </c>
      <c r="BC2454" s="4" t="s">
        <v>241</v>
      </c>
      <c r="BD2454" s="4" t="s">
        <v>252</v>
      </c>
      <c r="BE2454" s="4" t="s">
        <v>241</v>
      </c>
      <c r="BI2454" s="4" t="s">
        <v>253</v>
      </c>
      <c r="BJ2454" s="5" t="s">
        <v>246</v>
      </c>
      <c r="BK2454" s="4" t="s">
        <v>254</v>
      </c>
      <c r="BL2454" s="4" t="s">
        <v>255</v>
      </c>
      <c r="BM2454" s="4" t="s">
        <v>241</v>
      </c>
      <c r="BN2454" s="6">
        <f>0</f>
        <v>0</v>
      </c>
      <c r="BO2454" s="6">
        <f>0</f>
        <v>0</v>
      </c>
      <c r="BP2454" s="4" t="s">
        <v>256</v>
      </c>
      <c r="BQ2454" s="4" t="s">
        <v>257</v>
      </c>
      <c r="CE2454" s="4" t="s">
        <v>241</v>
      </c>
      <c r="CF2454" s="4" t="s">
        <v>241</v>
      </c>
      <c r="CJ2454" s="4" t="s">
        <v>276</v>
      </c>
      <c r="CK2454" s="4" t="s">
        <v>259</v>
      </c>
      <c r="CL2454" s="4" t="s">
        <v>241</v>
      </c>
      <c r="CO2454" s="5" t="s">
        <v>260</v>
      </c>
      <c r="CP2454" s="4" t="s">
        <v>241</v>
      </c>
      <c r="CQ2454" s="4" t="s">
        <v>261</v>
      </c>
      <c r="CR2454" s="4" t="s">
        <v>241</v>
      </c>
      <c r="CS2454" s="4" t="s">
        <v>241</v>
      </c>
      <c r="CT2454" s="4">
        <v>0</v>
      </c>
      <c r="CU2454" s="4" t="s">
        <v>262</v>
      </c>
      <c r="CV2454" s="4" t="s">
        <v>263</v>
      </c>
      <c r="CW2454" s="4" t="s">
        <v>263</v>
      </c>
      <c r="CX2454" s="4" t="s">
        <v>264</v>
      </c>
      <c r="DA2454" s="6">
        <f>1</f>
        <v>1</v>
      </c>
      <c r="DC2454" s="4" t="s">
        <v>325</v>
      </c>
      <c r="DD2454" s="4" t="s">
        <v>241</v>
      </c>
      <c r="DF2454" s="4" t="s">
        <v>325</v>
      </c>
      <c r="DG2454" s="6">
        <f>1667</f>
        <v>1667</v>
      </c>
      <c r="DI2454" s="4" t="s">
        <v>241</v>
      </c>
      <c r="DJ2454" s="4" t="s">
        <v>241</v>
      </c>
      <c r="DK2454" s="4" t="s">
        <v>241</v>
      </c>
      <c r="DL2454" s="4" t="s">
        <v>241</v>
      </c>
      <c r="DP2454" s="4" t="s">
        <v>241</v>
      </c>
      <c r="DQ2454" s="4" t="s">
        <v>241</v>
      </c>
      <c r="DR2454" s="4" t="s">
        <v>241</v>
      </c>
      <c r="DS2454" s="4" t="s">
        <v>241</v>
      </c>
      <c r="DV2454" s="4" t="s">
        <v>426</v>
      </c>
      <c r="DW2454" s="4" t="s">
        <v>1819</v>
      </c>
      <c r="HO2454" s="4" t="s">
        <v>267</v>
      </c>
    </row>
    <row r="2455" spans="1:223" ht="19.5" customHeight="1" x14ac:dyDescent="0.4">
      <c r="A2455" s="4">
        <v>1</v>
      </c>
      <c r="B2455" s="4" t="s">
        <v>239</v>
      </c>
      <c r="C2455" s="4">
        <v>4158</v>
      </c>
      <c r="D2455" s="4">
        <v>1</v>
      </c>
      <c r="E2455" s="4">
        <v>1</v>
      </c>
      <c r="F2455" s="4" t="s">
        <v>268</v>
      </c>
      <c r="G2455" s="4" t="s">
        <v>241</v>
      </c>
      <c r="H2455" s="4" t="s">
        <v>241</v>
      </c>
      <c r="I2455" s="4" t="s">
        <v>424</v>
      </c>
      <c r="J2455" s="4" t="s">
        <v>274</v>
      </c>
      <c r="K2455" s="4" t="s">
        <v>251</v>
      </c>
      <c r="L2455" s="4" t="s">
        <v>423</v>
      </c>
      <c r="M2455" s="5" t="s">
        <v>4163</v>
      </c>
      <c r="N2455" s="6">
        <f>1391</f>
        <v>1391</v>
      </c>
      <c r="O2455" s="4" t="s">
        <v>265</v>
      </c>
      <c r="P2455" s="6">
        <f>1</f>
        <v>1</v>
      </c>
      <c r="Q2455" s="6">
        <f>0</f>
        <v>0</v>
      </c>
      <c r="S2455" s="6">
        <f>0</f>
        <v>0</v>
      </c>
      <c r="T2455" s="6">
        <f>1</f>
        <v>1</v>
      </c>
      <c r="U2455" s="5" t="s">
        <v>245</v>
      </c>
      <c r="V2455" s="4" t="s">
        <v>270</v>
      </c>
      <c r="W2455" s="4" t="s">
        <v>271</v>
      </c>
      <c r="X2455" s="4" t="s">
        <v>273</v>
      </c>
      <c r="Y2455" s="4" t="s">
        <v>241</v>
      </c>
      <c r="AB2455" s="4" t="s">
        <v>241</v>
      </c>
      <c r="AD2455" s="5" t="s">
        <v>241</v>
      </c>
      <c r="AG2455" s="5" t="s">
        <v>246</v>
      </c>
      <c r="AH2455" s="4" t="s">
        <v>241</v>
      </c>
      <c r="AI2455" s="4" t="s">
        <v>247</v>
      </c>
      <c r="AJ2455" s="4" t="s">
        <v>248</v>
      </c>
      <c r="AZ2455" s="4" t="s">
        <v>249</v>
      </c>
      <c r="BA2455" s="4" t="s">
        <v>241</v>
      </c>
      <c r="BB2455" s="4" t="s">
        <v>250</v>
      </c>
      <c r="BC2455" s="4" t="s">
        <v>241</v>
      </c>
      <c r="BD2455" s="4" t="s">
        <v>252</v>
      </c>
      <c r="BE2455" s="4" t="s">
        <v>241</v>
      </c>
      <c r="BI2455" s="4" t="s">
        <v>253</v>
      </c>
      <c r="BJ2455" s="5" t="s">
        <v>246</v>
      </c>
      <c r="BK2455" s="4" t="s">
        <v>254</v>
      </c>
      <c r="BL2455" s="4" t="s">
        <v>255</v>
      </c>
      <c r="BM2455" s="4" t="s">
        <v>241</v>
      </c>
      <c r="BN2455" s="6">
        <f>0</f>
        <v>0</v>
      </c>
      <c r="BO2455" s="6">
        <f>0</f>
        <v>0</v>
      </c>
      <c r="BP2455" s="4" t="s">
        <v>256</v>
      </c>
      <c r="BQ2455" s="4" t="s">
        <v>257</v>
      </c>
      <c r="CE2455" s="4" t="s">
        <v>241</v>
      </c>
      <c r="CF2455" s="4" t="s">
        <v>241</v>
      </c>
      <c r="CJ2455" s="4" t="s">
        <v>276</v>
      </c>
      <c r="CK2455" s="4" t="s">
        <v>259</v>
      </c>
      <c r="CL2455" s="4" t="s">
        <v>241</v>
      </c>
      <c r="CO2455" s="5" t="s">
        <v>260</v>
      </c>
      <c r="CP2455" s="4" t="s">
        <v>241</v>
      </c>
      <c r="CQ2455" s="4" t="s">
        <v>261</v>
      </c>
      <c r="CR2455" s="4" t="s">
        <v>241</v>
      </c>
      <c r="CS2455" s="4" t="s">
        <v>241</v>
      </c>
      <c r="CT2455" s="4">
        <v>0</v>
      </c>
      <c r="CU2455" s="4" t="s">
        <v>262</v>
      </c>
      <c r="CV2455" s="4" t="s">
        <v>263</v>
      </c>
      <c r="CW2455" s="4" t="s">
        <v>263</v>
      </c>
      <c r="CX2455" s="4" t="s">
        <v>264</v>
      </c>
      <c r="DA2455" s="6">
        <f>1</f>
        <v>1</v>
      </c>
      <c r="DC2455" s="4" t="s">
        <v>325</v>
      </c>
      <c r="DD2455" s="4" t="s">
        <v>241</v>
      </c>
      <c r="DF2455" s="4" t="s">
        <v>325</v>
      </c>
      <c r="DG2455" s="6">
        <f>1391</f>
        <v>1391</v>
      </c>
      <c r="DI2455" s="4" t="s">
        <v>241</v>
      </c>
      <c r="DJ2455" s="4" t="s">
        <v>241</v>
      </c>
      <c r="DK2455" s="4" t="s">
        <v>241</v>
      </c>
      <c r="DL2455" s="4" t="s">
        <v>241</v>
      </c>
      <c r="DP2455" s="4" t="s">
        <v>241</v>
      </c>
      <c r="DQ2455" s="4" t="s">
        <v>241</v>
      </c>
      <c r="DR2455" s="4" t="s">
        <v>241</v>
      </c>
      <c r="DS2455" s="4" t="s">
        <v>241</v>
      </c>
      <c r="DV2455" s="4" t="s">
        <v>426</v>
      </c>
      <c r="DW2455" s="4" t="s">
        <v>1830</v>
      </c>
      <c r="HO2455" s="4" t="s">
        <v>267</v>
      </c>
    </row>
    <row r="2456" spans="1:223" ht="19.5" customHeight="1" x14ac:dyDescent="0.4">
      <c r="A2456" s="4">
        <v>1</v>
      </c>
      <c r="B2456" s="4" t="s">
        <v>239</v>
      </c>
      <c r="C2456" s="4">
        <v>4159</v>
      </c>
      <c r="D2456" s="4">
        <v>1</v>
      </c>
      <c r="E2456" s="4">
        <v>1</v>
      </c>
      <c r="F2456" s="4" t="s">
        <v>268</v>
      </c>
      <c r="G2456" s="4" t="s">
        <v>241</v>
      </c>
      <c r="H2456" s="4" t="s">
        <v>241</v>
      </c>
      <c r="I2456" s="4" t="s">
        <v>424</v>
      </c>
      <c r="J2456" s="4" t="s">
        <v>274</v>
      </c>
      <c r="K2456" s="4" t="s">
        <v>251</v>
      </c>
      <c r="L2456" s="4" t="s">
        <v>423</v>
      </c>
      <c r="M2456" s="5" t="s">
        <v>4142</v>
      </c>
      <c r="N2456" s="6">
        <f>1050</f>
        <v>1050</v>
      </c>
      <c r="O2456" s="4" t="s">
        <v>265</v>
      </c>
      <c r="P2456" s="6">
        <f>1</f>
        <v>1</v>
      </c>
      <c r="Q2456" s="6">
        <f>0</f>
        <v>0</v>
      </c>
      <c r="S2456" s="6">
        <f>0</f>
        <v>0</v>
      </c>
      <c r="T2456" s="6">
        <f>1</f>
        <v>1</v>
      </c>
      <c r="U2456" s="5" t="s">
        <v>245</v>
      </c>
      <c r="V2456" s="4" t="s">
        <v>270</v>
      </c>
      <c r="W2456" s="4" t="s">
        <v>271</v>
      </c>
      <c r="X2456" s="4" t="s">
        <v>273</v>
      </c>
      <c r="Y2456" s="4" t="s">
        <v>241</v>
      </c>
      <c r="AB2456" s="4" t="s">
        <v>241</v>
      </c>
      <c r="AD2456" s="5" t="s">
        <v>241</v>
      </c>
      <c r="AG2456" s="5" t="s">
        <v>246</v>
      </c>
      <c r="AH2456" s="4" t="s">
        <v>241</v>
      </c>
      <c r="AI2456" s="4" t="s">
        <v>247</v>
      </c>
      <c r="AJ2456" s="4" t="s">
        <v>248</v>
      </c>
      <c r="AZ2456" s="4" t="s">
        <v>249</v>
      </c>
      <c r="BA2456" s="4" t="s">
        <v>241</v>
      </c>
      <c r="BB2456" s="4" t="s">
        <v>250</v>
      </c>
      <c r="BC2456" s="4" t="s">
        <v>241</v>
      </c>
      <c r="BD2456" s="4" t="s">
        <v>252</v>
      </c>
      <c r="BE2456" s="4" t="s">
        <v>241</v>
      </c>
      <c r="BI2456" s="4" t="s">
        <v>253</v>
      </c>
      <c r="BJ2456" s="5" t="s">
        <v>246</v>
      </c>
      <c r="BK2456" s="4" t="s">
        <v>254</v>
      </c>
      <c r="BL2456" s="4" t="s">
        <v>255</v>
      </c>
      <c r="BM2456" s="4" t="s">
        <v>241</v>
      </c>
      <c r="BN2456" s="6">
        <f>0</f>
        <v>0</v>
      </c>
      <c r="BO2456" s="6">
        <f>0</f>
        <v>0</v>
      </c>
      <c r="BP2456" s="4" t="s">
        <v>256</v>
      </c>
      <c r="BQ2456" s="4" t="s">
        <v>257</v>
      </c>
      <c r="CE2456" s="4" t="s">
        <v>241</v>
      </c>
      <c r="CF2456" s="4" t="s">
        <v>241</v>
      </c>
      <c r="CJ2456" s="4" t="s">
        <v>276</v>
      </c>
      <c r="CK2456" s="4" t="s">
        <v>259</v>
      </c>
      <c r="CL2456" s="4" t="s">
        <v>241</v>
      </c>
      <c r="CO2456" s="5" t="s">
        <v>260</v>
      </c>
      <c r="CP2456" s="4" t="s">
        <v>241</v>
      </c>
      <c r="CQ2456" s="4" t="s">
        <v>261</v>
      </c>
      <c r="CR2456" s="4" t="s">
        <v>241</v>
      </c>
      <c r="CS2456" s="4" t="s">
        <v>241</v>
      </c>
      <c r="CT2456" s="4">
        <v>0</v>
      </c>
      <c r="CU2456" s="4" t="s">
        <v>262</v>
      </c>
      <c r="CV2456" s="4" t="s">
        <v>263</v>
      </c>
      <c r="CW2456" s="4" t="s">
        <v>263</v>
      </c>
      <c r="CX2456" s="4" t="s">
        <v>264</v>
      </c>
      <c r="DA2456" s="6">
        <f>1</f>
        <v>1</v>
      </c>
      <c r="DC2456" s="4" t="s">
        <v>325</v>
      </c>
      <c r="DD2456" s="4" t="s">
        <v>241</v>
      </c>
      <c r="DF2456" s="4" t="s">
        <v>325</v>
      </c>
      <c r="DG2456" s="6">
        <f>1050</f>
        <v>1050</v>
      </c>
      <c r="DI2456" s="4" t="s">
        <v>241</v>
      </c>
      <c r="DJ2456" s="4" t="s">
        <v>241</v>
      </c>
      <c r="DK2456" s="4" t="s">
        <v>241</v>
      </c>
      <c r="DL2456" s="4" t="s">
        <v>241</v>
      </c>
      <c r="DP2456" s="4" t="s">
        <v>241</v>
      </c>
      <c r="DQ2456" s="4" t="s">
        <v>241</v>
      </c>
      <c r="DR2456" s="4" t="s">
        <v>241</v>
      </c>
      <c r="DS2456" s="4" t="s">
        <v>241</v>
      </c>
      <c r="DV2456" s="4" t="s">
        <v>426</v>
      </c>
      <c r="DW2456" s="4" t="s">
        <v>2881</v>
      </c>
      <c r="HO2456" s="4" t="s">
        <v>267</v>
      </c>
    </row>
    <row r="2457" spans="1:223" ht="19.5" customHeight="1" x14ac:dyDescent="0.4">
      <c r="A2457" s="4">
        <v>1</v>
      </c>
      <c r="B2457" s="4" t="s">
        <v>239</v>
      </c>
      <c r="C2457" s="4">
        <v>4160</v>
      </c>
      <c r="D2457" s="4">
        <v>1</v>
      </c>
      <c r="E2457" s="4">
        <v>1</v>
      </c>
      <c r="F2457" s="4" t="s">
        <v>268</v>
      </c>
      <c r="G2457" s="4" t="s">
        <v>241</v>
      </c>
      <c r="H2457" s="4" t="s">
        <v>241</v>
      </c>
      <c r="I2457" s="4" t="s">
        <v>424</v>
      </c>
      <c r="J2457" s="4" t="s">
        <v>274</v>
      </c>
      <c r="K2457" s="4" t="s">
        <v>251</v>
      </c>
      <c r="L2457" s="4" t="s">
        <v>423</v>
      </c>
      <c r="M2457" s="5" t="s">
        <v>4208</v>
      </c>
      <c r="N2457" s="6">
        <f>1348</f>
        <v>1348</v>
      </c>
      <c r="O2457" s="4" t="s">
        <v>265</v>
      </c>
      <c r="P2457" s="6">
        <f>1</f>
        <v>1</v>
      </c>
      <c r="Q2457" s="6">
        <f>0</f>
        <v>0</v>
      </c>
      <c r="S2457" s="6">
        <f>0</f>
        <v>0</v>
      </c>
      <c r="T2457" s="6">
        <f>1</f>
        <v>1</v>
      </c>
      <c r="U2457" s="5" t="s">
        <v>245</v>
      </c>
      <c r="V2457" s="4" t="s">
        <v>270</v>
      </c>
      <c r="W2457" s="4" t="s">
        <v>271</v>
      </c>
      <c r="X2457" s="4" t="s">
        <v>273</v>
      </c>
      <c r="Y2457" s="4" t="s">
        <v>241</v>
      </c>
      <c r="AB2457" s="4" t="s">
        <v>241</v>
      </c>
      <c r="AD2457" s="5" t="s">
        <v>241</v>
      </c>
      <c r="AG2457" s="5" t="s">
        <v>246</v>
      </c>
      <c r="AH2457" s="4" t="s">
        <v>241</v>
      </c>
      <c r="AI2457" s="4" t="s">
        <v>247</v>
      </c>
      <c r="AJ2457" s="4" t="s">
        <v>248</v>
      </c>
      <c r="AZ2457" s="4" t="s">
        <v>249</v>
      </c>
      <c r="BA2457" s="4" t="s">
        <v>241</v>
      </c>
      <c r="BB2457" s="4" t="s">
        <v>250</v>
      </c>
      <c r="BC2457" s="4" t="s">
        <v>241</v>
      </c>
      <c r="BD2457" s="4" t="s">
        <v>252</v>
      </c>
      <c r="BE2457" s="4" t="s">
        <v>241</v>
      </c>
      <c r="BI2457" s="4" t="s">
        <v>253</v>
      </c>
      <c r="BJ2457" s="5" t="s">
        <v>246</v>
      </c>
      <c r="BK2457" s="4" t="s">
        <v>254</v>
      </c>
      <c r="BL2457" s="4" t="s">
        <v>255</v>
      </c>
      <c r="BM2457" s="4" t="s">
        <v>241</v>
      </c>
      <c r="BN2457" s="6">
        <f>0</f>
        <v>0</v>
      </c>
      <c r="BO2457" s="6">
        <f>0</f>
        <v>0</v>
      </c>
      <c r="BP2457" s="4" t="s">
        <v>256</v>
      </c>
      <c r="BQ2457" s="4" t="s">
        <v>257</v>
      </c>
      <c r="CE2457" s="4" t="s">
        <v>241</v>
      </c>
      <c r="CF2457" s="4" t="s">
        <v>241</v>
      </c>
      <c r="CJ2457" s="4" t="s">
        <v>276</v>
      </c>
      <c r="CK2457" s="4" t="s">
        <v>259</v>
      </c>
      <c r="CL2457" s="4" t="s">
        <v>241</v>
      </c>
      <c r="CO2457" s="5" t="s">
        <v>260</v>
      </c>
      <c r="CP2457" s="4" t="s">
        <v>241</v>
      </c>
      <c r="CQ2457" s="4" t="s">
        <v>261</v>
      </c>
      <c r="CR2457" s="4" t="s">
        <v>241</v>
      </c>
      <c r="CS2457" s="4" t="s">
        <v>241</v>
      </c>
      <c r="CT2457" s="4">
        <v>0</v>
      </c>
      <c r="CU2457" s="4" t="s">
        <v>262</v>
      </c>
      <c r="CV2457" s="4" t="s">
        <v>263</v>
      </c>
      <c r="CW2457" s="4" t="s">
        <v>263</v>
      </c>
      <c r="CX2457" s="4" t="s">
        <v>264</v>
      </c>
      <c r="DA2457" s="6">
        <f>1</f>
        <v>1</v>
      </c>
      <c r="DC2457" s="4" t="s">
        <v>325</v>
      </c>
      <c r="DD2457" s="4" t="s">
        <v>241</v>
      </c>
      <c r="DF2457" s="4" t="s">
        <v>325</v>
      </c>
      <c r="DG2457" s="6">
        <f>1348</f>
        <v>1348</v>
      </c>
      <c r="DI2457" s="4" t="s">
        <v>241</v>
      </c>
      <c r="DJ2457" s="4" t="s">
        <v>241</v>
      </c>
      <c r="DK2457" s="4" t="s">
        <v>241</v>
      </c>
      <c r="DL2457" s="4" t="s">
        <v>241</v>
      </c>
      <c r="DP2457" s="4" t="s">
        <v>241</v>
      </c>
      <c r="DQ2457" s="4" t="s">
        <v>241</v>
      </c>
      <c r="DR2457" s="4" t="s">
        <v>241</v>
      </c>
      <c r="DS2457" s="4" t="s">
        <v>241</v>
      </c>
      <c r="DV2457" s="4" t="s">
        <v>426</v>
      </c>
      <c r="DW2457" s="4" t="s">
        <v>2879</v>
      </c>
      <c r="HO2457" s="4" t="s">
        <v>267</v>
      </c>
    </row>
    <row r="2458" spans="1:223" ht="19.5" customHeight="1" x14ac:dyDescent="0.4">
      <c r="A2458" s="4">
        <v>1</v>
      </c>
      <c r="B2458" s="4" t="s">
        <v>239</v>
      </c>
      <c r="C2458" s="4">
        <v>4161</v>
      </c>
      <c r="D2458" s="4">
        <v>1</v>
      </c>
      <c r="E2458" s="4">
        <v>1</v>
      </c>
      <c r="F2458" s="4" t="s">
        <v>268</v>
      </c>
      <c r="G2458" s="4" t="s">
        <v>241</v>
      </c>
      <c r="H2458" s="4" t="s">
        <v>241</v>
      </c>
      <c r="I2458" s="4" t="s">
        <v>424</v>
      </c>
      <c r="J2458" s="4" t="s">
        <v>274</v>
      </c>
      <c r="K2458" s="4" t="s">
        <v>251</v>
      </c>
      <c r="L2458" s="4" t="s">
        <v>423</v>
      </c>
      <c r="M2458" s="5" t="s">
        <v>5045</v>
      </c>
      <c r="N2458" s="6">
        <f>173</f>
        <v>173</v>
      </c>
      <c r="O2458" s="4" t="s">
        <v>265</v>
      </c>
      <c r="P2458" s="6">
        <f>1</f>
        <v>1</v>
      </c>
      <c r="Q2458" s="6">
        <f>0</f>
        <v>0</v>
      </c>
      <c r="S2458" s="6">
        <f>0</f>
        <v>0</v>
      </c>
      <c r="T2458" s="6">
        <f>1</f>
        <v>1</v>
      </c>
      <c r="U2458" s="5" t="s">
        <v>245</v>
      </c>
      <c r="V2458" s="4" t="s">
        <v>270</v>
      </c>
      <c r="W2458" s="4" t="s">
        <v>271</v>
      </c>
      <c r="X2458" s="4" t="s">
        <v>273</v>
      </c>
      <c r="Y2458" s="4" t="s">
        <v>241</v>
      </c>
      <c r="AB2458" s="4" t="s">
        <v>241</v>
      </c>
      <c r="AD2458" s="5" t="s">
        <v>241</v>
      </c>
      <c r="AG2458" s="5" t="s">
        <v>246</v>
      </c>
      <c r="AH2458" s="4" t="s">
        <v>241</v>
      </c>
      <c r="AI2458" s="4" t="s">
        <v>247</v>
      </c>
      <c r="AJ2458" s="4" t="s">
        <v>248</v>
      </c>
      <c r="AZ2458" s="4" t="s">
        <v>249</v>
      </c>
      <c r="BA2458" s="4" t="s">
        <v>241</v>
      </c>
      <c r="BB2458" s="4" t="s">
        <v>250</v>
      </c>
      <c r="BC2458" s="4" t="s">
        <v>241</v>
      </c>
      <c r="BD2458" s="4" t="s">
        <v>252</v>
      </c>
      <c r="BE2458" s="4" t="s">
        <v>241</v>
      </c>
      <c r="BI2458" s="4" t="s">
        <v>253</v>
      </c>
      <c r="BJ2458" s="5" t="s">
        <v>246</v>
      </c>
      <c r="BK2458" s="4" t="s">
        <v>254</v>
      </c>
      <c r="BL2458" s="4" t="s">
        <v>255</v>
      </c>
      <c r="BM2458" s="4" t="s">
        <v>241</v>
      </c>
      <c r="BN2458" s="6">
        <f>0</f>
        <v>0</v>
      </c>
      <c r="BO2458" s="6">
        <f>0</f>
        <v>0</v>
      </c>
      <c r="BP2458" s="4" t="s">
        <v>256</v>
      </c>
      <c r="BQ2458" s="4" t="s">
        <v>257</v>
      </c>
      <c r="CE2458" s="4" t="s">
        <v>241</v>
      </c>
      <c r="CF2458" s="4" t="s">
        <v>241</v>
      </c>
      <c r="CJ2458" s="4" t="s">
        <v>276</v>
      </c>
      <c r="CK2458" s="4" t="s">
        <v>259</v>
      </c>
      <c r="CL2458" s="4" t="s">
        <v>241</v>
      </c>
      <c r="CO2458" s="5" t="s">
        <v>260</v>
      </c>
      <c r="CP2458" s="4" t="s">
        <v>241</v>
      </c>
      <c r="CQ2458" s="4" t="s">
        <v>261</v>
      </c>
      <c r="CR2458" s="4" t="s">
        <v>241</v>
      </c>
      <c r="CS2458" s="4" t="s">
        <v>241</v>
      </c>
      <c r="CT2458" s="4">
        <v>0</v>
      </c>
      <c r="CU2458" s="4" t="s">
        <v>262</v>
      </c>
      <c r="CV2458" s="4" t="s">
        <v>263</v>
      </c>
      <c r="CW2458" s="4" t="s">
        <v>263</v>
      </c>
      <c r="CX2458" s="4" t="s">
        <v>264</v>
      </c>
      <c r="DA2458" s="6">
        <f>1</f>
        <v>1</v>
      </c>
      <c r="DC2458" s="4" t="s">
        <v>325</v>
      </c>
      <c r="DD2458" s="4" t="s">
        <v>241</v>
      </c>
      <c r="DF2458" s="4" t="s">
        <v>325</v>
      </c>
      <c r="DG2458" s="6">
        <f>173</f>
        <v>173</v>
      </c>
      <c r="DI2458" s="4" t="s">
        <v>241</v>
      </c>
      <c r="DJ2458" s="4" t="s">
        <v>241</v>
      </c>
      <c r="DK2458" s="4" t="s">
        <v>241</v>
      </c>
      <c r="DL2458" s="4" t="s">
        <v>241</v>
      </c>
      <c r="DP2458" s="4" t="s">
        <v>241</v>
      </c>
      <c r="DQ2458" s="4" t="s">
        <v>241</v>
      </c>
      <c r="DR2458" s="4" t="s">
        <v>241</v>
      </c>
      <c r="DS2458" s="4" t="s">
        <v>241</v>
      </c>
      <c r="DV2458" s="4" t="s">
        <v>426</v>
      </c>
      <c r="DW2458" s="4" t="s">
        <v>2877</v>
      </c>
      <c r="HO2458" s="4" t="s">
        <v>267</v>
      </c>
    </row>
    <row r="2459" spans="1:223" ht="19.5" customHeight="1" x14ac:dyDescent="0.4">
      <c r="A2459" s="4">
        <v>1</v>
      </c>
      <c r="B2459" s="4" t="s">
        <v>239</v>
      </c>
      <c r="C2459" s="4">
        <v>4162</v>
      </c>
      <c r="D2459" s="4">
        <v>1</v>
      </c>
      <c r="E2459" s="4">
        <v>1</v>
      </c>
      <c r="F2459" s="4" t="s">
        <v>268</v>
      </c>
      <c r="G2459" s="4" t="s">
        <v>241</v>
      </c>
      <c r="H2459" s="4" t="s">
        <v>241</v>
      </c>
      <c r="I2459" s="4" t="s">
        <v>424</v>
      </c>
      <c r="J2459" s="4" t="s">
        <v>274</v>
      </c>
      <c r="K2459" s="4" t="s">
        <v>251</v>
      </c>
      <c r="L2459" s="4" t="s">
        <v>423</v>
      </c>
      <c r="M2459" s="5" t="s">
        <v>4148</v>
      </c>
      <c r="N2459" s="6">
        <f>1266</f>
        <v>1266</v>
      </c>
      <c r="O2459" s="4" t="s">
        <v>265</v>
      </c>
      <c r="P2459" s="6">
        <f>1</f>
        <v>1</v>
      </c>
      <c r="Q2459" s="6">
        <f>0</f>
        <v>0</v>
      </c>
      <c r="S2459" s="6">
        <f>0</f>
        <v>0</v>
      </c>
      <c r="T2459" s="6">
        <f>1</f>
        <v>1</v>
      </c>
      <c r="U2459" s="5" t="s">
        <v>245</v>
      </c>
      <c r="V2459" s="4" t="s">
        <v>270</v>
      </c>
      <c r="W2459" s="4" t="s">
        <v>271</v>
      </c>
      <c r="X2459" s="4" t="s">
        <v>273</v>
      </c>
      <c r="Y2459" s="4" t="s">
        <v>241</v>
      </c>
      <c r="AB2459" s="4" t="s">
        <v>241</v>
      </c>
      <c r="AD2459" s="5" t="s">
        <v>241</v>
      </c>
      <c r="AG2459" s="5" t="s">
        <v>246</v>
      </c>
      <c r="AH2459" s="4" t="s">
        <v>241</v>
      </c>
      <c r="AI2459" s="4" t="s">
        <v>247</v>
      </c>
      <c r="AJ2459" s="4" t="s">
        <v>248</v>
      </c>
      <c r="AZ2459" s="4" t="s">
        <v>249</v>
      </c>
      <c r="BA2459" s="4" t="s">
        <v>241</v>
      </c>
      <c r="BB2459" s="4" t="s">
        <v>250</v>
      </c>
      <c r="BC2459" s="4" t="s">
        <v>241</v>
      </c>
      <c r="BD2459" s="4" t="s">
        <v>252</v>
      </c>
      <c r="BE2459" s="4" t="s">
        <v>241</v>
      </c>
      <c r="BI2459" s="4" t="s">
        <v>253</v>
      </c>
      <c r="BJ2459" s="5" t="s">
        <v>246</v>
      </c>
      <c r="BK2459" s="4" t="s">
        <v>254</v>
      </c>
      <c r="BL2459" s="4" t="s">
        <v>255</v>
      </c>
      <c r="BM2459" s="4" t="s">
        <v>241</v>
      </c>
      <c r="BN2459" s="6">
        <f>0</f>
        <v>0</v>
      </c>
      <c r="BO2459" s="6">
        <f>0</f>
        <v>0</v>
      </c>
      <c r="BP2459" s="4" t="s">
        <v>256</v>
      </c>
      <c r="BQ2459" s="4" t="s">
        <v>257</v>
      </c>
      <c r="CE2459" s="4" t="s">
        <v>241</v>
      </c>
      <c r="CF2459" s="4" t="s">
        <v>241</v>
      </c>
      <c r="CJ2459" s="4" t="s">
        <v>276</v>
      </c>
      <c r="CK2459" s="4" t="s">
        <v>259</v>
      </c>
      <c r="CL2459" s="4" t="s">
        <v>241</v>
      </c>
      <c r="CO2459" s="5" t="s">
        <v>260</v>
      </c>
      <c r="CP2459" s="4" t="s">
        <v>241</v>
      </c>
      <c r="CQ2459" s="4" t="s">
        <v>261</v>
      </c>
      <c r="CR2459" s="4" t="s">
        <v>241</v>
      </c>
      <c r="CS2459" s="4" t="s">
        <v>241</v>
      </c>
      <c r="CT2459" s="4">
        <v>0</v>
      </c>
      <c r="CU2459" s="4" t="s">
        <v>262</v>
      </c>
      <c r="CV2459" s="4" t="s">
        <v>263</v>
      </c>
      <c r="CW2459" s="4" t="s">
        <v>263</v>
      </c>
      <c r="CX2459" s="4" t="s">
        <v>264</v>
      </c>
      <c r="DA2459" s="6">
        <f>1</f>
        <v>1</v>
      </c>
      <c r="DC2459" s="4" t="s">
        <v>325</v>
      </c>
      <c r="DD2459" s="4" t="s">
        <v>241</v>
      </c>
      <c r="DF2459" s="4" t="s">
        <v>325</v>
      </c>
      <c r="DG2459" s="6">
        <f>1266</f>
        <v>1266</v>
      </c>
      <c r="DI2459" s="4" t="s">
        <v>241</v>
      </c>
      <c r="DJ2459" s="4" t="s">
        <v>241</v>
      </c>
      <c r="DK2459" s="4" t="s">
        <v>241</v>
      </c>
      <c r="DL2459" s="4" t="s">
        <v>241</v>
      </c>
      <c r="DP2459" s="4" t="s">
        <v>241</v>
      </c>
      <c r="DQ2459" s="4" t="s">
        <v>241</v>
      </c>
      <c r="DR2459" s="4" t="s">
        <v>241</v>
      </c>
      <c r="DS2459" s="4" t="s">
        <v>241</v>
      </c>
      <c r="DV2459" s="4" t="s">
        <v>426</v>
      </c>
      <c r="DW2459" s="4" t="s">
        <v>2154</v>
      </c>
      <c r="HO2459" s="4" t="s">
        <v>267</v>
      </c>
    </row>
    <row r="2460" spans="1:223" ht="19.5" customHeight="1" x14ac:dyDescent="0.4">
      <c r="A2460" s="4">
        <v>1</v>
      </c>
      <c r="B2460" s="4" t="s">
        <v>239</v>
      </c>
      <c r="C2460" s="4">
        <v>4163</v>
      </c>
      <c r="D2460" s="4">
        <v>1</v>
      </c>
      <c r="E2460" s="4">
        <v>1</v>
      </c>
      <c r="F2460" s="4" t="s">
        <v>268</v>
      </c>
      <c r="G2460" s="4" t="s">
        <v>241</v>
      </c>
      <c r="H2460" s="4" t="s">
        <v>241</v>
      </c>
      <c r="I2460" s="4" t="s">
        <v>424</v>
      </c>
      <c r="J2460" s="4" t="s">
        <v>274</v>
      </c>
      <c r="K2460" s="4" t="s">
        <v>251</v>
      </c>
      <c r="L2460" s="4" t="s">
        <v>423</v>
      </c>
      <c r="M2460" s="5" t="s">
        <v>5024</v>
      </c>
      <c r="N2460" s="6">
        <f>10510</f>
        <v>10510</v>
      </c>
      <c r="O2460" s="4" t="s">
        <v>265</v>
      </c>
      <c r="P2460" s="6">
        <f>1</f>
        <v>1</v>
      </c>
      <c r="Q2460" s="6">
        <f>0</f>
        <v>0</v>
      </c>
      <c r="S2460" s="6">
        <f>0</f>
        <v>0</v>
      </c>
      <c r="T2460" s="6">
        <f>1</f>
        <v>1</v>
      </c>
      <c r="U2460" s="5" t="s">
        <v>245</v>
      </c>
      <c r="V2460" s="4" t="s">
        <v>270</v>
      </c>
      <c r="W2460" s="4" t="s">
        <v>271</v>
      </c>
      <c r="X2460" s="4" t="s">
        <v>273</v>
      </c>
      <c r="Y2460" s="4" t="s">
        <v>241</v>
      </c>
      <c r="AB2460" s="4" t="s">
        <v>241</v>
      </c>
      <c r="AD2460" s="5" t="s">
        <v>241</v>
      </c>
      <c r="AG2460" s="5" t="s">
        <v>246</v>
      </c>
      <c r="AH2460" s="4" t="s">
        <v>241</v>
      </c>
      <c r="AI2460" s="4" t="s">
        <v>247</v>
      </c>
      <c r="AJ2460" s="4" t="s">
        <v>248</v>
      </c>
      <c r="AZ2460" s="4" t="s">
        <v>249</v>
      </c>
      <c r="BA2460" s="4" t="s">
        <v>241</v>
      </c>
      <c r="BB2460" s="4" t="s">
        <v>250</v>
      </c>
      <c r="BC2460" s="4" t="s">
        <v>241</v>
      </c>
      <c r="BD2460" s="4" t="s">
        <v>252</v>
      </c>
      <c r="BE2460" s="4" t="s">
        <v>241</v>
      </c>
      <c r="BI2460" s="4" t="s">
        <v>253</v>
      </c>
      <c r="BJ2460" s="5" t="s">
        <v>246</v>
      </c>
      <c r="BK2460" s="4" t="s">
        <v>254</v>
      </c>
      <c r="BL2460" s="4" t="s">
        <v>255</v>
      </c>
      <c r="BM2460" s="4" t="s">
        <v>241</v>
      </c>
      <c r="BN2460" s="6">
        <f>0</f>
        <v>0</v>
      </c>
      <c r="BO2460" s="6">
        <f>0</f>
        <v>0</v>
      </c>
      <c r="BP2460" s="4" t="s">
        <v>256</v>
      </c>
      <c r="BQ2460" s="4" t="s">
        <v>257</v>
      </c>
      <c r="CE2460" s="4" t="s">
        <v>241</v>
      </c>
      <c r="CF2460" s="4" t="s">
        <v>241</v>
      </c>
      <c r="CJ2460" s="4" t="s">
        <v>276</v>
      </c>
      <c r="CK2460" s="4" t="s">
        <v>259</v>
      </c>
      <c r="CL2460" s="4" t="s">
        <v>241</v>
      </c>
      <c r="CO2460" s="5" t="s">
        <v>260</v>
      </c>
      <c r="CP2460" s="4" t="s">
        <v>241</v>
      </c>
      <c r="CQ2460" s="4" t="s">
        <v>261</v>
      </c>
      <c r="CR2460" s="4" t="s">
        <v>241</v>
      </c>
      <c r="CS2460" s="4" t="s">
        <v>241</v>
      </c>
      <c r="CT2460" s="4">
        <v>0</v>
      </c>
      <c r="CU2460" s="4" t="s">
        <v>262</v>
      </c>
      <c r="CV2460" s="4" t="s">
        <v>263</v>
      </c>
      <c r="CW2460" s="4" t="s">
        <v>263</v>
      </c>
      <c r="CX2460" s="4" t="s">
        <v>264</v>
      </c>
      <c r="DA2460" s="6">
        <f>1</f>
        <v>1</v>
      </c>
      <c r="DC2460" s="4" t="s">
        <v>325</v>
      </c>
      <c r="DD2460" s="4" t="s">
        <v>241</v>
      </c>
      <c r="DF2460" s="4" t="s">
        <v>325</v>
      </c>
      <c r="DG2460" s="6">
        <f>10510</f>
        <v>10510</v>
      </c>
      <c r="DI2460" s="4" t="s">
        <v>241</v>
      </c>
      <c r="DJ2460" s="4" t="s">
        <v>241</v>
      </c>
      <c r="DK2460" s="4" t="s">
        <v>241</v>
      </c>
      <c r="DL2460" s="4" t="s">
        <v>241</v>
      </c>
      <c r="DP2460" s="4" t="s">
        <v>241</v>
      </c>
      <c r="DQ2460" s="4" t="s">
        <v>241</v>
      </c>
      <c r="DR2460" s="4" t="s">
        <v>241</v>
      </c>
      <c r="DS2460" s="4" t="s">
        <v>241</v>
      </c>
      <c r="DV2460" s="4" t="s">
        <v>426</v>
      </c>
      <c r="DW2460" s="4" t="s">
        <v>2875</v>
      </c>
      <c r="HO2460" s="4" t="s">
        <v>267</v>
      </c>
    </row>
    <row r="2461" spans="1:223" ht="19.5" customHeight="1" x14ac:dyDescent="0.4">
      <c r="A2461" s="4">
        <v>1</v>
      </c>
      <c r="B2461" s="4" t="s">
        <v>239</v>
      </c>
      <c r="C2461" s="4">
        <v>4164</v>
      </c>
      <c r="D2461" s="4">
        <v>1</v>
      </c>
      <c r="E2461" s="4">
        <v>1</v>
      </c>
      <c r="F2461" s="4" t="s">
        <v>268</v>
      </c>
      <c r="G2461" s="4" t="s">
        <v>241</v>
      </c>
      <c r="H2461" s="4" t="s">
        <v>241</v>
      </c>
      <c r="I2461" s="4" t="s">
        <v>424</v>
      </c>
      <c r="J2461" s="4" t="s">
        <v>274</v>
      </c>
      <c r="K2461" s="4" t="s">
        <v>251</v>
      </c>
      <c r="L2461" s="4" t="s">
        <v>423</v>
      </c>
      <c r="M2461" s="5" t="s">
        <v>5051</v>
      </c>
      <c r="N2461" s="6">
        <f>351</f>
        <v>351</v>
      </c>
      <c r="O2461" s="4" t="s">
        <v>265</v>
      </c>
      <c r="P2461" s="6">
        <f>1</f>
        <v>1</v>
      </c>
      <c r="Q2461" s="6">
        <f>0</f>
        <v>0</v>
      </c>
      <c r="S2461" s="6">
        <f>0</f>
        <v>0</v>
      </c>
      <c r="T2461" s="6">
        <f>1</f>
        <v>1</v>
      </c>
      <c r="U2461" s="5" t="s">
        <v>245</v>
      </c>
      <c r="V2461" s="4" t="s">
        <v>270</v>
      </c>
      <c r="W2461" s="4" t="s">
        <v>271</v>
      </c>
      <c r="X2461" s="4" t="s">
        <v>273</v>
      </c>
      <c r="Y2461" s="4" t="s">
        <v>241</v>
      </c>
      <c r="AB2461" s="4" t="s">
        <v>241</v>
      </c>
      <c r="AD2461" s="5" t="s">
        <v>241</v>
      </c>
      <c r="AG2461" s="5" t="s">
        <v>246</v>
      </c>
      <c r="AH2461" s="4" t="s">
        <v>241</v>
      </c>
      <c r="AI2461" s="4" t="s">
        <v>247</v>
      </c>
      <c r="AJ2461" s="4" t="s">
        <v>248</v>
      </c>
      <c r="AZ2461" s="4" t="s">
        <v>249</v>
      </c>
      <c r="BA2461" s="4" t="s">
        <v>241</v>
      </c>
      <c r="BB2461" s="4" t="s">
        <v>250</v>
      </c>
      <c r="BC2461" s="4" t="s">
        <v>241</v>
      </c>
      <c r="BD2461" s="4" t="s">
        <v>252</v>
      </c>
      <c r="BE2461" s="4" t="s">
        <v>241</v>
      </c>
      <c r="BI2461" s="4" t="s">
        <v>253</v>
      </c>
      <c r="BJ2461" s="5" t="s">
        <v>246</v>
      </c>
      <c r="BK2461" s="4" t="s">
        <v>254</v>
      </c>
      <c r="BL2461" s="4" t="s">
        <v>255</v>
      </c>
      <c r="BM2461" s="4" t="s">
        <v>241</v>
      </c>
      <c r="BN2461" s="6">
        <f>0</f>
        <v>0</v>
      </c>
      <c r="BO2461" s="6">
        <f>0</f>
        <v>0</v>
      </c>
      <c r="BP2461" s="4" t="s">
        <v>256</v>
      </c>
      <c r="BQ2461" s="4" t="s">
        <v>257</v>
      </c>
      <c r="CE2461" s="4" t="s">
        <v>241</v>
      </c>
      <c r="CF2461" s="4" t="s">
        <v>241</v>
      </c>
      <c r="CJ2461" s="4" t="s">
        <v>276</v>
      </c>
      <c r="CK2461" s="4" t="s">
        <v>259</v>
      </c>
      <c r="CL2461" s="4" t="s">
        <v>241</v>
      </c>
      <c r="CO2461" s="5" t="s">
        <v>260</v>
      </c>
      <c r="CP2461" s="4" t="s">
        <v>241</v>
      </c>
      <c r="CQ2461" s="4" t="s">
        <v>261</v>
      </c>
      <c r="CR2461" s="4" t="s">
        <v>241</v>
      </c>
      <c r="CS2461" s="4" t="s">
        <v>241</v>
      </c>
      <c r="CT2461" s="4">
        <v>0</v>
      </c>
      <c r="CU2461" s="4" t="s">
        <v>262</v>
      </c>
      <c r="CV2461" s="4" t="s">
        <v>263</v>
      </c>
      <c r="CW2461" s="4" t="s">
        <v>263</v>
      </c>
      <c r="CX2461" s="4" t="s">
        <v>264</v>
      </c>
      <c r="DA2461" s="6">
        <f>1</f>
        <v>1</v>
      </c>
      <c r="DC2461" s="4" t="s">
        <v>325</v>
      </c>
      <c r="DD2461" s="4" t="s">
        <v>241</v>
      </c>
      <c r="DF2461" s="4" t="s">
        <v>325</v>
      </c>
      <c r="DG2461" s="6">
        <f>351</f>
        <v>351</v>
      </c>
      <c r="DI2461" s="4" t="s">
        <v>241</v>
      </c>
      <c r="DJ2461" s="4" t="s">
        <v>241</v>
      </c>
      <c r="DK2461" s="4" t="s">
        <v>241</v>
      </c>
      <c r="DL2461" s="4" t="s">
        <v>241</v>
      </c>
      <c r="DP2461" s="4" t="s">
        <v>241</v>
      </c>
      <c r="DQ2461" s="4" t="s">
        <v>241</v>
      </c>
      <c r="DR2461" s="4" t="s">
        <v>241</v>
      </c>
      <c r="DS2461" s="4" t="s">
        <v>241</v>
      </c>
      <c r="DV2461" s="4" t="s">
        <v>426</v>
      </c>
      <c r="DW2461" s="4" t="s">
        <v>2956</v>
      </c>
      <c r="HO2461" s="4" t="s">
        <v>267</v>
      </c>
    </row>
    <row r="2462" spans="1:223" ht="19.5" customHeight="1" x14ac:dyDescent="0.4">
      <c r="A2462" s="4">
        <v>1</v>
      </c>
      <c r="B2462" s="4" t="s">
        <v>239</v>
      </c>
      <c r="C2462" s="4">
        <v>4165</v>
      </c>
      <c r="D2462" s="4">
        <v>1</v>
      </c>
      <c r="E2462" s="4">
        <v>1</v>
      </c>
      <c r="F2462" s="4" t="s">
        <v>268</v>
      </c>
      <c r="G2462" s="4" t="s">
        <v>241</v>
      </c>
      <c r="H2462" s="4" t="s">
        <v>241</v>
      </c>
      <c r="I2462" s="4" t="s">
        <v>424</v>
      </c>
      <c r="J2462" s="4" t="s">
        <v>274</v>
      </c>
      <c r="K2462" s="4" t="s">
        <v>251</v>
      </c>
      <c r="L2462" s="4" t="s">
        <v>423</v>
      </c>
      <c r="M2462" s="5" t="s">
        <v>4188</v>
      </c>
      <c r="N2462" s="6">
        <f>97</f>
        <v>97</v>
      </c>
      <c r="O2462" s="4" t="s">
        <v>265</v>
      </c>
      <c r="P2462" s="6">
        <f>1</f>
        <v>1</v>
      </c>
      <c r="Q2462" s="6">
        <f>0</f>
        <v>0</v>
      </c>
      <c r="S2462" s="6">
        <f>0</f>
        <v>0</v>
      </c>
      <c r="T2462" s="6">
        <f>1</f>
        <v>1</v>
      </c>
      <c r="U2462" s="5" t="s">
        <v>245</v>
      </c>
      <c r="V2462" s="4" t="s">
        <v>270</v>
      </c>
      <c r="W2462" s="4" t="s">
        <v>271</v>
      </c>
      <c r="X2462" s="4" t="s">
        <v>273</v>
      </c>
      <c r="Y2462" s="4" t="s">
        <v>241</v>
      </c>
      <c r="AB2462" s="4" t="s">
        <v>241</v>
      </c>
      <c r="AD2462" s="5" t="s">
        <v>241</v>
      </c>
      <c r="AG2462" s="5" t="s">
        <v>246</v>
      </c>
      <c r="AH2462" s="4" t="s">
        <v>241</v>
      </c>
      <c r="AI2462" s="4" t="s">
        <v>247</v>
      </c>
      <c r="AJ2462" s="4" t="s">
        <v>248</v>
      </c>
      <c r="AZ2462" s="4" t="s">
        <v>249</v>
      </c>
      <c r="BA2462" s="4" t="s">
        <v>241</v>
      </c>
      <c r="BB2462" s="4" t="s">
        <v>250</v>
      </c>
      <c r="BC2462" s="4" t="s">
        <v>241</v>
      </c>
      <c r="BD2462" s="4" t="s">
        <v>252</v>
      </c>
      <c r="BE2462" s="4" t="s">
        <v>241</v>
      </c>
      <c r="BI2462" s="4" t="s">
        <v>253</v>
      </c>
      <c r="BJ2462" s="5" t="s">
        <v>246</v>
      </c>
      <c r="BK2462" s="4" t="s">
        <v>254</v>
      </c>
      <c r="BL2462" s="4" t="s">
        <v>255</v>
      </c>
      <c r="BM2462" s="4" t="s">
        <v>241</v>
      </c>
      <c r="BN2462" s="6">
        <f>0</f>
        <v>0</v>
      </c>
      <c r="BO2462" s="6">
        <f>0</f>
        <v>0</v>
      </c>
      <c r="BP2462" s="4" t="s">
        <v>256</v>
      </c>
      <c r="BQ2462" s="4" t="s">
        <v>257</v>
      </c>
      <c r="CE2462" s="4" t="s">
        <v>241</v>
      </c>
      <c r="CF2462" s="4" t="s">
        <v>241</v>
      </c>
      <c r="CJ2462" s="4" t="s">
        <v>276</v>
      </c>
      <c r="CK2462" s="4" t="s">
        <v>259</v>
      </c>
      <c r="CL2462" s="4" t="s">
        <v>241</v>
      </c>
      <c r="CO2462" s="5" t="s">
        <v>260</v>
      </c>
      <c r="CP2462" s="4" t="s">
        <v>241</v>
      </c>
      <c r="CQ2462" s="4" t="s">
        <v>261</v>
      </c>
      <c r="CR2462" s="4" t="s">
        <v>241</v>
      </c>
      <c r="CS2462" s="4" t="s">
        <v>241</v>
      </c>
      <c r="CT2462" s="4">
        <v>0</v>
      </c>
      <c r="CU2462" s="4" t="s">
        <v>262</v>
      </c>
      <c r="CV2462" s="4" t="s">
        <v>263</v>
      </c>
      <c r="CW2462" s="4" t="s">
        <v>263</v>
      </c>
      <c r="CX2462" s="4" t="s">
        <v>264</v>
      </c>
      <c r="DA2462" s="6">
        <f>1</f>
        <v>1</v>
      </c>
      <c r="DC2462" s="4" t="s">
        <v>325</v>
      </c>
      <c r="DD2462" s="4" t="s">
        <v>241</v>
      </c>
      <c r="DF2462" s="4" t="s">
        <v>325</v>
      </c>
      <c r="DG2462" s="6">
        <f>97</f>
        <v>97</v>
      </c>
      <c r="DI2462" s="4" t="s">
        <v>241</v>
      </c>
      <c r="DJ2462" s="4" t="s">
        <v>241</v>
      </c>
      <c r="DK2462" s="4" t="s">
        <v>241</v>
      </c>
      <c r="DL2462" s="4" t="s">
        <v>241</v>
      </c>
      <c r="DP2462" s="4" t="s">
        <v>241</v>
      </c>
      <c r="DQ2462" s="4" t="s">
        <v>241</v>
      </c>
      <c r="DR2462" s="4" t="s">
        <v>241</v>
      </c>
      <c r="DS2462" s="4" t="s">
        <v>241</v>
      </c>
      <c r="DV2462" s="4" t="s">
        <v>426</v>
      </c>
      <c r="DW2462" s="4" t="s">
        <v>2954</v>
      </c>
      <c r="HO2462" s="4" t="s">
        <v>267</v>
      </c>
    </row>
    <row r="2463" spans="1:223" ht="19.5" customHeight="1" x14ac:dyDescent="0.4">
      <c r="A2463" s="4">
        <v>1</v>
      </c>
      <c r="B2463" s="4" t="s">
        <v>239</v>
      </c>
      <c r="C2463" s="4">
        <v>4166</v>
      </c>
      <c r="D2463" s="4">
        <v>1</v>
      </c>
      <c r="E2463" s="4">
        <v>1</v>
      </c>
      <c r="F2463" s="4" t="s">
        <v>268</v>
      </c>
      <c r="G2463" s="4" t="s">
        <v>241</v>
      </c>
      <c r="H2463" s="4" t="s">
        <v>241</v>
      </c>
      <c r="I2463" s="4" t="s">
        <v>424</v>
      </c>
      <c r="J2463" s="4" t="s">
        <v>274</v>
      </c>
      <c r="K2463" s="4" t="s">
        <v>251</v>
      </c>
      <c r="L2463" s="4" t="s">
        <v>423</v>
      </c>
      <c r="M2463" s="5" t="s">
        <v>5037</v>
      </c>
      <c r="N2463" s="6">
        <f>1580</f>
        <v>1580</v>
      </c>
      <c r="O2463" s="4" t="s">
        <v>265</v>
      </c>
      <c r="P2463" s="6">
        <f>1</f>
        <v>1</v>
      </c>
      <c r="Q2463" s="6">
        <f>0</f>
        <v>0</v>
      </c>
      <c r="S2463" s="6">
        <f>0</f>
        <v>0</v>
      </c>
      <c r="T2463" s="6">
        <f>1</f>
        <v>1</v>
      </c>
      <c r="U2463" s="5" t="s">
        <v>245</v>
      </c>
      <c r="V2463" s="4" t="s">
        <v>270</v>
      </c>
      <c r="W2463" s="4" t="s">
        <v>271</v>
      </c>
      <c r="X2463" s="4" t="s">
        <v>273</v>
      </c>
      <c r="Y2463" s="4" t="s">
        <v>241</v>
      </c>
      <c r="AB2463" s="4" t="s">
        <v>241</v>
      </c>
      <c r="AD2463" s="5" t="s">
        <v>241</v>
      </c>
      <c r="AG2463" s="5" t="s">
        <v>246</v>
      </c>
      <c r="AH2463" s="4" t="s">
        <v>241</v>
      </c>
      <c r="AI2463" s="4" t="s">
        <v>247</v>
      </c>
      <c r="AJ2463" s="4" t="s">
        <v>248</v>
      </c>
      <c r="AZ2463" s="4" t="s">
        <v>249</v>
      </c>
      <c r="BA2463" s="4" t="s">
        <v>241</v>
      </c>
      <c r="BB2463" s="4" t="s">
        <v>250</v>
      </c>
      <c r="BC2463" s="4" t="s">
        <v>241</v>
      </c>
      <c r="BD2463" s="4" t="s">
        <v>252</v>
      </c>
      <c r="BE2463" s="4" t="s">
        <v>241</v>
      </c>
      <c r="BI2463" s="4" t="s">
        <v>253</v>
      </c>
      <c r="BJ2463" s="5" t="s">
        <v>246</v>
      </c>
      <c r="BK2463" s="4" t="s">
        <v>254</v>
      </c>
      <c r="BL2463" s="4" t="s">
        <v>255</v>
      </c>
      <c r="BM2463" s="4" t="s">
        <v>241</v>
      </c>
      <c r="BN2463" s="6">
        <f>0</f>
        <v>0</v>
      </c>
      <c r="BO2463" s="6">
        <f>0</f>
        <v>0</v>
      </c>
      <c r="BP2463" s="4" t="s">
        <v>256</v>
      </c>
      <c r="BQ2463" s="4" t="s">
        <v>257</v>
      </c>
      <c r="CE2463" s="4" t="s">
        <v>241</v>
      </c>
      <c r="CF2463" s="4" t="s">
        <v>241</v>
      </c>
      <c r="CJ2463" s="4" t="s">
        <v>276</v>
      </c>
      <c r="CK2463" s="4" t="s">
        <v>259</v>
      </c>
      <c r="CL2463" s="4" t="s">
        <v>241</v>
      </c>
      <c r="CO2463" s="5" t="s">
        <v>260</v>
      </c>
      <c r="CP2463" s="4" t="s">
        <v>241</v>
      </c>
      <c r="CQ2463" s="4" t="s">
        <v>261</v>
      </c>
      <c r="CR2463" s="4" t="s">
        <v>241</v>
      </c>
      <c r="CS2463" s="4" t="s">
        <v>241</v>
      </c>
      <c r="CT2463" s="4">
        <v>0</v>
      </c>
      <c r="CU2463" s="4" t="s">
        <v>262</v>
      </c>
      <c r="CV2463" s="4" t="s">
        <v>263</v>
      </c>
      <c r="CW2463" s="4" t="s">
        <v>263</v>
      </c>
      <c r="CX2463" s="4" t="s">
        <v>264</v>
      </c>
      <c r="DA2463" s="6">
        <f>1</f>
        <v>1</v>
      </c>
      <c r="DC2463" s="4" t="s">
        <v>325</v>
      </c>
      <c r="DD2463" s="4" t="s">
        <v>241</v>
      </c>
      <c r="DF2463" s="4" t="s">
        <v>325</v>
      </c>
      <c r="DG2463" s="6">
        <f>1580</f>
        <v>1580</v>
      </c>
      <c r="DI2463" s="4" t="s">
        <v>241</v>
      </c>
      <c r="DJ2463" s="4" t="s">
        <v>241</v>
      </c>
      <c r="DK2463" s="4" t="s">
        <v>241</v>
      </c>
      <c r="DL2463" s="4" t="s">
        <v>241</v>
      </c>
      <c r="DP2463" s="4" t="s">
        <v>241</v>
      </c>
      <c r="DQ2463" s="4" t="s">
        <v>241</v>
      </c>
      <c r="DR2463" s="4" t="s">
        <v>241</v>
      </c>
      <c r="DS2463" s="4" t="s">
        <v>241</v>
      </c>
      <c r="DV2463" s="4" t="s">
        <v>426</v>
      </c>
      <c r="DW2463" s="4" t="s">
        <v>2950</v>
      </c>
      <c r="HO2463" s="4" t="s">
        <v>267</v>
      </c>
    </row>
    <row r="2464" spans="1:223" ht="19.5" customHeight="1" x14ac:dyDescent="0.4">
      <c r="A2464" s="4">
        <v>1</v>
      </c>
      <c r="B2464" s="4" t="s">
        <v>239</v>
      </c>
      <c r="C2464" s="4">
        <v>4167</v>
      </c>
      <c r="D2464" s="4">
        <v>1</v>
      </c>
      <c r="E2464" s="4">
        <v>1</v>
      </c>
      <c r="F2464" s="4" t="s">
        <v>268</v>
      </c>
      <c r="G2464" s="4" t="s">
        <v>241</v>
      </c>
      <c r="H2464" s="4" t="s">
        <v>241</v>
      </c>
      <c r="I2464" s="4" t="s">
        <v>424</v>
      </c>
      <c r="J2464" s="4" t="s">
        <v>274</v>
      </c>
      <c r="K2464" s="4" t="s">
        <v>251</v>
      </c>
      <c r="L2464" s="4" t="s">
        <v>423</v>
      </c>
      <c r="M2464" s="5" t="s">
        <v>4156</v>
      </c>
      <c r="N2464" s="6">
        <f>525</f>
        <v>525</v>
      </c>
      <c r="O2464" s="4" t="s">
        <v>265</v>
      </c>
      <c r="P2464" s="6">
        <f>1</f>
        <v>1</v>
      </c>
      <c r="Q2464" s="6">
        <f>0</f>
        <v>0</v>
      </c>
      <c r="S2464" s="6">
        <f>0</f>
        <v>0</v>
      </c>
      <c r="T2464" s="6">
        <f>1</f>
        <v>1</v>
      </c>
      <c r="U2464" s="5" t="s">
        <v>245</v>
      </c>
      <c r="V2464" s="4" t="s">
        <v>270</v>
      </c>
      <c r="W2464" s="4" t="s">
        <v>271</v>
      </c>
      <c r="X2464" s="4" t="s">
        <v>273</v>
      </c>
      <c r="Y2464" s="4" t="s">
        <v>241</v>
      </c>
      <c r="AB2464" s="4" t="s">
        <v>241</v>
      </c>
      <c r="AD2464" s="5" t="s">
        <v>241</v>
      </c>
      <c r="AG2464" s="5" t="s">
        <v>246</v>
      </c>
      <c r="AH2464" s="4" t="s">
        <v>241</v>
      </c>
      <c r="AI2464" s="4" t="s">
        <v>247</v>
      </c>
      <c r="AJ2464" s="4" t="s">
        <v>248</v>
      </c>
      <c r="AZ2464" s="4" t="s">
        <v>249</v>
      </c>
      <c r="BA2464" s="4" t="s">
        <v>241</v>
      </c>
      <c r="BB2464" s="4" t="s">
        <v>250</v>
      </c>
      <c r="BC2464" s="4" t="s">
        <v>241</v>
      </c>
      <c r="BD2464" s="4" t="s">
        <v>252</v>
      </c>
      <c r="BE2464" s="4" t="s">
        <v>241</v>
      </c>
      <c r="BI2464" s="4" t="s">
        <v>253</v>
      </c>
      <c r="BJ2464" s="5" t="s">
        <v>246</v>
      </c>
      <c r="BK2464" s="4" t="s">
        <v>254</v>
      </c>
      <c r="BL2464" s="4" t="s">
        <v>255</v>
      </c>
      <c r="BM2464" s="4" t="s">
        <v>241</v>
      </c>
      <c r="BN2464" s="6">
        <f>0</f>
        <v>0</v>
      </c>
      <c r="BO2464" s="6">
        <f>0</f>
        <v>0</v>
      </c>
      <c r="BP2464" s="4" t="s">
        <v>256</v>
      </c>
      <c r="BQ2464" s="4" t="s">
        <v>257</v>
      </c>
      <c r="CE2464" s="4" t="s">
        <v>241</v>
      </c>
      <c r="CF2464" s="4" t="s">
        <v>241</v>
      </c>
      <c r="CJ2464" s="4" t="s">
        <v>276</v>
      </c>
      <c r="CK2464" s="4" t="s">
        <v>259</v>
      </c>
      <c r="CL2464" s="4" t="s">
        <v>241</v>
      </c>
      <c r="CO2464" s="5" t="s">
        <v>260</v>
      </c>
      <c r="CP2464" s="4" t="s">
        <v>241</v>
      </c>
      <c r="CQ2464" s="4" t="s">
        <v>261</v>
      </c>
      <c r="CR2464" s="4" t="s">
        <v>241</v>
      </c>
      <c r="CS2464" s="4" t="s">
        <v>241</v>
      </c>
      <c r="CT2464" s="4">
        <v>0</v>
      </c>
      <c r="CU2464" s="4" t="s">
        <v>262</v>
      </c>
      <c r="CV2464" s="4" t="s">
        <v>263</v>
      </c>
      <c r="CW2464" s="4" t="s">
        <v>263</v>
      </c>
      <c r="CX2464" s="4" t="s">
        <v>264</v>
      </c>
      <c r="DA2464" s="6">
        <f>1</f>
        <v>1</v>
      </c>
      <c r="DC2464" s="4" t="s">
        <v>325</v>
      </c>
      <c r="DD2464" s="4" t="s">
        <v>241</v>
      </c>
      <c r="DF2464" s="4" t="s">
        <v>325</v>
      </c>
      <c r="DG2464" s="6">
        <f>525</f>
        <v>525</v>
      </c>
      <c r="DI2464" s="4" t="s">
        <v>241</v>
      </c>
      <c r="DJ2464" s="4" t="s">
        <v>241</v>
      </c>
      <c r="DK2464" s="4" t="s">
        <v>241</v>
      </c>
      <c r="DL2464" s="4" t="s">
        <v>241</v>
      </c>
      <c r="DP2464" s="4" t="s">
        <v>241</v>
      </c>
      <c r="DQ2464" s="4" t="s">
        <v>241</v>
      </c>
      <c r="DR2464" s="4" t="s">
        <v>241</v>
      </c>
      <c r="DS2464" s="4" t="s">
        <v>241</v>
      </c>
      <c r="DV2464" s="4" t="s">
        <v>426</v>
      </c>
      <c r="DW2464" s="4" t="s">
        <v>2944</v>
      </c>
      <c r="HO2464" s="4" t="s">
        <v>267</v>
      </c>
    </row>
    <row r="2465" spans="1:223" ht="19.5" customHeight="1" x14ac:dyDescent="0.4">
      <c r="A2465" s="4">
        <v>1</v>
      </c>
      <c r="B2465" s="4" t="s">
        <v>239</v>
      </c>
      <c r="C2465" s="4">
        <v>4168</v>
      </c>
      <c r="D2465" s="4">
        <v>1</v>
      </c>
      <c r="E2465" s="4">
        <v>1</v>
      </c>
      <c r="F2465" s="4" t="s">
        <v>268</v>
      </c>
      <c r="G2465" s="4" t="s">
        <v>241</v>
      </c>
      <c r="H2465" s="4" t="s">
        <v>241</v>
      </c>
      <c r="I2465" s="4" t="s">
        <v>424</v>
      </c>
      <c r="J2465" s="4" t="s">
        <v>274</v>
      </c>
      <c r="K2465" s="4" t="s">
        <v>251</v>
      </c>
      <c r="L2465" s="4" t="s">
        <v>423</v>
      </c>
      <c r="M2465" s="5" t="s">
        <v>4146</v>
      </c>
      <c r="N2465" s="6">
        <f>1167</f>
        <v>1167</v>
      </c>
      <c r="O2465" s="4" t="s">
        <v>265</v>
      </c>
      <c r="P2465" s="6">
        <f>1</f>
        <v>1</v>
      </c>
      <c r="Q2465" s="6">
        <f>0</f>
        <v>0</v>
      </c>
      <c r="S2465" s="6">
        <f>0</f>
        <v>0</v>
      </c>
      <c r="T2465" s="6">
        <f>1</f>
        <v>1</v>
      </c>
      <c r="U2465" s="5" t="s">
        <v>245</v>
      </c>
      <c r="V2465" s="4" t="s">
        <v>270</v>
      </c>
      <c r="W2465" s="4" t="s">
        <v>271</v>
      </c>
      <c r="X2465" s="4" t="s">
        <v>273</v>
      </c>
      <c r="Y2465" s="4" t="s">
        <v>241</v>
      </c>
      <c r="AB2465" s="4" t="s">
        <v>241</v>
      </c>
      <c r="AD2465" s="5" t="s">
        <v>241</v>
      </c>
      <c r="AG2465" s="5" t="s">
        <v>246</v>
      </c>
      <c r="AH2465" s="4" t="s">
        <v>241</v>
      </c>
      <c r="AI2465" s="4" t="s">
        <v>247</v>
      </c>
      <c r="AJ2465" s="4" t="s">
        <v>248</v>
      </c>
      <c r="AZ2465" s="4" t="s">
        <v>249</v>
      </c>
      <c r="BA2465" s="4" t="s">
        <v>241</v>
      </c>
      <c r="BB2465" s="4" t="s">
        <v>250</v>
      </c>
      <c r="BC2465" s="4" t="s">
        <v>241</v>
      </c>
      <c r="BD2465" s="4" t="s">
        <v>252</v>
      </c>
      <c r="BE2465" s="4" t="s">
        <v>241</v>
      </c>
      <c r="BI2465" s="4" t="s">
        <v>253</v>
      </c>
      <c r="BJ2465" s="5" t="s">
        <v>246</v>
      </c>
      <c r="BK2465" s="4" t="s">
        <v>254</v>
      </c>
      <c r="BL2465" s="4" t="s">
        <v>255</v>
      </c>
      <c r="BM2465" s="4" t="s">
        <v>241</v>
      </c>
      <c r="BN2465" s="6">
        <f>0</f>
        <v>0</v>
      </c>
      <c r="BO2465" s="6">
        <f>0</f>
        <v>0</v>
      </c>
      <c r="BP2465" s="4" t="s">
        <v>256</v>
      </c>
      <c r="BQ2465" s="4" t="s">
        <v>257</v>
      </c>
      <c r="CE2465" s="4" t="s">
        <v>241</v>
      </c>
      <c r="CF2465" s="4" t="s">
        <v>241</v>
      </c>
      <c r="CJ2465" s="4" t="s">
        <v>276</v>
      </c>
      <c r="CK2465" s="4" t="s">
        <v>259</v>
      </c>
      <c r="CL2465" s="4" t="s">
        <v>241</v>
      </c>
      <c r="CO2465" s="5" t="s">
        <v>260</v>
      </c>
      <c r="CP2465" s="4" t="s">
        <v>241</v>
      </c>
      <c r="CQ2465" s="4" t="s">
        <v>261</v>
      </c>
      <c r="CR2465" s="4" t="s">
        <v>241</v>
      </c>
      <c r="CS2465" s="4" t="s">
        <v>241</v>
      </c>
      <c r="CT2465" s="4">
        <v>0</v>
      </c>
      <c r="CU2465" s="4" t="s">
        <v>262</v>
      </c>
      <c r="CV2465" s="4" t="s">
        <v>263</v>
      </c>
      <c r="CW2465" s="4" t="s">
        <v>263</v>
      </c>
      <c r="CX2465" s="4" t="s">
        <v>264</v>
      </c>
      <c r="DA2465" s="6">
        <f>1</f>
        <v>1</v>
      </c>
      <c r="DC2465" s="4" t="s">
        <v>325</v>
      </c>
      <c r="DD2465" s="4" t="s">
        <v>241</v>
      </c>
      <c r="DF2465" s="4" t="s">
        <v>325</v>
      </c>
      <c r="DG2465" s="6">
        <f>1167</f>
        <v>1167</v>
      </c>
      <c r="DI2465" s="4" t="s">
        <v>241</v>
      </c>
      <c r="DJ2465" s="4" t="s">
        <v>241</v>
      </c>
      <c r="DK2465" s="4" t="s">
        <v>241</v>
      </c>
      <c r="DL2465" s="4" t="s">
        <v>241</v>
      </c>
      <c r="DP2465" s="4" t="s">
        <v>241</v>
      </c>
      <c r="DQ2465" s="4" t="s">
        <v>241</v>
      </c>
      <c r="DR2465" s="4" t="s">
        <v>241</v>
      </c>
      <c r="DS2465" s="4" t="s">
        <v>241</v>
      </c>
      <c r="DV2465" s="4" t="s">
        <v>426</v>
      </c>
      <c r="DW2465" s="4" t="s">
        <v>2942</v>
      </c>
      <c r="HO2465" s="4" t="s">
        <v>267</v>
      </c>
    </row>
    <row r="2466" spans="1:223" ht="19.5" customHeight="1" x14ac:dyDescent="0.4">
      <c r="A2466" s="4">
        <v>1</v>
      </c>
      <c r="B2466" s="4" t="s">
        <v>239</v>
      </c>
      <c r="C2466" s="4">
        <v>4169</v>
      </c>
      <c r="D2466" s="4">
        <v>1</v>
      </c>
      <c r="E2466" s="4">
        <v>1</v>
      </c>
      <c r="F2466" s="4" t="s">
        <v>268</v>
      </c>
      <c r="G2466" s="4" t="s">
        <v>241</v>
      </c>
      <c r="H2466" s="4" t="s">
        <v>241</v>
      </c>
      <c r="I2466" s="4" t="s">
        <v>424</v>
      </c>
      <c r="J2466" s="4" t="s">
        <v>274</v>
      </c>
      <c r="K2466" s="4" t="s">
        <v>251</v>
      </c>
      <c r="L2466" s="4" t="s">
        <v>423</v>
      </c>
      <c r="M2466" s="5" t="s">
        <v>4159</v>
      </c>
      <c r="N2466" s="6">
        <f>493</f>
        <v>493</v>
      </c>
      <c r="O2466" s="4" t="s">
        <v>265</v>
      </c>
      <c r="P2466" s="6">
        <f>1</f>
        <v>1</v>
      </c>
      <c r="Q2466" s="6">
        <f>0</f>
        <v>0</v>
      </c>
      <c r="S2466" s="6">
        <f>0</f>
        <v>0</v>
      </c>
      <c r="T2466" s="6">
        <f>1</f>
        <v>1</v>
      </c>
      <c r="U2466" s="5" t="s">
        <v>245</v>
      </c>
      <c r="V2466" s="4" t="s">
        <v>270</v>
      </c>
      <c r="W2466" s="4" t="s">
        <v>271</v>
      </c>
      <c r="X2466" s="4" t="s">
        <v>273</v>
      </c>
      <c r="Y2466" s="4" t="s">
        <v>241</v>
      </c>
      <c r="AB2466" s="4" t="s">
        <v>241</v>
      </c>
      <c r="AD2466" s="5" t="s">
        <v>241</v>
      </c>
      <c r="AG2466" s="5" t="s">
        <v>246</v>
      </c>
      <c r="AH2466" s="4" t="s">
        <v>241</v>
      </c>
      <c r="AI2466" s="4" t="s">
        <v>247</v>
      </c>
      <c r="AJ2466" s="4" t="s">
        <v>248</v>
      </c>
      <c r="AZ2466" s="4" t="s">
        <v>249</v>
      </c>
      <c r="BA2466" s="4" t="s">
        <v>241</v>
      </c>
      <c r="BB2466" s="4" t="s">
        <v>250</v>
      </c>
      <c r="BC2466" s="4" t="s">
        <v>241</v>
      </c>
      <c r="BD2466" s="4" t="s">
        <v>252</v>
      </c>
      <c r="BE2466" s="4" t="s">
        <v>241</v>
      </c>
      <c r="BI2466" s="4" t="s">
        <v>253</v>
      </c>
      <c r="BJ2466" s="5" t="s">
        <v>246</v>
      </c>
      <c r="BK2466" s="4" t="s">
        <v>254</v>
      </c>
      <c r="BL2466" s="4" t="s">
        <v>255</v>
      </c>
      <c r="BM2466" s="4" t="s">
        <v>241</v>
      </c>
      <c r="BN2466" s="6">
        <f>0</f>
        <v>0</v>
      </c>
      <c r="BO2466" s="6">
        <f>0</f>
        <v>0</v>
      </c>
      <c r="BP2466" s="4" t="s">
        <v>256</v>
      </c>
      <c r="BQ2466" s="4" t="s">
        <v>257</v>
      </c>
      <c r="CE2466" s="4" t="s">
        <v>241</v>
      </c>
      <c r="CF2466" s="4" t="s">
        <v>241</v>
      </c>
      <c r="CJ2466" s="4" t="s">
        <v>276</v>
      </c>
      <c r="CK2466" s="4" t="s">
        <v>259</v>
      </c>
      <c r="CL2466" s="4" t="s">
        <v>241</v>
      </c>
      <c r="CO2466" s="5" t="s">
        <v>260</v>
      </c>
      <c r="CP2466" s="4" t="s">
        <v>241</v>
      </c>
      <c r="CQ2466" s="4" t="s">
        <v>261</v>
      </c>
      <c r="CR2466" s="4" t="s">
        <v>241</v>
      </c>
      <c r="CS2466" s="4" t="s">
        <v>241</v>
      </c>
      <c r="CT2466" s="4">
        <v>0</v>
      </c>
      <c r="CU2466" s="4" t="s">
        <v>262</v>
      </c>
      <c r="CV2466" s="4" t="s">
        <v>263</v>
      </c>
      <c r="CW2466" s="4" t="s">
        <v>263</v>
      </c>
      <c r="CX2466" s="4" t="s">
        <v>264</v>
      </c>
      <c r="DA2466" s="6">
        <f>1</f>
        <v>1</v>
      </c>
      <c r="DC2466" s="4" t="s">
        <v>325</v>
      </c>
      <c r="DD2466" s="4" t="s">
        <v>241</v>
      </c>
      <c r="DF2466" s="4" t="s">
        <v>325</v>
      </c>
      <c r="DG2466" s="6">
        <f>493</f>
        <v>493</v>
      </c>
      <c r="DI2466" s="4" t="s">
        <v>241</v>
      </c>
      <c r="DJ2466" s="4" t="s">
        <v>241</v>
      </c>
      <c r="DK2466" s="4" t="s">
        <v>241</v>
      </c>
      <c r="DL2466" s="4" t="s">
        <v>241</v>
      </c>
      <c r="DP2466" s="4" t="s">
        <v>241</v>
      </c>
      <c r="DQ2466" s="4" t="s">
        <v>241</v>
      </c>
      <c r="DR2466" s="4" t="s">
        <v>241</v>
      </c>
      <c r="DS2466" s="4" t="s">
        <v>241</v>
      </c>
      <c r="DV2466" s="4" t="s">
        <v>426</v>
      </c>
      <c r="DW2466" s="4" t="s">
        <v>2136</v>
      </c>
      <c r="HO2466" s="4" t="s">
        <v>267</v>
      </c>
    </row>
    <row r="2467" spans="1:223" ht="19.5" customHeight="1" x14ac:dyDescent="0.4">
      <c r="A2467" s="4">
        <v>1</v>
      </c>
      <c r="B2467" s="4" t="s">
        <v>239</v>
      </c>
      <c r="C2467" s="4">
        <v>4170</v>
      </c>
      <c r="D2467" s="4">
        <v>1</v>
      </c>
      <c r="E2467" s="4">
        <v>1</v>
      </c>
      <c r="F2467" s="4" t="s">
        <v>268</v>
      </c>
      <c r="G2467" s="4" t="s">
        <v>241</v>
      </c>
      <c r="H2467" s="4" t="s">
        <v>241</v>
      </c>
      <c r="I2467" s="4" t="s">
        <v>424</v>
      </c>
      <c r="J2467" s="4" t="s">
        <v>274</v>
      </c>
      <c r="K2467" s="4" t="s">
        <v>251</v>
      </c>
      <c r="L2467" s="4" t="s">
        <v>423</v>
      </c>
      <c r="M2467" s="5" t="s">
        <v>4178</v>
      </c>
      <c r="N2467" s="6">
        <f>1127</f>
        <v>1127</v>
      </c>
      <c r="O2467" s="4" t="s">
        <v>265</v>
      </c>
      <c r="P2467" s="6">
        <f>1</f>
        <v>1</v>
      </c>
      <c r="Q2467" s="6">
        <f>0</f>
        <v>0</v>
      </c>
      <c r="S2467" s="6">
        <f>0</f>
        <v>0</v>
      </c>
      <c r="T2467" s="6">
        <f>1</f>
        <v>1</v>
      </c>
      <c r="U2467" s="5" t="s">
        <v>245</v>
      </c>
      <c r="V2467" s="4" t="s">
        <v>270</v>
      </c>
      <c r="W2467" s="4" t="s">
        <v>271</v>
      </c>
      <c r="X2467" s="4" t="s">
        <v>273</v>
      </c>
      <c r="Y2467" s="4" t="s">
        <v>241</v>
      </c>
      <c r="AB2467" s="4" t="s">
        <v>241</v>
      </c>
      <c r="AD2467" s="5" t="s">
        <v>241</v>
      </c>
      <c r="AG2467" s="5" t="s">
        <v>246</v>
      </c>
      <c r="AH2467" s="4" t="s">
        <v>241</v>
      </c>
      <c r="AI2467" s="4" t="s">
        <v>247</v>
      </c>
      <c r="AJ2467" s="4" t="s">
        <v>248</v>
      </c>
      <c r="AZ2467" s="4" t="s">
        <v>249</v>
      </c>
      <c r="BA2467" s="4" t="s">
        <v>241</v>
      </c>
      <c r="BB2467" s="4" t="s">
        <v>250</v>
      </c>
      <c r="BC2467" s="4" t="s">
        <v>241</v>
      </c>
      <c r="BD2467" s="4" t="s">
        <v>252</v>
      </c>
      <c r="BE2467" s="4" t="s">
        <v>241</v>
      </c>
      <c r="BI2467" s="4" t="s">
        <v>253</v>
      </c>
      <c r="BJ2467" s="5" t="s">
        <v>246</v>
      </c>
      <c r="BK2467" s="4" t="s">
        <v>254</v>
      </c>
      <c r="BL2467" s="4" t="s">
        <v>255</v>
      </c>
      <c r="BM2467" s="4" t="s">
        <v>241</v>
      </c>
      <c r="BN2467" s="6">
        <f>0</f>
        <v>0</v>
      </c>
      <c r="BO2467" s="6">
        <f>0</f>
        <v>0</v>
      </c>
      <c r="BP2467" s="4" t="s">
        <v>256</v>
      </c>
      <c r="BQ2467" s="4" t="s">
        <v>257</v>
      </c>
      <c r="CE2467" s="4" t="s">
        <v>241</v>
      </c>
      <c r="CF2467" s="4" t="s">
        <v>241</v>
      </c>
      <c r="CJ2467" s="4" t="s">
        <v>276</v>
      </c>
      <c r="CK2467" s="4" t="s">
        <v>259</v>
      </c>
      <c r="CL2467" s="4" t="s">
        <v>241</v>
      </c>
      <c r="CO2467" s="5" t="s">
        <v>260</v>
      </c>
      <c r="CP2467" s="4" t="s">
        <v>241</v>
      </c>
      <c r="CQ2467" s="4" t="s">
        <v>261</v>
      </c>
      <c r="CR2467" s="4" t="s">
        <v>241</v>
      </c>
      <c r="CS2467" s="4" t="s">
        <v>241</v>
      </c>
      <c r="CT2467" s="4">
        <v>0</v>
      </c>
      <c r="CU2467" s="4" t="s">
        <v>262</v>
      </c>
      <c r="CV2467" s="4" t="s">
        <v>263</v>
      </c>
      <c r="CW2467" s="4" t="s">
        <v>263</v>
      </c>
      <c r="CX2467" s="4" t="s">
        <v>264</v>
      </c>
      <c r="DA2467" s="6">
        <f>1</f>
        <v>1</v>
      </c>
      <c r="DC2467" s="4" t="s">
        <v>325</v>
      </c>
      <c r="DD2467" s="4" t="s">
        <v>241</v>
      </c>
      <c r="DF2467" s="4" t="s">
        <v>325</v>
      </c>
      <c r="DG2467" s="6">
        <f>1127</f>
        <v>1127</v>
      </c>
      <c r="DI2467" s="4" t="s">
        <v>241</v>
      </c>
      <c r="DJ2467" s="4" t="s">
        <v>241</v>
      </c>
      <c r="DK2467" s="4" t="s">
        <v>241</v>
      </c>
      <c r="DL2467" s="4" t="s">
        <v>241</v>
      </c>
      <c r="DP2467" s="4" t="s">
        <v>241</v>
      </c>
      <c r="DQ2467" s="4" t="s">
        <v>241</v>
      </c>
      <c r="DR2467" s="4" t="s">
        <v>241</v>
      </c>
      <c r="DS2467" s="4" t="s">
        <v>241</v>
      </c>
      <c r="DV2467" s="4" t="s">
        <v>426</v>
      </c>
      <c r="DW2467" s="4" t="s">
        <v>2869</v>
      </c>
      <c r="HO2467" s="4" t="s">
        <v>267</v>
      </c>
    </row>
    <row r="2468" spans="1:223" ht="19.5" customHeight="1" x14ac:dyDescent="0.4">
      <c r="A2468" s="4">
        <v>1</v>
      </c>
      <c r="B2468" s="4" t="s">
        <v>239</v>
      </c>
      <c r="C2468" s="4">
        <v>4171</v>
      </c>
      <c r="D2468" s="4">
        <v>1</v>
      </c>
      <c r="E2468" s="4">
        <v>1</v>
      </c>
      <c r="F2468" s="4" t="s">
        <v>268</v>
      </c>
      <c r="G2468" s="4" t="s">
        <v>241</v>
      </c>
      <c r="H2468" s="4" t="s">
        <v>241</v>
      </c>
      <c r="I2468" s="4" t="s">
        <v>424</v>
      </c>
      <c r="J2468" s="4" t="s">
        <v>274</v>
      </c>
      <c r="K2468" s="4" t="s">
        <v>251</v>
      </c>
      <c r="L2468" s="4" t="s">
        <v>423</v>
      </c>
      <c r="M2468" s="5" t="s">
        <v>4161</v>
      </c>
      <c r="N2468" s="6">
        <f>446</f>
        <v>446</v>
      </c>
      <c r="O2468" s="4" t="s">
        <v>265</v>
      </c>
      <c r="P2468" s="6">
        <f>1</f>
        <v>1</v>
      </c>
      <c r="Q2468" s="6">
        <f>0</f>
        <v>0</v>
      </c>
      <c r="S2468" s="6">
        <f>0</f>
        <v>0</v>
      </c>
      <c r="T2468" s="6">
        <f>1</f>
        <v>1</v>
      </c>
      <c r="U2468" s="5" t="s">
        <v>245</v>
      </c>
      <c r="V2468" s="4" t="s">
        <v>270</v>
      </c>
      <c r="W2468" s="4" t="s">
        <v>271</v>
      </c>
      <c r="X2468" s="4" t="s">
        <v>273</v>
      </c>
      <c r="Y2468" s="4" t="s">
        <v>241</v>
      </c>
      <c r="AB2468" s="4" t="s">
        <v>241</v>
      </c>
      <c r="AD2468" s="5" t="s">
        <v>241</v>
      </c>
      <c r="AG2468" s="5" t="s">
        <v>246</v>
      </c>
      <c r="AH2468" s="4" t="s">
        <v>241</v>
      </c>
      <c r="AI2468" s="4" t="s">
        <v>247</v>
      </c>
      <c r="AJ2468" s="4" t="s">
        <v>248</v>
      </c>
      <c r="AZ2468" s="4" t="s">
        <v>249</v>
      </c>
      <c r="BA2468" s="4" t="s">
        <v>241</v>
      </c>
      <c r="BB2468" s="4" t="s">
        <v>250</v>
      </c>
      <c r="BC2468" s="4" t="s">
        <v>241</v>
      </c>
      <c r="BD2468" s="4" t="s">
        <v>252</v>
      </c>
      <c r="BE2468" s="4" t="s">
        <v>241</v>
      </c>
      <c r="BI2468" s="4" t="s">
        <v>253</v>
      </c>
      <c r="BJ2468" s="5" t="s">
        <v>246</v>
      </c>
      <c r="BK2468" s="4" t="s">
        <v>254</v>
      </c>
      <c r="BL2468" s="4" t="s">
        <v>255</v>
      </c>
      <c r="BM2468" s="4" t="s">
        <v>241</v>
      </c>
      <c r="BN2468" s="6">
        <f>0</f>
        <v>0</v>
      </c>
      <c r="BO2468" s="6">
        <f>0</f>
        <v>0</v>
      </c>
      <c r="BP2468" s="4" t="s">
        <v>256</v>
      </c>
      <c r="BQ2468" s="4" t="s">
        <v>257</v>
      </c>
      <c r="CE2468" s="4" t="s">
        <v>241</v>
      </c>
      <c r="CF2468" s="4" t="s">
        <v>241</v>
      </c>
      <c r="CJ2468" s="4" t="s">
        <v>276</v>
      </c>
      <c r="CK2468" s="4" t="s">
        <v>259</v>
      </c>
      <c r="CL2468" s="4" t="s">
        <v>241</v>
      </c>
      <c r="CO2468" s="5" t="s">
        <v>260</v>
      </c>
      <c r="CP2468" s="4" t="s">
        <v>241</v>
      </c>
      <c r="CQ2468" s="4" t="s">
        <v>261</v>
      </c>
      <c r="CR2468" s="4" t="s">
        <v>241</v>
      </c>
      <c r="CS2468" s="4" t="s">
        <v>241</v>
      </c>
      <c r="CT2468" s="4">
        <v>0</v>
      </c>
      <c r="CU2468" s="4" t="s">
        <v>262</v>
      </c>
      <c r="CV2468" s="4" t="s">
        <v>263</v>
      </c>
      <c r="CW2468" s="4" t="s">
        <v>263</v>
      </c>
      <c r="CX2468" s="4" t="s">
        <v>264</v>
      </c>
      <c r="DA2468" s="6">
        <f>1</f>
        <v>1</v>
      </c>
      <c r="DC2468" s="4" t="s">
        <v>325</v>
      </c>
      <c r="DD2468" s="4" t="s">
        <v>241</v>
      </c>
      <c r="DF2468" s="4" t="s">
        <v>325</v>
      </c>
      <c r="DG2468" s="6">
        <f>446</f>
        <v>446</v>
      </c>
      <c r="DI2468" s="4" t="s">
        <v>241</v>
      </c>
      <c r="DJ2468" s="4" t="s">
        <v>241</v>
      </c>
      <c r="DK2468" s="4" t="s">
        <v>241</v>
      </c>
      <c r="DL2468" s="4" t="s">
        <v>241</v>
      </c>
      <c r="DP2468" s="4" t="s">
        <v>241</v>
      </c>
      <c r="DQ2468" s="4" t="s">
        <v>241</v>
      </c>
      <c r="DR2468" s="4" t="s">
        <v>241</v>
      </c>
      <c r="DS2468" s="4" t="s">
        <v>241</v>
      </c>
      <c r="DV2468" s="4" t="s">
        <v>426</v>
      </c>
      <c r="DW2468" s="4" t="s">
        <v>2867</v>
      </c>
      <c r="HO2468" s="4" t="s">
        <v>267</v>
      </c>
    </row>
    <row r="2469" spans="1:223" ht="19.5" customHeight="1" x14ac:dyDescent="0.4">
      <c r="A2469" s="4">
        <v>1</v>
      </c>
      <c r="B2469" s="4" t="s">
        <v>239</v>
      </c>
      <c r="C2469" s="4">
        <v>4172</v>
      </c>
      <c r="D2469" s="4">
        <v>1</v>
      </c>
      <c r="E2469" s="4">
        <v>1</v>
      </c>
      <c r="F2469" s="4" t="s">
        <v>268</v>
      </c>
      <c r="G2469" s="4" t="s">
        <v>241</v>
      </c>
      <c r="H2469" s="4" t="s">
        <v>241</v>
      </c>
      <c r="I2469" s="4" t="s">
        <v>424</v>
      </c>
      <c r="J2469" s="4" t="s">
        <v>274</v>
      </c>
      <c r="K2469" s="4" t="s">
        <v>251</v>
      </c>
      <c r="L2469" s="4" t="s">
        <v>423</v>
      </c>
      <c r="M2469" s="5" t="s">
        <v>4144</v>
      </c>
      <c r="N2469" s="6">
        <f>2452</f>
        <v>2452</v>
      </c>
      <c r="O2469" s="4" t="s">
        <v>265</v>
      </c>
      <c r="P2469" s="6">
        <f>1</f>
        <v>1</v>
      </c>
      <c r="Q2469" s="6">
        <f>0</f>
        <v>0</v>
      </c>
      <c r="S2469" s="6">
        <f>0</f>
        <v>0</v>
      </c>
      <c r="T2469" s="6">
        <f>1</f>
        <v>1</v>
      </c>
      <c r="U2469" s="5" t="s">
        <v>245</v>
      </c>
      <c r="V2469" s="4" t="s">
        <v>270</v>
      </c>
      <c r="W2469" s="4" t="s">
        <v>271</v>
      </c>
      <c r="X2469" s="4" t="s">
        <v>273</v>
      </c>
      <c r="Y2469" s="4" t="s">
        <v>241</v>
      </c>
      <c r="AB2469" s="4" t="s">
        <v>241</v>
      </c>
      <c r="AD2469" s="5" t="s">
        <v>241</v>
      </c>
      <c r="AG2469" s="5" t="s">
        <v>246</v>
      </c>
      <c r="AH2469" s="4" t="s">
        <v>241</v>
      </c>
      <c r="AI2469" s="4" t="s">
        <v>247</v>
      </c>
      <c r="AJ2469" s="4" t="s">
        <v>248</v>
      </c>
      <c r="AZ2469" s="4" t="s">
        <v>249</v>
      </c>
      <c r="BA2469" s="4" t="s">
        <v>241</v>
      </c>
      <c r="BB2469" s="4" t="s">
        <v>250</v>
      </c>
      <c r="BC2469" s="4" t="s">
        <v>241</v>
      </c>
      <c r="BD2469" s="4" t="s">
        <v>252</v>
      </c>
      <c r="BE2469" s="4" t="s">
        <v>241</v>
      </c>
      <c r="BI2469" s="4" t="s">
        <v>253</v>
      </c>
      <c r="BJ2469" s="5" t="s">
        <v>246</v>
      </c>
      <c r="BK2469" s="4" t="s">
        <v>254</v>
      </c>
      <c r="BL2469" s="4" t="s">
        <v>255</v>
      </c>
      <c r="BM2469" s="4" t="s">
        <v>241</v>
      </c>
      <c r="BN2469" s="6">
        <f>0</f>
        <v>0</v>
      </c>
      <c r="BO2469" s="6">
        <f>0</f>
        <v>0</v>
      </c>
      <c r="BP2469" s="4" t="s">
        <v>256</v>
      </c>
      <c r="BQ2469" s="4" t="s">
        <v>257</v>
      </c>
      <c r="CE2469" s="4" t="s">
        <v>241</v>
      </c>
      <c r="CF2469" s="4" t="s">
        <v>241</v>
      </c>
      <c r="CJ2469" s="4" t="s">
        <v>276</v>
      </c>
      <c r="CK2469" s="4" t="s">
        <v>259</v>
      </c>
      <c r="CL2469" s="4" t="s">
        <v>241</v>
      </c>
      <c r="CO2469" s="5" t="s">
        <v>260</v>
      </c>
      <c r="CP2469" s="4" t="s">
        <v>241</v>
      </c>
      <c r="CQ2469" s="4" t="s">
        <v>261</v>
      </c>
      <c r="CR2469" s="4" t="s">
        <v>241</v>
      </c>
      <c r="CS2469" s="4" t="s">
        <v>241</v>
      </c>
      <c r="CT2469" s="4">
        <v>0</v>
      </c>
      <c r="CU2469" s="4" t="s">
        <v>262</v>
      </c>
      <c r="CV2469" s="4" t="s">
        <v>263</v>
      </c>
      <c r="CW2469" s="4" t="s">
        <v>263</v>
      </c>
      <c r="CX2469" s="4" t="s">
        <v>264</v>
      </c>
      <c r="DA2469" s="6">
        <f>1</f>
        <v>1</v>
      </c>
      <c r="DC2469" s="4" t="s">
        <v>325</v>
      </c>
      <c r="DD2469" s="4" t="s">
        <v>241</v>
      </c>
      <c r="DF2469" s="4" t="s">
        <v>325</v>
      </c>
      <c r="DG2469" s="6">
        <f>2452</f>
        <v>2452</v>
      </c>
      <c r="DI2469" s="4" t="s">
        <v>241</v>
      </c>
      <c r="DJ2469" s="4" t="s">
        <v>241</v>
      </c>
      <c r="DK2469" s="4" t="s">
        <v>241</v>
      </c>
      <c r="DL2469" s="4" t="s">
        <v>241</v>
      </c>
      <c r="DP2469" s="4" t="s">
        <v>241</v>
      </c>
      <c r="DQ2469" s="4" t="s">
        <v>241</v>
      </c>
      <c r="DR2469" s="4" t="s">
        <v>241</v>
      </c>
      <c r="DS2469" s="4" t="s">
        <v>241</v>
      </c>
      <c r="DV2469" s="4" t="s">
        <v>426</v>
      </c>
      <c r="DW2469" s="4" t="s">
        <v>2081</v>
      </c>
      <c r="HO2469" s="4" t="s">
        <v>267</v>
      </c>
    </row>
    <row r="2470" spans="1:223" ht="19.5" customHeight="1" x14ac:dyDescent="0.4">
      <c r="A2470" s="4">
        <v>1</v>
      </c>
      <c r="B2470" s="4" t="s">
        <v>239</v>
      </c>
      <c r="C2470" s="4">
        <v>4173</v>
      </c>
      <c r="D2470" s="4">
        <v>1</v>
      </c>
      <c r="E2470" s="4">
        <v>1</v>
      </c>
      <c r="F2470" s="4" t="s">
        <v>268</v>
      </c>
      <c r="G2470" s="4" t="s">
        <v>241</v>
      </c>
      <c r="H2470" s="4" t="s">
        <v>241</v>
      </c>
      <c r="I2470" s="4" t="s">
        <v>424</v>
      </c>
      <c r="J2470" s="4" t="s">
        <v>274</v>
      </c>
      <c r="K2470" s="4" t="s">
        <v>251</v>
      </c>
      <c r="L2470" s="4" t="s">
        <v>423</v>
      </c>
      <c r="M2470" s="5" t="s">
        <v>4168</v>
      </c>
      <c r="N2470" s="6">
        <f>1410</f>
        <v>1410</v>
      </c>
      <c r="O2470" s="4" t="s">
        <v>265</v>
      </c>
      <c r="P2470" s="6">
        <f>1</f>
        <v>1</v>
      </c>
      <c r="Q2470" s="6">
        <f>0</f>
        <v>0</v>
      </c>
      <c r="S2470" s="6">
        <f>0</f>
        <v>0</v>
      </c>
      <c r="T2470" s="6">
        <f>1</f>
        <v>1</v>
      </c>
      <c r="U2470" s="5" t="s">
        <v>245</v>
      </c>
      <c r="V2470" s="4" t="s">
        <v>270</v>
      </c>
      <c r="W2470" s="4" t="s">
        <v>271</v>
      </c>
      <c r="X2470" s="4" t="s">
        <v>273</v>
      </c>
      <c r="Y2470" s="4" t="s">
        <v>241</v>
      </c>
      <c r="AB2470" s="4" t="s">
        <v>241</v>
      </c>
      <c r="AD2470" s="5" t="s">
        <v>241</v>
      </c>
      <c r="AG2470" s="5" t="s">
        <v>246</v>
      </c>
      <c r="AH2470" s="4" t="s">
        <v>241</v>
      </c>
      <c r="AI2470" s="4" t="s">
        <v>247</v>
      </c>
      <c r="AJ2470" s="4" t="s">
        <v>248</v>
      </c>
      <c r="AZ2470" s="4" t="s">
        <v>249</v>
      </c>
      <c r="BA2470" s="4" t="s">
        <v>241</v>
      </c>
      <c r="BB2470" s="4" t="s">
        <v>250</v>
      </c>
      <c r="BC2470" s="4" t="s">
        <v>241</v>
      </c>
      <c r="BD2470" s="4" t="s">
        <v>252</v>
      </c>
      <c r="BE2470" s="4" t="s">
        <v>241</v>
      </c>
      <c r="BI2470" s="4" t="s">
        <v>253</v>
      </c>
      <c r="BJ2470" s="5" t="s">
        <v>246</v>
      </c>
      <c r="BK2470" s="4" t="s">
        <v>254</v>
      </c>
      <c r="BL2470" s="4" t="s">
        <v>255</v>
      </c>
      <c r="BM2470" s="4" t="s">
        <v>241</v>
      </c>
      <c r="BN2470" s="6">
        <f>0</f>
        <v>0</v>
      </c>
      <c r="BO2470" s="6">
        <f>0</f>
        <v>0</v>
      </c>
      <c r="BP2470" s="4" t="s">
        <v>256</v>
      </c>
      <c r="BQ2470" s="4" t="s">
        <v>257</v>
      </c>
      <c r="CE2470" s="4" t="s">
        <v>241</v>
      </c>
      <c r="CF2470" s="4" t="s">
        <v>241</v>
      </c>
      <c r="CJ2470" s="4" t="s">
        <v>276</v>
      </c>
      <c r="CK2470" s="4" t="s">
        <v>259</v>
      </c>
      <c r="CL2470" s="4" t="s">
        <v>241</v>
      </c>
      <c r="CO2470" s="5" t="s">
        <v>260</v>
      </c>
      <c r="CP2470" s="4" t="s">
        <v>241</v>
      </c>
      <c r="CQ2470" s="4" t="s">
        <v>261</v>
      </c>
      <c r="CR2470" s="4" t="s">
        <v>241</v>
      </c>
      <c r="CS2470" s="4" t="s">
        <v>241</v>
      </c>
      <c r="CT2470" s="4">
        <v>0</v>
      </c>
      <c r="CU2470" s="4" t="s">
        <v>262</v>
      </c>
      <c r="CV2470" s="4" t="s">
        <v>263</v>
      </c>
      <c r="CW2470" s="4" t="s">
        <v>263</v>
      </c>
      <c r="CX2470" s="4" t="s">
        <v>264</v>
      </c>
      <c r="DA2470" s="6">
        <f>1</f>
        <v>1</v>
      </c>
      <c r="DC2470" s="4" t="s">
        <v>325</v>
      </c>
      <c r="DD2470" s="4" t="s">
        <v>241</v>
      </c>
      <c r="DF2470" s="4" t="s">
        <v>325</v>
      </c>
      <c r="DG2470" s="6">
        <f>1410</f>
        <v>1410</v>
      </c>
      <c r="DI2470" s="4" t="s">
        <v>241</v>
      </c>
      <c r="DJ2470" s="4" t="s">
        <v>241</v>
      </c>
      <c r="DK2470" s="4" t="s">
        <v>241</v>
      </c>
      <c r="DL2470" s="4" t="s">
        <v>241</v>
      </c>
      <c r="DP2470" s="4" t="s">
        <v>241</v>
      </c>
      <c r="DQ2470" s="4" t="s">
        <v>241</v>
      </c>
      <c r="DR2470" s="4" t="s">
        <v>241</v>
      </c>
      <c r="DS2470" s="4" t="s">
        <v>241</v>
      </c>
      <c r="DV2470" s="4" t="s">
        <v>426</v>
      </c>
      <c r="DW2470" s="4" t="s">
        <v>2865</v>
      </c>
      <c r="HO2470" s="4" t="s">
        <v>267</v>
      </c>
    </row>
    <row r="2471" spans="1:223" ht="19.5" customHeight="1" x14ac:dyDescent="0.4">
      <c r="A2471" s="4">
        <v>1</v>
      </c>
      <c r="B2471" s="4" t="s">
        <v>239</v>
      </c>
      <c r="C2471" s="4">
        <v>4174</v>
      </c>
      <c r="D2471" s="4">
        <v>1</v>
      </c>
      <c r="E2471" s="4">
        <v>1</v>
      </c>
      <c r="F2471" s="4" t="s">
        <v>268</v>
      </c>
      <c r="G2471" s="4" t="s">
        <v>241</v>
      </c>
      <c r="H2471" s="4" t="s">
        <v>241</v>
      </c>
      <c r="I2471" s="4" t="s">
        <v>424</v>
      </c>
      <c r="J2471" s="4" t="s">
        <v>274</v>
      </c>
      <c r="K2471" s="4" t="s">
        <v>251</v>
      </c>
      <c r="L2471" s="4" t="s">
        <v>423</v>
      </c>
      <c r="M2471" s="5" t="s">
        <v>4129</v>
      </c>
      <c r="N2471" s="6">
        <f>2354</f>
        <v>2354</v>
      </c>
      <c r="O2471" s="4" t="s">
        <v>265</v>
      </c>
      <c r="P2471" s="6">
        <f>1</f>
        <v>1</v>
      </c>
      <c r="Q2471" s="6">
        <f>0</f>
        <v>0</v>
      </c>
      <c r="S2471" s="6">
        <f>0</f>
        <v>0</v>
      </c>
      <c r="T2471" s="6">
        <f>1</f>
        <v>1</v>
      </c>
      <c r="U2471" s="5" t="s">
        <v>245</v>
      </c>
      <c r="V2471" s="4" t="s">
        <v>270</v>
      </c>
      <c r="W2471" s="4" t="s">
        <v>271</v>
      </c>
      <c r="X2471" s="4" t="s">
        <v>273</v>
      </c>
      <c r="Y2471" s="4" t="s">
        <v>241</v>
      </c>
      <c r="AB2471" s="4" t="s">
        <v>241</v>
      </c>
      <c r="AD2471" s="5" t="s">
        <v>241</v>
      </c>
      <c r="AG2471" s="5" t="s">
        <v>246</v>
      </c>
      <c r="AH2471" s="4" t="s">
        <v>241</v>
      </c>
      <c r="AI2471" s="4" t="s">
        <v>247</v>
      </c>
      <c r="AJ2471" s="4" t="s">
        <v>248</v>
      </c>
      <c r="AZ2471" s="4" t="s">
        <v>249</v>
      </c>
      <c r="BA2471" s="4" t="s">
        <v>241</v>
      </c>
      <c r="BB2471" s="4" t="s">
        <v>250</v>
      </c>
      <c r="BC2471" s="4" t="s">
        <v>241</v>
      </c>
      <c r="BD2471" s="4" t="s">
        <v>252</v>
      </c>
      <c r="BE2471" s="4" t="s">
        <v>241</v>
      </c>
      <c r="BI2471" s="4" t="s">
        <v>253</v>
      </c>
      <c r="BJ2471" s="5" t="s">
        <v>246</v>
      </c>
      <c r="BK2471" s="4" t="s">
        <v>254</v>
      </c>
      <c r="BL2471" s="4" t="s">
        <v>255</v>
      </c>
      <c r="BM2471" s="4" t="s">
        <v>241</v>
      </c>
      <c r="BN2471" s="6">
        <f>0</f>
        <v>0</v>
      </c>
      <c r="BO2471" s="6">
        <f>0</f>
        <v>0</v>
      </c>
      <c r="BP2471" s="4" t="s">
        <v>256</v>
      </c>
      <c r="BQ2471" s="4" t="s">
        <v>257</v>
      </c>
      <c r="CE2471" s="4" t="s">
        <v>241</v>
      </c>
      <c r="CF2471" s="4" t="s">
        <v>241</v>
      </c>
      <c r="CJ2471" s="4" t="s">
        <v>276</v>
      </c>
      <c r="CK2471" s="4" t="s">
        <v>259</v>
      </c>
      <c r="CL2471" s="4" t="s">
        <v>241</v>
      </c>
      <c r="CO2471" s="5" t="s">
        <v>260</v>
      </c>
      <c r="CP2471" s="4" t="s">
        <v>241</v>
      </c>
      <c r="CQ2471" s="4" t="s">
        <v>261</v>
      </c>
      <c r="CR2471" s="4" t="s">
        <v>241</v>
      </c>
      <c r="CS2471" s="4" t="s">
        <v>241</v>
      </c>
      <c r="CT2471" s="4">
        <v>0</v>
      </c>
      <c r="CU2471" s="4" t="s">
        <v>262</v>
      </c>
      <c r="CV2471" s="4" t="s">
        <v>263</v>
      </c>
      <c r="CW2471" s="4" t="s">
        <v>263</v>
      </c>
      <c r="CX2471" s="4" t="s">
        <v>264</v>
      </c>
      <c r="DA2471" s="6">
        <f>1</f>
        <v>1</v>
      </c>
      <c r="DC2471" s="4" t="s">
        <v>325</v>
      </c>
      <c r="DD2471" s="4" t="s">
        <v>241</v>
      </c>
      <c r="DF2471" s="4" t="s">
        <v>325</v>
      </c>
      <c r="DG2471" s="6">
        <f>2354</f>
        <v>2354</v>
      </c>
      <c r="DI2471" s="4" t="s">
        <v>241</v>
      </c>
      <c r="DJ2471" s="4" t="s">
        <v>241</v>
      </c>
      <c r="DK2471" s="4" t="s">
        <v>241</v>
      </c>
      <c r="DL2471" s="4" t="s">
        <v>241</v>
      </c>
      <c r="DP2471" s="4" t="s">
        <v>241</v>
      </c>
      <c r="DQ2471" s="4" t="s">
        <v>241</v>
      </c>
      <c r="DR2471" s="4" t="s">
        <v>241</v>
      </c>
      <c r="DS2471" s="4" t="s">
        <v>241</v>
      </c>
      <c r="DV2471" s="4" t="s">
        <v>426</v>
      </c>
      <c r="DW2471" s="4" t="s">
        <v>2863</v>
      </c>
      <c r="HO2471" s="4" t="s">
        <v>267</v>
      </c>
    </row>
    <row r="2472" spans="1:223" ht="19.5" customHeight="1" x14ac:dyDescent="0.4">
      <c r="A2472" s="4">
        <v>1</v>
      </c>
      <c r="B2472" s="4" t="s">
        <v>239</v>
      </c>
      <c r="C2472" s="4">
        <v>4175</v>
      </c>
      <c r="D2472" s="4">
        <v>1</v>
      </c>
      <c r="E2472" s="4">
        <v>1</v>
      </c>
      <c r="F2472" s="4" t="s">
        <v>268</v>
      </c>
      <c r="G2472" s="4" t="s">
        <v>241</v>
      </c>
      <c r="H2472" s="4" t="s">
        <v>241</v>
      </c>
      <c r="I2472" s="4" t="s">
        <v>424</v>
      </c>
      <c r="J2472" s="4" t="s">
        <v>274</v>
      </c>
      <c r="K2472" s="4" t="s">
        <v>251</v>
      </c>
      <c r="L2472" s="4" t="s">
        <v>423</v>
      </c>
      <c r="M2472" s="5" t="s">
        <v>4172</v>
      </c>
      <c r="N2472" s="6">
        <f>348</f>
        <v>348</v>
      </c>
      <c r="O2472" s="4" t="s">
        <v>265</v>
      </c>
      <c r="P2472" s="6">
        <f>1</f>
        <v>1</v>
      </c>
      <c r="Q2472" s="6">
        <f>0</f>
        <v>0</v>
      </c>
      <c r="S2472" s="6">
        <f>0</f>
        <v>0</v>
      </c>
      <c r="T2472" s="6">
        <f>1</f>
        <v>1</v>
      </c>
      <c r="U2472" s="5" t="s">
        <v>245</v>
      </c>
      <c r="V2472" s="4" t="s">
        <v>270</v>
      </c>
      <c r="W2472" s="4" t="s">
        <v>271</v>
      </c>
      <c r="X2472" s="4" t="s">
        <v>273</v>
      </c>
      <c r="Y2472" s="4" t="s">
        <v>241</v>
      </c>
      <c r="AB2472" s="4" t="s">
        <v>241</v>
      </c>
      <c r="AD2472" s="5" t="s">
        <v>241</v>
      </c>
      <c r="AG2472" s="5" t="s">
        <v>246</v>
      </c>
      <c r="AH2472" s="4" t="s">
        <v>241</v>
      </c>
      <c r="AI2472" s="4" t="s">
        <v>247</v>
      </c>
      <c r="AJ2472" s="4" t="s">
        <v>248</v>
      </c>
      <c r="AZ2472" s="4" t="s">
        <v>249</v>
      </c>
      <c r="BA2472" s="4" t="s">
        <v>241</v>
      </c>
      <c r="BB2472" s="4" t="s">
        <v>250</v>
      </c>
      <c r="BC2472" s="4" t="s">
        <v>241</v>
      </c>
      <c r="BD2472" s="4" t="s">
        <v>252</v>
      </c>
      <c r="BE2472" s="4" t="s">
        <v>241</v>
      </c>
      <c r="BI2472" s="4" t="s">
        <v>253</v>
      </c>
      <c r="BJ2472" s="5" t="s">
        <v>246</v>
      </c>
      <c r="BK2472" s="4" t="s">
        <v>254</v>
      </c>
      <c r="BL2472" s="4" t="s">
        <v>255</v>
      </c>
      <c r="BM2472" s="4" t="s">
        <v>241</v>
      </c>
      <c r="BN2472" s="6">
        <f>0</f>
        <v>0</v>
      </c>
      <c r="BO2472" s="6">
        <f>0</f>
        <v>0</v>
      </c>
      <c r="BP2472" s="4" t="s">
        <v>256</v>
      </c>
      <c r="BQ2472" s="4" t="s">
        <v>257</v>
      </c>
      <c r="CE2472" s="4" t="s">
        <v>241</v>
      </c>
      <c r="CF2472" s="4" t="s">
        <v>241</v>
      </c>
      <c r="CJ2472" s="4" t="s">
        <v>276</v>
      </c>
      <c r="CK2472" s="4" t="s">
        <v>259</v>
      </c>
      <c r="CL2472" s="4" t="s">
        <v>241</v>
      </c>
      <c r="CO2472" s="5" t="s">
        <v>260</v>
      </c>
      <c r="CP2472" s="4" t="s">
        <v>241</v>
      </c>
      <c r="CQ2472" s="4" t="s">
        <v>261</v>
      </c>
      <c r="CR2472" s="4" t="s">
        <v>241</v>
      </c>
      <c r="CS2472" s="4" t="s">
        <v>241</v>
      </c>
      <c r="CT2472" s="4">
        <v>0</v>
      </c>
      <c r="CU2472" s="4" t="s">
        <v>262</v>
      </c>
      <c r="CV2472" s="4" t="s">
        <v>263</v>
      </c>
      <c r="CW2472" s="4" t="s">
        <v>263</v>
      </c>
      <c r="CX2472" s="4" t="s">
        <v>264</v>
      </c>
      <c r="DA2472" s="6">
        <f>1</f>
        <v>1</v>
      </c>
      <c r="DC2472" s="4" t="s">
        <v>325</v>
      </c>
      <c r="DD2472" s="4" t="s">
        <v>241</v>
      </c>
      <c r="DF2472" s="4" t="s">
        <v>325</v>
      </c>
      <c r="DG2472" s="6">
        <f>348</f>
        <v>348</v>
      </c>
      <c r="DI2472" s="4" t="s">
        <v>241</v>
      </c>
      <c r="DJ2472" s="4" t="s">
        <v>241</v>
      </c>
      <c r="DK2472" s="4" t="s">
        <v>241</v>
      </c>
      <c r="DL2472" s="4" t="s">
        <v>241</v>
      </c>
      <c r="DP2472" s="4" t="s">
        <v>241</v>
      </c>
      <c r="DQ2472" s="4" t="s">
        <v>241</v>
      </c>
      <c r="DR2472" s="4" t="s">
        <v>241</v>
      </c>
      <c r="DS2472" s="4" t="s">
        <v>241</v>
      </c>
      <c r="DV2472" s="4" t="s">
        <v>426</v>
      </c>
      <c r="DW2472" s="4" t="s">
        <v>2938</v>
      </c>
      <c r="HO2472" s="4" t="s">
        <v>267</v>
      </c>
    </row>
    <row r="2473" spans="1:223" ht="19.5" customHeight="1" x14ac:dyDescent="0.4">
      <c r="A2473" s="4">
        <v>1</v>
      </c>
      <c r="B2473" s="4" t="s">
        <v>239</v>
      </c>
      <c r="C2473" s="4">
        <v>4176</v>
      </c>
      <c r="D2473" s="4">
        <v>1</v>
      </c>
      <c r="E2473" s="4">
        <v>1</v>
      </c>
      <c r="F2473" s="4" t="s">
        <v>268</v>
      </c>
      <c r="G2473" s="4" t="s">
        <v>241</v>
      </c>
      <c r="H2473" s="4" t="s">
        <v>241</v>
      </c>
      <c r="I2473" s="4" t="s">
        <v>424</v>
      </c>
      <c r="J2473" s="4" t="s">
        <v>274</v>
      </c>
      <c r="K2473" s="4" t="s">
        <v>251</v>
      </c>
      <c r="L2473" s="4" t="s">
        <v>423</v>
      </c>
      <c r="M2473" s="5" t="s">
        <v>5072</v>
      </c>
      <c r="N2473" s="6">
        <f>2158</f>
        <v>2158</v>
      </c>
      <c r="O2473" s="4" t="s">
        <v>265</v>
      </c>
      <c r="P2473" s="6">
        <f>1</f>
        <v>1</v>
      </c>
      <c r="Q2473" s="6">
        <f>0</f>
        <v>0</v>
      </c>
      <c r="S2473" s="6">
        <f>0</f>
        <v>0</v>
      </c>
      <c r="T2473" s="6">
        <f>1</f>
        <v>1</v>
      </c>
      <c r="U2473" s="5" t="s">
        <v>245</v>
      </c>
      <c r="V2473" s="4" t="s">
        <v>270</v>
      </c>
      <c r="W2473" s="4" t="s">
        <v>271</v>
      </c>
      <c r="X2473" s="4" t="s">
        <v>273</v>
      </c>
      <c r="Y2473" s="4" t="s">
        <v>241</v>
      </c>
      <c r="AB2473" s="4" t="s">
        <v>241</v>
      </c>
      <c r="AD2473" s="5" t="s">
        <v>241</v>
      </c>
      <c r="AG2473" s="5" t="s">
        <v>246</v>
      </c>
      <c r="AH2473" s="4" t="s">
        <v>241</v>
      </c>
      <c r="AI2473" s="4" t="s">
        <v>247</v>
      </c>
      <c r="AJ2473" s="4" t="s">
        <v>248</v>
      </c>
      <c r="AZ2473" s="4" t="s">
        <v>249</v>
      </c>
      <c r="BA2473" s="4" t="s">
        <v>241</v>
      </c>
      <c r="BB2473" s="4" t="s">
        <v>250</v>
      </c>
      <c r="BC2473" s="4" t="s">
        <v>241</v>
      </c>
      <c r="BD2473" s="4" t="s">
        <v>252</v>
      </c>
      <c r="BE2473" s="4" t="s">
        <v>241</v>
      </c>
      <c r="BI2473" s="4" t="s">
        <v>253</v>
      </c>
      <c r="BJ2473" s="5" t="s">
        <v>246</v>
      </c>
      <c r="BK2473" s="4" t="s">
        <v>254</v>
      </c>
      <c r="BL2473" s="4" t="s">
        <v>255</v>
      </c>
      <c r="BM2473" s="4" t="s">
        <v>241</v>
      </c>
      <c r="BN2473" s="6">
        <f>0</f>
        <v>0</v>
      </c>
      <c r="BO2473" s="6">
        <f>0</f>
        <v>0</v>
      </c>
      <c r="BP2473" s="4" t="s">
        <v>256</v>
      </c>
      <c r="BQ2473" s="4" t="s">
        <v>257</v>
      </c>
      <c r="CE2473" s="4" t="s">
        <v>241</v>
      </c>
      <c r="CF2473" s="4" t="s">
        <v>241</v>
      </c>
      <c r="CJ2473" s="4" t="s">
        <v>276</v>
      </c>
      <c r="CK2473" s="4" t="s">
        <v>259</v>
      </c>
      <c r="CL2473" s="4" t="s">
        <v>241</v>
      </c>
      <c r="CO2473" s="5" t="s">
        <v>260</v>
      </c>
      <c r="CP2473" s="4" t="s">
        <v>241</v>
      </c>
      <c r="CQ2473" s="4" t="s">
        <v>261</v>
      </c>
      <c r="CR2473" s="4" t="s">
        <v>241</v>
      </c>
      <c r="CS2473" s="4" t="s">
        <v>241</v>
      </c>
      <c r="CT2473" s="4">
        <v>0</v>
      </c>
      <c r="CU2473" s="4" t="s">
        <v>262</v>
      </c>
      <c r="CV2473" s="4" t="s">
        <v>263</v>
      </c>
      <c r="CW2473" s="4" t="s">
        <v>263</v>
      </c>
      <c r="CX2473" s="4" t="s">
        <v>264</v>
      </c>
      <c r="DA2473" s="6">
        <f>1</f>
        <v>1</v>
      </c>
      <c r="DC2473" s="4" t="s">
        <v>325</v>
      </c>
      <c r="DD2473" s="4" t="s">
        <v>241</v>
      </c>
      <c r="DF2473" s="4" t="s">
        <v>325</v>
      </c>
      <c r="DG2473" s="6">
        <f>2158</f>
        <v>2158</v>
      </c>
      <c r="DI2473" s="4" t="s">
        <v>241</v>
      </c>
      <c r="DJ2473" s="4" t="s">
        <v>241</v>
      </c>
      <c r="DK2473" s="4" t="s">
        <v>241</v>
      </c>
      <c r="DL2473" s="4" t="s">
        <v>241</v>
      </c>
      <c r="DP2473" s="4" t="s">
        <v>241</v>
      </c>
      <c r="DQ2473" s="4" t="s">
        <v>241</v>
      </c>
      <c r="DR2473" s="4" t="s">
        <v>241</v>
      </c>
      <c r="DS2473" s="4" t="s">
        <v>241</v>
      </c>
      <c r="DV2473" s="4" t="s">
        <v>426</v>
      </c>
      <c r="DW2473" s="4" t="s">
        <v>2940</v>
      </c>
      <c r="HO2473" s="4" t="s">
        <v>267</v>
      </c>
    </row>
    <row r="2474" spans="1:223" ht="19.5" customHeight="1" x14ac:dyDescent="0.4">
      <c r="A2474" s="4">
        <v>1</v>
      </c>
      <c r="B2474" s="4" t="s">
        <v>239</v>
      </c>
      <c r="C2474" s="4">
        <v>4177</v>
      </c>
      <c r="D2474" s="4">
        <v>1</v>
      </c>
      <c r="E2474" s="4">
        <v>1</v>
      </c>
      <c r="F2474" s="4" t="s">
        <v>268</v>
      </c>
      <c r="G2474" s="4" t="s">
        <v>241</v>
      </c>
      <c r="H2474" s="4" t="s">
        <v>241</v>
      </c>
      <c r="I2474" s="4" t="s">
        <v>424</v>
      </c>
      <c r="J2474" s="4" t="s">
        <v>274</v>
      </c>
      <c r="K2474" s="4" t="s">
        <v>251</v>
      </c>
      <c r="L2474" s="4" t="s">
        <v>423</v>
      </c>
      <c r="M2474" s="5" t="s">
        <v>4202</v>
      </c>
      <c r="N2474" s="6">
        <f>981</f>
        <v>981</v>
      </c>
      <c r="O2474" s="4" t="s">
        <v>265</v>
      </c>
      <c r="P2474" s="6">
        <f>1</f>
        <v>1</v>
      </c>
      <c r="Q2474" s="6">
        <f>0</f>
        <v>0</v>
      </c>
      <c r="S2474" s="6">
        <f>0</f>
        <v>0</v>
      </c>
      <c r="T2474" s="6">
        <f>1</f>
        <v>1</v>
      </c>
      <c r="U2474" s="5" t="s">
        <v>245</v>
      </c>
      <c r="V2474" s="4" t="s">
        <v>270</v>
      </c>
      <c r="W2474" s="4" t="s">
        <v>271</v>
      </c>
      <c r="X2474" s="4" t="s">
        <v>273</v>
      </c>
      <c r="Y2474" s="4" t="s">
        <v>241</v>
      </c>
      <c r="AB2474" s="4" t="s">
        <v>241</v>
      </c>
      <c r="AD2474" s="5" t="s">
        <v>241</v>
      </c>
      <c r="AG2474" s="5" t="s">
        <v>246</v>
      </c>
      <c r="AH2474" s="4" t="s">
        <v>241</v>
      </c>
      <c r="AI2474" s="4" t="s">
        <v>247</v>
      </c>
      <c r="AJ2474" s="4" t="s">
        <v>248</v>
      </c>
      <c r="AZ2474" s="4" t="s">
        <v>249</v>
      </c>
      <c r="BA2474" s="4" t="s">
        <v>241</v>
      </c>
      <c r="BB2474" s="4" t="s">
        <v>250</v>
      </c>
      <c r="BC2474" s="4" t="s">
        <v>241</v>
      </c>
      <c r="BD2474" s="4" t="s">
        <v>252</v>
      </c>
      <c r="BE2474" s="4" t="s">
        <v>241</v>
      </c>
      <c r="BI2474" s="4" t="s">
        <v>253</v>
      </c>
      <c r="BJ2474" s="5" t="s">
        <v>246</v>
      </c>
      <c r="BK2474" s="4" t="s">
        <v>254</v>
      </c>
      <c r="BL2474" s="4" t="s">
        <v>255</v>
      </c>
      <c r="BM2474" s="4" t="s">
        <v>241</v>
      </c>
      <c r="BN2474" s="6">
        <f>0</f>
        <v>0</v>
      </c>
      <c r="BO2474" s="6">
        <f>0</f>
        <v>0</v>
      </c>
      <c r="BP2474" s="4" t="s">
        <v>256</v>
      </c>
      <c r="BQ2474" s="4" t="s">
        <v>257</v>
      </c>
      <c r="CE2474" s="4" t="s">
        <v>241</v>
      </c>
      <c r="CF2474" s="4" t="s">
        <v>241</v>
      </c>
      <c r="CJ2474" s="4" t="s">
        <v>276</v>
      </c>
      <c r="CK2474" s="4" t="s">
        <v>259</v>
      </c>
      <c r="CL2474" s="4" t="s">
        <v>241</v>
      </c>
      <c r="CO2474" s="5" t="s">
        <v>260</v>
      </c>
      <c r="CP2474" s="4" t="s">
        <v>241</v>
      </c>
      <c r="CQ2474" s="4" t="s">
        <v>261</v>
      </c>
      <c r="CR2474" s="4" t="s">
        <v>241</v>
      </c>
      <c r="CS2474" s="4" t="s">
        <v>241</v>
      </c>
      <c r="CT2474" s="4">
        <v>0</v>
      </c>
      <c r="CU2474" s="4" t="s">
        <v>262</v>
      </c>
      <c r="CV2474" s="4" t="s">
        <v>263</v>
      </c>
      <c r="CW2474" s="4" t="s">
        <v>263</v>
      </c>
      <c r="CX2474" s="4" t="s">
        <v>264</v>
      </c>
      <c r="DA2474" s="6">
        <f>1</f>
        <v>1</v>
      </c>
      <c r="DC2474" s="4" t="s">
        <v>325</v>
      </c>
      <c r="DD2474" s="4" t="s">
        <v>241</v>
      </c>
      <c r="DF2474" s="4" t="s">
        <v>325</v>
      </c>
      <c r="DG2474" s="6">
        <f>981</f>
        <v>981</v>
      </c>
      <c r="DI2474" s="4" t="s">
        <v>241</v>
      </c>
      <c r="DJ2474" s="4" t="s">
        <v>241</v>
      </c>
      <c r="DK2474" s="4" t="s">
        <v>241</v>
      </c>
      <c r="DL2474" s="4" t="s">
        <v>241</v>
      </c>
      <c r="DP2474" s="4" t="s">
        <v>241</v>
      </c>
      <c r="DQ2474" s="4" t="s">
        <v>241</v>
      </c>
      <c r="DR2474" s="4" t="s">
        <v>241</v>
      </c>
      <c r="DS2474" s="4" t="s">
        <v>241</v>
      </c>
      <c r="DV2474" s="4" t="s">
        <v>426</v>
      </c>
      <c r="DW2474" s="4" t="s">
        <v>2936</v>
      </c>
      <c r="HO2474" s="4" t="s">
        <v>267</v>
      </c>
    </row>
    <row r="2475" spans="1:223" ht="19.5" customHeight="1" x14ac:dyDescent="0.4">
      <c r="A2475" s="4">
        <v>1</v>
      </c>
      <c r="B2475" s="4" t="s">
        <v>239</v>
      </c>
      <c r="C2475" s="4">
        <v>4178</v>
      </c>
      <c r="D2475" s="4">
        <v>1</v>
      </c>
      <c r="E2475" s="4">
        <v>1</v>
      </c>
      <c r="F2475" s="4" t="s">
        <v>268</v>
      </c>
      <c r="G2475" s="4" t="s">
        <v>241</v>
      </c>
      <c r="H2475" s="4" t="s">
        <v>241</v>
      </c>
      <c r="I2475" s="4" t="s">
        <v>424</v>
      </c>
      <c r="J2475" s="4" t="s">
        <v>274</v>
      </c>
      <c r="K2475" s="4" t="s">
        <v>251</v>
      </c>
      <c r="L2475" s="4" t="s">
        <v>423</v>
      </c>
      <c r="M2475" s="5" t="s">
        <v>4133</v>
      </c>
      <c r="N2475" s="6">
        <f>924</f>
        <v>924</v>
      </c>
      <c r="O2475" s="4" t="s">
        <v>265</v>
      </c>
      <c r="P2475" s="6">
        <f>1</f>
        <v>1</v>
      </c>
      <c r="Q2475" s="6">
        <f>0</f>
        <v>0</v>
      </c>
      <c r="S2475" s="6">
        <f>0</f>
        <v>0</v>
      </c>
      <c r="T2475" s="6">
        <f>1</f>
        <v>1</v>
      </c>
      <c r="U2475" s="5" t="s">
        <v>245</v>
      </c>
      <c r="V2475" s="4" t="s">
        <v>270</v>
      </c>
      <c r="W2475" s="4" t="s">
        <v>271</v>
      </c>
      <c r="X2475" s="4" t="s">
        <v>273</v>
      </c>
      <c r="Y2475" s="4" t="s">
        <v>241</v>
      </c>
      <c r="AB2475" s="4" t="s">
        <v>241</v>
      </c>
      <c r="AD2475" s="5" t="s">
        <v>241</v>
      </c>
      <c r="AG2475" s="5" t="s">
        <v>246</v>
      </c>
      <c r="AH2475" s="4" t="s">
        <v>241</v>
      </c>
      <c r="AI2475" s="4" t="s">
        <v>247</v>
      </c>
      <c r="AJ2475" s="4" t="s">
        <v>248</v>
      </c>
      <c r="AZ2475" s="4" t="s">
        <v>249</v>
      </c>
      <c r="BA2475" s="4" t="s">
        <v>241</v>
      </c>
      <c r="BB2475" s="4" t="s">
        <v>250</v>
      </c>
      <c r="BC2475" s="4" t="s">
        <v>241</v>
      </c>
      <c r="BD2475" s="4" t="s">
        <v>252</v>
      </c>
      <c r="BE2475" s="4" t="s">
        <v>241</v>
      </c>
      <c r="BI2475" s="4" t="s">
        <v>253</v>
      </c>
      <c r="BJ2475" s="5" t="s">
        <v>246</v>
      </c>
      <c r="BK2475" s="4" t="s">
        <v>254</v>
      </c>
      <c r="BL2475" s="4" t="s">
        <v>255</v>
      </c>
      <c r="BM2475" s="4" t="s">
        <v>241</v>
      </c>
      <c r="BN2475" s="6">
        <f>0</f>
        <v>0</v>
      </c>
      <c r="BO2475" s="6">
        <f>0</f>
        <v>0</v>
      </c>
      <c r="BP2475" s="4" t="s">
        <v>256</v>
      </c>
      <c r="BQ2475" s="4" t="s">
        <v>257</v>
      </c>
      <c r="CE2475" s="4" t="s">
        <v>241</v>
      </c>
      <c r="CF2475" s="4" t="s">
        <v>241</v>
      </c>
      <c r="CJ2475" s="4" t="s">
        <v>276</v>
      </c>
      <c r="CK2475" s="4" t="s">
        <v>259</v>
      </c>
      <c r="CL2475" s="4" t="s">
        <v>241</v>
      </c>
      <c r="CO2475" s="5" t="s">
        <v>260</v>
      </c>
      <c r="CP2475" s="4" t="s">
        <v>241</v>
      </c>
      <c r="CQ2475" s="4" t="s">
        <v>261</v>
      </c>
      <c r="CR2475" s="4" t="s">
        <v>241</v>
      </c>
      <c r="CS2475" s="4" t="s">
        <v>241</v>
      </c>
      <c r="CT2475" s="4">
        <v>0</v>
      </c>
      <c r="CU2475" s="4" t="s">
        <v>262</v>
      </c>
      <c r="CV2475" s="4" t="s">
        <v>263</v>
      </c>
      <c r="CW2475" s="4" t="s">
        <v>263</v>
      </c>
      <c r="CX2475" s="4" t="s">
        <v>264</v>
      </c>
      <c r="DA2475" s="6">
        <f>1</f>
        <v>1</v>
      </c>
      <c r="DC2475" s="4" t="s">
        <v>325</v>
      </c>
      <c r="DD2475" s="4" t="s">
        <v>241</v>
      </c>
      <c r="DF2475" s="4" t="s">
        <v>325</v>
      </c>
      <c r="DG2475" s="6">
        <f>924</f>
        <v>924</v>
      </c>
      <c r="DI2475" s="4" t="s">
        <v>241</v>
      </c>
      <c r="DJ2475" s="4" t="s">
        <v>241</v>
      </c>
      <c r="DK2475" s="4" t="s">
        <v>241</v>
      </c>
      <c r="DL2475" s="4" t="s">
        <v>241</v>
      </c>
      <c r="DP2475" s="4" t="s">
        <v>241</v>
      </c>
      <c r="DQ2475" s="4" t="s">
        <v>241</v>
      </c>
      <c r="DR2475" s="4" t="s">
        <v>241</v>
      </c>
      <c r="DS2475" s="4" t="s">
        <v>241</v>
      </c>
      <c r="DV2475" s="4" t="s">
        <v>426</v>
      </c>
      <c r="DW2475" s="4" t="s">
        <v>2934</v>
      </c>
      <c r="HO2475" s="4" t="s">
        <v>267</v>
      </c>
    </row>
    <row r="2476" spans="1:223" ht="19.5" customHeight="1" x14ac:dyDescent="0.4">
      <c r="A2476" s="4">
        <v>1</v>
      </c>
      <c r="B2476" s="4" t="s">
        <v>239</v>
      </c>
      <c r="C2476" s="4">
        <v>4179</v>
      </c>
      <c r="D2476" s="4">
        <v>1</v>
      </c>
      <c r="E2476" s="4">
        <v>1</v>
      </c>
      <c r="F2476" s="4" t="s">
        <v>268</v>
      </c>
      <c r="G2476" s="4" t="s">
        <v>241</v>
      </c>
      <c r="H2476" s="4" t="s">
        <v>241</v>
      </c>
      <c r="I2476" s="4" t="s">
        <v>424</v>
      </c>
      <c r="J2476" s="4" t="s">
        <v>274</v>
      </c>
      <c r="K2476" s="4" t="s">
        <v>251</v>
      </c>
      <c r="L2476" s="4" t="s">
        <v>423</v>
      </c>
      <c r="M2476" s="5" t="s">
        <v>4131</v>
      </c>
      <c r="N2476" s="6">
        <f>2466</f>
        <v>2466</v>
      </c>
      <c r="O2476" s="4" t="s">
        <v>265</v>
      </c>
      <c r="P2476" s="6">
        <f>1</f>
        <v>1</v>
      </c>
      <c r="Q2476" s="6">
        <f>0</f>
        <v>0</v>
      </c>
      <c r="S2476" s="6">
        <f>0</f>
        <v>0</v>
      </c>
      <c r="T2476" s="6">
        <f>1</f>
        <v>1</v>
      </c>
      <c r="U2476" s="5" t="s">
        <v>245</v>
      </c>
      <c r="V2476" s="4" t="s">
        <v>270</v>
      </c>
      <c r="W2476" s="4" t="s">
        <v>271</v>
      </c>
      <c r="X2476" s="4" t="s">
        <v>273</v>
      </c>
      <c r="Y2476" s="4" t="s">
        <v>241</v>
      </c>
      <c r="AB2476" s="4" t="s">
        <v>241</v>
      </c>
      <c r="AD2476" s="5" t="s">
        <v>241</v>
      </c>
      <c r="AG2476" s="5" t="s">
        <v>246</v>
      </c>
      <c r="AH2476" s="4" t="s">
        <v>241</v>
      </c>
      <c r="AI2476" s="4" t="s">
        <v>247</v>
      </c>
      <c r="AJ2476" s="4" t="s">
        <v>248</v>
      </c>
      <c r="AZ2476" s="4" t="s">
        <v>249</v>
      </c>
      <c r="BA2476" s="4" t="s">
        <v>241</v>
      </c>
      <c r="BB2476" s="4" t="s">
        <v>250</v>
      </c>
      <c r="BC2476" s="4" t="s">
        <v>241</v>
      </c>
      <c r="BD2476" s="4" t="s">
        <v>252</v>
      </c>
      <c r="BE2476" s="4" t="s">
        <v>241</v>
      </c>
      <c r="BI2476" s="4" t="s">
        <v>253</v>
      </c>
      <c r="BJ2476" s="5" t="s">
        <v>246</v>
      </c>
      <c r="BK2476" s="4" t="s">
        <v>254</v>
      </c>
      <c r="BL2476" s="4" t="s">
        <v>255</v>
      </c>
      <c r="BM2476" s="4" t="s">
        <v>241</v>
      </c>
      <c r="BN2476" s="6">
        <f>0</f>
        <v>0</v>
      </c>
      <c r="BO2476" s="6">
        <f>0</f>
        <v>0</v>
      </c>
      <c r="BP2476" s="4" t="s">
        <v>256</v>
      </c>
      <c r="BQ2476" s="4" t="s">
        <v>257</v>
      </c>
      <c r="CE2476" s="4" t="s">
        <v>241</v>
      </c>
      <c r="CF2476" s="4" t="s">
        <v>241</v>
      </c>
      <c r="CJ2476" s="4" t="s">
        <v>276</v>
      </c>
      <c r="CK2476" s="4" t="s">
        <v>259</v>
      </c>
      <c r="CL2476" s="4" t="s">
        <v>241</v>
      </c>
      <c r="CO2476" s="5" t="s">
        <v>260</v>
      </c>
      <c r="CP2476" s="4" t="s">
        <v>241</v>
      </c>
      <c r="CQ2476" s="4" t="s">
        <v>261</v>
      </c>
      <c r="CR2476" s="4" t="s">
        <v>241</v>
      </c>
      <c r="CS2476" s="4" t="s">
        <v>241</v>
      </c>
      <c r="CT2476" s="4">
        <v>0</v>
      </c>
      <c r="CU2476" s="4" t="s">
        <v>262</v>
      </c>
      <c r="CV2476" s="4" t="s">
        <v>263</v>
      </c>
      <c r="CW2476" s="4" t="s">
        <v>263</v>
      </c>
      <c r="CX2476" s="4" t="s">
        <v>264</v>
      </c>
      <c r="DA2476" s="6">
        <f>1</f>
        <v>1</v>
      </c>
      <c r="DC2476" s="4" t="s">
        <v>325</v>
      </c>
      <c r="DD2476" s="4" t="s">
        <v>241</v>
      </c>
      <c r="DF2476" s="4" t="s">
        <v>325</v>
      </c>
      <c r="DG2476" s="6">
        <f>2466</f>
        <v>2466</v>
      </c>
      <c r="DI2476" s="4" t="s">
        <v>241</v>
      </c>
      <c r="DJ2476" s="4" t="s">
        <v>241</v>
      </c>
      <c r="DK2476" s="4" t="s">
        <v>241</v>
      </c>
      <c r="DL2476" s="4" t="s">
        <v>241</v>
      </c>
      <c r="DP2476" s="4" t="s">
        <v>241</v>
      </c>
      <c r="DQ2476" s="4" t="s">
        <v>241</v>
      </c>
      <c r="DR2476" s="4" t="s">
        <v>241</v>
      </c>
      <c r="DS2476" s="4" t="s">
        <v>241</v>
      </c>
      <c r="DV2476" s="4" t="s">
        <v>426</v>
      </c>
      <c r="DW2476" s="4" t="s">
        <v>2932</v>
      </c>
      <c r="HO2476" s="4" t="s">
        <v>267</v>
      </c>
    </row>
    <row r="2477" spans="1:223" ht="19.5" customHeight="1" x14ac:dyDescent="0.4">
      <c r="A2477" s="4">
        <v>1</v>
      </c>
      <c r="B2477" s="4" t="s">
        <v>239</v>
      </c>
      <c r="C2477" s="4">
        <v>4180</v>
      </c>
      <c r="D2477" s="4">
        <v>1</v>
      </c>
      <c r="E2477" s="4">
        <v>1</v>
      </c>
      <c r="F2477" s="4" t="s">
        <v>268</v>
      </c>
      <c r="G2477" s="4" t="s">
        <v>241</v>
      </c>
      <c r="H2477" s="4" t="s">
        <v>241</v>
      </c>
      <c r="I2477" s="4" t="s">
        <v>424</v>
      </c>
      <c r="J2477" s="4" t="s">
        <v>274</v>
      </c>
      <c r="K2477" s="4" t="s">
        <v>251</v>
      </c>
      <c r="L2477" s="4" t="s">
        <v>423</v>
      </c>
      <c r="M2477" s="5" t="s">
        <v>4196</v>
      </c>
      <c r="N2477" s="6">
        <f>185</f>
        <v>185</v>
      </c>
      <c r="O2477" s="4" t="s">
        <v>265</v>
      </c>
      <c r="P2477" s="6">
        <f>1</f>
        <v>1</v>
      </c>
      <c r="Q2477" s="6">
        <f>0</f>
        <v>0</v>
      </c>
      <c r="S2477" s="6">
        <f>0</f>
        <v>0</v>
      </c>
      <c r="T2477" s="6">
        <f>1</f>
        <v>1</v>
      </c>
      <c r="U2477" s="5" t="s">
        <v>245</v>
      </c>
      <c r="V2477" s="4" t="s">
        <v>270</v>
      </c>
      <c r="W2477" s="4" t="s">
        <v>271</v>
      </c>
      <c r="X2477" s="4" t="s">
        <v>273</v>
      </c>
      <c r="Y2477" s="4" t="s">
        <v>241</v>
      </c>
      <c r="AB2477" s="4" t="s">
        <v>241</v>
      </c>
      <c r="AD2477" s="5" t="s">
        <v>241</v>
      </c>
      <c r="AG2477" s="5" t="s">
        <v>246</v>
      </c>
      <c r="AH2477" s="4" t="s">
        <v>241</v>
      </c>
      <c r="AI2477" s="4" t="s">
        <v>247</v>
      </c>
      <c r="AJ2477" s="4" t="s">
        <v>248</v>
      </c>
      <c r="AZ2477" s="4" t="s">
        <v>249</v>
      </c>
      <c r="BA2477" s="4" t="s">
        <v>241</v>
      </c>
      <c r="BB2477" s="4" t="s">
        <v>250</v>
      </c>
      <c r="BC2477" s="4" t="s">
        <v>241</v>
      </c>
      <c r="BD2477" s="4" t="s">
        <v>252</v>
      </c>
      <c r="BE2477" s="4" t="s">
        <v>241</v>
      </c>
      <c r="BI2477" s="4" t="s">
        <v>253</v>
      </c>
      <c r="BJ2477" s="5" t="s">
        <v>246</v>
      </c>
      <c r="BK2477" s="4" t="s">
        <v>254</v>
      </c>
      <c r="BL2477" s="4" t="s">
        <v>255</v>
      </c>
      <c r="BM2477" s="4" t="s">
        <v>241</v>
      </c>
      <c r="BN2477" s="6">
        <f>0</f>
        <v>0</v>
      </c>
      <c r="BO2477" s="6">
        <f>0</f>
        <v>0</v>
      </c>
      <c r="BP2477" s="4" t="s">
        <v>256</v>
      </c>
      <c r="BQ2477" s="4" t="s">
        <v>257</v>
      </c>
      <c r="CE2477" s="4" t="s">
        <v>241</v>
      </c>
      <c r="CF2477" s="4" t="s">
        <v>241</v>
      </c>
      <c r="CJ2477" s="4" t="s">
        <v>276</v>
      </c>
      <c r="CK2477" s="4" t="s">
        <v>259</v>
      </c>
      <c r="CL2477" s="4" t="s">
        <v>241</v>
      </c>
      <c r="CO2477" s="5" t="s">
        <v>260</v>
      </c>
      <c r="CP2477" s="4" t="s">
        <v>241</v>
      </c>
      <c r="CQ2477" s="4" t="s">
        <v>261</v>
      </c>
      <c r="CR2477" s="4" t="s">
        <v>241</v>
      </c>
      <c r="CS2477" s="4" t="s">
        <v>241</v>
      </c>
      <c r="CT2477" s="4">
        <v>0</v>
      </c>
      <c r="CU2477" s="4" t="s">
        <v>262</v>
      </c>
      <c r="CV2477" s="4" t="s">
        <v>263</v>
      </c>
      <c r="CW2477" s="4" t="s">
        <v>263</v>
      </c>
      <c r="CX2477" s="4" t="s">
        <v>264</v>
      </c>
      <c r="DA2477" s="6">
        <f>1</f>
        <v>1</v>
      </c>
      <c r="DC2477" s="4" t="s">
        <v>325</v>
      </c>
      <c r="DD2477" s="4" t="s">
        <v>241</v>
      </c>
      <c r="DF2477" s="4" t="s">
        <v>325</v>
      </c>
      <c r="DG2477" s="6">
        <f>185</f>
        <v>185</v>
      </c>
      <c r="DI2477" s="4" t="s">
        <v>241</v>
      </c>
      <c r="DJ2477" s="4" t="s">
        <v>241</v>
      </c>
      <c r="DK2477" s="4" t="s">
        <v>241</v>
      </c>
      <c r="DL2477" s="4" t="s">
        <v>241</v>
      </c>
      <c r="DP2477" s="4" t="s">
        <v>241</v>
      </c>
      <c r="DQ2477" s="4" t="s">
        <v>241</v>
      </c>
      <c r="DR2477" s="4" t="s">
        <v>241</v>
      </c>
      <c r="DS2477" s="4" t="s">
        <v>241</v>
      </c>
      <c r="DV2477" s="4" t="s">
        <v>426</v>
      </c>
      <c r="DW2477" s="4" t="s">
        <v>2855</v>
      </c>
      <c r="HO2477" s="4" t="s">
        <v>267</v>
      </c>
    </row>
    <row r="2478" spans="1:223" ht="19.5" customHeight="1" x14ac:dyDescent="0.4">
      <c r="A2478" s="4">
        <v>1</v>
      </c>
      <c r="B2478" s="4" t="s">
        <v>239</v>
      </c>
      <c r="C2478" s="4">
        <v>4181</v>
      </c>
      <c r="D2478" s="4">
        <v>1</v>
      </c>
      <c r="E2478" s="4">
        <v>1</v>
      </c>
      <c r="F2478" s="4" t="s">
        <v>268</v>
      </c>
      <c r="G2478" s="4" t="s">
        <v>241</v>
      </c>
      <c r="H2478" s="4" t="s">
        <v>241</v>
      </c>
      <c r="I2478" s="4" t="s">
        <v>424</v>
      </c>
      <c r="J2478" s="4" t="s">
        <v>274</v>
      </c>
      <c r="K2478" s="4" t="s">
        <v>251</v>
      </c>
      <c r="L2478" s="4" t="s">
        <v>423</v>
      </c>
      <c r="M2478" s="5" t="s">
        <v>4127</v>
      </c>
      <c r="N2478" s="6">
        <f>261</f>
        <v>261</v>
      </c>
      <c r="O2478" s="4" t="s">
        <v>265</v>
      </c>
      <c r="P2478" s="6">
        <f>1</f>
        <v>1</v>
      </c>
      <c r="Q2478" s="6">
        <f>0</f>
        <v>0</v>
      </c>
      <c r="S2478" s="6">
        <f>0</f>
        <v>0</v>
      </c>
      <c r="T2478" s="6">
        <f>1</f>
        <v>1</v>
      </c>
      <c r="U2478" s="5" t="s">
        <v>245</v>
      </c>
      <c r="V2478" s="4" t="s">
        <v>270</v>
      </c>
      <c r="W2478" s="4" t="s">
        <v>271</v>
      </c>
      <c r="X2478" s="4" t="s">
        <v>273</v>
      </c>
      <c r="Y2478" s="4" t="s">
        <v>241</v>
      </c>
      <c r="AB2478" s="4" t="s">
        <v>241</v>
      </c>
      <c r="AD2478" s="5" t="s">
        <v>241</v>
      </c>
      <c r="AG2478" s="5" t="s">
        <v>246</v>
      </c>
      <c r="AH2478" s="4" t="s">
        <v>241</v>
      </c>
      <c r="AI2478" s="4" t="s">
        <v>247</v>
      </c>
      <c r="AJ2478" s="4" t="s">
        <v>248</v>
      </c>
      <c r="AZ2478" s="4" t="s">
        <v>249</v>
      </c>
      <c r="BA2478" s="4" t="s">
        <v>241</v>
      </c>
      <c r="BB2478" s="4" t="s">
        <v>250</v>
      </c>
      <c r="BC2478" s="4" t="s">
        <v>241</v>
      </c>
      <c r="BD2478" s="4" t="s">
        <v>252</v>
      </c>
      <c r="BE2478" s="4" t="s">
        <v>241</v>
      </c>
      <c r="BI2478" s="4" t="s">
        <v>253</v>
      </c>
      <c r="BJ2478" s="5" t="s">
        <v>246</v>
      </c>
      <c r="BK2478" s="4" t="s">
        <v>254</v>
      </c>
      <c r="BL2478" s="4" t="s">
        <v>255</v>
      </c>
      <c r="BM2478" s="4" t="s">
        <v>241</v>
      </c>
      <c r="BN2478" s="6">
        <f>0</f>
        <v>0</v>
      </c>
      <c r="BO2478" s="6">
        <f>0</f>
        <v>0</v>
      </c>
      <c r="BP2478" s="4" t="s">
        <v>256</v>
      </c>
      <c r="BQ2478" s="4" t="s">
        <v>257</v>
      </c>
      <c r="CE2478" s="4" t="s">
        <v>241</v>
      </c>
      <c r="CF2478" s="4" t="s">
        <v>241</v>
      </c>
      <c r="CJ2478" s="4" t="s">
        <v>276</v>
      </c>
      <c r="CK2478" s="4" t="s">
        <v>259</v>
      </c>
      <c r="CL2478" s="4" t="s">
        <v>241</v>
      </c>
      <c r="CO2478" s="5" t="s">
        <v>260</v>
      </c>
      <c r="CP2478" s="4" t="s">
        <v>241</v>
      </c>
      <c r="CQ2478" s="4" t="s">
        <v>261</v>
      </c>
      <c r="CR2478" s="4" t="s">
        <v>241</v>
      </c>
      <c r="CS2478" s="4" t="s">
        <v>241</v>
      </c>
      <c r="CT2478" s="4">
        <v>0</v>
      </c>
      <c r="CU2478" s="4" t="s">
        <v>262</v>
      </c>
      <c r="CV2478" s="4" t="s">
        <v>263</v>
      </c>
      <c r="CW2478" s="4" t="s">
        <v>263</v>
      </c>
      <c r="CX2478" s="4" t="s">
        <v>264</v>
      </c>
      <c r="DA2478" s="6">
        <f>1</f>
        <v>1</v>
      </c>
      <c r="DC2478" s="4" t="s">
        <v>325</v>
      </c>
      <c r="DD2478" s="4" t="s">
        <v>241</v>
      </c>
      <c r="DF2478" s="4" t="s">
        <v>325</v>
      </c>
      <c r="DG2478" s="6">
        <f>261</f>
        <v>261</v>
      </c>
      <c r="DI2478" s="4" t="s">
        <v>241</v>
      </c>
      <c r="DJ2478" s="4" t="s">
        <v>241</v>
      </c>
      <c r="DK2478" s="4" t="s">
        <v>241</v>
      </c>
      <c r="DL2478" s="4" t="s">
        <v>241</v>
      </c>
      <c r="DP2478" s="4" t="s">
        <v>241</v>
      </c>
      <c r="DQ2478" s="4" t="s">
        <v>241</v>
      </c>
      <c r="DR2478" s="4" t="s">
        <v>241</v>
      </c>
      <c r="DS2478" s="4" t="s">
        <v>241</v>
      </c>
      <c r="DV2478" s="4" t="s">
        <v>426</v>
      </c>
      <c r="DW2478" s="4" t="s">
        <v>2928</v>
      </c>
      <c r="HO2478" s="4" t="s">
        <v>267</v>
      </c>
    </row>
    <row r="2479" spans="1:223" ht="19.5" customHeight="1" x14ac:dyDescent="0.4">
      <c r="A2479" s="4">
        <v>1</v>
      </c>
      <c r="B2479" s="4" t="s">
        <v>239</v>
      </c>
      <c r="C2479" s="4">
        <v>4182</v>
      </c>
      <c r="D2479" s="4">
        <v>1</v>
      </c>
      <c r="E2479" s="4">
        <v>1</v>
      </c>
      <c r="F2479" s="4" t="s">
        <v>268</v>
      </c>
      <c r="G2479" s="4" t="s">
        <v>241</v>
      </c>
      <c r="H2479" s="4" t="s">
        <v>241</v>
      </c>
      <c r="I2479" s="4" t="s">
        <v>424</v>
      </c>
      <c r="J2479" s="4" t="s">
        <v>274</v>
      </c>
      <c r="K2479" s="4" t="s">
        <v>251</v>
      </c>
      <c r="L2479" s="4" t="s">
        <v>423</v>
      </c>
      <c r="M2479" s="5" t="s">
        <v>4210</v>
      </c>
      <c r="N2479" s="6">
        <f>2476</f>
        <v>2476</v>
      </c>
      <c r="O2479" s="4" t="s">
        <v>265</v>
      </c>
      <c r="P2479" s="6">
        <f>1</f>
        <v>1</v>
      </c>
      <c r="Q2479" s="6">
        <f>0</f>
        <v>0</v>
      </c>
      <c r="S2479" s="6">
        <f>0</f>
        <v>0</v>
      </c>
      <c r="T2479" s="6">
        <f>1</f>
        <v>1</v>
      </c>
      <c r="U2479" s="5" t="s">
        <v>245</v>
      </c>
      <c r="V2479" s="4" t="s">
        <v>270</v>
      </c>
      <c r="W2479" s="4" t="s">
        <v>271</v>
      </c>
      <c r="X2479" s="4" t="s">
        <v>273</v>
      </c>
      <c r="Y2479" s="4" t="s">
        <v>241</v>
      </c>
      <c r="AB2479" s="4" t="s">
        <v>241</v>
      </c>
      <c r="AD2479" s="5" t="s">
        <v>241</v>
      </c>
      <c r="AG2479" s="5" t="s">
        <v>246</v>
      </c>
      <c r="AH2479" s="4" t="s">
        <v>241</v>
      </c>
      <c r="AI2479" s="4" t="s">
        <v>247</v>
      </c>
      <c r="AJ2479" s="4" t="s">
        <v>248</v>
      </c>
      <c r="AZ2479" s="4" t="s">
        <v>249</v>
      </c>
      <c r="BA2479" s="4" t="s">
        <v>241</v>
      </c>
      <c r="BB2479" s="4" t="s">
        <v>250</v>
      </c>
      <c r="BC2479" s="4" t="s">
        <v>241</v>
      </c>
      <c r="BD2479" s="4" t="s">
        <v>252</v>
      </c>
      <c r="BE2479" s="4" t="s">
        <v>241</v>
      </c>
      <c r="BI2479" s="4" t="s">
        <v>253</v>
      </c>
      <c r="BJ2479" s="5" t="s">
        <v>246</v>
      </c>
      <c r="BK2479" s="4" t="s">
        <v>254</v>
      </c>
      <c r="BL2479" s="4" t="s">
        <v>255</v>
      </c>
      <c r="BM2479" s="4" t="s">
        <v>241</v>
      </c>
      <c r="BN2479" s="6">
        <f>0</f>
        <v>0</v>
      </c>
      <c r="BO2479" s="6">
        <f>0</f>
        <v>0</v>
      </c>
      <c r="BP2479" s="4" t="s">
        <v>256</v>
      </c>
      <c r="BQ2479" s="4" t="s">
        <v>257</v>
      </c>
      <c r="CE2479" s="4" t="s">
        <v>241</v>
      </c>
      <c r="CF2479" s="4" t="s">
        <v>241</v>
      </c>
      <c r="CJ2479" s="4" t="s">
        <v>276</v>
      </c>
      <c r="CK2479" s="4" t="s">
        <v>259</v>
      </c>
      <c r="CL2479" s="4" t="s">
        <v>241</v>
      </c>
      <c r="CO2479" s="5" t="s">
        <v>260</v>
      </c>
      <c r="CP2479" s="4" t="s">
        <v>241</v>
      </c>
      <c r="CQ2479" s="4" t="s">
        <v>261</v>
      </c>
      <c r="CR2479" s="4" t="s">
        <v>241</v>
      </c>
      <c r="CS2479" s="4" t="s">
        <v>241</v>
      </c>
      <c r="CT2479" s="4">
        <v>0</v>
      </c>
      <c r="CU2479" s="4" t="s">
        <v>262</v>
      </c>
      <c r="CV2479" s="4" t="s">
        <v>263</v>
      </c>
      <c r="CW2479" s="4" t="s">
        <v>263</v>
      </c>
      <c r="CX2479" s="4" t="s">
        <v>264</v>
      </c>
      <c r="DA2479" s="6">
        <f>1</f>
        <v>1</v>
      </c>
      <c r="DC2479" s="4" t="s">
        <v>325</v>
      </c>
      <c r="DD2479" s="4" t="s">
        <v>241</v>
      </c>
      <c r="DF2479" s="4" t="s">
        <v>325</v>
      </c>
      <c r="DG2479" s="6">
        <f>2476</f>
        <v>2476</v>
      </c>
      <c r="DI2479" s="4" t="s">
        <v>241</v>
      </c>
      <c r="DJ2479" s="4" t="s">
        <v>241</v>
      </c>
      <c r="DK2479" s="4" t="s">
        <v>241</v>
      </c>
      <c r="DL2479" s="4" t="s">
        <v>241</v>
      </c>
      <c r="DP2479" s="4" t="s">
        <v>241</v>
      </c>
      <c r="DQ2479" s="4" t="s">
        <v>241</v>
      </c>
      <c r="DR2479" s="4" t="s">
        <v>241</v>
      </c>
      <c r="DS2479" s="4" t="s">
        <v>241</v>
      </c>
      <c r="DV2479" s="4" t="s">
        <v>426</v>
      </c>
      <c r="DW2479" s="4" t="s">
        <v>2926</v>
      </c>
      <c r="HO2479" s="4" t="s">
        <v>267</v>
      </c>
    </row>
    <row r="2480" spans="1:223" ht="19.5" customHeight="1" x14ac:dyDescent="0.4">
      <c r="A2480" s="4">
        <v>1</v>
      </c>
      <c r="B2480" s="4" t="s">
        <v>239</v>
      </c>
      <c r="C2480" s="4">
        <v>4183</v>
      </c>
      <c r="D2480" s="4">
        <v>1</v>
      </c>
      <c r="E2480" s="4">
        <v>1</v>
      </c>
      <c r="F2480" s="4" t="s">
        <v>268</v>
      </c>
      <c r="G2480" s="4" t="s">
        <v>241</v>
      </c>
      <c r="H2480" s="4" t="s">
        <v>241</v>
      </c>
      <c r="I2480" s="4" t="s">
        <v>424</v>
      </c>
      <c r="J2480" s="4" t="s">
        <v>274</v>
      </c>
      <c r="K2480" s="4" t="s">
        <v>251</v>
      </c>
      <c r="L2480" s="4" t="s">
        <v>423</v>
      </c>
      <c r="M2480" s="5" t="s">
        <v>4152</v>
      </c>
      <c r="N2480" s="6">
        <f>53</f>
        <v>53</v>
      </c>
      <c r="O2480" s="4" t="s">
        <v>265</v>
      </c>
      <c r="P2480" s="6">
        <f>1</f>
        <v>1</v>
      </c>
      <c r="Q2480" s="6">
        <f>0</f>
        <v>0</v>
      </c>
      <c r="S2480" s="6">
        <f>0</f>
        <v>0</v>
      </c>
      <c r="T2480" s="6">
        <f>1</f>
        <v>1</v>
      </c>
      <c r="U2480" s="5" t="s">
        <v>245</v>
      </c>
      <c r="V2480" s="4" t="s">
        <v>270</v>
      </c>
      <c r="W2480" s="4" t="s">
        <v>271</v>
      </c>
      <c r="X2480" s="4" t="s">
        <v>273</v>
      </c>
      <c r="Y2480" s="4" t="s">
        <v>241</v>
      </c>
      <c r="AB2480" s="4" t="s">
        <v>241</v>
      </c>
      <c r="AD2480" s="5" t="s">
        <v>241</v>
      </c>
      <c r="AG2480" s="5" t="s">
        <v>246</v>
      </c>
      <c r="AH2480" s="4" t="s">
        <v>241</v>
      </c>
      <c r="AI2480" s="4" t="s">
        <v>247</v>
      </c>
      <c r="AJ2480" s="4" t="s">
        <v>248</v>
      </c>
      <c r="AZ2480" s="4" t="s">
        <v>249</v>
      </c>
      <c r="BA2480" s="4" t="s">
        <v>241</v>
      </c>
      <c r="BB2480" s="4" t="s">
        <v>250</v>
      </c>
      <c r="BC2480" s="4" t="s">
        <v>241</v>
      </c>
      <c r="BD2480" s="4" t="s">
        <v>252</v>
      </c>
      <c r="BE2480" s="4" t="s">
        <v>241</v>
      </c>
      <c r="BI2480" s="4" t="s">
        <v>253</v>
      </c>
      <c r="BJ2480" s="5" t="s">
        <v>246</v>
      </c>
      <c r="BK2480" s="4" t="s">
        <v>254</v>
      </c>
      <c r="BL2480" s="4" t="s">
        <v>255</v>
      </c>
      <c r="BM2480" s="4" t="s">
        <v>241</v>
      </c>
      <c r="BN2480" s="6">
        <f>0</f>
        <v>0</v>
      </c>
      <c r="BO2480" s="6">
        <f>0</f>
        <v>0</v>
      </c>
      <c r="BP2480" s="4" t="s">
        <v>256</v>
      </c>
      <c r="BQ2480" s="4" t="s">
        <v>257</v>
      </c>
      <c r="CE2480" s="4" t="s">
        <v>241</v>
      </c>
      <c r="CF2480" s="4" t="s">
        <v>241</v>
      </c>
      <c r="CJ2480" s="4" t="s">
        <v>276</v>
      </c>
      <c r="CK2480" s="4" t="s">
        <v>259</v>
      </c>
      <c r="CL2480" s="4" t="s">
        <v>241</v>
      </c>
      <c r="CO2480" s="5" t="s">
        <v>260</v>
      </c>
      <c r="CP2480" s="4" t="s">
        <v>241</v>
      </c>
      <c r="CQ2480" s="4" t="s">
        <v>261</v>
      </c>
      <c r="CR2480" s="4" t="s">
        <v>241</v>
      </c>
      <c r="CS2480" s="4" t="s">
        <v>241</v>
      </c>
      <c r="CT2480" s="4">
        <v>0</v>
      </c>
      <c r="CU2480" s="4" t="s">
        <v>262</v>
      </c>
      <c r="CV2480" s="4" t="s">
        <v>263</v>
      </c>
      <c r="CW2480" s="4" t="s">
        <v>263</v>
      </c>
      <c r="CX2480" s="4" t="s">
        <v>264</v>
      </c>
      <c r="DA2480" s="6">
        <f>1</f>
        <v>1</v>
      </c>
      <c r="DC2480" s="4" t="s">
        <v>325</v>
      </c>
      <c r="DD2480" s="4" t="s">
        <v>241</v>
      </c>
      <c r="DF2480" s="4" t="s">
        <v>325</v>
      </c>
      <c r="DG2480" s="6">
        <f>53</f>
        <v>53</v>
      </c>
      <c r="DI2480" s="4" t="s">
        <v>241</v>
      </c>
      <c r="DJ2480" s="4" t="s">
        <v>241</v>
      </c>
      <c r="DK2480" s="4" t="s">
        <v>241</v>
      </c>
      <c r="DL2480" s="4" t="s">
        <v>241</v>
      </c>
      <c r="DP2480" s="4" t="s">
        <v>241</v>
      </c>
      <c r="DQ2480" s="4" t="s">
        <v>241</v>
      </c>
      <c r="DR2480" s="4" t="s">
        <v>241</v>
      </c>
      <c r="DS2480" s="4" t="s">
        <v>241</v>
      </c>
      <c r="DV2480" s="4" t="s">
        <v>426</v>
      </c>
      <c r="DW2480" s="4" t="s">
        <v>2924</v>
      </c>
      <c r="HO2480" s="4" t="s">
        <v>267</v>
      </c>
    </row>
    <row r="2481" spans="1:223" ht="19.5" customHeight="1" x14ac:dyDescent="0.4">
      <c r="A2481" s="4">
        <v>1</v>
      </c>
      <c r="B2481" s="4" t="s">
        <v>239</v>
      </c>
      <c r="C2481" s="4">
        <v>4184</v>
      </c>
      <c r="D2481" s="4">
        <v>1</v>
      </c>
      <c r="E2481" s="4">
        <v>1</v>
      </c>
      <c r="F2481" s="4" t="s">
        <v>268</v>
      </c>
      <c r="G2481" s="4" t="s">
        <v>241</v>
      </c>
      <c r="H2481" s="4" t="s">
        <v>241</v>
      </c>
      <c r="I2481" s="4" t="s">
        <v>424</v>
      </c>
      <c r="J2481" s="4" t="s">
        <v>274</v>
      </c>
      <c r="K2481" s="4" t="s">
        <v>251</v>
      </c>
      <c r="L2481" s="4" t="s">
        <v>423</v>
      </c>
      <c r="M2481" s="5" t="s">
        <v>4186</v>
      </c>
      <c r="N2481" s="6">
        <f>158</f>
        <v>158</v>
      </c>
      <c r="O2481" s="4" t="s">
        <v>265</v>
      </c>
      <c r="P2481" s="6">
        <f>1</f>
        <v>1</v>
      </c>
      <c r="Q2481" s="6">
        <f>0</f>
        <v>0</v>
      </c>
      <c r="S2481" s="6">
        <f>0</f>
        <v>0</v>
      </c>
      <c r="T2481" s="6">
        <f>1</f>
        <v>1</v>
      </c>
      <c r="U2481" s="5" t="s">
        <v>245</v>
      </c>
      <c r="V2481" s="4" t="s">
        <v>270</v>
      </c>
      <c r="W2481" s="4" t="s">
        <v>271</v>
      </c>
      <c r="X2481" s="4" t="s">
        <v>273</v>
      </c>
      <c r="Y2481" s="4" t="s">
        <v>241</v>
      </c>
      <c r="AB2481" s="4" t="s">
        <v>241</v>
      </c>
      <c r="AD2481" s="5" t="s">
        <v>241</v>
      </c>
      <c r="AG2481" s="5" t="s">
        <v>246</v>
      </c>
      <c r="AH2481" s="4" t="s">
        <v>241</v>
      </c>
      <c r="AI2481" s="4" t="s">
        <v>247</v>
      </c>
      <c r="AJ2481" s="4" t="s">
        <v>248</v>
      </c>
      <c r="AZ2481" s="4" t="s">
        <v>249</v>
      </c>
      <c r="BA2481" s="4" t="s">
        <v>241</v>
      </c>
      <c r="BB2481" s="4" t="s">
        <v>250</v>
      </c>
      <c r="BC2481" s="4" t="s">
        <v>241</v>
      </c>
      <c r="BD2481" s="4" t="s">
        <v>252</v>
      </c>
      <c r="BE2481" s="4" t="s">
        <v>241</v>
      </c>
      <c r="BI2481" s="4" t="s">
        <v>253</v>
      </c>
      <c r="BJ2481" s="5" t="s">
        <v>246</v>
      </c>
      <c r="BK2481" s="4" t="s">
        <v>254</v>
      </c>
      <c r="BL2481" s="4" t="s">
        <v>255</v>
      </c>
      <c r="BM2481" s="4" t="s">
        <v>241</v>
      </c>
      <c r="BN2481" s="6">
        <f>0</f>
        <v>0</v>
      </c>
      <c r="BO2481" s="6">
        <f>0</f>
        <v>0</v>
      </c>
      <c r="BP2481" s="4" t="s">
        <v>256</v>
      </c>
      <c r="BQ2481" s="4" t="s">
        <v>257</v>
      </c>
      <c r="CE2481" s="4" t="s">
        <v>241</v>
      </c>
      <c r="CF2481" s="4" t="s">
        <v>241</v>
      </c>
      <c r="CJ2481" s="4" t="s">
        <v>276</v>
      </c>
      <c r="CK2481" s="4" t="s">
        <v>259</v>
      </c>
      <c r="CL2481" s="4" t="s">
        <v>241</v>
      </c>
      <c r="CO2481" s="5" t="s">
        <v>260</v>
      </c>
      <c r="CP2481" s="4" t="s">
        <v>241</v>
      </c>
      <c r="CQ2481" s="4" t="s">
        <v>261</v>
      </c>
      <c r="CR2481" s="4" t="s">
        <v>241</v>
      </c>
      <c r="CS2481" s="4" t="s">
        <v>241</v>
      </c>
      <c r="CT2481" s="4">
        <v>0</v>
      </c>
      <c r="CU2481" s="4" t="s">
        <v>262</v>
      </c>
      <c r="CV2481" s="4" t="s">
        <v>263</v>
      </c>
      <c r="CW2481" s="4" t="s">
        <v>263</v>
      </c>
      <c r="CX2481" s="4" t="s">
        <v>264</v>
      </c>
      <c r="DA2481" s="6">
        <f>1</f>
        <v>1</v>
      </c>
      <c r="DC2481" s="4" t="s">
        <v>325</v>
      </c>
      <c r="DD2481" s="4" t="s">
        <v>241</v>
      </c>
      <c r="DF2481" s="4" t="s">
        <v>325</v>
      </c>
      <c r="DG2481" s="6">
        <f>158</f>
        <v>158</v>
      </c>
      <c r="DI2481" s="4" t="s">
        <v>241</v>
      </c>
      <c r="DJ2481" s="4" t="s">
        <v>241</v>
      </c>
      <c r="DK2481" s="4" t="s">
        <v>241</v>
      </c>
      <c r="DL2481" s="4" t="s">
        <v>241</v>
      </c>
      <c r="DP2481" s="4" t="s">
        <v>241</v>
      </c>
      <c r="DQ2481" s="4" t="s">
        <v>241</v>
      </c>
      <c r="DR2481" s="4" t="s">
        <v>241</v>
      </c>
      <c r="DS2481" s="4" t="s">
        <v>241</v>
      </c>
      <c r="DV2481" s="4" t="s">
        <v>426</v>
      </c>
      <c r="DW2481" s="4" t="s">
        <v>2975</v>
      </c>
      <c r="HO2481" s="4" t="s">
        <v>267</v>
      </c>
    </row>
    <row r="2482" spans="1:223" ht="19.5" customHeight="1" x14ac:dyDescent="0.4">
      <c r="A2482" s="4">
        <v>1</v>
      </c>
      <c r="B2482" s="4" t="s">
        <v>239</v>
      </c>
      <c r="C2482" s="4">
        <v>4185</v>
      </c>
      <c r="D2482" s="4">
        <v>1</v>
      </c>
      <c r="E2482" s="4">
        <v>1</v>
      </c>
      <c r="F2482" s="4" t="s">
        <v>268</v>
      </c>
      <c r="G2482" s="4" t="s">
        <v>241</v>
      </c>
      <c r="H2482" s="4" t="s">
        <v>241</v>
      </c>
      <c r="I2482" s="4" t="s">
        <v>424</v>
      </c>
      <c r="J2482" s="4" t="s">
        <v>274</v>
      </c>
      <c r="K2482" s="4" t="s">
        <v>251</v>
      </c>
      <c r="L2482" s="4" t="s">
        <v>423</v>
      </c>
      <c r="M2482" s="5" t="s">
        <v>4180</v>
      </c>
      <c r="N2482" s="6">
        <f>314</f>
        <v>314</v>
      </c>
      <c r="O2482" s="4" t="s">
        <v>265</v>
      </c>
      <c r="P2482" s="6">
        <f>1</f>
        <v>1</v>
      </c>
      <c r="Q2482" s="6">
        <f>0</f>
        <v>0</v>
      </c>
      <c r="S2482" s="6">
        <f>0</f>
        <v>0</v>
      </c>
      <c r="T2482" s="6">
        <f>1</f>
        <v>1</v>
      </c>
      <c r="U2482" s="5" t="s">
        <v>245</v>
      </c>
      <c r="V2482" s="4" t="s">
        <v>270</v>
      </c>
      <c r="W2482" s="4" t="s">
        <v>271</v>
      </c>
      <c r="X2482" s="4" t="s">
        <v>273</v>
      </c>
      <c r="Y2482" s="4" t="s">
        <v>241</v>
      </c>
      <c r="AB2482" s="4" t="s">
        <v>241</v>
      </c>
      <c r="AD2482" s="5" t="s">
        <v>241</v>
      </c>
      <c r="AG2482" s="5" t="s">
        <v>246</v>
      </c>
      <c r="AH2482" s="4" t="s">
        <v>241</v>
      </c>
      <c r="AI2482" s="4" t="s">
        <v>247</v>
      </c>
      <c r="AJ2482" s="4" t="s">
        <v>248</v>
      </c>
      <c r="AZ2482" s="4" t="s">
        <v>249</v>
      </c>
      <c r="BA2482" s="4" t="s">
        <v>241</v>
      </c>
      <c r="BB2482" s="4" t="s">
        <v>250</v>
      </c>
      <c r="BC2482" s="4" t="s">
        <v>241</v>
      </c>
      <c r="BD2482" s="4" t="s">
        <v>252</v>
      </c>
      <c r="BE2482" s="4" t="s">
        <v>241</v>
      </c>
      <c r="BI2482" s="4" t="s">
        <v>253</v>
      </c>
      <c r="BJ2482" s="5" t="s">
        <v>246</v>
      </c>
      <c r="BK2482" s="4" t="s">
        <v>254</v>
      </c>
      <c r="BL2482" s="4" t="s">
        <v>255</v>
      </c>
      <c r="BM2482" s="4" t="s">
        <v>241</v>
      </c>
      <c r="BN2482" s="6">
        <f>0</f>
        <v>0</v>
      </c>
      <c r="BO2482" s="6">
        <f>0</f>
        <v>0</v>
      </c>
      <c r="BP2482" s="4" t="s">
        <v>256</v>
      </c>
      <c r="BQ2482" s="4" t="s">
        <v>257</v>
      </c>
      <c r="CE2482" s="4" t="s">
        <v>241</v>
      </c>
      <c r="CF2482" s="4" t="s">
        <v>241</v>
      </c>
      <c r="CJ2482" s="4" t="s">
        <v>276</v>
      </c>
      <c r="CK2482" s="4" t="s">
        <v>259</v>
      </c>
      <c r="CL2482" s="4" t="s">
        <v>241</v>
      </c>
      <c r="CO2482" s="5" t="s">
        <v>260</v>
      </c>
      <c r="CP2482" s="4" t="s">
        <v>241</v>
      </c>
      <c r="CQ2482" s="4" t="s">
        <v>261</v>
      </c>
      <c r="CR2482" s="4" t="s">
        <v>241</v>
      </c>
      <c r="CS2482" s="4" t="s">
        <v>241</v>
      </c>
      <c r="CT2482" s="4">
        <v>0</v>
      </c>
      <c r="CU2482" s="4" t="s">
        <v>262</v>
      </c>
      <c r="CV2482" s="4" t="s">
        <v>263</v>
      </c>
      <c r="CW2482" s="4" t="s">
        <v>263</v>
      </c>
      <c r="CX2482" s="4" t="s">
        <v>264</v>
      </c>
      <c r="DA2482" s="6">
        <f>1</f>
        <v>1</v>
      </c>
      <c r="DC2482" s="4" t="s">
        <v>325</v>
      </c>
      <c r="DD2482" s="4" t="s">
        <v>241</v>
      </c>
      <c r="DF2482" s="4" t="s">
        <v>325</v>
      </c>
      <c r="DG2482" s="6">
        <f>314</f>
        <v>314</v>
      </c>
      <c r="DI2482" s="4" t="s">
        <v>241</v>
      </c>
      <c r="DJ2482" s="4" t="s">
        <v>241</v>
      </c>
      <c r="DK2482" s="4" t="s">
        <v>241</v>
      </c>
      <c r="DL2482" s="4" t="s">
        <v>241</v>
      </c>
      <c r="DP2482" s="4" t="s">
        <v>241</v>
      </c>
      <c r="DQ2482" s="4" t="s">
        <v>241</v>
      </c>
      <c r="DR2482" s="4" t="s">
        <v>241</v>
      </c>
      <c r="DS2482" s="4" t="s">
        <v>241</v>
      </c>
      <c r="DV2482" s="4" t="s">
        <v>426</v>
      </c>
      <c r="DW2482" s="4" t="s">
        <v>2849</v>
      </c>
      <c r="HO2482" s="4" t="s">
        <v>267</v>
      </c>
    </row>
    <row r="2483" spans="1:223" ht="19.5" customHeight="1" x14ac:dyDescent="0.4">
      <c r="A2483" s="4">
        <v>1</v>
      </c>
      <c r="B2483" s="4" t="s">
        <v>239</v>
      </c>
      <c r="C2483" s="4">
        <v>4186</v>
      </c>
      <c r="D2483" s="4">
        <v>1</v>
      </c>
      <c r="E2483" s="4">
        <v>1</v>
      </c>
      <c r="F2483" s="4" t="s">
        <v>268</v>
      </c>
      <c r="G2483" s="4" t="s">
        <v>241</v>
      </c>
      <c r="H2483" s="4" t="s">
        <v>241</v>
      </c>
      <c r="I2483" s="4" t="s">
        <v>424</v>
      </c>
      <c r="J2483" s="4" t="s">
        <v>274</v>
      </c>
      <c r="K2483" s="4" t="s">
        <v>251</v>
      </c>
      <c r="L2483" s="4" t="s">
        <v>423</v>
      </c>
      <c r="M2483" s="5" t="s">
        <v>4176</v>
      </c>
      <c r="N2483" s="6">
        <f>26</f>
        <v>26</v>
      </c>
      <c r="O2483" s="4" t="s">
        <v>265</v>
      </c>
      <c r="P2483" s="6">
        <f>1</f>
        <v>1</v>
      </c>
      <c r="Q2483" s="6">
        <f>0</f>
        <v>0</v>
      </c>
      <c r="S2483" s="6">
        <f>0</f>
        <v>0</v>
      </c>
      <c r="T2483" s="6">
        <f>1</f>
        <v>1</v>
      </c>
      <c r="U2483" s="5" t="s">
        <v>245</v>
      </c>
      <c r="V2483" s="4" t="s">
        <v>270</v>
      </c>
      <c r="W2483" s="4" t="s">
        <v>271</v>
      </c>
      <c r="X2483" s="4" t="s">
        <v>273</v>
      </c>
      <c r="Y2483" s="4" t="s">
        <v>241</v>
      </c>
      <c r="AB2483" s="4" t="s">
        <v>241</v>
      </c>
      <c r="AD2483" s="5" t="s">
        <v>241</v>
      </c>
      <c r="AG2483" s="5" t="s">
        <v>246</v>
      </c>
      <c r="AH2483" s="4" t="s">
        <v>241</v>
      </c>
      <c r="AI2483" s="4" t="s">
        <v>247</v>
      </c>
      <c r="AJ2483" s="4" t="s">
        <v>248</v>
      </c>
      <c r="AZ2483" s="4" t="s">
        <v>249</v>
      </c>
      <c r="BA2483" s="4" t="s">
        <v>241</v>
      </c>
      <c r="BB2483" s="4" t="s">
        <v>250</v>
      </c>
      <c r="BC2483" s="4" t="s">
        <v>241</v>
      </c>
      <c r="BD2483" s="4" t="s">
        <v>252</v>
      </c>
      <c r="BE2483" s="4" t="s">
        <v>241</v>
      </c>
      <c r="BI2483" s="4" t="s">
        <v>253</v>
      </c>
      <c r="BJ2483" s="5" t="s">
        <v>246</v>
      </c>
      <c r="BK2483" s="4" t="s">
        <v>254</v>
      </c>
      <c r="BL2483" s="4" t="s">
        <v>255</v>
      </c>
      <c r="BM2483" s="4" t="s">
        <v>241</v>
      </c>
      <c r="BN2483" s="6">
        <f>0</f>
        <v>0</v>
      </c>
      <c r="BO2483" s="6">
        <f>0</f>
        <v>0</v>
      </c>
      <c r="BP2483" s="4" t="s">
        <v>256</v>
      </c>
      <c r="BQ2483" s="4" t="s">
        <v>257</v>
      </c>
      <c r="CE2483" s="4" t="s">
        <v>241</v>
      </c>
      <c r="CF2483" s="4" t="s">
        <v>241</v>
      </c>
      <c r="CJ2483" s="4" t="s">
        <v>276</v>
      </c>
      <c r="CK2483" s="4" t="s">
        <v>259</v>
      </c>
      <c r="CL2483" s="4" t="s">
        <v>241</v>
      </c>
      <c r="CO2483" s="5" t="s">
        <v>260</v>
      </c>
      <c r="CP2483" s="4" t="s">
        <v>241</v>
      </c>
      <c r="CQ2483" s="4" t="s">
        <v>261</v>
      </c>
      <c r="CR2483" s="4" t="s">
        <v>241</v>
      </c>
      <c r="CS2483" s="4" t="s">
        <v>241</v>
      </c>
      <c r="CT2483" s="4">
        <v>0</v>
      </c>
      <c r="CU2483" s="4" t="s">
        <v>262</v>
      </c>
      <c r="CV2483" s="4" t="s">
        <v>263</v>
      </c>
      <c r="CW2483" s="4" t="s">
        <v>263</v>
      </c>
      <c r="CX2483" s="4" t="s">
        <v>264</v>
      </c>
      <c r="DA2483" s="6">
        <f>1</f>
        <v>1</v>
      </c>
      <c r="DC2483" s="4" t="s">
        <v>325</v>
      </c>
      <c r="DD2483" s="4" t="s">
        <v>241</v>
      </c>
      <c r="DF2483" s="4" t="s">
        <v>325</v>
      </c>
      <c r="DG2483" s="6">
        <f>26</f>
        <v>26</v>
      </c>
      <c r="DI2483" s="4" t="s">
        <v>241</v>
      </c>
      <c r="DJ2483" s="4" t="s">
        <v>241</v>
      </c>
      <c r="DK2483" s="4" t="s">
        <v>241</v>
      </c>
      <c r="DL2483" s="4" t="s">
        <v>241</v>
      </c>
      <c r="DP2483" s="4" t="s">
        <v>241</v>
      </c>
      <c r="DQ2483" s="4" t="s">
        <v>241</v>
      </c>
      <c r="DR2483" s="4" t="s">
        <v>241</v>
      </c>
      <c r="DS2483" s="4" t="s">
        <v>241</v>
      </c>
      <c r="DV2483" s="4" t="s">
        <v>426</v>
      </c>
      <c r="DW2483" s="4" t="s">
        <v>2912</v>
      </c>
      <c r="HO2483" s="4" t="s">
        <v>267</v>
      </c>
    </row>
    <row r="2484" spans="1:223" ht="19.5" customHeight="1" x14ac:dyDescent="0.4">
      <c r="A2484" s="4">
        <v>1</v>
      </c>
      <c r="B2484" s="4" t="s">
        <v>239</v>
      </c>
      <c r="C2484" s="4">
        <v>4187</v>
      </c>
      <c r="D2484" s="4">
        <v>1</v>
      </c>
      <c r="E2484" s="4">
        <v>1</v>
      </c>
      <c r="F2484" s="4" t="s">
        <v>268</v>
      </c>
      <c r="G2484" s="4" t="s">
        <v>241</v>
      </c>
      <c r="H2484" s="4" t="s">
        <v>241</v>
      </c>
      <c r="I2484" s="4" t="s">
        <v>424</v>
      </c>
      <c r="J2484" s="4" t="s">
        <v>274</v>
      </c>
      <c r="K2484" s="4" t="s">
        <v>251</v>
      </c>
      <c r="L2484" s="4" t="s">
        <v>423</v>
      </c>
      <c r="M2484" s="5" t="s">
        <v>5068</v>
      </c>
      <c r="N2484" s="6">
        <f>2441</f>
        <v>2441</v>
      </c>
      <c r="O2484" s="4" t="s">
        <v>265</v>
      </c>
      <c r="P2484" s="6">
        <f>1</f>
        <v>1</v>
      </c>
      <c r="Q2484" s="6">
        <f>0</f>
        <v>0</v>
      </c>
      <c r="S2484" s="6">
        <f>0</f>
        <v>0</v>
      </c>
      <c r="T2484" s="6">
        <f>1</f>
        <v>1</v>
      </c>
      <c r="U2484" s="5" t="s">
        <v>245</v>
      </c>
      <c r="V2484" s="4" t="s">
        <v>270</v>
      </c>
      <c r="W2484" s="4" t="s">
        <v>271</v>
      </c>
      <c r="X2484" s="4" t="s">
        <v>273</v>
      </c>
      <c r="Y2484" s="4" t="s">
        <v>241</v>
      </c>
      <c r="AB2484" s="4" t="s">
        <v>241</v>
      </c>
      <c r="AD2484" s="5" t="s">
        <v>241</v>
      </c>
      <c r="AG2484" s="5" t="s">
        <v>246</v>
      </c>
      <c r="AH2484" s="4" t="s">
        <v>241</v>
      </c>
      <c r="AI2484" s="4" t="s">
        <v>247</v>
      </c>
      <c r="AJ2484" s="4" t="s">
        <v>248</v>
      </c>
      <c r="AZ2484" s="4" t="s">
        <v>249</v>
      </c>
      <c r="BA2484" s="4" t="s">
        <v>241</v>
      </c>
      <c r="BB2484" s="4" t="s">
        <v>250</v>
      </c>
      <c r="BC2484" s="4" t="s">
        <v>241</v>
      </c>
      <c r="BD2484" s="4" t="s">
        <v>252</v>
      </c>
      <c r="BE2484" s="4" t="s">
        <v>241</v>
      </c>
      <c r="BI2484" s="4" t="s">
        <v>253</v>
      </c>
      <c r="BJ2484" s="5" t="s">
        <v>246</v>
      </c>
      <c r="BK2484" s="4" t="s">
        <v>254</v>
      </c>
      <c r="BL2484" s="4" t="s">
        <v>255</v>
      </c>
      <c r="BM2484" s="4" t="s">
        <v>241</v>
      </c>
      <c r="BN2484" s="6">
        <f>0</f>
        <v>0</v>
      </c>
      <c r="BO2484" s="6">
        <f>0</f>
        <v>0</v>
      </c>
      <c r="BP2484" s="4" t="s">
        <v>256</v>
      </c>
      <c r="BQ2484" s="4" t="s">
        <v>257</v>
      </c>
      <c r="CE2484" s="4" t="s">
        <v>241</v>
      </c>
      <c r="CF2484" s="4" t="s">
        <v>241</v>
      </c>
      <c r="CJ2484" s="4" t="s">
        <v>276</v>
      </c>
      <c r="CK2484" s="4" t="s">
        <v>259</v>
      </c>
      <c r="CL2484" s="4" t="s">
        <v>241</v>
      </c>
      <c r="CO2484" s="5" t="s">
        <v>260</v>
      </c>
      <c r="CP2484" s="4" t="s">
        <v>241</v>
      </c>
      <c r="CQ2484" s="4" t="s">
        <v>261</v>
      </c>
      <c r="CR2484" s="4" t="s">
        <v>241</v>
      </c>
      <c r="CS2484" s="4" t="s">
        <v>241</v>
      </c>
      <c r="CT2484" s="4">
        <v>0</v>
      </c>
      <c r="CU2484" s="4" t="s">
        <v>262</v>
      </c>
      <c r="CV2484" s="4" t="s">
        <v>263</v>
      </c>
      <c r="CW2484" s="4" t="s">
        <v>263</v>
      </c>
      <c r="CX2484" s="4" t="s">
        <v>264</v>
      </c>
      <c r="DA2484" s="6">
        <f>1</f>
        <v>1</v>
      </c>
      <c r="DC2484" s="4" t="s">
        <v>325</v>
      </c>
      <c r="DD2484" s="4" t="s">
        <v>241</v>
      </c>
      <c r="DF2484" s="4" t="s">
        <v>325</v>
      </c>
      <c r="DG2484" s="6">
        <f>2441</f>
        <v>2441</v>
      </c>
      <c r="DI2484" s="4" t="s">
        <v>241</v>
      </c>
      <c r="DJ2484" s="4" t="s">
        <v>241</v>
      </c>
      <c r="DK2484" s="4" t="s">
        <v>241</v>
      </c>
      <c r="DL2484" s="4" t="s">
        <v>241</v>
      </c>
      <c r="DP2484" s="4" t="s">
        <v>241</v>
      </c>
      <c r="DQ2484" s="4" t="s">
        <v>241</v>
      </c>
      <c r="DR2484" s="4" t="s">
        <v>241</v>
      </c>
      <c r="DS2484" s="4" t="s">
        <v>241</v>
      </c>
      <c r="DV2484" s="4" t="s">
        <v>426</v>
      </c>
      <c r="DW2484" s="4" t="s">
        <v>2845</v>
      </c>
      <c r="HO2484" s="4" t="s">
        <v>267</v>
      </c>
    </row>
    <row r="2485" spans="1:223" ht="19.5" customHeight="1" x14ac:dyDescent="0.4">
      <c r="A2485" s="4">
        <v>1</v>
      </c>
      <c r="B2485" s="4" t="s">
        <v>239</v>
      </c>
      <c r="C2485" s="4">
        <v>4188</v>
      </c>
      <c r="D2485" s="4">
        <v>1</v>
      </c>
      <c r="E2485" s="4">
        <v>1</v>
      </c>
      <c r="F2485" s="4" t="s">
        <v>268</v>
      </c>
      <c r="G2485" s="4" t="s">
        <v>241</v>
      </c>
      <c r="H2485" s="4" t="s">
        <v>241</v>
      </c>
      <c r="I2485" s="4" t="s">
        <v>424</v>
      </c>
      <c r="J2485" s="4" t="s">
        <v>274</v>
      </c>
      <c r="K2485" s="4" t="s">
        <v>251</v>
      </c>
      <c r="L2485" s="4" t="s">
        <v>423</v>
      </c>
      <c r="M2485" s="5" t="s">
        <v>4192</v>
      </c>
      <c r="N2485" s="6">
        <f>317</f>
        <v>317</v>
      </c>
      <c r="O2485" s="4" t="s">
        <v>265</v>
      </c>
      <c r="P2485" s="6">
        <f>1</f>
        <v>1</v>
      </c>
      <c r="Q2485" s="6">
        <f>0</f>
        <v>0</v>
      </c>
      <c r="S2485" s="6">
        <f>0</f>
        <v>0</v>
      </c>
      <c r="T2485" s="6">
        <f>1</f>
        <v>1</v>
      </c>
      <c r="U2485" s="5" t="s">
        <v>245</v>
      </c>
      <c r="V2485" s="4" t="s">
        <v>270</v>
      </c>
      <c r="W2485" s="4" t="s">
        <v>271</v>
      </c>
      <c r="X2485" s="4" t="s">
        <v>273</v>
      </c>
      <c r="Y2485" s="4" t="s">
        <v>241</v>
      </c>
      <c r="AB2485" s="4" t="s">
        <v>241</v>
      </c>
      <c r="AD2485" s="5" t="s">
        <v>241</v>
      </c>
      <c r="AG2485" s="5" t="s">
        <v>246</v>
      </c>
      <c r="AH2485" s="4" t="s">
        <v>241</v>
      </c>
      <c r="AI2485" s="4" t="s">
        <v>247</v>
      </c>
      <c r="AJ2485" s="4" t="s">
        <v>248</v>
      </c>
      <c r="AZ2485" s="4" t="s">
        <v>249</v>
      </c>
      <c r="BA2485" s="4" t="s">
        <v>241</v>
      </c>
      <c r="BB2485" s="4" t="s">
        <v>250</v>
      </c>
      <c r="BC2485" s="4" t="s">
        <v>241</v>
      </c>
      <c r="BD2485" s="4" t="s">
        <v>252</v>
      </c>
      <c r="BE2485" s="4" t="s">
        <v>241</v>
      </c>
      <c r="BI2485" s="4" t="s">
        <v>253</v>
      </c>
      <c r="BJ2485" s="5" t="s">
        <v>246</v>
      </c>
      <c r="BK2485" s="4" t="s">
        <v>254</v>
      </c>
      <c r="BL2485" s="4" t="s">
        <v>255</v>
      </c>
      <c r="BM2485" s="4" t="s">
        <v>241</v>
      </c>
      <c r="BN2485" s="6">
        <f>0</f>
        <v>0</v>
      </c>
      <c r="BO2485" s="6">
        <f>0</f>
        <v>0</v>
      </c>
      <c r="BP2485" s="4" t="s">
        <v>256</v>
      </c>
      <c r="BQ2485" s="4" t="s">
        <v>257</v>
      </c>
      <c r="CE2485" s="4" t="s">
        <v>241</v>
      </c>
      <c r="CF2485" s="4" t="s">
        <v>241</v>
      </c>
      <c r="CJ2485" s="4" t="s">
        <v>276</v>
      </c>
      <c r="CK2485" s="4" t="s">
        <v>259</v>
      </c>
      <c r="CL2485" s="4" t="s">
        <v>241</v>
      </c>
      <c r="CO2485" s="5" t="s">
        <v>260</v>
      </c>
      <c r="CP2485" s="4" t="s">
        <v>241</v>
      </c>
      <c r="CQ2485" s="4" t="s">
        <v>261</v>
      </c>
      <c r="CR2485" s="4" t="s">
        <v>241</v>
      </c>
      <c r="CS2485" s="4" t="s">
        <v>241</v>
      </c>
      <c r="CT2485" s="4">
        <v>0</v>
      </c>
      <c r="CU2485" s="4" t="s">
        <v>262</v>
      </c>
      <c r="CV2485" s="4" t="s">
        <v>263</v>
      </c>
      <c r="CW2485" s="4" t="s">
        <v>263</v>
      </c>
      <c r="CX2485" s="4" t="s">
        <v>264</v>
      </c>
      <c r="DA2485" s="6">
        <f>1</f>
        <v>1</v>
      </c>
      <c r="DC2485" s="4" t="s">
        <v>325</v>
      </c>
      <c r="DD2485" s="4" t="s">
        <v>241</v>
      </c>
      <c r="DF2485" s="4" t="s">
        <v>325</v>
      </c>
      <c r="DG2485" s="6">
        <f>317</f>
        <v>317</v>
      </c>
      <c r="DI2485" s="4" t="s">
        <v>241</v>
      </c>
      <c r="DJ2485" s="4" t="s">
        <v>241</v>
      </c>
      <c r="DK2485" s="4" t="s">
        <v>241</v>
      </c>
      <c r="DL2485" s="4" t="s">
        <v>241</v>
      </c>
      <c r="DP2485" s="4" t="s">
        <v>241</v>
      </c>
      <c r="DQ2485" s="4" t="s">
        <v>241</v>
      </c>
      <c r="DR2485" s="4" t="s">
        <v>241</v>
      </c>
      <c r="DS2485" s="4" t="s">
        <v>241</v>
      </c>
      <c r="DV2485" s="4" t="s">
        <v>426</v>
      </c>
      <c r="DW2485" s="4" t="s">
        <v>2843</v>
      </c>
      <c r="HO2485" s="4" t="s">
        <v>267</v>
      </c>
    </row>
    <row r="2486" spans="1:223" ht="19.5" customHeight="1" x14ac:dyDescent="0.4">
      <c r="A2486" s="4">
        <v>1</v>
      </c>
      <c r="B2486" s="4" t="s">
        <v>239</v>
      </c>
      <c r="C2486" s="4">
        <v>4189</v>
      </c>
      <c r="D2486" s="4">
        <v>1</v>
      </c>
      <c r="E2486" s="4">
        <v>1</v>
      </c>
      <c r="F2486" s="4" t="s">
        <v>268</v>
      </c>
      <c r="G2486" s="4" t="s">
        <v>241</v>
      </c>
      <c r="H2486" s="4" t="s">
        <v>241</v>
      </c>
      <c r="I2486" s="4" t="s">
        <v>424</v>
      </c>
      <c r="J2486" s="4" t="s">
        <v>274</v>
      </c>
      <c r="K2486" s="4" t="s">
        <v>251</v>
      </c>
      <c r="L2486" s="4" t="s">
        <v>423</v>
      </c>
      <c r="M2486" s="5" t="s">
        <v>4194</v>
      </c>
      <c r="N2486" s="6">
        <f>286</f>
        <v>286</v>
      </c>
      <c r="O2486" s="4" t="s">
        <v>265</v>
      </c>
      <c r="P2486" s="6">
        <f>1</f>
        <v>1</v>
      </c>
      <c r="Q2486" s="6">
        <f>0</f>
        <v>0</v>
      </c>
      <c r="S2486" s="6">
        <f>0</f>
        <v>0</v>
      </c>
      <c r="T2486" s="6">
        <f>1</f>
        <v>1</v>
      </c>
      <c r="U2486" s="5" t="s">
        <v>245</v>
      </c>
      <c r="V2486" s="4" t="s">
        <v>270</v>
      </c>
      <c r="W2486" s="4" t="s">
        <v>271</v>
      </c>
      <c r="X2486" s="4" t="s">
        <v>273</v>
      </c>
      <c r="Y2486" s="4" t="s">
        <v>241</v>
      </c>
      <c r="AB2486" s="4" t="s">
        <v>241</v>
      </c>
      <c r="AD2486" s="5" t="s">
        <v>241</v>
      </c>
      <c r="AG2486" s="5" t="s">
        <v>246</v>
      </c>
      <c r="AH2486" s="4" t="s">
        <v>241</v>
      </c>
      <c r="AI2486" s="4" t="s">
        <v>247</v>
      </c>
      <c r="AJ2486" s="4" t="s">
        <v>248</v>
      </c>
      <c r="AZ2486" s="4" t="s">
        <v>249</v>
      </c>
      <c r="BA2486" s="4" t="s">
        <v>241</v>
      </c>
      <c r="BB2486" s="4" t="s">
        <v>250</v>
      </c>
      <c r="BC2486" s="4" t="s">
        <v>241</v>
      </c>
      <c r="BD2486" s="4" t="s">
        <v>252</v>
      </c>
      <c r="BE2486" s="4" t="s">
        <v>241</v>
      </c>
      <c r="BI2486" s="4" t="s">
        <v>253</v>
      </c>
      <c r="BJ2486" s="5" t="s">
        <v>246</v>
      </c>
      <c r="BK2486" s="4" t="s">
        <v>254</v>
      </c>
      <c r="BL2486" s="4" t="s">
        <v>255</v>
      </c>
      <c r="BM2486" s="4" t="s">
        <v>241</v>
      </c>
      <c r="BN2486" s="6">
        <f>0</f>
        <v>0</v>
      </c>
      <c r="BO2486" s="6">
        <f>0</f>
        <v>0</v>
      </c>
      <c r="BP2486" s="4" t="s">
        <v>256</v>
      </c>
      <c r="BQ2486" s="4" t="s">
        <v>257</v>
      </c>
      <c r="CE2486" s="4" t="s">
        <v>241</v>
      </c>
      <c r="CF2486" s="4" t="s">
        <v>241</v>
      </c>
      <c r="CJ2486" s="4" t="s">
        <v>276</v>
      </c>
      <c r="CK2486" s="4" t="s">
        <v>259</v>
      </c>
      <c r="CL2486" s="4" t="s">
        <v>241</v>
      </c>
      <c r="CO2486" s="5" t="s">
        <v>260</v>
      </c>
      <c r="CP2486" s="4" t="s">
        <v>241</v>
      </c>
      <c r="CQ2486" s="4" t="s">
        <v>261</v>
      </c>
      <c r="CR2486" s="4" t="s">
        <v>241</v>
      </c>
      <c r="CS2486" s="4" t="s">
        <v>241</v>
      </c>
      <c r="CT2486" s="4">
        <v>0</v>
      </c>
      <c r="CU2486" s="4" t="s">
        <v>262</v>
      </c>
      <c r="CV2486" s="4" t="s">
        <v>263</v>
      </c>
      <c r="CW2486" s="4" t="s">
        <v>263</v>
      </c>
      <c r="CX2486" s="4" t="s">
        <v>264</v>
      </c>
      <c r="DA2486" s="6">
        <f>1</f>
        <v>1</v>
      </c>
      <c r="DC2486" s="4" t="s">
        <v>325</v>
      </c>
      <c r="DD2486" s="4" t="s">
        <v>241</v>
      </c>
      <c r="DF2486" s="4" t="s">
        <v>325</v>
      </c>
      <c r="DG2486" s="6">
        <f>286</f>
        <v>286</v>
      </c>
      <c r="DI2486" s="4" t="s">
        <v>241</v>
      </c>
      <c r="DJ2486" s="4" t="s">
        <v>241</v>
      </c>
      <c r="DK2486" s="4" t="s">
        <v>241</v>
      </c>
      <c r="DL2486" s="4" t="s">
        <v>241</v>
      </c>
      <c r="DP2486" s="4" t="s">
        <v>241</v>
      </c>
      <c r="DQ2486" s="4" t="s">
        <v>241</v>
      </c>
      <c r="DR2486" s="4" t="s">
        <v>241</v>
      </c>
      <c r="DS2486" s="4" t="s">
        <v>241</v>
      </c>
      <c r="DV2486" s="4" t="s">
        <v>426</v>
      </c>
      <c r="DW2486" s="4" t="s">
        <v>2124</v>
      </c>
      <c r="HO2486" s="4" t="s">
        <v>267</v>
      </c>
    </row>
    <row r="2487" spans="1:223" ht="19.5" customHeight="1" x14ac:dyDescent="0.4">
      <c r="A2487" s="4">
        <v>1</v>
      </c>
      <c r="B2487" s="4" t="s">
        <v>239</v>
      </c>
      <c r="C2487" s="4">
        <v>4190</v>
      </c>
      <c r="D2487" s="4">
        <v>1</v>
      </c>
      <c r="E2487" s="4">
        <v>1</v>
      </c>
      <c r="F2487" s="4" t="s">
        <v>268</v>
      </c>
      <c r="G2487" s="4" t="s">
        <v>241</v>
      </c>
      <c r="H2487" s="4" t="s">
        <v>241</v>
      </c>
      <c r="I2487" s="4" t="s">
        <v>424</v>
      </c>
      <c r="J2487" s="4" t="s">
        <v>274</v>
      </c>
      <c r="K2487" s="4" t="s">
        <v>251</v>
      </c>
      <c r="L2487" s="4" t="s">
        <v>423</v>
      </c>
      <c r="M2487" s="5" t="s">
        <v>4003</v>
      </c>
      <c r="N2487" s="6">
        <f>728</f>
        <v>728</v>
      </c>
      <c r="O2487" s="4" t="s">
        <v>265</v>
      </c>
      <c r="P2487" s="6">
        <f>1</f>
        <v>1</v>
      </c>
      <c r="Q2487" s="6">
        <f>0</f>
        <v>0</v>
      </c>
      <c r="S2487" s="6">
        <f>0</f>
        <v>0</v>
      </c>
      <c r="T2487" s="6">
        <f>1</f>
        <v>1</v>
      </c>
      <c r="U2487" s="5" t="s">
        <v>245</v>
      </c>
      <c r="V2487" s="4" t="s">
        <v>270</v>
      </c>
      <c r="W2487" s="4" t="s">
        <v>271</v>
      </c>
      <c r="X2487" s="4" t="s">
        <v>273</v>
      </c>
      <c r="Y2487" s="4" t="s">
        <v>241</v>
      </c>
      <c r="AB2487" s="4" t="s">
        <v>241</v>
      </c>
      <c r="AD2487" s="5" t="s">
        <v>241</v>
      </c>
      <c r="AG2487" s="5" t="s">
        <v>246</v>
      </c>
      <c r="AH2487" s="4" t="s">
        <v>241</v>
      </c>
      <c r="AI2487" s="4" t="s">
        <v>247</v>
      </c>
      <c r="AJ2487" s="4" t="s">
        <v>248</v>
      </c>
      <c r="AZ2487" s="4" t="s">
        <v>249</v>
      </c>
      <c r="BA2487" s="4" t="s">
        <v>241</v>
      </c>
      <c r="BB2487" s="4" t="s">
        <v>250</v>
      </c>
      <c r="BC2487" s="4" t="s">
        <v>241</v>
      </c>
      <c r="BD2487" s="4" t="s">
        <v>252</v>
      </c>
      <c r="BE2487" s="4" t="s">
        <v>241</v>
      </c>
      <c r="BI2487" s="4" t="s">
        <v>253</v>
      </c>
      <c r="BJ2487" s="5" t="s">
        <v>246</v>
      </c>
      <c r="BK2487" s="4" t="s">
        <v>254</v>
      </c>
      <c r="BL2487" s="4" t="s">
        <v>255</v>
      </c>
      <c r="BM2487" s="4" t="s">
        <v>241</v>
      </c>
      <c r="BN2487" s="6">
        <f>0</f>
        <v>0</v>
      </c>
      <c r="BO2487" s="6">
        <f>0</f>
        <v>0</v>
      </c>
      <c r="BP2487" s="4" t="s">
        <v>256</v>
      </c>
      <c r="BQ2487" s="4" t="s">
        <v>257</v>
      </c>
      <c r="CE2487" s="4" t="s">
        <v>241</v>
      </c>
      <c r="CF2487" s="4" t="s">
        <v>241</v>
      </c>
      <c r="CJ2487" s="4" t="s">
        <v>276</v>
      </c>
      <c r="CK2487" s="4" t="s">
        <v>259</v>
      </c>
      <c r="CL2487" s="4" t="s">
        <v>241</v>
      </c>
      <c r="CO2487" s="5" t="s">
        <v>260</v>
      </c>
      <c r="CP2487" s="4" t="s">
        <v>241</v>
      </c>
      <c r="CQ2487" s="4" t="s">
        <v>261</v>
      </c>
      <c r="CR2487" s="4" t="s">
        <v>241</v>
      </c>
      <c r="CS2487" s="4" t="s">
        <v>241</v>
      </c>
      <c r="CT2487" s="4">
        <v>0</v>
      </c>
      <c r="CU2487" s="4" t="s">
        <v>262</v>
      </c>
      <c r="CV2487" s="4" t="s">
        <v>263</v>
      </c>
      <c r="CW2487" s="4" t="s">
        <v>263</v>
      </c>
      <c r="CX2487" s="4" t="s">
        <v>264</v>
      </c>
      <c r="DA2487" s="6">
        <f>1</f>
        <v>1</v>
      </c>
      <c r="DC2487" s="4" t="s">
        <v>325</v>
      </c>
      <c r="DD2487" s="4" t="s">
        <v>241</v>
      </c>
      <c r="DF2487" s="4" t="s">
        <v>325</v>
      </c>
      <c r="DG2487" s="6">
        <f>728</f>
        <v>728</v>
      </c>
      <c r="DI2487" s="4" t="s">
        <v>241</v>
      </c>
      <c r="DJ2487" s="4" t="s">
        <v>241</v>
      </c>
      <c r="DK2487" s="4" t="s">
        <v>241</v>
      </c>
      <c r="DL2487" s="4" t="s">
        <v>241</v>
      </c>
      <c r="DP2487" s="4" t="s">
        <v>241</v>
      </c>
      <c r="DQ2487" s="4" t="s">
        <v>241</v>
      </c>
      <c r="DR2487" s="4" t="s">
        <v>241</v>
      </c>
      <c r="DS2487" s="4" t="s">
        <v>241</v>
      </c>
      <c r="DV2487" s="4" t="s">
        <v>426</v>
      </c>
      <c r="DW2487" s="4" t="s">
        <v>2916</v>
      </c>
      <c r="HO2487" s="4" t="s">
        <v>267</v>
      </c>
    </row>
    <row r="2488" spans="1:223" ht="19.5" customHeight="1" x14ac:dyDescent="0.4">
      <c r="A2488" s="4">
        <v>1</v>
      </c>
      <c r="B2488" s="4" t="s">
        <v>239</v>
      </c>
      <c r="C2488" s="4">
        <v>4191</v>
      </c>
      <c r="D2488" s="4">
        <v>1</v>
      </c>
      <c r="E2488" s="4">
        <v>1</v>
      </c>
      <c r="F2488" s="4" t="s">
        <v>268</v>
      </c>
      <c r="G2488" s="4" t="s">
        <v>241</v>
      </c>
      <c r="H2488" s="4" t="s">
        <v>241</v>
      </c>
      <c r="I2488" s="4" t="s">
        <v>424</v>
      </c>
      <c r="J2488" s="4" t="s">
        <v>274</v>
      </c>
      <c r="K2488" s="4" t="s">
        <v>251</v>
      </c>
      <c r="L2488" s="4" t="s">
        <v>423</v>
      </c>
      <c r="M2488" s="5" t="s">
        <v>4928</v>
      </c>
      <c r="N2488" s="6">
        <f>470</f>
        <v>470</v>
      </c>
      <c r="O2488" s="4" t="s">
        <v>265</v>
      </c>
      <c r="P2488" s="6">
        <f>1</f>
        <v>1</v>
      </c>
      <c r="Q2488" s="6">
        <f>0</f>
        <v>0</v>
      </c>
      <c r="S2488" s="6">
        <f>0</f>
        <v>0</v>
      </c>
      <c r="T2488" s="6">
        <f>1</f>
        <v>1</v>
      </c>
      <c r="U2488" s="5" t="s">
        <v>245</v>
      </c>
      <c r="V2488" s="4" t="s">
        <v>270</v>
      </c>
      <c r="W2488" s="4" t="s">
        <v>271</v>
      </c>
      <c r="X2488" s="4" t="s">
        <v>273</v>
      </c>
      <c r="Y2488" s="4" t="s">
        <v>241</v>
      </c>
      <c r="AB2488" s="4" t="s">
        <v>241</v>
      </c>
      <c r="AD2488" s="5" t="s">
        <v>241</v>
      </c>
      <c r="AG2488" s="5" t="s">
        <v>246</v>
      </c>
      <c r="AH2488" s="4" t="s">
        <v>241</v>
      </c>
      <c r="AI2488" s="4" t="s">
        <v>247</v>
      </c>
      <c r="AJ2488" s="4" t="s">
        <v>248</v>
      </c>
      <c r="AZ2488" s="4" t="s">
        <v>249</v>
      </c>
      <c r="BA2488" s="4" t="s">
        <v>241</v>
      </c>
      <c r="BB2488" s="4" t="s">
        <v>250</v>
      </c>
      <c r="BC2488" s="4" t="s">
        <v>241</v>
      </c>
      <c r="BD2488" s="4" t="s">
        <v>252</v>
      </c>
      <c r="BE2488" s="4" t="s">
        <v>241</v>
      </c>
      <c r="BI2488" s="4" t="s">
        <v>253</v>
      </c>
      <c r="BJ2488" s="5" t="s">
        <v>246</v>
      </c>
      <c r="BK2488" s="4" t="s">
        <v>254</v>
      </c>
      <c r="BL2488" s="4" t="s">
        <v>255</v>
      </c>
      <c r="BM2488" s="4" t="s">
        <v>241</v>
      </c>
      <c r="BN2488" s="6">
        <f>0</f>
        <v>0</v>
      </c>
      <c r="BO2488" s="6">
        <f>0</f>
        <v>0</v>
      </c>
      <c r="BP2488" s="4" t="s">
        <v>256</v>
      </c>
      <c r="BQ2488" s="4" t="s">
        <v>257</v>
      </c>
      <c r="CE2488" s="4" t="s">
        <v>241</v>
      </c>
      <c r="CF2488" s="4" t="s">
        <v>241</v>
      </c>
      <c r="CJ2488" s="4" t="s">
        <v>276</v>
      </c>
      <c r="CK2488" s="4" t="s">
        <v>259</v>
      </c>
      <c r="CL2488" s="4" t="s">
        <v>241</v>
      </c>
      <c r="CO2488" s="5" t="s">
        <v>260</v>
      </c>
      <c r="CP2488" s="4" t="s">
        <v>241</v>
      </c>
      <c r="CQ2488" s="4" t="s">
        <v>261</v>
      </c>
      <c r="CR2488" s="4" t="s">
        <v>241</v>
      </c>
      <c r="CS2488" s="4" t="s">
        <v>241</v>
      </c>
      <c r="CT2488" s="4">
        <v>0</v>
      </c>
      <c r="CU2488" s="4" t="s">
        <v>262</v>
      </c>
      <c r="CV2488" s="4" t="s">
        <v>263</v>
      </c>
      <c r="CW2488" s="4" t="s">
        <v>263</v>
      </c>
      <c r="CX2488" s="4" t="s">
        <v>264</v>
      </c>
      <c r="DA2488" s="6">
        <f>1</f>
        <v>1</v>
      </c>
      <c r="DC2488" s="4" t="s">
        <v>325</v>
      </c>
      <c r="DD2488" s="4" t="s">
        <v>241</v>
      </c>
      <c r="DF2488" s="4" t="s">
        <v>325</v>
      </c>
      <c r="DG2488" s="6">
        <f>470</f>
        <v>470</v>
      </c>
      <c r="DI2488" s="4" t="s">
        <v>241</v>
      </c>
      <c r="DJ2488" s="4" t="s">
        <v>241</v>
      </c>
      <c r="DK2488" s="4" t="s">
        <v>241</v>
      </c>
      <c r="DL2488" s="4" t="s">
        <v>241</v>
      </c>
      <c r="DP2488" s="4" t="s">
        <v>241</v>
      </c>
      <c r="DQ2488" s="4" t="s">
        <v>241</v>
      </c>
      <c r="DR2488" s="4" t="s">
        <v>241</v>
      </c>
      <c r="DS2488" s="4" t="s">
        <v>241</v>
      </c>
      <c r="DV2488" s="4" t="s">
        <v>426</v>
      </c>
      <c r="DW2488" s="4" t="s">
        <v>2914</v>
      </c>
      <c r="HO2488" s="4" t="s">
        <v>267</v>
      </c>
    </row>
    <row r="2489" spans="1:223" ht="19.5" customHeight="1" x14ac:dyDescent="0.4">
      <c r="A2489" s="4">
        <v>1</v>
      </c>
      <c r="B2489" s="4" t="s">
        <v>239</v>
      </c>
      <c r="C2489" s="4">
        <v>4192</v>
      </c>
      <c r="D2489" s="4">
        <v>1</v>
      </c>
      <c r="E2489" s="4">
        <v>1</v>
      </c>
      <c r="F2489" s="4" t="s">
        <v>268</v>
      </c>
      <c r="G2489" s="4" t="s">
        <v>241</v>
      </c>
      <c r="H2489" s="4" t="s">
        <v>241</v>
      </c>
      <c r="I2489" s="4" t="s">
        <v>424</v>
      </c>
      <c r="J2489" s="4" t="s">
        <v>274</v>
      </c>
      <c r="K2489" s="4" t="s">
        <v>251</v>
      </c>
      <c r="L2489" s="4" t="s">
        <v>423</v>
      </c>
      <c r="M2489" s="5" t="s">
        <v>4014</v>
      </c>
      <c r="N2489" s="6">
        <f>1087</f>
        <v>1087</v>
      </c>
      <c r="O2489" s="4" t="s">
        <v>265</v>
      </c>
      <c r="P2489" s="6">
        <f>1</f>
        <v>1</v>
      </c>
      <c r="Q2489" s="6">
        <f>0</f>
        <v>0</v>
      </c>
      <c r="S2489" s="6">
        <f>0</f>
        <v>0</v>
      </c>
      <c r="T2489" s="6">
        <f>1</f>
        <v>1</v>
      </c>
      <c r="U2489" s="5" t="s">
        <v>245</v>
      </c>
      <c r="V2489" s="4" t="s">
        <v>270</v>
      </c>
      <c r="W2489" s="4" t="s">
        <v>271</v>
      </c>
      <c r="X2489" s="4" t="s">
        <v>273</v>
      </c>
      <c r="Y2489" s="4" t="s">
        <v>241</v>
      </c>
      <c r="AB2489" s="4" t="s">
        <v>241</v>
      </c>
      <c r="AD2489" s="5" t="s">
        <v>241</v>
      </c>
      <c r="AG2489" s="5" t="s">
        <v>246</v>
      </c>
      <c r="AH2489" s="4" t="s">
        <v>241</v>
      </c>
      <c r="AI2489" s="4" t="s">
        <v>247</v>
      </c>
      <c r="AJ2489" s="4" t="s">
        <v>248</v>
      </c>
      <c r="AZ2489" s="4" t="s">
        <v>249</v>
      </c>
      <c r="BA2489" s="4" t="s">
        <v>241</v>
      </c>
      <c r="BB2489" s="4" t="s">
        <v>250</v>
      </c>
      <c r="BC2489" s="4" t="s">
        <v>241</v>
      </c>
      <c r="BD2489" s="4" t="s">
        <v>252</v>
      </c>
      <c r="BE2489" s="4" t="s">
        <v>241</v>
      </c>
      <c r="BI2489" s="4" t="s">
        <v>253</v>
      </c>
      <c r="BJ2489" s="5" t="s">
        <v>246</v>
      </c>
      <c r="BK2489" s="4" t="s">
        <v>254</v>
      </c>
      <c r="BL2489" s="4" t="s">
        <v>255</v>
      </c>
      <c r="BM2489" s="4" t="s">
        <v>241</v>
      </c>
      <c r="BN2489" s="6">
        <f>0</f>
        <v>0</v>
      </c>
      <c r="BO2489" s="6">
        <f>0</f>
        <v>0</v>
      </c>
      <c r="BP2489" s="4" t="s">
        <v>256</v>
      </c>
      <c r="BQ2489" s="4" t="s">
        <v>257</v>
      </c>
      <c r="CE2489" s="4" t="s">
        <v>241</v>
      </c>
      <c r="CF2489" s="4" t="s">
        <v>241</v>
      </c>
      <c r="CJ2489" s="4" t="s">
        <v>276</v>
      </c>
      <c r="CK2489" s="4" t="s">
        <v>259</v>
      </c>
      <c r="CL2489" s="4" t="s">
        <v>241</v>
      </c>
      <c r="CO2489" s="5" t="s">
        <v>260</v>
      </c>
      <c r="CP2489" s="4" t="s">
        <v>241</v>
      </c>
      <c r="CQ2489" s="4" t="s">
        <v>261</v>
      </c>
      <c r="CR2489" s="4" t="s">
        <v>241</v>
      </c>
      <c r="CS2489" s="4" t="s">
        <v>241</v>
      </c>
      <c r="CT2489" s="4">
        <v>0</v>
      </c>
      <c r="CU2489" s="4" t="s">
        <v>262</v>
      </c>
      <c r="CV2489" s="4" t="s">
        <v>263</v>
      </c>
      <c r="CW2489" s="4" t="s">
        <v>263</v>
      </c>
      <c r="CX2489" s="4" t="s">
        <v>264</v>
      </c>
      <c r="DA2489" s="6">
        <f>1</f>
        <v>1</v>
      </c>
      <c r="DC2489" s="4" t="s">
        <v>325</v>
      </c>
      <c r="DD2489" s="4" t="s">
        <v>241</v>
      </c>
      <c r="DF2489" s="4" t="s">
        <v>325</v>
      </c>
      <c r="DG2489" s="6">
        <f>1087</f>
        <v>1087</v>
      </c>
      <c r="DI2489" s="4" t="s">
        <v>241</v>
      </c>
      <c r="DJ2489" s="4" t="s">
        <v>241</v>
      </c>
      <c r="DK2489" s="4" t="s">
        <v>241</v>
      </c>
      <c r="DL2489" s="4" t="s">
        <v>241</v>
      </c>
      <c r="DP2489" s="4" t="s">
        <v>241</v>
      </c>
      <c r="DQ2489" s="4" t="s">
        <v>241</v>
      </c>
      <c r="DR2489" s="4" t="s">
        <v>241</v>
      </c>
      <c r="DS2489" s="4" t="s">
        <v>241</v>
      </c>
      <c r="DV2489" s="4" t="s">
        <v>426</v>
      </c>
      <c r="DW2489" s="4" t="s">
        <v>2908</v>
      </c>
      <c r="HO2489" s="4" t="s">
        <v>267</v>
      </c>
    </row>
    <row r="2490" spans="1:223" ht="19.5" customHeight="1" x14ac:dyDescent="0.4">
      <c r="A2490" s="4">
        <v>1</v>
      </c>
      <c r="B2490" s="4" t="s">
        <v>239</v>
      </c>
      <c r="C2490" s="4">
        <v>4193</v>
      </c>
      <c r="D2490" s="4">
        <v>1</v>
      </c>
      <c r="E2490" s="4">
        <v>1</v>
      </c>
      <c r="F2490" s="4" t="s">
        <v>268</v>
      </c>
      <c r="G2490" s="4" t="s">
        <v>241</v>
      </c>
      <c r="H2490" s="4" t="s">
        <v>241</v>
      </c>
      <c r="I2490" s="4" t="s">
        <v>424</v>
      </c>
      <c r="J2490" s="4" t="s">
        <v>274</v>
      </c>
      <c r="K2490" s="4" t="s">
        <v>251</v>
      </c>
      <c r="L2490" s="4" t="s">
        <v>423</v>
      </c>
      <c r="M2490" s="5" t="s">
        <v>4015</v>
      </c>
      <c r="N2490" s="6">
        <f>906</f>
        <v>906</v>
      </c>
      <c r="O2490" s="4" t="s">
        <v>265</v>
      </c>
      <c r="P2490" s="6">
        <f>1</f>
        <v>1</v>
      </c>
      <c r="Q2490" s="6">
        <f>0</f>
        <v>0</v>
      </c>
      <c r="S2490" s="6">
        <f>0</f>
        <v>0</v>
      </c>
      <c r="T2490" s="6">
        <f>1</f>
        <v>1</v>
      </c>
      <c r="U2490" s="5" t="s">
        <v>245</v>
      </c>
      <c r="V2490" s="4" t="s">
        <v>270</v>
      </c>
      <c r="W2490" s="4" t="s">
        <v>271</v>
      </c>
      <c r="X2490" s="4" t="s">
        <v>273</v>
      </c>
      <c r="Y2490" s="4" t="s">
        <v>241</v>
      </c>
      <c r="AB2490" s="4" t="s">
        <v>241</v>
      </c>
      <c r="AD2490" s="5" t="s">
        <v>241</v>
      </c>
      <c r="AG2490" s="5" t="s">
        <v>246</v>
      </c>
      <c r="AH2490" s="4" t="s">
        <v>241</v>
      </c>
      <c r="AI2490" s="4" t="s">
        <v>247</v>
      </c>
      <c r="AJ2490" s="4" t="s">
        <v>248</v>
      </c>
      <c r="AZ2490" s="4" t="s">
        <v>249</v>
      </c>
      <c r="BA2490" s="4" t="s">
        <v>241</v>
      </c>
      <c r="BB2490" s="4" t="s">
        <v>250</v>
      </c>
      <c r="BC2490" s="4" t="s">
        <v>241</v>
      </c>
      <c r="BD2490" s="4" t="s">
        <v>252</v>
      </c>
      <c r="BE2490" s="4" t="s">
        <v>241</v>
      </c>
      <c r="BI2490" s="4" t="s">
        <v>253</v>
      </c>
      <c r="BJ2490" s="5" t="s">
        <v>246</v>
      </c>
      <c r="BK2490" s="4" t="s">
        <v>254</v>
      </c>
      <c r="BL2490" s="4" t="s">
        <v>255</v>
      </c>
      <c r="BM2490" s="4" t="s">
        <v>241</v>
      </c>
      <c r="BN2490" s="6">
        <f>0</f>
        <v>0</v>
      </c>
      <c r="BO2490" s="6">
        <f>0</f>
        <v>0</v>
      </c>
      <c r="BP2490" s="4" t="s">
        <v>256</v>
      </c>
      <c r="BQ2490" s="4" t="s">
        <v>257</v>
      </c>
      <c r="CE2490" s="4" t="s">
        <v>241</v>
      </c>
      <c r="CF2490" s="4" t="s">
        <v>241</v>
      </c>
      <c r="CJ2490" s="4" t="s">
        <v>276</v>
      </c>
      <c r="CK2490" s="4" t="s">
        <v>259</v>
      </c>
      <c r="CL2490" s="4" t="s">
        <v>241</v>
      </c>
      <c r="CO2490" s="5" t="s">
        <v>260</v>
      </c>
      <c r="CP2490" s="4" t="s">
        <v>241</v>
      </c>
      <c r="CQ2490" s="4" t="s">
        <v>261</v>
      </c>
      <c r="CR2490" s="4" t="s">
        <v>241</v>
      </c>
      <c r="CS2490" s="4" t="s">
        <v>241</v>
      </c>
      <c r="CT2490" s="4">
        <v>0</v>
      </c>
      <c r="CU2490" s="4" t="s">
        <v>262</v>
      </c>
      <c r="CV2490" s="4" t="s">
        <v>263</v>
      </c>
      <c r="CW2490" s="4" t="s">
        <v>263</v>
      </c>
      <c r="CX2490" s="4" t="s">
        <v>264</v>
      </c>
      <c r="DA2490" s="6">
        <f>1</f>
        <v>1</v>
      </c>
      <c r="DC2490" s="4" t="s">
        <v>325</v>
      </c>
      <c r="DD2490" s="4" t="s">
        <v>241</v>
      </c>
      <c r="DF2490" s="4" t="s">
        <v>325</v>
      </c>
      <c r="DG2490" s="6">
        <f>906</f>
        <v>906</v>
      </c>
      <c r="DI2490" s="4" t="s">
        <v>241</v>
      </c>
      <c r="DJ2490" s="4" t="s">
        <v>241</v>
      </c>
      <c r="DK2490" s="4" t="s">
        <v>241</v>
      </c>
      <c r="DL2490" s="4" t="s">
        <v>241</v>
      </c>
      <c r="DP2490" s="4" t="s">
        <v>241</v>
      </c>
      <c r="DQ2490" s="4" t="s">
        <v>241</v>
      </c>
      <c r="DR2490" s="4" t="s">
        <v>241</v>
      </c>
      <c r="DS2490" s="4" t="s">
        <v>241</v>
      </c>
      <c r="DV2490" s="4" t="s">
        <v>426</v>
      </c>
      <c r="DW2490" s="4" t="s">
        <v>2906</v>
      </c>
      <c r="HO2490" s="4" t="s">
        <v>267</v>
      </c>
    </row>
    <row r="2491" spans="1:223" ht="19.5" customHeight="1" x14ac:dyDescent="0.4">
      <c r="A2491" s="4">
        <v>1</v>
      </c>
      <c r="B2491" s="4" t="s">
        <v>239</v>
      </c>
      <c r="C2491" s="4">
        <v>4194</v>
      </c>
      <c r="D2491" s="4">
        <v>1</v>
      </c>
      <c r="E2491" s="4">
        <v>1</v>
      </c>
      <c r="F2491" s="4" t="s">
        <v>268</v>
      </c>
      <c r="G2491" s="4" t="s">
        <v>241</v>
      </c>
      <c r="H2491" s="4" t="s">
        <v>241</v>
      </c>
      <c r="I2491" s="4" t="s">
        <v>424</v>
      </c>
      <c r="J2491" s="4" t="s">
        <v>274</v>
      </c>
      <c r="K2491" s="4" t="s">
        <v>251</v>
      </c>
      <c r="L2491" s="4" t="s">
        <v>423</v>
      </c>
      <c r="M2491" s="5" t="s">
        <v>847</v>
      </c>
      <c r="N2491" s="6">
        <f>1009</f>
        <v>1009</v>
      </c>
      <c r="O2491" s="4" t="s">
        <v>265</v>
      </c>
      <c r="P2491" s="6">
        <f>1</f>
        <v>1</v>
      </c>
      <c r="Q2491" s="6">
        <f>0</f>
        <v>0</v>
      </c>
      <c r="S2491" s="6">
        <f>0</f>
        <v>0</v>
      </c>
      <c r="T2491" s="6">
        <f>1</f>
        <v>1</v>
      </c>
      <c r="U2491" s="5" t="s">
        <v>245</v>
      </c>
      <c r="V2491" s="4" t="s">
        <v>270</v>
      </c>
      <c r="W2491" s="4" t="s">
        <v>271</v>
      </c>
      <c r="X2491" s="4" t="s">
        <v>273</v>
      </c>
      <c r="Y2491" s="4" t="s">
        <v>241</v>
      </c>
      <c r="AB2491" s="4" t="s">
        <v>241</v>
      </c>
      <c r="AD2491" s="5" t="s">
        <v>241</v>
      </c>
      <c r="AG2491" s="5" t="s">
        <v>246</v>
      </c>
      <c r="AH2491" s="4" t="s">
        <v>241</v>
      </c>
      <c r="AI2491" s="4" t="s">
        <v>247</v>
      </c>
      <c r="AJ2491" s="4" t="s">
        <v>248</v>
      </c>
      <c r="AZ2491" s="4" t="s">
        <v>249</v>
      </c>
      <c r="BA2491" s="4" t="s">
        <v>241</v>
      </c>
      <c r="BB2491" s="4" t="s">
        <v>250</v>
      </c>
      <c r="BC2491" s="4" t="s">
        <v>241</v>
      </c>
      <c r="BD2491" s="4" t="s">
        <v>252</v>
      </c>
      <c r="BE2491" s="4" t="s">
        <v>241</v>
      </c>
      <c r="BI2491" s="4" t="s">
        <v>253</v>
      </c>
      <c r="BJ2491" s="5" t="s">
        <v>246</v>
      </c>
      <c r="BK2491" s="4" t="s">
        <v>254</v>
      </c>
      <c r="BL2491" s="4" t="s">
        <v>255</v>
      </c>
      <c r="BM2491" s="4" t="s">
        <v>241</v>
      </c>
      <c r="BN2491" s="6">
        <f>0</f>
        <v>0</v>
      </c>
      <c r="BO2491" s="6">
        <f>0</f>
        <v>0</v>
      </c>
      <c r="BP2491" s="4" t="s">
        <v>256</v>
      </c>
      <c r="BQ2491" s="4" t="s">
        <v>257</v>
      </c>
      <c r="CE2491" s="4" t="s">
        <v>241</v>
      </c>
      <c r="CF2491" s="4" t="s">
        <v>241</v>
      </c>
      <c r="CJ2491" s="4" t="s">
        <v>276</v>
      </c>
      <c r="CK2491" s="4" t="s">
        <v>259</v>
      </c>
      <c r="CL2491" s="4" t="s">
        <v>241</v>
      </c>
      <c r="CO2491" s="5" t="s">
        <v>260</v>
      </c>
      <c r="CP2491" s="4" t="s">
        <v>241</v>
      </c>
      <c r="CQ2491" s="4" t="s">
        <v>261</v>
      </c>
      <c r="CR2491" s="4" t="s">
        <v>241</v>
      </c>
      <c r="CS2491" s="4" t="s">
        <v>241</v>
      </c>
      <c r="CT2491" s="4">
        <v>0</v>
      </c>
      <c r="CU2491" s="4" t="s">
        <v>262</v>
      </c>
      <c r="CV2491" s="4" t="s">
        <v>263</v>
      </c>
      <c r="CW2491" s="4" t="s">
        <v>263</v>
      </c>
      <c r="CX2491" s="4" t="s">
        <v>264</v>
      </c>
      <c r="DA2491" s="6">
        <f>1</f>
        <v>1</v>
      </c>
      <c r="DC2491" s="4" t="s">
        <v>325</v>
      </c>
      <c r="DD2491" s="4" t="s">
        <v>241</v>
      </c>
      <c r="DF2491" s="4" t="s">
        <v>325</v>
      </c>
      <c r="DG2491" s="6">
        <f>1009</f>
        <v>1009</v>
      </c>
      <c r="DI2491" s="4" t="s">
        <v>241</v>
      </c>
      <c r="DJ2491" s="4" t="s">
        <v>241</v>
      </c>
      <c r="DK2491" s="4" t="s">
        <v>241</v>
      </c>
      <c r="DL2491" s="4" t="s">
        <v>241</v>
      </c>
      <c r="DP2491" s="4" t="s">
        <v>241</v>
      </c>
      <c r="DQ2491" s="4" t="s">
        <v>241</v>
      </c>
      <c r="DR2491" s="4" t="s">
        <v>241</v>
      </c>
      <c r="DS2491" s="4" t="s">
        <v>241</v>
      </c>
      <c r="DV2491" s="4" t="s">
        <v>426</v>
      </c>
      <c r="DW2491" s="4" t="s">
        <v>848</v>
      </c>
      <c r="HO2491" s="4" t="s">
        <v>267</v>
      </c>
    </row>
    <row r="2492" spans="1:223" ht="19.5" customHeight="1" x14ac:dyDescent="0.4">
      <c r="A2492" s="4">
        <v>1</v>
      </c>
      <c r="B2492" s="4" t="s">
        <v>239</v>
      </c>
      <c r="C2492" s="4">
        <v>4195</v>
      </c>
      <c r="D2492" s="4">
        <v>1</v>
      </c>
      <c r="E2492" s="4">
        <v>1</v>
      </c>
      <c r="F2492" s="4" t="s">
        <v>268</v>
      </c>
      <c r="G2492" s="4" t="s">
        <v>241</v>
      </c>
      <c r="H2492" s="4" t="s">
        <v>241</v>
      </c>
      <c r="I2492" s="4" t="s">
        <v>424</v>
      </c>
      <c r="J2492" s="4" t="s">
        <v>274</v>
      </c>
      <c r="K2492" s="4" t="s">
        <v>251</v>
      </c>
      <c r="L2492" s="4" t="s">
        <v>423</v>
      </c>
      <c r="M2492" s="5" t="s">
        <v>849</v>
      </c>
      <c r="N2492" s="6">
        <f>197</f>
        <v>197</v>
      </c>
      <c r="O2492" s="4" t="s">
        <v>265</v>
      </c>
      <c r="P2492" s="6">
        <f>1</f>
        <v>1</v>
      </c>
      <c r="Q2492" s="6">
        <f>0</f>
        <v>0</v>
      </c>
      <c r="S2492" s="6">
        <f>0</f>
        <v>0</v>
      </c>
      <c r="T2492" s="6">
        <f>1</f>
        <v>1</v>
      </c>
      <c r="U2492" s="5" t="s">
        <v>245</v>
      </c>
      <c r="V2492" s="4" t="s">
        <v>270</v>
      </c>
      <c r="W2492" s="4" t="s">
        <v>271</v>
      </c>
      <c r="X2492" s="4" t="s">
        <v>273</v>
      </c>
      <c r="Y2492" s="4" t="s">
        <v>241</v>
      </c>
      <c r="AB2492" s="4" t="s">
        <v>241</v>
      </c>
      <c r="AD2492" s="5" t="s">
        <v>241</v>
      </c>
      <c r="AG2492" s="5" t="s">
        <v>246</v>
      </c>
      <c r="AH2492" s="4" t="s">
        <v>241</v>
      </c>
      <c r="AI2492" s="4" t="s">
        <v>247</v>
      </c>
      <c r="AJ2492" s="4" t="s">
        <v>248</v>
      </c>
      <c r="AZ2492" s="4" t="s">
        <v>249</v>
      </c>
      <c r="BA2492" s="4" t="s">
        <v>241</v>
      </c>
      <c r="BB2492" s="4" t="s">
        <v>250</v>
      </c>
      <c r="BC2492" s="4" t="s">
        <v>241</v>
      </c>
      <c r="BD2492" s="4" t="s">
        <v>252</v>
      </c>
      <c r="BE2492" s="4" t="s">
        <v>241</v>
      </c>
      <c r="BI2492" s="4" t="s">
        <v>253</v>
      </c>
      <c r="BJ2492" s="5" t="s">
        <v>246</v>
      </c>
      <c r="BK2492" s="4" t="s">
        <v>254</v>
      </c>
      <c r="BL2492" s="4" t="s">
        <v>255</v>
      </c>
      <c r="BM2492" s="4" t="s">
        <v>241</v>
      </c>
      <c r="BN2492" s="6">
        <f>0</f>
        <v>0</v>
      </c>
      <c r="BO2492" s="6">
        <f>0</f>
        <v>0</v>
      </c>
      <c r="BP2492" s="4" t="s">
        <v>256</v>
      </c>
      <c r="BQ2492" s="4" t="s">
        <v>257</v>
      </c>
      <c r="CE2492" s="4" t="s">
        <v>241</v>
      </c>
      <c r="CF2492" s="4" t="s">
        <v>241</v>
      </c>
      <c r="CJ2492" s="4" t="s">
        <v>276</v>
      </c>
      <c r="CK2492" s="4" t="s">
        <v>259</v>
      </c>
      <c r="CL2492" s="4" t="s">
        <v>241</v>
      </c>
      <c r="CO2492" s="5" t="s">
        <v>260</v>
      </c>
      <c r="CP2492" s="4" t="s">
        <v>241</v>
      </c>
      <c r="CQ2492" s="4" t="s">
        <v>261</v>
      </c>
      <c r="CR2492" s="4" t="s">
        <v>241</v>
      </c>
      <c r="CS2492" s="4" t="s">
        <v>241</v>
      </c>
      <c r="CT2492" s="4">
        <v>0</v>
      </c>
      <c r="CU2492" s="4" t="s">
        <v>262</v>
      </c>
      <c r="CV2492" s="4" t="s">
        <v>263</v>
      </c>
      <c r="CW2492" s="4" t="s">
        <v>263</v>
      </c>
      <c r="CX2492" s="4" t="s">
        <v>264</v>
      </c>
      <c r="DA2492" s="6">
        <f>1</f>
        <v>1</v>
      </c>
      <c r="DC2492" s="4" t="s">
        <v>325</v>
      </c>
      <c r="DD2492" s="4" t="s">
        <v>241</v>
      </c>
      <c r="DF2492" s="4" t="s">
        <v>325</v>
      </c>
      <c r="DG2492" s="6">
        <f>197</f>
        <v>197</v>
      </c>
      <c r="DI2492" s="4" t="s">
        <v>241</v>
      </c>
      <c r="DJ2492" s="4" t="s">
        <v>241</v>
      </c>
      <c r="DK2492" s="4" t="s">
        <v>241</v>
      </c>
      <c r="DL2492" s="4" t="s">
        <v>241</v>
      </c>
      <c r="DP2492" s="4" t="s">
        <v>241</v>
      </c>
      <c r="DQ2492" s="4" t="s">
        <v>241</v>
      </c>
      <c r="DR2492" s="4" t="s">
        <v>241</v>
      </c>
      <c r="DS2492" s="4" t="s">
        <v>241</v>
      </c>
      <c r="DV2492" s="4" t="s">
        <v>426</v>
      </c>
      <c r="DW2492" s="4" t="s">
        <v>850</v>
      </c>
      <c r="HO2492" s="4" t="s">
        <v>267</v>
      </c>
    </row>
    <row r="2493" spans="1:223" ht="19.5" customHeight="1" x14ac:dyDescent="0.4">
      <c r="A2493" s="4">
        <v>1</v>
      </c>
      <c r="B2493" s="4" t="s">
        <v>239</v>
      </c>
      <c r="C2493" s="4">
        <v>4196</v>
      </c>
      <c r="D2493" s="4">
        <v>1</v>
      </c>
      <c r="E2493" s="4">
        <v>1</v>
      </c>
      <c r="F2493" s="4" t="s">
        <v>268</v>
      </c>
      <c r="G2493" s="4" t="s">
        <v>241</v>
      </c>
      <c r="H2493" s="4" t="s">
        <v>241</v>
      </c>
      <c r="I2493" s="4" t="s">
        <v>424</v>
      </c>
      <c r="J2493" s="4" t="s">
        <v>274</v>
      </c>
      <c r="K2493" s="4" t="s">
        <v>251</v>
      </c>
      <c r="L2493" s="4" t="s">
        <v>423</v>
      </c>
      <c r="M2493" s="5" t="s">
        <v>851</v>
      </c>
      <c r="N2493" s="6">
        <f>92</f>
        <v>92</v>
      </c>
      <c r="O2493" s="4" t="s">
        <v>265</v>
      </c>
      <c r="P2493" s="6">
        <f>1</f>
        <v>1</v>
      </c>
      <c r="Q2493" s="6">
        <f>0</f>
        <v>0</v>
      </c>
      <c r="S2493" s="6">
        <f>0</f>
        <v>0</v>
      </c>
      <c r="T2493" s="6">
        <f>1</f>
        <v>1</v>
      </c>
      <c r="U2493" s="5" t="s">
        <v>245</v>
      </c>
      <c r="V2493" s="4" t="s">
        <v>270</v>
      </c>
      <c r="W2493" s="4" t="s">
        <v>271</v>
      </c>
      <c r="X2493" s="4" t="s">
        <v>273</v>
      </c>
      <c r="Y2493" s="4" t="s">
        <v>241</v>
      </c>
      <c r="AB2493" s="4" t="s">
        <v>241</v>
      </c>
      <c r="AD2493" s="5" t="s">
        <v>241</v>
      </c>
      <c r="AG2493" s="5" t="s">
        <v>246</v>
      </c>
      <c r="AH2493" s="4" t="s">
        <v>241</v>
      </c>
      <c r="AI2493" s="4" t="s">
        <v>247</v>
      </c>
      <c r="AJ2493" s="4" t="s">
        <v>248</v>
      </c>
      <c r="AZ2493" s="4" t="s">
        <v>249</v>
      </c>
      <c r="BA2493" s="4" t="s">
        <v>241</v>
      </c>
      <c r="BB2493" s="4" t="s">
        <v>250</v>
      </c>
      <c r="BC2493" s="4" t="s">
        <v>241</v>
      </c>
      <c r="BD2493" s="4" t="s">
        <v>252</v>
      </c>
      <c r="BE2493" s="4" t="s">
        <v>241</v>
      </c>
      <c r="BI2493" s="4" t="s">
        <v>253</v>
      </c>
      <c r="BJ2493" s="5" t="s">
        <v>246</v>
      </c>
      <c r="BK2493" s="4" t="s">
        <v>254</v>
      </c>
      <c r="BL2493" s="4" t="s">
        <v>255</v>
      </c>
      <c r="BM2493" s="4" t="s">
        <v>241</v>
      </c>
      <c r="BN2493" s="6">
        <f>0</f>
        <v>0</v>
      </c>
      <c r="BO2493" s="6">
        <f>0</f>
        <v>0</v>
      </c>
      <c r="BP2493" s="4" t="s">
        <v>256</v>
      </c>
      <c r="BQ2493" s="4" t="s">
        <v>257</v>
      </c>
      <c r="CE2493" s="4" t="s">
        <v>241</v>
      </c>
      <c r="CF2493" s="4" t="s">
        <v>241</v>
      </c>
      <c r="CJ2493" s="4" t="s">
        <v>276</v>
      </c>
      <c r="CK2493" s="4" t="s">
        <v>259</v>
      </c>
      <c r="CL2493" s="4" t="s">
        <v>241</v>
      </c>
      <c r="CO2493" s="5" t="s">
        <v>260</v>
      </c>
      <c r="CP2493" s="4" t="s">
        <v>241</v>
      </c>
      <c r="CQ2493" s="4" t="s">
        <v>261</v>
      </c>
      <c r="CR2493" s="4" t="s">
        <v>241</v>
      </c>
      <c r="CS2493" s="4" t="s">
        <v>241</v>
      </c>
      <c r="CT2493" s="4">
        <v>0</v>
      </c>
      <c r="CU2493" s="4" t="s">
        <v>262</v>
      </c>
      <c r="CV2493" s="4" t="s">
        <v>263</v>
      </c>
      <c r="CW2493" s="4" t="s">
        <v>263</v>
      </c>
      <c r="CX2493" s="4" t="s">
        <v>264</v>
      </c>
      <c r="DA2493" s="6">
        <f>1</f>
        <v>1</v>
      </c>
      <c r="DC2493" s="4" t="s">
        <v>325</v>
      </c>
      <c r="DD2493" s="4" t="s">
        <v>241</v>
      </c>
      <c r="DF2493" s="4" t="s">
        <v>325</v>
      </c>
      <c r="DG2493" s="6">
        <f>92</f>
        <v>92</v>
      </c>
      <c r="DI2493" s="4" t="s">
        <v>241</v>
      </c>
      <c r="DJ2493" s="4" t="s">
        <v>241</v>
      </c>
      <c r="DK2493" s="4" t="s">
        <v>241</v>
      </c>
      <c r="DL2493" s="4" t="s">
        <v>241</v>
      </c>
      <c r="DP2493" s="4" t="s">
        <v>241</v>
      </c>
      <c r="DQ2493" s="4" t="s">
        <v>241</v>
      </c>
      <c r="DR2493" s="4" t="s">
        <v>241</v>
      </c>
      <c r="DS2493" s="4" t="s">
        <v>241</v>
      </c>
      <c r="DV2493" s="4" t="s">
        <v>426</v>
      </c>
      <c r="DW2493" s="4" t="s">
        <v>852</v>
      </c>
      <c r="HO2493" s="4" t="s">
        <v>267</v>
      </c>
    </row>
    <row r="2494" spans="1:223" ht="19.5" customHeight="1" x14ac:dyDescent="0.4">
      <c r="A2494" s="4">
        <v>1</v>
      </c>
      <c r="B2494" s="4" t="s">
        <v>239</v>
      </c>
      <c r="C2494" s="4">
        <v>4197</v>
      </c>
      <c r="D2494" s="4">
        <v>1</v>
      </c>
      <c r="E2494" s="4">
        <v>1</v>
      </c>
      <c r="F2494" s="4" t="s">
        <v>268</v>
      </c>
      <c r="G2494" s="4" t="s">
        <v>241</v>
      </c>
      <c r="H2494" s="4" t="s">
        <v>241</v>
      </c>
      <c r="I2494" s="4" t="s">
        <v>424</v>
      </c>
      <c r="J2494" s="4" t="s">
        <v>274</v>
      </c>
      <c r="K2494" s="4" t="s">
        <v>251</v>
      </c>
      <c r="L2494" s="4" t="s">
        <v>423</v>
      </c>
      <c r="M2494" s="5" t="s">
        <v>857</v>
      </c>
      <c r="N2494" s="6">
        <f>645</f>
        <v>645</v>
      </c>
      <c r="O2494" s="4" t="s">
        <v>265</v>
      </c>
      <c r="P2494" s="6">
        <f>1</f>
        <v>1</v>
      </c>
      <c r="Q2494" s="6">
        <f>0</f>
        <v>0</v>
      </c>
      <c r="S2494" s="6">
        <f>0</f>
        <v>0</v>
      </c>
      <c r="T2494" s="6">
        <f>1</f>
        <v>1</v>
      </c>
      <c r="U2494" s="5" t="s">
        <v>245</v>
      </c>
      <c r="V2494" s="4" t="s">
        <v>270</v>
      </c>
      <c r="W2494" s="4" t="s">
        <v>271</v>
      </c>
      <c r="X2494" s="4" t="s">
        <v>273</v>
      </c>
      <c r="Y2494" s="4" t="s">
        <v>241</v>
      </c>
      <c r="AB2494" s="4" t="s">
        <v>241</v>
      </c>
      <c r="AD2494" s="5" t="s">
        <v>241</v>
      </c>
      <c r="AG2494" s="5" t="s">
        <v>246</v>
      </c>
      <c r="AH2494" s="4" t="s">
        <v>241</v>
      </c>
      <c r="AI2494" s="4" t="s">
        <v>247</v>
      </c>
      <c r="AJ2494" s="4" t="s">
        <v>248</v>
      </c>
      <c r="AZ2494" s="4" t="s">
        <v>249</v>
      </c>
      <c r="BA2494" s="4" t="s">
        <v>241</v>
      </c>
      <c r="BB2494" s="4" t="s">
        <v>250</v>
      </c>
      <c r="BC2494" s="4" t="s">
        <v>241</v>
      </c>
      <c r="BD2494" s="4" t="s">
        <v>252</v>
      </c>
      <c r="BE2494" s="4" t="s">
        <v>241</v>
      </c>
      <c r="BI2494" s="4" t="s">
        <v>253</v>
      </c>
      <c r="BJ2494" s="5" t="s">
        <v>246</v>
      </c>
      <c r="BK2494" s="4" t="s">
        <v>254</v>
      </c>
      <c r="BL2494" s="4" t="s">
        <v>255</v>
      </c>
      <c r="BM2494" s="4" t="s">
        <v>241</v>
      </c>
      <c r="BN2494" s="6">
        <f>0</f>
        <v>0</v>
      </c>
      <c r="BO2494" s="6">
        <f>0</f>
        <v>0</v>
      </c>
      <c r="BP2494" s="4" t="s">
        <v>256</v>
      </c>
      <c r="BQ2494" s="4" t="s">
        <v>257</v>
      </c>
      <c r="CE2494" s="4" t="s">
        <v>241</v>
      </c>
      <c r="CF2494" s="4" t="s">
        <v>241</v>
      </c>
      <c r="CJ2494" s="4" t="s">
        <v>276</v>
      </c>
      <c r="CK2494" s="4" t="s">
        <v>259</v>
      </c>
      <c r="CL2494" s="4" t="s">
        <v>241</v>
      </c>
      <c r="CO2494" s="5" t="s">
        <v>260</v>
      </c>
      <c r="CP2494" s="4" t="s">
        <v>241</v>
      </c>
      <c r="CQ2494" s="4" t="s">
        <v>261</v>
      </c>
      <c r="CR2494" s="4" t="s">
        <v>241</v>
      </c>
      <c r="CS2494" s="4" t="s">
        <v>241</v>
      </c>
      <c r="CT2494" s="4">
        <v>0</v>
      </c>
      <c r="CU2494" s="4" t="s">
        <v>262</v>
      </c>
      <c r="CV2494" s="4" t="s">
        <v>263</v>
      </c>
      <c r="CW2494" s="4" t="s">
        <v>263</v>
      </c>
      <c r="CX2494" s="4" t="s">
        <v>264</v>
      </c>
      <c r="DA2494" s="6">
        <f>1</f>
        <v>1</v>
      </c>
      <c r="DC2494" s="4" t="s">
        <v>325</v>
      </c>
      <c r="DD2494" s="4" t="s">
        <v>241</v>
      </c>
      <c r="DF2494" s="4" t="s">
        <v>325</v>
      </c>
      <c r="DG2494" s="6">
        <f>645</f>
        <v>645</v>
      </c>
      <c r="DI2494" s="4" t="s">
        <v>241</v>
      </c>
      <c r="DJ2494" s="4" t="s">
        <v>241</v>
      </c>
      <c r="DK2494" s="4" t="s">
        <v>241</v>
      </c>
      <c r="DL2494" s="4" t="s">
        <v>241</v>
      </c>
      <c r="DP2494" s="4" t="s">
        <v>241</v>
      </c>
      <c r="DQ2494" s="4" t="s">
        <v>241</v>
      </c>
      <c r="DR2494" s="4" t="s">
        <v>241</v>
      </c>
      <c r="DS2494" s="4" t="s">
        <v>241</v>
      </c>
      <c r="DV2494" s="4" t="s">
        <v>426</v>
      </c>
      <c r="DW2494" s="4" t="s">
        <v>858</v>
      </c>
      <c r="HO2494" s="4" t="s">
        <v>267</v>
      </c>
    </row>
    <row r="2495" spans="1:223" ht="19.5" customHeight="1" x14ac:dyDescent="0.4">
      <c r="A2495" s="4">
        <v>1</v>
      </c>
      <c r="B2495" s="4" t="s">
        <v>239</v>
      </c>
      <c r="C2495" s="4">
        <v>4198</v>
      </c>
      <c r="D2495" s="4">
        <v>1</v>
      </c>
      <c r="E2495" s="4">
        <v>1</v>
      </c>
      <c r="F2495" s="4" t="s">
        <v>268</v>
      </c>
      <c r="G2495" s="4" t="s">
        <v>241</v>
      </c>
      <c r="H2495" s="4" t="s">
        <v>241</v>
      </c>
      <c r="I2495" s="4" t="s">
        <v>424</v>
      </c>
      <c r="J2495" s="4" t="s">
        <v>274</v>
      </c>
      <c r="K2495" s="4" t="s">
        <v>251</v>
      </c>
      <c r="L2495" s="4" t="s">
        <v>423</v>
      </c>
      <c r="M2495" s="5" t="s">
        <v>3579</v>
      </c>
      <c r="N2495" s="6">
        <f>276</f>
        <v>276</v>
      </c>
      <c r="O2495" s="4" t="s">
        <v>265</v>
      </c>
      <c r="P2495" s="6">
        <f>1</f>
        <v>1</v>
      </c>
      <c r="Q2495" s="6">
        <f>0</f>
        <v>0</v>
      </c>
      <c r="S2495" s="6">
        <f>0</f>
        <v>0</v>
      </c>
      <c r="T2495" s="6">
        <f>1</f>
        <v>1</v>
      </c>
      <c r="U2495" s="5" t="s">
        <v>245</v>
      </c>
      <c r="V2495" s="4" t="s">
        <v>270</v>
      </c>
      <c r="W2495" s="4" t="s">
        <v>271</v>
      </c>
      <c r="X2495" s="4" t="s">
        <v>273</v>
      </c>
      <c r="Y2495" s="4" t="s">
        <v>241</v>
      </c>
      <c r="AB2495" s="4" t="s">
        <v>241</v>
      </c>
      <c r="AD2495" s="5" t="s">
        <v>241</v>
      </c>
      <c r="AG2495" s="5" t="s">
        <v>246</v>
      </c>
      <c r="AH2495" s="4" t="s">
        <v>241</v>
      </c>
      <c r="AI2495" s="4" t="s">
        <v>247</v>
      </c>
      <c r="AJ2495" s="4" t="s">
        <v>248</v>
      </c>
      <c r="AZ2495" s="4" t="s">
        <v>249</v>
      </c>
      <c r="BA2495" s="4" t="s">
        <v>241</v>
      </c>
      <c r="BB2495" s="4" t="s">
        <v>250</v>
      </c>
      <c r="BC2495" s="4" t="s">
        <v>241</v>
      </c>
      <c r="BD2495" s="4" t="s">
        <v>252</v>
      </c>
      <c r="BE2495" s="4" t="s">
        <v>241</v>
      </c>
      <c r="BI2495" s="4" t="s">
        <v>253</v>
      </c>
      <c r="BJ2495" s="5" t="s">
        <v>246</v>
      </c>
      <c r="BK2495" s="4" t="s">
        <v>254</v>
      </c>
      <c r="BL2495" s="4" t="s">
        <v>255</v>
      </c>
      <c r="BM2495" s="4" t="s">
        <v>241</v>
      </c>
      <c r="BN2495" s="6">
        <f>0</f>
        <v>0</v>
      </c>
      <c r="BO2495" s="6">
        <f>0</f>
        <v>0</v>
      </c>
      <c r="BP2495" s="4" t="s">
        <v>256</v>
      </c>
      <c r="BQ2495" s="4" t="s">
        <v>257</v>
      </c>
      <c r="CE2495" s="4" t="s">
        <v>241</v>
      </c>
      <c r="CF2495" s="4" t="s">
        <v>241</v>
      </c>
      <c r="CJ2495" s="4" t="s">
        <v>276</v>
      </c>
      <c r="CK2495" s="4" t="s">
        <v>259</v>
      </c>
      <c r="CL2495" s="4" t="s">
        <v>241</v>
      </c>
      <c r="CO2495" s="5" t="s">
        <v>260</v>
      </c>
      <c r="CP2495" s="4" t="s">
        <v>241</v>
      </c>
      <c r="CQ2495" s="4" t="s">
        <v>261</v>
      </c>
      <c r="CR2495" s="4" t="s">
        <v>241</v>
      </c>
      <c r="CS2495" s="4" t="s">
        <v>241</v>
      </c>
      <c r="CT2495" s="4">
        <v>0</v>
      </c>
      <c r="CU2495" s="4" t="s">
        <v>262</v>
      </c>
      <c r="CV2495" s="4" t="s">
        <v>263</v>
      </c>
      <c r="CW2495" s="4" t="s">
        <v>263</v>
      </c>
      <c r="CX2495" s="4" t="s">
        <v>264</v>
      </c>
      <c r="DA2495" s="6">
        <f>1</f>
        <v>1</v>
      </c>
      <c r="DC2495" s="4" t="s">
        <v>325</v>
      </c>
      <c r="DD2495" s="4" t="s">
        <v>241</v>
      </c>
      <c r="DF2495" s="4" t="s">
        <v>325</v>
      </c>
      <c r="DG2495" s="6">
        <f>276</f>
        <v>276</v>
      </c>
      <c r="DI2495" s="4" t="s">
        <v>241</v>
      </c>
      <c r="DJ2495" s="4" t="s">
        <v>241</v>
      </c>
      <c r="DK2495" s="4" t="s">
        <v>241</v>
      </c>
      <c r="DL2495" s="4" t="s">
        <v>241</v>
      </c>
      <c r="DP2495" s="4" t="s">
        <v>241</v>
      </c>
      <c r="DQ2495" s="4" t="s">
        <v>241</v>
      </c>
      <c r="DR2495" s="4" t="s">
        <v>241</v>
      </c>
      <c r="DS2495" s="4" t="s">
        <v>241</v>
      </c>
      <c r="DV2495" s="4" t="s">
        <v>426</v>
      </c>
      <c r="DW2495" s="4" t="s">
        <v>2834</v>
      </c>
      <c r="HO2495" s="4" t="s">
        <v>267</v>
      </c>
    </row>
    <row r="2496" spans="1:223" ht="19.5" customHeight="1" x14ac:dyDescent="0.4">
      <c r="A2496" s="4">
        <v>1</v>
      </c>
      <c r="B2496" s="4" t="s">
        <v>239</v>
      </c>
      <c r="C2496" s="4">
        <v>4199</v>
      </c>
      <c r="D2496" s="4">
        <v>1</v>
      </c>
      <c r="E2496" s="4">
        <v>1</v>
      </c>
      <c r="F2496" s="4" t="s">
        <v>268</v>
      </c>
      <c r="G2496" s="4" t="s">
        <v>241</v>
      </c>
      <c r="H2496" s="4" t="s">
        <v>241</v>
      </c>
      <c r="I2496" s="4" t="s">
        <v>424</v>
      </c>
      <c r="J2496" s="4" t="s">
        <v>274</v>
      </c>
      <c r="K2496" s="4" t="s">
        <v>251</v>
      </c>
      <c r="L2496" s="4" t="s">
        <v>423</v>
      </c>
      <c r="M2496" s="5" t="s">
        <v>3551</v>
      </c>
      <c r="N2496" s="6">
        <f>615</f>
        <v>615</v>
      </c>
      <c r="O2496" s="4" t="s">
        <v>265</v>
      </c>
      <c r="P2496" s="6">
        <f>1</f>
        <v>1</v>
      </c>
      <c r="Q2496" s="6">
        <f>0</f>
        <v>0</v>
      </c>
      <c r="S2496" s="6">
        <f>0</f>
        <v>0</v>
      </c>
      <c r="T2496" s="6">
        <f>1</f>
        <v>1</v>
      </c>
      <c r="U2496" s="5" t="s">
        <v>245</v>
      </c>
      <c r="V2496" s="4" t="s">
        <v>270</v>
      </c>
      <c r="W2496" s="4" t="s">
        <v>271</v>
      </c>
      <c r="X2496" s="4" t="s">
        <v>273</v>
      </c>
      <c r="Y2496" s="4" t="s">
        <v>241</v>
      </c>
      <c r="AB2496" s="4" t="s">
        <v>241</v>
      </c>
      <c r="AD2496" s="5" t="s">
        <v>241</v>
      </c>
      <c r="AG2496" s="5" t="s">
        <v>246</v>
      </c>
      <c r="AH2496" s="4" t="s">
        <v>241</v>
      </c>
      <c r="AI2496" s="4" t="s">
        <v>247</v>
      </c>
      <c r="AJ2496" s="4" t="s">
        <v>248</v>
      </c>
      <c r="AZ2496" s="4" t="s">
        <v>249</v>
      </c>
      <c r="BA2496" s="4" t="s">
        <v>241</v>
      </c>
      <c r="BB2496" s="4" t="s">
        <v>250</v>
      </c>
      <c r="BC2496" s="4" t="s">
        <v>241</v>
      </c>
      <c r="BD2496" s="4" t="s">
        <v>252</v>
      </c>
      <c r="BE2496" s="4" t="s">
        <v>241</v>
      </c>
      <c r="BI2496" s="4" t="s">
        <v>253</v>
      </c>
      <c r="BJ2496" s="5" t="s">
        <v>246</v>
      </c>
      <c r="BK2496" s="4" t="s">
        <v>254</v>
      </c>
      <c r="BL2496" s="4" t="s">
        <v>255</v>
      </c>
      <c r="BM2496" s="4" t="s">
        <v>241</v>
      </c>
      <c r="BN2496" s="6">
        <f>0</f>
        <v>0</v>
      </c>
      <c r="BO2496" s="6">
        <f>0</f>
        <v>0</v>
      </c>
      <c r="BP2496" s="4" t="s">
        <v>256</v>
      </c>
      <c r="BQ2496" s="4" t="s">
        <v>257</v>
      </c>
      <c r="CE2496" s="4" t="s">
        <v>241</v>
      </c>
      <c r="CF2496" s="4" t="s">
        <v>241</v>
      </c>
      <c r="CJ2496" s="4" t="s">
        <v>276</v>
      </c>
      <c r="CK2496" s="4" t="s">
        <v>259</v>
      </c>
      <c r="CL2496" s="4" t="s">
        <v>241</v>
      </c>
      <c r="CO2496" s="5" t="s">
        <v>260</v>
      </c>
      <c r="CP2496" s="4" t="s">
        <v>241</v>
      </c>
      <c r="CQ2496" s="4" t="s">
        <v>261</v>
      </c>
      <c r="CR2496" s="4" t="s">
        <v>241</v>
      </c>
      <c r="CS2496" s="4" t="s">
        <v>241</v>
      </c>
      <c r="CT2496" s="4">
        <v>0</v>
      </c>
      <c r="CU2496" s="4" t="s">
        <v>262</v>
      </c>
      <c r="CV2496" s="4" t="s">
        <v>263</v>
      </c>
      <c r="CW2496" s="4" t="s">
        <v>263</v>
      </c>
      <c r="CX2496" s="4" t="s">
        <v>264</v>
      </c>
      <c r="DA2496" s="6">
        <f>1</f>
        <v>1</v>
      </c>
      <c r="DC2496" s="4" t="s">
        <v>325</v>
      </c>
      <c r="DD2496" s="4" t="s">
        <v>241</v>
      </c>
      <c r="DF2496" s="4" t="s">
        <v>325</v>
      </c>
      <c r="DG2496" s="6">
        <f>615</f>
        <v>615</v>
      </c>
      <c r="DI2496" s="4" t="s">
        <v>241</v>
      </c>
      <c r="DJ2496" s="4" t="s">
        <v>241</v>
      </c>
      <c r="DK2496" s="4" t="s">
        <v>241</v>
      </c>
      <c r="DL2496" s="4" t="s">
        <v>241</v>
      </c>
      <c r="DP2496" s="4" t="s">
        <v>241</v>
      </c>
      <c r="DQ2496" s="4" t="s">
        <v>241</v>
      </c>
      <c r="DR2496" s="4" t="s">
        <v>241</v>
      </c>
      <c r="DS2496" s="4" t="s">
        <v>241</v>
      </c>
      <c r="DV2496" s="4" t="s">
        <v>426</v>
      </c>
      <c r="DW2496" s="4" t="s">
        <v>2918</v>
      </c>
      <c r="HO2496" s="4" t="s">
        <v>267</v>
      </c>
    </row>
    <row r="2497" spans="1:223" ht="19.5" customHeight="1" x14ac:dyDescent="0.4">
      <c r="A2497" s="4">
        <v>1</v>
      </c>
      <c r="B2497" s="4" t="s">
        <v>239</v>
      </c>
      <c r="C2497" s="4">
        <v>4200</v>
      </c>
      <c r="D2497" s="4">
        <v>1</v>
      </c>
      <c r="E2497" s="4">
        <v>1</v>
      </c>
      <c r="F2497" s="4" t="s">
        <v>268</v>
      </c>
      <c r="G2497" s="4" t="s">
        <v>241</v>
      </c>
      <c r="H2497" s="4" t="s">
        <v>241</v>
      </c>
      <c r="I2497" s="4" t="s">
        <v>424</v>
      </c>
      <c r="J2497" s="4" t="s">
        <v>274</v>
      </c>
      <c r="K2497" s="4" t="s">
        <v>251</v>
      </c>
      <c r="L2497" s="4" t="s">
        <v>423</v>
      </c>
      <c r="M2497" s="5" t="s">
        <v>3553</v>
      </c>
      <c r="N2497" s="6">
        <f>1234</f>
        <v>1234</v>
      </c>
      <c r="O2497" s="4" t="s">
        <v>265</v>
      </c>
      <c r="P2497" s="6">
        <f>1</f>
        <v>1</v>
      </c>
      <c r="Q2497" s="6">
        <f>0</f>
        <v>0</v>
      </c>
      <c r="S2497" s="6">
        <f>0</f>
        <v>0</v>
      </c>
      <c r="T2497" s="6">
        <f>1</f>
        <v>1</v>
      </c>
      <c r="U2497" s="5" t="s">
        <v>245</v>
      </c>
      <c r="V2497" s="4" t="s">
        <v>270</v>
      </c>
      <c r="W2497" s="4" t="s">
        <v>271</v>
      </c>
      <c r="X2497" s="4" t="s">
        <v>273</v>
      </c>
      <c r="Y2497" s="4" t="s">
        <v>241</v>
      </c>
      <c r="AB2497" s="4" t="s">
        <v>241</v>
      </c>
      <c r="AD2497" s="5" t="s">
        <v>241</v>
      </c>
      <c r="AG2497" s="5" t="s">
        <v>246</v>
      </c>
      <c r="AH2497" s="4" t="s">
        <v>241</v>
      </c>
      <c r="AI2497" s="4" t="s">
        <v>247</v>
      </c>
      <c r="AJ2497" s="4" t="s">
        <v>248</v>
      </c>
      <c r="AZ2497" s="4" t="s">
        <v>249</v>
      </c>
      <c r="BA2497" s="4" t="s">
        <v>241</v>
      </c>
      <c r="BB2497" s="4" t="s">
        <v>250</v>
      </c>
      <c r="BC2497" s="4" t="s">
        <v>241</v>
      </c>
      <c r="BD2497" s="4" t="s">
        <v>252</v>
      </c>
      <c r="BE2497" s="4" t="s">
        <v>241</v>
      </c>
      <c r="BI2497" s="4" t="s">
        <v>253</v>
      </c>
      <c r="BJ2497" s="5" t="s">
        <v>246</v>
      </c>
      <c r="BK2497" s="4" t="s">
        <v>254</v>
      </c>
      <c r="BL2497" s="4" t="s">
        <v>255</v>
      </c>
      <c r="BM2497" s="4" t="s">
        <v>241</v>
      </c>
      <c r="BN2497" s="6">
        <f>0</f>
        <v>0</v>
      </c>
      <c r="BO2497" s="6">
        <f>0</f>
        <v>0</v>
      </c>
      <c r="BP2497" s="4" t="s">
        <v>256</v>
      </c>
      <c r="BQ2497" s="4" t="s">
        <v>257</v>
      </c>
      <c r="CE2497" s="4" t="s">
        <v>241</v>
      </c>
      <c r="CF2497" s="4" t="s">
        <v>241</v>
      </c>
      <c r="CJ2497" s="4" t="s">
        <v>276</v>
      </c>
      <c r="CK2497" s="4" t="s">
        <v>259</v>
      </c>
      <c r="CL2497" s="4" t="s">
        <v>241</v>
      </c>
      <c r="CO2497" s="5" t="s">
        <v>260</v>
      </c>
      <c r="CP2497" s="4" t="s">
        <v>241</v>
      </c>
      <c r="CQ2497" s="4" t="s">
        <v>261</v>
      </c>
      <c r="CR2497" s="4" t="s">
        <v>241</v>
      </c>
      <c r="CS2497" s="4" t="s">
        <v>241</v>
      </c>
      <c r="CT2497" s="4">
        <v>0</v>
      </c>
      <c r="CU2497" s="4" t="s">
        <v>262</v>
      </c>
      <c r="CV2497" s="4" t="s">
        <v>263</v>
      </c>
      <c r="CW2497" s="4" t="s">
        <v>263</v>
      </c>
      <c r="CX2497" s="4" t="s">
        <v>264</v>
      </c>
      <c r="DA2497" s="6">
        <f>1</f>
        <v>1</v>
      </c>
      <c r="DC2497" s="4" t="s">
        <v>325</v>
      </c>
      <c r="DD2497" s="4" t="s">
        <v>241</v>
      </c>
      <c r="DF2497" s="4" t="s">
        <v>325</v>
      </c>
      <c r="DG2497" s="6">
        <f>1234</f>
        <v>1234</v>
      </c>
      <c r="DI2497" s="4" t="s">
        <v>241</v>
      </c>
      <c r="DJ2497" s="4" t="s">
        <v>241</v>
      </c>
      <c r="DK2497" s="4" t="s">
        <v>241</v>
      </c>
      <c r="DL2497" s="4" t="s">
        <v>241</v>
      </c>
      <c r="DP2497" s="4" t="s">
        <v>241</v>
      </c>
      <c r="DQ2497" s="4" t="s">
        <v>241</v>
      </c>
      <c r="DR2497" s="4" t="s">
        <v>241</v>
      </c>
      <c r="DS2497" s="4" t="s">
        <v>241</v>
      </c>
      <c r="DV2497" s="4" t="s">
        <v>426</v>
      </c>
      <c r="DW2497" s="4" t="s">
        <v>2832</v>
      </c>
      <c r="HO2497" s="4" t="s">
        <v>267</v>
      </c>
    </row>
    <row r="2498" spans="1:223" ht="19.5" customHeight="1" x14ac:dyDescent="0.4">
      <c r="A2498" s="4">
        <v>1</v>
      </c>
      <c r="B2498" s="4" t="s">
        <v>239</v>
      </c>
      <c r="C2498" s="4">
        <v>4201</v>
      </c>
      <c r="D2498" s="4">
        <v>1</v>
      </c>
      <c r="E2498" s="4">
        <v>1</v>
      </c>
      <c r="F2498" s="4" t="s">
        <v>268</v>
      </c>
      <c r="G2498" s="4" t="s">
        <v>241</v>
      </c>
      <c r="H2498" s="4" t="s">
        <v>241</v>
      </c>
      <c r="I2498" s="4" t="s">
        <v>424</v>
      </c>
      <c r="J2498" s="4" t="s">
        <v>274</v>
      </c>
      <c r="K2498" s="4" t="s">
        <v>251</v>
      </c>
      <c r="L2498" s="4" t="s">
        <v>423</v>
      </c>
      <c r="M2498" s="5" t="s">
        <v>3552</v>
      </c>
      <c r="N2498" s="6">
        <f>320</f>
        <v>320</v>
      </c>
      <c r="O2498" s="4" t="s">
        <v>265</v>
      </c>
      <c r="P2498" s="6">
        <f>1</f>
        <v>1</v>
      </c>
      <c r="Q2498" s="6">
        <f>0</f>
        <v>0</v>
      </c>
      <c r="S2498" s="6">
        <f>0</f>
        <v>0</v>
      </c>
      <c r="T2498" s="6">
        <f>1</f>
        <v>1</v>
      </c>
      <c r="U2498" s="5" t="s">
        <v>245</v>
      </c>
      <c r="V2498" s="4" t="s">
        <v>270</v>
      </c>
      <c r="W2498" s="4" t="s">
        <v>271</v>
      </c>
      <c r="X2498" s="4" t="s">
        <v>273</v>
      </c>
      <c r="Y2498" s="4" t="s">
        <v>241</v>
      </c>
      <c r="AB2498" s="4" t="s">
        <v>241</v>
      </c>
      <c r="AD2498" s="5" t="s">
        <v>241</v>
      </c>
      <c r="AG2498" s="5" t="s">
        <v>246</v>
      </c>
      <c r="AH2498" s="4" t="s">
        <v>241</v>
      </c>
      <c r="AI2498" s="4" t="s">
        <v>247</v>
      </c>
      <c r="AJ2498" s="4" t="s">
        <v>248</v>
      </c>
      <c r="AZ2498" s="4" t="s">
        <v>249</v>
      </c>
      <c r="BA2498" s="4" t="s">
        <v>241</v>
      </c>
      <c r="BB2498" s="4" t="s">
        <v>250</v>
      </c>
      <c r="BC2498" s="4" t="s">
        <v>241</v>
      </c>
      <c r="BD2498" s="4" t="s">
        <v>252</v>
      </c>
      <c r="BE2498" s="4" t="s">
        <v>241</v>
      </c>
      <c r="BI2498" s="4" t="s">
        <v>253</v>
      </c>
      <c r="BJ2498" s="5" t="s">
        <v>246</v>
      </c>
      <c r="BK2498" s="4" t="s">
        <v>254</v>
      </c>
      <c r="BL2498" s="4" t="s">
        <v>255</v>
      </c>
      <c r="BM2498" s="4" t="s">
        <v>241</v>
      </c>
      <c r="BN2498" s="6">
        <f>0</f>
        <v>0</v>
      </c>
      <c r="BO2498" s="6">
        <f>0</f>
        <v>0</v>
      </c>
      <c r="BP2498" s="4" t="s">
        <v>256</v>
      </c>
      <c r="BQ2498" s="4" t="s">
        <v>257</v>
      </c>
      <c r="CE2498" s="4" t="s">
        <v>241</v>
      </c>
      <c r="CF2498" s="4" t="s">
        <v>241</v>
      </c>
      <c r="CJ2498" s="4" t="s">
        <v>276</v>
      </c>
      <c r="CK2498" s="4" t="s">
        <v>259</v>
      </c>
      <c r="CL2498" s="4" t="s">
        <v>241</v>
      </c>
      <c r="CO2498" s="5" t="s">
        <v>260</v>
      </c>
      <c r="CP2498" s="4" t="s">
        <v>241</v>
      </c>
      <c r="CQ2498" s="4" t="s">
        <v>261</v>
      </c>
      <c r="CR2498" s="4" t="s">
        <v>241</v>
      </c>
      <c r="CS2498" s="4" t="s">
        <v>241</v>
      </c>
      <c r="CT2498" s="4">
        <v>0</v>
      </c>
      <c r="CU2498" s="4" t="s">
        <v>262</v>
      </c>
      <c r="CV2498" s="4" t="s">
        <v>263</v>
      </c>
      <c r="CW2498" s="4" t="s">
        <v>263</v>
      </c>
      <c r="CX2498" s="4" t="s">
        <v>264</v>
      </c>
      <c r="DA2498" s="6">
        <f>1</f>
        <v>1</v>
      </c>
      <c r="DC2498" s="4" t="s">
        <v>325</v>
      </c>
      <c r="DD2498" s="4" t="s">
        <v>241</v>
      </c>
      <c r="DF2498" s="4" t="s">
        <v>325</v>
      </c>
      <c r="DG2498" s="6">
        <f>320</f>
        <v>320</v>
      </c>
      <c r="DI2498" s="4" t="s">
        <v>241</v>
      </c>
      <c r="DJ2498" s="4" t="s">
        <v>241</v>
      </c>
      <c r="DK2498" s="4" t="s">
        <v>241</v>
      </c>
      <c r="DL2498" s="4" t="s">
        <v>241</v>
      </c>
      <c r="DP2498" s="4" t="s">
        <v>241</v>
      </c>
      <c r="DQ2498" s="4" t="s">
        <v>241</v>
      </c>
      <c r="DR2498" s="4" t="s">
        <v>241</v>
      </c>
      <c r="DS2498" s="4" t="s">
        <v>241</v>
      </c>
      <c r="DV2498" s="4" t="s">
        <v>426</v>
      </c>
      <c r="DW2498" s="4" t="s">
        <v>1848</v>
      </c>
      <c r="HO2498" s="4" t="s">
        <v>267</v>
      </c>
    </row>
    <row r="2499" spans="1:223" ht="19.5" customHeight="1" x14ac:dyDescent="0.4">
      <c r="A2499" s="4">
        <v>1</v>
      </c>
      <c r="B2499" s="4" t="s">
        <v>239</v>
      </c>
      <c r="C2499" s="4">
        <v>4202</v>
      </c>
      <c r="D2499" s="4">
        <v>1</v>
      </c>
      <c r="E2499" s="4">
        <v>1</v>
      </c>
      <c r="F2499" s="4" t="s">
        <v>268</v>
      </c>
      <c r="G2499" s="4" t="s">
        <v>241</v>
      </c>
      <c r="H2499" s="4" t="s">
        <v>241</v>
      </c>
      <c r="I2499" s="4" t="s">
        <v>424</v>
      </c>
      <c r="J2499" s="4" t="s">
        <v>274</v>
      </c>
      <c r="K2499" s="4" t="s">
        <v>251</v>
      </c>
      <c r="L2499" s="4" t="s">
        <v>423</v>
      </c>
      <c r="M2499" s="5" t="s">
        <v>3736</v>
      </c>
      <c r="N2499" s="6">
        <f>756</f>
        <v>756</v>
      </c>
      <c r="O2499" s="4" t="s">
        <v>265</v>
      </c>
      <c r="P2499" s="6">
        <f>1</f>
        <v>1</v>
      </c>
      <c r="Q2499" s="6">
        <f>0</f>
        <v>0</v>
      </c>
      <c r="S2499" s="6">
        <f>0</f>
        <v>0</v>
      </c>
      <c r="T2499" s="6">
        <f>1</f>
        <v>1</v>
      </c>
      <c r="U2499" s="5" t="s">
        <v>245</v>
      </c>
      <c r="V2499" s="4" t="s">
        <v>270</v>
      </c>
      <c r="W2499" s="4" t="s">
        <v>271</v>
      </c>
      <c r="X2499" s="4" t="s">
        <v>273</v>
      </c>
      <c r="Y2499" s="4" t="s">
        <v>241</v>
      </c>
      <c r="AB2499" s="4" t="s">
        <v>241</v>
      </c>
      <c r="AD2499" s="5" t="s">
        <v>241</v>
      </c>
      <c r="AG2499" s="5" t="s">
        <v>246</v>
      </c>
      <c r="AH2499" s="4" t="s">
        <v>241</v>
      </c>
      <c r="AI2499" s="4" t="s">
        <v>247</v>
      </c>
      <c r="AJ2499" s="4" t="s">
        <v>248</v>
      </c>
      <c r="AZ2499" s="4" t="s">
        <v>249</v>
      </c>
      <c r="BA2499" s="4" t="s">
        <v>241</v>
      </c>
      <c r="BB2499" s="4" t="s">
        <v>250</v>
      </c>
      <c r="BC2499" s="4" t="s">
        <v>241</v>
      </c>
      <c r="BD2499" s="4" t="s">
        <v>252</v>
      </c>
      <c r="BE2499" s="4" t="s">
        <v>241</v>
      </c>
      <c r="BI2499" s="4" t="s">
        <v>253</v>
      </c>
      <c r="BJ2499" s="5" t="s">
        <v>246</v>
      </c>
      <c r="BK2499" s="4" t="s">
        <v>254</v>
      </c>
      <c r="BL2499" s="4" t="s">
        <v>255</v>
      </c>
      <c r="BM2499" s="4" t="s">
        <v>241</v>
      </c>
      <c r="BN2499" s="6">
        <f>0</f>
        <v>0</v>
      </c>
      <c r="BO2499" s="6">
        <f>0</f>
        <v>0</v>
      </c>
      <c r="BP2499" s="4" t="s">
        <v>256</v>
      </c>
      <c r="BQ2499" s="4" t="s">
        <v>257</v>
      </c>
      <c r="CE2499" s="4" t="s">
        <v>241</v>
      </c>
      <c r="CF2499" s="4" t="s">
        <v>241</v>
      </c>
      <c r="CJ2499" s="4" t="s">
        <v>276</v>
      </c>
      <c r="CK2499" s="4" t="s">
        <v>259</v>
      </c>
      <c r="CL2499" s="4" t="s">
        <v>241</v>
      </c>
      <c r="CO2499" s="5" t="s">
        <v>260</v>
      </c>
      <c r="CP2499" s="4" t="s">
        <v>241</v>
      </c>
      <c r="CQ2499" s="4" t="s">
        <v>261</v>
      </c>
      <c r="CR2499" s="4" t="s">
        <v>241</v>
      </c>
      <c r="CS2499" s="4" t="s">
        <v>241</v>
      </c>
      <c r="CT2499" s="4">
        <v>0</v>
      </c>
      <c r="CU2499" s="4" t="s">
        <v>262</v>
      </c>
      <c r="CV2499" s="4" t="s">
        <v>263</v>
      </c>
      <c r="CW2499" s="4" t="s">
        <v>263</v>
      </c>
      <c r="CX2499" s="4" t="s">
        <v>264</v>
      </c>
      <c r="DA2499" s="6">
        <f>1</f>
        <v>1</v>
      </c>
      <c r="DC2499" s="4" t="s">
        <v>325</v>
      </c>
      <c r="DD2499" s="4" t="s">
        <v>241</v>
      </c>
      <c r="DF2499" s="4" t="s">
        <v>325</v>
      </c>
      <c r="DG2499" s="6">
        <f>756</f>
        <v>756</v>
      </c>
      <c r="DI2499" s="4" t="s">
        <v>241</v>
      </c>
      <c r="DJ2499" s="4" t="s">
        <v>241</v>
      </c>
      <c r="DK2499" s="4" t="s">
        <v>241</v>
      </c>
      <c r="DL2499" s="4" t="s">
        <v>241</v>
      </c>
      <c r="DP2499" s="4" t="s">
        <v>241</v>
      </c>
      <c r="DQ2499" s="4" t="s">
        <v>241</v>
      </c>
      <c r="DR2499" s="4" t="s">
        <v>241</v>
      </c>
      <c r="DS2499" s="4" t="s">
        <v>241</v>
      </c>
      <c r="DV2499" s="4" t="s">
        <v>426</v>
      </c>
      <c r="DW2499" s="4" t="s">
        <v>2903</v>
      </c>
      <c r="HO2499" s="4" t="s">
        <v>267</v>
      </c>
    </row>
    <row r="2500" spans="1:223" ht="19.5" customHeight="1" x14ac:dyDescent="0.4">
      <c r="A2500" s="4">
        <v>1</v>
      </c>
      <c r="B2500" s="4" t="s">
        <v>239</v>
      </c>
      <c r="C2500" s="4">
        <v>4203</v>
      </c>
      <c r="D2500" s="4">
        <v>1</v>
      </c>
      <c r="E2500" s="4">
        <v>1</v>
      </c>
      <c r="F2500" s="4" t="s">
        <v>268</v>
      </c>
      <c r="G2500" s="4" t="s">
        <v>241</v>
      </c>
      <c r="H2500" s="4" t="s">
        <v>241</v>
      </c>
      <c r="I2500" s="4" t="s">
        <v>424</v>
      </c>
      <c r="J2500" s="4" t="s">
        <v>274</v>
      </c>
      <c r="K2500" s="4" t="s">
        <v>251</v>
      </c>
      <c r="L2500" s="4" t="s">
        <v>423</v>
      </c>
      <c r="M2500" s="5" t="s">
        <v>3732</v>
      </c>
      <c r="N2500" s="6">
        <f>1068</f>
        <v>1068</v>
      </c>
      <c r="O2500" s="4" t="s">
        <v>265</v>
      </c>
      <c r="P2500" s="6">
        <f>1</f>
        <v>1</v>
      </c>
      <c r="Q2500" s="6">
        <f>0</f>
        <v>0</v>
      </c>
      <c r="S2500" s="6">
        <f>0</f>
        <v>0</v>
      </c>
      <c r="T2500" s="6">
        <f>1</f>
        <v>1</v>
      </c>
      <c r="U2500" s="5" t="s">
        <v>245</v>
      </c>
      <c r="V2500" s="4" t="s">
        <v>270</v>
      </c>
      <c r="W2500" s="4" t="s">
        <v>271</v>
      </c>
      <c r="X2500" s="4" t="s">
        <v>273</v>
      </c>
      <c r="Y2500" s="4" t="s">
        <v>241</v>
      </c>
      <c r="AB2500" s="4" t="s">
        <v>241</v>
      </c>
      <c r="AD2500" s="5" t="s">
        <v>241</v>
      </c>
      <c r="AG2500" s="5" t="s">
        <v>246</v>
      </c>
      <c r="AH2500" s="4" t="s">
        <v>241</v>
      </c>
      <c r="AI2500" s="4" t="s">
        <v>247</v>
      </c>
      <c r="AJ2500" s="4" t="s">
        <v>248</v>
      </c>
      <c r="AZ2500" s="4" t="s">
        <v>249</v>
      </c>
      <c r="BA2500" s="4" t="s">
        <v>241</v>
      </c>
      <c r="BB2500" s="4" t="s">
        <v>250</v>
      </c>
      <c r="BC2500" s="4" t="s">
        <v>241</v>
      </c>
      <c r="BD2500" s="4" t="s">
        <v>252</v>
      </c>
      <c r="BE2500" s="4" t="s">
        <v>241</v>
      </c>
      <c r="BI2500" s="4" t="s">
        <v>253</v>
      </c>
      <c r="BJ2500" s="5" t="s">
        <v>246</v>
      </c>
      <c r="BK2500" s="4" t="s">
        <v>254</v>
      </c>
      <c r="BL2500" s="4" t="s">
        <v>255</v>
      </c>
      <c r="BM2500" s="4" t="s">
        <v>241</v>
      </c>
      <c r="BN2500" s="6">
        <f>0</f>
        <v>0</v>
      </c>
      <c r="BO2500" s="6">
        <f>0</f>
        <v>0</v>
      </c>
      <c r="BP2500" s="4" t="s">
        <v>256</v>
      </c>
      <c r="BQ2500" s="4" t="s">
        <v>257</v>
      </c>
      <c r="CE2500" s="4" t="s">
        <v>241</v>
      </c>
      <c r="CF2500" s="4" t="s">
        <v>241</v>
      </c>
      <c r="CJ2500" s="4" t="s">
        <v>276</v>
      </c>
      <c r="CK2500" s="4" t="s">
        <v>259</v>
      </c>
      <c r="CL2500" s="4" t="s">
        <v>241</v>
      </c>
      <c r="CO2500" s="5" t="s">
        <v>260</v>
      </c>
      <c r="CP2500" s="4" t="s">
        <v>241</v>
      </c>
      <c r="CQ2500" s="4" t="s">
        <v>261</v>
      </c>
      <c r="CR2500" s="4" t="s">
        <v>241</v>
      </c>
      <c r="CS2500" s="4" t="s">
        <v>241</v>
      </c>
      <c r="CT2500" s="4">
        <v>0</v>
      </c>
      <c r="CU2500" s="4" t="s">
        <v>262</v>
      </c>
      <c r="CV2500" s="4" t="s">
        <v>263</v>
      </c>
      <c r="CW2500" s="4" t="s">
        <v>263</v>
      </c>
      <c r="CX2500" s="4" t="s">
        <v>264</v>
      </c>
      <c r="DA2500" s="6">
        <f>1</f>
        <v>1</v>
      </c>
      <c r="DC2500" s="4" t="s">
        <v>325</v>
      </c>
      <c r="DD2500" s="4" t="s">
        <v>241</v>
      </c>
      <c r="DF2500" s="4" t="s">
        <v>325</v>
      </c>
      <c r="DG2500" s="6">
        <f>1068</f>
        <v>1068</v>
      </c>
      <c r="DI2500" s="4" t="s">
        <v>241</v>
      </c>
      <c r="DJ2500" s="4" t="s">
        <v>241</v>
      </c>
      <c r="DK2500" s="4" t="s">
        <v>241</v>
      </c>
      <c r="DL2500" s="4" t="s">
        <v>241</v>
      </c>
      <c r="DP2500" s="4" t="s">
        <v>241</v>
      </c>
      <c r="DQ2500" s="4" t="s">
        <v>241</v>
      </c>
      <c r="DR2500" s="4" t="s">
        <v>241</v>
      </c>
      <c r="DS2500" s="4" t="s">
        <v>241</v>
      </c>
      <c r="DV2500" s="4" t="s">
        <v>426</v>
      </c>
      <c r="DW2500" s="4" t="s">
        <v>2828</v>
      </c>
      <c r="HO2500" s="4" t="s">
        <v>267</v>
      </c>
    </row>
    <row r="2501" spans="1:223" ht="19.5" customHeight="1" x14ac:dyDescent="0.4">
      <c r="A2501" s="4">
        <v>1</v>
      </c>
      <c r="B2501" s="4" t="s">
        <v>239</v>
      </c>
      <c r="C2501" s="4">
        <v>4204</v>
      </c>
      <c r="D2501" s="4">
        <v>1</v>
      </c>
      <c r="E2501" s="4">
        <v>1</v>
      </c>
      <c r="F2501" s="4" t="s">
        <v>268</v>
      </c>
      <c r="G2501" s="4" t="s">
        <v>241</v>
      </c>
      <c r="H2501" s="4" t="s">
        <v>241</v>
      </c>
      <c r="I2501" s="4" t="s">
        <v>424</v>
      </c>
      <c r="J2501" s="4" t="s">
        <v>274</v>
      </c>
      <c r="K2501" s="4" t="s">
        <v>251</v>
      </c>
      <c r="L2501" s="4" t="s">
        <v>423</v>
      </c>
      <c r="M2501" s="5" t="s">
        <v>3728</v>
      </c>
      <c r="N2501" s="6">
        <f>390</f>
        <v>390</v>
      </c>
      <c r="O2501" s="4" t="s">
        <v>265</v>
      </c>
      <c r="P2501" s="6">
        <f>1</f>
        <v>1</v>
      </c>
      <c r="Q2501" s="6">
        <f>0</f>
        <v>0</v>
      </c>
      <c r="S2501" s="6">
        <f>0</f>
        <v>0</v>
      </c>
      <c r="T2501" s="6">
        <f>1</f>
        <v>1</v>
      </c>
      <c r="U2501" s="5" t="s">
        <v>245</v>
      </c>
      <c r="V2501" s="4" t="s">
        <v>270</v>
      </c>
      <c r="W2501" s="4" t="s">
        <v>271</v>
      </c>
      <c r="X2501" s="4" t="s">
        <v>273</v>
      </c>
      <c r="Y2501" s="4" t="s">
        <v>241</v>
      </c>
      <c r="AB2501" s="4" t="s">
        <v>241</v>
      </c>
      <c r="AD2501" s="5" t="s">
        <v>241</v>
      </c>
      <c r="AG2501" s="5" t="s">
        <v>246</v>
      </c>
      <c r="AH2501" s="4" t="s">
        <v>241</v>
      </c>
      <c r="AI2501" s="4" t="s">
        <v>247</v>
      </c>
      <c r="AJ2501" s="4" t="s">
        <v>248</v>
      </c>
      <c r="AZ2501" s="4" t="s">
        <v>249</v>
      </c>
      <c r="BA2501" s="4" t="s">
        <v>241</v>
      </c>
      <c r="BB2501" s="4" t="s">
        <v>250</v>
      </c>
      <c r="BC2501" s="4" t="s">
        <v>241</v>
      </c>
      <c r="BD2501" s="4" t="s">
        <v>252</v>
      </c>
      <c r="BE2501" s="4" t="s">
        <v>241</v>
      </c>
      <c r="BI2501" s="4" t="s">
        <v>253</v>
      </c>
      <c r="BJ2501" s="5" t="s">
        <v>246</v>
      </c>
      <c r="BK2501" s="4" t="s">
        <v>254</v>
      </c>
      <c r="BL2501" s="4" t="s">
        <v>255</v>
      </c>
      <c r="BM2501" s="4" t="s">
        <v>241</v>
      </c>
      <c r="BN2501" s="6">
        <f>0</f>
        <v>0</v>
      </c>
      <c r="BO2501" s="6">
        <f>0</f>
        <v>0</v>
      </c>
      <c r="BP2501" s="4" t="s">
        <v>256</v>
      </c>
      <c r="BQ2501" s="4" t="s">
        <v>257</v>
      </c>
      <c r="CE2501" s="4" t="s">
        <v>241</v>
      </c>
      <c r="CF2501" s="4" t="s">
        <v>241</v>
      </c>
      <c r="CJ2501" s="4" t="s">
        <v>276</v>
      </c>
      <c r="CK2501" s="4" t="s">
        <v>259</v>
      </c>
      <c r="CL2501" s="4" t="s">
        <v>241</v>
      </c>
      <c r="CO2501" s="5" t="s">
        <v>260</v>
      </c>
      <c r="CP2501" s="4" t="s">
        <v>241</v>
      </c>
      <c r="CQ2501" s="4" t="s">
        <v>261</v>
      </c>
      <c r="CR2501" s="4" t="s">
        <v>241</v>
      </c>
      <c r="CS2501" s="4" t="s">
        <v>241</v>
      </c>
      <c r="CT2501" s="4">
        <v>0</v>
      </c>
      <c r="CU2501" s="4" t="s">
        <v>262</v>
      </c>
      <c r="CV2501" s="4" t="s">
        <v>263</v>
      </c>
      <c r="CW2501" s="4" t="s">
        <v>263</v>
      </c>
      <c r="CX2501" s="4" t="s">
        <v>264</v>
      </c>
      <c r="DA2501" s="6">
        <f>1</f>
        <v>1</v>
      </c>
      <c r="DC2501" s="4" t="s">
        <v>325</v>
      </c>
      <c r="DD2501" s="4" t="s">
        <v>241</v>
      </c>
      <c r="DF2501" s="4" t="s">
        <v>325</v>
      </c>
      <c r="DG2501" s="6">
        <f>390</f>
        <v>390</v>
      </c>
      <c r="DI2501" s="4" t="s">
        <v>241</v>
      </c>
      <c r="DJ2501" s="4" t="s">
        <v>241</v>
      </c>
      <c r="DK2501" s="4" t="s">
        <v>241</v>
      </c>
      <c r="DL2501" s="4" t="s">
        <v>241</v>
      </c>
      <c r="DP2501" s="4" t="s">
        <v>241</v>
      </c>
      <c r="DQ2501" s="4" t="s">
        <v>241</v>
      </c>
      <c r="DR2501" s="4" t="s">
        <v>241</v>
      </c>
      <c r="DS2501" s="4" t="s">
        <v>241</v>
      </c>
      <c r="DV2501" s="4" t="s">
        <v>426</v>
      </c>
      <c r="DW2501" s="4" t="s">
        <v>2899</v>
      </c>
      <c r="HO2501" s="4" t="s">
        <v>267</v>
      </c>
    </row>
    <row r="2502" spans="1:223" ht="19.5" customHeight="1" x14ac:dyDescent="0.4">
      <c r="A2502" s="4">
        <v>1</v>
      </c>
      <c r="B2502" s="4" t="s">
        <v>239</v>
      </c>
      <c r="C2502" s="4">
        <v>4205</v>
      </c>
      <c r="D2502" s="4">
        <v>1</v>
      </c>
      <c r="E2502" s="4">
        <v>1</v>
      </c>
      <c r="F2502" s="4" t="s">
        <v>268</v>
      </c>
      <c r="G2502" s="4" t="s">
        <v>241</v>
      </c>
      <c r="H2502" s="4" t="s">
        <v>241</v>
      </c>
      <c r="I2502" s="4" t="s">
        <v>424</v>
      </c>
      <c r="J2502" s="4" t="s">
        <v>274</v>
      </c>
      <c r="K2502" s="4" t="s">
        <v>251</v>
      </c>
      <c r="L2502" s="4" t="s">
        <v>423</v>
      </c>
      <c r="M2502" s="5" t="s">
        <v>4839</v>
      </c>
      <c r="N2502" s="6">
        <f>940</f>
        <v>940</v>
      </c>
      <c r="O2502" s="4" t="s">
        <v>265</v>
      </c>
      <c r="P2502" s="6">
        <f>1</f>
        <v>1</v>
      </c>
      <c r="Q2502" s="6">
        <f>0</f>
        <v>0</v>
      </c>
      <c r="S2502" s="6">
        <f>0</f>
        <v>0</v>
      </c>
      <c r="T2502" s="6">
        <f>1</f>
        <v>1</v>
      </c>
      <c r="U2502" s="5" t="s">
        <v>245</v>
      </c>
      <c r="V2502" s="4" t="s">
        <v>270</v>
      </c>
      <c r="W2502" s="4" t="s">
        <v>271</v>
      </c>
      <c r="X2502" s="4" t="s">
        <v>273</v>
      </c>
      <c r="Y2502" s="4" t="s">
        <v>241</v>
      </c>
      <c r="AB2502" s="4" t="s">
        <v>241</v>
      </c>
      <c r="AD2502" s="5" t="s">
        <v>241</v>
      </c>
      <c r="AG2502" s="5" t="s">
        <v>246</v>
      </c>
      <c r="AH2502" s="4" t="s">
        <v>241</v>
      </c>
      <c r="AI2502" s="4" t="s">
        <v>247</v>
      </c>
      <c r="AJ2502" s="4" t="s">
        <v>248</v>
      </c>
      <c r="AZ2502" s="4" t="s">
        <v>249</v>
      </c>
      <c r="BA2502" s="4" t="s">
        <v>241</v>
      </c>
      <c r="BB2502" s="4" t="s">
        <v>250</v>
      </c>
      <c r="BC2502" s="4" t="s">
        <v>241</v>
      </c>
      <c r="BD2502" s="4" t="s">
        <v>252</v>
      </c>
      <c r="BE2502" s="4" t="s">
        <v>241</v>
      </c>
      <c r="BI2502" s="4" t="s">
        <v>253</v>
      </c>
      <c r="BJ2502" s="5" t="s">
        <v>246</v>
      </c>
      <c r="BK2502" s="4" t="s">
        <v>254</v>
      </c>
      <c r="BL2502" s="4" t="s">
        <v>255</v>
      </c>
      <c r="BM2502" s="4" t="s">
        <v>241</v>
      </c>
      <c r="BN2502" s="6">
        <f>0</f>
        <v>0</v>
      </c>
      <c r="BO2502" s="6">
        <f>0</f>
        <v>0</v>
      </c>
      <c r="BP2502" s="4" t="s">
        <v>256</v>
      </c>
      <c r="BQ2502" s="4" t="s">
        <v>257</v>
      </c>
      <c r="CE2502" s="4" t="s">
        <v>241</v>
      </c>
      <c r="CF2502" s="4" t="s">
        <v>241</v>
      </c>
      <c r="CJ2502" s="4" t="s">
        <v>276</v>
      </c>
      <c r="CK2502" s="4" t="s">
        <v>259</v>
      </c>
      <c r="CL2502" s="4" t="s">
        <v>241</v>
      </c>
      <c r="CO2502" s="5" t="s">
        <v>260</v>
      </c>
      <c r="CP2502" s="4" t="s">
        <v>241</v>
      </c>
      <c r="CQ2502" s="4" t="s">
        <v>261</v>
      </c>
      <c r="CR2502" s="4" t="s">
        <v>241</v>
      </c>
      <c r="CS2502" s="4" t="s">
        <v>241</v>
      </c>
      <c r="CT2502" s="4">
        <v>0</v>
      </c>
      <c r="CU2502" s="4" t="s">
        <v>262</v>
      </c>
      <c r="CV2502" s="4" t="s">
        <v>263</v>
      </c>
      <c r="CW2502" s="4" t="s">
        <v>263</v>
      </c>
      <c r="CX2502" s="4" t="s">
        <v>264</v>
      </c>
      <c r="DA2502" s="6">
        <f>1</f>
        <v>1</v>
      </c>
      <c r="DC2502" s="4" t="s">
        <v>325</v>
      </c>
      <c r="DD2502" s="4" t="s">
        <v>241</v>
      </c>
      <c r="DF2502" s="4" t="s">
        <v>325</v>
      </c>
      <c r="DG2502" s="6">
        <f>940</f>
        <v>940</v>
      </c>
      <c r="DI2502" s="4" t="s">
        <v>241</v>
      </c>
      <c r="DJ2502" s="4" t="s">
        <v>241</v>
      </c>
      <c r="DK2502" s="4" t="s">
        <v>241</v>
      </c>
      <c r="DL2502" s="4" t="s">
        <v>241</v>
      </c>
      <c r="DP2502" s="4" t="s">
        <v>241</v>
      </c>
      <c r="DQ2502" s="4" t="s">
        <v>241</v>
      </c>
      <c r="DR2502" s="4" t="s">
        <v>241</v>
      </c>
      <c r="DS2502" s="4" t="s">
        <v>241</v>
      </c>
      <c r="DV2502" s="4" t="s">
        <v>426</v>
      </c>
      <c r="DW2502" s="4" t="s">
        <v>2897</v>
      </c>
      <c r="HO2502" s="4" t="s">
        <v>267</v>
      </c>
    </row>
    <row r="2503" spans="1:223" ht="19.5" customHeight="1" x14ac:dyDescent="0.4">
      <c r="A2503" s="4">
        <v>1</v>
      </c>
      <c r="B2503" s="4" t="s">
        <v>239</v>
      </c>
      <c r="C2503" s="4">
        <v>4206</v>
      </c>
      <c r="D2503" s="4">
        <v>1</v>
      </c>
      <c r="E2503" s="4">
        <v>1</v>
      </c>
      <c r="F2503" s="4" t="s">
        <v>268</v>
      </c>
      <c r="G2503" s="4" t="s">
        <v>241</v>
      </c>
      <c r="H2503" s="4" t="s">
        <v>241</v>
      </c>
      <c r="I2503" s="4" t="s">
        <v>424</v>
      </c>
      <c r="J2503" s="4" t="s">
        <v>274</v>
      </c>
      <c r="K2503" s="4" t="s">
        <v>251</v>
      </c>
      <c r="L2503" s="4" t="s">
        <v>423</v>
      </c>
      <c r="M2503" s="5" t="s">
        <v>3722</v>
      </c>
      <c r="N2503" s="6">
        <f>899</f>
        <v>899</v>
      </c>
      <c r="O2503" s="4" t="s">
        <v>265</v>
      </c>
      <c r="P2503" s="6">
        <f>1</f>
        <v>1</v>
      </c>
      <c r="Q2503" s="6">
        <f>0</f>
        <v>0</v>
      </c>
      <c r="S2503" s="6">
        <f>0</f>
        <v>0</v>
      </c>
      <c r="T2503" s="6">
        <f>1</f>
        <v>1</v>
      </c>
      <c r="U2503" s="5" t="s">
        <v>245</v>
      </c>
      <c r="V2503" s="4" t="s">
        <v>270</v>
      </c>
      <c r="W2503" s="4" t="s">
        <v>271</v>
      </c>
      <c r="X2503" s="4" t="s">
        <v>273</v>
      </c>
      <c r="Y2503" s="4" t="s">
        <v>241</v>
      </c>
      <c r="AB2503" s="4" t="s">
        <v>241</v>
      </c>
      <c r="AD2503" s="5" t="s">
        <v>241</v>
      </c>
      <c r="AG2503" s="5" t="s">
        <v>246</v>
      </c>
      <c r="AH2503" s="4" t="s">
        <v>241</v>
      </c>
      <c r="AI2503" s="4" t="s">
        <v>247</v>
      </c>
      <c r="AJ2503" s="4" t="s">
        <v>248</v>
      </c>
      <c r="AZ2503" s="4" t="s">
        <v>249</v>
      </c>
      <c r="BA2503" s="4" t="s">
        <v>241</v>
      </c>
      <c r="BB2503" s="4" t="s">
        <v>250</v>
      </c>
      <c r="BC2503" s="4" t="s">
        <v>241</v>
      </c>
      <c r="BD2503" s="4" t="s">
        <v>252</v>
      </c>
      <c r="BE2503" s="4" t="s">
        <v>241</v>
      </c>
      <c r="BI2503" s="4" t="s">
        <v>253</v>
      </c>
      <c r="BJ2503" s="5" t="s">
        <v>246</v>
      </c>
      <c r="BK2503" s="4" t="s">
        <v>254</v>
      </c>
      <c r="BL2503" s="4" t="s">
        <v>255</v>
      </c>
      <c r="BM2503" s="4" t="s">
        <v>241</v>
      </c>
      <c r="BN2503" s="6">
        <f>0</f>
        <v>0</v>
      </c>
      <c r="BO2503" s="6">
        <f>0</f>
        <v>0</v>
      </c>
      <c r="BP2503" s="4" t="s">
        <v>256</v>
      </c>
      <c r="BQ2503" s="4" t="s">
        <v>257</v>
      </c>
      <c r="CE2503" s="4" t="s">
        <v>241</v>
      </c>
      <c r="CF2503" s="4" t="s">
        <v>241</v>
      </c>
      <c r="CJ2503" s="4" t="s">
        <v>276</v>
      </c>
      <c r="CK2503" s="4" t="s">
        <v>259</v>
      </c>
      <c r="CL2503" s="4" t="s">
        <v>241</v>
      </c>
      <c r="CO2503" s="5" t="s">
        <v>260</v>
      </c>
      <c r="CP2503" s="4" t="s">
        <v>241</v>
      </c>
      <c r="CQ2503" s="4" t="s">
        <v>261</v>
      </c>
      <c r="CR2503" s="4" t="s">
        <v>241</v>
      </c>
      <c r="CS2503" s="4" t="s">
        <v>241</v>
      </c>
      <c r="CT2503" s="4">
        <v>0</v>
      </c>
      <c r="CU2503" s="4" t="s">
        <v>262</v>
      </c>
      <c r="CV2503" s="4" t="s">
        <v>263</v>
      </c>
      <c r="CW2503" s="4" t="s">
        <v>263</v>
      </c>
      <c r="CX2503" s="4" t="s">
        <v>264</v>
      </c>
      <c r="DA2503" s="6">
        <f>1</f>
        <v>1</v>
      </c>
      <c r="DC2503" s="4" t="s">
        <v>325</v>
      </c>
      <c r="DD2503" s="4" t="s">
        <v>241</v>
      </c>
      <c r="DF2503" s="4" t="s">
        <v>325</v>
      </c>
      <c r="DG2503" s="6">
        <f>899</f>
        <v>899</v>
      </c>
      <c r="DI2503" s="4" t="s">
        <v>241</v>
      </c>
      <c r="DJ2503" s="4" t="s">
        <v>241</v>
      </c>
      <c r="DK2503" s="4" t="s">
        <v>241</v>
      </c>
      <c r="DL2503" s="4" t="s">
        <v>241</v>
      </c>
      <c r="DP2503" s="4" t="s">
        <v>241</v>
      </c>
      <c r="DQ2503" s="4" t="s">
        <v>241</v>
      </c>
      <c r="DR2503" s="4" t="s">
        <v>241</v>
      </c>
      <c r="DS2503" s="4" t="s">
        <v>241</v>
      </c>
      <c r="DV2503" s="4" t="s">
        <v>426</v>
      </c>
      <c r="DW2503" s="4" t="s">
        <v>2895</v>
      </c>
      <c r="HO2503" s="4" t="s">
        <v>267</v>
      </c>
    </row>
    <row r="2504" spans="1:223" ht="19.5" customHeight="1" x14ac:dyDescent="0.4">
      <c r="A2504" s="4">
        <v>1</v>
      </c>
      <c r="B2504" s="4" t="s">
        <v>239</v>
      </c>
      <c r="C2504" s="4">
        <v>4207</v>
      </c>
      <c r="D2504" s="4">
        <v>1</v>
      </c>
      <c r="E2504" s="4">
        <v>1</v>
      </c>
      <c r="F2504" s="4" t="s">
        <v>268</v>
      </c>
      <c r="G2504" s="4" t="s">
        <v>241</v>
      </c>
      <c r="H2504" s="4" t="s">
        <v>241</v>
      </c>
      <c r="I2504" s="4" t="s">
        <v>424</v>
      </c>
      <c r="J2504" s="4" t="s">
        <v>274</v>
      </c>
      <c r="K2504" s="4" t="s">
        <v>251</v>
      </c>
      <c r="L2504" s="4" t="s">
        <v>423</v>
      </c>
      <c r="M2504" s="5" t="s">
        <v>3719</v>
      </c>
      <c r="N2504" s="6">
        <f>288</f>
        <v>288</v>
      </c>
      <c r="O2504" s="4" t="s">
        <v>265</v>
      </c>
      <c r="P2504" s="6">
        <f>1</f>
        <v>1</v>
      </c>
      <c r="Q2504" s="6">
        <f>0</f>
        <v>0</v>
      </c>
      <c r="S2504" s="6">
        <f>0</f>
        <v>0</v>
      </c>
      <c r="T2504" s="6">
        <f>1</f>
        <v>1</v>
      </c>
      <c r="U2504" s="5" t="s">
        <v>245</v>
      </c>
      <c r="V2504" s="4" t="s">
        <v>270</v>
      </c>
      <c r="W2504" s="4" t="s">
        <v>271</v>
      </c>
      <c r="X2504" s="4" t="s">
        <v>273</v>
      </c>
      <c r="Y2504" s="4" t="s">
        <v>241</v>
      </c>
      <c r="AB2504" s="4" t="s">
        <v>241</v>
      </c>
      <c r="AD2504" s="5" t="s">
        <v>241</v>
      </c>
      <c r="AG2504" s="5" t="s">
        <v>246</v>
      </c>
      <c r="AH2504" s="4" t="s">
        <v>241</v>
      </c>
      <c r="AI2504" s="4" t="s">
        <v>247</v>
      </c>
      <c r="AJ2504" s="4" t="s">
        <v>248</v>
      </c>
      <c r="AZ2504" s="4" t="s">
        <v>249</v>
      </c>
      <c r="BA2504" s="4" t="s">
        <v>241</v>
      </c>
      <c r="BB2504" s="4" t="s">
        <v>250</v>
      </c>
      <c r="BC2504" s="4" t="s">
        <v>241</v>
      </c>
      <c r="BD2504" s="4" t="s">
        <v>252</v>
      </c>
      <c r="BE2504" s="4" t="s">
        <v>241</v>
      </c>
      <c r="BI2504" s="4" t="s">
        <v>253</v>
      </c>
      <c r="BJ2504" s="5" t="s">
        <v>246</v>
      </c>
      <c r="BK2504" s="4" t="s">
        <v>254</v>
      </c>
      <c r="BL2504" s="4" t="s">
        <v>255</v>
      </c>
      <c r="BM2504" s="4" t="s">
        <v>241</v>
      </c>
      <c r="BN2504" s="6">
        <f>0</f>
        <v>0</v>
      </c>
      <c r="BO2504" s="6">
        <f>0</f>
        <v>0</v>
      </c>
      <c r="BP2504" s="4" t="s">
        <v>256</v>
      </c>
      <c r="BQ2504" s="4" t="s">
        <v>257</v>
      </c>
      <c r="CE2504" s="4" t="s">
        <v>241</v>
      </c>
      <c r="CF2504" s="4" t="s">
        <v>241</v>
      </c>
      <c r="CJ2504" s="4" t="s">
        <v>276</v>
      </c>
      <c r="CK2504" s="4" t="s">
        <v>259</v>
      </c>
      <c r="CL2504" s="4" t="s">
        <v>241</v>
      </c>
      <c r="CO2504" s="5" t="s">
        <v>260</v>
      </c>
      <c r="CP2504" s="4" t="s">
        <v>241</v>
      </c>
      <c r="CQ2504" s="4" t="s">
        <v>261</v>
      </c>
      <c r="CR2504" s="4" t="s">
        <v>241</v>
      </c>
      <c r="CS2504" s="4" t="s">
        <v>241</v>
      </c>
      <c r="CT2504" s="4">
        <v>0</v>
      </c>
      <c r="CU2504" s="4" t="s">
        <v>262</v>
      </c>
      <c r="CV2504" s="4" t="s">
        <v>263</v>
      </c>
      <c r="CW2504" s="4" t="s">
        <v>263</v>
      </c>
      <c r="CX2504" s="4" t="s">
        <v>264</v>
      </c>
      <c r="DA2504" s="6">
        <f>1</f>
        <v>1</v>
      </c>
      <c r="DC2504" s="4" t="s">
        <v>325</v>
      </c>
      <c r="DD2504" s="4" t="s">
        <v>241</v>
      </c>
      <c r="DF2504" s="4" t="s">
        <v>325</v>
      </c>
      <c r="DG2504" s="6">
        <f>288</f>
        <v>288</v>
      </c>
      <c r="DI2504" s="4" t="s">
        <v>241</v>
      </c>
      <c r="DJ2504" s="4" t="s">
        <v>241</v>
      </c>
      <c r="DK2504" s="4" t="s">
        <v>241</v>
      </c>
      <c r="DL2504" s="4" t="s">
        <v>241</v>
      </c>
      <c r="DP2504" s="4" t="s">
        <v>241</v>
      </c>
      <c r="DQ2504" s="4" t="s">
        <v>241</v>
      </c>
      <c r="DR2504" s="4" t="s">
        <v>241</v>
      </c>
      <c r="DS2504" s="4" t="s">
        <v>241</v>
      </c>
      <c r="DV2504" s="4" t="s">
        <v>426</v>
      </c>
      <c r="DW2504" s="4" t="s">
        <v>2893</v>
      </c>
      <c r="HO2504" s="4" t="s">
        <v>267</v>
      </c>
    </row>
    <row r="2505" spans="1:223" ht="19.5" customHeight="1" x14ac:dyDescent="0.4">
      <c r="A2505" s="4">
        <v>1</v>
      </c>
      <c r="B2505" s="4" t="s">
        <v>239</v>
      </c>
      <c r="C2505" s="4">
        <v>4208</v>
      </c>
      <c r="D2505" s="4">
        <v>1</v>
      </c>
      <c r="E2505" s="4">
        <v>1</v>
      </c>
      <c r="F2505" s="4" t="s">
        <v>268</v>
      </c>
      <c r="G2505" s="4" t="s">
        <v>241</v>
      </c>
      <c r="H2505" s="4" t="s">
        <v>241</v>
      </c>
      <c r="I2505" s="4" t="s">
        <v>424</v>
      </c>
      <c r="J2505" s="4" t="s">
        <v>274</v>
      </c>
      <c r="K2505" s="4" t="s">
        <v>251</v>
      </c>
      <c r="L2505" s="4" t="s">
        <v>423</v>
      </c>
      <c r="M2505" s="5" t="s">
        <v>3715</v>
      </c>
      <c r="N2505" s="6">
        <f>236</f>
        <v>236</v>
      </c>
      <c r="O2505" s="4" t="s">
        <v>265</v>
      </c>
      <c r="P2505" s="6">
        <f>1</f>
        <v>1</v>
      </c>
      <c r="Q2505" s="6">
        <f>0</f>
        <v>0</v>
      </c>
      <c r="S2505" s="6">
        <f>0</f>
        <v>0</v>
      </c>
      <c r="T2505" s="6">
        <f>1</f>
        <v>1</v>
      </c>
      <c r="U2505" s="5" t="s">
        <v>245</v>
      </c>
      <c r="V2505" s="4" t="s">
        <v>270</v>
      </c>
      <c r="W2505" s="4" t="s">
        <v>271</v>
      </c>
      <c r="X2505" s="4" t="s">
        <v>273</v>
      </c>
      <c r="Y2505" s="4" t="s">
        <v>241</v>
      </c>
      <c r="AB2505" s="4" t="s">
        <v>241</v>
      </c>
      <c r="AD2505" s="5" t="s">
        <v>241</v>
      </c>
      <c r="AG2505" s="5" t="s">
        <v>246</v>
      </c>
      <c r="AH2505" s="4" t="s">
        <v>241</v>
      </c>
      <c r="AI2505" s="4" t="s">
        <v>247</v>
      </c>
      <c r="AJ2505" s="4" t="s">
        <v>248</v>
      </c>
      <c r="AZ2505" s="4" t="s">
        <v>249</v>
      </c>
      <c r="BA2505" s="4" t="s">
        <v>241</v>
      </c>
      <c r="BB2505" s="4" t="s">
        <v>250</v>
      </c>
      <c r="BC2505" s="4" t="s">
        <v>241</v>
      </c>
      <c r="BD2505" s="4" t="s">
        <v>252</v>
      </c>
      <c r="BE2505" s="4" t="s">
        <v>241</v>
      </c>
      <c r="BI2505" s="4" t="s">
        <v>253</v>
      </c>
      <c r="BJ2505" s="5" t="s">
        <v>246</v>
      </c>
      <c r="BK2505" s="4" t="s">
        <v>254</v>
      </c>
      <c r="BL2505" s="4" t="s">
        <v>255</v>
      </c>
      <c r="BM2505" s="4" t="s">
        <v>241</v>
      </c>
      <c r="BN2505" s="6">
        <f>0</f>
        <v>0</v>
      </c>
      <c r="BO2505" s="6">
        <f>0</f>
        <v>0</v>
      </c>
      <c r="BP2505" s="4" t="s">
        <v>256</v>
      </c>
      <c r="BQ2505" s="4" t="s">
        <v>257</v>
      </c>
      <c r="CE2505" s="4" t="s">
        <v>241</v>
      </c>
      <c r="CF2505" s="4" t="s">
        <v>241</v>
      </c>
      <c r="CJ2505" s="4" t="s">
        <v>276</v>
      </c>
      <c r="CK2505" s="4" t="s">
        <v>259</v>
      </c>
      <c r="CL2505" s="4" t="s">
        <v>241</v>
      </c>
      <c r="CO2505" s="5" t="s">
        <v>260</v>
      </c>
      <c r="CP2505" s="4" t="s">
        <v>241</v>
      </c>
      <c r="CQ2505" s="4" t="s">
        <v>261</v>
      </c>
      <c r="CR2505" s="4" t="s">
        <v>241</v>
      </c>
      <c r="CS2505" s="4" t="s">
        <v>241</v>
      </c>
      <c r="CT2505" s="4">
        <v>0</v>
      </c>
      <c r="CU2505" s="4" t="s">
        <v>262</v>
      </c>
      <c r="CV2505" s="4" t="s">
        <v>263</v>
      </c>
      <c r="CW2505" s="4" t="s">
        <v>263</v>
      </c>
      <c r="CX2505" s="4" t="s">
        <v>264</v>
      </c>
      <c r="DA2505" s="6">
        <f>1</f>
        <v>1</v>
      </c>
      <c r="DC2505" s="4" t="s">
        <v>325</v>
      </c>
      <c r="DD2505" s="4" t="s">
        <v>241</v>
      </c>
      <c r="DF2505" s="4" t="s">
        <v>325</v>
      </c>
      <c r="DG2505" s="6">
        <f>236</f>
        <v>236</v>
      </c>
      <c r="DI2505" s="4" t="s">
        <v>241</v>
      </c>
      <c r="DJ2505" s="4" t="s">
        <v>241</v>
      </c>
      <c r="DK2505" s="4" t="s">
        <v>241</v>
      </c>
      <c r="DL2505" s="4" t="s">
        <v>241</v>
      </c>
      <c r="DP2505" s="4" t="s">
        <v>241</v>
      </c>
      <c r="DQ2505" s="4" t="s">
        <v>241</v>
      </c>
      <c r="DR2505" s="4" t="s">
        <v>241</v>
      </c>
      <c r="DS2505" s="4" t="s">
        <v>241</v>
      </c>
      <c r="DV2505" s="4" t="s">
        <v>426</v>
      </c>
      <c r="DW2505" s="4" t="s">
        <v>1947</v>
      </c>
      <c r="HO2505" s="4" t="s">
        <v>267</v>
      </c>
    </row>
    <row r="2506" spans="1:223" ht="19.5" customHeight="1" x14ac:dyDescent="0.4">
      <c r="A2506" s="4">
        <v>1</v>
      </c>
      <c r="B2506" s="4" t="s">
        <v>239</v>
      </c>
      <c r="C2506" s="4">
        <v>4209</v>
      </c>
      <c r="D2506" s="4">
        <v>1</v>
      </c>
      <c r="E2506" s="4">
        <v>1</v>
      </c>
      <c r="F2506" s="4" t="s">
        <v>268</v>
      </c>
      <c r="G2506" s="4" t="s">
        <v>241</v>
      </c>
      <c r="H2506" s="4" t="s">
        <v>241</v>
      </c>
      <c r="I2506" s="4" t="s">
        <v>424</v>
      </c>
      <c r="J2506" s="4" t="s">
        <v>274</v>
      </c>
      <c r="K2506" s="4" t="s">
        <v>251</v>
      </c>
      <c r="L2506" s="4" t="s">
        <v>423</v>
      </c>
      <c r="M2506" s="5" t="s">
        <v>3737</v>
      </c>
      <c r="N2506" s="6">
        <f>172</f>
        <v>172</v>
      </c>
      <c r="O2506" s="4" t="s">
        <v>265</v>
      </c>
      <c r="P2506" s="6">
        <f>1</f>
        <v>1</v>
      </c>
      <c r="Q2506" s="6">
        <f>0</f>
        <v>0</v>
      </c>
      <c r="S2506" s="6">
        <f>0</f>
        <v>0</v>
      </c>
      <c r="T2506" s="6">
        <f>1</f>
        <v>1</v>
      </c>
      <c r="U2506" s="5" t="s">
        <v>245</v>
      </c>
      <c r="V2506" s="4" t="s">
        <v>270</v>
      </c>
      <c r="W2506" s="4" t="s">
        <v>271</v>
      </c>
      <c r="X2506" s="4" t="s">
        <v>273</v>
      </c>
      <c r="Y2506" s="4" t="s">
        <v>241</v>
      </c>
      <c r="AB2506" s="4" t="s">
        <v>241</v>
      </c>
      <c r="AD2506" s="5" t="s">
        <v>241</v>
      </c>
      <c r="AG2506" s="5" t="s">
        <v>246</v>
      </c>
      <c r="AH2506" s="4" t="s">
        <v>241</v>
      </c>
      <c r="AI2506" s="4" t="s">
        <v>247</v>
      </c>
      <c r="AJ2506" s="4" t="s">
        <v>248</v>
      </c>
      <c r="AZ2506" s="4" t="s">
        <v>249</v>
      </c>
      <c r="BA2506" s="4" t="s">
        <v>241</v>
      </c>
      <c r="BB2506" s="4" t="s">
        <v>250</v>
      </c>
      <c r="BC2506" s="4" t="s">
        <v>241</v>
      </c>
      <c r="BD2506" s="4" t="s">
        <v>252</v>
      </c>
      <c r="BE2506" s="4" t="s">
        <v>241</v>
      </c>
      <c r="BI2506" s="4" t="s">
        <v>253</v>
      </c>
      <c r="BJ2506" s="5" t="s">
        <v>246</v>
      </c>
      <c r="BK2506" s="4" t="s">
        <v>254</v>
      </c>
      <c r="BL2506" s="4" t="s">
        <v>255</v>
      </c>
      <c r="BM2506" s="4" t="s">
        <v>241</v>
      </c>
      <c r="BN2506" s="6">
        <f>0</f>
        <v>0</v>
      </c>
      <c r="BO2506" s="6">
        <f>0</f>
        <v>0</v>
      </c>
      <c r="BP2506" s="4" t="s">
        <v>256</v>
      </c>
      <c r="BQ2506" s="4" t="s">
        <v>257</v>
      </c>
      <c r="CE2506" s="4" t="s">
        <v>241</v>
      </c>
      <c r="CF2506" s="4" t="s">
        <v>241</v>
      </c>
      <c r="CJ2506" s="4" t="s">
        <v>276</v>
      </c>
      <c r="CK2506" s="4" t="s">
        <v>259</v>
      </c>
      <c r="CL2506" s="4" t="s">
        <v>241</v>
      </c>
      <c r="CO2506" s="5" t="s">
        <v>260</v>
      </c>
      <c r="CP2506" s="4" t="s">
        <v>241</v>
      </c>
      <c r="CQ2506" s="4" t="s">
        <v>261</v>
      </c>
      <c r="CR2506" s="4" t="s">
        <v>241</v>
      </c>
      <c r="CS2506" s="4" t="s">
        <v>241</v>
      </c>
      <c r="CT2506" s="4">
        <v>0</v>
      </c>
      <c r="CU2506" s="4" t="s">
        <v>262</v>
      </c>
      <c r="CV2506" s="4" t="s">
        <v>263</v>
      </c>
      <c r="CW2506" s="4" t="s">
        <v>263</v>
      </c>
      <c r="CX2506" s="4" t="s">
        <v>264</v>
      </c>
      <c r="DA2506" s="6">
        <f>1</f>
        <v>1</v>
      </c>
      <c r="DC2506" s="4" t="s">
        <v>325</v>
      </c>
      <c r="DD2506" s="4" t="s">
        <v>241</v>
      </c>
      <c r="DF2506" s="4" t="s">
        <v>325</v>
      </c>
      <c r="DG2506" s="6">
        <f>172</f>
        <v>172</v>
      </c>
      <c r="DI2506" s="4" t="s">
        <v>241</v>
      </c>
      <c r="DJ2506" s="4" t="s">
        <v>241</v>
      </c>
      <c r="DK2506" s="4" t="s">
        <v>241</v>
      </c>
      <c r="DL2506" s="4" t="s">
        <v>241</v>
      </c>
      <c r="DP2506" s="4" t="s">
        <v>241</v>
      </c>
      <c r="DQ2506" s="4" t="s">
        <v>241</v>
      </c>
      <c r="DR2506" s="4" t="s">
        <v>241</v>
      </c>
      <c r="DS2506" s="4" t="s">
        <v>241</v>
      </c>
      <c r="DV2506" s="4" t="s">
        <v>426</v>
      </c>
      <c r="DW2506" s="4" t="s">
        <v>2889</v>
      </c>
      <c r="HO2506" s="4" t="s">
        <v>267</v>
      </c>
    </row>
    <row r="2507" spans="1:223" ht="19.5" customHeight="1" x14ac:dyDescent="0.4">
      <c r="A2507" s="4">
        <v>1</v>
      </c>
      <c r="B2507" s="4" t="s">
        <v>239</v>
      </c>
      <c r="C2507" s="4">
        <v>4210</v>
      </c>
      <c r="D2507" s="4">
        <v>1</v>
      </c>
      <c r="E2507" s="4">
        <v>1</v>
      </c>
      <c r="F2507" s="4" t="s">
        <v>268</v>
      </c>
      <c r="G2507" s="4" t="s">
        <v>241</v>
      </c>
      <c r="H2507" s="4" t="s">
        <v>241</v>
      </c>
      <c r="I2507" s="4" t="s">
        <v>424</v>
      </c>
      <c r="J2507" s="4" t="s">
        <v>274</v>
      </c>
      <c r="K2507" s="4" t="s">
        <v>251</v>
      </c>
      <c r="L2507" s="4" t="s">
        <v>423</v>
      </c>
      <c r="M2507" s="5" t="s">
        <v>3739</v>
      </c>
      <c r="N2507" s="6">
        <f>104</f>
        <v>104</v>
      </c>
      <c r="O2507" s="4" t="s">
        <v>265</v>
      </c>
      <c r="P2507" s="6">
        <f>1</f>
        <v>1</v>
      </c>
      <c r="Q2507" s="6">
        <f>0</f>
        <v>0</v>
      </c>
      <c r="S2507" s="6">
        <f>0</f>
        <v>0</v>
      </c>
      <c r="T2507" s="6">
        <f>1</f>
        <v>1</v>
      </c>
      <c r="U2507" s="5" t="s">
        <v>245</v>
      </c>
      <c r="V2507" s="4" t="s">
        <v>270</v>
      </c>
      <c r="W2507" s="4" t="s">
        <v>271</v>
      </c>
      <c r="X2507" s="4" t="s">
        <v>273</v>
      </c>
      <c r="Y2507" s="4" t="s">
        <v>241</v>
      </c>
      <c r="AB2507" s="4" t="s">
        <v>241</v>
      </c>
      <c r="AD2507" s="5" t="s">
        <v>241</v>
      </c>
      <c r="AG2507" s="5" t="s">
        <v>246</v>
      </c>
      <c r="AH2507" s="4" t="s">
        <v>241</v>
      </c>
      <c r="AI2507" s="4" t="s">
        <v>247</v>
      </c>
      <c r="AJ2507" s="4" t="s">
        <v>248</v>
      </c>
      <c r="AZ2507" s="4" t="s">
        <v>249</v>
      </c>
      <c r="BA2507" s="4" t="s">
        <v>241</v>
      </c>
      <c r="BB2507" s="4" t="s">
        <v>250</v>
      </c>
      <c r="BC2507" s="4" t="s">
        <v>241</v>
      </c>
      <c r="BD2507" s="4" t="s">
        <v>252</v>
      </c>
      <c r="BE2507" s="4" t="s">
        <v>241</v>
      </c>
      <c r="BI2507" s="4" t="s">
        <v>253</v>
      </c>
      <c r="BJ2507" s="5" t="s">
        <v>246</v>
      </c>
      <c r="BK2507" s="4" t="s">
        <v>254</v>
      </c>
      <c r="BL2507" s="4" t="s">
        <v>255</v>
      </c>
      <c r="BM2507" s="4" t="s">
        <v>241</v>
      </c>
      <c r="BN2507" s="6">
        <f>0</f>
        <v>0</v>
      </c>
      <c r="BO2507" s="6">
        <f>0</f>
        <v>0</v>
      </c>
      <c r="BP2507" s="4" t="s">
        <v>256</v>
      </c>
      <c r="BQ2507" s="4" t="s">
        <v>257</v>
      </c>
      <c r="CE2507" s="4" t="s">
        <v>241</v>
      </c>
      <c r="CF2507" s="4" t="s">
        <v>241</v>
      </c>
      <c r="CJ2507" s="4" t="s">
        <v>276</v>
      </c>
      <c r="CK2507" s="4" t="s">
        <v>259</v>
      </c>
      <c r="CL2507" s="4" t="s">
        <v>241</v>
      </c>
      <c r="CO2507" s="5" t="s">
        <v>260</v>
      </c>
      <c r="CP2507" s="4" t="s">
        <v>241</v>
      </c>
      <c r="CQ2507" s="4" t="s">
        <v>261</v>
      </c>
      <c r="CR2507" s="4" t="s">
        <v>241</v>
      </c>
      <c r="CS2507" s="4" t="s">
        <v>241</v>
      </c>
      <c r="CT2507" s="4">
        <v>0</v>
      </c>
      <c r="CU2507" s="4" t="s">
        <v>262</v>
      </c>
      <c r="CV2507" s="4" t="s">
        <v>263</v>
      </c>
      <c r="CW2507" s="4" t="s">
        <v>263</v>
      </c>
      <c r="CX2507" s="4" t="s">
        <v>264</v>
      </c>
      <c r="DA2507" s="6">
        <f>1</f>
        <v>1</v>
      </c>
      <c r="DC2507" s="4" t="s">
        <v>325</v>
      </c>
      <c r="DD2507" s="4" t="s">
        <v>241</v>
      </c>
      <c r="DF2507" s="4" t="s">
        <v>325</v>
      </c>
      <c r="DG2507" s="6">
        <f>104</f>
        <v>104</v>
      </c>
      <c r="DI2507" s="4" t="s">
        <v>241</v>
      </c>
      <c r="DJ2507" s="4" t="s">
        <v>241</v>
      </c>
      <c r="DK2507" s="4" t="s">
        <v>241</v>
      </c>
      <c r="DL2507" s="4" t="s">
        <v>241</v>
      </c>
      <c r="DP2507" s="4" t="s">
        <v>241</v>
      </c>
      <c r="DQ2507" s="4" t="s">
        <v>241</v>
      </c>
      <c r="DR2507" s="4" t="s">
        <v>241</v>
      </c>
      <c r="DS2507" s="4" t="s">
        <v>241</v>
      </c>
      <c r="DV2507" s="4" t="s">
        <v>426</v>
      </c>
      <c r="DW2507" s="4" t="s">
        <v>2891</v>
      </c>
      <c r="HO2507" s="4" t="s">
        <v>267</v>
      </c>
    </row>
    <row r="2508" spans="1:223" ht="19.5" customHeight="1" x14ac:dyDescent="0.4">
      <c r="A2508" s="4">
        <v>1</v>
      </c>
      <c r="B2508" s="4" t="s">
        <v>239</v>
      </c>
      <c r="C2508" s="4">
        <v>4211</v>
      </c>
      <c r="D2508" s="4">
        <v>1</v>
      </c>
      <c r="E2508" s="4">
        <v>1</v>
      </c>
      <c r="F2508" s="4" t="s">
        <v>268</v>
      </c>
      <c r="G2508" s="4" t="s">
        <v>241</v>
      </c>
      <c r="H2508" s="4" t="s">
        <v>241</v>
      </c>
      <c r="I2508" s="4" t="s">
        <v>424</v>
      </c>
      <c r="J2508" s="4" t="s">
        <v>274</v>
      </c>
      <c r="K2508" s="4" t="s">
        <v>251</v>
      </c>
      <c r="L2508" s="4" t="s">
        <v>423</v>
      </c>
      <c r="M2508" s="5" t="s">
        <v>3740</v>
      </c>
      <c r="N2508" s="6">
        <f>1235</f>
        <v>1235</v>
      </c>
      <c r="O2508" s="4" t="s">
        <v>265</v>
      </c>
      <c r="P2508" s="6">
        <f>1</f>
        <v>1</v>
      </c>
      <c r="Q2508" s="6">
        <f>0</f>
        <v>0</v>
      </c>
      <c r="S2508" s="6">
        <f>0</f>
        <v>0</v>
      </c>
      <c r="T2508" s="6">
        <f>1</f>
        <v>1</v>
      </c>
      <c r="U2508" s="5" t="s">
        <v>245</v>
      </c>
      <c r="V2508" s="4" t="s">
        <v>270</v>
      </c>
      <c r="W2508" s="4" t="s">
        <v>271</v>
      </c>
      <c r="X2508" s="4" t="s">
        <v>273</v>
      </c>
      <c r="Y2508" s="4" t="s">
        <v>241</v>
      </c>
      <c r="AB2508" s="4" t="s">
        <v>241</v>
      </c>
      <c r="AD2508" s="5" t="s">
        <v>241</v>
      </c>
      <c r="AG2508" s="5" t="s">
        <v>246</v>
      </c>
      <c r="AH2508" s="4" t="s">
        <v>241</v>
      </c>
      <c r="AI2508" s="4" t="s">
        <v>247</v>
      </c>
      <c r="AJ2508" s="4" t="s">
        <v>248</v>
      </c>
      <c r="AZ2508" s="4" t="s">
        <v>249</v>
      </c>
      <c r="BA2508" s="4" t="s">
        <v>241</v>
      </c>
      <c r="BB2508" s="4" t="s">
        <v>250</v>
      </c>
      <c r="BC2508" s="4" t="s">
        <v>241</v>
      </c>
      <c r="BD2508" s="4" t="s">
        <v>252</v>
      </c>
      <c r="BE2508" s="4" t="s">
        <v>241</v>
      </c>
      <c r="BI2508" s="4" t="s">
        <v>253</v>
      </c>
      <c r="BJ2508" s="5" t="s">
        <v>246</v>
      </c>
      <c r="BK2508" s="4" t="s">
        <v>254</v>
      </c>
      <c r="BL2508" s="4" t="s">
        <v>255</v>
      </c>
      <c r="BM2508" s="4" t="s">
        <v>241</v>
      </c>
      <c r="BN2508" s="6">
        <f>0</f>
        <v>0</v>
      </c>
      <c r="BO2508" s="6">
        <f>0</f>
        <v>0</v>
      </c>
      <c r="BP2508" s="4" t="s">
        <v>256</v>
      </c>
      <c r="BQ2508" s="4" t="s">
        <v>257</v>
      </c>
      <c r="CE2508" s="4" t="s">
        <v>241</v>
      </c>
      <c r="CF2508" s="4" t="s">
        <v>241</v>
      </c>
      <c r="CJ2508" s="4" t="s">
        <v>276</v>
      </c>
      <c r="CK2508" s="4" t="s">
        <v>259</v>
      </c>
      <c r="CL2508" s="4" t="s">
        <v>241</v>
      </c>
      <c r="CO2508" s="5" t="s">
        <v>260</v>
      </c>
      <c r="CP2508" s="4" t="s">
        <v>241</v>
      </c>
      <c r="CQ2508" s="4" t="s">
        <v>261</v>
      </c>
      <c r="CR2508" s="4" t="s">
        <v>241</v>
      </c>
      <c r="CS2508" s="4" t="s">
        <v>241</v>
      </c>
      <c r="CT2508" s="4">
        <v>0</v>
      </c>
      <c r="CU2508" s="4" t="s">
        <v>262</v>
      </c>
      <c r="CV2508" s="4" t="s">
        <v>263</v>
      </c>
      <c r="CW2508" s="4" t="s">
        <v>263</v>
      </c>
      <c r="CX2508" s="4" t="s">
        <v>264</v>
      </c>
      <c r="DA2508" s="6">
        <f>1</f>
        <v>1</v>
      </c>
      <c r="DC2508" s="4" t="s">
        <v>325</v>
      </c>
      <c r="DD2508" s="4" t="s">
        <v>241</v>
      </c>
      <c r="DF2508" s="4" t="s">
        <v>325</v>
      </c>
      <c r="DG2508" s="6">
        <f>1235</f>
        <v>1235</v>
      </c>
      <c r="DI2508" s="4" t="s">
        <v>241</v>
      </c>
      <c r="DJ2508" s="4" t="s">
        <v>241</v>
      </c>
      <c r="DK2508" s="4" t="s">
        <v>241</v>
      </c>
      <c r="DL2508" s="4" t="s">
        <v>241</v>
      </c>
      <c r="DP2508" s="4" t="s">
        <v>241</v>
      </c>
      <c r="DQ2508" s="4" t="s">
        <v>241</v>
      </c>
      <c r="DR2508" s="4" t="s">
        <v>241</v>
      </c>
      <c r="DS2508" s="4" t="s">
        <v>241</v>
      </c>
      <c r="DV2508" s="4" t="s">
        <v>426</v>
      </c>
      <c r="DW2508" s="4" t="s">
        <v>2887</v>
      </c>
      <c r="HO2508" s="4" t="s">
        <v>267</v>
      </c>
    </row>
    <row r="2509" spans="1:223" ht="19.5" customHeight="1" x14ac:dyDescent="0.4">
      <c r="A2509" s="4">
        <v>1</v>
      </c>
      <c r="B2509" s="4" t="s">
        <v>239</v>
      </c>
      <c r="C2509" s="4">
        <v>4212</v>
      </c>
      <c r="D2509" s="4">
        <v>1</v>
      </c>
      <c r="E2509" s="4">
        <v>1</v>
      </c>
      <c r="F2509" s="4" t="s">
        <v>268</v>
      </c>
      <c r="G2509" s="4" t="s">
        <v>241</v>
      </c>
      <c r="H2509" s="4" t="s">
        <v>241</v>
      </c>
      <c r="I2509" s="4" t="s">
        <v>424</v>
      </c>
      <c r="J2509" s="4" t="s">
        <v>274</v>
      </c>
      <c r="K2509" s="4" t="s">
        <v>251</v>
      </c>
      <c r="L2509" s="4" t="s">
        <v>423</v>
      </c>
      <c r="M2509" s="5" t="s">
        <v>3742</v>
      </c>
      <c r="N2509" s="6">
        <f>916</f>
        <v>916</v>
      </c>
      <c r="O2509" s="4" t="s">
        <v>265</v>
      </c>
      <c r="P2509" s="6">
        <f>1</f>
        <v>1</v>
      </c>
      <c r="Q2509" s="6">
        <f>0</f>
        <v>0</v>
      </c>
      <c r="S2509" s="6">
        <f>0</f>
        <v>0</v>
      </c>
      <c r="T2509" s="6">
        <f>1</f>
        <v>1</v>
      </c>
      <c r="U2509" s="5" t="s">
        <v>245</v>
      </c>
      <c r="V2509" s="4" t="s">
        <v>270</v>
      </c>
      <c r="W2509" s="4" t="s">
        <v>271</v>
      </c>
      <c r="X2509" s="4" t="s">
        <v>273</v>
      </c>
      <c r="Y2509" s="4" t="s">
        <v>241</v>
      </c>
      <c r="AB2509" s="4" t="s">
        <v>241</v>
      </c>
      <c r="AD2509" s="5" t="s">
        <v>241</v>
      </c>
      <c r="AG2509" s="5" t="s">
        <v>246</v>
      </c>
      <c r="AH2509" s="4" t="s">
        <v>241</v>
      </c>
      <c r="AI2509" s="4" t="s">
        <v>247</v>
      </c>
      <c r="AJ2509" s="4" t="s">
        <v>248</v>
      </c>
      <c r="AZ2509" s="4" t="s">
        <v>249</v>
      </c>
      <c r="BA2509" s="4" t="s">
        <v>241</v>
      </c>
      <c r="BB2509" s="4" t="s">
        <v>250</v>
      </c>
      <c r="BC2509" s="4" t="s">
        <v>241</v>
      </c>
      <c r="BD2509" s="4" t="s">
        <v>252</v>
      </c>
      <c r="BE2509" s="4" t="s">
        <v>241</v>
      </c>
      <c r="BI2509" s="4" t="s">
        <v>253</v>
      </c>
      <c r="BJ2509" s="5" t="s">
        <v>246</v>
      </c>
      <c r="BK2509" s="4" t="s">
        <v>254</v>
      </c>
      <c r="BL2509" s="4" t="s">
        <v>255</v>
      </c>
      <c r="BM2509" s="4" t="s">
        <v>241</v>
      </c>
      <c r="BN2509" s="6">
        <f>0</f>
        <v>0</v>
      </c>
      <c r="BO2509" s="6">
        <f>0</f>
        <v>0</v>
      </c>
      <c r="BP2509" s="4" t="s">
        <v>256</v>
      </c>
      <c r="BQ2509" s="4" t="s">
        <v>257</v>
      </c>
      <c r="CE2509" s="4" t="s">
        <v>241</v>
      </c>
      <c r="CF2509" s="4" t="s">
        <v>241</v>
      </c>
      <c r="CJ2509" s="4" t="s">
        <v>276</v>
      </c>
      <c r="CK2509" s="4" t="s">
        <v>259</v>
      </c>
      <c r="CL2509" s="4" t="s">
        <v>241</v>
      </c>
      <c r="CO2509" s="5" t="s">
        <v>260</v>
      </c>
      <c r="CP2509" s="4" t="s">
        <v>241</v>
      </c>
      <c r="CQ2509" s="4" t="s">
        <v>261</v>
      </c>
      <c r="CR2509" s="4" t="s">
        <v>241</v>
      </c>
      <c r="CS2509" s="4" t="s">
        <v>241</v>
      </c>
      <c r="CT2509" s="4">
        <v>0</v>
      </c>
      <c r="CU2509" s="4" t="s">
        <v>262</v>
      </c>
      <c r="CV2509" s="4" t="s">
        <v>263</v>
      </c>
      <c r="CW2509" s="4" t="s">
        <v>263</v>
      </c>
      <c r="CX2509" s="4" t="s">
        <v>264</v>
      </c>
      <c r="DA2509" s="6">
        <f>1</f>
        <v>1</v>
      </c>
      <c r="DC2509" s="4" t="s">
        <v>325</v>
      </c>
      <c r="DD2509" s="4" t="s">
        <v>241</v>
      </c>
      <c r="DF2509" s="4" t="s">
        <v>325</v>
      </c>
      <c r="DG2509" s="6">
        <f>916</f>
        <v>916</v>
      </c>
      <c r="DI2509" s="4" t="s">
        <v>241</v>
      </c>
      <c r="DJ2509" s="4" t="s">
        <v>241</v>
      </c>
      <c r="DK2509" s="4" t="s">
        <v>241</v>
      </c>
      <c r="DL2509" s="4" t="s">
        <v>241</v>
      </c>
      <c r="DP2509" s="4" t="s">
        <v>241</v>
      </c>
      <c r="DQ2509" s="4" t="s">
        <v>241</v>
      </c>
      <c r="DR2509" s="4" t="s">
        <v>241</v>
      </c>
      <c r="DS2509" s="4" t="s">
        <v>241</v>
      </c>
      <c r="DV2509" s="4" t="s">
        <v>426</v>
      </c>
      <c r="DW2509" s="4" t="s">
        <v>1934</v>
      </c>
      <c r="HO2509" s="4" t="s">
        <v>267</v>
      </c>
    </row>
    <row r="2510" spans="1:223" ht="19.5" customHeight="1" x14ac:dyDescent="0.4">
      <c r="A2510" s="4">
        <v>1</v>
      </c>
      <c r="B2510" s="4" t="s">
        <v>239</v>
      </c>
      <c r="C2510" s="4">
        <v>4213</v>
      </c>
      <c r="D2510" s="4">
        <v>1</v>
      </c>
      <c r="E2510" s="4">
        <v>1</v>
      </c>
      <c r="F2510" s="4" t="s">
        <v>268</v>
      </c>
      <c r="G2510" s="4" t="s">
        <v>241</v>
      </c>
      <c r="H2510" s="4" t="s">
        <v>241</v>
      </c>
      <c r="I2510" s="4" t="s">
        <v>424</v>
      </c>
      <c r="J2510" s="4" t="s">
        <v>274</v>
      </c>
      <c r="K2510" s="4" t="s">
        <v>251</v>
      </c>
      <c r="L2510" s="4" t="s">
        <v>423</v>
      </c>
      <c r="M2510" s="5" t="s">
        <v>3744</v>
      </c>
      <c r="N2510" s="6">
        <f>88</f>
        <v>88</v>
      </c>
      <c r="O2510" s="4" t="s">
        <v>265</v>
      </c>
      <c r="P2510" s="6">
        <f>1</f>
        <v>1</v>
      </c>
      <c r="Q2510" s="6">
        <f>0</f>
        <v>0</v>
      </c>
      <c r="S2510" s="6">
        <f>0</f>
        <v>0</v>
      </c>
      <c r="T2510" s="6">
        <f>1</f>
        <v>1</v>
      </c>
      <c r="U2510" s="5" t="s">
        <v>245</v>
      </c>
      <c r="V2510" s="4" t="s">
        <v>270</v>
      </c>
      <c r="W2510" s="4" t="s">
        <v>271</v>
      </c>
      <c r="X2510" s="4" t="s">
        <v>273</v>
      </c>
      <c r="Y2510" s="4" t="s">
        <v>241</v>
      </c>
      <c r="AB2510" s="4" t="s">
        <v>241</v>
      </c>
      <c r="AD2510" s="5" t="s">
        <v>241</v>
      </c>
      <c r="AG2510" s="5" t="s">
        <v>246</v>
      </c>
      <c r="AH2510" s="4" t="s">
        <v>241</v>
      </c>
      <c r="AI2510" s="4" t="s">
        <v>247</v>
      </c>
      <c r="AJ2510" s="4" t="s">
        <v>248</v>
      </c>
      <c r="AZ2510" s="4" t="s">
        <v>249</v>
      </c>
      <c r="BA2510" s="4" t="s">
        <v>241</v>
      </c>
      <c r="BB2510" s="4" t="s">
        <v>250</v>
      </c>
      <c r="BC2510" s="4" t="s">
        <v>241</v>
      </c>
      <c r="BD2510" s="4" t="s">
        <v>252</v>
      </c>
      <c r="BE2510" s="4" t="s">
        <v>241</v>
      </c>
      <c r="BI2510" s="4" t="s">
        <v>253</v>
      </c>
      <c r="BJ2510" s="5" t="s">
        <v>246</v>
      </c>
      <c r="BK2510" s="4" t="s">
        <v>254</v>
      </c>
      <c r="BL2510" s="4" t="s">
        <v>255</v>
      </c>
      <c r="BM2510" s="4" t="s">
        <v>241</v>
      </c>
      <c r="BN2510" s="6">
        <f>0</f>
        <v>0</v>
      </c>
      <c r="BO2510" s="6">
        <f>0</f>
        <v>0</v>
      </c>
      <c r="BP2510" s="4" t="s">
        <v>256</v>
      </c>
      <c r="BQ2510" s="4" t="s">
        <v>257</v>
      </c>
      <c r="CE2510" s="4" t="s">
        <v>241</v>
      </c>
      <c r="CF2510" s="4" t="s">
        <v>241</v>
      </c>
      <c r="CJ2510" s="4" t="s">
        <v>276</v>
      </c>
      <c r="CK2510" s="4" t="s">
        <v>259</v>
      </c>
      <c r="CL2510" s="4" t="s">
        <v>241</v>
      </c>
      <c r="CO2510" s="5" t="s">
        <v>260</v>
      </c>
      <c r="CP2510" s="4" t="s">
        <v>241</v>
      </c>
      <c r="CQ2510" s="4" t="s">
        <v>261</v>
      </c>
      <c r="CR2510" s="4" t="s">
        <v>241</v>
      </c>
      <c r="CS2510" s="4" t="s">
        <v>241</v>
      </c>
      <c r="CT2510" s="4">
        <v>0</v>
      </c>
      <c r="CU2510" s="4" t="s">
        <v>262</v>
      </c>
      <c r="CV2510" s="4" t="s">
        <v>263</v>
      </c>
      <c r="CW2510" s="4" t="s">
        <v>263</v>
      </c>
      <c r="CX2510" s="4" t="s">
        <v>264</v>
      </c>
      <c r="DA2510" s="6">
        <f>1</f>
        <v>1</v>
      </c>
      <c r="DC2510" s="4" t="s">
        <v>325</v>
      </c>
      <c r="DD2510" s="4" t="s">
        <v>241</v>
      </c>
      <c r="DF2510" s="4" t="s">
        <v>325</v>
      </c>
      <c r="DG2510" s="6">
        <f>88</f>
        <v>88</v>
      </c>
      <c r="DI2510" s="4" t="s">
        <v>241</v>
      </c>
      <c r="DJ2510" s="4" t="s">
        <v>241</v>
      </c>
      <c r="DK2510" s="4" t="s">
        <v>241</v>
      </c>
      <c r="DL2510" s="4" t="s">
        <v>241</v>
      </c>
      <c r="DP2510" s="4" t="s">
        <v>241</v>
      </c>
      <c r="DQ2510" s="4" t="s">
        <v>241</v>
      </c>
      <c r="DR2510" s="4" t="s">
        <v>241</v>
      </c>
      <c r="DS2510" s="4" t="s">
        <v>241</v>
      </c>
      <c r="DV2510" s="4" t="s">
        <v>426</v>
      </c>
      <c r="DW2510" s="4" t="s">
        <v>1856</v>
      </c>
      <c r="HO2510" s="4" t="s">
        <v>267</v>
      </c>
    </row>
    <row r="2511" spans="1:223" ht="19.5" customHeight="1" x14ac:dyDescent="0.4">
      <c r="A2511" s="4">
        <v>1</v>
      </c>
      <c r="B2511" s="4" t="s">
        <v>239</v>
      </c>
      <c r="C2511" s="4">
        <v>4214</v>
      </c>
      <c r="D2511" s="4">
        <v>1</v>
      </c>
      <c r="E2511" s="4">
        <v>1</v>
      </c>
      <c r="F2511" s="4" t="s">
        <v>268</v>
      </c>
      <c r="G2511" s="4" t="s">
        <v>241</v>
      </c>
      <c r="H2511" s="4" t="s">
        <v>241</v>
      </c>
      <c r="I2511" s="4" t="s">
        <v>424</v>
      </c>
      <c r="J2511" s="4" t="s">
        <v>274</v>
      </c>
      <c r="K2511" s="4" t="s">
        <v>251</v>
      </c>
      <c r="L2511" s="4" t="s">
        <v>423</v>
      </c>
      <c r="M2511" s="5" t="s">
        <v>3747</v>
      </c>
      <c r="N2511" s="6">
        <f>142</f>
        <v>142</v>
      </c>
      <c r="O2511" s="4" t="s">
        <v>265</v>
      </c>
      <c r="P2511" s="6">
        <f>1</f>
        <v>1</v>
      </c>
      <c r="Q2511" s="6">
        <f>0</f>
        <v>0</v>
      </c>
      <c r="S2511" s="6">
        <f>0</f>
        <v>0</v>
      </c>
      <c r="T2511" s="6">
        <f>1</f>
        <v>1</v>
      </c>
      <c r="U2511" s="5" t="s">
        <v>245</v>
      </c>
      <c r="V2511" s="4" t="s">
        <v>270</v>
      </c>
      <c r="W2511" s="4" t="s">
        <v>271</v>
      </c>
      <c r="X2511" s="4" t="s">
        <v>273</v>
      </c>
      <c r="Y2511" s="4" t="s">
        <v>241</v>
      </c>
      <c r="AB2511" s="4" t="s">
        <v>241</v>
      </c>
      <c r="AD2511" s="5" t="s">
        <v>241</v>
      </c>
      <c r="AG2511" s="5" t="s">
        <v>246</v>
      </c>
      <c r="AH2511" s="4" t="s">
        <v>241</v>
      </c>
      <c r="AI2511" s="4" t="s">
        <v>247</v>
      </c>
      <c r="AJ2511" s="4" t="s">
        <v>248</v>
      </c>
      <c r="AZ2511" s="4" t="s">
        <v>249</v>
      </c>
      <c r="BA2511" s="4" t="s">
        <v>241</v>
      </c>
      <c r="BB2511" s="4" t="s">
        <v>250</v>
      </c>
      <c r="BC2511" s="4" t="s">
        <v>241</v>
      </c>
      <c r="BD2511" s="4" t="s">
        <v>252</v>
      </c>
      <c r="BE2511" s="4" t="s">
        <v>241</v>
      </c>
      <c r="BI2511" s="4" t="s">
        <v>253</v>
      </c>
      <c r="BJ2511" s="5" t="s">
        <v>246</v>
      </c>
      <c r="BK2511" s="4" t="s">
        <v>254</v>
      </c>
      <c r="BL2511" s="4" t="s">
        <v>255</v>
      </c>
      <c r="BM2511" s="4" t="s">
        <v>241</v>
      </c>
      <c r="BN2511" s="6">
        <f>0</f>
        <v>0</v>
      </c>
      <c r="BO2511" s="6">
        <f>0</f>
        <v>0</v>
      </c>
      <c r="BP2511" s="4" t="s">
        <v>256</v>
      </c>
      <c r="BQ2511" s="4" t="s">
        <v>257</v>
      </c>
      <c r="CE2511" s="4" t="s">
        <v>241</v>
      </c>
      <c r="CF2511" s="4" t="s">
        <v>241</v>
      </c>
      <c r="CJ2511" s="4" t="s">
        <v>276</v>
      </c>
      <c r="CK2511" s="4" t="s">
        <v>259</v>
      </c>
      <c r="CL2511" s="4" t="s">
        <v>241</v>
      </c>
      <c r="CO2511" s="5" t="s">
        <v>260</v>
      </c>
      <c r="CP2511" s="4" t="s">
        <v>241</v>
      </c>
      <c r="CQ2511" s="4" t="s">
        <v>261</v>
      </c>
      <c r="CR2511" s="4" t="s">
        <v>241</v>
      </c>
      <c r="CS2511" s="4" t="s">
        <v>241</v>
      </c>
      <c r="CT2511" s="4">
        <v>0</v>
      </c>
      <c r="CU2511" s="4" t="s">
        <v>262</v>
      </c>
      <c r="CV2511" s="4" t="s">
        <v>263</v>
      </c>
      <c r="CW2511" s="4" t="s">
        <v>263</v>
      </c>
      <c r="CX2511" s="4" t="s">
        <v>264</v>
      </c>
      <c r="DA2511" s="6">
        <f>1</f>
        <v>1</v>
      </c>
      <c r="DC2511" s="4" t="s">
        <v>325</v>
      </c>
      <c r="DD2511" s="4" t="s">
        <v>241</v>
      </c>
      <c r="DF2511" s="4" t="s">
        <v>325</v>
      </c>
      <c r="DG2511" s="6">
        <f>142</f>
        <v>142</v>
      </c>
      <c r="DI2511" s="4" t="s">
        <v>241</v>
      </c>
      <c r="DJ2511" s="4" t="s">
        <v>241</v>
      </c>
      <c r="DK2511" s="4" t="s">
        <v>241</v>
      </c>
      <c r="DL2511" s="4" t="s">
        <v>241</v>
      </c>
      <c r="DP2511" s="4" t="s">
        <v>241</v>
      </c>
      <c r="DQ2511" s="4" t="s">
        <v>241</v>
      </c>
      <c r="DR2511" s="4" t="s">
        <v>241</v>
      </c>
      <c r="DS2511" s="4" t="s">
        <v>241</v>
      </c>
      <c r="DV2511" s="4" t="s">
        <v>426</v>
      </c>
      <c r="DW2511" s="4" t="s">
        <v>2883</v>
      </c>
      <c r="HO2511" s="4" t="s">
        <v>267</v>
      </c>
    </row>
    <row r="2512" spans="1:223" ht="19.5" customHeight="1" x14ac:dyDescent="0.4">
      <c r="A2512" s="4">
        <v>1</v>
      </c>
      <c r="B2512" s="4" t="s">
        <v>239</v>
      </c>
      <c r="C2512" s="4">
        <v>4215</v>
      </c>
      <c r="D2512" s="4">
        <v>1</v>
      </c>
      <c r="E2512" s="4">
        <v>1</v>
      </c>
      <c r="F2512" s="4" t="s">
        <v>268</v>
      </c>
      <c r="G2512" s="4" t="s">
        <v>241</v>
      </c>
      <c r="H2512" s="4" t="s">
        <v>241</v>
      </c>
      <c r="I2512" s="4" t="s">
        <v>424</v>
      </c>
      <c r="J2512" s="4" t="s">
        <v>274</v>
      </c>
      <c r="K2512" s="4" t="s">
        <v>251</v>
      </c>
      <c r="L2512" s="4" t="s">
        <v>423</v>
      </c>
      <c r="M2512" s="5" t="s">
        <v>3748</v>
      </c>
      <c r="N2512" s="6">
        <f>915</f>
        <v>915</v>
      </c>
      <c r="O2512" s="4" t="s">
        <v>265</v>
      </c>
      <c r="P2512" s="6">
        <f>1</f>
        <v>1</v>
      </c>
      <c r="Q2512" s="6">
        <f>0</f>
        <v>0</v>
      </c>
      <c r="S2512" s="6">
        <f>0</f>
        <v>0</v>
      </c>
      <c r="T2512" s="6">
        <f>1</f>
        <v>1</v>
      </c>
      <c r="U2512" s="5" t="s">
        <v>245</v>
      </c>
      <c r="V2512" s="4" t="s">
        <v>270</v>
      </c>
      <c r="W2512" s="4" t="s">
        <v>271</v>
      </c>
      <c r="X2512" s="4" t="s">
        <v>273</v>
      </c>
      <c r="Y2512" s="4" t="s">
        <v>241</v>
      </c>
      <c r="AB2512" s="4" t="s">
        <v>241</v>
      </c>
      <c r="AD2512" s="5" t="s">
        <v>241</v>
      </c>
      <c r="AG2512" s="5" t="s">
        <v>246</v>
      </c>
      <c r="AH2512" s="4" t="s">
        <v>241</v>
      </c>
      <c r="AI2512" s="4" t="s">
        <v>247</v>
      </c>
      <c r="AJ2512" s="4" t="s">
        <v>248</v>
      </c>
      <c r="AZ2512" s="4" t="s">
        <v>249</v>
      </c>
      <c r="BA2512" s="4" t="s">
        <v>241</v>
      </c>
      <c r="BB2512" s="4" t="s">
        <v>250</v>
      </c>
      <c r="BC2512" s="4" t="s">
        <v>241</v>
      </c>
      <c r="BD2512" s="4" t="s">
        <v>252</v>
      </c>
      <c r="BE2512" s="4" t="s">
        <v>241</v>
      </c>
      <c r="BI2512" s="4" t="s">
        <v>253</v>
      </c>
      <c r="BJ2512" s="5" t="s">
        <v>246</v>
      </c>
      <c r="BK2512" s="4" t="s">
        <v>254</v>
      </c>
      <c r="BL2512" s="4" t="s">
        <v>255</v>
      </c>
      <c r="BM2512" s="4" t="s">
        <v>241</v>
      </c>
      <c r="BN2512" s="6">
        <f>0</f>
        <v>0</v>
      </c>
      <c r="BO2512" s="6">
        <f>0</f>
        <v>0</v>
      </c>
      <c r="BP2512" s="4" t="s">
        <v>256</v>
      </c>
      <c r="BQ2512" s="4" t="s">
        <v>257</v>
      </c>
      <c r="CE2512" s="4" t="s">
        <v>241</v>
      </c>
      <c r="CF2512" s="4" t="s">
        <v>241</v>
      </c>
      <c r="CJ2512" s="4" t="s">
        <v>276</v>
      </c>
      <c r="CK2512" s="4" t="s">
        <v>259</v>
      </c>
      <c r="CL2512" s="4" t="s">
        <v>241</v>
      </c>
      <c r="CO2512" s="5" t="s">
        <v>260</v>
      </c>
      <c r="CP2512" s="4" t="s">
        <v>241</v>
      </c>
      <c r="CQ2512" s="4" t="s">
        <v>261</v>
      </c>
      <c r="CR2512" s="4" t="s">
        <v>241</v>
      </c>
      <c r="CS2512" s="4" t="s">
        <v>241</v>
      </c>
      <c r="CT2512" s="4">
        <v>0</v>
      </c>
      <c r="CU2512" s="4" t="s">
        <v>262</v>
      </c>
      <c r="CV2512" s="4" t="s">
        <v>263</v>
      </c>
      <c r="CW2512" s="4" t="s">
        <v>263</v>
      </c>
      <c r="CX2512" s="4" t="s">
        <v>264</v>
      </c>
      <c r="DA2512" s="6">
        <f>1</f>
        <v>1</v>
      </c>
      <c r="DC2512" s="4" t="s">
        <v>325</v>
      </c>
      <c r="DD2512" s="4" t="s">
        <v>241</v>
      </c>
      <c r="DF2512" s="4" t="s">
        <v>325</v>
      </c>
      <c r="DG2512" s="6">
        <f>915</f>
        <v>915</v>
      </c>
      <c r="DI2512" s="4" t="s">
        <v>241</v>
      </c>
      <c r="DJ2512" s="4" t="s">
        <v>241</v>
      </c>
      <c r="DK2512" s="4" t="s">
        <v>241</v>
      </c>
      <c r="DL2512" s="4" t="s">
        <v>241</v>
      </c>
      <c r="DP2512" s="4" t="s">
        <v>241</v>
      </c>
      <c r="DQ2512" s="4" t="s">
        <v>241</v>
      </c>
      <c r="DR2512" s="4" t="s">
        <v>241</v>
      </c>
      <c r="DS2512" s="4" t="s">
        <v>241</v>
      </c>
      <c r="DV2512" s="4" t="s">
        <v>426</v>
      </c>
      <c r="DW2512" s="4" t="s">
        <v>2885</v>
      </c>
      <c r="HO2512" s="4" t="s">
        <v>267</v>
      </c>
    </row>
    <row r="2513" spans="1:223" ht="19.5" customHeight="1" x14ac:dyDescent="0.4">
      <c r="A2513" s="4">
        <v>1</v>
      </c>
      <c r="B2513" s="4" t="s">
        <v>239</v>
      </c>
      <c r="C2513" s="4">
        <v>4216</v>
      </c>
      <c r="D2513" s="4">
        <v>1</v>
      </c>
      <c r="E2513" s="4">
        <v>1</v>
      </c>
      <c r="F2513" s="4" t="s">
        <v>268</v>
      </c>
      <c r="G2513" s="4" t="s">
        <v>241</v>
      </c>
      <c r="H2513" s="4" t="s">
        <v>241</v>
      </c>
      <c r="I2513" s="4" t="s">
        <v>424</v>
      </c>
      <c r="J2513" s="4" t="s">
        <v>274</v>
      </c>
      <c r="K2513" s="4" t="s">
        <v>251</v>
      </c>
      <c r="L2513" s="4" t="s">
        <v>423</v>
      </c>
      <c r="M2513" s="5" t="s">
        <v>3752</v>
      </c>
      <c r="N2513" s="6">
        <f>1287</f>
        <v>1287</v>
      </c>
      <c r="O2513" s="4" t="s">
        <v>265</v>
      </c>
      <c r="P2513" s="6">
        <f>1</f>
        <v>1</v>
      </c>
      <c r="Q2513" s="6">
        <f>0</f>
        <v>0</v>
      </c>
      <c r="S2513" s="6">
        <f>0</f>
        <v>0</v>
      </c>
      <c r="T2513" s="6">
        <f>1</f>
        <v>1</v>
      </c>
      <c r="U2513" s="5" t="s">
        <v>245</v>
      </c>
      <c r="V2513" s="4" t="s">
        <v>270</v>
      </c>
      <c r="W2513" s="4" t="s">
        <v>271</v>
      </c>
      <c r="X2513" s="4" t="s">
        <v>273</v>
      </c>
      <c r="Y2513" s="4" t="s">
        <v>241</v>
      </c>
      <c r="AB2513" s="4" t="s">
        <v>241</v>
      </c>
      <c r="AD2513" s="5" t="s">
        <v>241</v>
      </c>
      <c r="AG2513" s="5" t="s">
        <v>246</v>
      </c>
      <c r="AH2513" s="4" t="s">
        <v>241</v>
      </c>
      <c r="AI2513" s="4" t="s">
        <v>247</v>
      </c>
      <c r="AJ2513" s="4" t="s">
        <v>248</v>
      </c>
      <c r="AZ2513" s="4" t="s">
        <v>249</v>
      </c>
      <c r="BA2513" s="4" t="s">
        <v>241</v>
      </c>
      <c r="BB2513" s="4" t="s">
        <v>250</v>
      </c>
      <c r="BC2513" s="4" t="s">
        <v>241</v>
      </c>
      <c r="BD2513" s="4" t="s">
        <v>252</v>
      </c>
      <c r="BE2513" s="4" t="s">
        <v>241</v>
      </c>
      <c r="BI2513" s="4" t="s">
        <v>253</v>
      </c>
      <c r="BJ2513" s="5" t="s">
        <v>246</v>
      </c>
      <c r="BK2513" s="4" t="s">
        <v>254</v>
      </c>
      <c r="BL2513" s="4" t="s">
        <v>255</v>
      </c>
      <c r="BM2513" s="4" t="s">
        <v>241</v>
      </c>
      <c r="BN2513" s="6">
        <f>0</f>
        <v>0</v>
      </c>
      <c r="BO2513" s="6">
        <f>0</f>
        <v>0</v>
      </c>
      <c r="BP2513" s="4" t="s">
        <v>256</v>
      </c>
      <c r="BQ2513" s="4" t="s">
        <v>257</v>
      </c>
      <c r="CE2513" s="4" t="s">
        <v>241</v>
      </c>
      <c r="CF2513" s="4" t="s">
        <v>241</v>
      </c>
      <c r="CJ2513" s="4" t="s">
        <v>276</v>
      </c>
      <c r="CK2513" s="4" t="s">
        <v>259</v>
      </c>
      <c r="CL2513" s="4" t="s">
        <v>241</v>
      </c>
      <c r="CO2513" s="5" t="s">
        <v>260</v>
      </c>
      <c r="CP2513" s="4" t="s">
        <v>241</v>
      </c>
      <c r="CQ2513" s="4" t="s">
        <v>261</v>
      </c>
      <c r="CR2513" s="4" t="s">
        <v>241</v>
      </c>
      <c r="CS2513" s="4" t="s">
        <v>241</v>
      </c>
      <c r="CT2513" s="4">
        <v>0</v>
      </c>
      <c r="CU2513" s="4" t="s">
        <v>262</v>
      </c>
      <c r="CV2513" s="4" t="s">
        <v>263</v>
      </c>
      <c r="CW2513" s="4" t="s">
        <v>263</v>
      </c>
      <c r="CX2513" s="4" t="s">
        <v>264</v>
      </c>
      <c r="DA2513" s="6">
        <f>1</f>
        <v>1</v>
      </c>
      <c r="DC2513" s="4" t="s">
        <v>325</v>
      </c>
      <c r="DD2513" s="4" t="s">
        <v>241</v>
      </c>
      <c r="DF2513" s="4" t="s">
        <v>325</v>
      </c>
      <c r="DG2513" s="6">
        <f>1287</f>
        <v>1287</v>
      </c>
      <c r="DI2513" s="4" t="s">
        <v>241</v>
      </c>
      <c r="DJ2513" s="4" t="s">
        <v>241</v>
      </c>
      <c r="DK2513" s="4" t="s">
        <v>241</v>
      </c>
      <c r="DL2513" s="4" t="s">
        <v>241</v>
      </c>
      <c r="DP2513" s="4" t="s">
        <v>241</v>
      </c>
      <c r="DQ2513" s="4" t="s">
        <v>241</v>
      </c>
      <c r="DR2513" s="4" t="s">
        <v>241</v>
      </c>
      <c r="DS2513" s="4" t="s">
        <v>241</v>
      </c>
      <c r="DV2513" s="4" t="s">
        <v>426</v>
      </c>
      <c r="DW2513" s="4" t="s">
        <v>2824</v>
      </c>
      <c r="HO2513" s="4" t="s">
        <v>267</v>
      </c>
    </row>
    <row r="2514" spans="1:223" ht="19.5" customHeight="1" x14ac:dyDescent="0.4">
      <c r="A2514" s="4">
        <v>1</v>
      </c>
      <c r="B2514" s="4" t="s">
        <v>239</v>
      </c>
      <c r="C2514" s="4">
        <v>4217</v>
      </c>
      <c r="D2514" s="4">
        <v>1</v>
      </c>
      <c r="E2514" s="4">
        <v>1</v>
      </c>
      <c r="F2514" s="4" t="s">
        <v>268</v>
      </c>
      <c r="G2514" s="4" t="s">
        <v>241</v>
      </c>
      <c r="H2514" s="4" t="s">
        <v>241</v>
      </c>
      <c r="I2514" s="4" t="s">
        <v>424</v>
      </c>
      <c r="J2514" s="4" t="s">
        <v>274</v>
      </c>
      <c r="K2514" s="4" t="s">
        <v>251</v>
      </c>
      <c r="L2514" s="4" t="s">
        <v>423</v>
      </c>
      <c r="M2514" s="5" t="s">
        <v>3753</v>
      </c>
      <c r="N2514" s="6">
        <f>191</f>
        <v>191</v>
      </c>
      <c r="O2514" s="4" t="s">
        <v>265</v>
      </c>
      <c r="P2514" s="6">
        <f>1</f>
        <v>1</v>
      </c>
      <c r="Q2514" s="6">
        <f>0</f>
        <v>0</v>
      </c>
      <c r="S2514" s="6">
        <f>0</f>
        <v>0</v>
      </c>
      <c r="T2514" s="6">
        <f>1</f>
        <v>1</v>
      </c>
      <c r="U2514" s="5" t="s">
        <v>245</v>
      </c>
      <c r="V2514" s="4" t="s">
        <v>270</v>
      </c>
      <c r="W2514" s="4" t="s">
        <v>271</v>
      </c>
      <c r="X2514" s="4" t="s">
        <v>273</v>
      </c>
      <c r="Y2514" s="4" t="s">
        <v>241</v>
      </c>
      <c r="AB2514" s="4" t="s">
        <v>241</v>
      </c>
      <c r="AD2514" s="5" t="s">
        <v>241</v>
      </c>
      <c r="AG2514" s="5" t="s">
        <v>246</v>
      </c>
      <c r="AH2514" s="4" t="s">
        <v>241</v>
      </c>
      <c r="AI2514" s="4" t="s">
        <v>247</v>
      </c>
      <c r="AJ2514" s="4" t="s">
        <v>248</v>
      </c>
      <c r="AZ2514" s="4" t="s">
        <v>249</v>
      </c>
      <c r="BA2514" s="4" t="s">
        <v>241</v>
      </c>
      <c r="BB2514" s="4" t="s">
        <v>250</v>
      </c>
      <c r="BC2514" s="4" t="s">
        <v>241</v>
      </c>
      <c r="BD2514" s="4" t="s">
        <v>252</v>
      </c>
      <c r="BE2514" s="4" t="s">
        <v>241</v>
      </c>
      <c r="BI2514" s="4" t="s">
        <v>253</v>
      </c>
      <c r="BJ2514" s="5" t="s">
        <v>246</v>
      </c>
      <c r="BK2514" s="4" t="s">
        <v>254</v>
      </c>
      <c r="BL2514" s="4" t="s">
        <v>255</v>
      </c>
      <c r="BM2514" s="4" t="s">
        <v>241</v>
      </c>
      <c r="BN2514" s="6">
        <f>0</f>
        <v>0</v>
      </c>
      <c r="BO2514" s="6">
        <f>0</f>
        <v>0</v>
      </c>
      <c r="BP2514" s="4" t="s">
        <v>256</v>
      </c>
      <c r="BQ2514" s="4" t="s">
        <v>257</v>
      </c>
      <c r="CE2514" s="4" t="s">
        <v>241</v>
      </c>
      <c r="CF2514" s="4" t="s">
        <v>241</v>
      </c>
      <c r="CJ2514" s="4" t="s">
        <v>276</v>
      </c>
      <c r="CK2514" s="4" t="s">
        <v>259</v>
      </c>
      <c r="CL2514" s="4" t="s">
        <v>241</v>
      </c>
      <c r="CO2514" s="5" t="s">
        <v>260</v>
      </c>
      <c r="CP2514" s="4" t="s">
        <v>241</v>
      </c>
      <c r="CQ2514" s="4" t="s">
        <v>261</v>
      </c>
      <c r="CR2514" s="4" t="s">
        <v>241</v>
      </c>
      <c r="CS2514" s="4" t="s">
        <v>241</v>
      </c>
      <c r="CT2514" s="4">
        <v>0</v>
      </c>
      <c r="CU2514" s="4" t="s">
        <v>262</v>
      </c>
      <c r="CV2514" s="4" t="s">
        <v>263</v>
      </c>
      <c r="CW2514" s="4" t="s">
        <v>263</v>
      </c>
      <c r="CX2514" s="4" t="s">
        <v>264</v>
      </c>
      <c r="DA2514" s="6">
        <f>1</f>
        <v>1</v>
      </c>
      <c r="DC2514" s="4" t="s">
        <v>325</v>
      </c>
      <c r="DD2514" s="4" t="s">
        <v>241</v>
      </c>
      <c r="DF2514" s="4" t="s">
        <v>325</v>
      </c>
      <c r="DG2514" s="6">
        <f>191</f>
        <v>191</v>
      </c>
      <c r="DI2514" s="4" t="s">
        <v>241</v>
      </c>
      <c r="DJ2514" s="4" t="s">
        <v>241</v>
      </c>
      <c r="DK2514" s="4" t="s">
        <v>241</v>
      </c>
      <c r="DL2514" s="4" t="s">
        <v>241</v>
      </c>
      <c r="DP2514" s="4" t="s">
        <v>241</v>
      </c>
      <c r="DQ2514" s="4" t="s">
        <v>241</v>
      </c>
      <c r="DR2514" s="4" t="s">
        <v>241</v>
      </c>
      <c r="DS2514" s="4" t="s">
        <v>241</v>
      </c>
      <c r="DV2514" s="4" t="s">
        <v>426</v>
      </c>
      <c r="DW2514" s="4" t="s">
        <v>2830</v>
      </c>
      <c r="HO2514" s="4" t="s">
        <v>267</v>
      </c>
    </row>
    <row r="2515" spans="1:223" ht="19.5" customHeight="1" x14ac:dyDescent="0.4">
      <c r="A2515" s="4">
        <v>1</v>
      </c>
      <c r="B2515" s="4" t="s">
        <v>239</v>
      </c>
      <c r="C2515" s="4">
        <v>4218</v>
      </c>
      <c r="D2515" s="4">
        <v>1</v>
      </c>
      <c r="E2515" s="4">
        <v>1</v>
      </c>
      <c r="F2515" s="4" t="s">
        <v>268</v>
      </c>
      <c r="G2515" s="4" t="s">
        <v>241</v>
      </c>
      <c r="H2515" s="4" t="s">
        <v>241</v>
      </c>
      <c r="I2515" s="4" t="s">
        <v>424</v>
      </c>
      <c r="J2515" s="4" t="s">
        <v>274</v>
      </c>
      <c r="K2515" s="4" t="s">
        <v>251</v>
      </c>
      <c r="L2515" s="4" t="s">
        <v>423</v>
      </c>
      <c r="M2515" s="5" t="s">
        <v>3755</v>
      </c>
      <c r="N2515" s="6">
        <f>146</f>
        <v>146</v>
      </c>
      <c r="O2515" s="4" t="s">
        <v>265</v>
      </c>
      <c r="P2515" s="6">
        <f>1</f>
        <v>1</v>
      </c>
      <c r="Q2515" s="6">
        <f>0</f>
        <v>0</v>
      </c>
      <c r="S2515" s="6">
        <f>0</f>
        <v>0</v>
      </c>
      <c r="T2515" s="6">
        <f>1</f>
        <v>1</v>
      </c>
      <c r="U2515" s="5" t="s">
        <v>245</v>
      </c>
      <c r="V2515" s="4" t="s">
        <v>270</v>
      </c>
      <c r="W2515" s="4" t="s">
        <v>271</v>
      </c>
      <c r="X2515" s="4" t="s">
        <v>273</v>
      </c>
      <c r="Y2515" s="4" t="s">
        <v>241</v>
      </c>
      <c r="AB2515" s="4" t="s">
        <v>241</v>
      </c>
      <c r="AD2515" s="5" t="s">
        <v>241</v>
      </c>
      <c r="AG2515" s="5" t="s">
        <v>246</v>
      </c>
      <c r="AH2515" s="4" t="s">
        <v>241</v>
      </c>
      <c r="AI2515" s="4" t="s">
        <v>247</v>
      </c>
      <c r="AJ2515" s="4" t="s">
        <v>248</v>
      </c>
      <c r="AZ2515" s="4" t="s">
        <v>249</v>
      </c>
      <c r="BA2515" s="4" t="s">
        <v>241</v>
      </c>
      <c r="BB2515" s="4" t="s">
        <v>250</v>
      </c>
      <c r="BC2515" s="4" t="s">
        <v>241</v>
      </c>
      <c r="BD2515" s="4" t="s">
        <v>252</v>
      </c>
      <c r="BE2515" s="4" t="s">
        <v>241</v>
      </c>
      <c r="BI2515" s="4" t="s">
        <v>253</v>
      </c>
      <c r="BJ2515" s="5" t="s">
        <v>246</v>
      </c>
      <c r="BK2515" s="4" t="s">
        <v>254</v>
      </c>
      <c r="BL2515" s="4" t="s">
        <v>255</v>
      </c>
      <c r="BM2515" s="4" t="s">
        <v>241</v>
      </c>
      <c r="BN2515" s="6">
        <f>0</f>
        <v>0</v>
      </c>
      <c r="BO2515" s="6">
        <f>0</f>
        <v>0</v>
      </c>
      <c r="BP2515" s="4" t="s">
        <v>256</v>
      </c>
      <c r="BQ2515" s="4" t="s">
        <v>257</v>
      </c>
      <c r="CE2515" s="4" t="s">
        <v>241</v>
      </c>
      <c r="CF2515" s="4" t="s">
        <v>241</v>
      </c>
      <c r="CJ2515" s="4" t="s">
        <v>276</v>
      </c>
      <c r="CK2515" s="4" t="s">
        <v>259</v>
      </c>
      <c r="CL2515" s="4" t="s">
        <v>241</v>
      </c>
      <c r="CO2515" s="5" t="s">
        <v>260</v>
      </c>
      <c r="CP2515" s="4" t="s">
        <v>241</v>
      </c>
      <c r="CQ2515" s="4" t="s">
        <v>261</v>
      </c>
      <c r="CR2515" s="4" t="s">
        <v>241</v>
      </c>
      <c r="CS2515" s="4" t="s">
        <v>241</v>
      </c>
      <c r="CT2515" s="4">
        <v>0</v>
      </c>
      <c r="CU2515" s="4" t="s">
        <v>262</v>
      </c>
      <c r="CV2515" s="4" t="s">
        <v>263</v>
      </c>
      <c r="CW2515" s="4" t="s">
        <v>263</v>
      </c>
      <c r="CX2515" s="4" t="s">
        <v>264</v>
      </c>
      <c r="DA2515" s="6">
        <f>1</f>
        <v>1</v>
      </c>
      <c r="DC2515" s="4" t="s">
        <v>325</v>
      </c>
      <c r="DD2515" s="4" t="s">
        <v>241</v>
      </c>
      <c r="DF2515" s="4" t="s">
        <v>325</v>
      </c>
      <c r="DG2515" s="6">
        <f>146</f>
        <v>146</v>
      </c>
      <c r="DI2515" s="4" t="s">
        <v>241</v>
      </c>
      <c r="DJ2515" s="4" t="s">
        <v>241</v>
      </c>
      <c r="DK2515" s="4" t="s">
        <v>241</v>
      </c>
      <c r="DL2515" s="4" t="s">
        <v>241</v>
      </c>
      <c r="DP2515" s="4" t="s">
        <v>241</v>
      </c>
      <c r="DQ2515" s="4" t="s">
        <v>241</v>
      </c>
      <c r="DR2515" s="4" t="s">
        <v>241</v>
      </c>
      <c r="DS2515" s="4" t="s">
        <v>241</v>
      </c>
      <c r="DV2515" s="4" t="s">
        <v>426</v>
      </c>
      <c r="DW2515" s="4" t="s">
        <v>1895</v>
      </c>
      <c r="HO2515" s="4" t="s">
        <v>267</v>
      </c>
    </row>
    <row r="2516" spans="1:223" ht="19.5" customHeight="1" x14ac:dyDescent="0.4">
      <c r="A2516" s="4">
        <v>1</v>
      </c>
      <c r="B2516" s="4" t="s">
        <v>239</v>
      </c>
      <c r="C2516" s="4">
        <v>4219</v>
      </c>
      <c r="D2516" s="4">
        <v>1</v>
      </c>
      <c r="E2516" s="4">
        <v>1</v>
      </c>
      <c r="F2516" s="4" t="s">
        <v>268</v>
      </c>
      <c r="G2516" s="4" t="s">
        <v>241</v>
      </c>
      <c r="H2516" s="4" t="s">
        <v>241</v>
      </c>
      <c r="I2516" s="4" t="s">
        <v>424</v>
      </c>
      <c r="J2516" s="4" t="s">
        <v>274</v>
      </c>
      <c r="K2516" s="4" t="s">
        <v>251</v>
      </c>
      <c r="L2516" s="4" t="s">
        <v>423</v>
      </c>
      <c r="M2516" s="5" t="s">
        <v>3756</v>
      </c>
      <c r="N2516" s="6">
        <f>1181</f>
        <v>1181</v>
      </c>
      <c r="O2516" s="4" t="s">
        <v>265</v>
      </c>
      <c r="P2516" s="6">
        <f>1</f>
        <v>1</v>
      </c>
      <c r="Q2516" s="6">
        <f>0</f>
        <v>0</v>
      </c>
      <c r="S2516" s="6">
        <f>0</f>
        <v>0</v>
      </c>
      <c r="T2516" s="6">
        <f>1</f>
        <v>1</v>
      </c>
      <c r="U2516" s="5" t="s">
        <v>245</v>
      </c>
      <c r="V2516" s="4" t="s">
        <v>270</v>
      </c>
      <c r="W2516" s="4" t="s">
        <v>271</v>
      </c>
      <c r="X2516" s="4" t="s">
        <v>273</v>
      </c>
      <c r="Y2516" s="4" t="s">
        <v>241</v>
      </c>
      <c r="AB2516" s="4" t="s">
        <v>241</v>
      </c>
      <c r="AD2516" s="5" t="s">
        <v>241</v>
      </c>
      <c r="AG2516" s="5" t="s">
        <v>246</v>
      </c>
      <c r="AH2516" s="4" t="s">
        <v>241</v>
      </c>
      <c r="AI2516" s="4" t="s">
        <v>247</v>
      </c>
      <c r="AJ2516" s="4" t="s">
        <v>248</v>
      </c>
      <c r="AZ2516" s="4" t="s">
        <v>249</v>
      </c>
      <c r="BA2516" s="4" t="s">
        <v>241</v>
      </c>
      <c r="BB2516" s="4" t="s">
        <v>250</v>
      </c>
      <c r="BC2516" s="4" t="s">
        <v>241</v>
      </c>
      <c r="BD2516" s="4" t="s">
        <v>252</v>
      </c>
      <c r="BE2516" s="4" t="s">
        <v>241</v>
      </c>
      <c r="BI2516" s="4" t="s">
        <v>253</v>
      </c>
      <c r="BJ2516" s="5" t="s">
        <v>246</v>
      </c>
      <c r="BK2516" s="4" t="s">
        <v>254</v>
      </c>
      <c r="BL2516" s="4" t="s">
        <v>255</v>
      </c>
      <c r="BM2516" s="4" t="s">
        <v>241</v>
      </c>
      <c r="BN2516" s="6">
        <f>0</f>
        <v>0</v>
      </c>
      <c r="BO2516" s="6">
        <f>0</f>
        <v>0</v>
      </c>
      <c r="BP2516" s="4" t="s">
        <v>256</v>
      </c>
      <c r="BQ2516" s="4" t="s">
        <v>257</v>
      </c>
      <c r="CE2516" s="4" t="s">
        <v>241</v>
      </c>
      <c r="CF2516" s="4" t="s">
        <v>241</v>
      </c>
      <c r="CJ2516" s="4" t="s">
        <v>276</v>
      </c>
      <c r="CK2516" s="4" t="s">
        <v>259</v>
      </c>
      <c r="CL2516" s="4" t="s">
        <v>241</v>
      </c>
      <c r="CO2516" s="5" t="s">
        <v>260</v>
      </c>
      <c r="CP2516" s="4" t="s">
        <v>241</v>
      </c>
      <c r="CQ2516" s="4" t="s">
        <v>261</v>
      </c>
      <c r="CR2516" s="4" t="s">
        <v>241</v>
      </c>
      <c r="CS2516" s="4" t="s">
        <v>241</v>
      </c>
      <c r="CT2516" s="4">
        <v>0</v>
      </c>
      <c r="CU2516" s="4" t="s">
        <v>262</v>
      </c>
      <c r="CV2516" s="4" t="s">
        <v>263</v>
      </c>
      <c r="CW2516" s="4" t="s">
        <v>263</v>
      </c>
      <c r="CX2516" s="4" t="s">
        <v>264</v>
      </c>
      <c r="DA2516" s="6">
        <f>1</f>
        <v>1</v>
      </c>
      <c r="DC2516" s="4" t="s">
        <v>325</v>
      </c>
      <c r="DD2516" s="4" t="s">
        <v>241</v>
      </c>
      <c r="DF2516" s="4" t="s">
        <v>325</v>
      </c>
      <c r="DG2516" s="6">
        <f>1181</f>
        <v>1181</v>
      </c>
      <c r="DI2516" s="4" t="s">
        <v>241</v>
      </c>
      <c r="DJ2516" s="4" t="s">
        <v>241</v>
      </c>
      <c r="DK2516" s="4" t="s">
        <v>241</v>
      </c>
      <c r="DL2516" s="4" t="s">
        <v>241</v>
      </c>
      <c r="DP2516" s="4" t="s">
        <v>241</v>
      </c>
      <c r="DQ2516" s="4" t="s">
        <v>241</v>
      </c>
      <c r="DR2516" s="4" t="s">
        <v>241</v>
      </c>
      <c r="DS2516" s="4" t="s">
        <v>241</v>
      </c>
      <c r="DV2516" s="4" t="s">
        <v>426</v>
      </c>
      <c r="DW2516" s="4" t="s">
        <v>1881</v>
      </c>
      <c r="HO2516" s="4" t="s">
        <v>267</v>
      </c>
    </row>
    <row r="2517" spans="1:223" ht="19.5" customHeight="1" x14ac:dyDescent="0.4">
      <c r="A2517" s="4">
        <v>1</v>
      </c>
      <c r="B2517" s="4" t="s">
        <v>239</v>
      </c>
      <c r="C2517" s="4">
        <v>4220</v>
      </c>
      <c r="D2517" s="4">
        <v>1</v>
      </c>
      <c r="E2517" s="4">
        <v>1</v>
      </c>
      <c r="F2517" s="4" t="s">
        <v>268</v>
      </c>
      <c r="G2517" s="4" t="s">
        <v>241</v>
      </c>
      <c r="H2517" s="4" t="s">
        <v>241</v>
      </c>
      <c r="I2517" s="4" t="s">
        <v>424</v>
      </c>
      <c r="J2517" s="4" t="s">
        <v>274</v>
      </c>
      <c r="K2517" s="4" t="s">
        <v>251</v>
      </c>
      <c r="L2517" s="4" t="s">
        <v>423</v>
      </c>
      <c r="M2517" s="5" t="s">
        <v>3760</v>
      </c>
      <c r="N2517" s="6">
        <f>859</f>
        <v>859</v>
      </c>
      <c r="O2517" s="4" t="s">
        <v>265</v>
      </c>
      <c r="P2517" s="6">
        <f>1</f>
        <v>1</v>
      </c>
      <c r="Q2517" s="6">
        <f>0</f>
        <v>0</v>
      </c>
      <c r="S2517" s="6">
        <f>0</f>
        <v>0</v>
      </c>
      <c r="T2517" s="6">
        <f>1</f>
        <v>1</v>
      </c>
      <c r="U2517" s="5" t="s">
        <v>245</v>
      </c>
      <c r="V2517" s="4" t="s">
        <v>270</v>
      </c>
      <c r="W2517" s="4" t="s">
        <v>271</v>
      </c>
      <c r="X2517" s="4" t="s">
        <v>273</v>
      </c>
      <c r="Y2517" s="4" t="s">
        <v>241</v>
      </c>
      <c r="AB2517" s="4" t="s">
        <v>241</v>
      </c>
      <c r="AD2517" s="5" t="s">
        <v>241</v>
      </c>
      <c r="AG2517" s="5" t="s">
        <v>246</v>
      </c>
      <c r="AH2517" s="4" t="s">
        <v>241</v>
      </c>
      <c r="AI2517" s="4" t="s">
        <v>247</v>
      </c>
      <c r="AJ2517" s="4" t="s">
        <v>248</v>
      </c>
      <c r="AZ2517" s="4" t="s">
        <v>249</v>
      </c>
      <c r="BA2517" s="4" t="s">
        <v>241</v>
      </c>
      <c r="BB2517" s="4" t="s">
        <v>250</v>
      </c>
      <c r="BC2517" s="4" t="s">
        <v>241</v>
      </c>
      <c r="BD2517" s="4" t="s">
        <v>252</v>
      </c>
      <c r="BE2517" s="4" t="s">
        <v>241</v>
      </c>
      <c r="BI2517" s="4" t="s">
        <v>253</v>
      </c>
      <c r="BJ2517" s="5" t="s">
        <v>246</v>
      </c>
      <c r="BK2517" s="4" t="s">
        <v>254</v>
      </c>
      <c r="BL2517" s="4" t="s">
        <v>255</v>
      </c>
      <c r="BM2517" s="4" t="s">
        <v>241</v>
      </c>
      <c r="BN2517" s="6">
        <f>0</f>
        <v>0</v>
      </c>
      <c r="BO2517" s="6">
        <f>0</f>
        <v>0</v>
      </c>
      <c r="BP2517" s="4" t="s">
        <v>256</v>
      </c>
      <c r="BQ2517" s="4" t="s">
        <v>257</v>
      </c>
      <c r="CE2517" s="4" t="s">
        <v>241</v>
      </c>
      <c r="CF2517" s="4" t="s">
        <v>241</v>
      </c>
      <c r="CJ2517" s="4" t="s">
        <v>276</v>
      </c>
      <c r="CK2517" s="4" t="s">
        <v>259</v>
      </c>
      <c r="CL2517" s="4" t="s">
        <v>241</v>
      </c>
      <c r="CO2517" s="5" t="s">
        <v>260</v>
      </c>
      <c r="CP2517" s="4" t="s">
        <v>241</v>
      </c>
      <c r="CQ2517" s="4" t="s">
        <v>261</v>
      </c>
      <c r="CR2517" s="4" t="s">
        <v>241</v>
      </c>
      <c r="CS2517" s="4" t="s">
        <v>241</v>
      </c>
      <c r="CT2517" s="4">
        <v>0</v>
      </c>
      <c r="CU2517" s="4" t="s">
        <v>262</v>
      </c>
      <c r="CV2517" s="4" t="s">
        <v>263</v>
      </c>
      <c r="CW2517" s="4" t="s">
        <v>263</v>
      </c>
      <c r="CX2517" s="4" t="s">
        <v>264</v>
      </c>
      <c r="DA2517" s="6">
        <f>1</f>
        <v>1</v>
      </c>
      <c r="DC2517" s="4" t="s">
        <v>325</v>
      </c>
      <c r="DD2517" s="4" t="s">
        <v>241</v>
      </c>
      <c r="DF2517" s="4" t="s">
        <v>325</v>
      </c>
      <c r="DG2517" s="6">
        <f>859</f>
        <v>859</v>
      </c>
      <c r="DI2517" s="4" t="s">
        <v>241</v>
      </c>
      <c r="DJ2517" s="4" t="s">
        <v>241</v>
      </c>
      <c r="DK2517" s="4" t="s">
        <v>241</v>
      </c>
      <c r="DL2517" s="4" t="s">
        <v>241</v>
      </c>
      <c r="DP2517" s="4" t="s">
        <v>241</v>
      </c>
      <c r="DQ2517" s="4" t="s">
        <v>241</v>
      </c>
      <c r="DR2517" s="4" t="s">
        <v>241</v>
      </c>
      <c r="DS2517" s="4" t="s">
        <v>241</v>
      </c>
      <c r="DV2517" s="4" t="s">
        <v>426</v>
      </c>
      <c r="DW2517" s="4" t="s">
        <v>1854</v>
      </c>
      <c r="HO2517" s="4" t="s">
        <v>267</v>
      </c>
    </row>
    <row r="2518" spans="1:223" ht="19.5" customHeight="1" x14ac:dyDescent="0.4">
      <c r="A2518" s="4">
        <v>1</v>
      </c>
      <c r="B2518" s="4" t="s">
        <v>239</v>
      </c>
      <c r="C2518" s="4">
        <v>4221</v>
      </c>
      <c r="D2518" s="4">
        <v>1</v>
      </c>
      <c r="E2518" s="4">
        <v>1</v>
      </c>
      <c r="F2518" s="4" t="s">
        <v>268</v>
      </c>
      <c r="G2518" s="4" t="s">
        <v>241</v>
      </c>
      <c r="H2518" s="4" t="s">
        <v>241</v>
      </c>
      <c r="I2518" s="4" t="s">
        <v>424</v>
      </c>
      <c r="J2518" s="4" t="s">
        <v>274</v>
      </c>
      <c r="K2518" s="4" t="s">
        <v>251</v>
      </c>
      <c r="L2518" s="4" t="s">
        <v>423</v>
      </c>
      <c r="M2518" s="5" t="s">
        <v>3761</v>
      </c>
      <c r="N2518" s="6">
        <f>1357</f>
        <v>1357</v>
      </c>
      <c r="O2518" s="4" t="s">
        <v>265</v>
      </c>
      <c r="P2518" s="6">
        <f>1</f>
        <v>1</v>
      </c>
      <c r="Q2518" s="6">
        <f>0</f>
        <v>0</v>
      </c>
      <c r="S2518" s="6">
        <f>0</f>
        <v>0</v>
      </c>
      <c r="T2518" s="6">
        <f>1</f>
        <v>1</v>
      </c>
      <c r="U2518" s="5" t="s">
        <v>245</v>
      </c>
      <c r="V2518" s="4" t="s">
        <v>270</v>
      </c>
      <c r="W2518" s="4" t="s">
        <v>271</v>
      </c>
      <c r="X2518" s="4" t="s">
        <v>273</v>
      </c>
      <c r="Y2518" s="4" t="s">
        <v>241</v>
      </c>
      <c r="AB2518" s="4" t="s">
        <v>241</v>
      </c>
      <c r="AD2518" s="5" t="s">
        <v>241</v>
      </c>
      <c r="AG2518" s="5" t="s">
        <v>246</v>
      </c>
      <c r="AH2518" s="4" t="s">
        <v>241</v>
      </c>
      <c r="AI2518" s="4" t="s">
        <v>247</v>
      </c>
      <c r="AJ2518" s="4" t="s">
        <v>248</v>
      </c>
      <c r="AZ2518" s="4" t="s">
        <v>249</v>
      </c>
      <c r="BA2518" s="4" t="s">
        <v>241</v>
      </c>
      <c r="BB2518" s="4" t="s">
        <v>250</v>
      </c>
      <c r="BC2518" s="4" t="s">
        <v>241</v>
      </c>
      <c r="BD2518" s="4" t="s">
        <v>252</v>
      </c>
      <c r="BE2518" s="4" t="s">
        <v>241</v>
      </c>
      <c r="BI2518" s="4" t="s">
        <v>253</v>
      </c>
      <c r="BJ2518" s="5" t="s">
        <v>246</v>
      </c>
      <c r="BK2518" s="4" t="s">
        <v>254</v>
      </c>
      <c r="BL2518" s="4" t="s">
        <v>255</v>
      </c>
      <c r="BM2518" s="4" t="s">
        <v>241</v>
      </c>
      <c r="BN2518" s="6">
        <f>0</f>
        <v>0</v>
      </c>
      <c r="BO2518" s="6">
        <f>0</f>
        <v>0</v>
      </c>
      <c r="BP2518" s="4" t="s">
        <v>256</v>
      </c>
      <c r="BQ2518" s="4" t="s">
        <v>257</v>
      </c>
      <c r="CE2518" s="4" t="s">
        <v>241</v>
      </c>
      <c r="CF2518" s="4" t="s">
        <v>241</v>
      </c>
      <c r="CJ2518" s="4" t="s">
        <v>276</v>
      </c>
      <c r="CK2518" s="4" t="s">
        <v>259</v>
      </c>
      <c r="CL2518" s="4" t="s">
        <v>241</v>
      </c>
      <c r="CO2518" s="5" t="s">
        <v>260</v>
      </c>
      <c r="CP2518" s="4" t="s">
        <v>241</v>
      </c>
      <c r="CQ2518" s="4" t="s">
        <v>261</v>
      </c>
      <c r="CR2518" s="4" t="s">
        <v>241</v>
      </c>
      <c r="CS2518" s="4" t="s">
        <v>241</v>
      </c>
      <c r="CT2518" s="4">
        <v>0</v>
      </c>
      <c r="CU2518" s="4" t="s">
        <v>262</v>
      </c>
      <c r="CV2518" s="4" t="s">
        <v>263</v>
      </c>
      <c r="CW2518" s="4" t="s">
        <v>263</v>
      </c>
      <c r="CX2518" s="4" t="s">
        <v>264</v>
      </c>
      <c r="DA2518" s="6">
        <f>1</f>
        <v>1</v>
      </c>
      <c r="DC2518" s="4" t="s">
        <v>325</v>
      </c>
      <c r="DD2518" s="4" t="s">
        <v>241</v>
      </c>
      <c r="DF2518" s="4" t="s">
        <v>325</v>
      </c>
      <c r="DG2518" s="6">
        <f>1357</f>
        <v>1357</v>
      </c>
      <c r="DI2518" s="4" t="s">
        <v>241</v>
      </c>
      <c r="DJ2518" s="4" t="s">
        <v>241</v>
      </c>
      <c r="DK2518" s="4" t="s">
        <v>241</v>
      </c>
      <c r="DL2518" s="4" t="s">
        <v>241</v>
      </c>
      <c r="DP2518" s="4" t="s">
        <v>241</v>
      </c>
      <c r="DQ2518" s="4" t="s">
        <v>241</v>
      </c>
      <c r="DR2518" s="4" t="s">
        <v>241</v>
      </c>
      <c r="DS2518" s="4" t="s">
        <v>241</v>
      </c>
      <c r="DV2518" s="4" t="s">
        <v>426</v>
      </c>
      <c r="DW2518" s="4" t="s">
        <v>1930</v>
      </c>
      <c r="HO2518" s="4" t="s">
        <v>267</v>
      </c>
    </row>
    <row r="2519" spans="1:223" ht="19.5" customHeight="1" x14ac:dyDescent="0.4">
      <c r="A2519" s="4">
        <v>1</v>
      </c>
      <c r="B2519" s="4" t="s">
        <v>239</v>
      </c>
      <c r="C2519" s="4">
        <v>4222</v>
      </c>
      <c r="D2519" s="4">
        <v>1</v>
      </c>
      <c r="E2519" s="4">
        <v>1</v>
      </c>
      <c r="F2519" s="4" t="s">
        <v>268</v>
      </c>
      <c r="G2519" s="4" t="s">
        <v>241</v>
      </c>
      <c r="H2519" s="4" t="s">
        <v>241</v>
      </c>
      <c r="I2519" s="4" t="s">
        <v>424</v>
      </c>
      <c r="J2519" s="4" t="s">
        <v>274</v>
      </c>
      <c r="K2519" s="4" t="s">
        <v>251</v>
      </c>
      <c r="L2519" s="4" t="s">
        <v>423</v>
      </c>
      <c r="M2519" s="5" t="s">
        <v>3763</v>
      </c>
      <c r="N2519" s="6">
        <f>149</f>
        <v>149</v>
      </c>
      <c r="O2519" s="4" t="s">
        <v>265</v>
      </c>
      <c r="P2519" s="6">
        <f>1</f>
        <v>1</v>
      </c>
      <c r="Q2519" s="6">
        <f>0</f>
        <v>0</v>
      </c>
      <c r="S2519" s="6">
        <f>0</f>
        <v>0</v>
      </c>
      <c r="T2519" s="6">
        <f>1</f>
        <v>1</v>
      </c>
      <c r="U2519" s="5" t="s">
        <v>245</v>
      </c>
      <c r="V2519" s="4" t="s">
        <v>270</v>
      </c>
      <c r="W2519" s="4" t="s">
        <v>271</v>
      </c>
      <c r="X2519" s="4" t="s">
        <v>273</v>
      </c>
      <c r="Y2519" s="4" t="s">
        <v>241</v>
      </c>
      <c r="AB2519" s="4" t="s">
        <v>241</v>
      </c>
      <c r="AD2519" s="5" t="s">
        <v>241</v>
      </c>
      <c r="AG2519" s="5" t="s">
        <v>246</v>
      </c>
      <c r="AH2519" s="4" t="s">
        <v>241</v>
      </c>
      <c r="AI2519" s="4" t="s">
        <v>247</v>
      </c>
      <c r="AJ2519" s="4" t="s">
        <v>248</v>
      </c>
      <c r="AZ2519" s="4" t="s">
        <v>249</v>
      </c>
      <c r="BA2519" s="4" t="s">
        <v>241</v>
      </c>
      <c r="BB2519" s="4" t="s">
        <v>250</v>
      </c>
      <c r="BC2519" s="4" t="s">
        <v>241</v>
      </c>
      <c r="BD2519" s="4" t="s">
        <v>252</v>
      </c>
      <c r="BE2519" s="4" t="s">
        <v>241</v>
      </c>
      <c r="BI2519" s="4" t="s">
        <v>253</v>
      </c>
      <c r="BJ2519" s="5" t="s">
        <v>246</v>
      </c>
      <c r="BK2519" s="4" t="s">
        <v>254</v>
      </c>
      <c r="BL2519" s="4" t="s">
        <v>255</v>
      </c>
      <c r="BM2519" s="4" t="s">
        <v>241</v>
      </c>
      <c r="BN2519" s="6">
        <f>0</f>
        <v>0</v>
      </c>
      <c r="BO2519" s="6">
        <f>0</f>
        <v>0</v>
      </c>
      <c r="BP2519" s="4" t="s">
        <v>256</v>
      </c>
      <c r="BQ2519" s="4" t="s">
        <v>257</v>
      </c>
      <c r="CE2519" s="4" t="s">
        <v>241</v>
      </c>
      <c r="CF2519" s="4" t="s">
        <v>241</v>
      </c>
      <c r="CJ2519" s="4" t="s">
        <v>276</v>
      </c>
      <c r="CK2519" s="4" t="s">
        <v>259</v>
      </c>
      <c r="CL2519" s="4" t="s">
        <v>241</v>
      </c>
      <c r="CO2519" s="5" t="s">
        <v>260</v>
      </c>
      <c r="CP2519" s="4" t="s">
        <v>241</v>
      </c>
      <c r="CQ2519" s="4" t="s">
        <v>261</v>
      </c>
      <c r="CR2519" s="4" t="s">
        <v>241</v>
      </c>
      <c r="CS2519" s="4" t="s">
        <v>241</v>
      </c>
      <c r="CT2519" s="4">
        <v>0</v>
      </c>
      <c r="CU2519" s="4" t="s">
        <v>262</v>
      </c>
      <c r="CV2519" s="4" t="s">
        <v>263</v>
      </c>
      <c r="CW2519" s="4" t="s">
        <v>263</v>
      </c>
      <c r="CX2519" s="4" t="s">
        <v>264</v>
      </c>
      <c r="DA2519" s="6">
        <f>1</f>
        <v>1</v>
      </c>
      <c r="DC2519" s="4" t="s">
        <v>325</v>
      </c>
      <c r="DD2519" s="4" t="s">
        <v>241</v>
      </c>
      <c r="DF2519" s="4" t="s">
        <v>325</v>
      </c>
      <c r="DG2519" s="6">
        <f>149</f>
        <v>149</v>
      </c>
      <c r="DI2519" s="4" t="s">
        <v>241</v>
      </c>
      <c r="DJ2519" s="4" t="s">
        <v>241</v>
      </c>
      <c r="DK2519" s="4" t="s">
        <v>241</v>
      </c>
      <c r="DL2519" s="4" t="s">
        <v>241</v>
      </c>
      <c r="DP2519" s="4" t="s">
        <v>241</v>
      </c>
      <c r="DQ2519" s="4" t="s">
        <v>241</v>
      </c>
      <c r="DR2519" s="4" t="s">
        <v>241</v>
      </c>
      <c r="DS2519" s="4" t="s">
        <v>241</v>
      </c>
      <c r="DV2519" s="4" t="s">
        <v>426</v>
      </c>
      <c r="DW2519" s="4" t="s">
        <v>1953</v>
      </c>
      <c r="HO2519" s="4" t="s">
        <v>267</v>
      </c>
    </row>
    <row r="2520" spans="1:223" ht="19.5" customHeight="1" x14ac:dyDescent="0.4">
      <c r="A2520" s="4">
        <v>1</v>
      </c>
      <c r="B2520" s="4" t="s">
        <v>239</v>
      </c>
      <c r="C2520" s="4">
        <v>4223</v>
      </c>
      <c r="D2520" s="4">
        <v>1</v>
      </c>
      <c r="E2520" s="4">
        <v>1</v>
      </c>
      <c r="F2520" s="4" t="s">
        <v>268</v>
      </c>
      <c r="G2520" s="4" t="s">
        <v>241</v>
      </c>
      <c r="H2520" s="4" t="s">
        <v>241</v>
      </c>
      <c r="I2520" s="4" t="s">
        <v>424</v>
      </c>
      <c r="J2520" s="4" t="s">
        <v>274</v>
      </c>
      <c r="K2520" s="4" t="s">
        <v>251</v>
      </c>
      <c r="L2520" s="4" t="s">
        <v>423</v>
      </c>
      <c r="M2520" s="5" t="s">
        <v>3766</v>
      </c>
      <c r="N2520" s="6">
        <f>266</f>
        <v>266</v>
      </c>
      <c r="O2520" s="4" t="s">
        <v>265</v>
      </c>
      <c r="P2520" s="6">
        <f>1</f>
        <v>1</v>
      </c>
      <c r="Q2520" s="6">
        <f>0</f>
        <v>0</v>
      </c>
      <c r="S2520" s="6">
        <f>0</f>
        <v>0</v>
      </c>
      <c r="T2520" s="6">
        <f>1</f>
        <v>1</v>
      </c>
      <c r="U2520" s="5" t="s">
        <v>245</v>
      </c>
      <c r="V2520" s="4" t="s">
        <v>270</v>
      </c>
      <c r="W2520" s="4" t="s">
        <v>271</v>
      </c>
      <c r="X2520" s="4" t="s">
        <v>273</v>
      </c>
      <c r="Y2520" s="4" t="s">
        <v>241</v>
      </c>
      <c r="AB2520" s="4" t="s">
        <v>241</v>
      </c>
      <c r="AD2520" s="5" t="s">
        <v>241</v>
      </c>
      <c r="AG2520" s="5" t="s">
        <v>246</v>
      </c>
      <c r="AH2520" s="4" t="s">
        <v>241</v>
      </c>
      <c r="AI2520" s="4" t="s">
        <v>247</v>
      </c>
      <c r="AJ2520" s="4" t="s">
        <v>248</v>
      </c>
      <c r="AZ2520" s="4" t="s">
        <v>249</v>
      </c>
      <c r="BA2520" s="4" t="s">
        <v>241</v>
      </c>
      <c r="BB2520" s="4" t="s">
        <v>250</v>
      </c>
      <c r="BC2520" s="4" t="s">
        <v>241</v>
      </c>
      <c r="BD2520" s="4" t="s">
        <v>252</v>
      </c>
      <c r="BE2520" s="4" t="s">
        <v>241</v>
      </c>
      <c r="BI2520" s="4" t="s">
        <v>253</v>
      </c>
      <c r="BJ2520" s="5" t="s">
        <v>246</v>
      </c>
      <c r="BK2520" s="4" t="s">
        <v>254</v>
      </c>
      <c r="BL2520" s="4" t="s">
        <v>255</v>
      </c>
      <c r="BM2520" s="4" t="s">
        <v>241</v>
      </c>
      <c r="BN2520" s="6">
        <f>0</f>
        <v>0</v>
      </c>
      <c r="BO2520" s="6">
        <f>0</f>
        <v>0</v>
      </c>
      <c r="BP2520" s="4" t="s">
        <v>256</v>
      </c>
      <c r="BQ2520" s="4" t="s">
        <v>257</v>
      </c>
      <c r="CE2520" s="4" t="s">
        <v>241</v>
      </c>
      <c r="CF2520" s="4" t="s">
        <v>241</v>
      </c>
      <c r="CJ2520" s="4" t="s">
        <v>276</v>
      </c>
      <c r="CK2520" s="4" t="s">
        <v>259</v>
      </c>
      <c r="CL2520" s="4" t="s">
        <v>241</v>
      </c>
      <c r="CO2520" s="5" t="s">
        <v>260</v>
      </c>
      <c r="CP2520" s="4" t="s">
        <v>241</v>
      </c>
      <c r="CQ2520" s="4" t="s">
        <v>261</v>
      </c>
      <c r="CR2520" s="4" t="s">
        <v>241</v>
      </c>
      <c r="CS2520" s="4" t="s">
        <v>241</v>
      </c>
      <c r="CT2520" s="4">
        <v>0</v>
      </c>
      <c r="CU2520" s="4" t="s">
        <v>262</v>
      </c>
      <c r="CV2520" s="4" t="s">
        <v>263</v>
      </c>
      <c r="CW2520" s="4" t="s">
        <v>263</v>
      </c>
      <c r="CX2520" s="4" t="s">
        <v>264</v>
      </c>
      <c r="DA2520" s="6">
        <f>1</f>
        <v>1</v>
      </c>
      <c r="DC2520" s="4" t="s">
        <v>325</v>
      </c>
      <c r="DD2520" s="4" t="s">
        <v>241</v>
      </c>
      <c r="DF2520" s="4" t="s">
        <v>325</v>
      </c>
      <c r="DG2520" s="6">
        <f>266</f>
        <v>266</v>
      </c>
      <c r="DI2520" s="4" t="s">
        <v>241</v>
      </c>
      <c r="DJ2520" s="4" t="s">
        <v>241</v>
      </c>
      <c r="DK2520" s="4" t="s">
        <v>241</v>
      </c>
      <c r="DL2520" s="4" t="s">
        <v>241</v>
      </c>
      <c r="DP2520" s="4" t="s">
        <v>241</v>
      </c>
      <c r="DQ2520" s="4" t="s">
        <v>241</v>
      </c>
      <c r="DR2520" s="4" t="s">
        <v>241</v>
      </c>
      <c r="DS2520" s="4" t="s">
        <v>241</v>
      </c>
      <c r="DV2520" s="4" t="s">
        <v>426</v>
      </c>
      <c r="DW2520" s="4" t="s">
        <v>1978</v>
      </c>
      <c r="HO2520" s="4" t="s">
        <v>267</v>
      </c>
    </row>
    <row r="2521" spans="1:223" ht="19.5" customHeight="1" x14ac:dyDescent="0.4">
      <c r="A2521" s="4">
        <v>1</v>
      </c>
      <c r="B2521" s="4" t="s">
        <v>239</v>
      </c>
      <c r="C2521" s="4">
        <v>4224</v>
      </c>
      <c r="D2521" s="4">
        <v>1</v>
      </c>
      <c r="E2521" s="4">
        <v>1</v>
      </c>
      <c r="F2521" s="4" t="s">
        <v>268</v>
      </c>
      <c r="G2521" s="4" t="s">
        <v>241</v>
      </c>
      <c r="H2521" s="4" t="s">
        <v>241</v>
      </c>
      <c r="I2521" s="4" t="s">
        <v>424</v>
      </c>
      <c r="J2521" s="4" t="s">
        <v>274</v>
      </c>
      <c r="K2521" s="4" t="s">
        <v>251</v>
      </c>
      <c r="L2521" s="4" t="s">
        <v>423</v>
      </c>
      <c r="M2521" s="5" t="s">
        <v>3770</v>
      </c>
      <c r="N2521" s="6">
        <f>2692</f>
        <v>2692</v>
      </c>
      <c r="O2521" s="4" t="s">
        <v>265</v>
      </c>
      <c r="P2521" s="6">
        <f>1</f>
        <v>1</v>
      </c>
      <c r="Q2521" s="6">
        <f>0</f>
        <v>0</v>
      </c>
      <c r="S2521" s="6">
        <f>0</f>
        <v>0</v>
      </c>
      <c r="T2521" s="6">
        <f>1</f>
        <v>1</v>
      </c>
      <c r="U2521" s="5" t="s">
        <v>245</v>
      </c>
      <c r="V2521" s="4" t="s">
        <v>270</v>
      </c>
      <c r="W2521" s="4" t="s">
        <v>271</v>
      </c>
      <c r="X2521" s="4" t="s">
        <v>273</v>
      </c>
      <c r="Y2521" s="4" t="s">
        <v>241</v>
      </c>
      <c r="AB2521" s="4" t="s">
        <v>241</v>
      </c>
      <c r="AD2521" s="5" t="s">
        <v>241</v>
      </c>
      <c r="AG2521" s="5" t="s">
        <v>246</v>
      </c>
      <c r="AH2521" s="4" t="s">
        <v>241</v>
      </c>
      <c r="AI2521" s="4" t="s">
        <v>247</v>
      </c>
      <c r="AJ2521" s="4" t="s">
        <v>248</v>
      </c>
      <c r="AZ2521" s="4" t="s">
        <v>249</v>
      </c>
      <c r="BA2521" s="4" t="s">
        <v>241</v>
      </c>
      <c r="BB2521" s="4" t="s">
        <v>250</v>
      </c>
      <c r="BC2521" s="4" t="s">
        <v>241</v>
      </c>
      <c r="BD2521" s="4" t="s">
        <v>252</v>
      </c>
      <c r="BE2521" s="4" t="s">
        <v>241</v>
      </c>
      <c r="BI2521" s="4" t="s">
        <v>253</v>
      </c>
      <c r="BJ2521" s="5" t="s">
        <v>246</v>
      </c>
      <c r="BK2521" s="4" t="s">
        <v>254</v>
      </c>
      <c r="BL2521" s="4" t="s">
        <v>255</v>
      </c>
      <c r="BM2521" s="4" t="s">
        <v>241</v>
      </c>
      <c r="BN2521" s="6">
        <f>0</f>
        <v>0</v>
      </c>
      <c r="BO2521" s="6">
        <f>0</f>
        <v>0</v>
      </c>
      <c r="BP2521" s="4" t="s">
        <v>256</v>
      </c>
      <c r="BQ2521" s="4" t="s">
        <v>257</v>
      </c>
      <c r="CE2521" s="4" t="s">
        <v>241</v>
      </c>
      <c r="CF2521" s="4" t="s">
        <v>241</v>
      </c>
      <c r="CJ2521" s="4" t="s">
        <v>276</v>
      </c>
      <c r="CK2521" s="4" t="s">
        <v>259</v>
      </c>
      <c r="CL2521" s="4" t="s">
        <v>241</v>
      </c>
      <c r="CO2521" s="5" t="s">
        <v>260</v>
      </c>
      <c r="CP2521" s="4" t="s">
        <v>241</v>
      </c>
      <c r="CQ2521" s="4" t="s">
        <v>261</v>
      </c>
      <c r="CR2521" s="4" t="s">
        <v>241</v>
      </c>
      <c r="CS2521" s="4" t="s">
        <v>241</v>
      </c>
      <c r="CT2521" s="4">
        <v>0</v>
      </c>
      <c r="CU2521" s="4" t="s">
        <v>262</v>
      </c>
      <c r="CV2521" s="4" t="s">
        <v>263</v>
      </c>
      <c r="CW2521" s="4" t="s">
        <v>263</v>
      </c>
      <c r="CX2521" s="4" t="s">
        <v>264</v>
      </c>
      <c r="DA2521" s="6">
        <f>1</f>
        <v>1</v>
      </c>
      <c r="DC2521" s="4" t="s">
        <v>325</v>
      </c>
      <c r="DD2521" s="4" t="s">
        <v>241</v>
      </c>
      <c r="DF2521" s="4" t="s">
        <v>325</v>
      </c>
      <c r="DG2521" s="6">
        <f>2692</f>
        <v>2692</v>
      </c>
      <c r="DI2521" s="4" t="s">
        <v>241</v>
      </c>
      <c r="DJ2521" s="4" t="s">
        <v>241</v>
      </c>
      <c r="DK2521" s="4" t="s">
        <v>241</v>
      </c>
      <c r="DL2521" s="4" t="s">
        <v>241</v>
      </c>
      <c r="DP2521" s="4" t="s">
        <v>241</v>
      </c>
      <c r="DQ2521" s="4" t="s">
        <v>241</v>
      </c>
      <c r="DR2521" s="4" t="s">
        <v>241</v>
      </c>
      <c r="DS2521" s="4" t="s">
        <v>241</v>
      </c>
      <c r="DV2521" s="4" t="s">
        <v>426</v>
      </c>
      <c r="DW2521" s="4" t="s">
        <v>1951</v>
      </c>
      <c r="HO2521" s="4" t="s">
        <v>267</v>
      </c>
    </row>
    <row r="2522" spans="1:223" ht="19.5" customHeight="1" x14ac:dyDescent="0.4">
      <c r="A2522" s="4">
        <v>1</v>
      </c>
      <c r="B2522" s="4" t="s">
        <v>239</v>
      </c>
      <c r="C2522" s="4">
        <v>4225</v>
      </c>
      <c r="D2522" s="4">
        <v>1</v>
      </c>
      <c r="E2522" s="4">
        <v>1</v>
      </c>
      <c r="F2522" s="4" t="s">
        <v>268</v>
      </c>
      <c r="G2522" s="4" t="s">
        <v>241</v>
      </c>
      <c r="H2522" s="4" t="s">
        <v>241</v>
      </c>
      <c r="I2522" s="4" t="s">
        <v>424</v>
      </c>
      <c r="J2522" s="4" t="s">
        <v>274</v>
      </c>
      <c r="K2522" s="4" t="s">
        <v>251</v>
      </c>
      <c r="L2522" s="4" t="s">
        <v>423</v>
      </c>
      <c r="M2522" s="5" t="s">
        <v>3771</v>
      </c>
      <c r="N2522" s="6">
        <f>326</f>
        <v>326</v>
      </c>
      <c r="O2522" s="4" t="s">
        <v>265</v>
      </c>
      <c r="P2522" s="6">
        <f>1</f>
        <v>1</v>
      </c>
      <c r="Q2522" s="6">
        <f>0</f>
        <v>0</v>
      </c>
      <c r="S2522" s="6">
        <f>0</f>
        <v>0</v>
      </c>
      <c r="T2522" s="6">
        <f>1</f>
        <v>1</v>
      </c>
      <c r="U2522" s="5" t="s">
        <v>245</v>
      </c>
      <c r="V2522" s="4" t="s">
        <v>270</v>
      </c>
      <c r="W2522" s="4" t="s">
        <v>271</v>
      </c>
      <c r="X2522" s="4" t="s">
        <v>273</v>
      </c>
      <c r="Y2522" s="4" t="s">
        <v>241</v>
      </c>
      <c r="AB2522" s="4" t="s">
        <v>241</v>
      </c>
      <c r="AD2522" s="5" t="s">
        <v>241</v>
      </c>
      <c r="AG2522" s="5" t="s">
        <v>246</v>
      </c>
      <c r="AH2522" s="4" t="s">
        <v>241</v>
      </c>
      <c r="AI2522" s="4" t="s">
        <v>247</v>
      </c>
      <c r="AJ2522" s="4" t="s">
        <v>248</v>
      </c>
      <c r="AZ2522" s="4" t="s">
        <v>249</v>
      </c>
      <c r="BA2522" s="4" t="s">
        <v>241</v>
      </c>
      <c r="BB2522" s="4" t="s">
        <v>250</v>
      </c>
      <c r="BC2522" s="4" t="s">
        <v>241</v>
      </c>
      <c r="BD2522" s="4" t="s">
        <v>252</v>
      </c>
      <c r="BE2522" s="4" t="s">
        <v>241</v>
      </c>
      <c r="BI2522" s="4" t="s">
        <v>253</v>
      </c>
      <c r="BJ2522" s="5" t="s">
        <v>246</v>
      </c>
      <c r="BK2522" s="4" t="s">
        <v>254</v>
      </c>
      <c r="BL2522" s="4" t="s">
        <v>255</v>
      </c>
      <c r="BM2522" s="4" t="s">
        <v>241</v>
      </c>
      <c r="BN2522" s="6">
        <f>0</f>
        <v>0</v>
      </c>
      <c r="BO2522" s="6">
        <f>0</f>
        <v>0</v>
      </c>
      <c r="BP2522" s="4" t="s">
        <v>256</v>
      </c>
      <c r="BQ2522" s="4" t="s">
        <v>257</v>
      </c>
      <c r="CE2522" s="4" t="s">
        <v>241</v>
      </c>
      <c r="CF2522" s="4" t="s">
        <v>241</v>
      </c>
      <c r="CJ2522" s="4" t="s">
        <v>276</v>
      </c>
      <c r="CK2522" s="4" t="s">
        <v>259</v>
      </c>
      <c r="CL2522" s="4" t="s">
        <v>241</v>
      </c>
      <c r="CO2522" s="5" t="s">
        <v>260</v>
      </c>
      <c r="CP2522" s="4" t="s">
        <v>241</v>
      </c>
      <c r="CQ2522" s="4" t="s">
        <v>261</v>
      </c>
      <c r="CR2522" s="4" t="s">
        <v>241</v>
      </c>
      <c r="CS2522" s="4" t="s">
        <v>241</v>
      </c>
      <c r="CT2522" s="4">
        <v>0</v>
      </c>
      <c r="CU2522" s="4" t="s">
        <v>262</v>
      </c>
      <c r="CV2522" s="4" t="s">
        <v>263</v>
      </c>
      <c r="CW2522" s="4" t="s">
        <v>263</v>
      </c>
      <c r="CX2522" s="4" t="s">
        <v>264</v>
      </c>
      <c r="DA2522" s="6">
        <f>1</f>
        <v>1</v>
      </c>
      <c r="DC2522" s="4" t="s">
        <v>325</v>
      </c>
      <c r="DD2522" s="4" t="s">
        <v>241</v>
      </c>
      <c r="DF2522" s="4" t="s">
        <v>325</v>
      </c>
      <c r="DG2522" s="6">
        <f>326</f>
        <v>326</v>
      </c>
      <c r="DI2522" s="4" t="s">
        <v>241</v>
      </c>
      <c r="DJ2522" s="4" t="s">
        <v>241</v>
      </c>
      <c r="DK2522" s="4" t="s">
        <v>241</v>
      </c>
      <c r="DL2522" s="4" t="s">
        <v>241</v>
      </c>
      <c r="DP2522" s="4" t="s">
        <v>241</v>
      </c>
      <c r="DQ2522" s="4" t="s">
        <v>241</v>
      </c>
      <c r="DR2522" s="4" t="s">
        <v>241</v>
      </c>
      <c r="DS2522" s="4" t="s">
        <v>241</v>
      </c>
      <c r="DV2522" s="4" t="s">
        <v>426</v>
      </c>
      <c r="DW2522" s="4" t="s">
        <v>1893</v>
      </c>
      <c r="HO2522" s="4" t="s">
        <v>267</v>
      </c>
    </row>
    <row r="2523" spans="1:223" ht="19.5" customHeight="1" x14ac:dyDescent="0.4">
      <c r="A2523" s="4">
        <v>1</v>
      </c>
      <c r="B2523" s="4" t="s">
        <v>239</v>
      </c>
      <c r="C2523" s="4">
        <v>4226</v>
      </c>
      <c r="D2523" s="4">
        <v>1</v>
      </c>
      <c r="E2523" s="4">
        <v>1</v>
      </c>
      <c r="F2523" s="4" t="s">
        <v>268</v>
      </c>
      <c r="G2523" s="4" t="s">
        <v>241</v>
      </c>
      <c r="H2523" s="4" t="s">
        <v>241</v>
      </c>
      <c r="I2523" s="4" t="s">
        <v>424</v>
      </c>
      <c r="J2523" s="4" t="s">
        <v>274</v>
      </c>
      <c r="K2523" s="4" t="s">
        <v>251</v>
      </c>
      <c r="L2523" s="4" t="s">
        <v>423</v>
      </c>
      <c r="M2523" s="5" t="s">
        <v>3775</v>
      </c>
      <c r="N2523" s="6">
        <f>308</f>
        <v>308</v>
      </c>
      <c r="O2523" s="4" t="s">
        <v>265</v>
      </c>
      <c r="P2523" s="6">
        <f>1</f>
        <v>1</v>
      </c>
      <c r="Q2523" s="6">
        <f>0</f>
        <v>0</v>
      </c>
      <c r="S2523" s="6">
        <f>0</f>
        <v>0</v>
      </c>
      <c r="T2523" s="6">
        <f>1</f>
        <v>1</v>
      </c>
      <c r="U2523" s="5" t="s">
        <v>245</v>
      </c>
      <c r="V2523" s="4" t="s">
        <v>270</v>
      </c>
      <c r="W2523" s="4" t="s">
        <v>271</v>
      </c>
      <c r="X2523" s="4" t="s">
        <v>273</v>
      </c>
      <c r="Y2523" s="4" t="s">
        <v>241</v>
      </c>
      <c r="AB2523" s="4" t="s">
        <v>241</v>
      </c>
      <c r="AD2523" s="5" t="s">
        <v>241</v>
      </c>
      <c r="AG2523" s="5" t="s">
        <v>246</v>
      </c>
      <c r="AH2523" s="4" t="s">
        <v>241</v>
      </c>
      <c r="AI2523" s="4" t="s">
        <v>247</v>
      </c>
      <c r="AJ2523" s="4" t="s">
        <v>248</v>
      </c>
      <c r="AZ2523" s="4" t="s">
        <v>249</v>
      </c>
      <c r="BA2523" s="4" t="s">
        <v>241</v>
      </c>
      <c r="BB2523" s="4" t="s">
        <v>250</v>
      </c>
      <c r="BC2523" s="4" t="s">
        <v>241</v>
      </c>
      <c r="BD2523" s="4" t="s">
        <v>252</v>
      </c>
      <c r="BE2523" s="4" t="s">
        <v>241</v>
      </c>
      <c r="BI2523" s="4" t="s">
        <v>253</v>
      </c>
      <c r="BJ2523" s="5" t="s">
        <v>246</v>
      </c>
      <c r="BK2523" s="4" t="s">
        <v>254</v>
      </c>
      <c r="BL2523" s="4" t="s">
        <v>255</v>
      </c>
      <c r="BM2523" s="4" t="s">
        <v>241</v>
      </c>
      <c r="BN2523" s="6">
        <f>0</f>
        <v>0</v>
      </c>
      <c r="BO2523" s="6">
        <f>0</f>
        <v>0</v>
      </c>
      <c r="BP2523" s="4" t="s">
        <v>256</v>
      </c>
      <c r="BQ2523" s="4" t="s">
        <v>257</v>
      </c>
      <c r="CE2523" s="4" t="s">
        <v>241</v>
      </c>
      <c r="CF2523" s="4" t="s">
        <v>241</v>
      </c>
      <c r="CJ2523" s="4" t="s">
        <v>276</v>
      </c>
      <c r="CK2523" s="4" t="s">
        <v>259</v>
      </c>
      <c r="CL2523" s="4" t="s">
        <v>241</v>
      </c>
      <c r="CO2523" s="5" t="s">
        <v>260</v>
      </c>
      <c r="CP2523" s="4" t="s">
        <v>241</v>
      </c>
      <c r="CQ2523" s="4" t="s">
        <v>261</v>
      </c>
      <c r="CR2523" s="4" t="s">
        <v>241</v>
      </c>
      <c r="CS2523" s="4" t="s">
        <v>241</v>
      </c>
      <c r="CT2523" s="4">
        <v>0</v>
      </c>
      <c r="CU2523" s="4" t="s">
        <v>262</v>
      </c>
      <c r="CV2523" s="4" t="s">
        <v>263</v>
      </c>
      <c r="CW2523" s="4" t="s">
        <v>263</v>
      </c>
      <c r="CX2523" s="4" t="s">
        <v>264</v>
      </c>
      <c r="DA2523" s="6">
        <f>1</f>
        <v>1</v>
      </c>
      <c r="DC2523" s="4" t="s">
        <v>325</v>
      </c>
      <c r="DD2523" s="4" t="s">
        <v>241</v>
      </c>
      <c r="DF2523" s="4" t="s">
        <v>325</v>
      </c>
      <c r="DG2523" s="6">
        <f>308</f>
        <v>308</v>
      </c>
      <c r="DI2523" s="4" t="s">
        <v>241</v>
      </c>
      <c r="DJ2523" s="4" t="s">
        <v>241</v>
      </c>
      <c r="DK2523" s="4" t="s">
        <v>241</v>
      </c>
      <c r="DL2523" s="4" t="s">
        <v>241</v>
      </c>
      <c r="DP2523" s="4" t="s">
        <v>241</v>
      </c>
      <c r="DQ2523" s="4" t="s">
        <v>241</v>
      </c>
      <c r="DR2523" s="4" t="s">
        <v>241</v>
      </c>
      <c r="DS2523" s="4" t="s">
        <v>241</v>
      </c>
      <c r="DV2523" s="4" t="s">
        <v>426</v>
      </c>
      <c r="DW2523" s="4" t="s">
        <v>1920</v>
      </c>
      <c r="HO2523" s="4" t="s">
        <v>267</v>
      </c>
    </row>
    <row r="2524" spans="1:223" ht="19.5" customHeight="1" x14ac:dyDescent="0.4">
      <c r="A2524" s="4">
        <v>1</v>
      </c>
      <c r="B2524" s="4" t="s">
        <v>239</v>
      </c>
      <c r="C2524" s="4">
        <v>4227</v>
      </c>
      <c r="D2524" s="4">
        <v>1</v>
      </c>
      <c r="E2524" s="4">
        <v>1</v>
      </c>
      <c r="F2524" s="4" t="s">
        <v>268</v>
      </c>
      <c r="G2524" s="4" t="s">
        <v>241</v>
      </c>
      <c r="H2524" s="4" t="s">
        <v>241</v>
      </c>
      <c r="I2524" s="4" t="s">
        <v>424</v>
      </c>
      <c r="J2524" s="4" t="s">
        <v>274</v>
      </c>
      <c r="K2524" s="4" t="s">
        <v>251</v>
      </c>
      <c r="L2524" s="4" t="s">
        <v>423</v>
      </c>
      <c r="M2524" s="5" t="s">
        <v>3776</v>
      </c>
      <c r="N2524" s="6">
        <f>1346</f>
        <v>1346</v>
      </c>
      <c r="O2524" s="4" t="s">
        <v>265</v>
      </c>
      <c r="P2524" s="6">
        <f>1</f>
        <v>1</v>
      </c>
      <c r="Q2524" s="6">
        <f>0</f>
        <v>0</v>
      </c>
      <c r="S2524" s="6">
        <f>0</f>
        <v>0</v>
      </c>
      <c r="T2524" s="6">
        <f>1</f>
        <v>1</v>
      </c>
      <c r="U2524" s="5" t="s">
        <v>245</v>
      </c>
      <c r="V2524" s="4" t="s">
        <v>270</v>
      </c>
      <c r="W2524" s="4" t="s">
        <v>271</v>
      </c>
      <c r="X2524" s="4" t="s">
        <v>273</v>
      </c>
      <c r="Y2524" s="4" t="s">
        <v>241</v>
      </c>
      <c r="AB2524" s="4" t="s">
        <v>241</v>
      </c>
      <c r="AD2524" s="5" t="s">
        <v>241</v>
      </c>
      <c r="AG2524" s="5" t="s">
        <v>246</v>
      </c>
      <c r="AH2524" s="4" t="s">
        <v>241</v>
      </c>
      <c r="AI2524" s="4" t="s">
        <v>247</v>
      </c>
      <c r="AJ2524" s="4" t="s">
        <v>248</v>
      </c>
      <c r="AZ2524" s="4" t="s">
        <v>249</v>
      </c>
      <c r="BA2524" s="4" t="s">
        <v>241</v>
      </c>
      <c r="BB2524" s="4" t="s">
        <v>250</v>
      </c>
      <c r="BC2524" s="4" t="s">
        <v>241</v>
      </c>
      <c r="BD2524" s="4" t="s">
        <v>252</v>
      </c>
      <c r="BE2524" s="4" t="s">
        <v>241</v>
      </c>
      <c r="BI2524" s="4" t="s">
        <v>253</v>
      </c>
      <c r="BJ2524" s="5" t="s">
        <v>246</v>
      </c>
      <c r="BK2524" s="4" t="s">
        <v>254</v>
      </c>
      <c r="BL2524" s="4" t="s">
        <v>255</v>
      </c>
      <c r="BM2524" s="4" t="s">
        <v>241</v>
      </c>
      <c r="BN2524" s="6">
        <f>0</f>
        <v>0</v>
      </c>
      <c r="BO2524" s="6">
        <f>0</f>
        <v>0</v>
      </c>
      <c r="BP2524" s="4" t="s">
        <v>256</v>
      </c>
      <c r="BQ2524" s="4" t="s">
        <v>257</v>
      </c>
      <c r="CE2524" s="4" t="s">
        <v>241</v>
      </c>
      <c r="CF2524" s="4" t="s">
        <v>241</v>
      </c>
      <c r="CJ2524" s="4" t="s">
        <v>276</v>
      </c>
      <c r="CK2524" s="4" t="s">
        <v>259</v>
      </c>
      <c r="CL2524" s="4" t="s">
        <v>241</v>
      </c>
      <c r="CO2524" s="5" t="s">
        <v>260</v>
      </c>
      <c r="CP2524" s="4" t="s">
        <v>241</v>
      </c>
      <c r="CQ2524" s="4" t="s">
        <v>261</v>
      </c>
      <c r="CR2524" s="4" t="s">
        <v>241</v>
      </c>
      <c r="CS2524" s="4" t="s">
        <v>241</v>
      </c>
      <c r="CT2524" s="4">
        <v>0</v>
      </c>
      <c r="CU2524" s="4" t="s">
        <v>262</v>
      </c>
      <c r="CV2524" s="4" t="s">
        <v>263</v>
      </c>
      <c r="CW2524" s="4" t="s">
        <v>263</v>
      </c>
      <c r="CX2524" s="4" t="s">
        <v>264</v>
      </c>
      <c r="DA2524" s="6">
        <f>1</f>
        <v>1</v>
      </c>
      <c r="DC2524" s="4" t="s">
        <v>325</v>
      </c>
      <c r="DD2524" s="4" t="s">
        <v>241</v>
      </c>
      <c r="DF2524" s="4" t="s">
        <v>325</v>
      </c>
      <c r="DG2524" s="6">
        <f>1346</f>
        <v>1346</v>
      </c>
      <c r="DI2524" s="4" t="s">
        <v>241</v>
      </c>
      <c r="DJ2524" s="4" t="s">
        <v>241</v>
      </c>
      <c r="DK2524" s="4" t="s">
        <v>241</v>
      </c>
      <c r="DL2524" s="4" t="s">
        <v>241</v>
      </c>
      <c r="DP2524" s="4" t="s">
        <v>241</v>
      </c>
      <c r="DQ2524" s="4" t="s">
        <v>241</v>
      </c>
      <c r="DR2524" s="4" t="s">
        <v>241</v>
      </c>
      <c r="DS2524" s="4" t="s">
        <v>241</v>
      </c>
      <c r="DV2524" s="4" t="s">
        <v>426</v>
      </c>
      <c r="DW2524" s="4" t="s">
        <v>1619</v>
      </c>
      <c r="HO2524" s="4" t="s">
        <v>267</v>
      </c>
    </row>
    <row r="2525" spans="1:223" ht="19.5" customHeight="1" x14ac:dyDescent="0.4">
      <c r="A2525" s="4">
        <v>1</v>
      </c>
      <c r="B2525" s="4" t="s">
        <v>239</v>
      </c>
      <c r="C2525" s="4">
        <v>4228</v>
      </c>
      <c r="D2525" s="4">
        <v>1</v>
      </c>
      <c r="E2525" s="4">
        <v>1</v>
      </c>
      <c r="F2525" s="4" t="s">
        <v>268</v>
      </c>
      <c r="G2525" s="4" t="s">
        <v>241</v>
      </c>
      <c r="H2525" s="4" t="s">
        <v>241</v>
      </c>
      <c r="I2525" s="4" t="s">
        <v>424</v>
      </c>
      <c r="J2525" s="4" t="s">
        <v>274</v>
      </c>
      <c r="K2525" s="4" t="s">
        <v>251</v>
      </c>
      <c r="L2525" s="4" t="s">
        <v>423</v>
      </c>
      <c r="M2525" s="5" t="s">
        <v>3779</v>
      </c>
      <c r="N2525" s="6">
        <f>109</f>
        <v>109</v>
      </c>
      <c r="O2525" s="4" t="s">
        <v>265</v>
      </c>
      <c r="P2525" s="6">
        <f>1</f>
        <v>1</v>
      </c>
      <c r="Q2525" s="6">
        <f>0</f>
        <v>0</v>
      </c>
      <c r="S2525" s="6">
        <f>0</f>
        <v>0</v>
      </c>
      <c r="T2525" s="6">
        <f>1</f>
        <v>1</v>
      </c>
      <c r="U2525" s="5" t="s">
        <v>245</v>
      </c>
      <c r="V2525" s="4" t="s">
        <v>270</v>
      </c>
      <c r="W2525" s="4" t="s">
        <v>271</v>
      </c>
      <c r="X2525" s="4" t="s">
        <v>273</v>
      </c>
      <c r="Y2525" s="4" t="s">
        <v>241</v>
      </c>
      <c r="AB2525" s="4" t="s">
        <v>241</v>
      </c>
      <c r="AD2525" s="5" t="s">
        <v>241</v>
      </c>
      <c r="AG2525" s="5" t="s">
        <v>246</v>
      </c>
      <c r="AH2525" s="4" t="s">
        <v>241</v>
      </c>
      <c r="AI2525" s="4" t="s">
        <v>247</v>
      </c>
      <c r="AJ2525" s="4" t="s">
        <v>248</v>
      </c>
      <c r="AZ2525" s="4" t="s">
        <v>249</v>
      </c>
      <c r="BA2525" s="4" t="s">
        <v>241</v>
      </c>
      <c r="BB2525" s="4" t="s">
        <v>250</v>
      </c>
      <c r="BC2525" s="4" t="s">
        <v>241</v>
      </c>
      <c r="BD2525" s="4" t="s">
        <v>252</v>
      </c>
      <c r="BE2525" s="4" t="s">
        <v>241</v>
      </c>
      <c r="BI2525" s="4" t="s">
        <v>253</v>
      </c>
      <c r="BJ2525" s="5" t="s">
        <v>246</v>
      </c>
      <c r="BK2525" s="4" t="s">
        <v>254</v>
      </c>
      <c r="BL2525" s="4" t="s">
        <v>255</v>
      </c>
      <c r="BM2525" s="4" t="s">
        <v>241</v>
      </c>
      <c r="BN2525" s="6">
        <f>0</f>
        <v>0</v>
      </c>
      <c r="BO2525" s="6">
        <f>0</f>
        <v>0</v>
      </c>
      <c r="BP2525" s="4" t="s">
        <v>256</v>
      </c>
      <c r="BQ2525" s="4" t="s">
        <v>257</v>
      </c>
      <c r="CE2525" s="4" t="s">
        <v>241</v>
      </c>
      <c r="CF2525" s="4" t="s">
        <v>241</v>
      </c>
      <c r="CJ2525" s="4" t="s">
        <v>276</v>
      </c>
      <c r="CK2525" s="4" t="s">
        <v>259</v>
      </c>
      <c r="CL2525" s="4" t="s">
        <v>241</v>
      </c>
      <c r="CO2525" s="5" t="s">
        <v>260</v>
      </c>
      <c r="CP2525" s="4" t="s">
        <v>241</v>
      </c>
      <c r="CQ2525" s="4" t="s">
        <v>261</v>
      </c>
      <c r="CR2525" s="4" t="s">
        <v>241</v>
      </c>
      <c r="CS2525" s="4" t="s">
        <v>241</v>
      </c>
      <c r="CT2525" s="4">
        <v>0</v>
      </c>
      <c r="CU2525" s="4" t="s">
        <v>262</v>
      </c>
      <c r="CV2525" s="4" t="s">
        <v>263</v>
      </c>
      <c r="CW2525" s="4" t="s">
        <v>263</v>
      </c>
      <c r="CX2525" s="4" t="s">
        <v>264</v>
      </c>
      <c r="DA2525" s="6">
        <f>1</f>
        <v>1</v>
      </c>
      <c r="DC2525" s="4" t="s">
        <v>325</v>
      </c>
      <c r="DD2525" s="4" t="s">
        <v>241</v>
      </c>
      <c r="DF2525" s="4" t="s">
        <v>325</v>
      </c>
      <c r="DG2525" s="6">
        <f>109</f>
        <v>109</v>
      </c>
      <c r="DI2525" s="4" t="s">
        <v>241</v>
      </c>
      <c r="DJ2525" s="4" t="s">
        <v>241</v>
      </c>
      <c r="DK2525" s="4" t="s">
        <v>241</v>
      </c>
      <c r="DL2525" s="4" t="s">
        <v>241</v>
      </c>
      <c r="DP2525" s="4" t="s">
        <v>241</v>
      </c>
      <c r="DQ2525" s="4" t="s">
        <v>241</v>
      </c>
      <c r="DR2525" s="4" t="s">
        <v>241</v>
      </c>
      <c r="DS2525" s="4" t="s">
        <v>241</v>
      </c>
      <c r="DV2525" s="4" t="s">
        <v>426</v>
      </c>
      <c r="DW2525" s="4" t="s">
        <v>1783</v>
      </c>
      <c r="HO2525" s="4" t="s">
        <v>267</v>
      </c>
    </row>
    <row r="2526" spans="1:223" ht="19.5" customHeight="1" x14ac:dyDescent="0.4">
      <c r="A2526" s="4">
        <v>1</v>
      </c>
      <c r="B2526" s="4" t="s">
        <v>239</v>
      </c>
      <c r="C2526" s="4">
        <v>4229</v>
      </c>
      <c r="D2526" s="4">
        <v>1</v>
      </c>
      <c r="E2526" s="4">
        <v>1</v>
      </c>
      <c r="F2526" s="4" t="s">
        <v>268</v>
      </c>
      <c r="G2526" s="4" t="s">
        <v>241</v>
      </c>
      <c r="H2526" s="4" t="s">
        <v>241</v>
      </c>
      <c r="I2526" s="4" t="s">
        <v>424</v>
      </c>
      <c r="J2526" s="4" t="s">
        <v>274</v>
      </c>
      <c r="K2526" s="4" t="s">
        <v>251</v>
      </c>
      <c r="L2526" s="4" t="s">
        <v>423</v>
      </c>
      <c r="M2526" s="5" t="s">
        <v>3780</v>
      </c>
      <c r="N2526" s="6">
        <f>140</f>
        <v>140</v>
      </c>
      <c r="O2526" s="4" t="s">
        <v>265</v>
      </c>
      <c r="P2526" s="6">
        <f>1</f>
        <v>1</v>
      </c>
      <c r="Q2526" s="6">
        <f>0</f>
        <v>0</v>
      </c>
      <c r="S2526" s="6">
        <f>0</f>
        <v>0</v>
      </c>
      <c r="T2526" s="6">
        <f>1</f>
        <v>1</v>
      </c>
      <c r="U2526" s="5" t="s">
        <v>245</v>
      </c>
      <c r="V2526" s="4" t="s">
        <v>270</v>
      </c>
      <c r="W2526" s="4" t="s">
        <v>271</v>
      </c>
      <c r="X2526" s="4" t="s">
        <v>273</v>
      </c>
      <c r="Y2526" s="4" t="s">
        <v>241</v>
      </c>
      <c r="AB2526" s="4" t="s">
        <v>241</v>
      </c>
      <c r="AD2526" s="5" t="s">
        <v>241</v>
      </c>
      <c r="AG2526" s="5" t="s">
        <v>246</v>
      </c>
      <c r="AH2526" s="4" t="s">
        <v>241</v>
      </c>
      <c r="AI2526" s="4" t="s">
        <v>247</v>
      </c>
      <c r="AJ2526" s="4" t="s">
        <v>248</v>
      </c>
      <c r="AZ2526" s="4" t="s">
        <v>249</v>
      </c>
      <c r="BA2526" s="4" t="s">
        <v>241</v>
      </c>
      <c r="BB2526" s="4" t="s">
        <v>250</v>
      </c>
      <c r="BC2526" s="4" t="s">
        <v>241</v>
      </c>
      <c r="BD2526" s="4" t="s">
        <v>252</v>
      </c>
      <c r="BE2526" s="4" t="s">
        <v>241</v>
      </c>
      <c r="BI2526" s="4" t="s">
        <v>253</v>
      </c>
      <c r="BJ2526" s="5" t="s">
        <v>246</v>
      </c>
      <c r="BK2526" s="4" t="s">
        <v>254</v>
      </c>
      <c r="BL2526" s="4" t="s">
        <v>255</v>
      </c>
      <c r="BM2526" s="4" t="s">
        <v>241</v>
      </c>
      <c r="BN2526" s="6">
        <f>0</f>
        <v>0</v>
      </c>
      <c r="BO2526" s="6">
        <f>0</f>
        <v>0</v>
      </c>
      <c r="BP2526" s="4" t="s">
        <v>256</v>
      </c>
      <c r="BQ2526" s="4" t="s">
        <v>257</v>
      </c>
      <c r="CE2526" s="4" t="s">
        <v>241</v>
      </c>
      <c r="CF2526" s="4" t="s">
        <v>241</v>
      </c>
      <c r="CJ2526" s="4" t="s">
        <v>276</v>
      </c>
      <c r="CK2526" s="4" t="s">
        <v>259</v>
      </c>
      <c r="CL2526" s="4" t="s">
        <v>241</v>
      </c>
      <c r="CO2526" s="5" t="s">
        <v>260</v>
      </c>
      <c r="CP2526" s="4" t="s">
        <v>241</v>
      </c>
      <c r="CQ2526" s="4" t="s">
        <v>261</v>
      </c>
      <c r="CR2526" s="4" t="s">
        <v>241</v>
      </c>
      <c r="CS2526" s="4" t="s">
        <v>241</v>
      </c>
      <c r="CT2526" s="4">
        <v>0</v>
      </c>
      <c r="CU2526" s="4" t="s">
        <v>262</v>
      </c>
      <c r="CV2526" s="4" t="s">
        <v>263</v>
      </c>
      <c r="CW2526" s="4" t="s">
        <v>263</v>
      </c>
      <c r="CX2526" s="4" t="s">
        <v>264</v>
      </c>
      <c r="DA2526" s="6">
        <f>1</f>
        <v>1</v>
      </c>
      <c r="DC2526" s="4" t="s">
        <v>325</v>
      </c>
      <c r="DD2526" s="4" t="s">
        <v>241</v>
      </c>
      <c r="DF2526" s="4" t="s">
        <v>325</v>
      </c>
      <c r="DG2526" s="6">
        <f>140</f>
        <v>140</v>
      </c>
      <c r="DI2526" s="4" t="s">
        <v>241</v>
      </c>
      <c r="DJ2526" s="4" t="s">
        <v>241</v>
      </c>
      <c r="DK2526" s="4" t="s">
        <v>241</v>
      </c>
      <c r="DL2526" s="4" t="s">
        <v>241</v>
      </c>
      <c r="DP2526" s="4" t="s">
        <v>241</v>
      </c>
      <c r="DQ2526" s="4" t="s">
        <v>241</v>
      </c>
      <c r="DR2526" s="4" t="s">
        <v>241</v>
      </c>
      <c r="DS2526" s="4" t="s">
        <v>241</v>
      </c>
      <c r="DV2526" s="4" t="s">
        <v>426</v>
      </c>
      <c r="DW2526" s="4" t="s">
        <v>1757</v>
      </c>
      <c r="HO2526" s="4" t="s">
        <v>267</v>
      </c>
    </row>
    <row r="2527" spans="1:223" ht="19.5" customHeight="1" x14ac:dyDescent="0.4">
      <c r="A2527" s="4">
        <v>1</v>
      </c>
      <c r="B2527" s="4" t="s">
        <v>239</v>
      </c>
      <c r="C2527" s="4">
        <v>4230</v>
      </c>
      <c r="D2527" s="4">
        <v>1</v>
      </c>
      <c r="E2527" s="4">
        <v>1</v>
      </c>
      <c r="F2527" s="4" t="s">
        <v>268</v>
      </c>
      <c r="G2527" s="4" t="s">
        <v>241</v>
      </c>
      <c r="H2527" s="4" t="s">
        <v>241</v>
      </c>
      <c r="I2527" s="4" t="s">
        <v>424</v>
      </c>
      <c r="J2527" s="4" t="s">
        <v>274</v>
      </c>
      <c r="K2527" s="4" t="s">
        <v>251</v>
      </c>
      <c r="L2527" s="4" t="s">
        <v>423</v>
      </c>
      <c r="M2527" s="5" t="s">
        <v>3783</v>
      </c>
      <c r="N2527" s="6">
        <f>208</f>
        <v>208</v>
      </c>
      <c r="O2527" s="4" t="s">
        <v>265</v>
      </c>
      <c r="P2527" s="6">
        <f>1</f>
        <v>1</v>
      </c>
      <c r="Q2527" s="6">
        <f>0</f>
        <v>0</v>
      </c>
      <c r="S2527" s="6">
        <f>0</f>
        <v>0</v>
      </c>
      <c r="T2527" s="6">
        <f>1</f>
        <v>1</v>
      </c>
      <c r="U2527" s="5" t="s">
        <v>245</v>
      </c>
      <c r="V2527" s="4" t="s">
        <v>270</v>
      </c>
      <c r="W2527" s="4" t="s">
        <v>271</v>
      </c>
      <c r="X2527" s="4" t="s">
        <v>273</v>
      </c>
      <c r="Y2527" s="4" t="s">
        <v>241</v>
      </c>
      <c r="AB2527" s="4" t="s">
        <v>241</v>
      </c>
      <c r="AD2527" s="5" t="s">
        <v>241</v>
      </c>
      <c r="AG2527" s="5" t="s">
        <v>246</v>
      </c>
      <c r="AH2527" s="4" t="s">
        <v>241</v>
      </c>
      <c r="AI2527" s="4" t="s">
        <v>247</v>
      </c>
      <c r="AJ2527" s="4" t="s">
        <v>248</v>
      </c>
      <c r="AZ2527" s="4" t="s">
        <v>249</v>
      </c>
      <c r="BA2527" s="4" t="s">
        <v>241</v>
      </c>
      <c r="BB2527" s="4" t="s">
        <v>250</v>
      </c>
      <c r="BC2527" s="4" t="s">
        <v>241</v>
      </c>
      <c r="BD2527" s="4" t="s">
        <v>252</v>
      </c>
      <c r="BE2527" s="4" t="s">
        <v>241</v>
      </c>
      <c r="BI2527" s="4" t="s">
        <v>253</v>
      </c>
      <c r="BJ2527" s="5" t="s">
        <v>246</v>
      </c>
      <c r="BK2527" s="4" t="s">
        <v>254</v>
      </c>
      <c r="BL2527" s="4" t="s">
        <v>255</v>
      </c>
      <c r="BM2527" s="4" t="s">
        <v>241</v>
      </c>
      <c r="BN2527" s="6">
        <f>0</f>
        <v>0</v>
      </c>
      <c r="BO2527" s="6">
        <f>0</f>
        <v>0</v>
      </c>
      <c r="BP2527" s="4" t="s">
        <v>256</v>
      </c>
      <c r="BQ2527" s="4" t="s">
        <v>257</v>
      </c>
      <c r="CE2527" s="4" t="s">
        <v>241</v>
      </c>
      <c r="CF2527" s="4" t="s">
        <v>241</v>
      </c>
      <c r="CJ2527" s="4" t="s">
        <v>276</v>
      </c>
      <c r="CK2527" s="4" t="s">
        <v>259</v>
      </c>
      <c r="CL2527" s="4" t="s">
        <v>241</v>
      </c>
      <c r="CO2527" s="5" t="s">
        <v>260</v>
      </c>
      <c r="CP2527" s="4" t="s">
        <v>241</v>
      </c>
      <c r="CQ2527" s="4" t="s">
        <v>261</v>
      </c>
      <c r="CR2527" s="4" t="s">
        <v>241</v>
      </c>
      <c r="CS2527" s="4" t="s">
        <v>241</v>
      </c>
      <c r="CT2527" s="4">
        <v>0</v>
      </c>
      <c r="CU2527" s="4" t="s">
        <v>262</v>
      </c>
      <c r="CV2527" s="4" t="s">
        <v>263</v>
      </c>
      <c r="CW2527" s="4" t="s">
        <v>263</v>
      </c>
      <c r="CX2527" s="4" t="s">
        <v>264</v>
      </c>
      <c r="DA2527" s="6">
        <f>1</f>
        <v>1</v>
      </c>
      <c r="DC2527" s="4" t="s">
        <v>325</v>
      </c>
      <c r="DD2527" s="4" t="s">
        <v>241</v>
      </c>
      <c r="DF2527" s="4" t="s">
        <v>325</v>
      </c>
      <c r="DG2527" s="6">
        <f>208</f>
        <v>208</v>
      </c>
      <c r="DI2527" s="4" t="s">
        <v>241</v>
      </c>
      <c r="DJ2527" s="4" t="s">
        <v>241</v>
      </c>
      <c r="DK2527" s="4" t="s">
        <v>241</v>
      </c>
      <c r="DL2527" s="4" t="s">
        <v>241</v>
      </c>
      <c r="DP2527" s="4" t="s">
        <v>241</v>
      </c>
      <c r="DQ2527" s="4" t="s">
        <v>241</v>
      </c>
      <c r="DR2527" s="4" t="s">
        <v>241</v>
      </c>
      <c r="DS2527" s="4" t="s">
        <v>241</v>
      </c>
      <c r="DV2527" s="4" t="s">
        <v>426</v>
      </c>
      <c r="DW2527" s="4" t="s">
        <v>1807</v>
      </c>
      <c r="HO2527" s="4" t="s">
        <v>267</v>
      </c>
    </row>
    <row r="2528" spans="1:223" ht="19.5" customHeight="1" x14ac:dyDescent="0.4">
      <c r="A2528" s="4">
        <v>1</v>
      </c>
      <c r="B2528" s="4" t="s">
        <v>239</v>
      </c>
      <c r="C2528" s="4">
        <v>4231</v>
      </c>
      <c r="D2528" s="4">
        <v>1</v>
      </c>
      <c r="E2528" s="4">
        <v>1</v>
      </c>
      <c r="F2528" s="4" t="s">
        <v>268</v>
      </c>
      <c r="G2528" s="4" t="s">
        <v>241</v>
      </c>
      <c r="H2528" s="4" t="s">
        <v>241</v>
      </c>
      <c r="I2528" s="4" t="s">
        <v>424</v>
      </c>
      <c r="J2528" s="4" t="s">
        <v>274</v>
      </c>
      <c r="K2528" s="4" t="s">
        <v>251</v>
      </c>
      <c r="L2528" s="4" t="s">
        <v>423</v>
      </c>
      <c r="M2528" s="5" t="s">
        <v>3784</v>
      </c>
      <c r="N2528" s="6">
        <f>500</f>
        <v>500</v>
      </c>
      <c r="O2528" s="4" t="s">
        <v>265</v>
      </c>
      <c r="P2528" s="6">
        <f>1</f>
        <v>1</v>
      </c>
      <c r="Q2528" s="6">
        <f>0</f>
        <v>0</v>
      </c>
      <c r="S2528" s="6">
        <f>0</f>
        <v>0</v>
      </c>
      <c r="T2528" s="6">
        <f>1</f>
        <v>1</v>
      </c>
      <c r="U2528" s="5" t="s">
        <v>245</v>
      </c>
      <c r="V2528" s="4" t="s">
        <v>270</v>
      </c>
      <c r="W2528" s="4" t="s">
        <v>271</v>
      </c>
      <c r="X2528" s="4" t="s">
        <v>273</v>
      </c>
      <c r="Y2528" s="4" t="s">
        <v>241</v>
      </c>
      <c r="AB2528" s="4" t="s">
        <v>241</v>
      </c>
      <c r="AD2528" s="5" t="s">
        <v>241</v>
      </c>
      <c r="AG2528" s="5" t="s">
        <v>246</v>
      </c>
      <c r="AH2528" s="4" t="s">
        <v>241</v>
      </c>
      <c r="AI2528" s="4" t="s">
        <v>247</v>
      </c>
      <c r="AJ2528" s="4" t="s">
        <v>248</v>
      </c>
      <c r="AZ2528" s="4" t="s">
        <v>249</v>
      </c>
      <c r="BA2528" s="4" t="s">
        <v>241</v>
      </c>
      <c r="BB2528" s="4" t="s">
        <v>250</v>
      </c>
      <c r="BC2528" s="4" t="s">
        <v>241</v>
      </c>
      <c r="BD2528" s="4" t="s">
        <v>252</v>
      </c>
      <c r="BE2528" s="4" t="s">
        <v>241</v>
      </c>
      <c r="BI2528" s="4" t="s">
        <v>253</v>
      </c>
      <c r="BJ2528" s="5" t="s">
        <v>246</v>
      </c>
      <c r="BK2528" s="4" t="s">
        <v>254</v>
      </c>
      <c r="BL2528" s="4" t="s">
        <v>255</v>
      </c>
      <c r="BM2528" s="4" t="s">
        <v>241</v>
      </c>
      <c r="BN2528" s="6">
        <f>0</f>
        <v>0</v>
      </c>
      <c r="BO2528" s="6">
        <f>0</f>
        <v>0</v>
      </c>
      <c r="BP2528" s="4" t="s">
        <v>256</v>
      </c>
      <c r="BQ2528" s="4" t="s">
        <v>257</v>
      </c>
      <c r="CE2528" s="4" t="s">
        <v>241</v>
      </c>
      <c r="CF2528" s="4" t="s">
        <v>241</v>
      </c>
      <c r="CJ2528" s="4" t="s">
        <v>276</v>
      </c>
      <c r="CK2528" s="4" t="s">
        <v>259</v>
      </c>
      <c r="CL2528" s="4" t="s">
        <v>241</v>
      </c>
      <c r="CO2528" s="5" t="s">
        <v>260</v>
      </c>
      <c r="CP2528" s="4" t="s">
        <v>241</v>
      </c>
      <c r="CQ2528" s="4" t="s">
        <v>261</v>
      </c>
      <c r="CR2528" s="4" t="s">
        <v>241</v>
      </c>
      <c r="CS2528" s="4" t="s">
        <v>241</v>
      </c>
      <c r="CT2528" s="4">
        <v>0</v>
      </c>
      <c r="CU2528" s="4" t="s">
        <v>262</v>
      </c>
      <c r="CV2528" s="4" t="s">
        <v>263</v>
      </c>
      <c r="CW2528" s="4" t="s">
        <v>263</v>
      </c>
      <c r="CX2528" s="4" t="s">
        <v>264</v>
      </c>
      <c r="DA2528" s="6">
        <f>1</f>
        <v>1</v>
      </c>
      <c r="DC2528" s="4" t="s">
        <v>325</v>
      </c>
      <c r="DD2528" s="4" t="s">
        <v>241</v>
      </c>
      <c r="DF2528" s="4" t="s">
        <v>325</v>
      </c>
      <c r="DG2528" s="6">
        <f>500</f>
        <v>500</v>
      </c>
      <c r="DI2528" s="4" t="s">
        <v>241</v>
      </c>
      <c r="DJ2528" s="4" t="s">
        <v>241</v>
      </c>
      <c r="DK2528" s="4" t="s">
        <v>241</v>
      </c>
      <c r="DL2528" s="4" t="s">
        <v>241</v>
      </c>
      <c r="DP2528" s="4" t="s">
        <v>241</v>
      </c>
      <c r="DQ2528" s="4" t="s">
        <v>241</v>
      </c>
      <c r="DR2528" s="4" t="s">
        <v>241</v>
      </c>
      <c r="DS2528" s="4" t="s">
        <v>241</v>
      </c>
      <c r="DV2528" s="4" t="s">
        <v>426</v>
      </c>
      <c r="DW2528" s="4" t="s">
        <v>1591</v>
      </c>
      <c r="HO2528" s="4" t="s">
        <v>267</v>
      </c>
    </row>
    <row r="2529" spans="1:223" ht="19.5" customHeight="1" x14ac:dyDescent="0.4">
      <c r="A2529" s="4">
        <v>1</v>
      </c>
      <c r="B2529" s="4" t="s">
        <v>239</v>
      </c>
      <c r="C2529" s="4">
        <v>4232</v>
      </c>
      <c r="D2529" s="4">
        <v>1</v>
      </c>
      <c r="E2529" s="4">
        <v>1</v>
      </c>
      <c r="F2529" s="4" t="s">
        <v>268</v>
      </c>
      <c r="G2529" s="4" t="s">
        <v>241</v>
      </c>
      <c r="H2529" s="4" t="s">
        <v>241</v>
      </c>
      <c r="I2529" s="4" t="s">
        <v>424</v>
      </c>
      <c r="J2529" s="4" t="s">
        <v>274</v>
      </c>
      <c r="K2529" s="4" t="s">
        <v>251</v>
      </c>
      <c r="L2529" s="4" t="s">
        <v>423</v>
      </c>
      <c r="M2529" s="5" t="s">
        <v>3787</v>
      </c>
      <c r="N2529" s="6">
        <f>743</f>
        <v>743</v>
      </c>
      <c r="O2529" s="4" t="s">
        <v>265</v>
      </c>
      <c r="P2529" s="6">
        <f>1</f>
        <v>1</v>
      </c>
      <c r="Q2529" s="6">
        <f>0</f>
        <v>0</v>
      </c>
      <c r="S2529" s="6">
        <f>0</f>
        <v>0</v>
      </c>
      <c r="T2529" s="6">
        <f>1</f>
        <v>1</v>
      </c>
      <c r="U2529" s="5" t="s">
        <v>245</v>
      </c>
      <c r="V2529" s="4" t="s">
        <v>270</v>
      </c>
      <c r="W2529" s="4" t="s">
        <v>271</v>
      </c>
      <c r="X2529" s="4" t="s">
        <v>273</v>
      </c>
      <c r="Y2529" s="4" t="s">
        <v>241</v>
      </c>
      <c r="AB2529" s="4" t="s">
        <v>241</v>
      </c>
      <c r="AD2529" s="5" t="s">
        <v>241</v>
      </c>
      <c r="AG2529" s="5" t="s">
        <v>246</v>
      </c>
      <c r="AH2529" s="4" t="s">
        <v>241</v>
      </c>
      <c r="AI2529" s="4" t="s">
        <v>247</v>
      </c>
      <c r="AJ2529" s="4" t="s">
        <v>248</v>
      </c>
      <c r="AZ2529" s="4" t="s">
        <v>249</v>
      </c>
      <c r="BA2529" s="4" t="s">
        <v>241</v>
      </c>
      <c r="BB2529" s="4" t="s">
        <v>250</v>
      </c>
      <c r="BC2529" s="4" t="s">
        <v>241</v>
      </c>
      <c r="BD2529" s="4" t="s">
        <v>252</v>
      </c>
      <c r="BE2529" s="4" t="s">
        <v>241</v>
      </c>
      <c r="BI2529" s="4" t="s">
        <v>253</v>
      </c>
      <c r="BJ2529" s="5" t="s">
        <v>246</v>
      </c>
      <c r="BK2529" s="4" t="s">
        <v>254</v>
      </c>
      <c r="BL2529" s="4" t="s">
        <v>255</v>
      </c>
      <c r="BM2529" s="4" t="s">
        <v>241</v>
      </c>
      <c r="BN2529" s="6">
        <f>0</f>
        <v>0</v>
      </c>
      <c r="BO2529" s="6">
        <f>0</f>
        <v>0</v>
      </c>
      <c r="BP2529" s="4" t="s">
        <v>256</v>
      </c>
      <c r="BQ2529" s="4" t="s">
        <v>257</v>
      </c>
      <c r="CE2529" s="4" t="s">
        <v>241</v>
      </c>
      <c r="CF2529" s="4" t="s">
        <v>241</v>
      </c>
      <c r="CJ2529" s="4" t="s">
        <v>276</v>
      </c>
      <c r="CK2529" s="4" t="s">
        <v>259</v>
      </c>
      <c r="CL2529" s="4" t="s">
        <v>241</v>
      </c>
      <c r="CO2529" s="5" t="s">
        <v>260</v>
      </c>
      <c r="CP2529" s="4" t="s">
        <v>241</v>
      </c>
      <c r="CQ2529" s="4" t="s">
        <v>261</v>
      </c>
      <c r="CR2529" s="4" t="s">
        <v>241</v>
      </c>
      <c r="CS2529" s="4" t="s">
        <v>241</v>
      </c>
      <c r="CT2529" s="4">
        <v>0</v>
      </c>
      <c r="CU2529" s="4" t="s">
        <v>262</v>
      </c>
      <c r="CV2529" s="4" t="s">
        <v>263</v>
      </c>
      <c r="CW2529" s="4" t="s">
        <v>263</v>
      </c>
      <c r="CX2529" s="4" t="s">
        <v>264</v>
      </c>
      <c r="DA2529" s="6">
        <f>1</f>
        <v>1</v>
      </c>
      <c r="DC2529" s="4" t="s">
        <v>325</v>
      </c>
      <c r="DD2529" s="4" t="s">
        <v>241</v>
      </c>
      <c r="DF2529" s="4" t="s">
        <v>325</v>
      </c>
      <c r="DG2529" s="6">
        <f>743</f>
        <v>743</v>
      </c>
      <c r="DI2529" s="4" t="s">
        <v>241</v>
      </c>
      <c r="DJ2529" s="4" t="s">
        <v>241</v>
      </c>
      <c r="DK2529" s="4" t="s">
        <v>241</v>
      </c>
      <c r="DL2529" s="4" t="s">
        <v>241</v>
      </c>
      <c r="DP2529" s="4" t="s">
        <v>241</v>
      </c>
      <c r="DQ2529" s="4" t="s">
        <v>241</v>
      </c>
      <c r="DR2529" s="4" t="s">
        <v>241</v>
      </c>
      <c r="DS2529" s="4" t="s">
        <v>241</v>
      </c>
      <c r="DV2529" s="4" t="s">
        <v>426</v>
      </c>
      <c r="DW2529" s="4" t="s">
        <v>1891</v>
      </c>
      <c r="HO2529" s="4" t="s">
        <v>267</v>
      </c>
    </row>
    <row r="2530" spans="1:223" ht="19.5" customHeight="1" x14ac:dyDescent="0.4">
      <c r="A2530" s="4">
        <v>1</v>
      </c>
      <c r="B2530" s="4" t="s">
        <v>239</v>
      </c>
      <c r="C2530" s="4">
        <v>4233</v>
      </c>
      <c r="D2530" s="4">
        <v>1</v>
      </c>
      <c r="E2530" s="4">
        <v>1</v>
      </c>
      <c r="F2530" s="4" t="s">
        <v>268</v>
      </c>
      <c r="G2530" s="4" t="s">
        <v>241</v>
      </c>
      <c r="H2530" s="4" t="s">
        <v>241</v>
      </c>
      <c r="I2530" s="4" t="s">
        <v>424</v>
      </c>
      <c r="J2530" s="4" t="s">
        <v>274</v>
      </c>
      <c r="K2530" s="4" t="s">
        <v>251</v>
      </c>
      <c r="L2530" s="4" t="s">
        <v>423</v>
      </c>
      <c r="M2530" s="5" t="s">
        <v>3789</v>
      </c>
      <c r="N2530" s="6">
        <f>268</f>
        <v>268</v>
      </c>
      <c r="O2530" s="4" t="s">
        <v>265</v>
      </c>
      <c r="P2530" s="6">
        <f>1</f>
        <v>1</v>
      </c>
      <c r="Q2530" s="6">
        <f>0</f>
        <v>0</v>
      </c>
      <c r="S2530" s="6">
        <f>0</f>
        <v>0</v>
      </c>
      <c r="T2530" s="6">
        <f>1</f>
        <v>1</v>
      </c>
      <c r="U2530" s="5" t="s">
        <v>245</v>
      </c>
      <c r="V2530" s="4" t="s">
        <v>270</v>
      </c>
      <c r="W2530" s="4" t="s">
        <v>271</v>
      </c>
      <c r="X2530" s="4" t="s">
        <v>273</v>
      </c>
      <c r="Y2530" s="4" t="s">
        <v>241</v>
      </c>
      <c r="AB2530" s="4" t="s">
        <v>241</v>
      </c>
      <c r="AD2530" s="5" t="s">
        <v>241</v>
      </c>
      <c r="AG2530" s="5" t="s">
        <v>246</v>
      </c>
      <c r="AH2530" s="4" t="s">
        <v>241</v>
      </c>
      <c r="AI2530" s="4" t="s">
        <v>247</v>
      </c>
      <c r="AJ2530" s="4" t="s">
        <v>248</v>
      </c>
      <c r="AZ2530" s="4" t="s">
        <v>249</v>
      </c>
      <c r="BA2530" s="4" t="s">
        <v>241</v>
      </c>
      <c r="BB2530" s="4" t="s">
        <v>250</v>
      </c>
      <c r="BC2530" s="4" t="s">
        <v>241</v>
      </c>
      <c r="BD2530" s="4" t="s">
        <v>252</v>
      </c>
      <c r="BE2530" s="4" t="s">
        <v>241</v>
      </c>
      <c r="BI2530" s="4" t="s">
        <v>253</v>
      </c>
      <c r="BJ2530" s="5" t="s">
        <v>246</v>
      </c>
      <c r="BK2530" s="4" t="s">
        <v>254</v>
      </c>
      <c r="BL2530" s="4" t="s">
        <v>255</v>
      </c>
      <c r="BM2530" s="4" t="s">
        <v>241</v>
      </c>
      <c r="BN2530" s="6">
        <f>0</f>
        <v>0</v>
      </c>
      <c r="BO2530" s="6">
        <f>0</f>
        <v>0</v>
      </c>
      <c r="BP2530" s="4" t="s">
        <v>256</v>
      </c>
      <c r="BQ2530" s="4" t="s">
        <v>257</v>
      </c>
      <c r="CE2530" s="4" t="s">
        <v>241</v>
      </c>
      <c r="CF2530" s="4" t="s">
        <v>241</v>
      </c>
      <c r="CJ2530" s="4" t="s">
        <v>276</v>
      </c>
      <c r="CK2530" s="4" t="s">
        <v>259</v>
      </c>
      <c r="CL2530" s="4" t="s">
        <v>241</v>
      </c>
      <c r="CO2530" s="5" t="s">
        <v>260</v>
      </c>
      <c r="CP2530" s="4" t="s">
        <v>241</v>
      </c>
      <c r="CQ2530" s="4" t="s">
        <v>261</v>
      </c>
      <c r="CR2530" s="4" t="s">
        <v>241</v>
      </c>
      <c r="CS2530" s="4" t="s">
        <v>241</v>
      </c>
      <c r="CT2530" s="4">
        <v>0</v>
      </c>
      <c r="CU2530" s="4" t="s">
        <v>262</v>
      </c>
      <c r="CV2530" s="4" t="s">
        <v>263</v>
      </c>
      <c r="CW2530" s="4" t="s">
        <v>263</v>
      </c>
      <c r="CX2530" s="4" t="s">
        <v>264</v>
      </c>
      <c r="DA2530" s="6">
        <f>1</f>
        <v>1</v>
      </c>
      <c r="DC2530" s="4" t="s">
        <v>325</v>
      </c>
      <c r="DD2530" s="4" t="s">
        <v>241</v>
      </c>
      <c r="DF2530" s="4" t="s">
        <v>325</v>
      </c>
      <c r="DG2530" s="6">
        <f>268</f>
        <v>268</v>
      </c>
      <c r="DI2530" s="4" t="s">
        <v>241</v>
      </c>
      <c r="DJ2530" s="4" t="s">
        <v>241</v>
      </c>
      <c r="DK2530" s="4" t="s">
        <v>241</v>
      </c>
      <c r="DL2530" s="4" t="s">
        <v>241</v>
      </c>
      <c r="DP2530" s="4" t="s">
        <v>241</v>
      </c>
      <c r="DQ2530" s="4" t="s">
        <v>241</v>
      </c>
      <c r="DR2530" s="4" t="s">
        <v>241</v>
      </c>
      <c r="DS2530" s="4" t="s">
        <v>241</v>
      </c>
      <c r="DV2530" s="4" t="s">
        <v>426</v>
      </c>
      <c r="DW2530" s="4" t="s">
        <v>1867</v>
      </c>
      <c r="HO2530" s="4" t="s">
        <v>267</v>
      </c>
    </row>
    <row r="2531" spans="1:223" ht="19.5" customHeight="1" x14ac:dyDescent="0.4">
      <c r="A2531" s="4">
        <v>1</v>
      </c>
      <c r="B2531" s="4" t="s">
        <v>239</v>
      </c>
      <c r="C2531" s="4">
        <v>4234</v>
      </c>
      <c r="D2531" s="4">
        <v>1</v>
      </c>
      <c r="E2531" s="4">
        <v>1</v>
      </c>
      <c r="F2531" s="4" t="s">
        <v>268</v>
      </c>
      <c r="G2531" s="4" t="s">
        <v>241</v>
      </c>
      <c r="H2531" s="4" t="s">
        <v>241</v>
      </c>
      <c r="I2531" s="4" t="s">
        <v>424</v>
      </c>
      <c r="J2531" s="4" t="s">
        <v>274</v>
      </c>
      <c r="K2531" s="4" t="s">
        <v>251</v>
      </c>
      <c r="L2531" s="4" t="s">
        <v>423</v>
      </c>
      <c r="M2531" s="5" t="s">
        <v>3793</v>
      </c>
      <c r="N2531" s="6">
        <f>2641</f>
        <v>2641</v>
      </c>
      <c r="O2531" s="4" t="s">
        <v>265</v>
      </c>
      <c r="P2531" s="6">
        <f>1</f>
        <v>1</v>
      </c>
      <c r="Q2531" s="6">
        <f>0</f>
        <v>0</v>
      </c>
      <c r="S2531" s="6">
        <f>0</f>
        <v>0</v>
      </c>
      <c r="T2531" s="6">
        <f>1</f>
        <v>1</v>
      </c>
      <c r="U2531" s="5" t="s">
        <v>245</v>
      </c>
      <c r="V2531" s="4" t="s">
        <v>270</v>
      </c>
      <c r="W2531" s="4" t="s">
        <v>271</v>
      </c>
      <c r="X2531" s="4" t="s">
        <v>273</v>
      </c>
      <c r="Y2531" s="4" t="s">
        <v>241</v>
      </c>
      <c r="AB2531" s="4" t="s">
        <v>241</v>
      </c>
      <c r="AD2531" s="5" t="s">
        <v>241</v>
      </c>
      <c r="AG2531" s="5" t="s">
        <v>246</v>
      </c>
      <c r="AH2531" s="4" t="s">
        <v>241</v>
      </c>
      <c r="AI2531" s="4" t="s">
        <v>247</v>
      </c>
      <c r="AJ2531" s="4" t="s">
        <v>248</v>
      </c>
      <c r="AZ2531" s="4" t="s">
        <v>249</v>
      </c>
      <c r="BA2531" s="4" t="s">
        <v>241</v>
      </c>
      <c r="BB2531" s="4" t="s">
        <v>250</v>
      </c>
      <c r="BC2531" s="4" t="s">
        <v>241</v>
      </c>
      <c r="BD2531" s="4" t="s">
        <v>252</v>
      </c>
      <c r="BE2531" s="4" t="s">
        <v>241</v>
      </c>
      <c r="BI2531" s="4" t="s">
        <v>253</v>
      </c>
      <c r="BJ2531" s="5" t="s">
        <v>246</v>
      </c>
      <c r="BK2531" s="4" t="s">
        <v>254</v>
      </c>
      <c r="BL2531" s="4" t="s">
        <v>255</v>
      </c>
      <c r="BM2531" s="4" t="s">
        <v>241</v>
      </c>
      <c r="BN2531" s="6">
        <f>0</f>
        <v>0</v>
      </c>
      <c r="BO2531" s="6">
        <f>0</f>
        <v>0</v>
      </c>
      <c r="BP2531" s="4" t="s">
        <v>256</v>
      </c>
      <c r="BQ2531" s="4" t="s">
        <v>257</v>
      </c>
      <c r="CE2531" s="4" t="s">
        <v>241</v>
      </c>
      <c r="CF2531" s="4" t="s">
        <v>241</v>
      </c>
      <c r="CJ2531" s="4" t="s">
        <v>276</v>
      </c>
      <c r="CK2531" s="4" t="s">
        <v>259</v>
      </c>
      <c r="CL2531" s="4" t="s">
        <v>241</v>
      </c>
      <c r="CO2531" s="5" t="s">
        <v>260</v>
      </c>
      <c r="CP2531" s="4" t="s">
        <v>241</v>
      </c>
      <c r="CQ2531" s="4" t="s">
        <v>261</v>
      </c>
      <c r="CR2531" s="4" t="s">
        <v>241</v>
      </c>
      <c r="CS2531" s="4" t="s">
        <v>241</v>
      </c>
      <c r="CT2531" s="4">
        <v>0</v>
      </c>
      <c r="CU2531" s="4" t="s">
        <v>262</v>
      </c>
      <c r="CV2531" s="4" t="s">
        <v>263</v>
      </c>
      <c r="CW2531" s="4" t="s">
        <v>263</v>
      </c>
      <c r="CX2531" s="4" t="s">
        <v>264</v>
      </c>
      <c r="DA2531" s="6">
        <f>1</f>
        <v>1</v>
      </c>
      <c r="DC2531" s="4" t="s">
        <v>325</v>
      </c>
      <c r="DD2531" s="4" t="s">
        <v>241</v>
      </c>
      <c r="DF2531" s="4" t="s">
        <v>325</v>
      </c>
      <c r="DG2531" s="6">
        <f>2641</f>
        <v>2641</v>
      </c>
      <c r="DI2531" s="4" t="s">
        <v>241</v>
      </c>
      <c r="DJ2531" s="4" t="s">
        <v>241</v>
      </c>
      <c r="DK2531" s="4" t="s">
        <v>241</v>
      </c>
      <c r="DL2531" s="4" t="s">
        <v>241</v>
      </c>
      <c r="DP2531" s="4" t="s">
        <v>241</v>
      </c>
      <c r="DQ2531" s="4" t="s">
        <v>241</v>
      </c>
      <c r="DR2531" s="4" t="s">
        <v>241</v>
      </c>
      <c r="DS2531" s="4" t="s">
        <v>241</v>
      </c>
      <c r="DV2531" s="4" t="s">
        <v>426</v>
      </c>
      <c r="DW2531" s="4" t="s">
        <v>1903</v>
      </c>
      <c r="HO2531" s="4" t="s">
        <v>267</v>
      </c>
    </row>
    <row r="2532" spans="1:223" ht="19.5" customHeight="1" x14ac:dyDescent="0.4">
      <c r="A2532" s="4">
        <v>1</v>
      </c>
      <c r="B2532" s="4" t="s">
        <v>239</v>
      </c>
      <c r="C2532" s="4">
        <v>4235</v>
      </c>
      <c r="D2532" s="4">
        <v>1</v>
      </c>
      <c r="E2532" s="4">
        <v>1</v>
      </c>
      <c r="F2532" s="4" t="s">
        <v>268</v>
      </c>
      <c r="G2532" s="4" t="s">
        <v>241</v>
      </c>
      <c r="H2532" s="4" t="s">
        <v>241</v>
      </c>
      <c r="I2532" s="4" t="s">
        <v>424</v>
      </c>
      <c r="J2532" s="4" t="s">
        <v>274</v>
      </c>
      <c r="K2532" s="4" t="s">
        <v>251</v>
      </c>
      <c r="L2532" s="4" t="s">
        <v>423</v>
      </c>
      <c r="M2532" s="5" t="s">
        <v>3794</v>
      </c>
      <c r="N2532" s="6">
        <f>2271</f>
        <v>2271</v>
      </c>
      <c r="O2532" s="4" t="s">
        <v>265</v>
      </c>
      <c r="P2532" s="6">
        <f>1</f>
        <v>1</v>
      </c>
      <c r="Q2532" s="6">
        <f>0</f>
        <v>0</v>
      </c>
      <c r="S2532" s="6">
        <f>0</f>
        <v>0</v>
      </c>
      <c r="T2532" s="6">
        <f>1</f>
        <v>1</v>
      </c>
      <c r="U2532" s="5" t="s">
        <v>245</v>
      </c>
      <c r="V2532" s="4" t="s">
        <v>270</v>
      </c>
      <c r="W2532" s="4" t="s">
        <v>271</v>
      </c>
      <c r="X2532" s="4" t="s">
        <v>273</v>
      </c>
      <c r="Y2532" s="4" t="s">
        <v>241</v>
      </c>
      <c r="AB2532" s="4" t="s">
        <v>241</v>
      </c>
      <c r="AD2532" s="5" t="s">
        <v>241</v>
      </c>
      <c r="AG2532" s="5" t="s">
        <v>246</v>
      </c>
      <c r="AH2532" s="4" t="s">
        <v>241</v>
      </c>
      <c r="AI2532" s="4" t="s">
        <v>247</v>
      </c>
      <c r="AJ2532" s="4" t="s">
        <v>248</v>
      </c>
      <c r="AZ2532" s="4" t="s">
        <v>249</v>
      </c>
      <c r="BA2532" s="4" t="s">
        <v>241</v>
      </c>
      <c r="BB2532" s="4" t="s">
        <v>250</v>
      </c>
      <c r="BC2532" s="4" t="s">
        <v>241</v>
      </c>
      <c r="BD2532" s="4" t="s">
        <v>252</v>
      </c>
      <c r="BE2532" s="4" t="s">
        <v>241</v>
      </c>
      <c r="BI2532" s="4" t="s">
        <v>253</v>
      </c>
      <c r="BJ2532" s="5" t="s">
        <v>246</v>
      </c>
      <c r="BK2532" s="4" t="s">
        <v>254</v>
      </c>
      <c r="BL2532" s="4" t="s">
        <v>255</v>
      </c>
      <c r="BM2532" s="4" t="s">
        <v>241</v>
      </c>
      <c r="BN2532" s="6">
        <f>0</f>
        <v>0</v>
      </c>
      <c r="BO2532" s="6">
        <f>0</f>
        <v>0</v>
      </c>
      <c r="BP2532" s="4" t="s">
        <v>256</v>
      </c>
      <c r="BQ2532" s="4" t="s">
        <v>257</v>
      </c>
      <c r="CE2532" s="4" t="s">
        <v>241</v>
      </c>
      <c r="CF2532" s="4" t="s">
        <v>241</v>
      </c>
      <c r="CJ2532" s="4" t="s">
        <v>276</v>
      </c>
      <c r="CK2532" s="4" t="s">
        <v>259</v>
      </c>
      <c r="CL2532" s="4" t="s">
        <v>241</v>
      </c>
      <c r="CO2532" s="5" t="s">
        <v>260</v>
      </c>
      <c r="CP2532" s="4" t="s">
        <v>241</v>
      </c>
      <c r="CQ2532" s="4" t="s">
        <v>261</v>
      </c>
      <c r="CR2532" s="4" t="s">
        <v>241</v>
      </c>
      <c r="CS2532" s="4" t="s">
        <v>241</v>
      </c>
      <c r="CT2532" s="4">
        <v>0</v>
      </c>
      <c r="CU2532" s="4" t="s">
        <v>262</v>
      </c>
      <c r="CV2532" s="4" t="s">
        <v>263</v>
      </c>
      <c r="CW2532" s="4" t="s">
        <v>263</v>
      </c>
      <c r="CX2532" s="4" t="s">
        <v>264</v>
      </c>
      <c r="DA2532" s="6">
        <f>1</f>
        <v>1</v>
      </c>
      <c r="DC2532" s="4" t="s">
        <v>325</v>
      </c>
      <c r="DD2532" s="4" t="s">
        <v>241</v>
      </c>
      <c r="DF2532" s="4" t="s">
        <v>325</v>
      </c>
      <c r="DG2532" s="6">
        <f>2271</f>
        <v>2271</v>
      </c>
      <c r="DI2532" s="4" t="s">
        <v>241</v>
      </c>
      <c r="DJ2532" s="4" t="s">
        <v>241</v>
      </c>
      <c r="DK2532" s="4" t="s">
        <v>241</v>
      </c>
      <c r="DL2532" s="4" t="s">
        <v>241</v>
      </c>
      <c r="DP2532" s="4" t="s">
        <v>241</v>
      </c>
      <c r="DQ2532" s="4" t="s">
        <v>241</v>
      </c>
      <c r="DR2532" s="4" t="s">
        <v>241</v>
      </c>
      <c r="DS2532" s="4" t="s">
        <v>241</v>
      </c>
      <c r="DV2532" s="4" t="s">
        <v>426</v>
      </c>
      <c r="DW2532" s="4" t="s">
        <v>1889</v>
      </c>
      <c r="HO2532" s="4" t="s">
        <v>267</v>
      </c>
    </row>
    <row r="2533" spans="1:223" ht="19.5" customHeight="1" x14ac:dyDescent="0.4">
      <c r="A2533" s="4">
        <v>1</v>
      </c>
      <c r="B2533" s="4" t="s">
        <v>239</v>
      </c>
      <c r="C2533" s="4">
        <v>4236</v>
      </c>
      <c r="D2533" s="4">
        <v>1</v>
      </c>
      <c r="E2533" s="4">
        <v>1</v>
      </c>
      <c r="F2533" s="4" t="s">
        <v>268</v>
      </c>
      <c r="G2533" s="4" t="s">
        <v>241</v>
      </c>
      <c r="H2533" s="4" t="s">
        <v>241</v>
      </c>
      <c r="I2533" s="4" t="s">
        <v>424</v>
      </c>
      <c r="J2533" s="4" t="s">
        <v>274</v>
      </c>
      <c r="K2533" s="4" t="s">
        <v>251</v>
      </c>
      <c r="L2533" s="4" t="s">
        <v>423</v>
      </c>
      <c r="M2533" s="5" t="s">
        <v>3798</v>
      </c>
      <c r="N2533" s="6">
        <f>188</f>
        <v>188</v>
      </c>
      <c r="O2533" s="4" t="s">
        <v>265</v>
      </c>
      <c r="P2533" s="6">
        <f>1</f>
        <v>1</v>
      </c>
      <c r="Q2533" s="6">
        <f>0</f>
        <v>0</v>
      </c>
      <c r="S2533" s="6">
        <f>0</f>
        <v>0</v>
      </c>
      <c r="T2533" s="6">
        <f>1</f>
        <v>1</v>
      </c>
      <c r="U2533" s="5" t="s">
        <v>245</v>
      </c>
      <c r="V2533" s="4" t="s">
        <v>270</v>
      </c>
      <c r="W2533" s="4" t="s">
        <v>271</v>
      </c>
      <c r="X2533" s="4" t="s">
        <v>273</v>
      </c>
      <c r="Y2533" s="4" t="s">
        <v>241</v>
      </c>
      <c r="AB2533" s="4" t="s">
        <v>241</v>
      </c>
      <c r="AD2533" s="5" t="s">
        <v>241</v>
      </c>
      <c r="AG2533" s="5" t="s">
        <v>246</v>
      </c>
      <c r="AH2533" s="4" t="s">
        <v>241</v>
      </c>
      <c r="AI2533" s="4" t="s">
        <v>247</v>
      </c>
      <c r="AJ2533" s="4" t="s">
        <v>248</v>
      </c>
      <c r="AZ2533" s="4" t="s">
        <v>249</v>
      </c>
      <c r="BA2533" s="4" t="s">
        <v>241</v>
      </c>
      <c r="BB2533" s="4" t="s">
        <v>250</v>
      </c>
      <c r="BC2533" s="4" t="s">
        <v>241</v>
      </c>
      <c r="BD2533" s="4" t="s">
        <v>252</v>
      </c>
      <c r="BE2533" s="4" t="s">
        <v>241</v>
      </c>
      <c r="BI2533" s="4" t="s">
        <v>253</v>
      </c>
      <c r="BJ2533" s="5" t="s">
        <v>246</v>
      </c>
      <c r="BK2533" s="4" t="s">
        <v>254</v>
      </c>
      <c r="BL2533" s="4" t="s">
        <v>255</v>
      </c>
      <c r="BM2533" s="4" t="s">
        <v>241</v>
      </c>
      <c r="BN2533" s="6">
        <f>0</f>
        <v>0</v>
      </c>
      <c r="BO2533" s="6">
        <f>0</f>
        <v>0</v>
      </c>
      <c r="BP2533" s="4" t="s">
        <v>256</v>
      </c>
      <c r="BQ2533" s="4" t="s">
        <v>257</v>
      </c>
      <c r="CE2533" s="4" t="s">
        <v>241</v>
      </c>
      <c r="CF2533" s="4" t="s">
        <v>241</v>
      </c>
      <c r="CJ2533" s="4" t="s">
        <v>276</v>
      </c>
      <c r="CK2533" s="4" t="s">
        <v>259</v>
      </c>
      <c r="CL2533" s="4" t="s">
        <v>241</v>
      </c>
      <c r="CO2533" s="5" t="s">
        <v>260</v>
      </c>
      <c r="CP2533" s="4" t="s">
        <v>241</v>
      </c>
      <c r="CQ2533" s="4" t="s">
        <v>261</v>
      </c>
      <c r="CR2533" s="4" t="s">
        <v>241</v>
      </c>
      <c r="CS2533" s="4" t="s">
        <v>241</v>
      </c>
      <c r="CT2533" s="4">
        <v>0</v>
      </c>
      <c r="CU2533" s="4" t="s">
        <v>262</v>
      </c>
      <c r="CV2533" s="4" t="s">
        <v>263</v>
      </c>
      <c r="CW2533" s="4" t="s">
        <v>263</v>
      </c>
      <c r="CX2533" s="4" t="s">
        <v>264</v>
      </c>
      <c r="DA2533" s="6">
        <f>1</f>
        <v>1</v>
      </c>
      <c r="DC2533" s="4" t="s">
        <v>325</v>
      </c>
      <c r="DD2533" s="4" t="s">
        <v>241</v>
      </c>
      <c r="DF2533" s="4" t="s">
        <v>325</v>
      </c>
      <c r="DG2533" s="6">
        <f>188</f>
        <v>188</v>
      </c>
      <c r="DI2533" s="4" t="s">
        <v>241</v>
      </c>
      <c r="DJ2533" s="4" t="s">
        <v>241</v>
      </c>
      <c r="DK2533" s="4" t="s">
        <v>241</v>
      </c>
      <c r="DL2533" s="4" t="s">
        <v>241</v>
      </c>
      <c r="DP2533" s="4" t="s">
        <v>241</v>
      </c>
      <c r="DQ2533" s="4" t="s">
        <v>241</v>
      </c>
      <c r="DR2533" s="4" t="s">
        <v>241</v>
      </c>
      <c r="DS2533" s="4" t="s">
        <v>241</v>
      </c>
      <c r="DV2533" s="4" t="s">
        <v>426</v>
      </c>
      <c r="DW2533" s="4" t="s">
        <v>1850</v>
      </c>
      <c r="HO2533" s="4" t="s">
        <v>267</v>
      </c>
    </row>
    <row r="2534" spans="1:223" ht="19.5" customHeight="1" x14ac:dyDescent="0.4">
      <c r="A2534" s="4">
        <v>1</v>
      </c>
      <c r="B2534" s="4" t="s">
        <v>239</v>
      </c>
      <c r="C2534" s="4">
        <v>4237</v>
      </c>
      <c r="D2534" s="4">
        <v>1</v>
      </c>
      <c r="E2534" s="4">
        <v>1</v>
      </c>
      <c r="F2534" s="4" t="s">
        <v>268</v>
      </c>
      <c r="G2534" s="4" t="s">
        <v>241</v>
      </c>
      <c r="H2534" s="4" t="s">
        <v>241</v>
      </c>
      <c r="I2534" s="4" t="s">
        <v>424</v>
      </c>
      <c r="J2534" s="4" t="s">
        <v>274</v>
      </c>
      <c r="K2534" s="4" t="s">
        <v>251</v>
      </c>
      <c r="L2534" s="4" t="s">
        <v>423</v>
      </c>
      <c r="M2534" s="5" t="s">
        <v>3801</v>
      </c>
      <c r="N2534" s="6">
        <f>78</f>
        <v>78</v>
      </c>
      <c r="O2534" s="4" t="s">
        <v>265</v>
      </c>
      <c r="P2534" s="6">
        <f>1</f>
        <v>1</v>
      </c>
      <c r="Q2534" s="6">
        <f>0</f>
        <v>0</v>
      </c>
      <c r="S2534" s="6">
        <f>0</f>
        <v>0</v>
      </c>
      <c r="T2534" s="6">
        <f>1</f>
        <v>1</v>
      </c>
      <c r="U2534" s="5" t="s">
        <v>245</v>
      </c>
      <c r="V2534" s="4" t="s">
        <v>270</v>
      </c>
      <c r="W2534" s="4" t="s">
        <v>271</v>
      </c>
      <c r="X2534" s="4" t="s">
        <v>273</v>
      </c>
      <c r="Y2534" s="4" t="s">
        <v>241</v>
      </c>
      <c r="AB2534" s="4" t="s">
        <v>241</v>
      </c>
      <c r="AD2534" s="5" t="s">
        <v>241</v>
      </c>
      <c r="AG2534" s="5" t="s">
        <v>246</v>
      </c>
      <c r="AH2534" s="4" t="s">
        <v>241</v>
      </c>
      <c r="AI2534" s="4" t="s">
        <v>247</v>
      </c>
      <c r="AJ2534" s="4" t="s">
        <v>248</v>
      </c>
      <c r="AZ2534" s="4" t="s">
        <v>249</v>
      </c>
      <c r="BA2534" s="4" t="s">
        <v>241</v>
      </c>
      <c r="BB2534" s="4" t="s">
        <v>250</v>
      </c>
      <c r="BC2534" s="4" t="s">
        <v>241</v>
      </c>
      <c r="BD2534" s="4" t="s">
        <v>252</v>
      </c>
      <c r="BE2534" s="4" t="s">
        <v>241</v>
      </c>
      <c r="BI2534" s="4" t="s">
        <v>253</v>
      </c>
      <c r="BJ2534" s="5" t="s">
        <v>246</v>
      </c>
      <c r="BK2534" s="4" t="s">
        <v>254</v>
      </c>
      <c r="BL2534" s="4" t="s">
        <v>255</v>
      </c>
      <c r="BM2534" s="4" t="s">
        <v>241</v>
      </c>
      <c r="BN2534" s="6">
        <f>0</f>
        <v>0</v>
      </c>
      <c r="BO2534" s="6">
        <f>0</f>
        <v>0</v>
      </c>
      <c r="BP2534" s="4" t="s">
        <v>256</v>
      </c>
      <c r="BQ2534" s="4" t="s">
        <v>257</v>
      </c>
      <c r="CE2534" s="4" t="s">
        <v>241</v>
      </c>
      <c r="CF2534" s="4" t="s">
        <v>241</v>
      </c>
      <c r="CJ2534" s="4" t="s">
        <v>276</v>
      </c>
      <c r="CK2534" s="4" t="s">
        <v>259</v>
      </c>
      <c r="CL2534" s="4" t="s">
        <v>241</v>
      </c>
      <c r="CO2534" s="5" t="s">
        <v>260</v>
      </c>
      <c r="CP2534" s="4" t="s">
        <v>241</v>
      </c>
      <c r="CQ2534" s="4" t="s">
        <v>261</v>
      </c>
      <c r="CR2534" s="4" t="s">
        <v>241</v>
      </c>
      <c r="CS2534" s="4" t="s">
        <v>241</v>
      </c>
      <c r="CT2534" s="4">
        <v>0</v>
      </c>
      <c r="CU2534" s="4" t="s">
        <v>262</v>
      </c>
      <c r="CV2534" s="4" t="s">
        <v>263</v>
      </c>
      <c r="CW2534" s="4" t="s">
        <v>263</v>
      </c>
      <c r="CX2534" s="4" t="s">
        <v>264</v>
      </c>
      <c r="DA2534" s="6">
        <f>1</f>
        <v>1</v>
      </c>
      <c r="DC2534" s="4" t="s">
        <v>325</v>
      </c>
      <c r="DD2534" s="4" t="s">
        <v>241</v>
      </c>
      <c r="DF2534" s="4" t="s">
        <v>325</v>
      </c>
      <c r="DG2534" s="6">
        <f>78</f>
        <v>78</v>
      </c>
      <c r="DI2534" s="4" t="s">
        <v>241</v>
      </c>
      <c r="DJ2534" s="4" t="s">
        <v>241</v>
      </c>
      <c r="DK2534" s="4" t="s">
        <v>241</v>
      </c>
      <c r="DL2534" s="4" t="s">
        <v>241</v>
      </c>
      <c r="DP2534" s="4" t="s">
        <v>241</v>
      </c>
      <c r="DQ2534" s="4" t="s">
        <v>241</v>
      </c>
      <c r="DR2534" s="4" t="s">
        <v>241</v>
      </c>
      <c r="DS2534" s="4" t="s">
        <v>241</v>
      </c>
      <c r="DV2534" s="4" t="s">
        <v>426</v>
      </c>
      <c r="DW2534" s="4" t="s">
        <v>1918</v>
      </c>
      <c r="HO2534" s="4" t="s">
        <v>267</v>
      </c>
    </row>
    <row r="2535" spans="1:223" ht="19.5" customHeight="1" x14ac:dyDescent="0.4">
      <c r="A2535" s="4">
        <v>1</v>
      </c>
      <c r="B2535" s="4" t="s">
        <v>239</v>
      </c>
      <c r="C2535" s="4">
        <v>4238</v>
      </c>
      <c r="D2535" s="4">
        <v>1</v>
      </c>
      <c r="E2535" s="4">
        <v>1</v>
      </c>
      <c r="F2535" s="4" t="s">
        <v>268</v>
      </c>
      <c r="G2535" s="4" t="s">
        <v>241</v>
      </c>
      <c r="H2535" s="4" t="s">
        <v>241</v>
      </c>
      <c r="I2535" s="4" t="s">
        <v>424</v>
      </c>
      <c r="J2535" s="4" t="s">
        <v>274</v>
      </c>
      <c r="K2535" s="4" t="s">
        <v>251</v>
      </c>
      <c r="L2535" s="4" t="s">
        <v>423</v>
      </c>
      <c r="M2535" s="5" t="s">
        <v>3805</v>
      </c>
      <c r="N2535" s="6">
        <f>581</f>
        <v>581</v>
      </c>
      <c r="O2535" s="4" t="s">
        <v>265</v>
      </c>
      <c r="P2535" s="6">
        <f>1</f>
        <v>1</v>
      </c>
      <c r="Q2535" s="6">
        <f>0</f>
        <v>0</v>
      </c>
      <c r="S2535" s="6">
        <f>0</f>
        <v>0</v>
      </c>
      <c r="T2535" s="6">
        <f>1</f>
        <v>1</v>
      </c>
      <c r="U2535" s="5" t="s">
        <v>245</v>
      </c>
      <c r="V2535" s="4" t="s">
        <v>270</v>
      </c>
      <c r="W2535" s="4" t="s">
        <v>271</v>
      </c>
      <c r="X2535" s="4" t="s">
        <v>273</v>
      </c>
      <c r="Y2535" s="4" t="s">
        <v>241</v>
      </c>
      <c r="AB2535" s="4" t="s">
        <v>241</v>
      </c>
      <c r="AD2535" s="5" t="s">
        <v>241</v>
      </c>
      <c r="AG2535" s="5" t="s">
        <v>246</v>
      </c>
      <c r="AH2535" s="4" t="s">
        <v>241</v>
      </c>
      <c r="AI2535" s="4" t="s">
        <v>247</v>
      </c>
      <c r="AJ2535" s="4" t="s">
        <v>248</v>
      </c>
      <c r="AZ2535" s="4" t="s">
        <v>249</v>
      </c>
      <c r="BA2535" s="4" t="s">
        <v>241</v>
      </c>
      <c r="BB2535" s="4" t="s">
        <v>250</v>
      </c>
      <c r="BC2535" s="4" t="s">
        <v>241</v>
      </c>
      <c r="BD2535" s="4" t="s">
        <v>252</v>
      </c>
      <c r="BE2535" s="4" t="s">
        <v>241</v>
      </c>
      <c r="BI2535" s="4" t="s">
        <v>253</v>
      </c>
      <c r="BJ2535" s="5" t="s">
        <v>246</v>
      </c>
      <c r="BK2535" s="4" t="s">
        <v>254</v>
      </c>
      <c r="BL2535" s="4" t="s">
        <v>255</v>
      </c>
      <c r="BM2535" s="4" t="s">
        <v>241</v>
      </c>
      <c r="BN2535" s="6">
        <f>0</f>
        <v>0</v>
      </c>
      <c r="BO2535" s="6">
        <f>0</f>
        <v>0</v>
      </c>
      <c r="BP2535" s="4" t="s">
        <v>256</v>
      </c>
      <c r="BQ2535" s="4" t="s">
        <v>257</v>
      </c>
      <c r="CE2535" s="4" t="s">
        <v>241</v>
      </c>
      <c r="CF2535" s="4" t="s">
        <v>241</v>
      </c>
      <c r="CJ2535" s="4" t="s">
        <v>276</v>
      </c>
      <c r="CK2535" s="4" t="s">
        <v>259</v>
      </c>
      <c r="CL2535" s="4" t="s">
        <v>241</v>
      </c>
      <c r="CO2535" s="5" t="s">
        <v>260</v>
      </c>
      <c r="CP2535" s="4" t="s">
        <v>241</v>
      </c>
      <c r="CQ2535" s="4" t="s">
        <v>261</v>
      </c>
      <c r="CR2535" s="4" t="s">
        <v>241</v>
      </c>
      <c r="CS2535" s="4" t="s">
        <v>241</v>
      </c>
      <c r="CT2535" s="4">
        <v>0</v>
      </c>
      <c r="CU2535" s="4" t="s">
        <v>262</v>
      </c>
      <c r="CV2535" s="4" t="s">
        <v>263</v>
      </c>
      <c r="CW2535" s="4" t="s">
        <v>263</v>
      </c>
      <c r="CX2535" s="4" t="s">
        <v>264</v>
      </c>
      <c r="DA2535" s="6">
        <f>1</f>
        <v>1</v>
      </c>
      <c r="DC2535" s="4" t="s">
        <v>325</v>
      </c>
      <c r="DD2535" s="4" t="s">
        <v>241</v>
      </c>
      <c r="DF2535" s="4" t="s">
        <v>325</v>
      </c>
      <c r="DG2535" s="6">
        <f>581</f>
        <v>581</v>
      </c>
      <c r="DI2535" s="4" t="s">
        <v>241</v>
      </c>
      <c r="DJ2535" s="4" t="s">
        <v>241</v>
      </c>
      <c r="DK2535" s="4" t="s">
        <v>241</v>
      </c>
      <c r="DL2535" s="4" t="s">
        <v>241</v>
      </c>
      <c r="DP2535" s="4" t="s">
        <v>241</v>
      </c>
      <c r="DQ2535" s="4" t="s">
        <v>241</v>
      </c>
      <c r="DR2535" s="4" t="s">
        <v>241</v>
      </c>
      <c r="DS2535" s="4" t="s">
        <v>241</v>
      </c>
      <c r="DV2535" s="4" t="s">
        <v>426</v>
      </c>
      <c r="DW2535" s="4" t="s">
        <v>1922</v>
      </c>
      <c r="HO2535" s="4" t="s">
        <v>267</v>
      </c>
    </row>
    <row r="2536" spans="1:223" ht="19.5" customHeight="1" x14ac:dyDescent="0.4">
      <c r="A2536" s="4">
        <v>1</v>
      </c>
      <c r="B2536" s="4" t="s">
        <v>239</v>
      </c>
      <c r="C2536" s="4">
        <v>4239</v>
      </c>
      <c r="D2536" s="4">
        <v>1</v>
      </c>
      <c r="E2536" s="4">
        <v>1</v>
      </c>
      <c r="F2536" s="4" t="s">
        <v>268</v>
      </c>
      <c r="G2536" s="4" t="s">
        <v>241</v>
      </c>
      <c r="H2536" s="4" t="s">
        <v>241</v>
      </c>
      <c r="I2536" s="4" t="s">
        <v>424</v>
      </c>
      <c r="J2536" s="4" t="s">
        <v>274</v>
      </c>
      <c r="K2536" s="4" t="s">
        <v>251</v>
      </c>
      <c r="L2536" s="4" t="s">
        <v>423</v>
      </c>
      <c r="M2536" s="5" t="s">
        <v>3807</v>
      </c>
      <c r="N2536" s="6">
        <f>340</f>
        <v>340</v>
      </c>
      <c r="O2536" s="4" t="s">
        <v>265</v>
      </c>
      <c r="P2536" s="6">
        <f>1</f>
        <v>1</v>
      </c>
      <c r="Q2536" s="6">
        <f>0</f>
        <v>0</v>
      </c>
      <c r="S2536" s="6">
        <f>0</f>
        <v>0</v>
      </c>
      <c r="T2536" s="6">
        <f>1</f>
        <v>1</v>
      </c>
      <c r="U2536" s="5" t="s">
        <v>245</v>
      </c>
      <c r="V2536" s="4" t="s">
        <v>270</v>
      </c>
      <c r="W2536" s="4" t="s">
        <v>271</v>
      </c>
      <c r="X2536" s="4" t="s">
        <v>273</v>
      </c>
      <c r="Y2536" s="4" t="s">
        <v>241</v>
      </c>
      <c r="AB2536" s="4" t="s">
        <v>241</v>
      </c>
      <c r="AD2536" s="5" t="s">
        <v>241</v>
      </c>
      <c r="AG2536" s="5" t="s">
        <v>246</v>
      </c>
      <c r="AH2536" s="4" t="s">
        <v>241</v>
      </c>
      <c r="AI2536" s="4" t="s">
        <v>247</v>
      </c>
      <c r="AJ2536" s="4" t="s">
        <v>248</v>
      </c>
      <c r="AZ2536" s="4" t="s">
        <v>249</v>
      </c>
      <c r="BA2536" s="4" t="s">
        <v>241</v>
      </c>
      <c r="BB2536" s="4" t="s">
        <v>250</v>
      </c>
      <c r="BC2536" s="4" t="s">
        <v>241</v>
      </c>
      <c r="BD2536" s="4" t="s">
        <v>252</v>
      </c>
      <c r="BE2536" s="4" t="s">
        <v>241</v>
      </c>
      <c r="BI2536" s="4" t="s">
        <v>253</v>
      </c>
      <c r="BJ2536" s="5" t="s">
        <v>246</v>
      </c>
      <c r="BK2536" s="4" t="s">
        <v>254</v>
      </c>
      <c r="BL2536" s="4" t="s">
        <v>255</v>
      </c>
      <c r="BM2536" s="4" t="s">
        <v>241</v>
      </c>
      <c r="BN2536" s="6">
        <f>0</f>
        <v>0</v>
      </c>
      <c r="BO2536" s="6">
        <f>0</f>
        <v>0</v>
      </c>
      <c r="BP2536" s="4" t="s">
        <v>256</v>
      </c>
      <c r="BQ2536" s="4" t="s">
        <v>257</v>
      </c>
      <c r="CE2536" s="4" t="s">
        <v>241</v>
      </c>
      <c r="CF2536" s="4" t="s">
        <v>241</v>
      </c>
      <c r="CJ2536" s="4" t="s">
        <v>276</v>
      </c>
      <c r="CK2536" s="4" t="s">
        <v>259</v>
      </c>
      <c r="CL2536" s="4" t="s">
        <v>241</v>
      </c>
      <c r="CO2536" s="5" t="s">
        <v>260</v>
      </c>
      <c r="CP2536" s="4" t="s">
        <v>241</v>
      </c>
      <c r="CQ2536" s="4" t="s">
        <v>261</v>
      </c>
      <c r="CR2536" s="4" t="s">
        <v>241</v>
      </c>
      <c r="CS2536" s="4" t="s">
        <v>241</v>
      </c>
      <c r="CT2536" s="4">
        <v>0</v>
      </c>
      <c r="CU2536" s="4" t="s">
        <v>262</v>
      </c>
      <c r="CV2536" s="4" t="s">
        <v>263</v>
      </c>
      <c r="CW2536" s="4" t="s">
        <v>263</v>
      </c>
      <c r="CX2536" s="4" t="s">
        <v>264</v>
      </c>
      <c r="DA2536" s="6">
        <f>1</f>
        <v>1</v>
      </c>
      <c r="DC2536" s="4" t="s">
        <v>325</v>
      </c>
      <c r="DD2536" s="4" t="s">
        <v>241</v>
      </c>
      <c r="DF2536" s="4" t="s">
        <v>325</v>
      </c>
      <c r="DG2536" s="6">
        <f>340</f>
        <v>340</v>
      </c>
      <c r="DI2536" s="4" t="s">
        <v>241</v>
      </c>
      <c r="DJ2536" s="4" t="s">
        <v>241</v>
      </c>
      <c r="DK2536" s="4" t="s">
        <v>241</v>
      </c>
      <c r="DL2536" s="4" t="s">
        <v>241</v>
      </c>
      <c r="DP2536" s="4" t="s">
        <v>241</v>
      </c>
      <c r="DQ2536" s="4" t="s">
        <v>241</v>
      </c>
      <c r="DR2536" s="4" t="s">
        <v>241</v>
      </c>
      <c r="DS2536" s="4" t="s">
        <v>241</v>
      </c>
      <c r="DV2536" s="4" t="s">
        <v>426</v>
      </c>
      <c r="DW2536" s="4" t="s">
        <v>1842</v>
      </c>
      <c r="HO2536" s="4" t="s">
        <v>267</v>
      </c>
    </row>
    <row r="2537" spans="1:223" ht="19.5" customHeight="1" x14ac:dyDescent="0.4">
      <c r="A2537" s="4">
        <v>1</v>
      </c>
      <c r="B2537" s="4" t="s">
        <v>239</v>
      </c>
      <c r="C2537" s="4">
        <v>4240</v>
      </c>
      <c r="D2537" s="4">
        <v>1</v>
      </c>
      <c r="E2537" s="4">
        <v>1</v>
      </c>
      <c r="F2537" s="4" t="s">
        <v>268</v>
      </c>
      <c r="G2537" s="4" t="s">
        <v>241</v>
      </c>
      <c r="H2537" s="4" t="s">
        <v>241</v>
      </c>
      <c r="I2537" s="4" t="s">
        <v>424</v>
      </c>
      <c r="J2537" s="4" t="s">
        <v>274</v>
      </c>
      <c r="K2537" s="4" t="s">
        <v>251</v>
      </c>
      <c r="L2537" s="4" t="s">
        <v>423</v>
      </c>
      <c r="M2537" s="5" t="s">
        <v>3812</v>
      </c>
      <c r="N2537" s="6">
        <f>682</f>
        <v>682</v>
      </c>
      <c r="O2537" s="4" t="s">
        <v>265</v>
      </c>
      <c r="P2537" s="6">
        <f>1</f>
        <v>1</v>
      </c>
      <c r="Q2537" s="6">
        <f>0</f>
        <v>0</v>
      </c>
      <c r="S2537" s="6">
        <f>0</f>
        <v>0</v>
      </c>
      <c r="T2537" s="6">
        <f>1</f>
        <v>1</v>
      </c>
      <c r="U2537" s="5" t="s">
        <v>245</v>
      </c>
      <c r="V2537" s="4" t="s">
        <v>270</v>
      </c>
      <c r="W2537" s="4" t="s">
        <v>271</v>
      </c>
      <c r="X2537" s="4" t="s">
        <v>273</v>
      </c>
      <c r="Y2537" s="4" t="s">
        <v>241</v>
      </c>
      <c r="AB2537" s="4" t="s">
        <v>241</v>
      </c>
      <c r="AD2537" s="5" t="s">
        <v>241</v>
      </c>
      <c r="AG2537" s="5" t="s">
        <v>246</v>
      </c>
      <c r="AH2537" s="4" t="s">
        <v>241</v>
      </c>
      <c r="AI2537" s="4" t="s">
        <v>247</v>
      </c>
      <c r="AJ2537" s="4" t="s">
        <v>248</v>
      </c>
      <c r="AZ2537" s="4" t="s">
        <v>249</v>
      </c>
      <c r="BA2537" s="4" t="s">
        <v>241</v>
      </c>
      <c r="BB2537" s="4" t="s">
        <v>250</v>
      </c>
      <c r="BC2537" s="4" t="s">
        <v>241</v>
      </c>
      <c r="BD2537" s="4" t="s">
        <v>252</v>
      </c>
      <c r="BE2537" s="4" t="s">
        <v>241</v>
      </c>
      <c r="BI2537" s="4" t="s">
        <v>253</v>
      </c>
      <c r="BJ2537" s="5" t="s">
        <v>246</v>
      </c>
      <c r="BK2537" s="4" t="s">
        <v>254</v>
      </c>
      <c r="BL2537" s="4" t="s">
        <v>255</v>
      </c>
      <c r="BM2537" s="4" t="s">
        <v>241</v>
      </c>
      <c r="BN2537" s="6">
        <f>0</f>
        <v>0</v>
      </c>
      <c r="BO2537" s="6">
        <f>0</f>
        <v>0</v>
      </c>
      <c r="BP2537" s="4" t="s">
        <v>256</v>
      </c>
      <c r="BQ2537" s="4" t="s">
        <v>257</v>
      </c>
      <c r="CE2537" s="4" t="s">
        <v>241</v>
      </c>
      <c r="CF2537" s="4" t="s">
        <v>241</v>
      </c>
      <c r="CJ2537" s="4" t="s">
        <v>276</v>
      </c>
      <c r="CK2537" s="4" t="s">
        <v>259</v>
      </c>
      <c r="CL2537" s="4" t="s">
        <v>241</v>
      </c>
      <c r="CO2537" s="5" t="s">
        <v>260</v>
      </c>
      <c r="CP2537" s="4" t="s">
        <v>241</v>
      </c>
      <c r="CQ2537" s="4" t="s">
        <v>261</v>
      </c>
      <c r="CR2537" s="4" t="s">
        <v>241</v>
      </c>
      <c r="CS2537" s="4" t="s">
        <v>241</v>
      </c>
      <c r="CT2537" s="4">
        <v>0</v>
      </c>
      <c r="CU2537" s="4" t="s">
        <v>262</v>
      </c>
      <c r="CV2537" s="4" t="s">
        <v>263</v>
      </c>
      <c r="CW2537" s="4" t="s">
        <v>263</v>
      </c>
      <c r="CX2537" s="4" t="s">
        <v>264</v>
      </c>
      <c r="DA2537" s="6">
        <f>1</f>
        <v>1</v>
      </c>
      <c r="DC2537" s="4" t="s">
        <v>325</v>
      </c>
      <c r="DD2537" s="4" t="s">
        <v>241</v>
      </c>
      <c r="DF2537" s="4" t="s">
        <v>325</v>
      </c>
      <c r="DG2537" s="6">
        <f>682</f>
        <v>682</v>
      </c>
      <c r="DI2537" s="4" t="s">
        <v>241</v>
      </c>
      <c r="DJ2537" s="4" t="s">
        <v>241</v>
      </c>
      <c r="DK2537" s="4" t="s">
        <v>241</v>
      </c>
      <c r="DL2537" s="4" t="s">
        <v>241</v>
      </c>
      <c r="DP2537" s="4" t="s">
        <v>241</v>
      </c>
      <c r="DQ2537" s="4" t="s">
        <v>241</v>
      </c>
      <c r="DR2537" s="4" t="s">
        <v>241</v>
      </c>
      <c r="DS2537" s="4" t="s">
        <v>241</v>
      </c>
      <c r="DV2537" s="4" t="s">
        <v>426</v>
      </c>
      <c r="DW2537" s="4" t="s">
        <v>1862</v>
      </c>
      <c r="HO2537" s="4" t="s">
        <v>267</v>
      </c>
    </row>
    <row r="2538" spans="1:223" ht="19.5" customHeight="1" x14ac:dyDescent="0.4">
      <c r="A2538" s="4">
        <v>1</v>
      </c>
      <c r="B2538" s="4" t="s">
        <v>239</v>
      </c>
      <c r="C2538" s="4">
        <v>4241</v>
      </c>
      <c r="D2538" s="4">
        <v>1</v>
      </c>
      <c r="E2538" s="4">
        <v>1</v>
      </c>
      <c r="F2538" s="4" t="s">
        <v>268</v>
      </c>
      <c r="G2538" s="4" t="s">
        <v>241</v>
      </c>
      <c r="H2538" s="4" t="s">
        <v>241</v>
      </c>
      <c r="I2538" s="4" t="s">
        <v>424</v>
      </c>
      <c r="J2538" s="4" t="s">
        <v>274</v>
      </c>
      <c r="K2538" s="4" t="s">
        <v>251</v>
      </c>
      <c r="L2538" s="4" t="s">
        <v>423</v>
      </c>
      <c r="M2538" s="5" t="s">
        <v>3816</v>
      </c>
      <c r="N2538" s="6">
        <f>977</f>
        <v>977</v>
      </c>
      <c r="O2538" s="4" t="s">
        <v>265</v>
      </c>
      <c r="P2538" s="6">
        <f>1</f>
        <v>1</v>
      </c>
      <c r="Q2538" s="6">
        <f>0</f>
        <v>0</v>
      </c>
      <c r="S2538" s="6">
        <f>0</f>
        <v>0</v>
      </c>
      <c r="T2538" s="6">
        <f>1</f>
        <v>1</v>
      </c>
      <c r="U2538" s="5" t="s">
        <v>245</v>
      </c>
      <c r="V2538" s="4" t="s">
        <v>270</v>
      </c>
      <c r="W2538" s="4" t="s">
        <v>271</v>
      </c>
      <c r="X2538" s="4" t="s">
        <v>273</v>
      </c>
      <c r="Y2538" s="4" t="s">
        <v>241</v>
      </c>
      <c r="AB2538" s="4" t="s">
        <v>241</v>
      </c>
      <c r="AD2538" s="5" t="s">
        <v>241</v>
      </c>
      <c r="AG2538" s="5" t="s">
        <v>246</v>
      </c>
      <c r="AH2538" s="4" t="s">
        <v>241</v>
      </c>
      <c r="AI2538" s="4" t="s">
        <v>247</v>
      </c>
      <c r="AJ2538" s="4" t="s">
        <v>248</v>
      </c>
      <c r="AZ2538" s="4" t="s">
        <v>249</v>
      </c>
      <c r="BA2538" s="4" t="s">
        <v>241</v>
      </c>
      <c r="BB2538" s="4" t="s">
        <v>250</v>
      </c>
      <c r="BC2538" s="4" t="s">
        <v>241</v>
      </c>
      <c r="BD2538" s="4" t="s">
        <v>252</v>
      </c>
      <c r="BE2538" s="4" t="s">
        <v>241</v>
      </c>
      <c r="BI2538" s="4" t="s">
        <v>253</v>
      </c>
      <c r="BJ2538" s="5" t="s">
        <v>246</v>
      </c>
      <c r="BK2538" s="4" t="s">
        <v>254</v>
      </c>
      <c r="BL2538" s="4" t="s">
        <v>255</v>
      </c>
      <c r="BM2538" s="4" t="s">
        <v>241</v>
      </c>
      <c r="BN2538" s="6">
        <f>0</f>
        <v>0</v>
      </c>
      <c r="BO2538" s="6">
        <f>0</f>
        <v>0</v>
      </c>
      <c r="BP2538" s="4" t="s">
        <v>256</v>
      </c>
      <c r="BQ2538" s="4" t="s">
        <v>257</v>
      </c>
      <c r="CE2538" s="4" t="s">
        <v>241</v>
      </c>
      <c r="CF2538" s="4" t="s">
        <v>241</v>
      </c>
      <c r="CJ2538" s="4" t="s">
        <v>276</v>
      </c>
      <c r="CK2538" s="4" t="s">
        <v>259</v>
      </c>
      <c r="CL2538" s="4" t="s">
        <v>241</v>
      </c>
      <c r="CO2538" s="5" t="s">
        <v>260</v>
      </c>
      <c r="CP2538" s="4" t="s">
        <v>241</v>
      </c>
      <c r="CQ2538" s="4" t="s">
        <v>261</v>
      </c>
      <c r="CR2538" s="4" t="s">
        <v>241</v>
      </c>
      <c r="CS2538" s="4" t="s">
        <v>241</v>
      </c>
      <c r="CT2538" s="4">
        <v>0</v>
      </c>
      <c r="CU2538" s="4" t="s">
        <v>262</v>
      </c>
      <c r="CV2538" s="4" t="s">
        <v>263</v>
      </c>
      <c r="CW2538" s="4" t="s">
        <v>263</v>
      </c>
      <c r="CX2538" s="4" t="s">
        <v>264</v>
      </c>
      <c r="DA2538" s="6">
        <f>1</f>
        <v>1</v>
      </c>
      <c r="DC2538" s="4" t="s">
        <v>325</v>
      </c>
      <c r="DD2538" s="4" t="s">
        <v>241</v>
      </c>
      <c r="DF2538" s="4" t="s">
        <v>325</v>
      </c>
      <c r="DG2538" s="6">
        <f>977</f>
        <v>977</v>
      </c>
      <c r="DI2538" s="4" t="s">
        <v>241</v>
      </c>
      <c r="DJ2538" s="4" t="s">
        <v>241</v>
      </c>
      <c r="DK2538" s="4" t="s">
        <v>241</v>
      </c>
      <c r="DL2538" s="4" t="s">
        <v>241</v>
      </c>
      <c r="DP2538" s="4" t="s">
        <v>241</v>
      </c>
      <c r="DQ2538" s="4" t="s">
        <v>241</v>
      </c>
      <c r="DR2538" s="4" t="s">
        <v>241</v>
      </c>
      <c r="DS2538" s="4" t="s">
        <v>241</v>
      </c>
      <c r="DV2538" s="4" t="s">
        <v>426</v>
      </c>
      <c r="DW2538" s="4" t="s">
        <v>1865</v>
      </c>
      <c r="HO2538" s="4" t="s">
        <v>267</v>
      </c>
    </row>
    <row r="2539" spans="1:223" ht="19.5" customHeight="1" x14ac:dyDescent="0.4">
      <c r="A2539" s="4">
        <v>1</v>
      </c>
      <c r="B2539" s="4" t="s">
        <v>239</v>
      </c>
      <c r="C2539" s="4">
        <v>4242</v>
      </c>
      <c r="D2539" s="4">
        <v>1</v>
      </c>
      <c r="E2539" s="4">
        <v>1</v>
      </c>
      <c r="F2539" s="4" t="s">
        <v>268</v>
      </c>
      <c r="G2539" s="4" t="s">
        <v>241</v>
      </c>
      <c r="H2539" s="4" t="s">
        <v>241</v>
      </c>
      <c r="I2539" s="4" t="s">
        <v>424</v>
      </c>
      <c r="J2539" s="4" t="s">
        <v>274</v>
      </c>
      <c r="K2539" s="4" t="s">
        <v>251</v>
      </c>
      <c r="L2539" s="4" t="s">
        <v>423</v>
      </c>
      <c r="M2539" s="5" t="s">
        <v>3820</v>
      </c>
      <c r="N2539" s="6">
        <f>188</f>
        <v>188</v>
      </c>
      <c r="O2539" s="4" t="s">
        <v>265</v>
      </c>
      <c r="P2539" s="6">
        <f>1</f>
        <v>1</v>
      </c>
      <c r="Q2539" s="6">
        <f>0</f>
        <v>0</v>
      </c>
      <c r="S2539" s="6">
        <f>0</f>
        <v>0</v>
      </c>
      <c r="T2539" s="6">
        <f>1</f>
        <v>1</v>
      </c>
      <c r="U2539" s="5" t="s">
        <v>245</v>
      </c>
      <c r="V2539" s="4" t="s">
        <v>270</v>
      </c>
      <c r="W2539" s="4" t="s">
        <v>271</v>
      </c>
      <c r="X2539" s="4" t="s">
        <v>273</v>
      </c>
      <c r="Y2539" s="4" t="s">
        <v>241</v>
      </c>
      <c r="AB2539" s="4" t="s">
        <v>241</v>
      </c>
      <c r="AD2539" s="5" t="s">
        <v>241</v>
      </c>
      <c r="AG2539" s="5" t="s">
        <v>246</v>
      </c>
      <c r="AH2539" s="4" t="s">
        <v>241</v>
      </c>
      <c r="AI2539" s="4" t="s">
        <v>247</v>
      </c>
      <c r="AJ2539" s="4" t="s">
        <v>248</v>
      </c>
      <c r="AZ2539" s="4" t="s">
        <v>249</v>
      </c>
      <c r="BA2539" s="4" t="s">
        <v>241</v>
      </c>
      <c r="BB2539" s="4" t="s">
        <v>250</v>
      </c>
      <c r="BC2539" s="4" t="s">
        <v>241</v>
      </c>
      <c r="BD2539" s="4" t="s">
        <v>252</v>
      </c>
      <c r="BE2539" s="4" t="s">
        <v>241</v>
      </c>
      <c r="BI2539" s="4" t="s">
        <v>253</v>
      </c>
      <c r="BJ2539" s="5" t="s">
        <v>246</v>
      </c>
      <c r="BK2539" s="4" t="s">
        <v>254</v>
      </c>
      <c r="BL2539" s="4" t="s">
        <v>255</v>
      </c>
      <c r="BM2539" s="4" t="s">
        <v>241</v>
      </c>
      <c r="BN2539" s="6">
        <f>0</f>
        <v>0</v>
      </c>
      <c r="BO2539" s="6">
        <f>0</f>
        <v>0</v>
      </c>
      <c r="BP2539" s="4" t="s">
        <v>256</v>
      </c>
      <c r="BQ2539" s="4" t="s">
        <v>257</v>
      </c>
      <c r="CE2539" s="4" t="s">
        <v>241</v>
      </c>
      <c r="CF2539" s="4" t="s">
        <v>241</v>
      </c>
      <c r="CJ2539" s="4" t="s">
        <v>276</v>
      </c>
      <c r="CK2539" s="4" t="s">
        <v>259</v>
      </c>
      <c r="CL2539" s="4" t="s">
        <v>241</v>
      </c>
      <c r="CO2539" s="5" t="s">
        <v>260</v>
      </c>
      <c r="CP2539" s="4" t="s">
        <v>241</v>
      </c>
      <c r="CQ2539" s="4" t="s">
        <v>261</v>
      </c>
      <c r="CR2539" s="4" t="s">
        <v>241</v>
      </c>
      <c r="CS2539" s="4" t="s">
        <v>241</v>
      </c>
      <c r="CT2539" s="4">
        <v>0</v>
      </c>
      <c r="CU2539" s="4" t="s">
        <v>262</v>
      </c>
      <c r="CV2539" s="4" t="s">
        <v>263</v>
      </c>
      <c r="CW2539" s="4" t="s">
        <v>263</v>
      </c>
      <c r="CX2539" s="4" t="s">
        <v>264</v>
      </c>
      <c r="DA2539" s="6">
        <f>1</f>
        <v>1</v>
      </c>
      <c r="DC2539" s="4" t="s">
        <v>325</v>
      </c>
      <c r="DD2539" s="4" t="s">
        <v>241</v>
      </c>
      <c r="DF2539" s="4" t="s">
        <v>325</v>
      </c>
      <c r="DG2539" s="6">
        <f>188</f>
        <v>188</v>
      </c>
      <c r="DI2539" s="4" t="s">
        <v>241</v>
      </c>
      <c r="DJ2539" s="4" t="s">
        <v>241</v>
      </c>
      <c r="DK2539" s="4" t="s">
        <v>241</v>
      </c>
      <c r="DL2539" s="4" t="s">
        <v>241</v>
      </c>
      <c r="DP2539" s="4" t="s">
        <v>241</v>
      </c>
      <c r="DQ2539" s="4" t="s">
        <v>241</v>
      </c>
      <c r="DR2539" s="4" t="s">
        <v>241</v>
      </c>
      <c r="DS2539" s="4" t="s">
        <v>241</v>
      </c>
      <c r="DV2539" s="4" t="s">
        <v>426</v>
      </c>
      <c r="DW2539" s="4" t="s">
        <v>1937</v>
      </c>
      <c r="HO2539" s="4" t="s">
        <v>267</v>
      </c>
    </row>
    <row r="2540" spans="1:223" ht="19.5" customHeight="1" x14ac:dyDescent="0.4">
      <c r="A2540" s="4">
        <v>1</v>
      </c>
      <c r="B2540" s="4" t="s">
        <v>239</v>
      </c>
      <c r="C2540" s="4">
        <v>4243</v>
      </c>
      <c r="D2540" s="4">
        <v>1</v>
      </c>
      <c r="E2540" s="4">
        <v>1</v>
      </c>
      <c r="F2540" s="4" t="s">
        <v>268</v>
      </c>
      <c r="G2540" s="4" t="s">
        <v>241</v>
      </c>
      <c r="H2540" s="4" t="s">
        <v>241</v>
      </c>
      <c r="I2540" s="4" t="s">
        <v>424</v>
      </c>
      <c r="J2540" s="4" t="s">
        <v>274</v>
      </c>
      <c r="K2540" s="4" t="s">
        <v>251</v>
      </c>
      <c r="L2540" s="4" t="s">
        <v>423</v>
      </c>
      <c r="M2540" s="5" t="s">
        <v>3822</v>
      </c>
      <c r="N2540" s="6">
        <f>362</f>
        <v>362</v>
      </c>
      <c r="O2540" s="4" t="s">
        <v>265</v>
      </c>
      <c r="P2540" s="6">
        <f>1</f>
        <v>1</v>
      </c>
      <c r="Q2540" s="6">
        <f>0</f>
        <v>0</v>
      </c>
      <c r="S2540" s="6">
        <f>0</f>
        <v>0</v>
      </c>
      <c r="T2540" s="6">
        <f>1</f>
        <v>1</v>
      </c>
      <c r="U2540" s="5" t="s">
        <v>245</v>
      </c>
      <c r="V2540" s="4" t="s">
        <v>270</v>
      </c>
      <c r="W2540" s="4" t="s">
        <v>271</v>
      </c>
      <c r="X2540" s="4" t="s">
        <v>273</v>
      </c>
      <c r="Y2540" s="4" t="s">
        <v>241</v>
      </c>
      <c r="AB2540" s="4" t="s">
        <v>241</v>
      </c>
      <c r="AD2540" s="5" t="s">
        <v>241</v>
      </c>
      <c r="AG2540" s="5" t="s">
        <v>246</v>
      </c>
      <c r="AH2540" s="4" t="s">
        <v>241</v>
      </c>
      <c r="AI2540" s="4" t="s">
        <v>247</v>
      </c>
      <c r="AJ2540" s="4" t="s">
        <v>248</v>
      </c>
      <c r="AZ2540" s="4" t="s">
        <v>249</v>
      </c>
      <c r="BA2540" s="4" t="s">
        <v>241</v>
      </c>
      <c r="BB2540" s="4" t="s">
        <v>250</v>
      </c>
      <c r="BC2540" s="4" t="s">
        <v>241</v>
      </c>
      <c r="BD2540" s="4" t="s">
        <v>252</v>
      </c>
      <c r="BE2540" s="4" t="s">
        <v>241</v>
      </c>
      <c r="BI2540" s="4" t="s">
        <v>253</v>
      </c>
      <c r="BJ2540" s="5" t="s">
        <v>246</v>
      </c>
      <c r="BK2540" s="4" t="s">
        <v>254</v>
      </c>
      <c r="BL2540" s="4" t="s">
        <v>255</v>
      </c>
      <c r="BM2540" s="4" t="s">
        <v>241</v>
      </c>
      <c r="BN2540" s="6">
        <f>0</f>
        <v>0</v>
      </c>
      <c r="BO2540" s="6">
        <f>0</f>
        <v>0</v>
      </c>
      <c r="BP2540" s="4" t="s">
        <v>256</v>
      </c>
      <c r="BQ2540" s="4" t="s">
        <v>257</v>
      </c>
      <c r="CE2540" s="4" t="s">
        <v>241</v>
      </c>
      <c r="CF2540" s="4" t="s">
        <v>241</v>
      </c>
      <c r="CJ2540" s="4" t="s">
        <v>276</v>
      </c>
      <c r="CK2540" s="4" t="s">
        <v>259</v>
      </c>
      <c r="CL2540" s="4" t="s">
        <v>241</v>
      </c>
      <c r="CO2540" s="5" t="s">
        <v>260</v>
      </c>
      <c r="CP2540" s="4" t="s">
        <v>241</v>
      </c>
      <c r="CQ2540" s="4" t="s">
        <v>261</v>
      </c>
      <c r="CR2540" s="4" t="s">
        <v>241</v>
      </c>
      <c r="CS2540" s="4" t="s">
        <v>241</v>
      </c>
      <c r="CT2540" s="4">
        <v>0</v>
      </c>
      <c r="CU2540" s="4" t="s">
        <v>262</v>
      </c>
      <c r="CV2540" s="4" t="s">
        <v>263</v>
      </c>
      <c r="CW2540" s="4" t="s">
        <v>263</v>
      </c>
      <c r="CX2540" s="4" t="s">
        <v>264</v>
      </c>
      <c r="DA2540" s="6">
        <f>1</f>
        <v>1</v>
      </c>
      <c r="DC2540" s="4" t="s">
        <v>325</v>
      </c>
      <c r="DD2540" s="4" t="s">
        <v>241</v>
      </c>
      <c r="DF2540" s="4" t="s">
        <v>325</v>
      </c>
      <c r="DG2540" s="6">
        <f>362</f>
        <v>362</v>
      </c>
      <c r="DI2540" s="4" t="s">
        <v>241</v>
      </c>
      <c r="DJ2540" s="4" t="s">
        <v>241</v>
      </c>
      <c r="DK2540" s="4" t="s">
        <v>241</v>
      </c>
      <c r="DL2540" s="4" t="s">
        <v>241</v>
      </c>
      <c r="DP2540" s="4" t="s">
        <v>241</v>
      </c>
      <c r="DQ2540" s="4" t="s">
        <v>241</v>
      </c>
      <c r="DR2540" s="4" t="s">
        <v>241</v>
      </c>
      <c r="DS2540" s="4" t="s">
        <v>241</v>
      </c>
      <c r="DV2540" s="4" t="s">
        <v>426</v>
      </c>
      <c r="DW2540" s="4" t="s">
        <v>1852</v>
      </c>
      <c r="HO2540" s="4" t="s">
        <v>267</v>
      </c>
    </row>
    <row r="2541" spans="1:223" ht="19.5" customHeight="1" x14ac:dyDescent="0.4">
      <c r="A2541" s="4">
        <v>1</v>
      </c>
      <c r="B2541" s="4" t="s">
        <v>239</v>
      </c>
      <c r="C2541" s="4">
        <v>4244</v>
      </c>
      <c r="D2541" s="4">
        <v>1</v>
      </c>
      <c r="E2541" s="4">
        <v>1</v>
      </c>
      <c r="F2541" s="4" t="s">
        <v>268</v>
      </c>
      <c r="G2541" s="4" t="s">
        <v>241</v>
      </c>
      <c r="H2541" s="4" t="s">
        <v>241</v>
      </c>
      <c r="I2541" s="4" t="s">
        <v>424</v>
      </c>
      <c r="J2541" s="4" t="s">
        <v>274</v>
      </c>
      <c r="K2541" s="4" t="s">
        <v>251</v>
      </c>
      <c r="L2541" s="4" t="s">
        <v>423</v>
      </c>
      <c r="M2541" s="5" t="s">
        <v>3826</v>
      </c>
      <c r="N2541" s="6">
        <f>286</f>
        <v>286</v>
      </c>
      <c r="O2541" s="4" t="s">
        <v>265</v>
      </c>
      <c r="P2541" s="6">
        <f>1</f>
        <v>1</v>
      </c>
      <c r="Q2541" s="6">
        <f>0</f>
        <v>0</v>
      </c>
      <c r="S2541" s="6">
        <f>0</f>
        <v>0</v>
      </c>
      <c r="T2541" s="6">
        <f>1</f>
        <v>1</v>
      </c>
      <c r="U2541" s="5" t="s">
        <v>245</v>
      </c>
      <c r="V2541" s="4" t="s">
        <v>270</v>
      </c>
      <c r="W2541" s="4" t="s">
        <v>271</v>
      </c>
      <c r="X2541" s="4" t="s">
        <v>273</v>
      </c>
      <c r="Y2541" s="4" t="s">
        <v>241</v>
      </c>
      <c r="AB2541" s="4" t="s">
        <v>241</v>
      </c>
      <c r="AD2541" s="5" t="s">
        <v>241</v>
      </c>
      <c r="AG2541" s="5" t="s">
        <v>246</v>
      </c>
      <c r="AH2541" s="4" t="s">
        <v>241</v>
      </c>
      <c r="AI2541" s="4" t="s">
        <v>247</v>
      </c>
      <c r="AJ2541" s="4" t="s">
        <v>248</v>
      </c>
      <c r="AZ2541" s="4" t="s">
        <v>249</v>
      </c>
      <c r="BA2541" s="4" t="s">
        <v>241</v>
      </c>
      <c r="BB2541" s="4" t="s">
        <v>250</v>
      </c>
      <c r="BC2541" s="4" t="s">
        <v>241</v>
      </c>
      <c r="BD2541" s="4" t="s">
        <v>252</v>
      </c>
      <c r="BE2541" s="4" t="s">
        <v>241</v>
      </c>
      <c r="BI2541" s="4" t="s">
        <v>253</v>
      </c>
      <c r="BJ2541" s="5" t="s">
        <v>246</v>
      </c>
      <c r="BK2541" s="4" t="s">
        <v>254</v>
      </c>
      <c r="BL2541" s="4" t="s">
        <v>255</v>
      </c>
      <c r="BM2541" s="4" t="s">
        <v>241</v>
      </c>
      <c r="BN2541" s="6">
        <f>0</f>
        <v>0</v>
      </c>
      <c r="BO2541" s="6">
        <f>0</f>
        <v>0</v>
      </c>
      <c r="BP2541" s="4" t="s">
        <v>256</v>
      </c>
      <c r="BQ2541" s="4" t="s">
        <v>257</v>
      </c>
      <c r="CE2541" s="4" t="s">
        <v>241</v>
      </c>
      <c r="CF2541" s="4" t="s">
        <v>241</v>
      </c>
      <c r="CJ2541" s="4" t="s">
        <v>276</v>
      </c>
      <c r="CK2541" s="4" t="s">
        <v>259</v>
      </c>
      <c r="CL2541" s="4" t="s">
        <v>241</v>
      </c>
      <c r="CO2541" s="5" t="s">
        <v>260</v>
      </c>
      <c r="CP2541" s="4" t="s">
        <v>241</v>
      </c>
      <c r="CQ2541" s="4" t="s">
        <v>261</v>
      </c>
      <c r="CR2541" s="4" t="s">
        <v>241</v>
      </c>
      <c r="CS2541" s="4" t="s">
        <v>241</v>
      </c>
      <c r="CT2541" s="4">
        <v>0</v>
      </c>
      <c r="CU2541" s="4" t="s">
        <v>262</v>
      </c>
      <c r="CV2541" s="4" t="s">
        <v>263</v>
      </c>
      <c r="CW2541" s="4" t="s">
        <v>263</v>
      </c>
      <c r="CX2541" s="4" t="s">
        <v>264</v>
      </c>
      <c r="DA2541" s="6">
        <f>1</f>
        <v>1</v>
      </c>
      <c r="DC2541" s="4" t="s">
        <v>325</v>
      </c>
      <c r="DD2541" s="4" t="s">
        <v>241</v>
      </c>
      <c r="DF2541" s="4" t="s">
        <v>325</v>
      </c>
      <c r="DG2541" s="6">
        <f>286</f>
        <v>286</v>
      </c>
      <c r="DI2541" s="4" t="s">
        <v>241</v>
      </c>
      <c r="DJ2541" s="4" t="s">
        <v>241</v>
      </c>
      <c r="DK2541" s="4" t="s">
        <v>241</v>
      </c>
      <c r="DL2541" s="4" t="s">
        <v>241</v>
      </c>
      <c r="DP2541" s="4" t="s">
        <v>241</v>
      </c>
      <c r="DQ2541" s="4" t="s">
        <v>241</v>
      </c>
      <c r="DR2541" s="4" t="s">
        <v>241</v>
      </c>
      <c r="DS2541" s="4" t="s">
        <v>241</v>
      </c>
      <c r="DV2541" s="4" t="s">
        <v>426</v>
      </c>
      <c r="DW2541" s="4" t="s">
        <v>1859</v>
      </c>
      <c r="HO2541" s="4" t="s">
        <v>267</v>
      </c>
    </row>
    <row r="2542" spans="1:223" ht="19.5" customHeight="1" x14ac:dyDescent="0.4">
      <c r="A2542" s="4">
        <v>1</v>
      </c>
      <c r="B2542" s="4" t="s">
        <v>239</v>
      </c>
      <c r="C2542" s="4">
        <v>4245</v>
      </c>
      <c r="D2542" s="4">
        <v>1</v>
      </c>
      <c r="E2542" s="4">
        <v>1</v>
      </c>
      <c r="F2542" s="4" t="s">
        <v>268</v>
      </c>
      <c r="G2542" s="4" t="s">
        <v>241</v>
      </c>
      <c r="H2542" s="4" t="s">
        <v>241</v>
      </c>
      <c r="I2542" s="4" t="s">
        <v>424</v>
      </c>
      <c r="J2542" s="4" t="s">
        <v>274</v>
      </c>
      <c r="K2542" s="4" t="s">
        <v>251</v>
      </c>
      <c r="L2542" s="4" t="s">
        <v>423</v>
      </c>
      <c r="M2542" s="5" t="s">
        <v>3830</v>
      </c>
      <c r="N2542" s="6">
        <f>450</f>
        <v>450</v>
      </c>
      <c r="O2542" s="4" t="s">
        <v>265</v>
      </c>
      <c r="P2542" s="6">
        <f>1</f>
        <v>1</v>
      </c>
      <c r="Q2542" s="6">
        <f>0</f>
        <v>0</v>
      </c>
      <c r="S2542" s="6">
        <f>0</f>
        <v>0</v>
      </c>
      <c r="T2542" s="6">
        <f>1</f>
        <v>1</v>
      </c>
      <c r="U2542" s="5" t="s">
        <v>245</v>
      </c>
      <c r="V2542" s="4" t="s">
        <v>270</v>
      </c>
      <c r="W2542" s="4" t="s">
        <v>271</v>
      </c>
      <c r="X2542" s="4" t="s">
        <v>273</v>
      </c>
      <c r="Y2542" s="4" t="s">
        <v>241</v>
      </c>
      <c r="AB2542" s="4" t="s">
        <v>241</v>
      </c>
      <c r="AD2542" s="5" t="s">
        <v>241</v>
      </c>
      <c r="AG2542" s="5" t="s">
        <v>246</v>
      </c>
      <c r="AH2542" s="4" t="s">
        <v>241</v>
      </c>
      <c r="AI2542" s="4" t="s">
        <v>247</v>
      </c>
      <c r="AJ2542" s="4" t="s">
        <v>248</v>
      </c>
      <c r="AZ2542" s="4" t="s">
        <v>249</v>
      </c>
      <c r="BA2542" s="4" t="s">
        <v>241</v>
      </c>
      <c r="BB2542" s="4" t="s">
        <v>250</v>
      </c>
      <c r="BC2542" s="4" t="s">
        <v>241</v>
      </c>
      <c r="BD2542" s="4" t="s">
        <v>252</v>
      </c>
      <c r="BE2542" s="4" t="s">
        <v>241</v>
      </c>
      <c r="BI2542" s="4" t="s">
        <v>253</v>
      </c>
      <c r="BJ2542" s="5" t="s">
        <v>246</v>
      </c>
      <c r="BK2542" s="4" t="s">
        <v>254</v>
      </c>
      <c r="BL2542" s="4" t="s">
        <v>255</v>
      </c>
      <c r="BM2542" s="4" t="s">
        <v>241</v>
      </c>
      <c r="BN2542" s="6">
        <f>0</f>
        <v>0</v>
      </c>
      <c r="BO2542" s="6">
        <f>0</f>
        <v>0</v>
      </c>
      <c r="BP2542" s="4" t="s">
        <v>256</v>
      </c>
      <c r="BQ2542" s="4" t="s">
        <v>257</v>
      </c>
      <c r="CE2542" s="4" t="s">
        <v>241</v>
      </c>
      <c r="CF2542" s="4" t="s">
        <v>241</v>
      </c>
      <c r="CJ2542" s="4" t="s">
        <v>276</v>
      </c>
      <c r="CK2542" s="4" t="s">
        <v>259</v>
      </c>
      <c r="CL2542" s="4" t="s">
        <v>241</v>
      </c>
      <c r="CO2542" s="5" t="s">
        <v>260</v>
      </c>
      <c r="CP2542" s="4" t="s">
        <v>241</v>
      </c>
      <c r="CQ2542" s="4" t="s">
        <v>261</v>
      </c>
      <c r="CR2542" s="4" t="s">
        <v>241</v>
      </c>
      <c r="CS2542" s="4" t="s">
        <v>241</v>
      </c>
      <c r="CT2542" s="4">
        <v>0</v>
      </c>
      <c r="CU2542" s="4" t="s">
        <v>262</v>
      </c>
      <c r="CV2542" s="4" t="s">
        <v>263</v>
      </c>
      <c r="CW2542" s="4" t="s">
        <v>263</v>
      </c>
      <c r="CX2542" s="4" t="s">
        <v>264</v>
      </c>
      <c r="DA2542" s="6">
        <f>1</f>
        <v>1</v>
      </c>
      <c r="DC2542" s="4" t="s">
        <v>325</v>
      </c>
      <c r="DD2542" s="4" t="s">
        <v>241</v>
      </c>
      <c r="DF2542" s="4" t="s">
        <v>325</v>
      </c>
      <c r="DG2542" s="6">
        <f>450</f>
        <v>450</v>
      </c>
      <c r="DI2542" s="4" t="s">
        <v>241</v>
      </c>
      <c r="DJ2542" s="4" t="s">
        <v>241</v>
      </c>
      <c r="DK2542" s="4" t="s">
        <v>241</v>
      </c>
      <c r="DL2542" s="4" t="s">
        <v>241</v>
      </c>
      <c r="DP2542" s="4" t="s">
        <v>241</v>
      </c>
      <c r="DQ2542" s="4" t="s">
        <v>241</v>
      </c>
      <c r="DR2542" s="4" t="s">
        <v>241</v>
      </c>
      <c r="DS2542" s="4" t="s">
        <v>241</v>
      </c>
      <c r="DV2542" s="4" t="s">
        <v>426</v>
      </c>
      <c r="DW2542" s="4" t="s">
        <v>1838</v>
      </c>
      <c r="HO2542" s="4" t="s">
        <v>267</v>
      </c>
    </row>
    <row r="2543" spans="1:223" ht="19.5" customHeight="1" x14ac:dyDescent="0.4">
      <c r="A2543" s="4">
        <v>1</v>
      </c>
      <c r="B2543" s="4" t="s">
        <v>239</v>
      </c>
      <c r="C2543" s="4">
        <v>4246</v>
      </c>
      <c r="D2543" s="4">
        <v>1</v>
      </c>
      <c r="E2543" s="4">
        <v>1</v>
      </c>
      <c r="F2543" s="4" t="s">
        <v>268</v>
      </c>
      <c r="G2543" s="4" t="s">
        <v>241</v>
      </c>
      <c r="H2543" s="4" t="s">
        <v>241</v>
      </c>
      <c r="I2543" s="4" t="s">
        <v>424</v>
      </c>
      <c r="J2543" s="4" t="s">
        <v>274</v>
      </c>
      <c r="K2543" s="4" t="s">
        <v>251</v>
      </c>
      <c r="L2543" s="4" t="s">
        <v>423</v>
      </c>
      <c r="M2543" s="5" t="s">
        <v>3834</v>
      </c>
      <c r="N2543" s="6">
        <f>1268</f>
        <v>1268</v>
      </c>
      <c r="O2543" s="4" t="s">
        <v>265</v>
      </c>
      <c r="P2543" s="6">
        <f>1</f>
        <v>1</v>
      </c>
      <c r="Q2543" s="6">
        <f>0</f>
        <v>0</v>
      </c>
      <c r="S2543" s="6">
        <f>0</f>
        <v>0</v>
      </c>
      <c r="T2543" s="6">
        <f>1</f>
        <v>1</v>
      </c>
      <c r="U2543" s="5" t="s">
        <v>245</v>
      </c>
      <c r="V2543" s="4" t="s">
        <v>270</v>
      </c>
      <c r="W2543" s="4" t="s">
        <v>271</v>
      </c>
      <c r="X2543" s="4" t="s">
        <v>273</v>
      </c>
      <c r="Y2543" s="4" t="s">
        <v>241</v>
      </c>
      <c r="AB2543" s="4" t="s">
        <v>241</v>
      </c>
      <c r="AD2543" s="5" t="s">
        <v>241</v>
      </c>
      <c r="AG2543" s="5" t="s">
        <v>246</v>
      </c>
      <c r="AH2543" s="4" t="s">
        <v>241</v>
      </c>
      <c r="AI2543" s="4" t="s">
        <v>247</v>
      </c>
      <c r="AJ2543" s="4" t="s">
        <v>248</v>
      </c>
      <c r="AZ2543" s="4" t="s">
        <v>249</v>
      </c>
      <c r="BA2543" s="4" t="s">
        <v>241</v>
      </c>
      <c r="BB2543" s="4" t="s">
        <v>250</v>
      </c>
      <c r="BC2543" s="4" t="s">
        <v>241</v>
      </c>
      <c r="BD2543" s="4" t="s">
        <v>252</v>
      </c>
      <c r="BE2543" s="4" t="s">
        <v>241</v>
      </c>
      <c r="BI2543" s="4" t="s">
        <v>253</v>
      </c>
      <c r="BJ2543" s="5" t="s">
        <v>246</v>
      </c>
      <c r="BK2543" s="4" t="s">
        <v>254</v>
      </c>
      <c r="BL2543" s="4" t="s">
        <v>255</v>
      </c>
      <c r="BM2543" s="4" t="s">
        <v>241</v>
      </c>
      <c r="BN2543" s="6">
        <f>0</f>
        <v>0</v>
      </c>
      <c r="BO2543" s="6">
        <f>0</f>
        <v>0</v>
      </c>
      <c r="BP2543" s="4" t="s">
        <v>256</v>
      </c>
      <c r="BQ2543" s="4" t="s">
        <v>257</v>
      </c>
      <c r="CE2543" s="4" t="s">
        <v>241</v>
      </c>
      <c r="CF2543" s="4" t="s">
        <v>241</v>
      </c>
      <c r="CJ2543" s="4" t="s">
        <v>276</v>
      </c>
      <c r="CK2543" s="4" t="s">
        <v>259</v>
      </c>
      <c r="CL2543" s="4" t="s">
        <v>241</v>
      </c>
      <c r="CO2543" s="5" t="s">
        <v>260</v>
      </c>
      <c r="CP2543" s="4" t="s">
        <v>241</v>
      </c>
      <c r="CQ2543" s="4" t="s">
        <v>261</v>
      </c>
      <c r="CR2543" s="4" t="s">
        <v>241</v>
      </c>
      <c r="CS2543" s="4" t="s">
        <v>241</v>
      </c>
      <c r="CT2543" s="4">
        <v>0</v>
      </c>
      <c r="CU2543" s="4" t="s">
        <v>262</v>
      </c>
      <c r="CV2543" s="4" t="s">
        <v>263</v>
      </c>
      <c r="CW2543" s="4" t="s">
        <v>263</v>
      </c>
      <c r="CX2543" s="4" t="s">
        <v>264</v>
      </c>
      <c r="DA2543" s="6">
        <f>1</f>
        <v>1</v>
      </c>
      <c r="DC2543" s="4" t="s">
        <v>325</v>
      </c>
      <c r="DD2543" s="4" t="s">
        <v>241</v>
      </c>
      <c r="DF2543" s="4" t="s">
        <v>325</v>
      </c>
      <c r="DG2543" s="6">
        <f>1268</f>
        <v>1268</v>
      </c>
      <c r="DI2543" s="4" t="s">
        <v>241</v>
      </c>
      <c r="DJ2543" s="4" t="s">
        <v>241</v>
      </c>
      <c r="DK2543" s="4" t="s">
        <v>241</v>
      </c>
      <c r="DL2543" s="4" t="s">
        <v>241</v>
      </c>
      <c r="DP2543" s="4" t="s">
        <v>241</v>
      </c>
      <c r="DQ2543" s="4" t="s">
        <v>241</v>
      </c>
      <c r="DR2543" s="4" t="s">
        <v>241</v>
      </c>
      <c r="DS2543" s="4" t="s">
        <v>241</v>
      </c>
      <c r="DV2543" s="4" t="s">
        <v>426</v>
      </c>
      <c r="DW2543" s="4" t="s">
        <v>1844</v>
      </c>
      <c r="HO2543" s="4" t="s">
        <v>267</v>
      </c>
    </row>
    <row r="2544" spans="1:223" ht="19.5" customHeight="1" x14ac:dyDescent="0.4">
      <c r="A2544" s="4">
        <v>1</v>
      </c>
      <c r="B2544" s="4" t="s">
        <v>239</v>
      </c>
      <c r="C2544" s="4">
        <v>4247</v>
      </c>
      <c r="D2544" s="4">
        <v>1</v>
      </c>
      <c r="E2544" s="4">
        <v>1</v>
      </c>
      <c r="F2544" s="4" t="s">
        <v>268</v>
      </c>
      <c r="G2544" s="4" t="s">
        <v>241</v>
      </c>
      <c r="H2544" s="4" t="s">
        <v>241</v>
      </c>
      <c r="I2544" s="4" t="s">
        <v>424</v>
      </c>
      <c r="J2544" s="4" t="s">
        <v>274</v>
      </c>
      <c r="K2544" s="4" t="s">
        <v>251</v>
      </c>
      <c r="L2544" s="4" t="s">
        <v>423</v>
      </c>
      <c r="M2544" s="5" t="s">
        <v>3838</v>
      </c>
      <c r="N2544" s="6">
        <f>105</f>
        <v>105</v>
      </c>
      <c r="O2544" s="4" t="s">
        <v>265</v>
      </c>
      <c r="P2544" s="6">
        <f>1</f>
        <v>1</v>
      </c>
      <c r="Q2544" s="6">
        <f>0</f>
        <v>0</v>
      </c>
      <c r="S2544" s="6">
        <f>0</f>
        <v>0</v>
      </c>
      <c r="T2544" s="6">
        <f>1</f>
        <v>1</v>
      </c>
      <c r="U2544" s="5" t="s">
        <v>245</v>
      </c>
      <c r="V2544" s="4" t="s">
        <v>270</v>
      </c>
      <c r="W2544" s="4" t="s">
        <v>271</v>
      </c>
      <c r="X2544" s="4" t="s">
        <v>273</v>
      </c>
      <c r="Y2544" s="4" t="s">
        <v>241</v>
      </c>
      <c r="AB2544" s="4" t="s">
        <v>241</v>
      </c>
      <c r="AD2544" s="5" t="s">
        <v>241</v>
      </c>
      <c r="AG2544" s="5" t="s">
        <v>246</v>
      </c>
      <c r="AH2544" s="4" t="s">
        <v>241</v>
      </c>
      <c r="AI2544" s="4" t="s">
        <v>247</v>
      </c>
      <c r="AJ2544" s="4" t="s">
        <v>248</v>
      </c>
      <c r="AZ2544" s="4" t="s">
        <v>249</v>
      </c>
      <c r="BA2544" s="4" t="s">
        <v>241</v>
      </c>
      <c r="BB2544" s="4" t="s">
        <v>250</v>
      </c>
      <c r="BC2544" s="4" t="s">
        <v>241</v>
      </c>
      <c r="BD2544" s="4" t="s">
        <v>252</v>
      </c>
      <c r="BE2544" s="4" t="s">
        <v>241</v>
      </c>
      <c r="BI2544" s="4" t="s">
        <v>253</v>
      </c>
      <c r="BJ2544" s="5" t="s">
        <v>246</v>
      </c>
      <c r="BK2544" s="4" t="s">
        <v>254</v>
      </c>
      <c r="BL2544" s="4" t="s">
        <v>255</v>
      </c>
      <c r="BM2544" s="4" t="s">
        <v>241</v>
      </c>
      <c r="BN2544" s="6">
        <f>0</f>
        <v>0</v>
      </c>
      <c r="BO2544" s="6">
        <f>0</f>
        <v>0</v>
      </c>
      <c r="BP2544" s="4" t="s">
        <v>256</v>
      </c>
      <c r="BQ2544" s="4" t="s">
        <v>257</v>
      </c>
      <c r="CE2544" s="4" t="s">
        <v>241</v>
      </c>
      <c r="CF2544" s="4" t="s">
        <v>241</v>
      </c>
      <c r="CJ2544" s="4" t="s">
        <v>276</v>
      </c>
      <c r="CK2544" s="4" t="s">
        <v>259</v>
      </c>
      <c r="CL2544" s="4" t="s">
        <v>241</v>
      </c>
      <c r="CO2544" s="5" t="s">
        <v>260</v>
      </c>
      <c r="CP2544" s="4" t="s">
        <v>241</v>
      </c>
      <c r="CQ2544" s="4" t="s">
        <v>261</v>
      </c>
      <c r="CR2544" s="4" t="s">
        <v>241</v>
      </c>
      <c r="CS2544" s="4" t="s">
        <v>241</v>
      </c>
      <c r="CT2544" s="4">
        <v>0</v>
      </c>
      <c r="CU2544" s="4" t="s">
        <v>262</v>
      </c>
      <c r="CV2544" s="4" t="s">
        <v>263</v>
      </c>
      <c r="CW2544" s="4" t="s">
        <v>263</v>
      </c>
      <c r="CX2544" s="4" t="s">
        <v>264</v>
      </c>
      <c r="DA2544" s="6">
        <f>1</f>
        <v>1</v>
      </c>
      <c r="DC2544" s="4" t="s">
        <v>325</v>
      </c>
      <c r="DD2544" s="4" t="s">
        <v>241</v>
      </c>
      <c r="DF2544" s="4" t="s">
        <v>325</v>
      </c>
      <c r="DG2544" s="6">
        <f>105</f>
        <v>105</v>
      </c>
      <c r="DI2544" s="4" t="s">
        <v>241</v>
      </c>
      <c r="DJ2544" s="4" t="s">
        <v>241</v>
      </c>
      <c r="DK2544" s="4" t="s">
        <v>241</v>
      </c>
      <c r="DL2544" s="4" t="s">
        <v>241</v>
      </c>
      <c r="DP2544" s="4" t="s">
        <v>241</v>
      </c>
      <c r="DQ2544" s="4" t="s">
        <v>241</v>
      </c>
      <c r="DR2544" s="4" t="s">
        <v>241</v>
      </c>
      <c r="DS2544" s="4" t="s">
        <v>241</v>
      </c>
      <c r="DV2544" s="4" t="s">
        <v>426</v>
      </c>
      <c r="DW2544" s="4" t="s">
        <v>1840</v>
      </c>
      <c r="HO2544" s="4" t="s">
        <v>267</v>
      </c>
    </row>
    <row r="2545" spans="1:223" ht="19.5" customHeight="1" x14ac:dyDescent="0.4">
      <c r="A2545" s="4">
        <v>1</v>
      </c>
      <c r="B2545" s="4" t="s">
        <v>239</v>
      </c>
      <c r="C2545" s="4">
        <v>4248</v>
      </c>
      <c r="D2545" s="4">
        <v>1</v>
      </c>
      <c r="E2545" s="4">
        <v>1</v>
      </c>
      <c r="F2545" s="4" t="s">
        <v>268</v>
      </c>
      <c r="G2545" s="4" t="s">
        <v>241</v>
      </c>
      <c r="H2545" s="4" t="s">
        <v>241</v>
      </c>
      <c r="I2545" s="4" t="s">
        <v>424</v>
      </c>
      <c r="J2545" s="4" t="s">
        <v>274</v>
      </c>
      <c r="K2545" s="4" t="s">
        <v>251</v>
      </c>
      <c r="L2545" s="4" t="s">
        <v>423</v>
      </c>
      <c r="M2545" s="5" t="s">
        <v>3843</v>
      </c>
      <c r="N2545" s="6">
        <f>72</f>
        <v>72</v>
      </c>
      <c r="O2545" s="4" t="s">
        <v>265</v>
      </c>
      <c r="P2545" s="6">
        <f>1</f>
        <v>1</v>
      </c>
      <c r="Q2545" s="6">
        <f>0</f>
        <v>0</v>
      </c>
      <c r="S2545" s="6">
        <f>0</f>
        <v>0</v>
      </c>
      <c r="T2545" s="6">
        <f>1</f>
        <v>1</v>
      </c>
      <c r="U2545" s="5" t="s">
        <v>245</v>
      </c>
      <c r="V2545" s="4" t="s">
        <v>270</v>
      </c>
      <c r="W2545" s="4" t="s">
        <v>271</v>
      </c>
      <c r="X2545" s="4" t="s">
        <v>273</v>
      </c>
      <c r="Y2545" s="4" t="s">
        <v>241</v>
      </c>
      <c r="AB2545" s="4" t="s">
        <v>241</v>
      </c>
      <c r="AD2545" s="5" t="s">
        <v>241</v>
      </c>
      <c r="AG2545" s="5" t="s">
        <v>246</v>
      </c>
      <c r="AH2545" s="4" t="s">
        <v>241</v>
      </c>
      <c r="AI2545" s="4" t="s">
        <v>247</v>
      </c>
      <c r="AJ2545" s="4" t="s">
        <v>248</v>
      </c>
      <c r="AZ2545" s="4" t="s">
        <v>249</v>
      </c>
      <c r="BA2545" s="4" t="s">
        <v>241</v>
      </c>
      <c r="BB2545" s="4" t="s">
        <v>250</v>
      </c>
      <c r="BC2545" s="4" t="s">
        <v>241</v>
      </c>
      <c r="BD2545" s="4" t="s">
        <v>252</v>
      </c>
      <c r="BE2545" s="4" t="s">
        <v>241</v>
      </c>
      <c r="BI2545" s="4" t="s">
        <v>253</v>
      </c>
      <c r="BJ2545" s="5" t="s">
        <v>246</v>
      </c>
      <c r="BK2545" s="4" t="s">
        <v>254</v>
      </c>
      <c r="BL2545" s="4" t="s">
        <v>255</v>
      </c>
      <c r="BM2545" s="4" t="s">
        <v>241</v>
      </c>
      <c r="BN2545" s="6">
        <f>0</f>
        <v>0</v>
      </c>
      <c r="BO2545" s="6">
        <f>0</f>
        <v>0</v>
      </c>
      <c r="BP2545" s="4" t="s">
        <v>256</v>
      </c>
      <c r="BQ2545" s="4" t="s">
        <v>257</v>
      </c>
      <c r="CE2545" s="4" t="s">
        <v>241</v>
      </c>
      <c r="CF2545" s="4" t="s">
        <v>241</v>
      </c>
      <c r="CJ2545" s="4" t="s">
        <v>276</v>
      </c>
      <c r="CK2545" s="4" t="s">
        <v>259</v>
      </c>
      <c r="CL2545" s="4" t="s">
        <v>241</v>
      </c>
      <c r="CO2545" s="5" t="s">
        <v>260</v>
      </c>
      <c r="CP2545" s="4" t="s">
        <v>241</v>
      </c>
      <c r="CQ2545" s="4" t="s">
        <v>261</v>
      </c>
      <c r="CR2545" s="4" t="s">
        <v>241</v>
      </c>
      <c r="CS2545" s="4" t="s">
        <v>241</v>
      </c>
      <c r="CT2545" s="4">
        <v>0</v>
      </c>
      <c r="CU2545" s="4" t="s">
        <v>262</v>
      </c>
      <c r="CV2545" s="4" t="s">
        <v>263</v>
      </c>
      <c r="CW2545" s="4" t="s">
        <v>263</v>
      </c>
      <c r="CX2545" s="4" t="s">
        <v>264</v>
      </c>
      <c r="DA2545" s="6">
        <f>1</f>
        <v>1</v>
      </c>
      <c r="DC2545" s="4" t="s">
        <v>325</v>
      </c>
      <c r="DD2545" s="4" t="s">
        <v>241</v>
      </c>
      <c r="DF2545" s="4" t="s">
        <v>325</v>
      </c>
      <c r="DG2545" s="6">
        <f>72</f>
        <v>72</v>
      </c>
      <c r="DI2545" s="4" t="s">
        <v>241</v>
      </c>
      <c r="DJ2545" s="4" t="s">
        <v>241</v>
      </c>
      <c r="DK2545" s="4" t="s">
        <v>241</v>
      </c>
      <c r="DL2545" s="4" t="s">
        <v>241</v>
      </c>
      <c r="DP2545" s="4" t="s">
        <v>241</v>
      </c>
      <c r="DQ2545" s="4" t="s">
        <v>241</v>
      </c>
      <c r="DR2545" s="4" t="s">
        <v>241</v>
      </c>
      <c r="DS2545" s="4" t="s">
        <v>241</v>
      </c>
      <c r="DV2545" s="4" t="s">
        <v>426</v>
      </c>
      <c r="DW2545" s="4" t="s">
        <v>1875</v>
      </c>
      <c r="HO2545" s="4" t="s">
        <v>267</v>
      </c>
    </row>
    <row r="2546" spans="1:223" ht="19.5" customHeight="1" x14ac:dyDescent="0.4">
      <c r="A2546" s="4">
        <v>1</v>
      </c>
      <c r="B2546" s="4" t="s">
        <v>239</v>
      </c>
      <c r="C2546" s="4">
        <v>4249</v>
      </c>
      <c r="D2546" s="4">
        <v>1</v>
      </c>
      <c r="E2546" s="4">
        <v>1</v>
      </c>
      <c r="F2546" s="4" t="s">
        <v>268</v>
      </c>
      <c r="G2546" s="4" t="s">
        <v>241</v>
      </c>
      <c r="H2546" s="4" t="s">
        <v>241</v>
      </c>
      <c r="I2546" s="4" t="s">
        <v>424</v>
      </c>
      <c r="J2546" s="4" t="s">
        <v>274</v>
      </c>
      <c r="K2546" s="4" t="s">
        <v>251</v>
      </c>
      <c r="L2546" s="4" t="s">
        <v>423</v>
      </c>
      <c r="M2546" s="5" t="s">
        <v>3846</v>
      </c>
      <c r="N2546" s="6">
        <f>246</f>
        <v>246</v>
      </c>
      <c r="O2546" s="4" t="s">
        <v>265</v>
      </c>
      <c r="P2546" s="6">
        <f>1</f>
        <v>1</v>
      </c>
      <c r="Q2546" s="6">
        <f>0</f>
        <v>0</v>
      </c>
      <c r="S2546" s="6">
        <f>0</f>
        <v>0</v>
      </c>
      <c r="T2546" s="6">
        <f>1</f>
        <v>1</v>
      </c>
      <c r="U2546" s="5" t="s">
        <v>245</v>
      </c>
      <c r="V2546" s="4" t="s">
        <v>270</v>
      </c>
      <c r="W2546" s="4" t="s">
        <v>271</v>
      </c>
      <c r="X2546" s="4" t="s">
        <v>273</v>
      </c>
      <c r="Y2546" s="4" t="s">
        <v>241</v>
      </c>
      <c r="AB2546" s="4" t="s">
        <v>241</v>
      </c>
      <c r="AD2546" s="5" t="s">
        <v>241</v>
      </c>
      <c r="AG2546" s="5" t="s">
        <v>246</v>
      </c>
      <c r="AH2546" s="4" t="s">
        <v>241</v>
      </c>
      <c r="AI2546" s="4" t="s">
        <v>247</v>
      </c>
      <c r="AJ2546" s="4" t="s">
        <v>248</v>
      </c>
      <c r="AZ2546" s="4" t="s">
        <v>249</v>
      </c>
      <c r="BA2546" s="4" t="s">
        <v>241</v>
      </c>
      <c r="BB2546" s="4" t="s">
        <v>250</v>
      </c>
      <c r="BC2546" s="4" t="s">
        <v>241</v>
      </c>
      <c r="BD2546" s="4" t="s">
        <v>252</v>
      </c>
      <c r="BE2546" s="4" t="s">
        <v>241</v>
      </c>
      <c r="BI2546" s="4" t="s">
        <v>253</v>
      </c>
      <c r="BJ2546" s="5" t="s">
        <v>246</v>
      </c>
      <c r="BK2546" s="4" t="s">
        <v>254</v>
      </c>
      <c r="BL2546" s="4" t="s">
        <v>255</v>
      </c>
      <c r="BM2546" s="4" t="s">
        <v>241</v>
      </c>
      <c r="BN2546" s="6">
        <f>0</f>
        <v>0</v>
      </c>
      <c r="BO2546" s="6">
        <f>0</f>
        <v>0</v>
      </c>
      <c r="BP2546" s="4" t="s">
        <v>256</v>
      </c>
      <c r="BQ2546" s="4" t="s">
        <v>257</v>
      </c>
      <c r="CE2546" s="4" t="s">
        <v>241</v>
      </c>
      <c r="CF2546" s="4" t="s">
        <v>241</v>
      </c>
      <c r="CJ2546" s="4" t="s">
        <v>276</v>
      </c>
      <c r="CK2546" s="4" t="s">
        <v>259</v>
      </c>
      <c r="CL2546" s="4" t="s">
        <v>241</v>
      </c>
      <c r="CO2546" s="5" t="s">
        <v>260</v>
      </c>
      <c r="CP2546" s="4" t="s">
        <v>241</v>
      </c>
      <c r="CQ2546" s="4" t="s">
        <v>261</v>
      </c>
      <c r="CR2546" s="4" t="s">
        <v>241</v>
      </c>
      <c r="CS2546" s="4" t="s">
        <v>241</v>
      </c>
      <c r="CT2546" s="4">
        <v>0</v>
      </c>
      <c r="CU2546" s="4" t="s">
        <v>262</v>
      </c>
      <c r="CV2546" s="4" t="s">
        <v>263</v>
      </c>
      <c r="CW2546" s="4" t="s">
        <v>263</v>
      </c>
      <c r="CX2546" s="4" t="s">
        <v>264</v>
      </c>
      <c r="DA2546" s="6">
        <f>1</f>
        <v>1</v>
      </c>
      <c r="DC2546" s="4" t="s">
        <v>325</v>
      </c>
      <c r="DD2546" s="4" t="s">
        <v>241</v>
      </c>
      <c r="DF2546" s="4" t="s">
        <v>325</v>
      </c>
      <c r="DG2546" s="6">
        <f>246</f>
        <v>246</v>
      </c>
      <c r="DI2546" s="4" t="s">
        <v>241</v>
      </c>
      <c r="DJ2546" s="4" t="s">
        <v>241</v>
      </c>
      <c r="DK2546" s="4" t="s">
        <v>241</v>
      </c>
      <c r="DL2546" s="4" t="s">
        <v>241</v>
      </c>
      <c r="DP2546" s="4" t="s">
        <v>241</v>
      </c>
      <c r="DQ2546" s="4" t="s">
        <v>241</v>
      </c>
      <c r="DR2546" s="4" t="s">
        <v>241</v>
      </c>
      <c r="DS2546" s="4" t="s">
        <v>241</v>
      </c>
      <c r="DV2546" s="4" t="s">
        <v>426</v>
      </c>
      <c r="DW2546" s="4" t="s">
        <v>1941</v>
      </c>
      <c r="HO2546" s="4" t="s">
        <v>267</v>
      </c>
    </row>
    <row r="2547" spans="1:223" ht="19.5" customHeight="1" x14ac:dyDescent="0.4">
      <c r="A2547" s="4">
        <v>1</v>
      </c>
      <c r="B2547" s="4" t="s">
        <v>239</v>
      </c>
      <c r="C2547" s="4">
        <v>4250</v>
      </c>
      <c r="D2547" s="4">
        <v>1</v>
      </c>
      <c r="E2547" s="4">
        <v>1</v>
      </c>
      <c r="F2547" s="4" t="s">
        <v>268</v>
      </c>
      <c r="G2547" s="4" t="s">
        <v>241</v>
      </c>
      <c r="H2547" s="4" t="s">
        <v>241</v>
      </c>
      <c r="I2547" s="4" t="s">
        <v>424</v>
      </c>
      <c r="J2547" s="4" t="s">
        <v>274</v>
      </c>
      <c r="K2547" s="4" t="s">
        <v>251</v>
      </c>
      <c r="L2547" s="4" t="s">
        <v>423</v>
      </c>
      <c r="M2547" s="5" t="s">
        <v>4909</v>
      </c>
      <c r="N2547" s="6">
        <f>174</f>
        <v>174</v>
      </c>
      <c r="O2547" s="4" t="s">
        <v>265</v>
      </c>
      <c r="P2547" s="6">
        <f>1</f>
        <v>1</v>
      </c>
      <c r="Q2547" s="6">
        <f>0</f>
        <v>0</v>
      </c>
      <c r="S2547" s="6">
        <f>0</f>
        <v>0</v>
      </c>
      <c r="T2547" s="6">
        <f>1</f>
        <v>1</v>
      </c>
      <c r="U2547" s="5" t="s">
        <v>245</v>
      </c>
      <c r="V2547" s="4" t="s">
        <v>270</v>
      </c>
      <c r="W2547" s="4" t="s">
        <v>271</v>
      </c>
      <c r="X2547" s="4" t="s">
        <v>273</v>
      </c>
      <c r="Y2547" s="4" t="s">
        <v>241</v>
      </c>
      <c r="AB2547" s="4" t="s">
        <v>241</v>
      </c>
      <c r="AD2547" s="5" t="s">
        <v>241</v>
      </c>
      <c r="AG2547" s="5" t="s">
        <v>246</v>
      </c>
      <c r="AH2547" s="4" t="s">
        <v>241</v>
      </c>
      <c r="AI2547" s="4" t="s">
        <v>247</v>
      </c>
      <c r="AJ2547" s="4" t="s">
        <v>248</v>
      </c>
      <c r="AZ2547" s="4" t="s">
        <v>249</v>
      </c>
      <c r="BA2547" s="4" t="s">
        <v>241</v>
      </c>
      <c r="BB2547" s="4" t="s">
        <v>250</v>
      </c>
      <c r="BC2547" s="4" t="s">
        <v>241</v>
      </c>
      <c r="BD2547" s="4" t="s">
        <v>252</v>
      </c>
      <c r="BE2547" s="4" t="s">
        <v>241</v>
      </c>
      <c r="BI2547" s="4" t="s">
        <v>253</v>
      </c>
      <c r="BJ2547" s="5" t="s">
        <v>246</v>
      </c>
      <c r="BK2547" s="4" t="s">
        <v>254</v>
      </c>
      <c r="BL2547" s="4" t="s">
        <v>255</v>
      </c>
      <c r="BM2547" s="4" t="s">
        <v>241</v>
      </c>
      <c r="BN2547" s="6">
        <f>0</f>
        <v>0</v>
      </c>
      <c r="BO2547" s="6">
        <f>0</f>
        <v>0</v>
      </c>
      <c r="BP2547" s="4" t="s">
        <v>256</v>
      </c>
      <c r="BQ2547" s="4" t="s">
        <v>257</v>
      </c>
      <c r="CE2547" s="4" t="s">
        <v>241</v>
      </c>
      <c r="CF2547" s="4" t="s">
        <v>241</v>
      </c>
      <c r="CJ2547" s="4" t="s">
        <v>276</v>
      </c>
      <c r="CK2547" s="4" t="s">
        <v>259</v>
      </c>
      <c r="CL2547" s="4" t="s">
        <v>241</v>
      </c>
      <c r="CO2547" s="5" t="s">
        <v>260</v>
      </c>
      <c r="CP2547" s="4" t="s">
        <v>241</v>
      </c>
      <c r="CQ2547" s="4" t="s">
        <v>261</v>
      </c>
      <c r="CR2547" s="4" t="s">
        <v>241</v>
      </c>
      <c r="CS2547" s="4" t="s">
        <v>241</v>
      </c>
      <c r="CT2547" s="4">
        <v>0</v>
      </c>
      <c r="CU2547" s="4" t="s">
        <v>262</v>
      </c>
      <c r="CV2547" s="4" t="s">
        <v>263</v>
      </c>
      <c r="CW2547" s="4" t="s">
        <v>263</v>
      </c>
      <c r="CX2547" s="4" t="s">
        <v>264</v>
      </c>
      <c r="DA2547" s="6">
        <f>1</f>
        <v>1</v>
      </c>
      <c r="DC2547" s="4" t="s">
        <v>325</v>
      </c>
      <c r="DD2547" s="4" t="s">
        <v>241</v>
      </c>
      <c r="DF2547" s="4" t="s">
        <v>325</v>
      </c>
      <c r="DG2547" s="6">
        <f>174</f>
        <v>174</v>
      </c>
      <c r="DI2547" s="4" t="s">
        <v>241</v>
      </c>
      <c r="DJ2547" s="4" t="s">
        <v>241</v>
      </c>
      <c r="DK2547" s="4" t="s">
        <v>241</v>
      </c>
      <c r="DL2547" s="4" t="s">
        <v>241</v>
      </c>
      <c r="DP2547" s="4" t="s">
        <v>241</v>
      </c>
      <c r="DQ2547" s="4" t="s">
        <v>241</v>
      </c>
      <c r="DR2547" s="4" t="s">
        <v>241</v>
      </c>
      <c r="DS2547" s="4" t="s">
        <v>241</v>
      </c>
      <c r="DV2547" s="4" t="s">
        <v>426</v>
      </c>
      <c r="DW2547" s="4" t="s">
        <v>1926</v>
      </c>
      <c r="HO2547" s="4" t="s">
        <v>267</v>
      </c>
    </row>
    <row r="2548" spans="1:223" ht="19.5" customHeight="1" x14ac:dyDescent="0.4">
      <c r="A2548" s="4">
        <v>1</v>
      </c>
      <c r="B2548" s="4" t="s">
        <v>239</v>
      </c>
      <c r="C2548" s="4">
        <v>4251</v>
      </c>
      <c r="D2548" s="4">
        <v>1</v>
      </c>
      <c r="E2548" s="4">
        <v>1</v>
      </c>
      <c r="F2548" s="4" t="s">
        <v>268</v>
      </c>
      <c r="G2548" s="4" t="s">
        <v>241</v>
      </c>
      <c r="H2548" s="4" t="s">
        <v>241</v>
      </c>
      <c r="I2548" s="4" t="s">
        <v>424</v>
      </c>
      <c r="J2548" s="4" t="s">
        <v>274</v>
      </c>
      <c r="K2548" s="4" t="s">
        <v>251</v>
      </c>
      <c r="L2548" s="4" t="s">
        <v>423</v>
      </c>
      <c r="M2548" s="5" t="s">
        <v>3855</v>
      </c>
      <c r="N2548" s="6">
        <f>1752</f>
        <v>1752</v>
      </c>
      <c r="O2548" s="4" t="s">
        <v>265</v>
      </c>
      <c r="P2548" s="6">
        <f>1</f>
        <v>1</v>
      </c>
      <c r="Q2548" s="6">
        <f>0</f>
        <v>0</v>
      </c>
      <c r="S2548" s="6">
        <f>0</f>
        <v>0</v>
      </c>
      <c r="T2548" s="6">
        <f>1</f>
        <v>1</v>
      </c>
      <c r="U2548" s="5" t="s">
        <v>245</v>
      </c>
      <c r="V2548" s="4" t="s">
        <v>270</v>
      </c>
      <c r="W2548" s="4" t="s">
        <v>271</v>
      </c>
      <c r="X2548" s="4" t="s">
        <v>273</v>
      </c>
      <c r="Y2548" s="4" t="s">
        <v>241</v>
      </c>
      <c r="AB2548" s="4" t="s">
        <v>241</v>
      </c>
      <c r="AD2548" s="5" t="s">
        <v>241</v>
      </c>
      <c r="AG2548" s="5" t="s">
        <v>246</v>
      </c>
      <c r="AH2548" s="4" t="s">
        <v>241</v>
      </c>
      <c r="AI2548" s="4" t="s">
        <v>247</v>
      </c>
      <c r="AJ2548" s="4" t="s">
        <v>248</v>
      </c>
      <c r="AZ2548" s="4" t="s">
        <v>249</v>
      </c>
      <c r="BA2548" s="4" t="s">
        <v>241</v>
      </c>
      <c r="BB2548" s="4" t="s">
        <v>250</v>
      </c>
      <c r="BC2548" s="4" t="s">
        <v>241</v>
      </c>
      <c r="BD2548" s="4" t="s">
        <v>252</v>
      </c>
      <c r="BE2548" s="4" t="s">
        <v>241</v>
      </c>
      <c r="BI2548" s="4" t="s">
        <v>253</v>
      </c>
      <c r="BJ2548" s="5" t="s">
        <v>246</v>
      </c>
      <c r="BK2548" s="4" t="s">
        <v>254</v>
      </c>
      <c r="BL2548" s="4" t="s">
        <v>255</v>
      </c>
      <c r="BM2548" s="4" t="s">
        <v>241</v>
      </c>
      <c r="BN2548" s="6">
        <f>0</f>
        <v>0</v>
      </c>
      <c r="BO2548" s="6">
        <f>0</f>
        <v>0</v>
      </c>
      <c r="BP2548" s="4" t="s">
        <v>256</v>
      </c>
      <c r="BQ2548" s="4" t="s">
        <v>257</v>
      </c>
      <c r="CE2548" s="4" t="s">
        <v>241</v>
      </c>
      <c r="CF2548" s="4" t="s">
        <v>241</v>
      </c>
      <c r="CJ2548" s="4" t="s">
        <v>276</v>
      </c>
      <c r="CK2548" s="4" t="s">
        <v>259</v>
      </c>
      <c r="CL2548" s="4" t="s">
        <v>241</v>
      </c>
      <c r="CO2548" s="5" t="s">
        <v>260</v>
      </c>
      <c r="CP2548" s="4" t="s">
        <v>241</v>
      </c>
      <c r="CQ2548" s="4" t="s">
        <v>261</v>
      </c>
      <c r="CR2548" s="4" t="s">
        <v>241</v>
      </c>
      <c r="CS2548" s="4" t="s">
        <v>241</v>
      </c>
      <c r="CT2548" s="4">
        <v>0</v>
      </c>
      <c r="CU2548" s="4" t="s">
        <v>262</v>
      </c>
      <c r="CV2548" s="4" t="s">
        <v>263</v>
      </c>
      <c r="CW2548" s="4" t="s">
        <v>263</v>
      </c>
      <c r="CX2548" s="4" t="s">
        <v>264</v>
      </c>
      <c r="DA2548" s="6">
        <f>1</f>
        <v>1</v>
      </c>
      <c r="DC2548" s="4" t="s">
        <v>325</v>
      </c>
      <c r="DD2548" s="4" t="s">
        <v>241</v>
      </c>
      <c r="DF2548" s="4" t="s">
        <v>325</v>
      </c>
      <c r="DG2548" s="6">
        <f>1752</f>
        <v>1752</v>
      </c>
      <c r="DI2548" s="4" t="s">
        <v>241</v>
      </c>
      <c r="DJ2548" s="4" t="s">
        <v>241</v>
      </c>
      <c r="DK2548" s="4" t="s">
        <v>241</v>
      </c>
      <c r="DL2548" s="4" t="s">
        <v>241</v>
      </c>
      <c r="DP2548" s="4" t="s">
        <v>241</v>
      </c>
      <c r="DQ2548" s="4" t="s">
        <v>241</v>
      </c>
      <c r="DR2548" s="4" t="s">
        <v>241</v>
      </c>
      <c r="DS2548" s="4" t="s">
        <v>241</v>
      </c>
      <c r="DV2548" s="4" t="s">
        <v>426</v>
      </c>
      <c r="DW2548" s="4" t="s">
        <v>1945</v>
      </c>
      <c r="HO2548" s="4" t="s">
        <v>267</v>
      </c>
    </row>
    <row r="2549" spans="1:223" ht="19.5" customHeight="1" x14ac:dyDescent="0.4">
      <c r="A2549" s="4">
        <v>1</v>
      </c>
      <c r="B2549" s="4" t="s">
        <v>239</v>
      </c>
      <c r="C2549" s="4">
        <v>4252</v>
      </c>
      <c r="D2549" s="4">
        <v>1</v>
      </c>
      <c r="E2549" s="4">
        <v>1</v>
      </c>
      <c r="F2549" s="4" t="s">
        <v>268</v>
      </c>
      <c r="G2549" s="4" t="s">
        <v>241</v>
      </c>
      <c r="H2549" s="4" t="s">
        <v>241</v>
      </c>
      <c r="I2549" s="4" t="s">
        <v>424</v>
      </c>
      <c r="J2549" s="4" t="s">
        <v>274</v>
      </c>
      <c r="K2549" s="4" t="s">
        <v>251</v>
      </c>
      <c r="L2549" s="4" t="s">
        <v>423</v>
      </c>
      <c r="M2549" s="5" t="s">
        <v>3861</v>
      </c>
      <c r="N2549" s="6">
        <f>122</f>
        <v>122</v>
      </c>
      <c r="O2549" s="4" t="s">
        <v>265</v>
      </c>
      <c r="P2549" s="6">
        <f>1</f>
        <v>1</v>
      </c>
      <c r="Q2549" s="6">
        <f>0</f>
        <v>0</v>
      </c>
      <c r="S2549" s="6">
        <f>0</f>
        <v>0</v>
      </c>
      <c r="T2549" s="6">
        <f>1</f>
        <v>1</v>
      </c>
      <c r="U2549" s="5" t="s">
        <v>245</v>
      </c>
      <c r="V2549" s="4" t="s">
        <v>270</v>
      </c>
      <c r="W2549" s="4" t="s">
        <v>271</v>
      </c>
      <c r="X2549" s="4" t="s">
        <v>273</v>
      </c>
      <c r="Y2549" s="4" t="s">
        <v>241</v>
      </c>
      <c r="AB2549" s="4" t="s">
        <v>241</v>
      </c>
      <c r="AD2549" s="5" t="s">
        <v>241</v>
      </c>
      <c r="AG2549" s="5" t="s">
        <v>246</v>
      </c>
      <c r="AH2549" s="4" t="s">
        <v>241</v>
      </c>
      <c r="AI2549" s="4" t="s">
        <v>247</v>
      </c>
      <c r="AJ2549" s="4" t="s">
        <v>248</v>
      </c>
      <c r="AZ2549" s="4" t="s">
        <v>249</v>
      </c>
      <c r="BA2549" s="4" t="s">
        <v>241</v>
      </c>
      <c r="BB2549" s="4" t="s">
        <v>250</v>
      </c>
      <c r="BC2549" s="4" t="s">
        <v>241</v>
      </c>
      <c r="BD2549" s="4" t="s">
        <v>252</v>
      </c>
      <c r="BE2549" s="4" t="s">
        <v>241</v>
      </c>
      <c r="BI2549" s="4" t="s">
        <v>253</v>
      </c>
      <c r="BJ2549" s="5" t="s">
        <v>246</v>
      </c>
      <c r="BK2549" s="4" t="s">
        <v>254</v>
      </c>
      <c r="BL2549" s="4" t="s">
        <v>255</v>
      </c>
      <c r="BM2549" s="4" t="s">
        <v>241</v>
      </c>
      <c r="BN2549" s="6">
        <f>0</f>
        <v>0</v>
      </c>
      <c r="BO2549" s="6">
        <f>0</f>
        <v>0</v>
      </c>
      <c r="BP2549" s="4" t="s">
        <v>256</v>
      </c>
      <c r="BQ2549" s="4" t="s">
        <v>257</v>
      </c>
      <c r="CE2549" s="4" t="s">
        <v>241</v>
      </c>
      <c r="CF2549" s="4" t="s">
        <v>241</v>
      </c>
      <c r="CJ2549" s="4" t="s">
        <v>276</v>
      </c>
      <c r="CK2549" s="4" t="s">
        <v>259</v>
      </c>
      <c r="CL2549" s="4" t="s">
        <v>241</v>
      </c>
      <c r="CO2549" s="5" t="s">
        <v>260</v>
      </c>
      <c r="CP2549" s="4" t="s">
        <v>241</v>
      </c>
      <c r="CQ2549" s="4" t="s">
        <v>261</v>
      </c>
      <c r="CR2549" s="4" t="s">
        <v>241</v>
      </c>
      <c r="CS2549" s="4" t="s">
        <v>241</v>
      </c>
      <c r="CT2549" s="4">
        <v>0</v>
      </c>
      <c r="CU2549" s="4" t="s">
        <v>262</v>
      </c>
      <c r="CV2549" s="4" t="s">
        <v>263</v>
      </c>
      <c r="CW2549" s="4" t="s">
        <v>263</v>
      </c>
      <c r="CX2549" s="4" t="s">
        <v>264</v>
      </c>
      <c r="DA2549" s="6">
        <f>1</f>
        <v>1</v>
      </c>
      <c r="DC2549" s="4" t="s">
        <v>325</v>
      </c>
      <c r="DD2549" s="4" t="s">
        <v>241</v>
      </c>
      <c r="DF2549" s="4" t="s">
        <v>325</v>
      </c>
      <c r="DG2549" s="6">
        <f>122</f>
        <v>122</v>
      </c>
      <c r="DI2549" s="4" t="s">
        <v>241</v>
      </c>
      <c r="DJ2549" s="4" t="s">
        <v>241</v>
      </c>
      <c r="DK2549" s="4" t="s">
        <v>241</v>
      </c>
      <c r="DL2549" s="4" t="s">
        <v>241</v>
      </c>
      <c r="DP2549" s="4" t="s">
        <v>241</v>
      </c>
      <c r="DQ2549" s="4" t="s">
        <v>241</v>
      </c>
      <c r="DR2549" s="4" t="s">
        <v>241</v>
      </c>
      <c r="DS2549" s="4" t="s">
        <v>241</v>
      </c>
      <c r="DV2549" s="4" t="s">
        <v>426</v>
      </c>
      <c r="DW2549" s="4" t="s">
        <v>2801</v>
      </c>
      <c r="HO2549" s="4" t="s">
        <v>267</v>
      </c>
    </row>
    <row r="2550" spans="1:223" ht="19.5" customHeight="1" x14ac:dyDescent="0.4">
      <c r="A2550" s="4">
        <v>1</v>
      </c>
      <c r="B2550" s="4" t="s">
        <v>239</v>
      </c>
      <c r="C2550" s="4">
        <v>4253</v>
      </c>
      <c r="D2550" s="4">
        <v>1</v>
      </c>
      <c r="E2550" s="4">
        <v>1</v>
      </c>
      <c r="F2550" s="4" t="s">
        <v>268</v>
      </c>
      <c r="G2550" s="4" t="s">
        <v>241</v>
      </c>
      <c r="H2550" s="4" t="s">
        <v>241</v>
      </c>
      <c r="I2550" s="4" t="s">
        <v>424</v>
      </c>
      <c r="J2550" s="4" t="s">
        <v>274</v>
      </c>
      <c r="K2550" s="4" t="s">
        <v>251</v>
      </c>
      <c r="L2550" s="4" t="s">
        <v>423</v>
      </c>
      <c r="M2550" s="5" t="s">
        <v>3864</v>
      </c>
      <c r="N2550" s="6">
        <f>812</f>
        <v>812</v>
      </c>
      <c r="O2550" s="4" t="s">
        <v>265</v>
      </c>
      <c r="P2550" s="6">
        <f>1</f>
        <v>1</v>
      </c>
      <c r="Q2550" s="6">
        <f>0</f>
        <v>0</v>
      </c>
      <c r="S2550" s="6">
        <f>0</f>
        <v>0</v>
      </c>
      <c r="T2550" s="6">
        <f>1</f>
        <v>1</v>
      </c>
      <c r="U2550" s="5" t="s">
        <v>245</v>
      </c>
      <c r="V2550" s="4" t="s">
        <v>270</v>
      </c>
      <c r="W2550" s="4" t="s">
        <v>271</v>
      </c>
      <c r="X2550" s="4" t="s">
        <v>273</v>
      </c>
      <c r="Y2550" s="4" t="s">
        <v>241</v>
      </c>
      <c r="AB2550" s="4" t="s">
        <v>241</v>
      </c>
      <c r="AD2550" s="5" t="s">
        <v>241</v>
      </c>
      <c r="AG2550" s="5" t="s">
        <v>246</v>
      </c>
      <c r="AH2550" s="4" t="s">
        <v>241</v>
      </c>
      <c r="AI2550" s="4" t="s">
        <v>247</v>
      </c>
      <c r="AJ2550" s="4" t="s">
        <v>248</v>
      </c>
      <c r="AZ2550" s="4" t="s">
        <v>249</v>
      </c>
      <c r="BA2550" s="4" t="s">
        <v>241</v>
      </c>
      <c r="BB2550" s="4" t="s">
        <v>250</v>
      </c>
      <c r="BC2550" s="4" t="s">
        <v>241</v>
      </c>
      <c r="BD2550" s="4" t="s">
        <v>252</v>
      </c>
      <c r="BE2550" s="4" t="s">
        <v>241</v>
      </c>
      <c r="BI2550" s="4" t="s">
        <v>253</v>
      </c>
      <c r="BJ2550" s="5" t="s">
        <v>246</v>
      </c>
      <c r="BK2550" s="4" t="s">
        <v>254</v>
      </c>
      <c r="BL2550" s="4" t="s">
        <v>255</v>
      </c>
      <c r="BM2550" s="4" t="s">
        <v>241</v>
      </c>
      <c r="BN2550" s="6">
        <f>0</f>
        <v>0</v>
      </c>
      <c r="BO2550" s="6">
        <f>0</f>
        <v>0</v>
      </c>
      <c r="BP2550" s="4" t="s">
        <v>256</v>
      </c>
      <c r="BQ2550" s="4" t="s">
        <v>257</v>
      </c>
      <c r="CE2550" s="4" t="s">
        <v>241</v>
      </c>
      <c r="CF2550" s="4" t="s">
        <v>241</v>
      </c>
      <c r="CJ2550" s="4" t="s">
        <v>276</v>
      </c>
      <c r="CK2550" s="4" t="s">
        <v>259</v>
      </c>
      <c r="CL2550" s="4" t="s">
        <v>241</v>
      </c>
      <c r="CO2550" s="5" t="s">
        <v>260</v>
      </c>
      <c r="CP2550" s="4" t="s">
        <v>241</v>
      </c>
      <c r="CQ2550" s="4" t="s">
        <v>261</v>
      </c>
      <c r="CR2550" s="4" t="s">
        <v>241</v>
      </c>
      <c r="CS2550" s="4" t="s">
        <v>241</v>
      </c>
      <c r="CT2550" s="4">
        <v>0</v>
      </c>
      <c r="CU2550" s="4" t="s">
        <v>262</v>
      </c>
      <c r="CV2550" s="4" t="s">
        <v>263</v>
      </c>
      <c r="CW2550" s="4" t="s">
        <v>263</v>
      </c>
      <c r="CX2550" s="4" t="s">
        <v>264</v>
      </c>
      <c r="DA2550" s="6">
        <f>1</f>
        <v>1</v>
      </c>
      <c r="DC2550" s="4" t="s">
        <v>325</v>
      </c>
      <c r="DD2550" s="4" t="s">
        <v>241</v>
      </c>
      <c r="DF2550" s="4" t="s">
        <v>325</v>
      </c>
      <c r="DG2550" s="6">
        <f>812</f>
        <v>812</v>
      </c>
      <c r="DI2550" s="4" t="s">
        <v>241</v>
      </c>
      <c r="DJ2550" s="4" t="s">
        <v>241</v>
      </c>
      <c r="DK2550" s="4" t="s">
        <v>241</v>
      </c>
      <c r="DL2550" s="4" t="s">
        <v>241</v>
      </c>
      <c r="DP2550" s="4" t="s">
        <v>241</v>
      </c>
      <c r="DQ2550" s="4" t="s">
        <v>241</v>
      </c>
      <c r="DR2550" s="4" t="s">
        <v>241</v>
      </c>
      <c r="DS2550" s="4" t="s">
        <v>241</v>
      </c>
      <c r="DV2550" s="4" t="s">
        <v>426</v>
      </c>
      <c r="DW2550" s="4" t="s">
        <v>2300</v>
      </c>
      <c r="HO2550" s="4" t="s">
        <v>267</v>
      </c>
    </row>
    <row r="2551" spans="1:223" ht="19.5" customHeight="1" x14ac:dyDescent="0.4">
      <c r="A2551" s="4">
        <v>1</v>
      </c>
      <c r="B2551" s="4" t="s">
        <v>239</v>
      </c>
      <c r="C2551" s="4">
        <v>4254</v>
      </c>
      <c r="D2551" s="4">
        <v>1</v>
      </c>
      <c r="E2551" s="4">
        <v>1</v>
      </c>
      <c r="F2551" s="4" t="s">
        <v>268</v>
      </c>
      <c r="G2551" s="4" t="s">
        <v>241</v>
      </c>
      <c r="H2551" s="4" t="s">
        <v>241</v>
      </c>
      <c r="I2551" s="4" t="s">
        <v>424</v>
      </c>
      <c r="J2551" s="4" t="s">
        <v>274</v>
      </c>
      <c r="K2551" s="4" t="s">
        <v>251</v>
      </c>
      <c r="L2551" s="4" t="s">
        <v>423</v>
      </c>
      <c r="M2551" s="5" t="s">
        <v>4911</v>
      </c>
      <c r="N2551" s="6">
        <f>302</f>
        <v>302</v>
      </c>
      <c r="O2551" s="4" t="s">
        <v>265</v>
      </c>
      <c r="P2551" s="6">
        <f>1</f>
        <v>1</v>
      </c>
      <c r="Q2551" s="6">
        <f>0</f>
        <v>0</v>
      </c>
      <c r="S2551" s="6">
        <f>0</f>
        <v>0</v>
      </c>
      <c r="T2551" s="6">
        <f>1</f>
        <v>1</v>
      </c>
      <c r="U2551" s="5" t="s">
        <v>245</v>
      </c>
      <c r="V2551" s="4" t="s">
        <v>270</v>
      </c>
      <c r="W2551" s="4" t="s">
        <v>271</v>
      </c>
      <c r="X2551" s="4" t="s">
        <v>273</v>
      </c>
      <c r="Y2551" s="4" t="s">
        <v>241</v>
      </c>
      <c r="AB2551" s="4" t="s">
        <v>241</v>
      </c>
      <c r="AD2551" s="5" t="s">
        <v>241</v>
      </c>
      <c r="AG2551" s="5" t="s">
        <v>246</v>
      </c>
      <c r="AH2551" s="4" t="s">
        <v>241</v>
      </c>
      <c r="AI2551" s="4" t="s">
        <v>247</v>
      </c>
      <c r="AJ2551" s="4" t="s">
        <v>248</v>
      </c>
      <c r="AZ2551" s="4" t="s">
        <v>249</v>
      </c>
      <c r="BA2551" s="4" t="s">
        <v>241</v>
      </c>
      <c r="BB2551" s="4" t="s">
        <v>250</v>
      </c>
      <c r="BC2551" s="4" t="s">
        <v>241</v>
      </c>
      <c r="BD2551" s="4" t="s">
        <v>252</v>
      </c>
      <c r="BE2551" s="4" t="s">
        <v>241</v>
      </c>
      <c r="BI2551" s="4" t="s">
        <v>253</v>
      </c>
      <c r="BJ2551" s="5" t="s">
        <v>246</v>
      </c>
      <c r="BK2551" s="4" t="s">
        <v>254</v>
      </c>
      <c r="BL2551" s="4" t="s">
        <v>255</v>
      </c>
      <c r="BM2551" s="4" t="s">
        <v>241</v>
      </c>
      <c r="BN2551" s="6">
        <f>0</f>
        <v>0</v>
      </c>
      <c r="BO2551" s="6">
        <f>0</f>
        <v>0</v>
      </c>
      <c r="BP2551" s="4" t="s">
        <v>256</v>
      </c>
      <c r="BQ2551" s="4" t="s">
        <v>257</v>
      </c>
      <c r="CE2551" s="4" t="s">
        <v>241</v>
      </c>
      <c r="CF2551" s="4" t="s">
        <v>241</v>
      </c>
      <c r="CJ2551" s="4" t="s">
        <v>276</v>
      </c>
      <c r="CK2551" s="4" t="s">
        <v>259</v>
      </c>
      <c r="CL2551" s="4" t="s">
        <v>241</v>
      </c>
      <c r="CO2551" s="5" t="s">
        <v>260</v>
      </c>
      <c r="CP2551" s="4" t="s">
        <v>241</v>
      </c>
      <c r="CQ2551" s="4" t="s">
        <v>261</v>
      </c>
      <c r="CR2551" s="4" t="s">
        <v>241</v>
      </c>
      <c r="CS2551" s="4" t="s">
        <v>241</v>
      </c>
      <c r="CT2551" s="4">
        <v>0</v>
      </c>
      <c r="CU2551" s="4" t="s">
        <v>262</v>
      </c>
      <c r="CV2551" s="4" t="s">
        <v>263</v>
      </c>
      <c r="CW2551" s="4" t="s">
        <v>263</v>
      </c>
      <c r="CX2551" s="4" t="s">
        <v>264</v>
      </c>
      <c r="DA2551" s="6">
        <f>1</f>
        <v>1</v>
      </c>
      <c r="DC2551" s="4" t="s">
        <v>325</v>
      </c>
      <c r="DD2551" s="4" t="s">
        <v>241</v>
      </c>
      <c r="DF2551" s="4" t="s">
        <v>325</v>
      </c>
      <c r="DG2551" s="6">
        <f>302</f>
        <v>302</v>
      </c>
      <c r="DI2551" s="4" t="s">
        <v>241</v>
      </c>
      <c r="DJ2551" s="4" t="s">
        <v>241</v>
      </c>
      <c r="DK2551" s="4" t="s">
        <v>241</v>
      </c>
      <c r="DL2551" s="4" t="s">
        <v>241</v>
      </c>
      <c r="DP2551" s="4" t="s">
        <v>241</v>
      </c>
      <c r="DQ2551" s="4" t="s">
        <v>241</v>
      </c>
      <c r="DR2551" s="4" t="s">
        <v>241</v>
      </c>
      <c r="DS2551" s="4" t="s">
        <v>241</v>
      </c>
      <c r="DV2551" s="4" t="s">
        <v>426</v>
      </c>
      <c r="DW2551" s="4" t="s">
        <v>2713</v>
      </c>
      <c r="HO2551" s="4" t="s">
        <v>267</v>
      </c>
    </row>
    <row r="2552" spans="1:223" ht="19.5" customHeight="1" x14ac:dyDescent="0.4">
      <c r="A2552" s="4">
        <v>1</v>
      </c>
      <c r="B2552" s="4" t="s">
        <v>239</v>
      </c>
      <c r="C2552" s="4">
        <v>4255</v>
      </c>
      <c r="D2552" s="4">
        <v>1</v>
      </c>
      <c r="E2552" s="4">
        <v>1</v>
      </c>
      <c r="F2552" s="4" t="s">
        <v>268</v>
      </c>
      <c r="G2552" s="4" t="s">
        <v>241</v>
      </c>
      <c r="H2552" s="4" t="s">
        <v>241</v>
      </c>
      <c r="I2552" s="4" t="s">
        <v>424</v>
      </c>
      <c r="J2552" s="4" t="s">
        <v>274</v>
      </c>
      <c r="K2552" s="4" t="s">
        <v>251</v>
      </c>
      <c r="L2552" s="4" t="s">
        <v>423</v>
      </c>
      <c r="M2552" s="5" t="s">
        <v>3873</v>
      </c>
      <c r="N2552" s="6">
        <f>3831</f>
        <v>3831</v>
      </c>
      <c r="O2552" s="4" t="s">
        <v>265</v>
      </c>
      <c r="P2552" s="6">
        <f>1</f>
        <v>1</v>
      </c>
      <c r="Q2552" s="6">
        <f>0</f>
        <v>0</v>
      </c>
      <c r="S2552" s="6">
        <f>0</f>
        <v>0</v>
      </c>
      <c r="T2552" s="6">
        <f>1</f>
        <v>1</v>
      </c>
      <c r="U2552" s="5" t="s">
        <v>245</v>
      </c>
      <c r="V2552" s="4" t="s">
        <v>270</v>
      </c>
      <c r="W2552" s="4" t="s">
        <v>271</v>
      </c>
      <c r="X2552" s="4" t="s">
        <v>273</v>
      </c>
      <c r="Y2552" s="4" t="s">
        <v>241</v>
      </c>
      <c r="AB2552" s="4" t="s">
        <v>241</v>
      </c>
      <c r="AD2552" s="5" t="s">
        <v>241</v>
      </c>
      <c r="AG2552" s="5" t="s">
        <v>246</v>
      </c>
      <c r="AH2552" s="4" t="s">
        <v>241</v>
      </c>
      <c r="AI2552" s="4" t="s">
        <v>247</v>
      </c>
      <c r="AJ2552" s="4" t="s">
        <v>248</v>
      </c>
      <c r="AZ2552" s="4" t="s">
        <v>249</v>
      </c>
      <c r="BA2552" s="4" t="s">
        <v>241</v>
      </c>
      <c r="BB2552" s="4" t="s">
        <v>250</v>
      </c>
      <c r="BC2552" s="4" t="s">
        <v>241</v>
      </c>
      <c r="BD2552" s="4" t="s">
        <v>252</v>
      </c>
      <c r="BE2552" s="4" t="s">
        <v>241</v>
      </c>
      <c r="BI2552" s="4" t="s">
        <v>253</v>
      </c>
      <c r="BJ2552" s="5" t="s">
        <v>246</v>
      </c>
      <c r="BK2552" s="4" t="s">
        <v>254</v>
      </c>
      <c r="BL2552" s="4" t="s">
        <v>255</v>
      </c>
      <c r="BM2552" s="4" t="s">
        <v>241</v>
      </c>
      <c r="BN2552" s="6">
        <f>0</f>
        <v>0</v>
      </c>
      <c r="BO2552" s="6">
        <f>0</f>
        <v>0</v>
      </c>
      <c r="BP2552" s="4" t="s">
        <v>256</v>
      </c>
      <c r="BQ2552" s="4" t="s">
        <v>257</v>
      </c>
      <c r="CE2552" s="4" t="s">
        <v>241</v>
      </c>
      <c r="CF2552" s="4" t="s">
        <v>241</v>
      </c>
      <c r="CJ2552" s="4" t="s">
        <v>276</v>
      </c>
      <c r="CK2552" s="4" t="s">
        <v>259</v>
      </c>
      <c r="CL2552" s="4" t="s">
        <v>241</v>
      </c>
      <c r="CO2552" s="5" t="s">
        <v>260</v>
      </c>
      <c r="CP2552" s="4" t="s">
        <v>241</v>
      </c>
      <c r="CQ2552" s="4" t="s">
        <v>261</v>
      </c>
      <c r="CR2552" s="4" t="s">
        <v>241</v>
      </c>
      <c r="CS2552" s="4" t="s">
        <v>241</v>
      </c>
      <c r="CT2552" s="4">
        <v>0</v>
      </c>
      <c r="CU2552" s="4" t="s">
        <v>262</v>
      </c>
      <c r="CV2552" s="4" t="s">
        <v>263</v>
      </c>
      <c r="CW2552" s="4" t="s">
        <v>263</v>
      </c>
      <c r="CX2552" s="4" t="s">
        <v>264</v>
      </c>
      <c r="DA2552" s="6">
        <f>1</f>
        <v>1</v>
      </c>
      <c r="DC2552" s="4" t="s">
        <v>325</v>
      </c>
      <c r="DD2552" s="4" t="s">
        <v>241</v>
      </c>
      <c r="DF2552" s="4" t="s">
        <v>325</v>
      </c>
      <c r="DG2552" s="6">
        <f>3831</f>
        <v>3831</v>
      </c>
      <c r="DI2552" s="4" t="s">
        <v>241</v>
      </c>
      <c r="DJ2552" s="4" t="s">
        <v>241</v>
      </c>
      <c r="DK2552" s="4" t="s">
        <v>241</v>
      </c>
      <c r="DL2552" s="4" t="s">
        <v>241</v>
      </c>
      <c r="DP2552" s="4" t="s">
        <v>241</v>
      </c>
      <c r="DQ2552" s="4" t="s">
        <v>241</v>
      </c>
      <c r="DR2552" s="4" t="s">
        <v>241</v>
      </c>
      <c r="DS2552" s="4" t="s">
        <v>241</v>
      </c>
      <c r="DV2552" s="4" t="s">
        <v>426</v>
      </c>
      <c r="DW2552" s="4" t="s">
        <v>1811</v>
      </c>
      <c r="HO2552" s="4" t="s">
        <v>267</v>
      </c>
    </row>
    <row r="2553" spans="1:223" ht="19.5" customHeight="1" x14ac:dyDescent="0.4">
      <c r="A2553" s="4">
        <v>1</v>
      </c>
      <c r="B2553" s="4" t="s">
        <v>239</v>
      </c>
      <c r="C2553" s="4">
        <v>4256</v>
      </c>
      <c r="D2553" s="4">
        <v>1</v>
      </c>
      <c r="E2553" s="4">
        <v>1</v>
      </c>
      <c r="F2553" s="4" t="s">
        <v>268</v>
      </c>
      <c r="G2553" s="4" t="s">
        <v>241</v>
      </c>
      <c r="H2553" s="4" t="s">
        <v>241</v>
      </c>
      <c r="I2553" s="4" t="s">
        <v>424</v>
      </c>
      <c r="J2553" s="4" t="s">
        <v>274</v>
      </c>
      <c r="K2553" s="4" t="s">
        <v>251</v>
      </c>
      <c r="L2553" s="4" t="s">
        <v>423</v>
      </c>
      <c r="M2553" s="5" t="s">
        <v>3875</v>
      </c>
      <c r="N2553" s="6">
        <f>904</f>
        <v>904</v>
      </c>
      <c r="O2553" s="4" t="s">
        <v>265</v>
      </c>
      <c r="P2553" s="6">
        <f>1</f>
        <v>1</v>
      </c>
      <c r="Q2553" s="6">
        <f>0</f>
        <v>0</v>
      </c>
      <c r="S2553" s="6">
        <f>0</f>
        <v>0</v>
      </c>
      <c r="T2553" s="6">
        <f>1</f>
        <v>1</v>
      </c>
      <c r="U2553" s="5" t="s">
        <v>245</v>
      </c>
      <c r="V2553" s="4" t="s">
        <v>270</v>
      </c>
      <c r="W2553" s="4" t="s">
        <v>271</v>
      </c>
      <c r="X2553" s="4" t="s">
        <v>273</v>
      </c>
      <c r="Y2553" s="4" t="s">
        <v>241</v>
      </c>
      <c r="AB2553" s="4" t="s">
        <v>241</v>
      </c>
      <c r="AD2553" s="5" t="s">
        <v>241</v>
      </c>
      <c r="AG2553" s="5" t="s">
        <v>246</v>
      </c>
      <c r="AH2553" s="4" t="s">
        <v>241</v>
      </c>
      <c r="AI2553" s="4" t="s">
        <v>247</v>
      </c>
      <c r="AJ2553" s="4" t="s">
        <v>248</v>
      </c>
      <c r="AZ2553" s="4" t="s">
        <v>249</v>
      </c>
      <c r="BA2553" s="4" t="s">
        <v>241</v>
      </c>
      <c r="BB2553" s="4" t="s">
        <v>250</v>
      </c>
      <c r="BC2553" s="4" t="s">
        <v>241</v>
      </c>
      <c r="BD2553" s="4" t="s">
        <v>252</v>
      </c>
      <c r="BE2553" s="4" t="s">
        <v>241</v>
      </c>
      <c r="BI2553" s="4" t="s">
        <v>253</v>
      </c>
      <c r="BJ2553" s="5" t="s">
        <v>246</v>
      </c>
      <c r="BK2553" s="4" t="s">
        <v>254</v>
      </c>
      <c r="BL2553" s="4" t="s">
        <v>255</v>
      </c>
      <c r="BM2553" s="4" t="s">
        <v>241</v>
      </c>
      <c r="BN2553" s="6">
        <f>0</f>
        <v>0</v>
      </c>
      <c r="BO2553" s="6">
        <f>0</f>
        <v>0</v>
      </c>
      <c r="BP2553" s="4" t="s">
        <v>256</v>
      </c>
      <c r="BQ2553" s="4" t="s">
        <v>257</v>
      </c>
      <c r="CE2553" s="4" t="s">
        <v>241</v>
      </c>
      <c r="CF2553" s="4" t="s">
        <v>241</v>
      </c>
      <c r="CJ2553" s="4" t="s">
        <v>276</v>
      </c>
      <c r="CK2553" s="4" t="s">
        <v>259</v>
      </c>
      <c r="CL2553" s="4" t="s">
        <v>241</v>
      </c>
      <c r="CO2553" s="5" t="s">
        <v>260</v>
      </c>
      <c r="CP2553" s="4" t="s">
        <v>241</v>
      </c>
      <c r="CQ2553" s="4" t="s">
        <v>261</v>
      </c>
      <c r="CR2553" s="4" t="s">
        <v>241</v>
      </c>
      <c r="CS2553" s="4" t="s">
        <v>241</v>
      </c>
      <c r="CT2553" s="4">
        <v>0</v>
      </c>
      <c r="CU2553" s="4" t="s">
        <v>262</v>
      </c>
      <c r="CV2553" s="4" t="s">
        <v>263</v>
      </c>
      <c r="CW2553" s="4" t="s">
        <v>263</v>
      </c>
      <c r="CX2553" s="4" t="s">
        <v>264</v>
      </c>
      <c r="DA2553" s="6">
        <f>1</f>
        <v>1</v>
      </c>
      <c r="DC2553" s="4" t="s">
        <v>325</v>
      </c>
      <c r="DD2553" s="4" t="s">
        <v>241</v>
      </c>
      <c r="DF2553" s="4" t="s">
        <v>325</v>
      </c>
      <c r="DG2553" s="6">
        <f>904</f>
        <v>904</v>
      </c>
      <c r="DI2553" s="4" t="s">
        <v>241</v>
      </c>
      <c r="DJ2553" s="4" t="s">
        <v>241</v>
      </c>
      <c r="DK2553" s="4" t="s">
        <v>241</v>
      </c>
      <c r="DL2553" s="4" t="s">
        <v>241</v>
      </c>
      <c r="DP2553" s="4" t="s">
        <v>241</v>
      </c>
      <c r="DQ2553" s="4" t="s">
        <v>241</v>
      </c>
      <c r="DR2553" s="4" t="s">
        <v>241</v>
      </c>
      <c r="DS2553" s="4" t="s">
        <v>241</v>
      </c>
      <c r="DV2553" s="4" t="s">
        <v>426</v>
      </c>
      <c r="DW2553" s="4" t="s">
        <v>1809</v>
      </c>
      <c r="HO2553" s="4" t="s">
        <v>267</v>
      </c>
    </row>
    <row r="2554" spans="1:223" ht="19.5" customHeight="1" x14ac:dyDescent="0.4">
      <c r="A2554" s="4">
        <v>1</v>
      </c>
      <c r="B2554" s="4" t="s">
        <v>239</v>
      </c>
      <c r="C2554" s="4">
        <v>4257</v>
      </c>
      <c r="D2554" s="4">
        <v>1</v>
      </c>
      <c r="E2554" s="4">
        <v>1</v>
      </c>
      <c r="F2554" s="4" t="s">
        <v>268</v>
      </c>
      <c r="G2554" s="4" t="s">
        <v>241</v>
      </c>
      <c r="H2554" s="4" t="s">
        <v>241</v>
      </c>
      <c r="I2554" s="4" t="s">
        <v>424</v>
      </c>
      <c r="J2554" s="4" t="s">
        <v>274</v>
      </c>
      <c r="K2554" s="4" t="s">
        <v>251</v>
      </c>
      <c r="L2554" s="4" t="s">
        <v>423</v>
      </c>
      <c r="M2554" s="5" t="s">
        <v>3879</v>
      </c>
      <c r="N2554" s="6">
        <f>321</f>
        <v>321</v>
      </c>
      <c r="O2554" s="4" t="s">
        <v>265</v>
      </c>
      <c r="P2554" s="6">
        <f>1</f>
        <v>1</v>
      </c>
      <c r="Q2554" s="6">
        <f>0</f>
        <v>0</v>
      </c>
      <c r="S2554" s="6">
        <f>0</f>
        <v>0</v>
      </c>
      <c r="T2554" s="6">
        <f>1</f>
        <v>1</v>
      </c>
      <c r="U2554" s="5" t="s">
        <v>245</v>
      </c>
      <c r="V2554" s="4" t="s">
        <v>270</v>
      </c>
      <c r="W2554" s="4" t="s">
        <v>271</v>
      </c>
      <c r="X2554" s="4" t="s">
        <v>273</v>
      </c>
      <c r="Y2554" s="4" t="s">
        <v>241</v>
      </c>
      <c r="AB2554" s="4" t="s">
        <v>241</v>
      </c>
      <c r="AD2554" s="5" t="s">
        <v>241</v>
      </c>
      <c r="AG2554" s="5" t="s">
        <v>246</v>
      </c>
      <c r="AH2554" s="4" t="s">
        <v>241</v>
      </c>
      <c r="AI2554" s="4" t="s">
        <v>247</v>
      </c>
      <c r="AJ2554" s="4" t="s">
        <v>248</v>
      </c>
      <c r="AZ2554" s="4" t="s">
        <v>249</v>
      </c>
      <c r="BA2554" s="4" t="s">
        <v>241</v>
      </c>
      <c r="BB2554" s="4" t="s">
        <v>250</v>
      </c>
      <c r="BC2554" s="4" t="s">
        <v>241</v>
      </c>
      <c r="BD2554" s="4" t="s">
        <v>252</v>
      </c>
      <c r="BE2554" s="4" t="s">
        <v>241</v>
      </c>
      <c r="BI2554" s="4" t="s">
        <v>253</v>
      </c>
      <c r="BJ2554" s="5" t="s">
        <v>246</v>
      </c>
      <c r="BK2554" s="4" t="s">
        <v>254</v>
      </c>
      <c r="BL2554" s="4" t="s">
        <v>255</v>
      </c>
      <c r="BM2554" s="4" t="s">
        <v>241</v>
      </c>
      <c r="BN2554" s="6">
        <f>0</f>
        <v>0</v>
      </c>
      <c r="BO2554" s="6">
        <f>0</f>
        <v>0</v>
      </c>
      <c r="BP2554" s="4" t="s">
        <v>256</v>
      </c>
      <c r="BQ2554" s="4" t="s">
        <v>257</v>
      </c>
      <c r="CE2554" s="4" t="s">
        <v>241</v>
      </c>
      <c r="CF2554" s="4" t="s">
        <v>241</v>
      </c>
      <c r="CJ2554" s="4" t="s">
        <v>276</v>
      </c>
      <c r="CK2554" s="4" t="s">
        <v>259</v>
      </c>
      <c r="CL2554" s="4" t="s">
        <v>241</v>
      </c>
      <c r="CO2554" s="5" t="s">
        <v>260</v>
      </c>
      <c r="CP2554" s="4" t="s">
        <v>241</v>
      </c>
      <c r="CQ2554" s="4" t="s">
        <v>261</v>
      </c>
      <c r="CR2554" s="4" t="s">
        <v>241</v>
      </c>
      <c r="CS2554" s="4" t="s">
        <v>241</v>
      </c>
      <c r="CT2554" s="4">
        <v>0</v>
      </c>
      <c r="CU2554" s="4" t="s">
        <v>262</v>
      </c>
      <c r="CV2554" s="4" t="s">
        <v>263</v>
      </c>
      <c r="CW2554" s="4" t="s">
        <v>263</v>
      </c>
      <c r="CX2554" s="4" t="s">
        <v>264</v>
      </c>
      <c r="DA2554" s="6">
        <f>1</f>
        <v>1</v>
      </c>
      <c r="DC2554" s="4" t="s">
        <v>325</v>
      </c>
      <c r="DD2554" s="4" t="s">
        <v>241</v>
      </c>
      <c r="DF2554" s="4" t="s">
        <v>325</v>
      </c>
      <c r="DG2554" s="6">
        <f>321</f>
        <v>321</v>
      </c>
      <c r="DI2554" s="4" t="s">
        <v>241</v>
      </c>
      <c r="DJ2554" s="4" t="s">
        <v>241</v>
      </c>
      <c r="DK2554" s="4" t="s">
        <v>241</v>
      </c>
      <c r="DL2554" s="4" t="s">
        <v>241</v>
      </c>
      <c r="DP2554" s="4" t="s">
        <v>241</v>
      </c>
      <c r="DQ2554" s="4" t="s">
        <v>241</v>
      </c>
      <c r="DR2554" s="4" t="s">
        <v>241</v>
      </c>
      <c r="DS2554" s="4" t="s">
        <v>241</v>
      </c>
      <c r="DV2554" s="4" t="s">
        <v>426</v>
      </c>
      <c r="DW2554" s="4" t="s">
        <v>2799</v>
      </c>
      <c r="HO2554" s="4" t="s">
        <v>267</v>
      </c>
    </row>
    <row r="2555" spans="1:223" ht="19.5" customHeight="1" x14ac:dyDescent="0.4">
      <c r="A2555" s="4">
        <v>1</v>
      </c>
      <c r="B2555" s="4" t="s">
        <v>239</v>
      </c>
      <c r="C2555" s="4">
        <v>4258</v>
      </c>
      <c r="D2555" s="4">
        <v>1</v>
      </c>
      <c r="E2555" s="4">
        <v>1</v>
      </c>
      <c r="F2555" s="4" t="s">
        <v>268</v>
      </c>
      <c r="G2555" s="4" t="s">
        <v>241</v>
      </c>
      <c r="H2555" s="4" t="s">
        <v>241</v>
      </c>
      <c r="I2555" s="4" t="s">
        <v>424</v>
      </c>
      <c r="J2555" s="4" t="s">
        <v>274</v>
      </c>
      <c r="K2555" s="4" t="s">
        <v>251</v>
      </c>
      <c r="L2555" s="4" t="s">
        <v>423</v>
      </c>
      <c r="M2555" s="5" t="s">
        <v>3882</v>
      </c>
      <c r="N2555" s="6">
        <f>247</f>
        <v>247</v>
      </c>
      <c r="O2555" s="4" t="s">
        <v>265</v>
      </c>
      <c r="P2555" s="6">
        <f>1</f>
        <v>1</v>
      </c>
      <c r="Q2555" s="6">
        <f>0</f>
        <v>0</v>
      </c>
      <c r="S2555" s="6">
        <f>0</f>
        <v>0</v>
      </c>
      <c r="T2555" s="6">
        <f>1</f>
        <v>1</v>
      </c>
      <c r="U2555" s="5" t="s">
        <v>245</v>
      </c>
      <c r="V2555" s="4" t="s">
        <v>270</v>
      </c>
      <c r="W2555" s="4" t="s">
        <v>271</v>
      </c>
      <c r="X2555" s="4" t="s">
        <v>273</v>
      </c>
      <c r="Y2555" s="4" t="s">
        <v>241</v>
      </c>
      <c r="AB2555" s="4" t="s">
        <v>241</v>
      </c>
      <c r="AD2555" s="5" t="s">
        <v>241</v>
      </c>
      <c r="AG2555" s="5" t="s">
        <v>246</v>
      </c>
      <c r="AH2555" s="4" t="s">
        <v>241</v>
      </c>
      <c r="AI2555" s="4" t="s">
        <v>247</v>
      </c>
      <c r="AJ2555" s="4" t="s">
        <v>248</v>
      </c>
      <c r="AZ2555" s="4" t="s">
        <v>249</v>
      </c>
      <c r="BA2555" s="4" t="s">
        <v>241</v>
      </c>
      <c r="BB2555" s="4" t="s">
        <v>250</v>
      </c>
      <c r="BC2555" s="4" t="s">
        <v>241</v>
      </c>
      <c r="BD2555" s="4" t="s">
        <v>252</v>
      </c>
      <c r="BE2555" s="4" t="s">
        <v>241</v>
      </c>
      <c r="BI2555" s="4" t="s">
        <v>253</v>
      </c>
      <c r="BJ2555" s="5" t="s">
        <v>246</v>
      </c>
      <c r="BK2555" s="4" t="s">
        <v>254</v>
      </c>
      <c r="BL2555" s="4" t="s">
        <v>255</v>
      </c>
      <c r="BM2555" s="4" t="s">
        <v>241</v>
      </c>
      <c r="BN2555" s="6">
        <f>0</f>
        <v>0</v>
      </c>
      <c r="BO2555" s="6">
        <f>0</f>
        <v>0</v>
      </c>
      <c r="BP2555" s="4" t="s">
        <v>256</v>
      </c>
      <c r="BQ2555" s="4" t="s">
        <v>257</v>
      </c>
      <c r="CE2555" s="4" t="s">
        <v>241</v>
      </c>
      <c r="CF2555" s="4" t="s">
        <v>241</v>
      </c>
      <c r="CJ2555" s="4" t="s">
        <v>276</v>
      </c>
      <c r="CK2555" s="4" t="s">
        <v>259</v>
      </c>
      <c r="CL2555" s="4" t="s">
        <v>241</v>
      </c>
      <c r="CO2555" s="5" t="s">
        <v>260</v>
      </c>
      <c r="CP2555" s="4" t="s">
        <v>241</v>
      </c>
      <c r="CQ2555" s="4" t="s">
        <v>261</v>
      </c>
      <c r="CR2555" s="4" t="s">
        <v>241</v>
      </c>
      <c r="CS2555" s="4" t="s">
        <v>241</v>
      </c>
      <c r="CT2555" s="4">
        <v>0</v>
      </c>
      <c r="CU2555" s="4" t="s">
        <v>262</v>
      </c>
      <c r="CV2555" s="4" t="s">
        <v>263</v>
      </c>
      <c r="CW2555" s="4" t="s">
        <v>263</v>
      </c>
      <c r="CX2555" s="4" t="s">
        <v>264</v>
      </c>
      <c r="DA2555" s="6">
        <f>1</f>
        <v>1</v>
      </c>
      <c r="DC2555" s="4" t="s">
        <v>325</v>
      </c>
      <c r="DD2555" s="4" t="s">
        <v>241</v>
      </c>
      <c r="DF2555" s="4" t="s">
        <v>325</v>
      </c>
      <c r="DG2555" s="6">
        <f>247</f>
        <v>247</v>
      </c>
      <c r="DI2555" s="4" t="s">
        <v>241</v>
      </c>
      <c r="DJ2555" s="4" t="s">
        <v>241</v>
      </c>
      <c r="DK2555" s="4" t="s">
        <v>241</v>
      </c>
      <c r="DL2555" s="4" t="s">
        <v>241</v>
      </c>
      <c r="DP2555" s="4" t="s">
        <v>241</v>
      </c>
      <c r="DQ2555" s="4" t="s">
        <v>241</v>
      </c>
      <c r="DR2555" s="4" t="s">
        <v>241</v>
      </c>
      <c r="DS2555" s="4" t="s">
        <v>241</v>
      </c>
      <c r="DV2555" s="4" t="s">
        <v>426</v>
      </c>
      <c r="DW2555" s="4" t="s">
        <v>2795</v>
      </c>
      <c r="HO2555" s="4" t="s">
        <v>267</v>
      </c>
    </row>
    <row r="2556" spans="1:223" ht="19.5" customHeight="1" x14ac:dyDescent="0.4">
      <c r="A2556" s="4">
        <v>1</v>
      </c>
      <c r="B2556" s="4" t="s">
        <v>239</v>
      </c>
      <c r="C2556" s="4">
        <v>4259</v>
      </c>
      <c r="D2556" s="4">
        <v>1</v>
      </c>
      <c r="E2556" s="4">
        <v>1</v>
      </c>
      <c r="F2556" s="4" t="s">
        <v>268</v>
      </c>
      <c r="G2556" s="4" t="s">
        <v>241</v>
      </c>
      <c r="H2556" s="4" t="s">
        <v>241</v>
      </c>
      <c r="I2556" s="4" t="s">
        <v>424</v>
      </c>
      <c r="J2556" s="4" t="s">
        <v>274</v>
      </c>
      <c r="K2556" s="4" t="s">
        <v>251</v>
      </c>
      <c r="L2556" s="4" t="s">
        <v>423</v>
      </c>
      <c r="M2556" s="5" t="s">
        <v>3884</v>
      </c>
      <c r="N2556" s="6">
        <f>54</f>
        <v>54</v>
      </c>
      <c r="O2556" s="4" t="s">
        <v>265</v>
      </c>
      <c r="P2556" s="6">
        <f>1</f>
        <v>1</v>
      </c>
      <c r="Q2556" s="6">
        <f>0</f>
        <v>0</v>
      </c>
      <c r="S2556" s="6">
        <f>0</f>
        <v>0</v>
      </c>
      <c r="T2556" s="6">
        <f>1</f>
        <v>1</v>
      </c>
      <c r="U2556" s="5" t="s">
        <v>245</v>
      </c>
      <c r="V2556" s="4" t="s">
        <v>270</v>
      </c>
      <c r="W2556" s="4" t="s">
        <v>271</v>
      </c>
      <c r="X2556" s="4" t="s">
        <v>273</v>
      </c>
      <c r="Y2556" s="4" t="s">
        <v>241</v>
      </c>
      <c r="AB2556" s="4" t="s">
        <v>241</v>
      </c>
      <c r="AD2556" s="5" t="s">
        <v>241</v>
      </c>
      <c r="AG2556" s="5" t="s">
        <v>246</v>
      </c>
      <c r="AH2556" s="4" t="s">
        <v>241</v>
      </c>
      <c r="AI2556" s="4" t="s">
        <v>247</v>
      </c>
      <c r="AJ2556" s="4" t="s">
        <v>248</v>
      </c>
      <c r="AZ2556" s="4" t="s">
        <v>249</v>
      </c>
      <c r="BA2556" s="4" t="s">
        <v>241</v>
      </c>
      <c r="BB2556" s="4" t="s">
        <v>250</v>
      </c>
      <c r="BC2556" s="4" t="s">
        <v>241</v>
      </c>
      <c r="BD2556" s="4" t="s">
        <v>252</v>
      </c>
      <c r="BE2556" s="4" t="s">
        <v>241</v>
      </c>
      <c r="BI2556" s="4" t="s">
        <v>253</v>
      </c>
      <c r="BJ2556" s="5" t="s">
        <v>246</v>
      </c>
      <c r="BK2556" s="4" t="s">
        <v>254</v>
      </c>
      <c r="BL2556" s="4" t="s">
        <v>255</v>
      </c>
      <c r="BM2556" s="4" t="s">
        <v>241</v>
      </c>
      <c r="BN2556" s="6">
        <f>0</f>
        <v>0</v>
      </c>
      <c r="BO2556" s="6">
        <f>0</f>
        <v>0</v>
      </c>
      <c r="BP2556" s="4" t="s">
        <v>256</v>
      </c>
      <c r="BQ2556" s="4" t="s">
        <v>257</v>
      </c>
      <c r="CE2556" s="4" t="s">
        <v>241</v>
      </c>
      <c r="CF2556" s="4" t="s">
        <v>241</v>
      </c>
      <c r="CJ2556" s="4" t="s">
        <v>276</v>
      </c>
      <c r="CK2556" s="4" t="s">
        <v>259</v>
      </c>
      <c r="CL2556" s="4" t="s">
        <v>241</v>
      </c>
      <c r="CO2556" s="5" t="s">
        <v>260</v>
      </c>
      <c r="CP2556" s="4" t="s">
        <v>241</v>
      </c>
      <c r="CQ2556" s="4" t="s">
        <v>261</v>
      </c>
      <c r="CR2556" s="4" t="s">
        <v>241</v>
      </c>
      <c r="CS2556" s="4" t="s">
        <v>241</v>
      </c>
      <c r="CT2556" s="4">
        <v>0</v>
      </c>
      <c r="CU2556" s="4" t="s">
        <v>262</v>
      </c>
      <c r="CV2556" s="4" t="s">
        <v>263</v>
      </c>
      <c r="CW2556" s="4" t="s">
        <v>263</v>
      </c>
      <c r="CX2556" s="4" t="s">
        <v>264</v>
      </c>
      <c r="DA2556" s="6">
        <f>1</f>
        <v>1</v>
      </c>
      <c r="DC2556" s="4" t="s">
        <v>325</v>
      </c>
      <c r="DD2556" s="4" t="s">
        <v>241</v>
      </c>
      <c r="DF2556" s="4" t="s">
        <v>325</v>
      </c>
      <c r="DG2556" s="6">
        <f>54</f>
        <v>54</v>
      </c>
      <c r="DI2556" s="4" t="s">
        <v>241</v>
      </c>
      <c r="DJ2556" s="4" t="s">
        <v>241</v>
      </c>
      <c r="DK2556" s="4" t="s">
        <v>241</v>
      </c>
      <c r="DL2556" s="4" t="s">
        <v>241</v>
      </c>
      <c r="DP2556" s="4" t="s">
        <v>241</v>
      </c>
      <c r="DQ2556" s="4" t="s">
        <v>241</v>
      </c>
      <c r="DR2556" s="4" t="s">
        <v>241</v>
      </c>
      <c r="DS2556" s="4" t="s">
        <v>241</v>
      </c>
      <c r="DV2556" s="4" t="s">
        <v>426</v>
      </c>
      <c r="DW2556" s="4" t="s">
        <v>2791</v>
      </c>
      <c r="HO2556" s="4" t="s">
        <v>267</v>
      </c>
    </row>
    <row r="2557" spans="1:223" ht="19.5" customHeight="1" x14ac:dyDescent="0.4">
      <c r="A2557" s="4">
        <v>1</v>
      </c>
      <c r="B2557" s="4" t="s">
        <v>239</v>
      </c>
      <c r="C2557" s="4">
        <v>4260</v>
      </c>
      <c r="D2557" s="4">
        <v>1</v>
      </c>
      <c r="E2557" s="4">
        <v>1</v>
      </c>
      <c r="F2557" s="4" t="s">
        <v>268</v>
      </c>
      <c r="G2557" s="4" t="s">
        <v>241</v>
      </c>
      <c r="H2557" s="4" t="s">
        <v>241</v>
      </c>
      <c r="I2557" s="4" t="s">
        <v>424</v>
      </c>
      <c r="J2557" s="4" t="s">
        <v>274</v>
      </c>
      <c r="K2557" s="4" t="s">
        <v>251</v>
      </c>
      <c r="L2557" s="4" t="s">
        <v>423</v>
      </c>
      <c r="M2557" s="5" t="s">
        <v>3886</v>
      </c>
      <c r="N2557" s="6">
        <f>210</f>
        <v>210</v>
      </c>
      <c r="O2557" s="4" t="s">
        <v>265</v>
      </c>
      <c r="P2557" s="6">
        <f>1</f>
        <v>1</v>
      </c>
      <c r="Q2557" s="6">
        <f>0</f>
        <v>0</v>
      </c>
      <c r="S2557" s="6">
        <f>0</f>
        <v>0</v>
      </c>
      <c r="T2557" s="6">
        <f>1</f>
        <v>1</v>
      </c>
      <c r="U2557" s="5" t="s">
        <v>245</v>
      </c>
      <c r="V2557" s="4" t="s">
        <v>270</v>
      </c>
      <c r="W2557" s="4" t="s">
        <v>271</v>
      </c>
      <c r="X2557" s="4" t="s">
        <v>273</v>
      </c>
      <c r="Y2557" s="4" t="s">
        <v>241</v>
      </c>
      <c r="AB2557" s="4" t="s">
        <v>241</v>
      </c>
      <c r="AD2557" s="5" t="s">
        <v>241</v>
      </c>
      <c r="AG2557" s="5" t="s">
        <v>246</v>
      </c>
      <c r="AH2557" s="4" t="s">
        <v>241</v>
      </c>
      <c r="AI2557" s="4" t="s">
        <v>247</v>
      </c>
      <c r="AJ2557" s="4" t="s">
        <v>248</v>
      </c>
      <c r="AZ2557" s="4" t="s">
        <v>249</v>
      </c>
      <c r="BA2557" s="4" t="s">
        <v>241</v>
      </c>
      <c r="BB2557" s="4" t="s">
        <v>250</v>
      </c>
      <c r="BC2557" s="4" t="s">
        <v>241</v>
      </c>
      <c r="BD2557" s="4" t="s">
        <v>252</v>
      </c>
      <c r="BE2557" s="4" t="s">
        <v>241</v>
      </c>
      <c r="BI2557" s="4" t="s">
        <v>253</v>
      </c>
      <c r="BJ2557" s="5" t="s">
        <v>246</v>
      </c>
      <c r="BK2557" s="4" t="s">
        <v>254</v>
      </c>
      <c r="BL2557" s="4" t="s">
        <v>255</v>
      </c>
      <c r="BM2557" s="4" t="s">
        <v>241</v>
      </c>
      <c r="BN2557" s="6">
        <f>0</f>
        <v>0</v>
      </c>
      <c r="BO2557" s="6">
        <f>0</f>
        <v>0</v>
      </c>
      <c r="BP2557" s="4" t="s">
        <v>256</v>
      </c>
      <c r="BQ2557" s="4" t="s">
        <v>257</v>
      </c>
      <c r="CE2557" s="4" t="s">
        <v>241</v>
      </c>
      <c r="CF2557" s="4" t="s">
        <v>241</v>
      </c>
      <c r="CJ2557" s="4" t="s">
        <v>276</v>
      </c>
      <c r="CK2557" s="4" t="s">
        <v>259</v>
      </c>
      <c r="CL2557" s="4" t="s">
        <v>241</v>
      </c>
      <c r="CO2557" s="5" t="s">
        <v>260</v>
      </c>
      <c r="CP2557" s="4" t="s">
        <v>241</v>
      </c>
      <c r="CQ2557" s="4" t="s">
        <v>261</v>
      </c>
      <c r="CR2557" s="4" t="s">
        <v>241</v>
      </c>
      <c r="CS2557" s="4" t="s">
        <v>241</v>
      </c>
      <c r="CT2557" s="4">
        <v>0</v>
      </c>
      <c r="CU2557" s="4" t="s">
        <v>262</v>
      </c>
      <c r="CV2557" s="4" t="s">
        <v>263</v>
      </c>
      <c r="CW2557" s="4" t="s">
        <v>263</v>
      </c>
      <c r="CX2557" s="4" t="s">
        <v>264</v>
      </c>
      <c r="DA2557" s="6">
        <f>1</f>
        <v>1</v>
      </c>
      <c r="DC2557" s="4" t="s">
        <v>325</v>
      </c>
      <c r="DD2557" s="4" t="s">
        <v>241</v>
      </c>
      <c r="DF2557" s="4" t="s">
        <v>325</v>
      </c>
      <c r="DG2557" s="6">
        <f>210</f>
        <v>210</v>
      </c>
      <c r="DI2557" s="4" t="s">
        <v>241</v>
      </c>
      <c r="DJ2557" s="4" t="s">
        <v>241</v>
      </c>
      <c r="DK2557" s="4" t="s">
        <v>241</v>
      </c>
      <c r="DL2557" s="4" t="s">
        <v>241</v>
      </c>
      <c r="DP2557" s="4" t="s">
        <v>241</v>
      </c>
      <c r="DQ2557" s="4" t="s">
        <v>241</v>
      </c>
      <c r="DR2557" s="4" t="s">
        <v>241</v>
      </c>
      <c r="DS2557" s="4" t="s">
        <v>241</v>
      </c>
      <c r="DV2557" s="4" t="s">
        <v>426</v>
      </c>
      <c r="DW2557" s="4" t="s">
        <v>2789</v>
      </c>
      <c r="HO2557" s="4" t="s">
        <v>267</v>
      </c>
    </row>
    <row r="2558" spans="1:223" ht="19.5" customHeight="1" x14ac:dyDescent="0.4">
      <c r="A2558" s="4">
        <v>1</v>
      </c>
      <c r="B2558" s="4" t="s">
        <v>239</v>
      </c>
      <c r="C2558" s="4">
        <v>4261</v>
      </c>
      <c r="D2558" s="4">
        <v>1</v>
      </c>
      <c r="E2558" s="4">
        <v>1</v>
      </c>
      <c r="F2558" s="4" t="s">
        <v>268</v>
      </c>
      <c r="G2558" s="4" t="s">
        <v>241</v>
      </c>
      <c r="H2558" s="4" t="s">
        <v>241</v>
      </c>
      <c r="I2558" s="4" t="s">
        <v>424</v>
      </c>
      <c r="J2558" s="4" t="s">
        <v>274</v>
      </c>
      <c r="K2558" s="4" t="s">
        <v>251</v>
      </c>
      <c r="L2558" s="4" t="s">
        <v>423</v>
      </c>
      <c r="M2558" s="5" t="s">
        <v>3891</v>
      </c>
      <c r="N2558" s="6">
        <f>221</f>
        <v>221</v>
      </c>
      <c r="O2558" s="4" t="s">
        <v>265</v>
      </c>
      <c r="P2558" s="6">
        <f>1</f>
        <v>1</v>
      </c>
      <c r="Q2558" s="6">
        <f>0</f>
        <v>0</v>
      </c>
      <c r="S2558" s="6">
        <f>0</f>
        <v>0</v>
      </c>
      <c r="T2558" s="6">
        <f>1</f>
        <v>1</v>
      </c>
      <c r="U2558" s="5" t="s">
        <v>245</v>
      </c>
      <c r="V2558" s="4" t="s">
        <v>270</v>
      </c>
      <c r="W2558" s="4" t="s">
        <v>271</v>
      </c>
      <c r="X2558" s="4" t="s">
        <v>273</v>
      </c>
      <c r="Y2558" s="4" t="s">
        <v>241</v>
      </c>
      <c r="AB2558" s="4" t="s">
        <v>241</v>
      </c>
      <c r="AD2558" s="5" t="s">
        <v>241</v>
      </c>
      <c r="AG2558" s="5" t="s">
        <v>246</v>
      </c>
      <c r="AH2558" s="4" t="s">
        <v>241</v>
      </c>
      <c r="AI2558" s="4" t="s">
        <v>247</v>
      </c>
      <c r="AJ2558" s="4" t="s">
        <v>248</v>
      </c>
      <c r="AZ2558" s="4" t="s">
        <v>249</v>
      </c>
      <c r="BA2558" s="4" t="s">
        <v>241</v>
      </c>
      <c r="BB2558" s="4" t="s">
        <v>250</v>
      </c>
      <c r="BC2558" s="4" t="s">
        <v>241</v>
      </c>
      <c r="BD2558" s="4" t="s">
        <v>252</v>
      </c>
      <c r="BE2558" s="4" t="s">
        <v>241</v>
      </c>
      <c r="BI2558" s="4" t="s">
        <v>253</v>
      </c>
      <c r="BJ2558" s="5" t="s">
        <v>246</v>
      </c>
      <c r="BK2558" s="4" t="s">
        <v>254</v>
      </c>
      <c r="BL2558" s="4" t="s">
        <v>255</v>
      </c>
      <c r="BM2558" s="4" t="s">
        <v>241</v>
      </c>
      <c r="BN2558" s="6">
        <f>0</f>
        <v>0</v>
      </c>
      <c r="BO2558" s="6">
        <f>0</f>
        <v>0</v>
      </c>
      <c r="BP2558" s="4" t="s">
        <v>256</v>
      </c>
      <c r="BQ2558" s="4" t="s">
        <v>257</v>
      </c>
      <c r="CE2558" s="4" t="s">
        <v>241</v>
      </c>
      <c r="CF2558" s="4" t="s">
        <v>241</v>
      </c>
      <c r="CJ2558" s="4" t="s">
        <v>276</v>
      </c>
      <c r="CK2558" s="4" t="s">
        <v>259</v>
      </c>
      <c r="CL2558" s="4" t="s">
        <v>241</v>
      </c>
      <c r="CO2558" s="5" t="s">
        <v>260</v>
      </c>
      <c r="CP2558" s="4" t="s">
        <v>241</v>
      </c>
      <c r="CQ2558" s="4" t="s">
        <v>261</v>
      </c>
      <c r="CR2558" s="4" t="s">
        <v>241</v>
      </c>
      <c r="CS2558" s="4" t="s">
        <v>241</v>
      </c>
      <c r="CT2558" s="4">
        <v>0</v>
      </c>
      <c r="CU2558" s="4" t="s">
        <v>262</v>
      </c>
      <c r="CV2558" s="4" t="s">
        <v>263</v>
      </c>
      <c r="CW2558" s="4" t="s">
        <v>263</v>
      </c>
      <c r="CX2558" s="4" t="s">
        <v>264</v>
      </c>
      <c r="DA2558" s="6">
        <f>1</f>
        <v>1</v>
      </c>
      <c r="DC2558" s="4" t="s">
        <v>325</v>
      </c>
      <c r="DD2558" s="4" t="s">
        <v>241</v>
      </c>
      <c r="DF2558" s="4" t="s">
        <v>325</v>
      </c>
      <c r="DG2558" s="6">
        <f>221</f>
        <v>221</v>
      </c>
      <c r="DI2558" s="4" t="s">
        <v>241</v>
      </c>
      <c r="DJ2558" s="4" t="s">
        <v>241</v>
      </c>
      <c r="DK2558" s="4" t="s">
        <v>241</v>
      </c>
      <c r="DL2558" s="4" t="s">
        <v>241</v>
      </c>
      <c r="DP2558" s="4" t="s">
        <v>241</v>
      </c>
      <c r="DQ2558" s="4" t="s">
        <v>241</v>
      </c>
      <c r="DR2558" s="4" t="s">
        <v>241</v>
      </c>
      <c r="DS2558" s="4" t="s">
        <v>241</v>
      </c>
      <c r="DV2558" s="4" t="s">
        <v>426</v>
      </c>
      <c r="DW2558" s="4" t="s">
        <v>2787</v>
      </c>
      <c r="HO2558" s="4" t="s">
        <v>267</v>
      </c>
    </row>
    <row r="2559" spans="1:223" ht="19.5" customHeight="1" x14ac:dyDescent="0.4">
      <c r="A2559" s="4">
        <v>1</v>
      </c>
      <c r="B2559" s="4" t="s">
        <v>239</v>
      </c>
      <c r="C2559" s="4">
        <v>4262</v>
      </c>
      <c r="D2559" s="4">
        <v>1</v>
      </c>
      <c r="E2559" s="4">
        <v>1</v>
      </c>
      <c r="F2559" s="4" t="s">
        <v>268</v>
      </c>
      <c r="G2559" s="4" t="s">
        <v>241</v>
      </c>
      <c r="H2559" s="4" t="s">
        <v>241</v>
      </c>
      <c r="I2559" s="4" t="s">
        <v>424</v>
      </c>
      <c r="J2559" s="4" t="s">
        <v>274</v>
      </c>
      <c r="K2559" s="4" t="s">
        <v>251</v>
      </c>
      <c r="L2559" s="4" t="s">
        <v>423</v>
      </c>
      <c r="M2559" s="5" t="s">
        <v>3893</v>
      </c>
      <c r="N2559" s="6">
        <f>179</f>
        <v>179</v>
      </c>
      <c r="O2559" s="4" t="s">
        <v>265</v>
      </c>
      <c r="P2559" s="6">
        <f>1</f>
        <v>1</v>
      </c>
      <c r="Q2559" s="6">
        <f>0</f>
        <v>0</v>
      </c>
      <c r="S2559" s="6">
        <f>0</f>
        <v>0</v>
      </c>
      <c r="T2559" s="6">
        <f>1</f>
        <v>1</v>
      </c>
      <c r="U2559" s="5" t="s">
        <v>245</v>
      </c>
      <c r="V2559" s="4" t="s">
        <v>270</v>
      </c>
      <c r="W2559" s="4" t="s">
        <v>271</v>
      </c>
      <c r="X2559" s="4" t="s">
        <v>273</v>
      </c>
      <c r="Y2559" s="4" t="s">
        <v>241</v>
      </c>
      <c r="AB2559" s="4" t="s">
        <v>241</v>
      </c>
      <c r="AD2559" s="5" t="s">
        <v>241</v>
      </c>
      <c r="AG2559" s="5" t="s">
        <v>246</v>
      </c>
      <c r="AH2559" s="4" t="s">
        <v>241</v>
      </c>
      <c r="AI2559" s="4" t="s">
        <v>247</v>
      </c>
      <c r="AJ2559" s="4" t="s">
        <v>248</v>
      </c>
      <c r="AZ2559" s="4" t="s">
        <v>249</v>
      </c>
      <c r="BA2559" s="4" t="s">
        <v>241</v>
      </c>
      <c r="BB2559" s="4" t="s">
        <v>250</v>
      </c>
      <c r="BC2559" s="4" t="s">
        <v>241</v>
      </c>
      <c r="BD2559" s="4" t="s">
        <v>252</v>
      </c>
      <c r="BE2559" s="4" t="s">
        <v>241</v>
      </c>
      <c r="BI2559" s="4" t="s">
        <v>253</v>
      </c>
      <c r="BJ2559" s="5" t="s">
        <v>246</v>
      </c>
      <c r="BK2559" s="4" t="s">
        <v>254</v>
      </c>
      <c r="BL2559" s="4" t="s">
        <v>255</v>
      </c>
      <c r="BM2559" s="4" t="s">
        <v>241</v>
      </c>
      <c r="BN2559" s="6">
        <f>0</f>
        <v>0</v>
      </c>
      <c r="BO2559" s="6">
        <f>0</f>
        <v>0</v>
      </c>
      <c r="BP2559" s="4" t="s">
        <v>256</v>
      </c>
      <c r="BQ2559" s="4" t="s">
        <v>257</v>
      </c>
      <c r="CE2559" s="4" t="s">
        <v>241</v>
      </c>
      <c r="CF2559" s="4" t="s">
        <v>241</v>
      </c>
      <c r="CJ2559" s="4" t="s">
        <v>276</v>
      </c>
      <c r="CK2559" s="4" t="s">
        <v>259</v>
      </c>
      <c r="CL2559" s="4" t="s">
        <v>241</v>
      </c>
      <c r="CO2559" s="5" t="s">
        <v>260</v>
      </c>
      <c r="CP2559" s="4" t="s">
        <v>241</v>
      </c>
      <c r="CQ2559" s="4" t="s">
        <v>261</v>
      </c>
      <c r="CR2559" s="4" t="s">
        <v>241</v>
      </c>
      <c r="CS2559" s="4" t="s">
        <v>241</v>
      </c>
      <c r="CT2559" s="4">
        <v>0</v>
      </c>
      <c r="CU2559" s="4" t="s">
        <v>262</v>
      </c>
      <c r="CV2559" s="4" t="s">
        <v>263</v>
      </c>
      <c r="CW2559" s="4" t="s">
        <v>263</v>
      </c>
      <c r="CX2559" s="4" t="s">
        <v>264</v>
      </c>
      <c r="DA2559" s="6">
        <f>1</f>
        <v>1</v>
      </c>
      <c r="DC2559" s="4" t="s">
        <v>325</v>
      </c>
      <c r="DD2559" s="4" t="s">
        <v>241</v>
      </c>
      <c r="DF2559" s="4" t="s">
        <v>325</v>
      </c>
      <c r="DG2559" s="6">
        <f>179</f>
        <v>179</v>
      </c>
      <c r="DI2559" s="4" t="s">
        <v>241</v>
      </c>
      <c r="DJ2559" s="4" t="s">
        <v>241</v>
      </c>
      <c r="DK2559" s="4" t="s">
        <v>241</v>
      </c>
      <c r="DL2559" s="4" t="s">
        <v>241</v>
      </c>
      <c r="DP2559" s="4" t="s">
        <v>241</v>
      </c>
      <c r="DQ2559" s="4" t="s">
        <v>241</v>
      </c>
      <c r="DR2559" s="4" t="s">
        <v>241</v>
      </c>
      <c r="DS2559" s="4" t="s">
        <v>241</v>
      </c>
      <c r="DV2559" s="4" t="s">
        <v>426</v>
      </c>
      <c r="DW2559" s="4" t="s">
        <v>2785</v>
      </c>
      <c r="HO2559" s="4" t="s">
        <v>267</v>
      </c>
    </row>
    <row r="2560" spans="1:223" ht="19.5" customHeight="1" x14ac:dyDescent="0.4">
      <c r="A2560" s="4">
        <v>1</v>
      </c>
      <c r="B2560" s="4" t="s">
        <v>239</v>
      </c>
      <c r="C2560" s="4">
        <v>4263</v>
      </c>
      <c r="D2560" s="4">
        <v>1</v>
      </c>
      <c r="E2560" s="4">
        <v>1</v>
      </c>
      <c r="F2560" s="4" t="s">
        <v>268</v>
      </c>
      <c r="G2560" s="4" t="s">
        <v>241</v>
      </c>
      <c r="H2560" s="4" t="s">
        <v>241</v>
      </c>
      <c r="I2560" s="4" t="s">
        <v>424</v>
      </c>
      <c r="J2560" s="4" t="s">
        <v>274</v>
      </c>
      <c r="K2560" s="4" t="s">
        <v>251</v>
      </c>
      <c r="L2560" s="4" t="s">
        <v>423</v>
      </c>
      <c r="M2560" s="5" t="s">
        <v>3897</v>
      </c>
      <c r="N2560" s="6">
        <f>34</f>
        <v>34</v>
      </c>
      <c r="O2560" s="4" t="s">
        <v>265</v>
      </c>
      <c r="P2560" s="6">
        <f>1</f>
        <v>1</v>
      </c>
      <c r="Q2560" s="6">
        <f>0</f>
        <v>0</v>
      </c>
      <c r="S2560" s="6">
        <f>0</f>
        <v>0</v>
      </c>
      <c r="T2560" s="6">
        <f>1</f>
        <v>1</v>
      </c>
      <c r="U2560" s="5" t="s">
        <v>245</v>
      </c>
      <c r="V2560" s="4" t="s">
        <v>270</v>
      </c>
      <c r="W2560" s="4" t="s">
        <v>271</v>
      </c>
      <c r="X2560" s="4" t="s">
        <v>273</v>
      </c>
      <c r="Y2560" s="4" t="s">
        <v>241</v>
      </c>
      <c r="AB2560" s="4" t="s">
        <v>241</v>
      </c>
      <c r="AD2560" s="5" t="s">
        <v>241</v>
      </c>
      <c r="AG2560" s="5" t="s">
        <v>246</v>
      </c>
      <c r="AH2560" s="4" t="s">
        <v>241</v>
      </c>
      <c r="AI2560" s="4" t="s">
        <v>247</v>
      </c>
      <c r="AJ2560" s="4" t="s">
        <v>248</v>
      </c>
      <c r="AZ2560" s="4" t="s">
        <v>249</v>
      </c>
      <c r="BA2560" s="4" t="s">
        <v>241</v>
      </c>
      <c r="BB2560" s="4" t="s">
        <v>250</v>
      </c>
      <c r="BC2560" s="4" t="s">
        <v>241</v>
      </c>
      <c r="BD2560" s="4" t="s">
        <v>252</v>
      </c>
      <c r="BE2560" s="4" t="s">
        <v>241</v>
      </c>
      <c r="BI2560" s="4" t="s">
        <v>253</v>
      </c>
      <c r="BJ2560" s="5" t="s">
        <v>246</v>
      </c>
      <c r="BK2560" s="4" t="s">
        <v>254</v>
      </c>
      <c r="BL2560" s="4" t="s">
        <v>255</v>
      </c>
      <c r="BM2560" s="4" t="s">
        <v>241</v>
      </c>
      <c r="BN2560" s="6">
        <f>0</f>
        <v>0</v>
      </c>
      <c r="BO2560" s="6">
        <f>0</f>
        <v>0</v>
      </c>
      <c r="BP2560" s="4" t="s">
        <v>256</v>
      </c>
      <c r="BQ2560" s="4" t="s">
        <v>257</v>
      </c>
      <c r="CE2560" s="4" t="s">
        <v>241</v>
      </c>
      <c r="CF2560" s="4" t="s">
        <v>241</v>
      </c>
      <c r="CJ2560" s="4" t="s">
        <v>276</v>
      </c>
      <c r="CK2560" s="4" t="s">
        <v>259</v>
      </c>
      <c r="CL2560" s="4" t="s">
        <v>241</v>
      </c>
      <c r="CO2560" s="5" t="s">
        <v>260</v>
      </c>
      <c r="CP2560" s="4" t="s">
        <v>241</v>
      </c>
      <c r="CQ2560" s="4" t="s">
        <v>261</v>
      </c>
      <c r="CR2560" s="4" t="s">
        <v>241</v>
      </c>
      <c r="CS2560" s="4" t="s">
        <v>241</v>
      </c>
      <c r="CT2560" s="4">
        <v>0</v>
      </c>
      <c r="CU2560" s="4" t="s">
        <v>262</v>
      </c>
      <c r="CV2560" s="4" t="s">
        <v>263</v>
      </c>
      <c r="CW2560" s="4" t="s">
        <v>263</v>
      </c>
      <c r="CX2560" s="4" t="s">
        <v>264</v>
      </c>
      <c r="DA2560" s="6">
        <f>1</f>
        <v>1</v>
      </c>
      <c r="DC2560" s="4" t="s">
        <v>325</v>
      </c>
      <c r="DD2560" s="4" t="s">
        <v>241</v>
      </c>
      <c r="DF2560" s="4" t="s">
        <v>325</v>
      </c>
      <c r="DG2560" s="6">
        <f>34</f>
        <v>34</v>
      </c>
      <c r="DI2560" s="4" t="s">
        <v>241</v>
      </c>
      <c r="DJ2560" s="4" t="s">
        <v>241</v>
      </c>
      <c r="DK2560" s="4" t="s">
        <v>241</v>
      </c>
      <c r="DL2560" s="4" t="s">
        <v>241</v>
      </c>
      <c r="DP2560" s="4" t="s">
        <v>241</v>
      </c>
      <c r="DQ2560" s="4" t="s">
        <v>241</v>
      </c>
      <c r="DR2560" s="4" t="s">
        <v>241</v>
      </c>
      <c r="DS2560" s="4" t="s">
        <v>241</v>
      </c>
      <c r="DV2560" s="4" t="s">
        <v>426</v>
      </c>
      <c r="DW2560" s="4" t="s">
        <v>2783</v>
      </c>
      <c r="HO2560" s="4" t="s">
        <v>267</v>
      </c>
    </row>
    <row r="2561" spans="1:223" ht="19.5" customHeight="1" x14ac:dyDescent="0.4">
      <c r="A2561" s="4">
        <v>1</v>
      </c>
      <c r="B2561" s="4" t="s">
        <v>239</v>
      </c>
      <c r="C2561" s="4">
        <v>4264</v>
      </c>
      <c r="D2561" s="4">
        <v>1</v>
      </c>
      <c r="E2561" s="4">
        <v>1</v>
      </c>
      <c r="F2561" s="4" t="s">
        <v>268</v>
      </c>
      <c r="G2561" s="4" t="s">
        <v>241</v>
      </c>
      <c r="H2561" s="4" t="s">
        <v>241</v>
      </c>
      <c r="I2561" s="4" t="s">
        <v>424</v>
      </c>
      <c r="J2561" s="4" t="s">
        <v>274</v>
      </c>
      <c r="K2561" s="4" t="s">
        <v>251</v>
      </c>
      <c r="L2561" s="4" t="s">
        <v>423</v>
      </c>
      <c r="M2561" s="5" t="s">
        <v>3898</v>
      </c>
      <c r="N2561" s="6">
        <f>826</f>
        <v>826</v>
      </c>
      <c r="O2561" s="4" t="s">
        <v>265</v>
      </c>
      <c r="P2561" s="6">
        <f>1</f>
        <v>1</v>
      </c>
      <c r="Q2561" s="6">
        <f>0</f>
        <v>0</v>
      </c>
      <c r="S2561" s="6">
        <f>0</f>
        <v>0</v>
      </c>
      <c r="T2561" s="6">
        <f>1</f>
        <v>1</v>
      </c>
      <c r="U2561" s="5" t="s">
        <v>245</v>
      </c>
      <c r="V2561" s="4" t="s">
        <v>270</v>
      </c>
      <c r="W2561" s="4" t="s">
        <v>271</v>
      </c>
      <c r="X2561" s="4" t="s">
        <v>273</v>
      </c>
      <c r="Y2561" s="4" t="s">
        <v>241</v>
      </c>
      <c r="AB2561" s="4" t="s">
        <v>241</v>
      </c>
      <c r="AD2561" s="5" t="s">
        <v>241</v>
      </c>
      <c r="AG2561" s="5" t="s">
        <v>246</v>
      </c>
      <c r="AH2561" s="4" t="s">
        <v>241</v>
      </c>
      <c r="AI2561" s="4" t="s">
        <v>247</v>
      </c>
      <c r="AJ2561" s="4" t="s">
        <v>248</v>
      </c>
      <c r="AZ2561" s="4" t="s">
        <v>249</v>
      </c>
      <c r="BA2561" s="4" t="s">
        <v>241</v>
      </c>
      <c r="BB2561" s="4" t="s">
        <v>250</v>
      </c>
      <c r="BC2561" s="4" t="s">
        <v>241</v>
      </c>
      <c r="BD2561" s="4" t="s">
        <v>252</v>
      </c>
      <c r="BE2561" s="4" t="s">
        <v>241</v>
      </c>
      <c r="BI2561" s="4" t="s">
        <v>253</v>
      </c>
      <c r="BJ2561" s="5" t="s">
        <v>246</v>
      </c>
      <c r="BK2561" s="4" t="s">
        <v>254</v>
      </c>
      <c r="BL2561" s="4" t="s">
        <v>255</v>
      </c>
      <c r="BM2561" s="4" t="s">
        <v>241</v>
      </c>
      <c r="BN2561" s="6">
        <f>0</f>
        <v>0</v>
      </c>
      <c r="BO2561" s="6">
        <f>0</f>
        <v>0</v>
      </c>
      <c r="BP2561" s="4" t="s">
        <v>256</v>
      </c>
      <c r="BQ2561" s="4" t="s">
        <v>257</v>
      </c>
      <c r="CE2561" s="4" t="s">
        <v>241</v>
      </c>
      <c r="CF2561" s="4" t="s">
        <v>241</v>
      </c>
      <c r="CJ2561" s="4" t="s">
        <v>276</v>
      </c>
      <c r="CK2561" s="4" t="s">
        <v>259</v>
      </c>
      <c r="CL2561" s="4" t="s">
        <v>241</v>
      </c>
      <c r="CO2561" s="5" t="s">
        <v>260</v>
      </c>
      <c r="CP2561" s="4" t="s">
        <v>241</v>
      </c>
      <c r="CQ2561" s="4" t="s">
        <v>261</v>
      </c>
      <c r="CR2561" s="4" t="s">
        <v>241</v>
      </c>
      <c r="CS2561" s="4" t="s">
        <v>241</v>
      </c>
      <c r="CT2561" s="4">
        <v>0</v>
      </c>
      <c r="CU2561" s="4" t="s">
        <v>262</v>
      </c>
      <c r="CV2561" s="4" t="s">
        <v>263</v>
      </c>
      <c r="CW2561" s="4" t="s">
        <v>263</v>
      </c>
      <c r="CX2561" s="4" t="s">
        <v>264</v>
      </c>
      <c r="DA2561" s="6">
        <f>1</f>
        <v>1</v>
      </c>
      <c r="DC2561" s="4" t="s">
        <v>325</v>
      </c>
      <c r="DD2561" s="4" t="s">
        <v>241</v>
      </c>
      <c r="DF2561" s="4" t="s">
        <v>325</v>
      </c>
      <c r="DG2561" s="6">
        <f>826</f>
        <v>826</v>
      </c>
      <c r="DI2561" s="4" t="s">
        <v>241</v>
      </c>
      <c r="DJ2561" s="4" t="s">
        <v>241</v>
      </c>
      <c r="DK2561" s="4" t="s">
        <v>241</v>
      </c>
      <c r="DL2561" s="4" t="s">
        <v>241</v>
      </c>
      <c r="DP2561" s="4" t="s">
        <v>241</v>
      </c>
      <c r="DQ2561" s="4" t="s">
        <v>241</v>
      </c>
      <c r="DR2561" s="4" t="s">
        <v>241</v>
      </c>
      <c r="DS2561" s="4" t="s">
        <v>241</v>
      </c>
      <c r="DV2561" s="4" t="s">
        <v>426</v>
      </c>
      <c r="DW2561" s="4" t="s">
        <v>2781</v>
      </c>
      <c r="HO2561" s="4" t="s">
        <v>267</v>
      </c>
    </row>
    <row r="2562" spans="1:223" ht="19.5" customHeight="1" x14ac:dyDescent="0.4">
      <c r="A2562" s="4">
        <v>1</v>
      </c>
      <c r="B2562" s="4" t="s">
        <v>239</v>
      </c>
      <c r="C2562" s="4">
        <v>4265</v>
      </c>
      <c r="D2562" s="4">
        <v>1</v>
      </c>
      <c r="E2562" s="4">
        <v>1</v>
      </c>
      <c r="F2562" s="4" t="s">
        <v>268</v>
      </c>
      <c r="G2562" s="4" t="s">
        <v>241</v>
      </c>
      <c r="H2562" s="4" t="s">
        <v>241</v>
      </c>
      <c r="I2562" s="4" t="s">
        <v>424</v>
      </c>
      <c r="J2562" s="4" t="s">
        <v>274</v>
      </c>
      <c r="K2562" s="4" t="s">
        <v>251</v>
      </c>
      <c r="L2562" s="4" t="s">
        <v>423</v>
      </c>
      <c r="M2562" s="5" t="s">
        <v>3901</v>
      </c>
      <c r="N2562" s="6">
        <f>110</f>
        <v>110</v>
      </c>
      <c r="O2562" s="4" t="s">
        <v>265</v>
      </c>
      <c r="P2562" s="6">
        <f>1</f>
        <v>1</v>
      </c>
      <c r="Q2562" s="6">
        <f>0</f>
        <v>0</v>
      </c>
      <c r="S2562" s="6">
        <f>0</f>
        <v>0</v>
      </c>
      <c r="T2562" s="6">
        <f>1</f>
        <v>1</v>
      </c>
      <c r="U2562" s="5" t="s">
        <v>245</v>
      </c>
      <c r="V2562" s="4" t="s">
        <v>270</v>
      </c>
      <c r="W2562" s="4" t="s">
        <v>271</v>
      </c>
      <c r="X2562" s="4" t="s">
        <v>273</v>
      </c>
      <c r="Y2562" s="4" t="s">
        <v>241</v>
      </c>
      <c r="AB2562" s="4" t="s">
        <v>241</v>
      </c>
      <c r="AD2562" s="5" t="s">
        <v>241</v>
      </c>
      <c r="AG2562" s="5" t="s">
        <v>246</v>
      </c>
      <c r="AH2562" s="4" t="s">
        <v>241</v>
      </c>
      <c r="AI2562" s="4" t="s">
        <v>247</v>
      </c>
      <c r="AJ2562" s="4" t="s">
        <v>248</v>
      </c>
      <c r="AZ2562" s="4" t="s">
        <v>249</v>
      </c>
      <c r="BA2562" s="4" t="s">
        <v>241</v>
      </c>
      <c r="BB2562" s="4" t="s">
        <v>250</v>
      </c>
      <c r="BC2562" s="4" t="s">
        <v>241</v>
      </c>
      <c r="BD2562" s="4" t="s">
        <v>252</v>
      </c>
      <c r="BE2562" s="4" t="s">
        <v>241</v>
      </c>
      <c r="BI2562" s="4" t="s">
        <v>253</v>
      </c>
      <c r="BJ2562" s="5" t="s">
        <v>246</v>
      </c>
      <c r="BK2562" s="4" t="s">
        <v>254</v>
      </c>
      <c r="BL2562" s="4" t="s">
        <v>255</v>
      </c>
      <c r="BM2562" s="4" t="s">
        <v>241</v>
      </c>
      <c r="BN2562" s="6">
        <f>0</f>
        <v>0</v>
      </c>
      <c r="BO2562" s="6">
        <f>0</f>
        <v>0</v>
      </c>
      <c r="BP2562" s="4" t="s">
        <v>256</v>
      </c>
      <c r="BQ2562" s="4" t="s">
        <v>257</v>
      </c>
      <c r="CE2562" s="4" t="s">
        <v>241</v>
      </c>
      <c r="CF2562" s="4" t="s">
        <v>241</v>
      </c>
      <c r="CJ2562" s="4" t="s">
        <v>276</v>
      </c>
      <c r="CK2562" s="4" t="s">
        <v>259</v>
      </c>
      <c r="CL2562" s="4" t="s">
        <v>241</v>
      </c>
      <c r="CO2562" s="5" t="s">
        <v>260</v>
      </c>
      <c r="CP2562" s="4" t="s">
        <v>241</v>
      </c>
      <c r="CQ2562" s="4" t="s">
        <v>261</v>
      </c>
      <c r="CR2562" s="4" t="s">
        <v>241</v>
      </c>
      <c r="CS2562" s="4" t="s">
        <v>241</v>
      </c>
      <c r="CT2562" s="4">
        <v>0</v>
      </c>
      <c r="CU2562" s="4" t="s">
        <v>262</v>
      </c>
      <c r="CV2562" s="4" t="s">
        <v>263</v>
      </c>
      <c r="CW2562" s="4" t="s">
        <v>263</v>
      </c>
      <c r="CX2562" s="4" t="s">
        <v>264</v>
      </c>
      <c r="DA2562" s="6">
        <f>1</f>
        <v>1</v>
      </c>
      <c r="DC2562" s="4" t="s">
        <v>325</v>
      </c>
      <c r="DD2562" s="4" t="s">
        <v>241</v>
      </c>
      <c r="DF2562" s="4" t="s">
        <v>325</v>
      </c>
      <c r="DG2562" s="6">
        <f>110</f>
        <v>110</v>
      </c>
      <c r="DI2562" s="4" t="s">
        <v>241</v>
      </c>
      <c r="DJ2562" s="4" t="s">
        <v>241</v>
      </c>
      <c r="DK2562" s="4" t="s">
        <v>241</v>
      </c>
      <c r="DL2562" s="4" t="s">
        <v>241</v>
      </c>
      <c r="DP2562" s="4" t="s">
        <v>241</v>
      </c>
      <c r="DQ2562" s="4" t="s">
        <v>241</v>
      </c>
      <c r="DR2562" s="4" t="s">
        <v>241</v>
      </c>
      <c r="DS2562" s="4" t="s">
        <v>241</v>
      </c>
      <c r="DV2562" s="4" t="s">
        <v>426</v>
      </c>
      <c r="DW2562" s="4" t="s">
        <v>2779</v>
      </c>
      <c r="HO2562" s="4" t="s">
        <v>267</v>
      </c>
    </row>
    <row r="2563" spans="1:223" ht="19.5" customHeight="1" x14ac:dyDescent="0.4">
      <c r="A2563" s="4">
        <v>1</v>
      </c>
      <c r="B2563" s="4" t="s">
        <v>239</v>
      </c>
      <c r="C2563" s="4">
        <v>4266</v>
      </c>
      <c r="D2563" s="4">
        <v>1</v>
      </c>
      <c r="E2563" s="4">
        <v>1</v>
      </c>
      <c r="F2563" s="4" t="s">
        <v>268</v>
      </c>
      <c r="G2563" s="4" t="s">
        <v>241</v>
      </c>
      <c r="H2563" s="4" t="s">
        <v>241</v>
      </c>
      <c r="I2563" s="4" t="s">
        <v>424</v>
      </c>
      <c r="J2563" s="4" t="s">
        <v>274</v>
      </c>
      <c r="K2563" s="4" t="s">
        <v>251</v>
      </c>
      <c r="L2563" s="4" t="s">
        <v>423</v>
      </c>
      <c r="M2563" s="5" t="s">
        <v>3906</v>
      </c>
      <c r="N2563" s="6">
        <f>716</f>
        <v>716</v>
      </c>
      <c r="O2563" s="4" t="s">
        <v>265</v>
      </c>
      <c r="P2563" s="6">
        <f>1</f>
        <v>1</v>
      </c>
      <c r="Q2563" s="6">
        <f>0</f>
        <v>0</v>
      </c>
      <c r="S2563" s="6">
        <f>0</f>
        <v>0</v>
      </c>
      <c r="T2563" s="6">
        <f>1</f>
        <v>1</v>
      </c>
      <c r="U2563" s="5" t="s">
        <v>245</v>
      </c>
      <c r="V2563" s="4" t="s">
        <v>270</v>
      </c>
      <c r="W2563" s="4" t="s">
        <v>271</v>
      </c>
      <c r="X2563" s="4" t="s">
        <v>273</v>
      </c>
      <c r="Y2563" s="4" t="s">
        <v>241</v>
      </c>
      <c r="AB2563" s="4" t="s">
        <v>241</v>
      </c>
      <c r="AD2563" s="5" t="s">
        <v>241</v>
      </c>
      <c r="AG2563" s="5" t="s">
        <v>246</v>
      </c>
      <c r="AH2563" s="4" t="s">
        <v>241</v>
      </c>
      <c r="AI2563" s="4" t="s">
        <v>247</v>
      </c>
      <c r="AJ2563" s="4" t="s">
        <v>248</v>
      </c>
      <c r="AZ2563" s="4" t="s">
        <v>249</v>
      </c>
      <c r="BA2563" s="4" t="s">
        <v>241</v>
      </c>
      <c r="BB2563" s="4" t="s">
        <v>250</v>
      </c>
      <c r="BC2563" s="4" t="s">
        <v>241</v>
      </c>
      <c r="BD2563" s="4" t="s">
        <v>252</v>
      </c>
      <c r="BE2563" s="4" t="s">
        <v>241</v>
      </c>
      <c r="BI2563" s="4" t="s">
        <v>253</v>
      </c>
      <c r="BJ2563" s="5" t="s">
        <v>246</v>
      </c>
      <c r="BK2563" s="4" t="s">
        <v>254</v>
      </c>
      <c r="BL2563" s="4" t="s">
        <v>255</v>
      </c>
      <c r="BM2563" s="4" t="s">
        <v>241</v>
      </c>
      <c r="BN2563" s="6">
        <f>0</f>
        <v>0</v>
      </c>
      <c r="BO2563" s="6">
        <f>0</f>
        <v>0</v>
      </c>
      <c r="BP2563" s="4" t="s">
        <v>256</v>
      </c>
      <c r="BQ2563" s="4" t="s">
        <v>257</v>
      </c>
      <c r="CE2563" s="4" t="s">
        <v>241</v>
      </c>
      <c r="CF2563" s="4" t="s">
        <v>241</v>
      </c>
      <c r="CJ2563" s="4" t="s">
        <v>276</v>
      </c>
      <c r="CK2563" s="4" t="s">
        <v>259</v>
      </c>
      <c r="CL2563" s="4" t="s">
        <v>241</v>
      </c>
      <c r="CO2563" s="5" t="s">
        <v>260</v>
      </c>
      <c r="CP2563" s="4" t="s">
        <v>241</v>
      </c>
      <c r="CQ2563" s="4" t="s">
        <v>261</v>
      </c>
      <c r="CR2563" s="4" t="s">
        <v>241</v>
      </c>
      <c r="CS2563" s="4" t="s">
        <v>241</v>
      </c>
      <c r="CT2563" s="4">
        <v>0</v>
      </c>
      <c r="CU2563" s="4" t="s">
        <v>262</v>
      </c>
      <c r="CV2563" s="4" t="s">
        <v>263</v>
      </c>
      <c r="CW2563" s="4" t="s">
        <v>263</v>
      </c>
      <c r="CX2563" s="4" t="s">
        <v>264</v>
      </c>
      <c r="DA2563" s="6">
        <f>1</f>
        <v>1</v>
      </c>
      <c r="DC2563" s="4" t="s">
        <v>325</v>
      </c>
      <c r="DD2563" s="4" t="s">
        <v>241</v>
      </c>
      <c r="DF2563" s="4" t="s">
        <v>325</v>
      </c>
      <c r="DG2563" s="6">
        <f>716</f>
        <v>716</v>
      </c>
      <c r="DI2563" s="4" t="s">
        <v>241</v>
      </c>
      <c r="DJ2563" s="4" t="s">
        <v>241</v>
      </c>
      <c r="DK2563" s="4" t="s">
        <v>241</v>
      </c>
      <c r="DL2563" s="4" t="s">
        <v>241</v>
      </c>
      <c r="DP2563" s="4" t="s">
        <v>241</v>
      </c>
      <c r="DQ2563" s="4" t="s">
        <v>241</v>
      </c>
      <c r="DR2563" s="4" t="s">
        <v>241</v>
      </c>
      <c r="DS2563" s="4" t="s">
        <v>241</v>
      </c>
      <c r="DV2563" s="4" t="s">
        <v>426</v>
      </c>
      <c r="DW2563" s="4" t="s">
        <v>2777</v>
      </c>
      <c r="HO2563" s="4" t="s">
        <v>267</v>
      </c>
    </row>
    <row r="2564" spans="1:223" ht="19.5" customHeight="1" x14ac:dyDescent="0.4">
      <c r="A2564" s="4">
        <v>1</v>
      </c>
      <c r="B2564" s="4" t="s">
        <v>239</v>
      </c>
      <c r="C2564" s="4">
        <v>4267</v>
      </c>
      <c r="D2564" s="4">
        <v>1</v>
      </c>
      <c r="E2564" s="4">
        <v>1</v>
      </c>
      <c r="F2564" s="4" t="s">
        <v>268</v>
      </c>
      <c r="G2564" s="4" t="s">
        <v>241</v>
      </c>
      <c r="H2564" s="4" t="s">
        <v>241</v>
      </c>
      <c r="I2564" s="4" t="s">
        <v>424</v>
      </c>
      <c r="J2564" s="4" t="s">
        <v>274</v>
      </c>
      <c r="K2564" s="4" t="s">
        <v>251</v>
      </c>
      <c r="L2564" s="4" t="s">
        <v>423</v>
      </c>
      <c r="M2564" s="5" t="s">
        <v>3910</v>
      </c>
      <c r="N2564" s="6">
        <f>206</f>
        <v>206</v>
      </c>
      <c r="O2564" s="4" t="s">
        <v>265</v>
      </c>
      <c r="P2564" s="6">
        <f>1</f>
        <v>1</v>
      </c>
      <c r="Q2564" s="6">
        <f>0</f>
        <v>0</v>
      </c>
      <c r="S2564" s="6">
        <f>0</f>
        <v>0</v>
      </c>
      <c r="T2564" s="6">
        <f>1</f>
        <v>1</v>
      </c>
      <c r="U2564" s="5" t="s">
        <v>245</v>
      </c>
      <c r="V2564" s="4" t="s">
        <v>270</v>
      </c>
      <c r="W2564" s="4" t="s">
        <v>271</v>
      </c>
      <c r="X2564" s="4" t="s">
        <v>273</v>
      </c>
      <c r="Y2564" s="4" t="s">
        <v>241</v>
      </c>
      <c r="AB2564" s="4" t="s">
        <v>241</v>
      </c>
      <c r="AD2564" s="5" t="s">
        <v>241</v>
      </c>
      <c r="AG2564" s="5" t="s">
        <v>246</v>
      </c>
      <c r="AH2564" s="4" t="s">
        <v>241</v>
      </c>
      <c r="AI2564" s="4" t="s">
        <v>247</v>
      </c>
      <c r="AJ2564" s="4" t="s">
        <v>248</v>
      </c>
      <c r="AZ2564" s="4" t="s">
        <v>249</v>
      </c>
      <c r="BA2564" s="4" t="s">
        <v>241</v>
      </c>
      <c r="BB2564" s="4" t="s">
        <v>250</v>
      </c>
      <c r="BC2564" s="4" t="s">
        <v>241</v>
      </c>
      <c r="BD2564" s="4" t="s">
        <v>252</v>
      </c>
      <c r="BE2564" s="4" t="s">
        <v>241</v>
      </c>
      <c r="BI2564" s="4" t="s">
        <v>253</v>
      </c>
      <c r="BJ2564" s="5" t="s">
        <v>246</v>
      </c>
      <c r="BK2564" s="4" t="s">
        <v>254</v>
      </c>
      <c r="BL2564" s="4" t="s">
        <v>255</v>
      </c>
      <c r="BM2564" s="4" t="s">
        <v>241</v>
      </c>
      <c r="BN2564" s="6">
        <f>0</f>
        <v>0</v>
      </c>
      <c r="BO2564" s="6">
        <f>0</f>
        <v>0</v>
      </c>
      <c r="BP2564" s="4" t="s">
        <v>256</v>
      </c>
      <c r="BQ2564" s="4" t="s">
        <v>257</v>
      </c>
      <c r="CE2564" s="4" t="s">
        <v>241</v>
      </c>
      <c r="CF2564" s="4" t="s">
        <v>241</v>
      </c>
      <c r="CJ2564" s="4" t="s">
        <v>276</v>
      </c>
      <c r="CK2564" s="4" t="s">
        <v>259</v>
      </c>
      <c r="CL2564" s="4" t="s">
        <v>241</v>
      </c>
      <c r="CO2564" s="5" t="s">
        <v>260</v>
      </c>
      <c r="CP2564" s="4" t="s">
        <v>241</v>
      </c>
      <c r="CQ2564" s="4" t="s">
        <v>261</v>
      </c>
      <c r="CR2564" s="4" t="s">
        <v>241</v>
      </c>
      <c r="CS2564" s="4" t="s">
        <v>241</v>
      </c>
      <c r="CT2564" s="4">
        <v>0</v>
      </c>
      <c r="CU2564" s="4" t="s">
        <v>262</v>
      </c>
      <c r="CV2564" s="4" t="s">
        <v>263</v>
      </c>
      <c r="CW2564" s="4" t="s">
        <v>263</v>
      </c>
      <c r="CX2564" s="4" t="s">
        <v>264</v>
      </c>
      <c r="DA2564" s="6">
        <f>1</f>
        <v>1</v>
      </c>
      <c r="DC2564" s="4" t="s">
        <v>325</v>
      </c>
      <c r="DD2564" s="4" t="s">
        <v>241</v>
      </c>
      <c r="DF2564" s="4" t="s">
        <v>325</v>
      </c>
      <c r="DG2564" s="6">
        <f>206</f>
        <v>206</v>
      </c>
      <c r="DI2564" s="4" t="s">
        <v>241</v>
      </c>
      <c r="DJ2564" s="4" t="s">
        <v>241</v>
      </c>
      <c r="DK2564" s="4" t="s">
        <v>241</v>
      </c>
      <c r="DL2564" s="4" t="s">
        <v>241</v>
      </c>
      <c r="DP2564" s="4" t="s">
        <v>241</v>
      </c>
      <c r="DQ2564" s="4" t="s">
        <v>241</v>
      </c>
      <c r="DR2564" s="4" t="s">
        <v>241</v>
      </c>
      <c r="DS2564" s="4" t="s">
        <v>241</v>
      </c>
      <c r="DV2564" s="4" t="s">
        <v>426</v>
      </c>
      <c r="DW2564" s="4" t="s">
        <v>2773</v>
      </c>
      <c r="HO2564" s="4" t="s">
        <v>267</v>
      </c>
    </row>
    <row r="2565" spans="1:223" ht="19.5" customHeight="1" x14ac:dyDescent="0.4">
      <c r="A2565" s="4">
        <v>1</v>
      </c>
      <c r="B2565" s="4" t="s">
        <v>239</v>
      </c>
      <c r="C2565" s="4">
        <v>4268</v>
      </c>
      <c r="D2565" s="4">
        <v>1</v>
      </c>
      <c r="E2565" s="4">
        <v>1</v>
      </c>
      <c r="F2565" s="4" t="s">
        <v>268</v>
      </c>
      <c r="G2565" s="4" t="s">
        <v>241</v>
      </c>
      <c r="H2565" s="4" t="s">
        <v>241</v>
      </c>
      <c r="I2565" s="4" t="s">
        <v>424</v>
      </c>
      <c r="J2565" s="4" t="s">
        <v>274</v>
      </c>
      <c r="K2565" s="4" t="s">
        <v>251</v>
      </c>
      <c r="L2565" s="4" t="s">
        <v>423</v>
      </c>
      <c r="M2565" s="5" t="s">
        <v>3913</v>
      </c>
      <c r="N2565" s="6">
        <f>235</f>
        <v>235</v>
      </c>
      <c r="O2565" s="4" t="s">
        <v>265</v>
      </c>
      <c r="P2565" s="6">
        <f>1</f>
        <v>1</v>
      </c>
      <c r="Q2565" s="6">
        <f>0</f>
        <v>0</v>
      </c>
      <c r="S2565" s="6">
        <f>0</f>
        <v>0</v>
      </c>
      <c r="T2565" s="6">
        <f>1</f>
        <v>1</v>
      </c>
      <c r="U2565" s="5" t="s">
        <v>245</v>
      </c>
      <c r="V2565" s="4" t="s">
        <v>270</v>
      </c>
      <c r="W2565" s="4" t="s">
        <v>271</v>
      </c>
      <c r="X2565" s="4" t="s">
        <v>273</v>
      </c>
      <c r="Y2565" s="4" t="s">
        <v>241</v>
      </c>
      <c r="AB2565" s="4" t="s">
        <v>241</v>
      </c>
      <c r="AD2565" s="5" t="s">
        <v>241</v>
      </c>
      <c r="AG2565" s="5" t="s">
        <v>246</v>
      </c>
      <c r="AH2565" s="4" t="s">
        <v>241</v>
      </c>
      <c r="AI2565" s="4" t="s">
        <v>247</v>
      </c>
      <c r="AJ2565" s="4" t="s">
        <v>248</v>
      </c>
      <c r="AZ2565" s="4" t="s">
        <v>249</v>
      </c>
      <c r="BA2565" s="4" t="s">
        <v>241</v>
      </c>
      <c r="BB2565" s="4" t="s">
        <v>250</v>
      </c>
      <c r="BC2565" s="4" t="s">
        <v>241</v>
      </c>
      <c r="BD2565" s="4" t="s">
        <v>252</v>
      </c>
      <c r="BE2565" s="4" t="s">
        <v>241</v>
      </c>
      <c r="BI2565" s="4" t="s">
        <v>253</v>
      </c>
      <c r="BJ2565" s="5" t="s">
        <v>246</v>
      </c>
      <c r="BK2565" s="4" t="s">
        <v>254</v>
      </c>
      <c r="BL2565" s="4" t="s">
        <v>255</v>
      </c>
      <c r="BM2565" s="4" t="s">
        <v>241</v>
      </c>
      <c r="BN2565" s="6">
        <f>0</f>
        <v>0</v>
      </c>
      <c r="BO2565" s="6">
        <f>0</f>
        <v>0</v>
      </c>
      <c r="BP2565" s="4" t="s">
        <v>256</v>
      </c>
      <c r="BQ2565" s="4" t="s">
        <v>257</v>
      </c>
      <c r="CE2565" s="4" t="s">
        <v>241</v>
      </c>
      <c r="CF2565" s="4" t="s">
        <v>241</v>
      </c>
      <c r="CJ2565" s="4" t="s">
        <v>276</v>
      </c>
      <c r="CK2565" s="4" t="s">
        <v>259</v>
      </c>
      <c r="CL2565" s="4" t="s">
        <v>241</v>
      </c>
      <c r="CO2565" s="5" t="s">
        <v>260</v>
      </c>
      <c r="CP2565" s="4" t="s">
        <v>241</v>
      </c>
      <c r="CQ2565" s="4" t="s">
        <v>261</v>
      </c>
      <c r="CR2565" s="4" t="s">
        <v>241</v>
      </c>
      <c r="CS2565" s="4" t="s">
        <v>241</v>
      </c>
      <c r="CT2565" s="4">
        <v>0</v>
      </c>
      <c r="CU2565" s="4" t="s">
        <v>262</v>
      </c>
      <c r="CV2565" s="4" t="s">
        <v>263</v>
      </c>
      <c r="CW2565" s="4" t="s">
        <v>263</v>
      </c>
      <c r="CX2565" s="4" t="s">
        <v>264</v>
      </c>
      <c r="DA2565" s="6">
        <f>1</f>
        <v>1</v>
      </c>
      <c r="DC2565" s="4" t="s">
        <v>325</v>
      </c>
      <c r="DD2565" s="4" t="s">
        <v>241</v>
      </c>
      <c r="DF2565" s="4" t="s">
        <v>325</v>
      </c>
      <c r="DG2565" s="6">
        <f>235</f>
        <v>235</v>
      </c>
      <c r="DI2565" s="4" t="s">
        <v>241</v>
      </c>
      <c r="DJ2565" s="4" t="s">
        <v>241</v>
      </c>
      <c r="DK2565" s="4" t="s">
        <v>241</v>
      </c>
      <c r="DL2565" s="4" t="s">
        <v>241</v>
      </c>
      <c r="DP2565" s="4" t="s">
        <v>241</v>
      </c>
      <c r="DQ2565" s="4" t="s">
        <v>241</v>
      </c>
      <c r="DR2565" s="4" t="s">
        <v>241</v>
      </c>
      <c r="DS2565" s="4" t="s">
        <v>241</v>
      </c>
      <c r="DV2565" s="4" t="s">
        <v>426</v>
      </c>
      <c r="DW2565" s="4" t="s">
        <v>2771</v>
      </c>
      <c r="HO2565" s="4" t="s">
        <v>267</v>
      </c>
    </row>
    <row r="2566" spans="1:223" ht="19.5" customHeight="1" x14ac:dyDescent="0.4">
      <c r="A2566" s="4">
        <v>1</v>
      </c>
      <c r="B2566" s="4" t="s">
        <v>239</v>
      </c>
      <c r="C2566" s="4">
        <v>4269</v>
      </c>
      <c r="D2566" s="4">
        <v>1</v>
      </c>
      <c r="E2566" s="4">
        <v>1</v>
      </c>
      <c r="F2566" s="4" t="s">
        <v>268</v>
      </c>
      <c r="G2566" s="4" t="s">
        <v>241</v>
      </c>
      <c r="H2566" s="4" t="s">
        <v>241</v>
      </c>
      <c r="I2566" s="4" t="s">
        <v>424</v>
      </c>
      <c r="J2566" s="4" t="s">
        <v>274</v>
      </c>
      <c r="K2566" s="4" t="s">
        <v>251</v>
      </c>
      <c r="L2566" s="4" t="s">
        <v>423</v>
      </c>
      <c r="M2566" s="5" t="s">
        <v>3914</v>
      </c>
      <c r="N2566" s="6">
        <f>327</f>
        <v>327</v>
      </c>
      <c r="O2566" s="4" t="s">
        <v>265</v>
      </c>
      <c r="P2566" s="6">
        <f>1</f>
        <v>1</v>
      </c>
      <c r="Q2566" s="6">
        <f>0</f>
        <v>0</v>
      </c>
      <c r="S2566" s="6">
        <f>0</f>
        <v>0</v>
      </c>
      <c r="T2566" s="6">
        <f>1</f>
        <v>1</v>
      </c>
      <c r="U2566" s="5" t="s">
        <v>245</v>
      </c>
      <c r="V2566" s="4" t="s">
        <v>270</v>
      </c>
      <c r="W2566" s="4" t="s">
        <v>271</v>
      </c>
      <c r="X2566" s="4" t="s">
        <v>273</v>
      </c>
      <c r="Y2566" s="4" t="s">
        <v>241</v>
      </c>
      <c r="AB2566" s="4" t="s">
        <v>241</v>
      </c>
      <c r="AD2566" s="5" t="s">
        <v>241</v>
      </c>
      <c r="AG2566" s="5" t="s">
        <v>246</v>
      </c>
      <c r="AH2566" s="4" t="s">
        <v>241</v>
      </c>
      <c r="AI2566" s="4" t="s">
        <v>247</v>
      </c>
      <c r="AJ2566" s="4" t="s">
        <v>248</v>
      </c>
      <c r="AZ2566" s="4" t="s">
        <v>249</v>
      </c>
      <c r="BA2566" s="4" t="s">
        <v>241</v>
      </c>
      <c r="BB2566" s="4" t="s">
        <v>250</v>
      </c>
      <c r="BC2566" s="4" t="s">
        <v>241</v>
      </c>
      <c r="BD2566" s="4" t="s">
        <v>252</v>
      </c>
      <c r="BE2566" s="4" t="s">
        <v>241</v>
      </c>
      <c r="BI2566" s="4" t="s">
        <v>253</v>
      </c>
      <c r="BJ2566" s="5" t="s">
        <v>246</v>
      </c>
      <c r="BK2566" s="4" t="s">
        <v>254</v>
      </c>
      <c r="BL2566" s="4" t="s">
        <v>255</v>
      </c>
      <c r="BM2566" s="4" t="s">
        <v>241</v>
      </c>
      <c r="BN2566" s="6">
        <f>0</f>
        <v>0</v>
      </c>
      <c r="BO2566" s="6">
        <f>0</f>
        <v>0</v>
      </c>
      <c r="BP2566" s="4" t="s">
        <v>256</v>
      </c>
      <c r="BQ2566" s="4" t="s">
        <v>257</v>
      </c>
      <c r="CE2566" s="4" t="s">
        <v>241</v>
      </c>
      <c r="CF2566" s="4" t="s">
        <v>241</v>
      </c>
      <c r="CJ2566" s="4" t="s">
        <v>276</v>
      </c>
      <c r="CK2566" s="4" t="s">
        <v>259</v>
      </c>
      <c r="CL2566" s="4" t="s">
        <v>241</v>
      </c>
      <c r="CO2566" s="5" t="s">
        <v>260</v>
      </c>
      <c r="CP2566" s="4" t="s">
        <v>241</v>
      </c>
      <c r="CQ2566" s="4" t="s">
        <v>261</v>
      </c>
      <c r="CR2566" s="4" t="s">
        <v>241</v>
      </c>
      <c r="CS2566" s="4" t="s">
        <v>241</v>
      </c>
      <c r="CT2566" s="4">
        <v>0</v>
      </c>
      <c r="CU2566" s="4" t="s">
        <v>262</v>
      </c>
      <c r="CV2566" s="4" t="s">
        <v>263</v>
      </c>
      <c r="CW2566" s="4" t="s">
        <v>263</v>
      </c>
      <c r="CX2566" s="4" t="s">
        <v>264</v>
      </c>
      <c r="DA2566" s="6">
        <f>1</f>
        <v>1</v>
      </c>
      <c r="DC2566" s="4" t="s">
        <v>325</v>
      </c>
      <c r="DD2566" s="4" t="s">
        <v>241</v>
      </c>
      <c r="DF2566" s="4" t="s">
        <v>325</v>
      </c>
      <c r="DG2566" s="6">
        <f>327</f>
        <v>327</v>
      </c>
      <c r="DI2566" s="4" t="s">
        <v>241</v>
      </c>
      <c r="DJ2566" s="4" t="s">
        <v>241</v>
      </c>
      <c r="DK2566" s="4" t="s">
        <v>241</v>
      </c>
      <c r="DL2566" s="4" t="s">
        <v>241</v>
      </c>
      <c r="DP2566" s="4" t="s">
        <v>241</v>
      </c>
      <c r="DQ2566" s="4" t="s">
        <v>241</v>
      </c>
      <c r="DR2566" s="4" t="s">
        <v>241</v>
      </c>
      <c r="DS2566" s="4" t="s">
        <v>241</v>
      </c>
      <c r="DV2566" s="4" t="s">
        <v>426</v>
      </c>
      <c r="DW2566" s="4" t="s">
        <v>2769</v>
      </c>
      <c r="HO2566" s="4" t="s">
        <v>267</v>
      </c>
    </row>
    <row r="2567" spans="1:223" ht="19.5" customHeight="1" x14ac:dyDescent="0.4">
      <c r="A2567" s="4">
        <v>1</v>
      </c>
      <c r="B2567" s="4" t="s">
        <v>239</v>
      </c>
      <c r="C2567" s="4">
        <v>4270</v>
      </c>
      <c r="D2567" s="4">
        <v>1</v>
      </c>
      <c r="E2567" s="4">
        <v>1</v>
      </c>
      <c r="F2567" s="4" t="s">
        <v>268</v>
      </c>
      <c r="G2567" s="4" t="s">
        <v>241</v>
      </c>
      <c r="H2567" s="4" t="s">
        <v>241</v>
      </c>
      <c r="I2567" s="4" t="s">
        <v>424</v>
      </c>
      <c r="J2567" s="4" t="s">
        <v>274</v>
      </c>
      <c r="K2567" s="4" t="s">
        <v>251</v>
      </c>
      <c r="L2567" s="4" t="s">
        <v>423</v>
      </c>
      <c r="M2567" s="5" t="s">
        <v>3920</v>
      </c>
      <c r="N2567" s="6">
        <f>84</f>
        <v>84</v>
      </c>
      <c r="O2567" s="4" t="s">
        <v>265</v>
      </c>
      <c r="P2567" s="6">
        <f>1</f>
        <v>1</v>
      </c>
      <c r="Q2567" s="6">
        <f>0</f>
        <v>0</v>
      </c>
      <c r="S2567" s="6">
        <f>0</f>
        <v>0</v>
      </c>
      <c r="T2567" s="6">
        <f>1</f>
        <v>1</v>
      </c>
      <c r="U2567" s="5" t="s">
        <v>245</v>
      </c>
      <c r="V2567" s="4" t="s">
        <v>270</v>
      </c>
      <c r="W2567" s="4" t="s">
        <v>271</v>
      </c>
      <c r="X2567" s="4" t="s">
        <v>273</v>
      </c>
      <c r="Y2567" s="4" t="s">
        <v>241</v>
      </c>
      <c r="AB2567" s="4" t="s">
        <v>241</v>
      </c>
      <c r="AD2567" s="5" t="s">
        <v>241</v>
      </c>
      <c r="AG2567" s="5" t="s">
        <v>246</v>
      </c>
      <c r="AH2567" s="4" t="s">
        <v>241</v>
      </c>
      <c r="AI2567" s="4" t="s">
        <v>247</v>
      </c>
      <c r="AJ2567" s="4" t="s">
        <v>248</v>
      </c>
      <c r="AZ2567" s="4" t="s">
        <v>249</v>
      </c>
      <c r="BA2567" s="4" t="s">
        <v>241</v>
      </c>
      <c r="BB2567" s="4" t="s">
        <v>250</v>
      </c>
      <c r="BC2567" s="4" t="s">
        <v>241</v>
      </c>
      <c r="BD2567" s="4" t="s">
        <v>252</v>
      </c>
      <c r="BE2567" s="4" t="s">
        <v>241</v>
      </c>
      <c r="BI2567" s="4" t="s">
        <v>253</v>
      </c>
      <c r="BJ2567" s="5" t="s">
        <v>246</v>
      </c>
      <c r="BK2567" s="4" t="s">
        <v>254</v>
      </c>
      <c r="BL2567" s="4" t="s">
        <v>255</v>
      </c>
      <c r="BM2567" s="4" t="s">
        <v>241</v>
      </c>
      <c r="BN2567" s="6">
        <f>0</f>
        <v>0</v>
      </c>
      <c r="BO2567" s="6">
        <f>0</f>
        <v>0</v>
      </c>
      <c r="BP2567" s="4" t="s">
        <v>256</v>
      </c>
      <c r="BQ2567" s="4" t="s">
        <v>257</v>
      </c>
      <c r="CE2567" s="4" t="s">
        <v>241</v>
      </c>
      <c r="CF2567" s="4" t="s">
        <v>241</v>
      </c>
      <c r="CJ2567" s="4" t="s">
        <v>276</v>
      </c>
      <c r="CK2567" s="4" t="s">
        <v>259</v>
      </c>
      <c r="CL2567" s="4" t="s">
        <v>241</v>
      </c>
      <c r="CO2567" s="5" t="s">
        <v>260</v>
      </c>
      <c r="CP2567" s="4" t="s">
        <v>241</v>
      </c>
      <c r="CQ2567" s="4" t="s">
        <v>261</v>
      </c>
      <c r="CR2567" s="4" t="s">
        <v>241</v>
      </c>
      <c r="CS2567" s="4" t="s">
        <v>241</v>
      </c>
      <c r="CT2567" s="4">
        <v>0</v>
      </c>
      <c r="CU2567" s="4" t="s">
        <v>262</v>
      </c>
      <c r="CV2567" s="4" t="s">
        <v>263</v>
      </c>
      <c r="CW2567" s="4" t="s">
        <v>263</v>
      </c>
      <c r="CX2567" s="4" t="s">
        <v>264</v>
      </c>
      <c r="DA2567" s="6">
        <f>1</f>
        <v>1</v>
      </c>
      <c r="DC2567" s="4" t="s">
        <v>325</v>
      </c>
      <c r="DD2567" s="4" t="s">
        <v>241</v>
      </c>
      <c r="DF2567" s="4" t="s">
        <v>325</v>
      </c>
      <c r="DG2567" s="6">
        <f>84</f>
        <v>84</v>
      </c>
      <c r="DI2567" s="4" t="s">
        <v>241</v>
      </c>
      <c r="DJ2567" s="4" t="s">
        <v>241</v>
      </c>
      <c r="DK2567" s="4" t="s">
        <v>241</v>
      </c>
      <c r="DL2567" s="4" t="s">
        <v>241</v>
      </c>
      <c r="DP2567" s="4" t="s">
        <v>241</v>
      </c>
      <c r="DQ2567" s="4" t="s">
        <v>241</v>
      </c>
      <c r="DR2567" s="4" t="s">
        <v>241</v>
      </c>
      <c r="DS2567" s="4" t="s">
        <v>241</v>
      </c>
      <c r="DV2567" s="4" t="s">
        <v>426</v>
      </c>
      <c r="DW2567" s="4" t="s">
        <v>2765</v>
      </c>
      <c r="HO2567" s="4" t="s">
        <v>267</v>
      </c>
    </row>
    <row r="2568" spans="1:223" ht="19.5" customHeight="1" x14ac:dyDescent="0.4">
      <c r="A2568" s="4">
        <v>1</v>
      </c>
      <c r="B2568" s="4" t="s">
        <v>239</v>
      </c>
      <c r="C2568" s="4">
        <v>4271</v>
      </c>
      <c r="D2568" s="4">
        <v>1</v>
      </c>
      <c r="E2568" s="4">
        <v>1</v>
      </c>
      <c r="F2568" s="4" t="s">
        <v>268</v>
      </c>
      <c r="G2568" s="4" t="s">
        <v>241</v>
      </c>
      <c r="H2568" s="4" t="s">
        <v>241</v>
      </c>
      <c r="I2568" s="4" t="s">
        <v>424</v>
      </c>
      <c r="J2568" s="4" t="s">
        <v>274</v>
      </c>
      <c r="K2568" s="4" t="s">
        <v>251</v>
      </c>
      <c r="L2568" s="4" t="s">
        <v>423</v>
      </c>
      <c r="M2568" s="5" t="s">
        <v>3919</v>
      </c>
      <c r="N2568" s="6">
        <f>1126</f>
        <v>1126</v>
      </c>
      <c r="O2568" s="4" t="s">
        <v>265</v>
      </c>
      <c r="P2568" s="6">
        <f>1</f>
        <v>1</v>
      </c>
      <c r="Q2568" s="6">
        <f>0</f>
        <v>0</v>
      </c>
      <c r="S2568" s="6">
        <f>0</f>
        <v>0</v>
      </c>
      <c r="T2568" s="6">
        <f>1</f>
        <v>1</v>
      </c>
      <c r="U2568" s="5" t="s">
        <v>245</v>
      </c>
      <c r="V2568" s="4" t="s">
        <v>270</v>
      </c>
      <c r="W2568" s="4" t="s">
        <v>271</v>
      </c>
      <c r="X2568" s="4" t="s">
        <v>273</v>
      </c>
      <c r="Y2568" s="4" t="s">
        <v>241</v>
      </c>
      <c r="AB2568" s="4" t="s">
        <v>241</v>
      </c>
      <c r="AD2568" s="5" t="s">
        <v>241</v>
      </c>
      <c r="AG2568" s="5" t="s">
        <v>246</v>
      </c>
      <c r="AH2568" s="4" t="s">
        <v>241</v>
      </c>
      <c r="AI2568" s="4" t="s">
        <v>247</v>
      </c>
      <c r="AJ2568" s="4" t="s">
        <v>248</v>
      </c>
      <c r="AZ2568" s="4" t="s">
        <v>249</v>
      </c>
      <c r="BA2568" s="4" t="s">
        <v>241</v>
      </c>
      <c r="BB2568" s="4" t="s">
        <v>250</v>
      </c>
      <c r="BC2568" s="4" t="s">
        <v>241</v>
      </c>
      <c r="BD2568" s="4" t="s">
        <v>252</v>
      </c>
      <c r="BE2568" s="4" t="s">
        <v>241</v>
      </c>
      <c r="BI2568" s="4" t="s">
        <v>253</v>
      </c>
      <c r="BJ2568" s="5" t="s">
        <v>246</v>
      </c>
      <c r="BK2568" s="4" t="s">
        <v>254</v>
      </c>
      <c r="BL2568" s="4" t="s">
        <v>255</v>
      </c>
      <c r="BM2568" s="4" t="s">
        <v>241</v>
      </c>
      <c r="BN2568" s="6">
        <f>0</f>
        <v>0</v>
      </c>
      <c r="BO2568" s="6">
        <f>0</f>
        <v>0</v>
      </c>
      <c r="BP2568" s="4" t="s">
        <v>256</v>
      </c>
      <c r="BQ2568" s="4" t="s">
        <v>257</v>
      </c>
      <c r="CE2568" s="4" t="s">
        <v>241</v>
      </c>
      <c r="CF2568" s="4" t="s">
        <v>241</v>
      </c>
      <c r="CJ2568" s="4" t="s">
        <v>276</v>
      </c>
      <c r="CK2568" s="4" t="s">
        <v>259</v>
      </c>
      <c r="CL2568" s="4" t="s">
        <v>241</v>
      </c>
      <c r="CO2568" s="5" t="s">
        <v>260</v>
      </c>
      <c r="CP2568" s="4" t="s">
        <v>241</v>
      </c>
      <c r="CQ2568" s="4" t="s">
        <v>261</v>
      </c>
      <c r="CR2568" s="4" t="s">
        <v>241</v>
      </c>
      <c r="CS2568" s="4" t="s">
        <v>241</v>
      </c>
      <c r="CT2568" s="4">
        <v>0</v>
      </c>
      <c r="CU2568" s="4" t="s">
        <v>262</v>
      </c>
      <c r="CV2568" s="4" t="s">
        <v>263</v>
      </c>
      <c r="CW2568" s="4" t="s">
        <v>263</v>
      </c>
      <c r="CX2568" s="4" t="s">
        <v>264</v>
      </c>
      <c r="DA2568" s="6">
        <f>1</f>
        <v>1</v>
      </c>
      <c r="DC2568" s="4" t="s">
        <v>325</v>
      </c>
      <c r="DD2568" s="4" t="s">
        <v>241</v>
      </c>
      <c r="DF2568" s="4" t="s">
        <v>325</v>
      </c>
      <c r="DG2568" s="6">
        <f>1126</f>
        <v>1126</v>
      </c>
      <c r="DI2568" s="4" t="s">
        <v>241</v>
      </c>
      <c r="DJ2568" s="4" t="s">
        <v>241</v>
      </c>
      <c r="DK2568" s="4" t="s">
        <v>241</v>
      </c>
      <c r="DL2568" s="4" t="s">
        <v>241</v>
      </c>
      <c r="DP2568" s="4" t="s">
        <v>241</v>
      </c>
      <c r="DQ2568" s="4" t="s">
        <v>241</v>
      </c>
      <c r="DR2568" s="4" t="s">
        <v>241</v>
      </c>
      <c r="DS2568" s="4" t="s">
        <v>241</v>
      </c>
      <c r="DV2568" s="4" t="s">
        <v>426</v>
      </c>
      <c r="DW2568" s="4" t="s">
        <v>2763</v>
      </c>
      <c r="HO2568" s="4" t="s">
        <v>267</v>
      </c>
    </row>
    <row r="2569" spans="1:223" ht="19.5" customHeight="1" x14ac:dyDescent="0.4">
      <c r="A2569" s="4">
        <v>1</v>
      </c>
      <c r="B2569" s="4" t="s">
        <v>239</v>
      </c>
      <c r="C2569" s="4">
        <v>4272</v>
      </c>
      <c r="D2569" s="4">
        <v>1</v>
      </c>
      <c r="E2569" s="4">
        <v>1</v>
      </c>
      <c r="F2569" s="4" t="s">
        <v>268</v>
      </c>
      <c r="G2569" s="4" t="s">
        <v>241</v>
      </c>
      <c r="H2569" s="4" t="s">
        <v>241</v>
      </c>
      <c r="I2569" s="4" t="s">
        <v>424</v>
      </c>
      <c r="J2569" s="4" t="s">
        <v>274</v>
      </c>
      <c r="K2569" s="4" t="s">
        <v>251</v>
      </c>
      <c r="L2569" s="4" t="s">
        <v>423</v>
      </c>
      <c r="M2569" s="5" t="s">
        <v>3927</v>
      </c>
      <c r="N2569" s="6">
        <f>1299</f>
        <v>1299</v>
      </c>
      <c r="O2569" s="4" t="s">
        <v>265</v>
      </c>
      <c r="P2569" s="6">
        <f>1</f>
        <v>1</v>
      </c>
      <c r="Q2569" s="6">
        <f>0</f>
        <v>0</v>
      </c>
      <c r="S2569" s="6">
        <f>0</f>
        <v>0</v>
      </c>
      <c r="T2569" s="6">
        <f>1</f>
        <v>1</v>
      </c>
      <c r="U2569" s="5" t="s">
        <v>245</v>
      </c>
      <c r="V2569" s="4" t="s">
        <v>270</v>
      </c>
      <c r="W2569" s="4" t="s">
        <v>271</v>
      </c>
      <c r="X2569" s="4" t="s">
        <v>273</v>
      </c>
      <c r="Y2569" s="4" t="s">
        <v>241</v>
      </c>
      <c r="AB2569" s="4" t="s">
        <v>241</v>
      </c>
      <c r="AD2569" s="5" t="s">
        <v>241</v>
      </c>
      <c r="AG2569" s="5" t="s">
        <v>246</v>
      </c>
      <c r="AH2569" s="4" t="s">
        <v>241</v>
      </c>
      <c r="AI2569" s="4" t="s">
        <v>247</v>
      </c>
      <c r="AJ2569" s="4" t="s">
        <v>248</v>
      </c>
      <c r="AZ2569" s="4" t="s">
        <v>249</v>
      </c>
      <c r="BA2569" s="4" t="s">
        <v>241</v>
      </c>
      <c r="BB2569" s="4" t="s">
        <v>250</v>
      </c>
      <c r="BC2569" s="4" t="s">
        <v>241</v>
      </c>
      <c r="BD2569" s="4" t="s">
        <v>252</v>
      </c>
      <c r="BE2569" s="4" t="s">
        <v>241</v>
      </c>
      <c r="BI2569" s="4" t="s">
        <v>253</v>
      </c>
      <c r="BJ2569" s="5" t="s">
        <v>246</v>
      </c>
      <c r="BK2569" s="4" t="s">
        <v>254</v>
      </c>
      <c r="BL2569" s="4" t="s">
        <v>255</v>
      </c>
      <c r="BM2569" s="4" t="s">
        <v>241</v>
      </c>
      <c r="BN2569" s="6">
        <f>0</f>
        <v>0</v>
      </c>
      <c r="BO2569" s="6">
        <f>0</f>
        <v>0</v>
      </c>
      <c r="BP2569" s="4" t="s">
        <v>256</v>
      </c>
      <c r="BQ2569" s="4" t="s">
        <v>257</v>
      </c>
      <c r="CE2569" s="4" t="s">
        <v>241</v>
      </c>
      <c r="CF2569" s="4" t="s">
        <v>241</v>
      </c>
      <c r="CJ2569" s="4" t="s">
        <v>276</v>
      </c>
      <c r="CK2569" s="4" t="s">
        <v>259</v>
      </c>
      <c r="CL2569" s="4" t="s">
        <v>241</v>
      </c>
      <c r="CO2569" s="5" t="s">
        <v>260</v>
      </c>
      <c r="CP2569" s="4" t="s">
        <v>241</v>
      </c>
      <c r="CQ2569" s="4" t="s">
        <v>261</v>
      </c>
      <c r="CR2569" s="4" t="s">
        <v>241</v>
      </c>
      <c r="CS2569" s="4" t="s">
        <v>241</v>
      </c>
      <c r="CT2569" s="4">
        <v>0</v>
      </c>
      <c r="CU2569" s="4" t="s">
        <v>262</v>
      </c>
      <c r="CV2569" s="4" t="s">
        <v>263</v>
      </c>
      <c r="CW2569" s="4" t="s">
        <v>263</v>
      </c>
      <c r="CX2569" s="4" t="s">
        <v>264</v>
      </c>
      <c r="DA2569" s="6">
        <f>1</f>
        <v>1</v>
      </c>
      <c r="DC2569" s="4" t="s">
        <v>325</v>
      </c>
      <c r="DD2569" s="4" t="s">
        <v>241</v>
      </c>
      <c r="DF2569" s="4" t="s">
        <v>325</v>
      </c>
      <c r="DG2569" s="6">
        <f>1299</f>
        <v>1299</v>
      </c>
      <c r="DI2569" s="4" t="s">
        <v>241</v>
      </c>
      <c r="DJ2569" s="4" t="s">
        <v>241</v>
      </c>
      <c r="DK2569" s="4" t="s">
        <v>241</v>
      </c>
      <c r="DL2569" s="4" t="s">
        <v>241</v>
      </c>
      <c r="DP2569" s="4" t="s">
        <v>241</v>
      </c>
      <c r="DQ2569" s="4" t="s">
        <v>241</v>
      </c>
      <c r="DR2569" s="4" t="s">
        <v>241</v>
      </c>
      <c r="DS2569" s="4" t="s">
        <v>241</v>
      </c>
      <c r="DV2569" s="4" t="s">
        <v>426</v>
      </c>
      <c r="DW2569" s="4" t="s">
        <v>2761</v>
      </c>
      <c r="HO2569" s="4" t="s">
        <v>267</v>
      </c>
    </row>
    <row r="2570" spans="1:223" ht="19.5" customHeight="1" x14ac:dyDescent="0.4">
      <c r="A2570" s="4">
        <v>1</v>
      </c>
      <c r="B2570" s="4" t="s">
        <v>239</v>
      </c>
      <c r="C2570" s="4">
        <v>4273</v>
      </c>
      <c r="D2570" s="4">
        <v>1</v>
      </c>
      <c r="E2570" s="4">
        <v>1</v>
      </c>
      <c r="F2570" s="4" t="s">
        <v>268</v>
      </c>
      <c r="G2570" s="4" t="s">
        <v>241</v>
      </c>
      <c r="H2570" s="4" t="s">
        <v>241</v>
      </c>
      <c r="I2570" s="4" t="s">
        <v>424</v>
      </c>
      <c r="J2570" s="4" t="s">
        <v>274</v>
      </c>
      <c r="K2570" s="4" t="s">
        <v>251</v>
      </c>
      <c r="L2570" s="4" t="s">
        <v>423</v>
      </c>
      <c r="M2570" s="5" t="s">
        <v>3929</v>
      </c>
      <c r="N2570" s="6">
        <f>500</f>
        <v>500</v>
      </c>
      <c r="O2570" s="4" t="s">
        <v>265</v>
      </c>
      <c r="P2570" s="6">
        <f>1</f>
        <v>1</v>
      </c>
      <c r="Q2570" s="6">
        <f>0</f>
        <v>0</v>
      </c>
      <c r="S2570" s="6">
        <f>0</f>
        <v>0</v>
      </c>
      <c r="T2570" s="6">
        <f>1</f>
        <v>1</v>
      </c>
      <c r="U2570" s="5" t="s">
        <v>245</v>
      </c>
      <c r="V2570" s="4" t="s">
        <v>270</v>
      </c>
      <c r="W2570" s="4" t="s">
        <v>271</v>
      </c>
      <c r="X2570" s="4" t="s">
        <v>273</v>
      </c>
      <c r="Y2570" s="4" t="s">
        <v>241</v>
      </c>
      <c r="AB2570" s="4" t="s">
        <v>241</v>
      </c>
      <c r="AD2570" s="5" t="s">
        <v>241</v>
      </c>
      <c r="AG2570" s="5" t="s">
        <v>246</v>
      </c>
      <c r="AH2570" s="4" t="s">
        <v>241</v>
      </c>
      <c r="AI2570" s="4" t="s">
        <v>247</v>
      </c>
      <c r="AJ2570" s="4" t="s">
        <v>248</v>
      </c>
      <c r="AZ2570" s="4" t="s">
        <v>249</v>
      </c>
      <c r="BA2570" s="4" t="s">
        <v>241</v>
      </c>
      <c r="BB2570" s="4" t="s">
        <v>250</v>
      </c>
      <c r="BC2570" s="4" t="s">
        <v>241</v>
      </c>
      <c r="BD2570" s="4" t="s">
        <v>252</v>
      </c>
      <c r="BE2570" s="4" t="s">
        <v>241</v>
      </c>
      <c r="BI2570" s="4" t="s">
        <v>253</v>
      </c>
      <c r="BJ2570" s="5" t="s">
        <v>246</v>
      </c>
      <c r="BK2570" s="4" t="s">
        <v>254</v>
      </c>
      <c r="BL2570" s="4" t="s">
        <v>255</v>
      </c>
      <c r="BM2570" s="4" t="s">
        <v>241</v>
      </c>
      <c r="BN2570" s="6">
        <f>0</f>
        <v>0</v>
      </c>
      <c r="BO2570" s="6">
        <f>0</f>
        <v>0</v>
      </c>
      <c r="BP2570" s="4" t="s">
        <v>256</v>
      </c>
      <c r="BQ2570" s="4" t="s">
        <v>257</v>
      </c>
      <c r="CE2570" s="4" t="s">
        <v>241</v>
      </c>
      <c r="CF2570" s="4" t="s">
        <v>241</v>
      </c>
      <c r="CJ2570" s="4" t="s">
        <v>276</v>
      </c>
      <c r="CK2570" s="4" t="s">
        <v>259</v>
      </c>
      <c r="CL2570" s="4" t="s">
        <v>241</v>
      </c>
      <c r="CO2570" s="5" t="s">
        <v>260</v>
      </c>
      <c r="CP2570" s="4" t="s">
        <v>241</v>
      </c>
      <c r="CQ2570" s="4" t="s">
        <v>261</v>
      </c>
      <c r="CR2570" s="4" t="s">
        <v>241</v>
      </c>
      <c r="CS2570" s="4" t="s">
        <v>241</v>
      </c>
      <c r="CT2570" s="4">
        <v>0</v>
      </c>
      <c r="CU2570" s="4" t="s">
        <v>262</v>
      </c>
      <c r="CV2570" s="4" t="s">
        <v>263</v>
      </c>
      <c r="CW2570" s="4" t="s">
        <v>263</v>
      </c>
      <c r="CX2570" s="4" t="s">
        <v>264</v>
      </c>
      <c r="DA2570" s="6">
        <f>1</f>
        <v>1</v>
      </c>
      <c r="DC2570" s="4" t="s">
        <v>325</v>
      </c>
      <c r="DD2570" s="4" t="s">
        <v>241</v>
      </c>
      <c r="DF2570" s="4" t="s">
        <v>325</v>
      </c>
      <c r="DG2570" s="6">
        <f>500</f>
        <v>500</v>
      </c>
      <c r="DI2570" s="4" t="s">
        <v>241</v>
      </c>
      <c r="DJ2570" s="4" t="s">
        <v>241</v>
      </c>
      <c r="DK2570" s="4" t="s">
        <v>241</v>
      </c>
      <c r="DL2570" s="4" t="s">
        <v>241</v>
      </c>
      <c r="DP2570" s="4" t="s">
        <v>241</v>
      </c>
      <c r="DQ2570" s="4" t="s">
        <v>241</v>
      </c>
      <c r="DR2570" s="4" t="s">
        <v>241</v>
      </c>
      <c r="DS2570" s="4" t="s">
        <v>241</v>
      </c>
      <c r="DV2570" s="4" t="s">
        <v>426</v>
      </c>
      <c r="DW2570" s="4" t="s">
        <v>2757</v>
      </c>
      <c r="HO2570" s="4" t="s">
        <v>267</v>
      </c>
    </row>
    <row r="2571" spans="1:223" ht="19.5" customHeight="1" x14ac:dyDescent="0.4">
      <c r="A2571" s="4">
        <v>1</v>
      </c>
      <c r="B2571" s="4" t="s">
        <v>239</v>
      </c>
      <c r="C2571" s="4">
        <v>4274</v>
      </c>
      <c r="D2571" s="4">
        <v>1</v>
      </c>
      <c r="E2571" s="4">
        <v>1</v>
      </c>
      <c r="F2571" s="4" t="s">
        <v>268</v>
      </c>
      <c r="G2571" s="4" t="s">
        <v>241</v>
      </c>
      <c r="H2571" s="4" t="s">
        <v>241</v>
      </c>
      <c r="I2571" s="4" t="s">
        <v>424</v>
      </c>
      <c r="J2571" s="4" t="s">
        <v>274</v>
      </c>
      <c r="K2571" s="4" t="s">
        <v>251</v>
      </c>
      <c r="L2571" s="4" t="s">
        <v>423</v>
      </c>
      <c r="M2571" s="5" t="s">
        <v>3933</v>
      </c>
      <c r="N2571" s="6">
        <f>109</f>
        <v>109</v>
      </c>
      <c r="O2571" s="4" t="s">
        <v>265</v>
      </c>
      <c r="P2571" s="6">
        <f>1</f>
        <v>1</v>
      </c>
      <c r="Q2571" s="6">
        <f>0</f>
        <v>0</v>
      </c>
      <c r="S2571" s="6">
        <f>0</f>
        <v>0</v>
      </c>
      <c r="T2571" s="6">
        <f>1</f>
        <v>1</v>
      </c>
      <c r="U2571" s="5" t="s">
        <v>245</v>
      </c>
      <c r="V2571" s="4" t="s">
        <v>270</v>
      </c>
      <c r="W2571" s="4" t="s">
        <v>271</v>
      </c>
      <c r="X2571" s="4" t="s">
        <v>273</v>
      </c>
      <c r="Y2571" s="4" t="s">
        <v>241</v>
      </c>
      <c r="AB2571" s="4" t="s">
        <v>241</v>
      </c>
      <c r="AD2571" s="5" t="s">
        <v>241</v>
      </c>
      <c r="AG2571" s="5" t="s">
        <v>246</v>
      </c>
      <c r="AH2571" s="4" t="s">
        <v>241</v>
      </c>
      <c r="AI2571" s="4" t="s">
        <v>247</v>
      </c>
      <c r="AJ2571" s="4" t="s">
        <v>248</v>
      </c>
      <c r="AZ2571" s="4" t="s">
        <v>249</v>
      </c>
      <c r="BA2571" s="4" t="s">
        <v>241</v>
      </c>
      <c r="BB2571" s="4" t="s">
        <v>250</v>
      </c>
      <c r="BC2571" s="4" t="s">
        <v>241</v>
      </c>
      <c r="BD2571" s="4" t="s">
        <v>252</v>
      </c>
      <c r="BE2571" s="4" t="s">
        <v>241</v>
      </c>
      <c r="BI2571" s="4" t="s">
        <v>253</v>
      </c>
      <c r="BJ2571" s="5" t="s">
        <v>246</v>
      </c>
      <c r="BK2571" s="4" t="s">
        <v>254</v>
      </c>
      <c r="BL2571" s="4" t="s">
        <v>255</v>
      </c>
      <c r="BM2571" s="4" t="s">
        <v>241</v>
      </c>
      <c r="BN2571" s="6">
        <f>0</f>
        <v>0</v>
      </c>
      <c r="BO2571" s="6">
        <f>0</f>
        <v>0</v>
      </c>
      <c r="BP2571" s="4" t="s">
        <v>256</v>
      </c>
      <c r="BQ2571" s="4" t="s">
        <v>257</v>
      </c>
      <c r="CE2571" s="4" t="s">
        <v>241</v>
      </c>
      <c r="CF2571" s="4" t="s">
        <v>241</v>
      </c>
      <c r="CJ2571" s="4" t="s">
        <v>276</v>
      </c>
      <c r="CK2571" s="4" t="s">
        <v>259</v>
      </c>
      <c r="CL2571" s="4" t="s">
        <v>241</v>
      </c>
      <c r="CO2571" s="5" t="s">
        <v>260</v>
      </c>
      <c r="CP2571" s="4" t="s">
        <v>241</v>
      </c>
      <c r="CQ2571" s="4" t="s">
        <v>261</v>
      </c>
      <c r="CR2571" s="4" t="s">
        <v>241</v>
      </c>
      <c r="CS2571" s="4" t="s">
        <v>241</v>
      </c>
      <c r="CT2571" s="4">
        <v>0</v>
      </c>
      <c r="CU2571" s="4" t="s">
        <v>262</v>
      </c>
      <c r="CV2571" s="4" t="s">
        <v>263</v>
      </c>
      <c r="CW2571" s="4" t="s">
        <v>263</v>
      </c>
      <c r="CX2571" s="4" t="s">
        <v>264</v>
      </c>
      <c r="DA2571" s="6">
        <f>1</f>
        <v>1</v>
      </c>
      <c r="DC2571" s="4" t="s">
        <v>325</v>
      </c>
      <c r="DD2571" s="4" t="s">
        <v>241</v>
      </c>
      <c r="DF2571" s="4" t="s">
        <v>325</v>
      </c>
      <c r="DG2571" s="6">
        <f>109</f>
        <v>109</v>
      </c>
      <c r="DI2571" s="4" t="s">
        <v>241</v>
      </c>
      <c r="DJ2571" s="4" t="s">
        <v>241</v>
      </c>
      <c r="DK2571" s="4" t="s">
        <v>241</v>
      </c>
      <c r="DL2571" s="4" t="s">
        <v>241</v>
      </c>
      <c r="DP2571" s="4" t="s">
        <v>241</v>
      </c>
      <c r="DQ2571" s="4" t="s">
        <v>241</v>
      </c>
      <c r="DR2571" s="4" t="s">
        <v>241</v>
      </c>
      <c r="DS2571" s="4" t="s">
        <v>241</v>
      </c>
      <c r="DV2571" s="4" t="s">
        <v>426</v>
      </c>
      <c r="DW2571" s="4" t="s">
        <v>2755</v>
      </c>
      <c r="HO2571" s="4" t="s">
        <v>267</v>
      </c>
    </row>
    <row r="2572" spans="1:223" ht="19.5" customHeight="1" x14ac:dyDescent="0.4">
      <c r="A2572" s="4">
        <v>1</v>
      </c>
      <c r="B2572" s="4" t="s">
        <v>239</v>
      </c>
      <c r="C2572" s="4">
        <v>4275</v>
      </c>
      <c r="D2572" s="4">
        <v>1</v>
      </c>
      <c r="E2572" s="4">
        <v>1</v>
      </c>
      <c r="F2572" s="4" t="s">
        <v>268</v>
      </c>
      <c r="G2572" s="4" t="s">
        <v>241</v>
      </c>
      <c r="H2572" s="4" t="s">
        <v>241</v>
      </c>
      <c r="I2572" s="4" t="s">
        <v>424</v>
      </c>
      <c r="J2572" s="4" t="s">
        <v>274</v>
      </c>
      <c r="K2572" s="4" t="s">
        <v>251</v>
      </c>
      <c r="L2572" s="4" t="s">
        <v>423</v>
      </c>
      <c r="M2572" s="5" t="s">
        <v>3937</v>
      </c>
      <c r="N2572" s="6">
        <f>892</f>
        <v>892</v>
      </c>
      <c r="O2572" s="4" t="s">
        <v>265</v>
      </c>
      <c r="P2572" s="6">
        <f>1</f>
        <v>1</v>
      </c>
      <c r="Q2572" s="6">
        <f>0</f>
        <v>0</v>
      </c>
      <c r="S2572" s="6">
        <f>0</f>
        <v>0</v>
      </c>
      <c r="T2572" s="6">
        <f>1</f>
        <v>1</v>
      </c>
      <c r="U2572" s="5" t="s">
        <v>245</v>
      </c>
      <c r="V2572" s="4" t="s">
        <v>270</v>
      </c>
      <c r="W2572" s="4" t="s">
        <v>271</v>
      </c>
      <c r="X2572" s="4" t="s">
        <v>273</v>
      </c>
      <c r="Y2572" s="4" t="s">
        <v>241</v>
      </c>
      <c r="AB2572" s="4" t="s">
        <v>241</v>
      </c>
      <c r="AD2572" s="5" t="s">
        <v>241</v>
      </c>
      <c r="AG2572" s="5" t="s">
        <v>246</v>
      </c>
      <c r="AH2572" s="4" t="s">
        <v>241</v>
      </c>
      <c r="AI2572" s="4" t="s">
        <v>247</v>
      </c>
      <c r="AJ2572" s="4" t="s">
        <v>248</v>
      </c>
      <c r="AZ2572" s="4" t="s">
        <v>249</v>
      </c>
      <c r="BA2572" s="4" t="s">
        <v>241</v>
      </c>
      <c r="BB2572" s="4" t="s">
        <v>250</v>
      </c>
      <c r="BC2572" s="4" t="s">
        <v>241</v>
      </c>
      <c r="BD2572" s="4" t="s">
        <v>252</v>
      </c>
      <c r="BE2572" s="4" t="s">
        <v>241</v>
      </c>
      <c r="BI2572" s="4" t="s">
        <v>253</v>
      </c>
      <c r="BJ2572" s="5" t="s">
        <v>246</v>
      </c>
      <c r="BK2572" s="4" t="s">
        <v>254</v>
      </c>
      <c r="BL2572" s="4" t="s">
        <v>255</v>
      </c>
      <c r="BM2572" s="4" t="s">
        <v>241</v>
      </c>
      <c r="BN2572" s="6">
        <f>0</f>
        <v>0</v>
      </c>
      <c r="BO2572" s="6">
        <f>0</f>
        <v>0</v>
      </c>
      <c r="BP2572" s="4" t="s">
        <v>256</v>
      </c>
      <c r="BQ2572" s="4" t="s">
        <v>257</v>
      </c>
      <c r="CE2572" s="4" t="s">
        <v>241</v>
      </c>
      <c r="CF2572" s="4" t="s">
        <v>241</v>
      </c>
      <c r="CJ2572" s="4" t="s">
        <v>276</v>
      </c>
      <c r="CK2572" s="4" t="s">
        <v>259</v>
      </c>
      <c r="CL2572" s="4" t="s">
        <v>241</v>
      </c>
      <c r="CO2572" s="5" t="s">
        <v>260</v>
      </c>
      <c r="CP2572" s="4" t="s">
        <v>241</v>
      </c>
      <c r="CQ2572" s="4" t="s">
        <v>261</v>
      </c>
      <c r="CR2572" s="4" t="s">
        <v>241</v>
      </c>
      <c r="CS2572" s="4" t="s">
        <v>241</v>
      </c>
      <c r="CT2572" s="4">
        <v>0</v>
      </c>
      <c r="CU2572" s="4" t="s">
        <v>262</v>
      </c>
      <c r="CV2572" s="4" t="s">
        <v>263</v>
      </c>
      <c r="CW2572" s="4" t="s">
        <v>263</v>
      </c>
      <c r="CX2572" s="4" t="s">
        <v>264</v>
      </c>
      <c r="DA2572" s="6">
        <f>1</f>
        <v>1</v>
      </c>
      <c r="DC2572" s="4" t="s">
        <v>325</v>
      </c>
      <c r="DD2572" s="4" t="s">
        <v>241</v>
      </c>
      <c r="DF2572" s="4" t="s">
        <v>325</v>
      </c>
      <c r="DG2572" s="6">
        <f>892</f>
        <v>892</v>
      </c>
      <c r="DI2572" s="4" t="s">
        <v>241</v>
      </c>
      <c r="DJ2572" s="4" t="s">
        <v>241</v>
      </c>
      <c r="DK2572" s="4" t="s">
        <v>241</v>
      </c>
      <c r="DL2572" s="4" t="s">
        <v>241</v>
      </c>
      <c r="DP2572" s="4" t="s">
        <v>241</v>
      </c>
      <c r="DQ2572" s="4" t="s">
        <v>241</v>
      </c>
      <c r="DR2572" s="4" t="s">
        <v>241</v>
      </c>
      <c r="DS2572" s="4" t="s">
        <v>241</v>
      </c>
      <c r="DV2572" s="4" t="s">
        <v>426</v>
      </c>
      <c r="DW2572" s="4" t="s">
        <v>2753</v>
      </c>
      <c r="HO2572" s="4" t="s">
        <v>267</v>
      </c>
    </row>
    <row r="2573" spans="1:223" ht="19.5" customHeight="1" x14ac:dyDescent="0.4">
      <c r="A2573" s="4">
        <v>1</v>
      </c>
      <c r="B2573" s="4" t="s">
        <v>239</v>
      </c>
      <c r="C2573" s="4">
        <v>4276</v>
      </c>
      <c r="D2573" s="4">
        <v>1</v>
      </c>
      <c r="E2573" s="4">
        <v>1</v>
      </c>
      <c r="F2573" s="4" t="s">
        <v>268</v>
      </c>
      <c r="G2573" s="4" t="s">
        <v>241</v>
      </c>
      <c r="H2573" s="4" t="s">
        <v>241</v>
      </c>
      <c r="I2573" s="4" t="s">
        <v>424</v>
      </c>
      <c r="J2573" s="4" t="s">
        <v>274</v>
      </c>
      <c r="K2573" s="4" t="s">
        <v>251</v>
      </c>
      <c r="L2573" s="4" t="s">
        <v>423</v>
      </c>
      <c r="M2573" s="5" t="s">
        <v>3938</v>
      </c>
      <c r="N2573" s="6">
        <f>2346</f>
        <v>2346</v>
      </c>
      <c r="O2573" s="4" t="s">
        <v>265</v>
      </c>
      <c r="P2573" s="6">
        <f>1</f>
        <v>1</v>
      </c>
      <c r="Q2573" s="6">
        <f>0</f>
        <v>0</v>
      </c>
      <c r="S2573" s="6">
        <f>0</f>
        <v>0</v>
      </c>
      <c r="T2573" s="6">
        <f>1</f>
        <v>1</v>
      </c>
      <c r="U2573" s="5" t="s">
        <v>245</v>
      </c>
      <c r="V2573" s="4" t="s">
        <v>270</v>
      </c>
      <c r="W2573" s="4" t="s">
        <v>271</v>
      </c>
      <c r="X2573" s="4" t="s">
        <v>273</v>
      </c>
      <c r="Y2573" s="4" t="s">
        <v>241</v>
      </c>
      <c r="AB2573" s="4" t="s">
        <v>241</v>
      </c>
      <c r="AD2573" s="5" t="s">
        <v>241</v>
      </c>
      <c r="AG2573" s="5" t="s">
        <v>246</v>
      </c>
      <c r="AH2573" s="4" t="s">
        <v>241</v>
      </c>
      <c r="AI2573" s="4" t="s">
        <v>247</v>
      </c>
      <c r="AJ2573" s="4" t="s">
        <v>248</v>
      </c>
      <c r="AZ2573" s="4" t="s">
        <v>249</v>
      </c>
      <c r="BA2573" s="4" t="s">
        <v>241</v>
      </c>
      <c r="BB2573" s="4" t="s">
        <v>250</v>
      </c>
      <c r="BC2573" s="4" t="s">
        <v>241</v>
      </c>
      <c r="BD2573" s="4" t="s">
        <v>252</v>
      </c>
      <c r="BE2573" s="4" t="s">
        <v>241</v>
      </c>
      <c r="BI2573" s="4" t="s">
        <v>253</v>
      </c>
      <c r="BJ2573" s="5" t="s">
        <v>246</v>
      </c>
      <c r="BK2573" s="4" t="s">
        <v>254</v>
      </c>
      <c r="BL2573" s="4" t="s">
        <v>255</v>
      </c>
      <c r="BM2573" s="4" t="s">
        <v>241</v>
      </c>
      <c r="BN2573" s="6">
        <f>0</f>
        <v>0</v>
      </c>
      <c r="BO2573" s="6">
        <f>0</f>
        <v>0</v>
      </c>
      <c r="BP2573" s="4" t="s">
        <v>256</v>
      </c>
      <c r="BQ2573" s="4" t="s">
        <v>257</v>
      </c>
      <c r="CE2573" s="4" t="s">
        <v>241</v>
      </c>
      <c r="CF2573" s="4" t="s">
        <v>241</v>
      </c>
      <c r="CJ2573" s="4" t="s">
        <v>276</v>
      </c>
      <c r="CK2573" s="4" t="s">
        <v>259</v>
      </c>
      <c r="CL2573" s="4" t="s">
        <v>241</v>
      </c>
      <c r="CO2573" s="5" t="s">
        <v>260</v>
      </c>
      <c r="CP2573" s="4" t="s">
        <v>241</v>
      </c>
      <c r="CQ2573" s="4" t="s">
        <v>261</v>
      </c>
      <c r="CR2573" s="4" t="s">
        <v>241</v>
      </c>
      <c r="CS2573" s="4" t="s">
        <v>241</v>
      </c>
      <c r="CT2573" s="4">
        <v>0</v>
      </c>
      <c r="CU2573" s="4" t="s">
        <v>262</v>
      </c>
      <c r="CV2573" s="4" t="s">
        <v>263</v>
      </c>
      <c r="CW2573" s="4" t="s">
        <v>263</v>
      </c>
      <c r="CX2573" s="4" t="s">
        <v>264</v>
      </c>
      <c r="DA2573" s="6">
        <f>1</f>
        <v>1</v>
      </c>
      <c r="DC2573" s="4" t="s">
        <v>325</v>
      </c>
      <c r="DD2573" s="4" t="s">
        <v>241</v>
      </c>
      <c r="DF2573" s="4" t="s">
        <v>325</v>
      </c>
      <c r="DG2573" s="6">
        <f>2346</f>
        <v>2346</v>
      </c>
      <c r="DI2573" s="4" t="s">
        <v>241</v>
      </c>
      <c r="DJ2573" s="4" t="s">
        <v>241</v>
      </c>
      <c r="DK2573" s="4" t="s">
        <v>241</v>
      </c>
      <c r="DL2573" s="4" t="s">
        <v>241</v>
      </c>
      <c r="DP2573" s="4" t="s">
        <v>241</v>
      </c>
      <c r="DQ2573" s="4" t="s">
        <v>241</v>
      </c>
      <c r="DR2573" s="4" t="s">
        <v>241</v>
      </c>
      <c r="DS2573" s="4" t="s">
        <v>241</v>
      </c>
      <c r="DV2573" s="4" t="s">
        <v>426</v>
      </c>
      <c r="DW2573" s="4" t="s">
        <v>2751</v>
      </c>
      <c r="HO2573" s="4" t="s">
        <v>267</v>
      </c>
    </row>
    <row r="2574" spans="1:223" ht="19.5" customHeight="1" x14ac:dyDescent="0.4">
      <c r="A2574" s="4">
        <v>1</v>
      </c>
      <c r="B2574" s="4" t="s">
        <v>239</v>
      </c>
      <c r="C2574" s="4">
        <v>4277</v>
      </c>
      <c r="D2574" s="4">
        <v>1</v>
      </c>
      <c r="E2574" s="4">
        <v>1</v>
      </c>
      <c r="F2574" s="4" t="s">
        <v>268</v>
      </c>
      <c r="G2574" s="4" t="s">
        <v>241</v>
      </c>
      <c r="H2574" s="4" t="s">
        <v>241</v>
      </c>
      <c r="I2574" s="4" t="s">
        <v>424</v>
      </c>
      <c r="J2574" s="4" t="s">
        <v>274</v>
      </c>
      <c r="K2574" s="4" t="s">
        <v>251</v>
      </c>
      <c r="L2574" s="4" t="s">
        <v>423</v>
      </c>
      <c r="M2574" s="5" t="s">
        <v>3942</v>
      </c>
      <c r="N2574" s="6">
        <f>808</f>
        <v>808</v>
      </c>
      <c r="O2574" s="4" t="s">
        <v>265</v>
      </c>
      <c r="P2574" s="6">
        <f>1</f>
        <v>1</v>
      </c>
      <c r="Q2574" s="6">
        <f>0</f>
        <v>0</v>
      </c>
      <c r="S2574" s="6">
        <f>0</f>
        <v>0</v>
      </c>
      <c r="T2574" s="6">
        <f>1</f>
        <v>1</v>
      </c>
      <c r="U2574" s="5" t="s">
        <v>245</v>
      </c>
      <c r="V2574" s="4" t="s">
        <v>270</v>
      </c>
      <c r="W2574" s="4" t="s">
        <v>271</v>
      </c>
      <c r="X2574" s="4" t="s">
        <v>273</v>
      </c>
      <c r="Y2574" s="4" t="s">
        <v>241</v>
      </c>
      <c r="AB2574" s="4" t="s">
        <v>241</v>
      </c>
      <c r="AD2574" s="5" t="s">
        <v>241</v>
      </c>
      <c r="AG2574" s="5" t="s">
        <v>246</v>
      </c>
      <c r="AH2574" s="4" t="s">
        <v>241</v>
      </c>
      <c r="AI2574" s="4" t="s">
        <v>247</v>
      </c>
      <c r="AJ2574" s="4" t="s">
        <v>248</v>
      </c>
      <c r="AZ2574" s="4" t="s">
        <v>249</v>
      </c>
      <c r="BA2574" s="4" t="s">
        <v>241</v>
      </c>
      <c r="BB2574" s="4" t="s">
        <v>250</v>
      </c>
      <c r="BC2574" s="4" t="s">
        <v>241</v>
      </c>
      <c r="BD2574" s="4" t="s">
        <v>252</v>
      </c>
      <c r="BE2574" s="4" t="s">
        <v>241</v>
      </c>
      <c r="BI2574" s="4" t="s">
        <v>253</v>
      </c>
      <c r="BJ2574" s="5" t="s">
        <v>246</v>
      </c>
      <c r="BK2574" s="4" t="s">
        <v>254</v>
      </c>
      <c r="BL2574" s="4" t="s">
        <v>255</v>
      </c>
      <c r="BM2574" s="4" t="s">
        <v>241</v>
      </c>
      <c r="BN2574" s="6">
        <f>0</f>
        <v>0</v>
      </c>
      <c r="BO2574" s="6">
        <f>0</f>
        <v>0</v>
      </c>
      <c r="BP2574" s="4" t="s">
        <v>256</v>
      </c>
      <c r="BQ2574" s="4" t="s">
        <v>257</v>
      </c>
      <c r="CE2574" s="4" t="s">
        <v>241</v>
      </c>
      <c r="CF2574" s="4" t="s">
        <v>241</v>
      </c>
      <c r="CJ2574" s="4" t="s">
        <v>276</v>
      </c>
      <c r="CK2574" s="4" t="s">
        <v>259</v>
      </c>
      <c r="CL2574" s="4" t="s">
        <v>241</v>
      </c>
      <c r="CO2574" s="5" t="s">
        <v>260</v>
      </c>
      <c r="CP2574" s="4" t="s">
        <v>241</v>
      </c>
      <c r="CQ2574" s="4" t="s">
        <v>261</v>
      </c>
      <c r="CR2574" s="4" t="s">
        <v>241</v>
      </c>
      <c r="CS2574" s="4" t="s">
        <v>241</v>
      </c>
      <c r="CT2574" s="4">
        <v>0</v>
      </c>
      <c r="CU2574" s="4" t="s">
        <v>262</v>
      </c>
      <c r="CV2574" s="4" t="s">
        <v>263</v>
      </c>
      <c r="CW2574" s="4" t="s">
        <v>263</v>
      </c>
      <c r="CX2574" s="4" t="s">
        <v>264</v>
      </c>
      <c r="DA2574" s="6">
        <f>1</f>
        <v>1</v>
      </c>
      <c r="DC2574" s="4" t="s">
        <v>325</v>
      </c>
      <c r="DD2574" s="4" t="s">
        <v>241</v>
      </c>
      <c r="DF2574" s="4" t="s">
        <v>325</v>
      </c>
      <c r="DG2574" s="6">
        <f>808</f>
        <v>808</v>
      </c>
      <c r="DI2574" s="4" t="s">
        <v>241</v>
      </c>
      <c r="DJ2574" s="4" t="s">
        <v>241</v>
      </c>
      <c r="DK2574" s="4" t="s">
        <v>241</v>
      </c>
      <c r="DL2574" s="4" t="s">
        <v>241</v>
      </c>
      <c r="DP2574" s="4" t="s">
        <v>241</v>
      </c>
      <c r="DQ2574" s="4" t="s">
        <v>241</v>
      </c>
      <c r="DR2574" s="4" t="s">
        <v>241</v>
      </c>
      <c r="DS2574" s="4" t="s">
        <v>241</v>
      </c>
      <c r="DV2574" s="4" t="s">
        <v>426</v>
      </c>
      <c r="DW2574" s="4" t="s">
        <v>2749</v>
      </c>
      <c r="HO2574" s="4" t="s">
        <v>267</v>
      </c>
    </row>
    <row r="2575" spans="1:223" ht="19.5" customHeight="1" x14ac:dyDescent="0.4">
      <c r="A2575" s="4">
        <v>1</v>
      </c>
      <c r="B2575" s="4" t="s">
        <v>239</v>
      </c>
      <c r="C2575" s="4">
        <v>4278</v>
      </c>
      <c r="D2575" s="4">
        <v>1</v>
      </c>
      <c r="E2575" s="4">
        <v>1</v>
      </c>
      <c r="F2575" s="4" t="s">
        <v>268</v>
      </c>
      <c r="G2575" s="4" t="s">
        <v>241</v>
      </c>
      <c r="H2575" s="4" t="s">
        <v>241</v>
      </c>
      <c r="I2575" s="4" t="s">
        <v>424</v>
      </c>
      <c r="J2575" s="4" t="s">
        <v>274</v>
      </c>
      <c r="K2575" s="4" t="s">
        <v>251</v>
      </c>
      <c r="L2575" s="4" t="s">
        <v>423</v>
      </c>
      <c r="M2575" s="5" t="s">
        <v>3946</v>
      </c>
      <c r="N2575" s="6">
        <f>2690</f>
        <v>2690</v>
      </c>
      <c r="O2575" s="4" t="s">
        <v>265</v>
      </c>
      <c r="P2575" s="6">
        <f>1</f>
        <v>1</v>
      </c>
      <c r="Q2575" s="6">
        <f>0</f>
        <v>0</v>
      </c>
      <c r="S2575" s="6">
        <f>0</f>
        <v>0</v>
      </c>
      <c r="T2575" s="6">
        <f>1</f>
        <v>1</v>
      </c>
      <c r="U2575" s="5" t="s">
        <v>245</v>
      </c>
      <c r="V2575" s="4" t="s">
        <v>270</v>
      </c>
      <c r="W2575" s="4" t="s">
        <v>271</v>
      </c>
      <c r="X2575" s="4" t="s">
        <v>273</v>
      </c>
      <c r="Y2575" s="4" t="s">
        <v>241</v>
      </c>
      <c r="AB2575" s="4" t="s">
        <v>241</v>
      </c>
      <c r="AD2575" s="5" t="s">
        <v>241</v>
      </c>
      <c r="AG2575" s="5" t="s">
        <v>246</v>
      </c>
      <c r="AH2575" s="4" t="s">
        <v>241</v>
      </c>
      <c r="AI2575" s="4" t="s">
        <v>247</v>
      </c>
      <c r="AJ2575" s="4" t="s">
        <v>248</v>
      </c>
      <c r="AZ2575" s="4" t="s">
        <v>249</v>
      </c>
      <c r="BA2575" s="4" t="s">
        <v>241</v>
      </c>
      <c r="BB2575" s="4" t="s">
        <v>250</v>
      </c>
      <c r="BC2575" s="4" t="s">
        <v>241</v>
      </c>
      <c r="BD2575" s="4" t="s">
        <v>252</v>
      </c>
      <c r="BE2575" s="4" t="s">
        <v>241</v>
      </c>
      <c r="BI2575" s="4" t="s">
        <v>253</v>
      </c>
      <c r="BJ2575" s="5" t="s">
        <v>246</v>
      </c>
      <c r="BK2575" s="4" t="s">
        <v>254</v>
      </c>
      <c r="BL2575" s="4" t="s">
        <v>255</v>
      </c>
      <c r="BM2575" s="4" t="s">
        <v>241</v>
      </c>
      <c r="BN2575" s="6">
        <f>0</f>
        <v>0</v>
      </c>
      <c r="BO2575" s="6">
        <f>0</f>
        <v>0</v>
      </c>
      <c r="BP2575" s="4" t="s">
        <v>256</v>
      </c>
      <c r="BQ2575" s="4" t="s">
        <v>257</v>
      </c>
      <c r="CE2575" s="4" t="s">
        <v>241</v>
      </c>
      <c r="CF2575" s="4" t="s">
        <v>241</v>
      </c>
      <c r="CJ2575" s="4" t="s">
        <v>276</v>
      </c>
      <c r="CK2575" s="4" t="s">
        <v>259</v>
      </c>
      <c r="CL2575" s="4" t="s">
        <v>241</v>
      </c>
      <c r="CO2575" s="5" t="s">
        <v>260</v>
      </c>
      <c r="CP2575" s="4" t="s">
        <v>241</v>
      </c>
      <c r="CQ2575" s="4" t="s">
        <v>261</v>
      </c>
      <c r="CR2575" s="4" t="s">
        <v>241</v>
      </c>
      <c r="CS2575" s="4" t="s">
        <v>241</v>
      </c>
      <c r="CT2575" s="4">
        <v>0</v>
      </c>
      <c r="CU2575" s="4" t="s">
        <v>262</v>
      </c>
      <c r="CV2575" s="4" t="s">
        <v>263</v>
      </c>
      <c r="CW2575" s="4" t="s">
        <v>263</v>
      </c>
      <c r="CX2575" s="4" t="s">
        <v>264</v>
      </c>
      <c r="DA2575" s="6">
        <f>1</f>
        <v>1</v>
      </c>
      <c r="DC2575" s="4" t="s">
        <v>325</v>
      </c>
      <c r="DD2575" s="4" t="s">
        <v>241</v>
      </c>
      <c r="DF2575" s="4" t="s">
        <v>325</v>
      </c>
      <c r="DG2575" s="6">
        <f>2690</f>
        <v>2690</v>
      </c>
      <c r="DI2575" s="4" t="s">
        <v>241</v>
      </c>
      <c r="DJ2575" s="4" t="s">
        <v>241</v>
      </c>
      <c r="DK2575" s="4" t="s">
        <v>241</v>
      </c>
      <c r="DL2575" s="4" t="s">
        <v>241</v>
      </c>
      <c r="DP2575" s="4" t="s">
        <v>241</v>
      </c>
      <c r="DQ2575" s="4" t="s">
        <v>241</v>
      </c>
      <c r="DR2575" s="4" t="s">
        <v>241</v>
      </c>
      <c r="DS2575" s="4" t="s">
        <v>241</v>
      </c>
      <c r="DV2575" s="4" t="s">
        <v>426</v>
      </c>
      <c r="DW2575" s="4" t="s">
        <v>2745</v>
      </c>
      <c r="HO2575" s="4" t="s">
        <v>267</v>
      </c>
    </row>
    <row r="2576" spans="1:223" ht="19.5" customHeight="1" x14ac:dyDescent="0.4">
      <c r="A2576" s="4">
        <v>1</v>
      </c>
      <c r="B2576" s="4" t="s">
        <v>239</v>
      </c>
      <c r="C2576" s="4">
        <v>4279</v>
      </c>
      <c r="D2576" s="4">
        <v>1</v>
      </c>
      <c r="E2576" s="4">
        <v>1</v>
      </c>
      <c r="F2576" s="4" t="s">
        <v>268</v>
      </c>
      <c r="G2576" s="4" t="s">
        <v>241</v>
      </c>
      <c r="H2576" s="4" t="s">
        <v>241</v>
      </c>
      <c r="I2576" s="4" t="s">
        <v>424</v>
      </c>
      <c r="J2576" s="4" t="s">
        <v>274</v>
      </c>
      <c r="K2576" s="4" t="s">
        <v>251</v>
      </c>
      <c r="L2576" s="4" t="s">
        <v>423</v>
      </c>
      <c r="M2576" s="5" t="s">
        <v>3950</v>
      </c>
      <c r="N2576" s="6">
        <f>4235</f>
        <v>4235</v>
      </c>
      <c r="O2576" s="4" t="s">
        <v>265</v>
      </c>
      <c r="P2576" s="6">
        <f>1</f>
        <v>1</v>
      </c>
      <c r="Q2576" s="6">
        <f>0</f>
        <v>0</v>
      </c>
      <c r="S2576" s="6">
        <f>0</f>
        <v>0</v>
      </c>
      <c r="T2576" s="6">
        <f>1</f>
        <v>1</v>
      </c>
      <c r="U2576" s="5" t="s">
        <v>245</v>
      </c>
      <c r="V2576" s="4" t="s">
        <v>270</v>
      </c>
      <c r="W2576" s="4" t="s">
        <v>271</v>
      </c>
      <c r="X2576" s="4" t="s">
        <v>273</v>
      </c>
      <c r="Y2576" s="4" t="s">
        <v>241</v>
      </c>
      <c r="AB2576" s="4" t="s">
        <v>241</v>
      </c>
      <c r="AD2576" s="5" t="s">
        <v>241</v>
      </c>
      <c r="AG2576" s="5" t="s">
        <v>246</v>
      </c>
      <c r="AH2576" s="4" t="s">
        <v>241</v>
      </c>
      <c r="AI2576" s="4" t="s">
        <v>247</v>
      </c>
      <c r="AJ2576" s="4" t="s">
        <v>248</v>
      </c>
      <c r="AZ2576" s="4" t="s">
        <v>249</v>
      </c>
      <c r="BA2576" s="4" t="s">
        <v>241</v>
      </c>
      <c r="BB2576" s="4" t="s">
        <v>250</v>
      </c>
      <c r="BC2576" s="4" t="s">
        <v>241</v>
      </c>
      <c r="BD2576" s="4" t="s">
        <v>252</v>
      </c>
      <c r="BE2576" s="4" t="s">
        <v>241</v>
      </c>
      <c r="BI2576" s="4" t="s">
        <v>253</v>
      </c>
      <c r="BJ2576" s="5" t="s">
        <v>246</v>
      </c>
      <c r="BK2576" s="4" t="s">
        <v>254</v>
      </c>
      <c r="BL2576" s="4" t="s">
        <v>255</v>
      </c>
      <c r="BM2576" s="4" t="s">
        <v>241</v>
      </c>
      <c r="BN2576" s="6">
        <f>0</f>
        <v>0</v>
      </c>
      <c r="BO2576" s="6">
        <f>0</f>
        <v>0</v>
      </c>
      <c r="BP2576" s="4" t="s">
        <v>256</v>
      </c>
      <c r="BQ2576" s="4" t="s">
        <v>257</v>
      </c>
      <c r="CE2576" s="4" t="s">
        <v>241</v>
      </c>
      <c r="CF2576" s="4" t="s">
        <v>241</v>
      </c>
      <c r="CJ2576" s="4" t="s">
        <v>276</v>
      </c>
      <c r="CK2576" s="4" t="s">
        <v>259</v>
      </c>
      <c r="CL2576" s="4" t="s">
        <v>241</v>
      </c>
      <c r="CO2576" s="5" t="s">
        <v>260</v>
      </c>
      <c r="CP2576" s="4" t="s">
        <v>241</v>
      </c>
      <c r="CQ2576" s="4" t="s">
        <v>261</v>
      </c>
      <c r="CR2576" s="4" t="s">
        <v>241</v>
      </c>
      <c r="CS2576" s="4" t="s">
        <v>241</v>
      </c>
      <c r="CT2576" s="4">
        <v>0</v>
      </c>
      <c r="CU2576" s="4" t="s">
        <v>262</v>
      </c>
      <c r="CV2576" s="4" t="s">
        <v>263</v>
      </c>
      <c r="CW2576" s="4" t="s">
        <v>263</v>
      </c>
      <c r="CX2576" s="4" t="s">
        <v>264</v>
      </c>
      <c r="DA2576" s="6">
        <f>1</f>
        <v>1</v>
      </c>
      <c r="DC2576" s="4" t="s">
        <v>325</v>
      </c>
      <c r="DD2576" s="4" t="s">
        <v>241</v>
      </c>
      <c r="DF2576" s="4" t="s">
        <v>325</v>
      </c>
      <c r="DG2576" s="6">
        <f>4235</f>
        <v>4235</v>
      </c>
      <c r="DI2576" s="4" t="s">
        <v>241</v>
      </c>
      <c r="DJ2576" s="4" t="s">
        <v>241</v>
      </c>
      <c r="DK2576" s="4" t="s">
        <v>241</v>
      </c>
      <c r="DL2576" s="4" t="s">
        <v>241</v>
      </c>
      <c r="DP2576" s="4" t="s">
        <v>241</v>
      </c>
      <c r="DQ2576" s="4" t="s">
        <v>241</v>
      </c>
      <c r="DR2576" s="4" t="s">
        <v>241</v>
      </c>
      <c r="DS2576" s="4" t="s">
        <v>241</v>
      </c>
      <c r="DV2576" s="4" t="s">
        <v>426</v>
      </c>
      <c r="DW2576" s="4" t="s">
        <v>2743</v>
      </c>
      <c r="HO2576" s="4" t="s">
        <v>267</v>
      </c>
    </row>
    <row r="2577" spans="1:223" ht="19.5" customHeight="1" x14ac:dyDescent="0.4">
      <c r="A2577" s="4">
        <v>1</v>
      </c>
      <c r="B2577" s="4" t="s">
        <v>239</v>
      </c>
      <c r="C2577" s="4">
        <v>4280</v>
      </c>
      <c r="D2577" s="4">
        <v>1</v>
      </c>
      <c r="E2577" s="4">
        <v>1</v>
      </c>
      <c r="F2577" s="4" t="s">
        <v>268</v>
      </c>
      <c r="G2577" s="4" t="s">
        <v>241</v>
      </c>
      <c r="H2577" s="4" t="s">
        <v>241</v>
      </c>
      <c r="I2577" s="4" t="s">
        <v>424</v>
      </c>
      <c r="J2577" s="4" t="s">
        <v>274</v>
      </c>
      <c r="K2577" s="4" t="s">
        <v>251</v>
      </c>
      <c r="L2577" s="4" t="s">
        <v>423</v>
      </c>
      <c r="M2577" s="5" t="s">
        <v>3951</v>
      </c>
      <c r="N2577" s="6">
        <f>225</f>
        <v>225</v>
      </c>
      <c r="O2577" s="4" t="s">
        <v>265</v>
      </c>
      <c r="P2577" s="6">
        <f>1</f>
        <v>1</v>
      </c>
      <c r="Q2577" s="6">
        <f>0</f>
        <v>0</v>
      </c>
      <c r="S2577" s="6">
        <f>0</f>
        <v>0</v>
      </c>
      <c r="T2577" s="6">
        <f>1</f>
        <v>1</v>
      </c>
      <c r="U2577" s="5" t="s">
        <v>245</v>
      </c>
      <c r="V2577" s="4" t="s">
        <v>270</v>
      </c>
      <c r="W2577" s="4" t="s">
        <v>271</v>
      </c>
      <c r="X2577" s="4" t="s">
        <v>273</v>
      </c>
      <c r="Y2577" s="4" t="s">
        <v>241</v>
      </c>
      <c r="AB2577" s="4" t="s">
        <v>241</v>
      </c>
      <c r="AD2577" s="5" t="s">
        <v>241</v>
      </c>
      <c r="AG2577" s="5" t="s">
        <v>246</v>
      </c>
      <c r="AH2577" s="4" t="s">
        <v>241</v>
      </c>
      <c r="AI2577" s="4" t="s">
        <v>247</v>
      </c>
      <c r="AJ2577" s="4" t="s">
        <v>248</v>
      </c>
      <c r="AZ2577" s="4" t="s">
        <v>249</v>
      </c>
      <c r="BA2577" s="4" t="s">
        <v>241</v>
      </c>
      <c r="BB2577" s="4" t="s">
        <v>250</v>
      </c>
      <c r="BC2577" s="4" t="s">
        <v>241</v>
      </c>
      <c r="BD2577" s="4" t="s">
        <v>252</v>
      </c>
      <c r="BE2577" s="4" t="s">
        <v>241</v>
      </c>
      <c r="BI2577" s="4" t="s">
        <v>253</v>
      </c>
      <c r="BJ2577" s="5" t="s">
        <v>246</v>
      </c>
      <c r="BK2577" s="4" t="s">
        <v>254</v>
      </c>
      <c r="BL2577" s="4" t="s">
        <v>255</v>
      </c>
      <c r="BM2577" s="4" t="s">
        <v>241</v>
      </c>
      <c r="BN2577" s="6">
        <f>0</f>
        <v>0</v>
      </c>
      <c r="BO2577" s="6">
        <f>0</f>
        <v>0</v>
      </c>
      <c r="BP2577" s="4" t="s">
        <v>256</v>
      </c>
      <c r="BQ2577" s="4" t="s">
        <v>257</v>
      </c>
      <c r="CE2577" s="4" t="s">
        <v>241</v>
      </c>
      <c r="CF2577" s="4" t="s">
        <v>241</v>
      </c>
      <c r="CJ2577" s="4" t="s">
        <v>276</v>
      </c>
      <c r="CK2577" s="4" t="s">
        <v>259</v>
      </c>
      <c r="CL2577" s="4" t="s">
        <v>241</v>
      </c>
      <c r="CO2577" s="5" t="s">
        <v>260</v>
      </c>
      <c r="CP2577" s="4" t="s">
        <v>241</v>
      </c>
      <c r="CQ2577" s="4" t="s">
        <v>261</v>
      </c>
      <c r="CR2577" s="4" t="s">
        <v>241</v>
      </c>
      <c r="CS2577" s="4" t="s">
        <v>241</v>
      </c>
      <c r="CT2577" s="4">
        <v>0</v>
      </c>
      <c r="CU2577" s="4" t="s">
        <v>262</v>
      </c>
      <c r="CV2577" s="4" t="s">
        <v>263</v>
      </c>
      <c r="CW2577" s="4" t="s">
        <v>263</v>
      </c>
      <c r="CX2577" s="4" t="s">
        <v>264</v>
      </c>
      <c r="DA2577" s="6">
        <f>1</f>
        <v>1</v>
      </c>
      <c r="DC2577" s="4" t="s">
        <v>325</v>
      </c>
      <c r="DD2577" s="4" t="s">
        <v>241</v>
      </c>
      <c r="DF2577" s="4" t="s">
        <v>325</v>
      </c>
      <c r="DG2577" s="6">
        <f>225</f>
        <v>225</v>
      </c>
      <c r="DI2577" s="4" t="s">
        <v>241</v>
      </c>
      <c r="DJ2577" s="4" t="s">
        <v>241</v>
      </c>
      <c r="DK2577" s="4" t="s">
        <v>241</v>
      </c>
      <c r="DL2577" s="4" t="s">
        <v>241</v>
      </c>
      <c r="DP2577" s="4" t="s">
        <v>241</v>
      </c>
      <c r="DQ2577" s="4" t="s">
        <v>241</v>
      </c>
      <c r="DR2577" s="4" t="s">
        <v>241</v>
      </c>
      <c r="DS2577" s="4" t="s">
        <v>241</v>
      </c>
      <c r="DV2577" s="4" t="s">
        <v>426</v>
      </c>
      <c r="DW2577" s="4" t="s">
        <v>2741</v>
      </c>
      <c r="HO2577" s="4" t="s">
        <v>267</v>
      </c>
    </row>
    <row r="2578" spans="1:223" ht="19.5" customHeight="1" x14ac:dyDescent="0.4">
      <c r="A2578" s="4">
        <v>1</v>
      </c>
      <c r="B2578" s="4" t="s">
        <v>239</v>
      </c>
      <c r="C2578" s="4">
        <v>4281</v>
      </c>
      <c r="D2578" s="4">
        <v>1</v>
      </c>
      <c r="E2578" s="4">
        <v>1</v>
      </c>
      <c r="F2578" s="4" t="s">
        <v>268</v>
      </c>
      <c r="G2578" s="4" t="s">
        <v>241</v>
      </c>
      <c r="H2578" s="4" t="s">
        <v>241</v>
      </c>
      <c r="I2578" s="4" t="s">
        <v>424</v>
      </c>
      <c r="J2578" s="4" t="s">
        <v>274</v>
      </c>
      <c r="K2578" s="4" t="s">
        <v>251</v>
      </c>
      <c r="L2578" s="4" t="s">
        <v>423</v>
      </c>
      <c r="M2578" s="5" t="s">
        <v>3954</v>
      </c>
      <c r="N2578" s="6">
        <f>1081</f>
        <v>1081</v>
      </c>
      <c r="O2578" s="4" t="s">
        <v>265</v>
      </c>
      <c r="P2578" s="6">
        <f>1</f>
        <v>1</v>
      </c>
      <c r="Q2578" s="6">
        <f>0</f>
        <v>0</v>
      </c>
      <c r="S2578" s="6">
        <f>0</f>
        <v>0</v>
      </c>
      <c r="T2578" s="6">
        <f>1</f>
        <v>1</v>
      </c>
      <c r="U2578" s="5" t="s">
        <v>245</v>
      </c>
      <c r="V2578" s="4" t="s">
        <v>270</v>
      </c>
      <c r="W2578" s="4" t="s">
        <v>271</v>
      </c>
      <c r="X2578" s="4" t="s">
        <v>273</v>
      </c>
      <c r="Y2578" s="4" t="s">
        <v>241</v>
      </c>
      <c r="AB2578" s="4" t="s">
        <v>241</v>
      </c>
      <c r="AD2578" s="5" t="s">
        <v>241</v>
      </c>
      <c r="AG2578" s="5" t="s">
        <v>246</v>
      </c>
      <c r="AH2578" s="4" t="s">
        <v>241</v>
      </c>
      <c r="AI2578" s="4" t="s">
        <v>247</v>
      </c>
      <c r="AJ2578" s="4" t="s">
        <v>248</v>
      </c>
      <c r="AZ2578" s="4" t="s">
        <v>249</v>
      </c>
      <c r="BA2578" s="4" t="s">
        <v>241</v>
      </c>
      <c r="BB2578" s="4" t="s">
        <v>250</v>
      </c>
      <c r="BC2578" s="4" t="s">
        <v>241</v>
      </c>
      <c r="BD2578" s="4" t="s">
        <v>252</v>
      </c>
      <c r="BE2578" s="4" t="s">
        <v>241</v>
      </c>
      <c r="BI2578" s="4" t="s">
        <v>253</v>
      </c>
      <c r="BJ2578" s="5" t="s">
        <v>246</v>
      </c>
      <c r="BK2578" s="4" t="s">
        <v>254</v>
      </c>
      <c r="BL2578" s="4" t="s">
        <v>255</v>
      </c>
      <c r="BM2578" s="4" t="s">
        <v>241</v>
      </c>
      <c r="BN2578" s="6">
        <f>0</f>
        <v>0</v>
      </c>
      <c r="BO2578" s="6">
        <f>0</f>
        <v>0</v>
      </c>
      <c r="BP2578" s="4" t="s">
        <v>256</v>
      </c>
      <c r="BQ2578" s="4" t="s">
        <v>257</v>
      </c>
      <c r="CE2578" s="4" t="s">
        <v>241</v>
      </c>
      <c r="CF2578" s="4" t="s">
        <v>241</v>
      </c>
      <c r="CJ2578" s="4" t="s">
        <v>276</v>
      </c>
      <c r="CK2578" s="4" t="s">
        <v>259</v>
      </c>
      <c r="CL2578" s="4" t="s">
        <v>241</v>
      </c>
      <c r="CO2578" s="5" t="s">
        <v>260</v>
      </c>
      <c r="CP2578" s="4" t="s">
        <v>241</v>
      </c>
      <c r="CQ2578" s="4" t="s">
        <v>261</v>
      </c>
      <c r="CR2578" s="4" t="s">
        <v>241</v>
      </c>
      <c r="CS2578" s="4" t="s">
        <v>241</v>
      </c>
      <c r="CT2578" s="4">
        <v>0</v>
      </c>
      <c r="CU2578" s="4" t="s">
        <v>262</v>
      </c>
      <c r="CV2578" s="4" t="s">
        <v>263</v>
      </c>
      <c r="CW2578" s="4" t="s">
        <v>263</v>
      </c>
      <c r="CX2578" s="4" t="s">
        <v>264</v>
      </c>
      <c r="DA2578" s="6">
        <f>1</f>
        <v>1</v>
      </c>
      <c r="DC2578" s="4" t="s">
        <v>325</v>
      </c>
      <c r="DD2578" s="4" t="s">
        <v>241</v>
      </c>
      <c r="DF2578" s="4" t="s">
        <v>325</v>
      </c>
      <c r="DG2578" s="6">
        <f>1081</f>
        <v>1081</v>
      </c>
      <c r="DI2578" s="4" t="s">
        <v>241</v>
      </c>
      <c r="DJ2578" s="4" t="s">
        <v>241</v>
      </c>
      <c r="DK2578" s="4" t="s">
        <v>241</v>
      </c>
      <c r="DL2578" s="4" t="s">
        <v>241</v>
      </c>
      <c r="DP2578" s="4" t="s">
        <v>241</v>
      </c>
      <c r="DQ2578" s="4" t="s">
        <v>241</v>
      </c>
      <c r="DR2578" s="4" t="s">
        <v>241</v>
      </c>
      <c r="DS2578" s="4" t="s">
        <v>241</v>
      </c>
      <c r="DV2578" s="4" t="s">
        <v>426</v>
      </c>
      <c r="DW2578" s="4" t="s">
        <v>2739</v>
      </c>
      <c r="HO2578" s="4" t="s">
        <v>267</v>
      </c>
    </row>
    <row r="2579" spans="1:223" ht="19.5" customHeight="1" x14ac:dyDescent="0.4">
      <c r="A2579" s="4">
        <v>1</v>
      </c>
      <c r="B2579" s="4" t="s">
        <v>239</v>
      </c>
      <c r="C2579" s="4">
        <v>4282</v>
      </c>
      <c r="D2579" s="4">
        <v>1</v>
      </c>
      <c r="E2579" s="4">
        <v>1</v>
      </c>
      <c r="F2579" s="4" t="s">
        <v>268</v>
      </c>
      <c r="G2579" s="4" t="s">
        <v>241</v>
      </c>
      <c r="H2579" s="4" t="s">
        <v>241</v>
      </c>
      <c r="I2579" s="4" t="s">
        <v>424</v>
      </c>
      <c r="J2579" s="4" t="s">
        <v>274</v>
      </c>
      <c r="K2579" s="4" t="s">
        <v>251</v>
      </c>
      <c r="L2579" s="4" t="s">
        <v>423</v>
      </c>
      <c r="M2579" s="5" t="s">
        <v>3959</v>
      </c>
      <c r="N2579" s="6">
        <f>1889</f>
        <v>1889</v>
      </c>
      <c r="O2579" s="4" t="s">
        <v>265</v>
      </c>
      <c r="P2579" s="6">
        <f>1</f>
        <v>1</v>
      </c>
      <c r="Q2579" s="6">
        <f>0</f>
        <v>0</v>
      </c>
      <c r="S2579" s="6">
        <f>0</f>
        <v>0</v>
      </c>
      <c r="T2579" s="6">
        <f>1</f>
        <v>1</v>
      </c>
      <c r="U2579" s="5" t="s">
        <v>245</v>
      </c>
      <c r="V2579" s="4" t="s">
        <v>270</v>
      </c>
      <c r="W2579" s="4" t="s">
        <v>271</v>
      </c>
      <c r="X2579" s="4" t="s">
        <v>273</v>
      </c>
      <c r="Y2579" s="4" t="s">
        <v>241</v>
      </c>
      <c r="AB2579" s="4" t="s">
        <v>241</v>
      </c>
      <c r="AD2579" s="5" t="s">
        <v>241</v>
      </c>
      <c r="AG2579" s="5" t="s">
        <v>246</v>
      </c>
      <c r="AH2579" s="4" t="s">
        <v>241</v>
      </c>
      <c r="AI2579" s="4" t="s">
        <v>247</v>
      </c>
      <c r="AJ2579" s="4" t="s">
        <v>248</v>
      </c>
      <c r="AZ2579" s="4" t="s">
        <v>249</v>
      </c>
      <c r="BA2579" s="4" t="s">
        <v>241</v>
      </c>
      <c r="BB2579" s="4" t="s">
        <v>250</v>
      </c>
      <c r="BC2579" s="4" t="s">
        <v>241</v>
      </c>
      <c r="BD2579" s="4" t="s">
        <v>252</v>
      </c>
      <c r="BE2579" s="4" t="s">
        <v>241</v>
      </c>
      <c r="BI2579" s="4" t="s">
        <v>253</v>
      </c>
      <c r="BJ2579" s="5" t="s">
        <v>246</v>
      </c>
      <c r="BK2579" s="4" t="s">
        <v>254</v>
      </c>
      <c r="BL2579" s="4" t="s">
        <v>255</v>
      </c>
      <c r="BM2579" s="4" t="s">
        <v>241</v>
      </c>
      <c r="BN2579" s="6">
        <f>0</f>
        <v>0</v>
      </c>
      <c r="BO2579" s="6">
        <f>0</f>
        <v>0</v>
      </c>
      <c r="BP2579" s="4" t="s">
        <v>256</v>
      </c>
      <c r="BQ2579" s="4" t="s">
        <v>257</v>
      </c>
      <c r="CE2579" s="4" t="s">
        <v>241</v>
      </c>
      <c r="CF2579" s="4" t="s">
        <v>241</v>
      </c>
      <c r="CJ2579" s="4" t="s">
        <v>276</v>
      </c>
      <c r="CK2579" s="4" t="s">
        <v>259</v>
      </c>
      <c r="CL2579" s="4" t="s">
        <v>241</v>
      </c>
      <c r="CO2579" s="5" t="s">
        <v>260</v>
      </c>
      <c r="CP2579" s="4" t="s">
        <v>241</v>
      </c>
      <c r="CQ2579" s="4" t="s">
        <v>261</v>
      </c>
      <c r="CR2579" s="4" t="s">
        <v>241</v>
      </c>
      <c r="CS2579" s="4" t="s">
        <v>241</v>
      </c>
      <c r="CT2579" s="4">
        <v>0</v>
      </c>
      <c r="CU2579" s="4" t="s">
        <v>262</v>
      </c>
      <c r="CV2579" s="4" t="s">
        <v>263</v>
      </c>
      <c r="CW2579" s="4" t="s">
        <v>263</v>
      </c>
      <c r="CX2579" s="4" t="s">
        <v>264</v>
      </c>
      <c r="DA2579" s="6">
        <f>1</f>
        <v>1</v>
      </c>
      <c r="DC2579" s="4" t="s">
        <v>325</v>
      </c>
      <c r="DD2579" s="4" t="s">
        <v>241</v>
      </c>
      <c r="DF2579" s="4" t="s">
        <v>325</v>
      </c>
      <c r="DG2579" s="6">
        <f>1889</f>
        <v>1889</v>
      </c>
      <c r="DI2579" s="4" t="s">
        <v>241</v>
      </c>
      <c r="DJ2579" s="4" t="s">
        <v>241</v>
      </c>
      <c r="DK2579" s="4" t="s">
        <v>241</v>
      </c>
      <c r="DL2579" s="4" t="s">
        <v>241</v>
      </c>
      <c r="DP2579" s="4" t="s">
        <v>241</v>
      </c>
      <c r="DQ2579" s="4" t="s">
        <v>241</v>
      </c>
      <c r="DR2579" s="4" t="s">
        <v>241</v>
      </c>
      <c r="DS2579" s="4" t="s">
        <v>241</v>
      </c>
      <c r="DV2579" s="4" t="s">
        <v>426</v>
      </c>
      <c r="DW2579" s="4" t="s">
        <v>2737</v>
      </c>
      <c r="HO2579" s="4" t="s">
        <v>267</v>
      </c>
    </row>
    <row r="2580" spans="1:223" ht="19.5" customHeight="1" x14ac:dyDescent="0.4">
      <c r="A2580" s="4">
        <v>1</v>
      </c>
      <c r="B2580" s="4" t="s">
        <v>239</v>
      </c>
      <c r="C2580" s="4">
        <v>4283</v>
      </c>
      <c r="D2580" s="4">
        <v>1</v>
      </c>
      <c r="E2580" s="4">
        <v>1</v>
      </c>
      <c r="F2580" s="4" t="s">
        <v>268</v>
      </c>
      <c r="G2580" s="4" t="s">
        <v>241</v>
      </c>
      <c r="H2580" s="4" t="s">
        <v>241</v>
      </c>
      <c r="I2580" s="4" t="s">
        <v>424</v>
      </c>
      <c r="J2580" s="4" t="s">
        <v>274</v>
      </c>
      <c r="K2580" s="4" t="s">
        <v>251</v>
      </c>
      <c r="L2580" s="4" t="s">
        <v>423</v>
      </c>
      <c r="M2580" s="5" t="s">
        <v>3961</v>
      </c>
      <c r="N2580" s="6">
        <f>1780</f>
        <v>1780</v>
      </c>
      <c r="O2580" s="4" t="s">
        <v>265</v>
      </c>
      <c r="P2580" s="6">
        <f>1</f>
        <v>1</v>
      </c>
      <c r="Q2580" s="6">
        <f>0</f>
        <v>0</v>
      </c>
      <c r="S2580" s="6">
        <f>0</f>
        <v>0</v>
      </c>
      <c r="T2580" s="6">
        <f>1</f>
        <v>1</v>
      </c>
      <c r="U2580" s="5" t="s">
        <v>245</v>
      </c>
      <c r="V2580" s="4" t="s">
        <v>270</v>
      </c>
      <c r="W2580" s="4" t="s">
        <v>271</v>
      </c>
      <c r="X2580" s="4" t="s">
        <v>273</v>
      </c>
      <c r="Y2580" s="4" t="s">
        <v>241</v>
      </c>
      <c r="AB2580" s="4" t="s">
        <v>241</v>
      </c>
      <c r="AD2580" s="5" t="s">
        <v>241</v>
      </c>
      <c r="AG2580" s="5" t="s">
        <v>246</v>
      </c>
      <c r="AH2580" s="4" t="s">
        <v>241</v>
      </c>
      <c r="AI2580" s="4" t="s">
        <v>247</v>
      </c>
      <c r="AJ2580" s="4" t="s">
        <v>248</v>
      </c>
      <c r="AZ2580" s="4" t="s">
        <v>249</v>
      </c>
      <c r="BA2580" s="4" t="s">
        <v>241</v>
      </c>
      <c r="BB2580" s="4" t="s">
        <v>250</v>
      </c>
      <c r="BC2580" s="4" t="s">
        <v>241</v>
      </c>
      <c r="BD2580" s="4" t="s">
        <v>252</v>
      </c>
      <c r="BE2580" s="4" t="s">
        <v>241</v>
      </c>
      <c r="BI2580" s="4" t="s">
        <v>253</v>
      </c>
      <c r="BJ2580" s="5" t="s">
        <v>246</v>
      </c>
      <c r="BK2580" s="4" t="s">
        <v>254</v>
      </c>
      <c r="BL2580" s="4" t="s">
        <v>255</v>
      </c>
      <c r="BM2580" s="4" t="s">
        <v>241</v>
      </c>
      <c r="BN2580" s="6">
        <f>0</f>
        <v>0</v>
      </c>
      <c r="BO2580" s="6">
        <f>0</f>
        <v>0</v>
      </c>
      <c r="BP2580" s="4" t="s">
        <v>256</v>
      </c>
      <c r="BQ2580" s="4" t="s">
        <v>257</v>
      </c>
      <c r="CE2580" s="4" t="s">
        <v>241</v>
      </c>
      <c r="CF2580" s="4" t="s">
        <v>241</v>
      </c>
      <c r="CJ2580" s="4" t="s">
        <v>276</v>
      </c>
      <c r="CK2580" s="4" t="s">
        <v>259</v>
      </c>
      <c r="CL2580" s="4" t="s">
        <v>241</v>
      </c>
      <c r="CO2580" s="5" t="s">
        <v>260</v>
      </c>
      <c r="CP2580" s="4" t="s">
        <v>241</v>
      </c>
      <c r="CQ2580" s="4" t="s">
        <v>261</v>
      </c>
      <c r="CR2580" s="4" t="s">
        <v>241</v>
      </c>
      <c r="CS2580" s="4" t="s">
        <v>241</v>
      </c>
      <c r="CT2580" s="4">
        <v>0</v>
      </c>
      <c r="CU2580" s="4" t="s">
        <v>262</v>
      </c>
      <c r="CV2580" s="4" t="s">
        <v>263</v>
      </c>
      <c r="CW2580" s="4" t="s">
        <v>263</v>
      </c>
      <c r="CX2580" s="4" t="s">
        <v>264</v>
      </c>
      <c r="DA2580" s="6">
        <f>1</f>
        <v>1</v>
      </c>
      <c r="DC2580" s="4" t="s">
        <v>325</v>
      </c>
      <c r="DD2580" s="4" t="s">
        <v>241</v>
      </c>
      <c r="DF2580" s="4" t="s">
        <v>325</v>
      </c>
      <c r="DG2580" s="6">
        <f>1780</f>
        <v>1780</v>
      </c>
      <c r="DI2580" s="4" t="s">
        <v>241</v>
      </c>
      <c r="DJ2580" s="4" t="s">
        <v>241</v>
      </c>
      <c r="DK2580" s="4" t="s">
        <v>241</v>
      </c>
      <c r="DL2580" s="4" t="s">
        <v>241</v>
      </c>
      <c r="DP2580" s="4" t="s">
        <v>241</v>
      </c>
      <c r="DQ2580" s="4" t="s">
        <v>241</v>
      </c>
      <c r="DR2580" s="4" t="s">
        <v>241</v>
      </c>
      <c r="DS2580" s="4" t="s">
        <v>241</v>
      </c>
      <c r="DV2580" s="4" t="s">
        <v>426</v>
      </c>
      <c r="DW2580" s="4" t="s">
        <v>2735</v>
      </c>
      <c r="HO2580" s="4" t="s">
        <v>267</v>
      </c>
    </row>
    <row r="2581" spans="1:223" ht="19.5" customHeight="1" x14ac:dyDescent="0.4">
      <c r="A2581" s="4">
        <v>1</v>
      </c>
      <c r="B2581" s="4" t="s">
        <v>239</v>
      </c>
      <c r="C2581" s="4">
        <v>4284</v>
      </c>
      <c r="D2581" s="4">
        <v>1</v>
      </c>
      <c r="E2581" s="4">
        <v>1</v>
      </c>
      <c r="F2581" s="4" t="s">
        <v>268</v>
      </c>
      <c r="G2581" s="4" t="s">
        <v>241</v>
      </c>
      <c r="H2581" s="4" t="s">
        <v>241</v>
      </c>
      <c r="I2581" s="4" t="s">
        <v>424</v>
      </c>
      <c r="J2581" s="4" t="s">
        <v>274</v>
      </c>
      <c r="K2581" s="4" t="s">
        <v>251</v>
      </c>
      <c r="L2581" s="4" t="s">
        <v>423</v>
      </c>
      <c r="M2581" s="5" t="s">
        <v>3962</v>
      </c>
      <c r="N2581" s="6">
        <f>922</f>
        <v>922</v>
      </c>
      <c r="O2581" s="4" t="s">
        <v>265</v>
      </c>
      <c r="P2581" s="6">
        <f>1</f>
        <v>1</v>
      </c>
      <c r="Q2581" s="6">
        <f>0</f>
        <v>0</v>
      </c>
      <c r="S2581" s="6">
        <f>0</f>
        <v>0</v>
      </c>
      <c r="T2581" s="6">
        <f>1</f>
        <v>1</v>
      </c>
      <c r="U2581" s="5" t="s">
        <v>245</v>
      </c>
      <c r="V2581" s="4" t="s">
        <v>270</v>
      </c>
      <c r="W2581" s="4" t="s">
        <v>271</v>
      </c>
      <c r="X2581" s="4" t="s">
        <v>273</v>
      </c>
      <c r="Y2581" s="4" t="s">
        <v>241</v>
      </c>
      <c r="AB2581" s="4" t="s">
        <v>241</v>
      </c>
      <c r="AD2581" s="5" t="s">
        <v>241</v>
      </c>
      <c r="AG2581" s="5" t="s">
        <v>246</v>
      </c>
      <c r="AH2581" s="4" t="s">
        <v>241</v>
      </c>
      <c r="AI2581" s="4" t="s">
        <v>247</v>
      </c>
      <c r="AJ2581" s="4" t="s">
        <v>248</v>
      </c>
      <c r="AZ2581" s="4" t="s">
        <v>249</v>
      </c>
      <c r="BA2581" s="4" t="s">
        <v>241</v>
      </c>
      <c r="BB2581" s="4" t="s">
        <v>250</v>
      </c>
      <c r="BC2581" s="4" t="s">
        <v>241</v>
      </c>
      <c r="BD2581" s="4" t="s">
        <v>252</v>
      </c>
      <c r="BE2581" s="4" t="s">
        <v>241</v>
      </c>
      <c r="BI2581" s="4" t="s">
        <v>253</v>
      </c>
      <c r="BJ2581" s="5" t="s">
        <v>246</v>
      </c>
      <c r="BK2581" s="4" t="s">
        <v>254</v>
      </c>
      <c r="BL2581" s="4" t="s">
        <v>255</v>
      </c>
      <c r="BM2581" s="4" t="s">
        <v>241</v>
      </c>
      <c r="BN2581" s="6">
        <f>0</f>
        <v>0</v>
      </c>
      <c r="BO2581" s="6">
        <f>0</f>
        <v>0</v>
      </c>
      <c r="BP2581" s="4" t="s">
        <v>256</v>
      </c>
      <c r="BQ2581" s="4" t="s">
        <v>257</v>
      </c>
      <c r="CE2581" s="4" t="s">
        <v>241</v>
      </c>
      <c r="CF2581" s="4" t="s">
        <v>241</v>
      </c>
      <c r="CJ2581" s="4" t="s">
        <v>276</v>
      </c>
      <c r="CK2581" s="4" t="s">
        <v>259</v>
      </c>
      <c r="CL2581" s="4" t="s">
        <v>241</v>
      </c>
      <c r="CO2581" s="5" t="s">
        <v>260</v>
      </c>
      <c r="CP2581" s="4" t="s">
        <v>241</v>
      </c>
      <c r="CQ2581" s="4" t="s">
        <v>261</v>
      </c>
      <c r="CR2581" s="4" t="s">
        <v>241</v>
      </c>
      <c r="CS2581" s="4" t="s">
        <v>241</v>
      </c>
      <c r="CT2581" s="4">
        <v>0</v>
      </c>
      <c r="CU2581" s="4" t="s">
        <v>262</v>
      </c>
      <c r="CV2581" s="4" t="s">
        <v>263</v>
      </c>
      <c r="CW2581" s="4" t="s">
        <v>263</v>
      </c>
      <c r="CX2581" s="4" t="s">
        <v>264</v>
      </c>
      <c r="DA2581" s="6">
        <f>1</f>
        <v>1</v>
      </c>
      <c r="DC2581" s="4" t="s">
        <v>325</v>
      </c>
      <c r="DD2581" s="4" t="s">
        <v>241</v>
      </c>
      <c r="DF2581" s="4" t="s">
        <v>325</v>
      </c>
      <c r="DG2581" s="6">
        <f>922</f>
        <v>922</v>
      </c>
      <c r="DI2581" s="4" t="s">
        <v>241</v>
      </c>
      <c r="DJ2581" s="4" t="s">
        <v>241</v>
      </c>
      <c r="DK2581" s="4" t="s">
        <v>241</v>
      </c>
      <c r="DL2581" s="4" t="s">
        <v>241</v>
      </c>
      <c r="DP2581" s="4" t="s">
        <v>241</v>
      </c>
      <c r="DQ2581" s="4" t="s">
        <v>241</v>
      </c>
      <c r="DR2581" s="4" t="s">
        <v>241</v>
      </c>
      <c r="DS2581" s="4" t="s">
        <v>241</v>
      </c>
      <c r="DV2581" s="4" t="s">
        <v>426</v>
      </c>
      <c r="DW2581" s="4" t="s">
        <v>2733</v>
      </c>
      <c r="HO2581" s="4" t="s">
        <v>267</v>
      </c>
    </row>
    <row r="2582" spans="1:223" ht="19.5" customHeight="1" x14ac:dyDescent="0.4">
      <c r="A2582" s="4">
        <v>1</v>
      </c>
      <c r="B2582" s="4" t="s">
        <v>239</v>
      </c>
      <c r="C2582" s="4">
        <v>4285</v>
      </c>
      <c r="D2582" s="4">
        <v>1</v>
      </c>
      <c r="E2582" s="4">
        <v>1</v>
      </c>
      <c r="F2582" s="4" t="s">
        <v>268</v>
      </c>
      <c r="G2582" s="4" t="s">
        <v>241</v>
      </c>
      <c r="H2582" s="4" t="s">
        <v>241</v>
      </c>
      <c r="I2582" s="4" t="s">
        <v>424</v>
      </c>
      <c r="J2582" s="4" t="s">
        <v>274</v>
      </c>
      <c r="K2582" s="4" t="s">
        <v>251</v>
      </c>
      <c r="L2582" s="4" t="s">
        <v>423</v>
      </c>
      <c r="M2582" s="5" t="s">
        <v>3965</v>
      </c>
      <c r="N2582" s="6">
        <f>1488</f>
        <v>1488</v>
      </c>
      <c r="O2582" s="4" t="s">
        <v>265</v>
      </c>
      <c r="P2582" s="6">
        <f>1</f>
        <v>1</v>
      </c>
      <c r="Q2582" s="6">
        <f>0</f>
        <v>0</v>
      </c>
      <c r="S2582" s="6">
        <f>0</f>
        <v>0</v>
      </c>
      <c r="T2582" s="6">
        <f>1</f>
        <v>1</v>
      </c>
      <c r="U2582" s="5" t="s">
        <v>245</v>
      </c>
      <c r="V2582" s="4" t="s">
        <v>270</v>
      </c>
      <c r="W2582" s="4" t="s">
        <v>271</v>
      </c>
      <c r="X2582" s="4" t="s">
        <v>273</v>
      </c>
      <c r="Y2582" s="4" t="s">
        <v>241</v>
      </c>
      <c r="AB2582" s="4" t="s">
        <v>241</v>
      </c>
      <c r="AD2582" s="5" t="s">
        <v>241</v>
      </c>
      <c r="AG2582" s="5" t="s">
        <v>246</v>
      </c>
      <c r="AH2582" s="4" t="s">
        <v>241</v>
      </c>
      <c r="AI2582" s="4" t="s">
        <v>247</v>
      </c>
      <c r="AJ2582" s="4" t="s">
        <v>248</v>
      </c>
      <c r="AZ2582" s="4" t="s">
        <v>249</v>
      </c>
      <c r="BA2582" s="4" t="s">
        <v>241</v>
      </c>
      <c r="BB2582" s="4" t="s">
        <v>250</v>
      </c>
      <c r="BC2582" s="4" t="s">
        <v>241</v>
      </c>
      <c r="BD2582" s="4" t="s">
        <v>252</v>
      </c>
      <c r="BE2582" s="4" t="s">
        <v>241</v>
      </c>
      <c r="BI2582" s="4" t="s">
        <v>253</v>
      </c>
      <c r="BJ2582" s="5" t="s">
        <v>246</v>
      </c>
      <c r="BK2582" s="4" t="s">
        <v>254</v>
      </c>
      <c r="BL2582" s="4" t="s">
        <v>255</v>
      </c>
      <c r="BM2582" s="4" t="s">
        <v>241</v>
      </c>
      <c r="BN2582" s="6">
        <f>0</f>
        <v>0</v>
      </c>
      <c r="BO2582" s="6">
        <f>0</f>
        <v>0</v>
      </c>
      <c r="BP2582" s="4" t="s">
        <v>256</v>
      </c>
      <c r="BQ2582" s="4" t="s">
        <v>257</v>
      </c>
      <c r="CE2582" s="4" t="s">
        <v>241</v>
      </c>
      <c r="CF2582" s="4" t="s">
        <v>241</v>
      </c>
      <c r="CJ2582" s="4" t="s">
        <v>276</v>
      </c>
      <c r="CK2582" s="4" t="s">
        <v>259</v>
      </c>
      <c r="CL2582" s="4" t="s">
        <v>241</v>
      </c>
      <c r="CO2582" s="5" t="s">
        <v>260</v>
      </c>
      <c r="CP2582" s="4" t="s">
        <v>241</v>
      </c>
      <c r="CQ2582" s="4" t="s">
        <v>261</v>
      </c>
      <c r="CR2582" s="4" t="s">
        <v>241</v>
      </c>
      <c r="CS2582" s="4" t="s">
        <v>241</v>
      </c>
      <c r="CT2582" s="4">
        <v>0</v>
      </c>
      <c r="CU2582" s="4" t="s">
        <v>262</v>
      </c>
      <c r="CV2582" s="4" t="s">
        <v>263</v>
      </c>
      <c r="CW2582" s="4" t="s">
        <v>263</v>
      </c>
      <c r="CX2582" s="4" t="s">
        <v>264</v>
      </c>
      <c r="DA2582" s="6">
        <f>1</f>
        <v>1</v>
      </c>
      <c r="DC2582" s="4" t="s">
        <v>325</v>
      </c>
      <c r="DD2582" s="4" t="s">
        <v>241</v>
      </c>
      <c r="DF2582" s="4" t="s">
        <v>325</v>
      </c>
      <c r="DG2582" s="6">
        <f>1488</f>
        <v>1488</v>
      </c>
      <c r="DI2582" s="4" t="s">
        <v>241</v>
      </c>
      <c r="DJ2582" s="4" t="s">
        <v>241</v>
      </c>
      <c r="DK2582" s="4" t="s">
        <v>241</v>
      </c>
      <c r="DL2582" s="4" t="s">
        <v>241</v>
      </c>
      <c r="DP2582" s="4" t="s">
        <v>241</v>
      </c>
      <c r="DQ2582" s="4" t="s">
        <v>241</v>
      </c>
      <c r="DR2582" s="4" t="s">
        <v>241</v>
      </c>
      <c r="DS2582" s="4" t="s">
        <v>241</v>
      </c>
      <c r="DV2582" s="4" t="s">
        <v>426</v>
      </c>
      <c r="DW2582" s="4" t="s">
        <v>2731</v>
      </c>
      <c r="HO2582" s="4" t="s">
        <v>267</v>
      </c>
    </row>
    <row r="2583" spans="1:223" ht="19.5" customHeight="1" x14ac:dyDescent="0.4">
      <c r="A2583" s="4">
        <v>1</v>
      </c>
      <c r="B2583" s="4" t="s">
        <v>239</v>
      </c>
      <c r="C2583" s="4">
        <v>4286</v>
      </c>
      <c r="D2583" s="4">
        <v>1</v>
      </c>
      <c r="E2583" s="4">
        <v>1</v>
      </c>
      <c r="F2583" s="4" t="s">
        <v>268</v>
      </c>
      <c r="G2583" s="4" t="s">
        <v>241</v>
      </c>
      <c r="H2583" s="4" t="s">
        <v>241</v>
      </c>
      <c r="I2583" s="4" t="s">
        <v>424</v>
      </c>
      <c r="J2583" s="4" t="s">
        <v>274</v>
      </c>
      <c r="K2583" s="4" t="s">
        <v>251</v>
      </c>
      <c r="L2583" s="4" t="s">
        <v>423</v>
      </c>
      <c r="M2583" s="5" t="s">
        <v>3969</v>
      </c>
      <c r="N2583" s="6">
        <f>382</f>
        <v>382</v>
      </c>
      <c r="O2583" s="4" t="s">
        <v>265</v>
      </c>
      <c r="P2583" s="6">
        <f>1</f>
        <v>1</v>
      </c>
      <c r="Q2583" s="6">
        <f>0</f>
        <v>0</v>
      </c>
      <c r="S2583" s="6">
        <f>0</f>
        <v>0</v>
      </c>
      <c r="T2583" s="6">
        <f>1</f>
        <v>1</v>
      </c>
      <c r="U2583" s="5" t="s">
        <v>245</v>
      </c>
      <c r="V2583" s="4" t="s">
        <v>270</v>
      </c>
      <c r="W2583" s="4" t="s">
        <v>271</v>
      </c>
      <c r="X2583" s="4" t="s">
        <v>273</v>
      </c>
      <c r="Y2583" s="4" t="s">
        <v>241</v>
      </c>
      <c r="AB2583" s="4" t="s">
        <v>241</v>
      </c>
      <c r="AD2583" s="5" t="s">
        <v>241</v>
      </c>
      <c r="AG2583" s="5" t="s">
        <v>246</v>
      </c>
      <c r="AH2583" s="4" t="s">
        <v>241</v>
      </c>
      <c r="AI2583" s="4" t="s">
        <v>247</v>
      </c>
      <c r="AJ2583" s="4" t="s">
        <v>248</v>
      </c>
      <c r="AZ2583" s="4" t="s">
        <v>249</v>
      </c>
      <c r="BA2583" s="4" t="s">
        <v>241</v>
      </c>
      <c r="BB2583" s="4" t="s">
        <v>250</v>
      </c>
      <c r="BC2583" s="4" t="s">
        <v>241</v>
      </c>
      <c r="BD2583" s="4" t="s">
        <v>252</v>
      </c>
      <c r="BE2583" s="4" t="s">
        <v>241</v>
      </c>
      <c r="BI2583" s="4" t="s">
        <v>253</v>
      </c>
      <c r="BJ2583" s="5" t="s">
        <v>246</v>
      </c>
      <c r="BK2583" s="4" t="s">
        <v>254</v>
      </c>
      <c r="BL2583" s="4" t="s">
        <v>255</v>
      </c>
      <c r="BM2583" s="4" t="s">
        <v>241</v>
      </c>
      <c r="BN2583" s="6">
        <f>0</f>
        <v>0</v>
      </c>
      <c r="BO2583" s="6">
        <f>0</f>
        <v>0</v>
      </c>
      <c r="BP2583" s="4" t="s">
        <v>256</v>
      </c>
      <c r="BQ2583" s="4" t="s">
        <v>257</v>
      </c>
      <c r="CE2583" s="4" t="s">
        <v>241</v>
      </c>
      <c r="CF2583" s="4" t="s">
        <v>241</v>
      </c>
      <c r="CJ2583" s="4" t="s">
        <v>276</v>
      </c>
      <c r="CK2583" s="4" t="s">
        <v>259</v>
      </c>
      <c r="CL2583" s="4" t="s">
        <v>241</v>
      </c>
      <c r="CO2583" s="5" t="s">
        <v>260</v>
      </c>
      <c r="CP2583" s="4" t="s">
        <v>241</v>
      </c>
      <c r="CQ2583" s="4" t="s">
        <v>261</v>
      </c>
      <c r="CR2583" s="4" t="s">
        <v>241</v>
      </c>
      <c r="CS2583" s="4" t="s">
        <v>241</v>
      </c>
      <c r="CT2583" s="4">
        <v>0</v>
      </c>
      <c r="CU2583" s="4" t="s">
        <v>262</v>
      </c>
      <c r="CV2583" s="4" t="s">
        <v>263</v>
      </c>
      <c r="CW2583" s="4" t="s">
        <v>263</v>
      </c>
      <c r="CX2583" s="4" t="s">
        <v>264</v>
      </c>
      <c r="DA2583" s="6">
        <f>1</f>
        <v>1</v>
      </c>
      <c r="DC2583" s="4" t="s">
        <v>325</v>
      </c>
      <c r="DD2583" s="4" t="s">
        <v>241</v>
      </c>
      <c r="DF2583" s="4" t="s">
        <v>325</v>
      </c>
      <c r="DG2583" s="6">
        <f>382</f>
        <v>382</v>
      </c>
      <c r="DI2583" s="4" t="s">
        <v>241</v>
      </c>
      <c r="DJ2583" s="4" t="s">
        <v>241</v>
      </c>
      <c r="DK2583" s="4" t="s">
        <v>241</v>
      </c>
      <c r="DL2583" s="4" t="s">
        <v>241</v>
      </c>
      <c r="DP2583" s="4" t="s">
        <v>241</v>
      </c>
      <c r="DQ2583" s="4" t="s">
        <v>241</v>
      </c>
      <c r="DR2583" s="4" t="s">
        <v>241</v>
      </c>
      <c r="DS2583" s="4" t="s">
        <v>241</v>
      </c>
      <c r="DV2583" s="4" t="s">
        <v>426</v>
      </c>
      <c r="DW2583" s="4" t="s">
        <v>2729</v>
      </c>
      <c r="HO2583" s="4" t="s">
        <v>267</v>
      </c>
    </row>
    <row r="2584" spans="1:223" ht="19.5" customHeight="1" x14ac:dyDescent="0.4">
      <c r="A2584" s="4">
        <v>1</v>
      </c>
      <c r="B2584" s="4" t="s">
        <v>239</v>
      </c>
      <c r="C2584" s="4">
        <v>4287</v>
      </c>
      <c r="D2584" s="4">
        <v>1</v>
      </c>
      <c r="E2584" s="4">
        <v>1</v>
      </c>
      <c r="F2584" s="4" t="s">
        <v>268</v>
      </c>
      <c r="G2584" s="4" t="s">
        <v>241</v>
      </c>
      <c r="H2584" s="4" t="s">
        <v>241</v>
      </c>
      <c r="I2584" s="4" t="s">
        <v>424</v>
      </c>
      <c r="J2584" s="4" t="s">
        <v>274</v>
      </c>
      <c r="K2584" s="4" t="s">
        <v>251</v>
      </c>
      <c r="L2584" s="4" t="s">
        <v>423</v>
      </c>
      <c r="M2584" s="5" t="s">
        <v>3974</v>
      </c>
      <c r="N2584" s="6">
        <f>58</f>
        <v>58</v>
      </c>
      <c r="O2584" s="4" t="s">
        <v>265</v>
      </c>
      <c r="P2584" s="6">
        <f>1</f>
        <v>1</v>
      </c>
      <c r="Q2584" s="6">
        <f>0</f>
        <v>0</v>
      </c>
      <c r="S2584" s="6">
        <f>0</f>
        <v>0</v>
      </c>
      <c r="T2584" s="6">
        <f>1</f>
        <v>1</v>
      </c>
      <c r="U2584" s="5" t="s">
        <v>245</v>
      </c>
      <c r="V2584" s="4" t="s">
        <v>270</v>
      </c>
      <c r="W2584" s="4" t="s">
        <v>271</v>
      </c>
      <c r="X2584" s="4" t="s">
        <v>273</v>
      </c>
      <c r="Y2584" s="4" t="s">
        <v>241</v>
      </c>
      <c r="AB2584" s="4" t="s">
        <v>241</v>
      </c>
      <c r="AD2584" s="5" t="s">
        <v>241</v>
      </c>
      <c r="AG2584" s="5" t="s">
        <v>246</v>
      </c>
      <c r="AH2584" s="4" t="s">
        <v>241</v>
      </c>
      <c r="AI2584" s="4" t="s">
        <v>247</v>
      </c>
      <c r="AJ2584" s="4" t="s">
        <v>248</v>
      </c>
      <c r="AZ2584" s="4" t="s">
        <v>249</v>
      </c>
      <c r="BA2584" s="4" t="s">
        <v>241</v>
      </c>
      <c r="BB2584" s="4" t="s">
        <v>250</v>
      </c>
      <c r="BC2584" s="4" t="s">
        <v>241</v>
      </c>
      <c r="BD2584" s="4" t="s">
        <v>252</v>
      </c>
      <c r="BE2584" s="4" t="s">
        <v>241</v>
      </c>
      <c r="BI2584" s="4" t="s">
        <v>253</v>
      </c>
      <c r="BJ2584" s="5" t="s">
        <v>246</v>
      </c>
      <c r="BK2584" s="4" t="s">
        <v>254</v>
      </c>
      <c r="BL2584" s="4" t="s">
        <v>255</v>
      </c>
      <c r="BM2584" s="4" t="s">
        <v>241</v>
      </c>
      <c r="BN2584" s="6">
        <f>0</f>
        <v>0</v>
      </c>
      <c r="BO2584" s="6">
        <f>0</f>
        <v>0</v>
      </c>
      <c r="BP2584" s="4" t="s">
        <v>256</v>
      </c>
      <c r="BQ2584" s="4" t="s">
        <v>257</v>
      </c>
      <c r="CE2584" s="4" t="s">
        <v>241</v>
      </c>
      <c r="CF2584" s="4" t="s">
        <v>241</v>
      </c>
      <c r="CJ2584" s="4" t="s">
        <v>276</v>
      </c>
      <c r="CK2584" s="4" t="s">
        <v>259</v>
      </c>
      <c r="CL2584" s="4" t="s">
        <v>241</v>
      </c>
      <c r="CO2584" s="5" t="s">
        <v>260</v>
      </c>
      <c r="CP2584" s="4" t="s">
        <v>241</v>
      </c>
      <c r="CQ2584" s="4" t="s">
        <v>261</v>
      </c>
      <c r="CR2584" s="4" t="s">
        <v>241</v>
      </c>
      <c r="CS2584" s="4" t="s">
        <v>241</v>
      </c>
      <c r="CT2584" s="4">
        <v>0</v>
      </c>
      <c r="CU2584" s="4" t="s">
        <v>262</v>
      </c>
      <c r="CV2584" s="4" t="s">
        <v>263</v>
      </c>
      <c r="CW2584" s="4" t="s">
        <v>263</v>
      </c>
      <c r="CX2584" s="4" t="s">
        <v>264</v>
      </c>
      <c r="DA2584" s="6">
        <f>1</f>
        <v>1</v>
      </c>
      <c r="DC2584" s="4" t="s">
        <v>325</v>
      </c>
      <c r="DD2584" s="4" t="s">
        <v>241</v>
      </c>
      <c r="DF2584" s="4" t="s">
        <v>325</v>
      </c>
      <c r="DG2584" s="6">
        <f>58</f>
        <v>58</v>
      </c>
      <c r="DI2584" s="4" t="s">
        <v>241</v>
      </c>
      <c r="DJ2584" s="4" t="s">
        <v>241</v>
      </c>
      <c r="DK2584" s="4" t="s">
        <v>241</v>
      </c>
      <c r="DL2584" s="4" t="s">
        <v>241</v>
      </c>
      <c r="DP2584" s="4" t="s">
        <v>241</v>
      </c>
      <c r="DQ2584" s="4" t="s">
        <v>241</v>
      </c>
      <c r="DR2584" s="4" t="s">
        <v>241</v>
      </c>
      <c r="DS2584" s="4" t="s">
        <v>241</v>
      </c>
      <c r="DV2584" s="4" t="s">
        <v>426</v>
      </c>
      <c r="DW2584" s="4" t="s">
        <v>2727</v>
      </c>
      <c r="HO2584" s="4" t="s">
        <v>267</v>
      </c>
    </row>
    <row r="2585" spans="1:223" ht="19.5" customHeight="1" x14ac:dyDescent="0.4">
      <c r="A2585" s="4">
        <v>1</v>
      </c>
      <c r="B2585" s="4" t="s">
        <v>239</v>
      </c>
      <c r="C2585" s="4">
        <v>4288</v>
      </c>
      <c r="D2585" s="4">
        <v>1</v>
      </c>
      <c r="E2585" s="4">
        <v>1</v>
      </c>
      <c r="F2585" s="4" t="s">
        <v>268</v>
      </c>
      <c r="G2585" s="4" t="s">
        <v>241</v>
      </c>
      <c r="H2585" s="4" t="s">
        <v>241</v>
      </c>
      <c r="I2585" s="4" t="s">
        <v>424</v>
      </c>
      <c r="J2585" s="4" t="s">
        <v>274</v>
      </c>
      <c r="K2585" s="4" t="s">
        <v>251</v>
      </c>
      <c r="L2585" s="4" t="s">
        <v>269</v>
      </c>
      <c r="M2585" s="5" t="s">
        <v>4918</v>
      </c>
      <c r="N2585" s="6">
        <f>1617</f>
        <v>1617</v>
      </c>
      <c r="O2585" s="4" t="s">
        <v>265</v>
      </c>
      <c r="P2585" s="6">
        <f>1</f>
        <v>1</v>
      </c>
      <c r="Q2585" s="6">
        <f>0</f>
        <v>0</v>
      </c>
      <c r="S2585" s="6">
        <f>0</f>
        <v>0</v>
      </c>
      <c r="T2585" s="6">
        <f>1</f>
        <v>1</v>
      </c>
      <c r="U2585" s="5" t="s">
        <v>245</v>
      </c>
      <c r="V2585" s="4" t="s">
        <v>270</v>
      </c>
      <c r="W2585" s="4" t="s">
        <v>271</v>
      </c>
      <c r="X2585" s="4" t="s">
        <v>273</v>
      </c>
      <c r="Y2585" s="4" t="s">
        <v>241</v>
      </c>
      <c r="AB2585" s="4" t="s">
        <v>241</v>
      </c>
      <c r="AD2585" s="5" t="s">
        <v>241</v>
      </c>
      <c r="AG2585" s="5" t="s">
        <v>246</v>
      </c>
      <c r="AH2585" s="4" t="s">
        <v>241</v>
      </c>
      <c r="AI2585" s="4" t="s">
        <v>247</v>
      </c>
      <c r="AJ2585" s="4" t="s">
        <v>248</v>
      </c>
      <c r="AZ2585" s="4" t="s">
        <v>249</v>
      </c>
      <c r="BA2585" s="4" t="s">
        <v>241</v>
      </c>
      <c r="BB2585" s="4" t="s">
        <v>250</v>
      </c>
      <c r="BC2585" s="4" t="s">
        <v>241</v>
      </c>
      <c r="BD2585" s="4" t="s">
        <v>252</v>
      </c>
      <c r="BE2585" s="4" t="s">
        <v>241</v>
      </c>
      <c r="BI2585" s="4" t="s">
        <v>253</v>
      </c>
      <c r="BJ2585" s="5" t="s">
        <v>246</v>
      </c>
      <c r="BK2585" s="4" t="s">
        <v>254</v>
      </c>
      <c r="BL2585" s="4" t="s">
        <v>255</v>
      </c>
      <c r="BM2585" s="4" t="s">
        <v>241</v>
      </c>
      <c r="BN2585" s="6">
        <f>0</f>
        <v>0</v>
      </c>
      <c r="BO2585" s="6">
        <f>0</f>
        <v>0</v>
      </c>
      <c r="BP2585" s="4" t="s">
        <v>256</v>
      </c>
      <c r="BQ2585" s="4" t="s">
        <v>257</v>
      </c>
      <c r="CE2585" s="4" t="s">
        <v>241</v>
      </c>
      <c r="CF2585" s="4" t="s">
        <v>241</v>
      </c>
      <c r="CJ2585" s="4" t="s">
        <v>276</v>
      </c>
      <c r="CK2585" s="4" t="s">
        <v>259</v>
      </c>
      <c r="CL2585" s="4" t="s">
        <v>241</v>
      </c>
      <c r="CO2585" s="5" t="s">
        <v>260</v>
      </c>
      <c r="CP2585" s="4" t="s">
        <v>241</v>
      </c>
      <c r="CQ2585" s="4" t="s">
        <v>261</v>
      </c>
      <c r="CR2585" s="4" t="s">
        <v>241</v>
      </c>
      <c r="CS2585" s="4" t="s">
        <v>241</v>
      </c>
      <c r="CT2585" s="4">
        <v>0</v>
      </c>
      <c r="CU2585" s="4" t="s">
        <v>262</v>
      </c>
      <c r="CV2585" s="4" t="s">
        <v>263</v>
      </c>
      <c r="CW2585" s="4" t="s">
        <v>263</v>
      </c>
      <c r="CX2585" s="4" t="s">
        <v>264</v>
      </c>
      <c r="DA2585" s="6">
        <f>1</f>
        <v>1</v>
      </c>
      <c r="DC2585" s="4" t="s">
        <v>325</v>
      </c>
      <c r="DD2585" s="4" t="s">
        <v>241</v>
      </c>
      <c r="DF2585" s="4" t="s">
        <v>325</v>
      </c>
      <c r="DG2585" s="6">
        <f>1617</f>
        <v>1617</v>
      </c>
      <c r="DI2585" s="4" t="s">
        <v>241</v>
      </c>
      <c r="DJ2585" s="4" t="s">
        <v>241</v>
      </c>
      <c r="DK2585" s="4" t="s">
        <v>241</v>
      </c>
      <c r="DL2585" s="4" t="s">
        <v>241</v>
      </c>
      <c r="DP2585" s="4" t="s">
        <v>241</v>
      </c>
      <c r="DQ2585" s="4" t="s">
        <v>241</v>
      </c>
      <c r="DR2585" s="4" t="s">
        <v>241</v>
      </c>
      <c r="DS2585" s="4" t="s">
        <v>241</v>
      </c>
      <c r="DV2585" s="4" t="s">
        <v>426</v>
      </c>
      <c r="DW2585" s="4" t="s">
        <v>2725</v>
      </c>
      <c r="HO2585" s="4" t="s">
        <v>267</v>
      </c>
    </row>
    <row r="2586" spans="1:223" ht="19.5" customHeight="1" x14ac:dyDescent="0.4">
      <c r="A2586" s="4">
        <v>1</v>
      </c>
      <c r="B2586" s="4" t="s">
        <v>239</v>
      </c>
      <c r="C2586" s="4">
        <v>4289</v>
      </c>
      <c r="D2586" s="4">
        <v>1</v>
      </c>
      <c r="E2586" s="4">
        <v>1</v>
      </c>
      <c r="F2586" s="4" t="s">
        <v>268</v>
      </c>
      <c r="G2586" s="4" t="s">
        <v>241</v>
      </c>
      <c r="H2586" s="4" t="s">
        <v>241</v>
      </c>
      <c r="I2586" s="4" t="s">
        <v>424</v>
      </c>
      <c r="J2586" s="4" t="s">
        <v>274</v>
      </c>
      <c r="K2586" s="4" t="s">
        <v>251</v>
      </c>
      <c r="L2586" s="4" t="s">
        <v>423</v>
      </c>
      <c r="M2586" s="5" t="s">
        <v>3980</v>
      </c>
      <c r="N2586" s="6">
        <f>241</f>
        <v>241</v>
      </c>
      <c r="O2586" s="4" t="s">
        <v>265</v>
      </c>
      <c r="P2586" s="6">
        <f>1</f>
        <v>1</v>
      </c>
      <c r="Q2586" s="6">
        <f>0</f>
        <v>0</v>
      </c>
      <c r="S2586" s="6">
        <f>0</f>
        <v>0</v>
      </c>
      <c r="T2586" s="6">
        <f>1</f>
        <v>1</v>
      </c>
      <c r="U2586" s="5" t="s">
        <v>245</v>
      </c>
      <c r="V2586" s="4" t="s">
        <v>270</v>
      </c>
      <c r="W2586" s="4" t="s">
        <v>271</v>
      </c>
      <c r="X2586" s="4" t="s">
        <v>273</v>
      </c>
      <c r="Y2586" s="4" t="s">
        <v>241</v>
      </c>
      <c r="AB2586" s="4" t="s">
        <v>241</v>
      </c>
      <c r="AD2586" s="5" t="s">
        <v>241</v>
      </c>
      <c r="AG2586" s="5" t="s">
        <v>246</v>
      </c>
      <c r="AH2586" s="4" t="s">
        <v>241</v>
      </c>
      <c r="AI2586" s="4" t="s">
        <v>247</v>
      </c>
      <c r="AJ2586" s="4" t="s">
        <v>248</v>
      </c>
      <c r="AZ2586" s="4" t="s">
        <v>249</v>
      </c>
      <c r="BA2586" s="4" t="s">
        <v>241</v>
      </c>
      <c r="BB2586" s="4" t="s">
        <v>250</v>
      </c>
      <c r="BC2586" s="4" t="s">
        <v>241</v>
      </c>
      <c r="BD2586" s="4" t="s">
        <v>252</v>
      </c>
      <c r="BE2586" s="4" t="s">
        <v>241</v>
      </c>
      <c r="BI2586" s="4" t="s">
        <v>253</v>
      </c>
      <c r="BJ2586" s="5" t="s">
        <v>246</v>
      </c>
      <c r="BK2586" s="4" t="s">
        <v>254</v>
      </c>
      <c r="BL2586" s="4" t="s">
        <v>255</v>
      </c>
      <c r="BM2586" s="4" t="s">
        <v>241</v>
      </c>
      <c r="BN2586" s="6">
        <f>0</f>
        <v>0</v>
      </c>
      <c r="BO2586" s="6">
        <f>0</f>
        <v>0</v>
      </c>
      <c r="BP2586" s="4" t="s">
        <v>256</v>
      </c>
      <c r="BQ2586" s="4" t="s">
        <v>257</v>
      </c>
      <c r="CE2586" s="4" t="s">
        <v>241</v>
      </c>
      <c r="CF2586" s="4" t="s">
        <v>241</v>
      </c>
      <c r="CJ2586" s="4" t="s">
        <v>276</v>
      </c>
      <c r="CK2586" s="4" t="s">
        <v>259</v>
      </c>
      <c r="CL2586" s="4" t="s">
        <v>241</v>
      </c>
      <c r="CO2586" s="5" t="s">
        <v>260</v>
      </c>
      <c r="CP2586" s="4" t="s">
        <v>241</v>
      </c>
      <c r="CQ2586" s="4" t="s">
        <v>261</v>
      </c>
      <c r="CR2586" s="4" t="s">
        <v>241</v>
      </c>
      <c r="CS2586" s="4" t="s">
        <v>241</v>
      </c>
      <c r="CT2586" s="4">
        <v>0</v>
      </c>
      <c r="CU2586" s="4" t="s">
        <v>262</v>
      </c>
      <c r="CV2586" s="4" t="s">
        <v>263</v>
      </c>
      <c r="CW2586" s="4" t="s">
        <v>263</v>
      </c>
      <c r="CX2586" s="4" t="s">
        <v>264</v>
      </c>
      <c r="DA2586" s="6">
        <f>1</f>
        <v>1</v>
      </c>
      <c r="DC2586" s="4" t="s">
        <v>325</v>
      </c>
      <c r="DD2586" s="4" t="s">
        <v>241</v>
      </c>
      <c r="DF2586" s="4" t="s">
        <v>325</v>
      </c>
      <c r="DG2586" s="6">
        <f>241</f>
        <v>241</v>
      </c>
      <c r="DI2586" s="4" t="s">
        <v>241</v>
      </c>
      <c r="DJ2586" s="4" t="s">
        <v>241</v>
      </c>
      <c r="DK2586" s="4" t="s">
        <v>241</v>
      </c>
      <c r="DL2586" s="4" t="s">
        <v>241</v>
      </c>
      <c r="DP2586" s="4" t="s">
        <v>241</v>
      </c>
      <c r="DQ2586" s="4" t="s">
        <v>241</v>
      </c>
      <c r="DR2586" s="4" t="s">
        <v>241</v>
      </c>
      <c r="DS2586" s="4" t="s">
        <v>241</v>
      </c>
      <c r="DV2586" s="4" t="s">
        <v>426</v>
      </c>
      <c r="DW2586" s="4" t="s">
        <v>2723</v>
      </c>
      <c r="HO2586" s="4" t="s">
        <v>267</v>
      </c>
    </row>
    <row r="2587" spans="1:223" ht="19.5" customHeight="1" x14ac:dyDescent="0.4">
      <c r="A2587" s="4">
        <v>1</v>
      </c>
      <c r="B2587" s="4" t="s">
        <v>239</v>
      </c>
      <c r="C2587" s="4">
        <v>4290</v>
      </c>
      <c r="D2587" s="4">
        <v>1</v>
      </c>
      <c r="E2587" s="4">
        <v>1</v>
      </c>
      <c r="F2587" s="4" t="s">
        <v>268</v>
      </c>
      <c r="G2587" s="4" t="s">
        <v>241</v>
      </c>
      <c r="H2587" s="4" t="s">
        <v>241</v>
      </c>
      <c r="I2587" s="4" t="s">
        <v>424</v>
      </c>
      <c r="J2587" s="4" t="s">
        <v>274</v>
      </c>
      <c r="K2587" s="4" t="s">
        <v>251</v>
      </c>
      <c r="L2587" s="4" t="s">
        <v>423</v>
      </c>
      <c r="M2587" s="5" t="s">
        <v>3985</v>
      </c>
      <c r="N2587" s="6">
        <f>90</f>
        <v>90</v>
      </c>
      <c r="O2587" s="4" t="s">
        <v>265</v>
      </c>
      <c r="P2587" s="6">
        <f>1</f>
        <v>1</v>
      </c>
      <c r="Q2587" s="6">
        <f>0</f>
        <v>0</v>
      </c>
      <c r="S2587" s="6">
        <f>0</f>
        <v>0</v>
      </c>
      <c r="T2587" s="6">
        <f>1</f>
        <v>1</v>
      </c>
      <c r="U2587" s="5" t="s">
        <v>245</v>
      </c>
      <c r="V2587" s="4" t="s">
        <v>270</v>
      </c>
      <c r="W2587" s="4" t="s">
        <v>271</v>
      </c>
      <c r="X2587" s="4" t="s">
        <v>273</v>
      </c>
      <c r="Y2587" s="4" t="s">
        <v>241</v>
      </c>
      <c r="AB2587" s="4" t="s">
        <v>241</v>
      </c>
      <c r="AD2587" s="5" t="s">
        <v>241</v>
      </c>
      <c r="AG2587" s="5" t="s">
        <v>246</v>
      </c>
      <c r="AH2587" s="4" t="s">
        <v>241</v>
      </c>
      <c r="AI2587" s="4" t="s">
        <v>247</v>
      </c>
      <c r="AJ2587" s="4" t="s">
        <v>248</v>
      </c>
      <c r="AZ2587" s="4" t="s">
        <v>249</v>
      </c>
      <c r="BA2587" s="4" t="s">
        <v>241</v>
      </c>
      <c r="BB2587" s="4" t="s">
        <v>250</v>
      </c>
      <c r="BC2587" s="4" t="s">
        <v>241</v>
      </c>
      <c r="BD2587" s="4" t="s">
        <v>252</v>
      </c>
      <c r="BE2587" s="4" t="s">
        <v>241</v>
      </c>
      <c r="BI2587" s="4" t="s">
        <v>253</v>
      </c>
      <c r="BJ2587" s="5" t="s">
        <v>246</v>
      </c>
      <c r="BK2587" s="4" t="s">
        <v>254</v>
      </c>
      <c r="BL2587" s="4" t="s">
        <v>255</v>
      </c>
      <c r="BM2587" s="4" t="s">
        <v>241</v>
      </c>
      <c r="BN2587" s="6">
        <f>0</f>
        <v>0</v>
      </c>
      <c r="BO2587" s="6">
        <f>0</f>
        <v>0</v>
      </c>
      <c r="BP2587" s="4" t="s">
        <v>256</v>
      </c>
      <c r="BQ2587" s="4" t="s">
        <v>257</v>
      </c>
      <c r="CE2587" s="4" t="s">
        <v>241</v>
      </c>
      <c r="CF2587" s="4" t="s">
        <v>241</v>
      </c>
      <c r="CJ2587" s="4" t="s">
        <v>276</v>
      </c>
      <c r="CK2587" s="4" t="s">
        <v>259</v>
      </c>
      <c r="CL2587" s="4" t="s">
        <v>241</v>
      </c>
      <c r="CO2587" s="5" t="s">
        <v>260</v>
      </c>
      <c r="CP2587" s="4" t="s">
        <v>241</v>
      </c>
      <c r="CQ2587" s="4" t="s">
        <v>261</v>
      </c>
      <c r="CR2587" s="4" t="s">
        <v>241</v>
      </c>
      <c r="CS2587" s="4" t="s">
        <v>241</v>
      </c>
      <c r="CT2587" s="4">
        <v>0</v>
      </c>
      <c r="CU2587" s="4" t="s">
        <v>262</v>
      </c>
      <c r="CV2587" s="4" t="s">
        <v>263</v>
      </c>
      <c r="CW2587" s="4" t="s">
        <v>263</v>
      </c>
      <c r="CX2587" s="4" t="s">
        <v>264</v>
      </c>
      <c r="DA2587" s="6">
        <f>1</f>
        <v>1</v>
      </c>
      <c r="DC2587" s="4" t="s">
        <v>325</v>
      </c>
      <c r="DD2587" s="4" t="s">
        <v>241</v>
      </c>
      <c r="DF2587" s="4" t="s">
        <v>325</v>
      </c>
      <c r="DG2587" s="6">
        <f>90</f>
        <v>90</v>
      </c>
      <c r="DI2587" s="4" t="s">
        <v>241</v>
      </c>
      <c r="DJ2587" s="4" t="s">
        <v>241</v>
      </c>
      <c r="DK2587" s="4" t="s">
        <v>241</v>
      </c>
      <c r="DL2587" s="4" t="s">
        <v>241</v>
      </c>
      <c r="DP2587" s="4" t="s">
        <v>241</v>
      </c>
      <c r="DQ2587" s="4" t="s">
        <v>241</v>
      </c>
      <c r="DR2587" s="4" t="s">
        <v>241</v>
      </c>
      <c r="DS2587" s="4" t="s">
        <v>241</v>
      </c>
      <c r="DV2587" s="4" t="s">
        <v>426</v>
      </c>
      <c r="DW2587" s="4" t="s">
        <v>2721</v>
      </c>
      <c r="HO2587" s="4" t="s">
        <v>267</v>
      </c>
    </row>
    <row r="2588" spans="1:223" ht="19.5" customHeight="1" x14ac:dyDescent="0.4">
      <c r="A2588" s="4">
        <v>1</v>
      </c>
      <c r="B2588" s="4" t="s">
        <v>239</v>
      </c>
      <c r="C2588" s="4">
        <v>4291</v>
      </c>
      <c r="D2588" s="4">
        <v>1</v>
      </c>
      <c r="E2588" s="4">
        <v>1</v>
      </c>
      <c r="F2588" s="4" t="s">
        <v>268</v>
      </c>
      <c r="G2588" s="4" t="s">
        <v>241</v>
      </c>
      <c r="H2588" s="4" t="s">
        <v>241</v>
      </c>
      <c r="I2588" s="4" t="s">
        <v>424</v>
      </c>
      <c r="J2588" s="4" t="s">
        <v>274</v>
      </c>
      <c r="K2588" s="4" t="s">
        <v>251</v>
      </c>
      <c r="L2588" s="4" t="s">
        <v>423</v>
      </c>
      <c r="M2588" s="5" t="s">
        <v>3986</v>
      </c>
      <c r="N2588" s="6">
        <f>483</f>
        <v>483</v>
      </c>
      <c r="O2588" s="4" t="s">
        <v>265</v>
      </c>
      <c r="P2588" s="6">
        <f>1</f>
        <v>1</v>
      </c>
      <c r="Q2588" s="6">
        <f>0</f>
        <v>0</v>
      </c>
      <c r="S2588" s="6">
        <f>0</f>
        <v>0</v>
      </c>
      <c r="T2588" s="6">
        <f>1</f>
        <v>1</v>
      </c>
      <c r="U2588" s="5" t="s">
        <v>245</v>
      </c>
      <c r="V2588" s="4" t="s">
        <v>270</v>
      </c>
      <c r="W2588" s="4" t="s">
        <v>271</v>
      </c>
      <c r="X2588" s="4" t="s">
        <v>273</v>
      </c>
      <c r="Y2588" s="4" t="s">
        <v>241</v>
      </c>
      <c r="AB2588" s="4" t="s">
        <v>241</v>
      </c>
      <c r="AD2588" s="5" t="s">
        <v>241</v>
      </c>
      <c r="AG2588" s="5" t="s">
        <v>246</v>
      </c>
      <c r="AH2588" s="4" t="s">
        <v>241</v>
      </c>
      <c r="AI2588" s="4" t="s">
        <v>247</v>
      </c>
      <c r="AJ2588" s="4" t="s">
        <v>248</v>
      </c>
      <c r="AZ2588" s="4" t="s">
        <v>249</v>
      </c>
      <c r="BA2588" s="4" t="s">
        <v>241</v>
      </c>
      <c r="BB2588" s="4" t="s">
        <v>250</v>
      </c>
      <c r="BC2588" s="4" t="s">
        <v>241</v>
      </c>
      <c r="BD2588" s="4" t="s">
        <v>252</v>
      </c>
      <c r="BE2588" s="4" t="s">
        <v>241</v>
      </c>
      <c r="BI2588" s="4" t="s">
        <v>253</v>
      </c>
      <c r="BJ2588" s="5" t="s">
        <v>246</v>
      </c>
      <c r="BK2588" s="4" t="s">
        <v>254</v>
      </c>
      <c r="BL2588" s="4" t="s">
        <v>255</v>
      </c>
      <c r="BM2588" s="4" t="s">
        <v>241</v>
      </c>
      <c r="BN2588" s="6">
        <f>0</f>
        <v>0</v>
      </c>
      <c r="BO2588" s="6">
        <f>0</f>
        <v>0</v>
      </c>
      <c r="BP2588" s="4" t="s">
        <v>256</v>
      </c>
      <c r="BQ2588" s="4" t="s">
        <v>257</v>
      </c>
      <c r="CE2588" s="4" t="s">
        <v>241</v>
      </c>
      <c r="CF2588" s="4" t="s">
        <v>241</v>
      </c>
      <c r="CJ2588" s="4" t="s">
        <v>276</v>
      </c>
      <c r="CK2588" s="4" t="s">
        <v>259</v>
      </c>
      <c r="CL2588" s="4" t="s">
        <v>241</v>
      </c>
      <c r="CO2588" s="5" t="s">
        <v>260</v>
      </c>
      <c r="CP2588" s="4" t="s">
        <v>241</v>
      </c>
      <c r="CQ2588" s="4" t="s">
        <v>261</v>
      </c>
      <c r="CR2588" s="4" t="s">
        <v>241</v>
      </c>
      <c r="CS2588" s="4" t="s">
        <v>241</v>
      </c>
      <c r="CT2588" s="4">
        <v>0</v>
      </c>
      <c r="CU2588" s="4" t="s">
        <v>262</v>
      </c>
      <c r="CV2588" s="4" t="s">
        <v>263</v>
      </c>
      <c r="CW2588" s="4" t="s">
        <v>263</v>
      </c>
      <c r="CX2588" s="4" t="s">
        <v>264</v>
      </c>
      <c r="DA2588" s="6">
        <f>1</f>
        <v>1</v>
      </c>
      <c r="DC2588" s="4" t="s">
        <v>325</v>
      </c>
      <c r="DD2588" s="4" t="s">
        <v>241</v>
      </c>
      <c r="DF2588" s="4" t="s">
        <v>325</v>
      </c>
      <c r="DG2588" s="6">
        <f>483</f>
        <v>483</v>
      </c>
      <c r="DI2588" s="4" t="s">
        <v>241</v>
      </c>
      <c r="DJ2588" s="4" t="s">
        <v>241</v>
      </c>
      <c r="DK2588" s="4" t="s">
        <v>241</v>
      </c>
      <c r="DL2588" s="4" t="s">
        <v>241</v>
      </c>
      <c r="DP2588" s="4" t="s">
        <v>241</v>
      </c>
      <c r="DQ2588" s="4" t="s">
        <v>241</v>
      </c>
      <c r="DR2588" s="4" t="s">
        <v>241</v>
      </c>
      <c r="DS2588" s="4" t="s">
        <v>241</v>
      </c>
      <c r="DV2588" s="4" t="s">
        <v>426</v>
      </c>
      <c r="DW2588" s="4" t="s">
        <v>2719</v>
      </c>
      <c r="HO2588" s="4" t="s">
        <v>267</v>
      </c>
    </row>
    <row r="2589" spans="1:223" ht="19.5" customHeight="1" x14ac:dyDescent="0.4">
      <c r="A2589" s="4">
        <v>1</v>
      </c>
      <c r="B2589" s="4" t="s">
        <v>239</v>
      </c>
      <c r="C2589" s="4">
        <v>4292</v>
      </c>
      <c r="D2589" s="4">
        <v>1</v>
      </c>
      <c r="E2589" s="4">
        <v>1</v>
      </c>
      <c r="F2589" s="4" t="s">
        <v>268</v>
      </c>
      <c r="G2589" s="4" t="s">
        <v>241</v>
      </c>
      <c r="H2589" s="4" t="s">
        <v>241</v>
      </c>
      <c r="I2589" s="4" t="s">
        <v>424</v>
      </c>
      <c r="J2589" s="4" t="s">
        <v>274</v>
      </c>
      <c r="K2589" s="4" t="s">
        <v>251</v>
      </c>
      <c r="L2589" s="4" t="s">
        <v>423</v>
      </c>
      <c r="M2589" s="5" t="s">
        <v>3992</v>
      </c>
      <c r="N2589" s="6">
        <f>363</f>
        <v>363</v>
      </c>
      <c r="O2589" s="4" t="s">
        <v>265</v>
      </c>
      <c r="P2589" s="6">
        <f>1</f>
        <v>1</v>
      </c>
      <c r="Q2589" s="6">
        <f>0</f>
        <v>0</v>
      </c>
      <c r="S2589" s="6">
        <f>0</f>
        <v>0</v>
      </c>
      <c r="T2589" s="6">
        <f>1</f>
        <v>1</v>
      </c>
      <c r="U2589" s="5" t="s">
        <v>245</v>
      </c>
      <c r="V2589" s="4" t="s">
        <v>270</v>
      </c>
      <c r="W2589" s="4" t="s">
        <v>271</v>
      </c>
      <c r="X2589" s="4" t="s">
        <v>273</v>
      </c>
      <c r="Y2589" s="4" t="s">
        <v>241</v>
      </c>
      <c r="AB2589" s="4" t="s">
        <v>241</v>
      </c>
      <c r="AD2589" s="5" t="s">
        <v>241</v>
      </c>
      <c r="AG2589" s="5" t="s">
        <v>246</v>
      </c>
      <c r="AH2589" s="4" t="s">
        <v>241</v>
      </c>
      <c r="AI2589" s="4" t="s">
        <v>247</v>
      </c>
      <c r="AJ2589" s="4" t="s">
        <v>248</v>
      </c>
      <c r="AZ2589" s="4" t="s">
        <v>249</v>
      </c>
      <c r="BA2589" s="4" t="s">
        <v>241</v>
      </c>
      <c r="BB2589" s="4" t="s">
        <v>250</v>
      </c>
      <c r="BC2589" s="4" t="s">
        <v>241</v>
      </c>
      <c r="BD2589" s="4" t="s">
        <v>252</v>
      </c>
      <c r="BE2589" s="4" t="s">
        <v>241</v>
      </c>
      <c r="BI2589" s="4" t="s">
        <v>253</v>
      </c>
      <c r="BJ2589" s="5" t="s">
        <v>246</v>
      </c>
      <c r="BK2589" s="4" t="s">
        <v>254</v>
      </c>
      <c r="BL2589" s="4" t="s">
        <v>255</v>
      </c>
      <c r="BM2589" s="4" t="s">
        <v>241</v>
      </c>
      <c r="BN2589" s="6">
        <f>0</f>
        <v>0</v>
      </c>
      <c r="BO2589" s="6">
        <f>0</f>
        <v>0</v>
      </c>
      <c r="BP2589" s="4" t="s">
        <v>256</v>
      </c>
      <c r="BQ2589" s="4" t="s">
        <v>257</v>
      </c>
      <c r="CE2589" s="4" t="s">
        <v>241</v>
      </c>
      <c r="CF2589" s="4" t="s">
        <v>241</v>
      </c>
      <c r="CJ2589" s="4" t="s">
        <v>276</v>
      </c>
      <c r="CK2589" s="4" t="s">
        <v>259</v>
      </c>
      <c r="CL2589" s="4" t="s">
        <v>241</v>
      </c>
      <c r="CO2589" s="5" t="s">
        <v>260</v>
      </c>
      <c r="CP2589" s="4" t="s">
        <v>241</v>
      </c>
      <c r="CQ2589" s="4" t="s">
        <v>261</v>
      </c>
      <c r="CR2589" s="4" t="s">
        <v>241</v>
      </c>
      <c r="CS2589" s="4" t="s">
        <v>241</v>
      </c>
      <c r="CT2589" s="4">
        <v>0</v>
      </c>
      <c r="CU2589" s="4" t="s">
        <v>262</v>
      </c>
      <c r="CV2589" s="4" t="s">
        <v>263</v>
      </c>
      <c r="CW2589" s="4" t="s">
        <v>263</v>
      </c>
      <c r="CX2589" s="4" t="s">
        <v>264</v>
      </c>
      <c r="DA2589" s="6">
        <f>1</f>
        <v>1</v>
      </c>
      <c r="DC2589" s="4" t="s">
        <v>325</v>
      </c>
      <c r="DD2589" s="4" t="s">
        <v>241</v>
      </c>
      <c r="DF2589" s="4" t="s">
        <v>325</v>
      </c>
      <c r="DG2589" s="6">
        <f>363</f>
        <v>363</v>
      </c>
      <c r="DI2589" s="4" t="s">
        <v>241</v>
      </c>
      <c r="DJ2589" s="4" t="s">
        <v>241</v>
      </c>
      <c r="DK2589" s="4" t="s">
        <v>241</v>
      </c>
      <c r="DL2589" s="4" t="s">
        <v>241</v>
      </c>
      <c r="DP2589" s="4" t="s">
        <v>241</v>
      </c>
      <c r="DQ2589" s="4" t="s">
        <v>241</v>
      </c>
      <c r="DR2589" s="4" t="s">
        <v>241</v>
      </c>
      <c r="DS2589" s="4" t="s">
        <v>241</v>
      </c>
      <c r="DV2589" s="4" t="s">
        <v>426</v>
      </c>
      <c r="DW2589" s="4" t="s">
        <v>2715</v>
      </c>
      <c r="HO2589" s="4" t="s">
        <v>267</v>
      </c>
    </row>
    <row r="2590" spans="1:223" ht="19.5" customHeight="1" x14ac:dyDescent="0.4">
      <c r="A2590" s="4">
        <v>1</v>
      </c>
      <c r="B2590" s="4" t="s">
        <v>239</v>
      </c>
      <c r="C2590" s="4">
        <v>4293</v>
      </c>
      <c r="D2590" s="4">
        <v>1</v>
      </c>
      <c r="E2590" s="4">
        <v>1</v>
      </c>
      <c r="F2590" s="4" t="s">
        <v>268</v>
      </c>
      <c r="G2590" s="4" t="s">
        <v>241</v>
      </c>
      <c r="H2590" s="4" t="s">
        <v>241</v>
      </c>
      <c r="I2590" s="4" t="s">
        <v>424</v>
      </c>
      <c r="J2590" s="4" t="s">
        <v>274</v>
      </c>
      <c r="K2590" s="4" t="s">
        <v>251</v>
      </c>
      <c r="L2590" s="4" t="s">
        <v>423</v>
      </c>
      <c r="M2590" s="5" t="s">
        <v>3995</v>
      </c>
      <c r="N2590" s="6">
        <f>701</f>
        <v>701</v>
      </c>
      <c r="O2590" s="4" t="s">
        <v>265</v>
      </c>
      <c r="P2590" s="6">
        <f>1</f>
        <v>1</v>
      </c>
      <c r="Q2590" s="6">
        <f>0</f>
        <v>0</v>
      </c>
      <c r="S2590" s="6">
        <f>0</f>
        <v>0</v>
      </c>
      <c r="T2590" s="6">
        <f>1</f>
        <v>1</v>
      </c>
      <c r="U2590" s="5" t="s">
        <v>245</v>
      </c>
      <c r="V2590" s="4" t="s">
        <v>270</v>
      </c>
      <c r="W2590" s="4" t="s">
        <v>271</v>
      </c>
      <c r="X2590" s="4" t="s">
        <v>273</v>
      </c>
      <c r="Y2590" s="4" t="s">
        <v>241</v>
      </c>
      <c r="AB2590" s="4" t="s">
        <v>241</v>
      </c>
      <c r="AD2590" s="5" t="s">
        <v>241</v>
      </c>
      <c r="AG2590" s="5" t="s">
        <v>246</v>
      </c>
      <c r="AH2590" s="4" t="s">
        <v>241</v>
      </c>
      <c r="AI2590" s="4" t="s">
        <v>247</v>
      </c>
      <c r="AJ2590" s="4" t="s">
        <v>248</v>
      </c>
      <c r="AZ2590" s="4" t="s">
        <v>249</v>
      </c>
      <c r="BA2590" s="4" t="s">
        <v>241</v>
      </c>
      <c r="BB2590" s="4" t="s">
        <v>250</v>
      </c>
      <c r="BC2590" s="4" t="s">
        <v>241</v>
      </c>
      <c r="BD2590" s="4" t="s">
        <v>252</v>
      </c>
      <c r="BE2590" s="4" t="s">
        <v>241</v>
      </c>
      <c r="BI2590" s="4" t="s">
        <v>253</v>
      </c>
      <c r="BJ2590" s="5" t="s">
        <v>246</v>
      </c>
      <c r="BK2590" s="4" t="s">
        <v>254</v>
      </c>
      <c r="BL2590" s="4" t="s">
        <v>255</v>
      </c>
      <c r="BM2590" s="4" t="s">
        <v>241</v>
      </c>
      <c r="BN2590" s="6">
        <f>0</f>
        <v>0</v>
      </c>
      <c r="BO2590" s="6">
        <f>0</f>
        <v>0</v>
      </c>
      <c r="BP2590" s="4" t="s">
        <v>256</v>
      </c>
      <c r="BQ2590" s="4" t="s">
        <v>257</v>
      </c>
      <c r="CE2590" s="4" t="s">
        <v>241</v>
      </c>
      <c r="CF2590" s="4" t="s">
        <v>241</v>
      </c>
      <c r="CJ2590" s="4" t="s">
        <v>276</v>
      </c>
      <c r="CK2590" s="4" t="s">
        <v>259</v>
      </c>
      <c r="CL2590" s="4" t="s">
        <v>241</v>
      </c>
      <c r="CO2590" s="5" t="s">
        <v>260</v>
      </c>
      <c r="CP2590" s="4" t="s">
        <v>241</v>
      </c>
      <c r="CQ2590" s="4" t="s">
        <v>261</v>
      </c>
      <c r="CR2590" s="4" t="s">
        <v>241</v>
      </c>
      <c r="CS2590" s="4" t="s">
        <v>241</v>
      </c>
      <c r="CT2590" s="4">
        <v>0</v>
      </c>
      <c r="CU2590" s="4" t="s">
        <v>262</v>
      </c>
      <c r="CV2590" s="4" t="s">
        <v>263</v>
      </c>
      <c r="CW2590" s="4" t="s">
        <v>263</v>
      </c>
      <c r="CX2590" s="4" t="s">
        <v>264</v>
      </c>
      <c r="DA2590" s="6">
        <f>1</f>
        <v>1</v>
      </c>
      <c r="DC2590" s="4" t="s">
        <v>325</v>
      </c>
      <c r="DD2590" s="4" t="s">
        <v>241</v>
      </c>
      <c r="DF2590" s="4" t="s">
        <v>325</v>
      </c>
      <c r="DG2590" s="6">
        <f>701</f>
        <v>701</v>
      </c>
      <c r="DI2590" s="4" t="s">
        <v>241</v>
      </c>
      <c r="DJ2590" s="4" t="s">
        <v>241</v>
      </c>
      <c r="DK2590" s="4" t="s">
        <v>241</v>
      </c>
      <c r="DL2590" s="4" t="s">
        <v>241</v>
      </c>
      <c r="DP2590" s="4" t="s">
        <v>241</v>
      </c>
      <c r="DQ2590" s="4" t="s">
        <v>241</v>
      </c>
      <c r="DR2590" s="4" t="s">
        <v>241</v>
      </c>
      <c r="DS2590" s="4" t="s">
        <v>241</v>
      </c>
      <c r="DV2590" s="4" t="s">
        <v>426</v>
      </c>
      <c r="DW2590" s="4" t="s">
        <v>2711</v>
      </c>
      <c r="HO2590" s="4" t="s">
        <v>267</v>
      </c>
    </row>
    <row r="2591" spans="1:223" ht="19.5" customHeight="1" x14ac:dyDescent="0.4">
      <c r="A2591" s="4">
        <v>1</v>
      </c>
      <c r="B2591" s="4" t="s">
        <v>239</v>
      </c>
      <c r="C2591" s="4">
        <v>4294</v>
      </c>
      <c r="D2591" s="4">
        <v>1</v>
      </c>
      <c r="E2591" s="4">
        <v>1</v>
      </c>
      <c r="F2591" s="4" t="s">
        <v>268</v>
      </c>
      <c r="G2591" s="4" t="s">
        <v>241</v>
      </c>
      <c r="H2591" s="4" t="s">
        <v>241</v>
      </c>
      <c r="I2591" s="4" t="s">
        <v>424</v>
      </c>
      <c r="J2591" s="4" t="s">
        <v>274</v>
      </c>
      <c r="K2591" s="4" t="s">
        <v>251</v>
      </c>
      <c r="L2591" s="4" t="s">
        <v>423</v>
      </c>
      <c r="M2591" s="5" t="s">
        <v>3998</v>
      </c>
      <c r="N2591" s="6">
        <f>226</f>
        <v>226</v>
      </c>
      <c r="O2591" s="4" t="s">
        <v>265</v>
      </c>
      <c r="P2591" s="6">
        <f>1</f>
        <v>1</v>
      </c>
      <c r="Q2591" s="6">
        <f>0</f>
        <v>0</v>
      </c>
      <c r="S2591" s="6">
        <f>0</f>
        <v>0</v>
      </c>
      <c r="T2591" s="6">
        <f>1</f>
        <v>1</v>
      </c>
      <c r="U2591" s="5" t="s">
        <v>245</v>
      </c>
      <c r="V2591" s="4" t="s">
        <v>270</v>
      </c>
      <c r="W2591" s="4" t="s">
        <v>271</v>
      </c>
      <c r="X2591" s="4" t="s">
        <v>273</v>
      </c>
      <c r="Y2591" s="4" t="s">
        <v>241</v>
      </c>
      <c r="AB2591" s="4" t="s">
        <v>241</v>
      </c>
      <c r="AD2591" s="5" t="s">
        <v>241</v>
      </c>
      <c r="AG2591" s="5" t="s">
        <v>246</v>
      </c>
      <c r="AH2591" s="4" t="s">
        <v>241</v>
      </c>
      <c r="AI2591" s="4" t="s">
        <v>247</v>
      </c>
      <c r="AJ2591" s="4" t="s">
        <v>248</v>
      </c>
      <c r="AZ2591" s="4" t="s">
        <v>249</v>
      </c>
      <c r="BA2591" s="4" t="s">
        <v>241</v>
      </c>
      <c r="BB2591" s="4" t="s">
        <v>250</v>
      </c>
      <c r="BC2591" s="4" t="s">
        <v>241</v>
      </c>
      <c r="BD2591" s="4" t="s">
        <v>252</v>
      </c>
      <c r="BE2591" s="4" t="s">
        <v>241</v>
      </c>
      <c r="BI2591" s="4" t="s">
        <v>253</v>
      </c>
      <c r="BJ2591" s="5" t="s">
        <v>246</v>
      </c>
      <c r="BK2591" s="4" t="s">
        <v>254</v>
      </c>
      <c r="BL2591" s="4" t="s">
        <v>255</v>
      </c>
      <c r="BM2591" s="4" t="s">
        <v>241</v>
      </c>
      <c r="BN2591" s="6">
        <f>0</f>
        <v>0</v>
      </c>
      <c r="BO2591" s="6">
        <f>0</f>
        <v>0</v>
      </c>
      <c r="BP2591" s="4" t="s">
        <v>256</v>
      </c>
      <c r="BQ2591" s="4" t="s">
        <v>257</v>
      </c>
      <c r="CE2591" s="4" t="s">
        <v>241</v>
      </c>
      <c r="CF2591" s="4" t="s">
        <v>241</v>
      </c>
      <c r="CJ2591" s="4" t="s">
        <v>276</v>
      </c>
      <c r="CK2591" s="4" t="s">
        <v>259</v>
      </c>
      <c r="CL2591" s="4" t="s">
        <v>241</v>
      </c>
      <c r="CO2591" s="5" t="s">
        <v>260</v>
      </c>
      <c r="CP2591" s="4" t="s">
        <v>241</v>
      </c>
      <c r="CQ2591" s="4" t="s">
        <v>261</v>
      </c>
      <c r="CR2591" s="4" t="s">
        <v>241</v>
      </c>
      <c r="CS2591" s="4" t="s">
        <v>241</v>
      </c>
      <c r="CT2591" s="4">
        <v>0</v>
      </c>
      <c r="CU2591" s="4" t="s">
        <v>262</v>
      </c>
      <c r="CV2591" s="4" t="s">
        <v>263</v>
      </c>
      <c r="CW2591" s="4" t="s">
        <v>263</v>
      </c>
      <c r="CX2591" s="4" t="s">
        <v>264</v>
      </c>
      <c r="DA2591" s="6">
        <f>1</f>
        <v>1</v>
      </c>
      <c r="DC2591" s="4" t="s">
        <v>325</v>
      </c>
      <c r="DD2591" s="4" t="s">
        <v>241</v>
      </c>
      <c r="DF2591" s="4" t="s">
        <v>325</v>
      </c>
      <c r="DG2591" s="6">
        <f>226</f>
        <v>226</v>
      </c>
      <c r="DI2591" s="4" t="s">
        <v>241</v>
      </c>
      <c r="DJ2591" s="4" t="s">
        <v>241</v>
      </c>
      <c r="DK2591" s="4" t="s">
        <v>241</v>
      </c>
      <c r="DL2591" s="4" t="s">
        <v>241</v>
      </c>
      <c r="DP2591" s="4" t="s">
        <v>241</v>
      </c>
      <c r="DQ2591" s="4" t="s">
        <v>241</v>
      </c>
      <c r="DR2591" s="4" t="s">
        <v>241</v>
      </c>
      <c r="DS2591" s="4" t="s">
        <v>241</v>
      </c>
      <c r="DV2591" s="4" t="s">
        <v>426</v>
      </c>
      <c r="DW2591" s="4" t="s">
        <v>2707</v>
      </c>
      <c r="HO2591" s="4" t="s">
        <v>267</v>
      </c>
    </row>
    <row r="2592" spans="1:223" ht="19.5" customHeight="1" x14ac:dyDescent="0.4">
      <c r="A2592" s="4">
        <v>1</v>
      </c>
      <c r="B2592" s="4" t="s">
        <v>239</v>
      </c>
      <c r="C2592" s="4">
        <v>4295</v>
      </c>
      <c r="D2592" s="4">
        <v>1</v>
      </c>
      <c r="E2592" s="4">
        <v>1</v>
      </c>
      <c r="F2592" s="4" t="s">
        <v>268</v>
      </c>
      <c r="G2592" s="4" t="s">
        <v>241</v>
      </c>
      <c r="H2592" s="4" t="s">
        <v>241</v>
      </c>
      <c r="I2592" s="4" t="s">
        <v>424</v>
      </c>
      <c r="J2592" s="4" t="s">
        <v>274</v>
      </c>
      <c r="K2592" s="4" t="s">
        <v>251</v>
      </c>
      <c r="L2592" s="4" t="s">
        <v>423</v>
      </c>
      <c r="M2592" s="5" t="s">
        <v>4004</v>
      </c>
      <c r="N2592" s="6">
        <f>1796</f>
        <v>1796</v>
      </c>
      <c r="O2592" s="4" t="s">
        <v>265</v>
      </c>
      <c r="P2592" s="6">
        <f>1</f>
        <v>1</v>
      </c>
      <c r="Q2592" s="6">
        <f>0</f>
        <v>0</v>
      </c>
      <c r="S2592" s="6">
        <f>0</f>
        <v>0</v>
      </c>
      <c r="T2592" s="6">
        <f>1</f>
        <v>1</v>
      </c>
      <c r="U2592" s="5" t="s">
        <v>245</v>
      </c>
      <c r="V2592" s="4" t="s">
        <v>270</v>
      </c>
      <c r="W2592" s="4" t="s">
        <v>271</v>
      </c>
      <c r="X2592" s="4" t="s">
        <v>273</v>
      </c>
      <c r="Y2592" s="4" t="s">
        <v>241</v>
      </c>
      <c r="AB2592" s="4" t="s">
        <v>241</v>
      </c>
      <c r="AD2592" s="5" t="s">
        <v>241</v>
      </c>
      <c r="AG2592" s="5" t="s">
        <v>246</v>
      </c>
      <c r="AH2592" s="4" t="s">
        <v>241</v>
      </c>
      <c r="AI2592" s="4" t="s">
        <v>247</v>
      </c>
      <c r="AJ2592" s="4" t="s">
        <v>248</v>
      </c>
      <c r="AZ2592" s="4" t="s">
        <v>249</v>
      </c>
      <c r="BA2592" s="4" t="s">
        <v>241</v>
      </c>
      <c r="BB2592" s="4" t="s">
        <v>250</v>
      </c>
      <c r="BC2592" s="4" t="s">
        <v>241</v>
      </c>
      <c r="BD2592" s="4" t="s">
        <v>252</v>
      </c>
      <c r="BE2592" s="4" t="s">
        <v>241</v>
      </c>
      <c r="BI2592" s="4" t="s">
        <v>253</v>
      </c>
      <c r="BJ2592" s="5" t="s">
        <v>246</v>
      </c>
      <c r="BK2592" s="4" t="s">
        <v>254</v>
      </c>
      <c r="BL2592" s="4" t="s">
        <v>255</v>
      </c>
      <c r="BM2592" s="4" t="s">
        <v>241</v>
      </c>
      <c r="BN2592" s="6">
        <f>0</f>
        <v>0</v>
      </c>
      <c r="BO2592" s="6">
        <f>0</f>
        <v>0</v>
      </c>
      <c r="BP2592" s="4" t="s">
        <v>256</v>
      </c>
      <c r="BQ2592" s="4" t="s">
        <v>257</v>
      </c>
      <c r="CE2592" s="4" t="s">
        <v>241</v>
      </c>
      <c r="CF2592" s="4" t="s">
        <v>241</v>
      </c>
      <c r="CJ2592" s="4" t="s">
        <v>276</v>
      </c>
      <c r="CK2592" s="4" t="s">
        <v>259</v>
      </c>
      <c r="CL2592" s="4" t="s">
        <v>241</v>
      </c>
      <c r="CO2592" s="5" t="s">
        <v>260</v>
      </c>
      <c r="CP2592" s="4" t="s">
        <v>241</v>
      </c>
      <c r="CQ2592" s="4" t="s">
        <v>261</v>
      </c>
      <c r="CR2592" s="4" t="s">
        <v>241</v>
      </c>
      <c r="CS2592" s="4" t="s">
        <v>241</v>
      </c>
      <c r="CT2592" s="4">
        <v>0</v>
      </c>
      <c r="CU2592" s="4" t="s">
        <v>262</v>
      </c>
      <c r="CV2592" s="4" t="s">
        <v>263</v>
      </c>
      <c r="CW2592" s="4" t="s">
        <v>263</v>
      </c>
      <c r="CX2592" s="4" t="s">
        <v>264</v>
      </c>
      <c r="DA2592" s="6">
        <f>1</f>
        <v>1</v>
      </c>
      <c r="DC2592" s="4" t="s">
        <v>325</v>
      </c>
      <c r="DD2592" s="4" t="s">
        <v>241</v>
      </c>
      <c r="DF2592" s="4" t="s">
        <v>325</v>
      </c>
      <c r="DG2592" s="6">
        <f>1796</f>
        <v>1796</v>
      </c>
      <c r="DI2592" s="4" t="s">
        <v>241</v>
      </c>
      <c r="DJ2592" s="4" t="s">
        <v>241</v>
      </c>
      <c r="DK2592" s="4" t="s">
        <v>241</v>
      </c>
      <c r="DL2592" s="4" t="s">
        <v>241</v>
      </c>
      <c r="DP2592" s="4" t="s">
        <v>241</v>
      </c>
      <c r="DQ2592" s="4" t="s">
        <v>241</v>
      </c>
      <c r="DR2592" s="4" t="s">
        <v>241</v>
      </c>
      <c r="DS2592" s="4" t="s">
        <v>241</v>
      </c>
      <c r="DV2592" s="4" t="s">
        <v>426</v>
      </c>
      <c r="DW2592" s="4" t="s">
        <v>2703</v>
      </c>
      <c r="HO2592" s="4" t="s">
        <v>267</v>
      </c>
    </row>
    <row r="2593" spans="1:223" ht="19.5" customHeight="1" x14ac:dyDescent="0.4">
      <c r="A2593" s="4">
        <v>1</v>
      </c>
      <c r="B2593" s="4" t="s">
        <v>239</v>
      </c>
      <c r="C2593" s="4">
        <v>4296</v>
      </c>
      <c r="D2593" s="4">
        <v>1</v>
      </c>
      <c r="E2593" s="4">
        <v>1</v>
      </c>
      <c r="F2593" s="4" t="s">
        <v>268</v>
      </c>
      <c r="G2593" s="4" t="s">
        <v>241</v>
      </c>
      <c r="H2593" s="4" t="s">
        <v>241</v>
      </c>
      <c r="I2593" s="4" t="s">
        <v>424</v>
      </c>
      <c r="J2593" s="4" t="s">
        <v>274</v>
      </c>
      <c r="K2593" s="4" t="s">
        <v>251</v>
      </c>
      <c r="L2593" s="4" t="s">
        <v>423</v>
      </c>
      <c r="M2593" s="5" t="s">
        <v>4008</v>
      </c>
      <c r="N2593" s="6">
        <f>80</f>
        <v>80</v>
      </c>
      <c r="O2593" s="4" t="s">
        <v>265</v>
      </c>
      <c r="P2593" s="6">
        <f>1</f>
        <v>1</v>
      </c>
      <c r="Q2593" s="6">
        <f>0</f>
        <v>0</v>
      </c>
      <c r="S2593" s="6">
        <f>0</f>
        <v>0</v>
      </c>
      <c r="T2593" s="6">
        <f>1</f>
        <v>1</v>
      </c>
      <c r="U2593" s="5" t="s">
        <v>245</v>
      </c>
      <c r="V2593" s="4" t="s">
        <v>270</v>
      </c>
      <c r="W2593" s="4" t="s">
        <v>271</v>
      </c>
      <c r="X2593" s="4" t="s">
        <v>273</v>
      </c>
      <c r="Y2593" s="4" t="s">
        <v>241</v>
      </c>
      <c r="AB2593" s="4" t="s">
        <v>241</v>
      </c>
      <c r="AD2593" s="5" t="s">
        <v>241</v>
      </c>
      <c r="AG2593" s="5" t="s">
        <v>246</v>
      </c>
      <c r="AH2593" s="4" t="s">
        <v>241</v>
      </c>
      <c r="AI2593" s="4" t="s">
        <v>247</v>
      </c>
      <c r="AJ2593" s="4" t="s">
        <v>248</v>
      </c>
      <c r="AZ2593" s="4" t="s">
        <v>249</v>
      </c>
      <c r="BA2593" s="4" t="s">
        <v>241</v>
      </c>
      <c r="BB2593" s="4" t="s">
        <v>250</v>
      </c>
      <c r="BC2593" s="4" t="s">
        <v>241</v>
      </c>
      <c r="BD2593" s="4" t="s">
        <v>252</v>
      </c>
      <c r="BE2593" s="4" t="s">
        <v>241</v>
      </c>
      <c r="BI2593" s="4" t="s">
        <v>253</v>
      </c>
      <c r="BJ2593" s="5" t="s">
        <v>246</v>
      </c>
      <c r="BK2593" s="4" t="s">
        <v>254</v>
      </c>
      <c r="BL2593" s="4" t="s">
        <v>255</v>
      </c>
      <c r="BM2593" s="4" t="s">
        <v>241</v>
      </c>
      <c r="BN2593" s="6">
        <f>0</f>
        <v>0</v>
      </c>
      <c r="BO2593" s="6">
        <f>0</f>
        <v>0</v>
      </c>
      <c r="BP2593" s="4" t="s">
        <v>256</v>
      </c>
      <c r="BQ2593" s="4" t="s">
        <v>257</v>
      </c>
      <c r="CE2593" s="4" t="s">
        <v>241</v>
      </c>
      <c r="CF2593" s="4" t="s">
        <v>241</v>
      </c>
      <c r="CJ2593" s="4" t="s">
        <v>276</v>
      </c>
      <c r="CK2593" s="4" t="s">
        <v>259</v>
      </c>
      <c r="CL2593" s="4" t="s">
        <v>241</v>
      </c>
      <c r="CO2593" s="5" t="s">
        <v>260</v>
      </c>
      <c r="CP2593" s="4" t="s">
        <v>241</v>
      </c>
      <c r="CQ2593" s="4" t="s">
        <v>261</v>
      </c>
      <c r="CR2593" s="4" t="s">
        <v>241</v>
      </c>
      <c r="CS2593" s="4" t="s">
        <v>241</v>
      </c>
      <c r="CT2593" s="4">
        <v>0</v>
      </c>
      <c r="CU2593" s="4" t="s">
        <v>262</v>
      </c>
      <c r="CV2593" s="4" t="s">
        <v>263</v>
      </c>
      <c r="CW2593" s="4" t="s">
        <v>263</v>
      </c>
      <c r="CX2593" s="4" t="s">
        <v>264</v>
      </c>
      <c r="DA2593" s="6">
        <f>1</f>
        <v>1</v>
      </c>
      <c r="DC2593" s="4" t="s">
        <v>325</v>
      </c>
      <c r="DD2593" s="4" t="s">
        <v>241</v>
      </c>
      <c r="DF2593" s="4" t="s">
        <v>325</v>
      </c>
      <c r="DG2593" s="6">
        <f>80</f>
        <v>80</v>
      </c>
      <c r="DI2593" s="4" t="s">
        <v>241</v>
      </c>
      <c r="DJ2593" s="4" t="s">
        <v>241</v>
      </c>
      <c r="DK2593" s="4" t="s">
        <v>241</v>
      </c>
      <c r="DL2593" s="4" t="s">
        <v>241</v>
      </c>
      <c r="DP2593" s="4" t="s">
        <v>241</v>
      </c>
      <c r="DQ2593" s="4" t="s">
        <v>241</v>
      </c>
      <c r="DR2593" s="4" t="s">
        <v>241</v>
      </c>
      <c r="DS2593" s="4" t="s">
        <v>241</v>
      </c>
      <c r="DV2593" s="4" t="s">
        <v>426</v>
      </c>
      <c r="DW2593" s="4" t="s">
        <v>2701</v>
      </c>
      <c r="HO2593" s="4" t="s">
        <v>267</v>
      </c>
    </row>
    <row r="2594" spans="1:223" ht="19.5" customHeight="1" x14ac:dyDescent="0.4">
      <c r="A2594" s="4">
        <v>1</v>
      </c>
      <c r="B2594" s="4" t="s">
        <v>239</v>
      </c>
      <c r="C2594" s="4">
        <v>4297</v>
      </c>
      <c r="D2594" s="4">
        <v>1</v>
      </c>
      <c r="E2594" s="4">
        <v>1</v>
      </c>
      <c r="F2594" s="4" t="s">
        <v>268</v>
      </c>
      <c r="G2594" s="4" t="s">
        <v>241</v>
      </c>
      <c r="H2594" s="4" t="s">
        <v>241</v>
      </c>
      <c r="I2594" s="4" t="s">
        <v>424</v>
      </c>
      <c r="J2594" s="4" t="s">
        <v>274</v>
      </c>
      <c r="K2594" s="4" t="s">
        <v>251</v>
      </c>
      <c r="L2594" s="4" t="s">
        <v>423</v>
      </c>
      <c r="M2594" s="5" t="s">
        <v>4011</v>
      </c>
      <c r="N2594" s="6">
        <f>180</f>
        <v>180</v>
      </c>
      <c r="O2594" s="4" t="s">
        <v>265</v>
      </c>
      <c r="P2594" s="6">
        <f>1</f>
        <v>1</v>
      </c>
      <c r="Q2594" s="6">
        <f>0</f>
        <v>0</v>
      </c>
      <c r="S2594" s="6">
        <f>0</f>
        <v>0</v>
      </c>
      <c r="T2594" s="6">
        <f>1</f>
        <v>1</v>
      </c>
      <c r="U2594" s="5" t="s">
        <v>245</v>
      </c>
      <c r="V2594" s="4" t="s">
        <v>270</v>
      </c>
      <c r="W2594" s="4" t="s">
        <v>271</v>
      </c>
      <c r="X2594" s="4" t="s">
        <v>273</v>
      </c>
      <c r="Y2594" s="4" t="s">
        <v>241</v>
      </c>
      <c r="AB2594" s="4" t="s">
        <v>241</v>
      </c>
      <c r="AD2594" s="5" t="s">
        <v>241</v>
      </c>
      <c r="AG2594" s="5" t="s">
        <v>246</v>
      </c>
      <c r="AH2594" s="4" t="s">
        <v>241</v>
      </c>
      <c r="AI2594" s="4" t="s">
        <v>247</v>
      </c>
      <c r="AJ2594" s="4" t="s">
        <v>248</v>
      </c>
      <c r="AZ2594" s="4" t="s">
        <v>249</v>
      </c>
      <c r="BA2594" s="4" t="s">
        <v>241</v>
      </c>
      <c r="BB2594" s="4" t="s">
        <v>250</v>
      </c>
      <c r="BC2594" s="4" t="s">
        <v>241</v>
      </c>
      <c r="BD2594" s="4" t="s">
        <v>252</v>
      </c>
      <c r="BE2594" s="4" t="s">
        <v>241</v>
      </c>
      <c r="BI2594" s="4" t="s">
        <v>253</v>
      </c>
      <c r="BJ2594" s="5" t="s">
        <v>246</v>
      </c>
      <c r="BK2594" s="4" t="s">
        <v>254</v>
      </c>
      <c r="BL2594" s="4" t="s">
        <v>255</v>
      </c>
      <c r="BM2594" s="4" t="s">
        <v>241</v>
      </c>
      <c r="BN2594" s="6">
        <f>0</f>
        <v>0</v>
      </c>
      <c r="BO2594" s="6">
        <f>0</f>
        <v>0</v>
      </c>
      <c r="BP2594" s="4" t="s">
        <v>256</v>
      </c>
      <c r="BQ2594" s="4" t="s">
        <v>257</v>
      </c>
      <c r="CE2594" s="4" t="s">
        <v>241</v>
      </c>
      <c r="CF2594" s="4" t="s">
        <v>241</v>
      </c>
      <c r="CJ2594" s="4" t="s">
        <v>276</v>
      </c>
      <c r="CK2594" s="4" t="s">
        <v>259</v>
      </c>
      <c r="CL2594" s="4" t="s">
        <v>241</v>
      </c>
      <c r="CO2594" s="5" t="s">
        <v>260</v>
      </c>
      <c r="CP2594" s="4" t="s">
        <v>241</v>
      </c>
      <c r="CQ2594" s="4" t="s">
        <v>261</v>
      </c>
      <c r="CR2594" s="4" t="s">
        <v>241</v>
      </c>
      <c r="CS2594" s="4" t="s">
        <v>241</v>
      </c>
      <c r="CT2594" s="4">
        <v>0</v>
      </c>
      <c r="CU2594" s="4" t="s">
        <v>262</v>
      </c>
      <c r="CV2594" s="4" t="s">
        <v>263</v>
      </c>
      <c r="CW2594" s="4" t="s">
        <v>263</v>
      </c>
      <c r="CX2594" s="4" t="s">
        <v>264</v>
      </c>
      <c r="DA2594" s="6">
        <f>1</f>
        <v>1</v>
      </c>
      <c r="DC2594" s="4" t="s">
        <v>325</v>
      </c>
      <c r="DD2594" s="4" t="s">
        <v>241</v>
      </c>
      <c r="DF2594" s="4" t="s">
        <v>325</v>
      </c>
      <c r="DG2594" s="6">
        <f>180</f>
        <v>180</v>
      </c>
      <c r="DI2594" s="4" t="s">
        <v>241</v>
      </c>
      <c r="DJ2594" s="4" t="s">
        <v>241</v>
      </c>
      <c r="DK2594" s="4" t="s">
        <v>241</v>
      </c>
      <c r="DL2594" s="4" t="s">
        <v>241</v>
      </c>
      <c r="DP2594" s="4" t="s">
        <v>241</v>
      </c>
      <c r="DQ2594" s="4" t="s">
        <v>241</v>
      </c>
      <c r="DR2594" s="4" t="s">
        <v>241</v>
      </c>
      <c r="DS2594" s="4" t="s">
        <v>241</v>
      </c>
      <c r="DV2594" s="4" t="s">
        <v>426</v>
      </c>
      <c r="DW2594" s="4" t="s">
        <v>2699</v>
      </c>
      <c r="HO2594" s="4" t="s">
        <v>267</v>
      </c>
    </row>
    <row r="2595" spans="1:223" ht="19.5" customHeight="1" x14ac:dyDescent="0.4">
      <c r="A2595" s="4">
        <v>1</v>
      </c>
      <c r="B2595" s="4" t="s">
        <v>239</v>
      </c>
      <c r="C2595" s="4">
        <v>4298</v>
      </c>
      <c r="D2595" s="4">
        <v>1</v>
      </c>
      <c r="E2595" s="4">
        <v>1</v>
      </c>
      <c r="F2595" s="4" t="s">
        <v>268</v>
      </c>
      <c r="G2595" s="4" t="s">
        <v>241</v>
      </c>
      <c r="H2595" s="4" t="s">
        <v>241</v>
      </c>
      <c r="I2595" s="4" t="s">
        <v>424</v>
      </c>
      <c r="J2595" s="4" t="s">
        <v>274</v>
      </c>
      <c r="K2595" s="4" t="s">
        <v>251</v>
      </c>
      <c r="L2595" s="4" t="s">
        <v>423</v>
      </c>
      <c r="M2595" s="5" t="s">
        <v>4018</v>
      </c>
      <c r="N2595" s="6">
        <f>2437</f>
        <v>2437</v>
      </c>
      <c r="O2595" s="4" t="s">
        <v>265</v>
      </c>
      <c r="P2595" s="6">
        <f>1</f>
        <v>1</v>
      </c>
      <c r="Q2595" s="6">
        <f>0</f>
        <v>0</v>
      </c>
      <c r="S2595" s="6">
        <f>0</f>
        <v>0</v>
      </c>
      <c r="T2595" s="6">
        <f>1</f>
        <v>1</v>
      </c>
      <c r="U2595" s="5" t="s">
        <v>245</v>
      </c>
      <c r="V2595" s="4" t="s">
        <v>270</v>
      </c>
      <c r="W2595" s="4" t="s">
        <v>271</v>
      </c>
      <c r="X2595" s="4" t="s">
        <v>273</v>
      </c>
      <c r="Y2595" s="4" t="s">
        <v>241</v>
      </c>
      <c r="AB2595" s="4" t="s">
        <v>241</v>
      </c>
      <c r="AD2595" s="5" t="s">
        <v>241</v>
      </c>
      <c r="AG2595" s="5" t="s">
        <v>246</v>
      </c>
      <c r="AH2595" s="4" t="s">
        <v>241</v>
      </c>
      <c r="AI2595" s="4" t="s">
        <v>247</v>
      </c>
      <c r="AJ2595" s="4" t="s">
        <v>248</v>
      </c>
      <c r="AZ2595" s="4" t="s">
        <v>249</v>
      </c>
      <c r="BA2595" s="4" t="s">
        <v>241</v>
      </c>
      <c r="BB2595" s="4" t="s">
        <v>250</v>
      </c>
      <c r="BC2595" s="4" t="s">
        <v>241</v>
      </c>
      <c r="BD2595" s="4" t="s">
        <v>252</v>
      </c>
      <c r="BE2595" s="4" t="s">
        <v>241</v>
      </c>
      <c r="BI2595" s="4" t="s">
        <v>253</v>
      </c>
      <c r="BJ2595" s="5" t="s">
        <v>246</v>
      </c>
      <c r="BK2595" s="4" t="s">
        <v>254</v>
      </c>
      <c r="BL2595" s="4" t="s">
        <v>255</v>
      </c>
      <c r="BM2595" s="4" t="s">
        <v>241</v>
      </c>
      <c r="BN2595" s="6">
        <f>0</f>
        <v>0</v>
      </c>
      <c r="BO2595" s="6">
        <f>0</f>
        <v>0</v>
      </c>
      <c r="BP2595" s="4" t="s">
        <v>256</v>
      </c>
      <c r="BQ2595" s="4" t="s">
        <v>257</v>
      </c>
      <c r="CE2595" s="4" t="s">
        <v>241</v>
      </c>
      <c r="CF2595" s="4" t="s">
        <v>241</v>
      </c>
      <c r="CJ2595" s="4" t="s">
        <v>276</v>
      </c>
      <c r="CK2595" s="4" t="s">
        <v>259</v>
      </c>
      <c r="CL2595" s="4" t="s">
        <v>241</v>
      </c>
      <c r="CO2595" s="5" t="s">
        <v>260</v>
      </c>
      <c r="CP2595" s="4" t="s">
        <v>241</v>
      </c>
      <c r="CQ2595" s="4" t="s">
        <v>261</v>
      </c>
      <c r="CR2595" s="4" t="s">
        <v>241</v>
      </c>
      <c r="CS2595" s="4" t="s">
        <v>241</v>
      </c>
      <c r="CT2595" s="4">
        <v>0</v>
      </c>
      <c r="CU2595" s="4" t="s">
        <v>262</v>
      </c>
      <c r="CV2595" s="4" t="s">
        <v>263</v>
      </c>
      <c r="CW2595" s="4" t="s">
        <v>263</v>
      </c>
      <c r="CX2595" s="4" t="s">
        <v>264</v>
      </c>
      <c r="DA2595" s="6">
        <f>1</f>
        <v>1</v>
      </c>
      <c r="DC2595" s="4" t="s">
        <v>325</v>
      </c>
      <c r="DD2595" s="4" t="s">
        <v>241</v>
      </c>
      <c r="DF2595" s="4" t="s">
        <v>325</v>
      </c>
      <c r="DG2595" s="6">
        <f>2437</f>
        <v>2437</v>
      </c>
      <c r="DI2595" s="4" t="s">
        <v>241</v>
      </c>
      <c r="DJ2595" s="4" t="s">
        <v>241</v>
      </c>
      <c r="DK2595" s="4" t="s">
        <v>241</v>
      </c>
      <c r="DL2595" s="4" t="s">
        <v>241</v>
      </c>
      <c r="DP2595" s="4" t="s">
        <v>241</v>
      </c>
      <c r="DQ2595" s="4" t="s">
        <v>241</v>
      </c>
      <c r="DR2595" s="4" t="s">
        <v>241</v>
      </c>
      <c r="DS2595" s="4" t="s">
        <v>241</v>
      </c>
      <c r="DV2595" s="4" t="s">
        <v>426</v>
      </c>
      <c r="DW2595" s="4" t="s">
        <v>2696</v>
      </c>
      <c r="HO2595" s="4" t="s">
        <v>267</v>
      </c>
    </row>
    <row r="2596" spans="1:223" ht="19.5" customHeight="1" x14ac:dyDescent="0.4">
      <c r="A2596" s="4">
        <v>1</v>
      </c>
      <c r="B2596" s="4" t="s">
        <v>239</v>
      </c>
      <c r="C2596" s="4">
        <v>4299</v>
      </c>
      <c r="D2596" s="4">
        <v>1</v>
      </c>
      <c r="E2596" s="4">
        <v>1</v>
      </c>
      <c r="F2596" s="4" t="s">
        <v>268</v>
      </c>
      <c r="G2596" s="4" t="s">
        <v>241</v>
      </c>
      <c r="H2596" s="4" t="s">
        <v>241</v>
      </c>
      <c r="I2596" s="4" t="s">
        <v>424</v>
      </c>
      <c r="J2596" s="4" t="s">
        <v>274</v>
      </c>
      <c r="K2596" s="4" t="s">
        <v>251</v>
      </c>
      <c r="L2596" s="4" t="s">
        <v>423</v>
      </c>
      <c r="M2596" s="5" t="s">
        <v>4021</v>
      </c>
      <c r="N2596" s="6">
        <f>3591</f>
        <v>3591</v>
      </c>
      <c r="O2596" s="4" t="s">
        <v>265</v>
      </c>
      <c r="P2596" s="6">
        <f>1</f>
        <v>1</v>
      </c>
      <c r="Q2596" s="6">
        <f>0</f>
        <v>0</v>
      </c>
      <c r="S2596" s="6">
        <f>0</f>
        <v>0</v>
      </c>
      <c r="T2596" s="6">
        <f>1</f>
        <v>1</v>
      </c>
      <c r="U2596" s="5" t="s">
        <v>245</v>
      </c>
      <c r="V2596" s="4" t="s">
        <v>270</v>
      </c>
      <c r="W2596" s="4" t="s">
        <v>271</v>
      </c>
      <c r="X2596" s="4" t="s">
        <v>273</v>
      </c>
      <c r="Y2596" s="4" t="s">
        <v>241</v>
      </c>
      <c r="AB2596" s="4" t="s">
        <v>241</v>
      </c>
      <c r="AD2596" s="5" t="s">
        <v>241</v>
      </c>
      <c r="AG2596" s="5" t="s">
        <v>246</v>
      </c>
      <c r="AH2596" s="4" t="s">
        <v>241</v>
      </c>
      <c r="AI2596" s="4" t="s">
        <v>247</v>
      </c>
      <c r="AJ2596" s="4" t="s">
        <v>248</v>
      </c>
      <c r="AZ2596" s="4" t="s">
        <v>249</v>
      </c>
      <c r="BA2596" s="4" t="s">
        <v>241</v>
      </c>
      <c r="BB2596" s="4" t="s">
        <v>250</v>
      </c>
      <c r="BC2596" s="4" t="s">
        <v>241</v>
      </c>
      <c r="BD2596" s="4" t="s">
        <v>252</v>
      </c>
      <c r="BE2596" s="4" t="s">
        <v>241</v>
      </c>
      <c r="BI2596" s="4" t="s">
        <v>253</v>
      </c>
      <c r="BJ2596" s="5" t="s">
        <v>246</v>
      </c>
      <c r="BK2596" s="4" t="s">
        <v>254</v>
      </c>
      <c r="BL2596" s="4" t="s">
        <v>255</v>
      </c>
      <c r="BM2596" s="4" t="s">
        <v>241</v>
      </c>
      <c r="BN2596" s="6">
        <f>0</f>
        <v>0</v>
      </c>
      <c r="BO2596" s="6">
        <f>0</f>
        <v>0</v>
      </c>
      <c r="BP2596" s="4" t="s">
        <v>256</v>
      </c>
      <c r="BQ2596" s="4" t="s">
        <v>257</v>
      </c>
      <c r="CE2596" s="4" t="s">
        <v>241</v>
      </c>
      <c r="CF2596" s="4" t="s">
        <v>241</v>
      </c>
      <c r="CJ2596" s="4" t="s">
        <v>276</v>
      </c>
      <c r="CK2596" s="4" t="s">
        <v>259</v>
      </c>
      <c r="CL2596" s="4" t="s">
        <v>241</v>
      </c>
      <c r="CO2596" s="5" t="s">
        <v>260</v>
      </c>
      <c r="CP2596" s="4" t="s">
        <v>241</v>
      </c>
      <c r="CQ2596" s="4" t="s">
        <v>261</v>
      </c>
      <c r="CR2596" s="4" t="s">
        <v>241</v>
      </c>
      <c r="CS2596" s="4" t="s">
        <v>241</v>
      </c>
      <c r="CT2596" s="4">
        <v>0</v>
      </c>
      <c r="CU2596" s="4" t="s">
        <v>262</v>
      </c>
      <c r="CV2596" s="4" t="s">
        <v>263</v>
      </c>
      <c r="CW2596" s="4" t="s">
        <v>263</v>
      </c>
      <c r="CX2596" s="4" t="s">
        <v>264</v>
      </c>
      <c r="DA2596" s="6">
        <f>1</f>
        <v>1</v>
      </c>
      <c r="DC2596" s="4" t="s">
        <v>325</v>
      </c>
      <c r="DD2596" s="4" t="s">
        <v>241</v>
      </c>
      <c r="DF2596" s="4" t="s">
        <v>325</v>
      </c>
      <c r="DG2596" s="6">
        <f>3591</f>
        <v>3591</v>
      </c>
      <c r="DI2596" s="4" t="s">
        <v>241</v>
      </c>
      <c r="DJ2596" s="4" t="s">
        <v>241</v>
      </c>
      <c r="DK2596" s="4" t="s">
        <v>241</v>
      </c>
      <c r="DL2596" s="4" t="s">
        <v>241</v>
      </c>
      <c r="DP2596" s="4" t="s">
        <v>241</v>
      </c>
      <c r="DQ2596" s="4" t="s">
        <v>241</v>
      </c>
      <c r="DR2596" s="4" t="s">
        <v>241</v>
      </c>
      <c r="DS2596" s="4" t="s">
        <v>241</v>
      </c>
      <c r="DV2596" s="4" t="s">
        <v>426</v>
      </c>
      <c r="DW2596" s="4" t="s">
        <v>2694</v>
      </c>
      <c r="HO2596" s="4" t="s">
        <v>267</v>
      </c>
    </row>
    <row r="2597" spans="1:223" ht="19.5" customHeight="1" x14ac:dyDescent="0.4">
      <c r="A2597" s="4">
        <v>1</v>
      </c>
      <c r="B2597" s="4" t="s">
        <v>239</v>
      </c>
      <c r="C2597" s="4">
        <v>4300</v>
      </c>
      <c r="D2597" s="4">
        <v>1</v>
      </c>
      <c r="E2597" s="4">
        <v>1</v>
      </c>
      <c r="F2597" s="4" t="s">
        <v>268</v>
      </c>
      <c r="G2597" s="4" t="s">
        <v>241</v>
      </c>
      <c r="H2597" s="4" t="s">
        <v>241</v>
      </c>
      <c r="I2597" s="4" t="s">
        <v>424</v>
      </c>
      <c r="J2597" s="4" t="s">
        <v>274</v>
      </c>
      <c r="K2597" s="4" t="s">
        <v>251</v>
      </c>
      <c r="L2597" s="4" t="s">
        <v>423</v>
      </c>
      <c r="M2597" s="5" t="s">
        <v>4025</v>
      </c>
      <c r="N2597" s="6">
        <f>2112</f>
        <v>2112</v>
      </c>
      <c r="O2597" s="4" t="s">
        <v>265</v>
      </c>
      <c r="P2597" s="6">
        <f>1</f>
        <v>1</v>
      </c>
      <c r="Q2597" s="6">
        <f>0</f>
        <v>0</v>
      </c>
      <c r="S2597" s="6">
        <f>0</f>
        <v>0</v>
      </c>
      <c r="T2597" s="6">
        <f>1</f>
        <v>1</v>
      </c>
      <c r="U2597" s="5" t="s">
        <v>245</v>
      </c>
      <c r="V2597" s="4" t="s">
        <v>270</v>
      </c>
      <c r="W2597" s="4" t="s">
        <v>271</v>
      </c>
      <c r="X2597" s="4" t="s">
        <v>273</v>
      </c>
      <c r="Y2597" s="4" t="s">
        <v>241</v>
      </c>
      <c r="AB2597" s="4" t="s">
        <v>241</v>
      </c>
      <c r="AD2597" s="5" t="s">
        <v>241</v>
      </c>
      <c r="AG2597" s="5" t="s">
        <v>246</v>
      </c>
      <c r="AH2597" s="4" t="s">
        <v>241</v>
      </c>
      <c r="AI2597" s="4" t="s">
        <v>247</v>
      </c>
      <c r="AJ2597" s="4" t="s">
        <v>248</v>
      </c>
      <c r="AZ2597" s="4" t="s">
        <v>249</v>
      </c>
      <c r="BA2597" s="4" t="s">
        <v>241</v>
      </c>
      <c r="BB2597" s="4" t="s">
        <v>250</v>
      </c>
      <c r="BC2597" s="4" t="s">
        <v>241</v>
      </c>
      <c r="BD2597" s="4" t="s">
        <v>252</v>
      </c>
      <c r="BE2597" s="4" t="s">
        <v>241</v>
      </c>
      <c r="BI2597" s="4" t="s">
        <v>253</v>
      </c>
      <c r="BJ2597" s="5" t="s">
        <v>246</v>
      </c>
      <c r="BK2597" s="4" t="s">
        <v>254</v>
      </c>
      <c r="BL2597" s="4" t="s">
        <v>255</v>
      </c>
      <c r="BM2597" s="4" t="s">
        <v>241</v>
      </c>
      <c r="BN2597" s="6">
        <f>0</f>
        <v>0</v>
      </c>
      <c r="BO2597" s="6">
        <f>0</f>
        <v>0</v>
      </c>
      <c r="BP2597" s="4" t="s">
        <v>256</v>
      </c>
      <c r="BQ2597" s="4" t="s">
        <v>257</v>
      </c>
      <c r="CE2597" s="4" t="s">
        <v>241</v>
      </c>
      <c r="CF2597" s="4" t="s">
        <v>241</v>
      </c>
      <c r="CJ2597" s="4" t="s">
        <v>276</v>
      </c>
      <c r="CK2597" s="4" t="s">
        <v>259</v>
      </c>
      <c r="CL2597" s="4" t="s">
        <v>241</v>
      </c>
      <c r="CO2597" s="5" t="s">
        <v>260</v>
      </c>
      <c r="CP2597" s="4" t="s">
        <v>241</v>
      </c>
      <c r="CQ2597" s="4" t="s">
        <v>261</v>
      </c>
      <c r="CR2597" s="4" t="s">
        <v>241</v>
      </c>
      <c r="CS2597" s="4" t="s">
        <v>241</v>
      </c>
      <c r="CT2597" s="4">
        <v>0</v>
      </c>
      <c r="CU2597" s="4" t="s">
        <v>262</v>
      </c>
      <c r="CV2597" s="4" t="s">
        <v>263</v>
      </c>
      <c r="CW2597" s="4" t="s">
        <v>263</v>
      </c>
      <c r="CX2597" s="4" t="s">
        <v>264</v>
      </c>
      <c r="DA2597" s="6">
        <f>1</f>
        <v>1</v>
      </c>
      <c r="DC2597" s="4" t="s">
        <v>325</v>
      </c>
      <c r="DD2597" s="4" t="s">
        <v>241</v>
      </c>
      <c r="DF2597" s="4" t="s">
        <v>325</v>
      </c>
      <c r="DG2597" s="6">
        <f>2112</f>
        <v>2112</v>
      </c>
      <c r="DI2597" s="4" t="s">
        <v>241</v>
      </c>
      <c r="DJ2597" s="4" t="s">
        <v>241</v>
      </c>
      <c r="DK2597" s="4" t="s">
        <v>241</v>
      </c>
      <c r="DL2597" s="4" t="s">
        <v>241</v>
      </c>
      <c r="DP2597" s="4" t="s">
        <v>241</v>
      </c>
      <c r="DQ2597" s="4" t="s">
        <v>241</v>
      </c>
      <c r="DR2597" s="4" t="s">
        <v>241</v>
      </c>
      <c r="DS2597" s="4" t="s">
        <v>241</v>
      </c>
      <c r="DV2597" s="4" t="s">
        <v>426</v>
      </c>
      <c r="DW2597" s="4" t="s">
        <v>2688</v>
      </c>
      <c r="HO2597" s="4" t="s">
        <v>267</v>
      </c>
    </row>
    <row r="2598" spans="1:223" ht="19.5" customHeight="1" x14ac:dyDescent="0.4">
      <c r="A2598" s="4">
        <v>1</v>
      </c>
      <c r="B2598" s="4" t="s">
        <v>239</v>
      </c>
      <c r="C2598" s="4">
        <v>4301</v>
      </c>
      <c r="D2598" s="4">
        <v>1</v>
      </c>
      <c r="E2598" s="4">
        <v>1</v>
      </c>
      <c r="F2598" s="4" t="s">
        <v>268</v>
      </c>
      <c r="G2598" s="4" t="s">
        <v>241</v>
      </c>
      <c r="H2598" s="4" t="s">
        <v>241</v>
      </c>
      <c r="I2598" s="4" t="s">
        <v>424</v>
      </c>
      <c r="J2598" s="4" t="s">
        <v>274</v>
      </c>
      <c r="K2598" s="4" t="s">
        <v>251</v>
      </c>
      <c r="L2598" s="4" t="s">
        <v>423</v>
      </c>
      <c r="M2598" s="5" t="s">
        <v>4026</v>
      </c>
      <c r="N2598" s="6">
        <f>1690</f>
        <v>1690</v>
      </c>
      <c r="O2598" s="4" t="s">
        <v>265</v>
      </c>
      <c r="P2598" s="6">
        <f>1</f>
        <v>1</v>
      </c>
      <c r="Q2598" s="6">
        <f>0</f>
        <v>0</v>
      </c>
      <c r="S2598" s="6">
        <f>0</f>
        <v>0</v>
      </c>
      <c r="T2598" s="6">
        <f>1</f>
        <v>1</v>
      </c>
      <c r="U2598" s="5" t="s">
        <v>245</v>
      </c>
      <c r="V2598" s="4" t="s">
        <v>270</v>
      </c>
      <c r="W2598" s="4" t="s">
        <v>271</v>
      </c>
      <c r="X2598" s="4" t="s">
        <v>273</v>
      </c>
      <c r="Y2598" s="4" t="s">
        <v>241</v>
      </c>
      <c r="AB2598" s="4" t="s">
        <v>241</v>
      </c>
      <c r="AD2598" s="5" t="s">
        <v>241</v>
      </c>
      <c r="AG2598" s="5" t="s">
        <v>246</v>
      </c>
      <c r="AH2598" s="4" t="s">
        <v>241</v>
      </c>
      <c r="AI2598" s="4" t="s">
        <v>247</v>
      </c>
      <c r="AJ2598" s="4" t="s">
        <v>248</v>
      </c>
      <c r="AZ2598" s="4" t="s">
        <v>249</v>
      </c>
      <c r="BA2598" s="4" t="s">
        <v>241</v>
      </c>
      <c r="BB2598" s="4" t="s">
        <v>250</v>
      </c>
      <c r="BC2598" s="4" t="s">
        <v>241</v>
      </c>
      <c r="BD2598" s="4" t="s">
        <v>252</v>
      </c>
      <c r="BE2598" s="4" t="s">
        <v>241</v>
      </c>
      <c r="BI2598" s="4" t="s">
        <v>253</v>
      </c>
      <c r="BJ2598" s="5" t="s">
        <v>246</v>
      </c>
      <c r="BK2598" s="4" t="s">
        <v>254</v>
      </c>
      <c r="BL2598" s="4" t="s">
        <v>255</v>
      </c>
      <c r="BM2598" s="4" t="s">
        <v>241</v>
      </c>
      <c r="BN2598" s="6">
        <f>0</f>
        <v>0</v>
      </c>
      <c r="BO2598" s="6">
        <f>0</f>
        <v>0</v>
      </c>
      <c r="BP2598" s="4" t="s">
        <v>256</v>
      </c>
      <c r="BQ2598" s="4" t="s">
        <v>257</v>
      </c>
      <c r="CE2598" s="4" t="s">
        <v>241</v>
      </c>
      <c r="CF2598" s="4" t="s">
        <v>241</v>
      </c>
      <c r="CJ2598" s="4" t="s">
        <v>276</v>
      </c>
      <c r="CK2598" s="4" t="s">
        <v>259</v>
      </c>
      <c r="CL2598" s="4" t="s">
        <v>241</v>
      </c>
      <c r="CO2598" s="5" t="s">
        <v>260</v>
      </c>
      <c r="CP2598" s="4" t="s">
        <v>241</v>
      </c>
      <c r="CQ2598" s="4" t="s">
        <v>261</v>
      </c>
      <c r="CR2598" s="4" t="s">
        <v>241</v>
      </c>
      <c r="CS2598" s="4" t="s">
        <v>241</v>
      </c>
      <c r="CT2598" s="4">
        <v>0</v>
      </c>
      <c r="CU2598" s="4" t="s">
        <v>262</v>
      </c>
      <c r="CV2598" s="4" t="s">
        <v>263</v>
      </c>
      <c r="CW2598" s="4" t="s">
        <v>263</v>
      </c>
      <c r="CX2598" s="4" t="s">
        <v>264</v>
      </c>
      <c r="DA2598" s="6">
        <f>1</f>
        <v>1</v>
      </c>
      <c r="DC2598" s="4" t="s">
        <v>325</v>
      </c>
      <c r="DD2598" s="4" t="s">
        <v>241</v>
      </c>
      <c r="DF2598" s="4" t="s">
        <v>325</v>
      </c>
      <c r="DG2598" s="6">
        <f>1690</f>
        <v>1690</v>
      </c>
      <c r="DI2598" s="4" t="s">
        <v>241</v>
      </c>
      <c r="DJ2598" s="4" t="s">
        <v>241</v>
      </c>
      <c r="DK2598" s="4" t="s">
        <v>241</v>
      </c>
      <c r="DL2598" s="4" t="s">
        <v>241</v>
      </c>
      <c r="DP2598" s="4" t="s">
        <v>241</v>
      </c>
      <c r="DQ2598" s="4" t="s">
        <v>241</v>
      </c>
      <c r="DR2598" s="4" t="s">
        <v>241</v>
      </c>
      <c r="DS2598" s="4" t="s">
        <v>241</v>
      </c>
      <c r="DV2598" s="4" t="s">
        <v>426</v>
      </c>
      <c r="DW2598" s="4" t="s">
        <v>2686</v>
      </c>
      <c r="HO2598" s="4" t="s">
        <v>267</v>
      </c>
    </row>
    <row r="2599" spans="1:223" ht="19.5" customHeight="1" x14ac:dyDescent="0.4">
      <c r="A2599" s="4">
        <v>1</v>
      </c>
      <c r="B2599" s="4" t="s">
        <v>239</v>
      </c>
      <c r="C2599" s="4">
        <v>4302</v>
      </c>
      <c r="D2599" s="4">
        <v>1</v>
      </c>
      <c r="E2599" s="4">
        <v>1</v>
      </c>
      <c r="F2599" s="4" t="s">
        <v>268</v>
      </c>
      <c r="G2599" s="4" t="s">
        <v>241</v>
      </c>
      <c r="H2599" s="4" t="s">
        <v>241</v>
      </c>
      <c r="I2599" s="4" t="s">
        <v>424</v>
      </c>
      <c r="J2599" s="4" t="s">
        <v>274</v>
      </c>
      <c r="K2599" s="4" t="s">
        <v>251</v>
      </c>
      <c r="L2599" s="4" t="s">
        <v>423</v>
      </c>
      <c r="M2599" s="5" t="s">
        <v>4033</v>
      </c>
      <c r="N2599" s="6">
        <f>2643</f>
        <v>2643</v>
      </c>
      <c r="O2599" s="4" t="s">
        <v>265</v>
      </c>
      <c r="P2599" s="6">
        <f>1</f>
        <v>1</v>
      </c>
      <c r="Q2599" s="6">
        <f>0</f>
        <v>0</v>
      </c>
      <c r="S2599" s="6">
        <f>0</f>
        <v>0</v>
      </c>
      <c r="T2599" s="6">
        <f>1</f>
        <v>1</v>
      </c>
      <c r="U2599" s="5" t="s">
        <v>245</v>
      </c>
      <c r="V2599" s="4" t="s">
        <v>270</v>
      </c>
      <c r="W2599" s="4" t="s">
        <v>271</v>
      </c>
      <c r="X2599" s="4" t="s">
        <v>273</v>
      </c>
      <c r="Y2599" s="4" t="s">
        <v>241</v>
      </c>
      <c r="AB2599" s="4" t="s">
        <v>241</v>
      </c>
      <c r="AD2599" s="5" t="s">
        <v>241</v>
      </c>
      <c r="AG2599" s="5" t="s">
        <v>246</v>
      </c>
      <c r="AH2599" s="4" t="s">
        <v>241</v>
      </c>
      <c r="AI2599" s="4" t="s">
        <v>247</v>
      </c>
      <c r="AJ2599" s="4" t="s">
        <v>248</v>
      </c>
      <c r="AZ2599" s="4" t="s">
        <v>249</v>
      </c>
      <c r="BA2599" s="4" t="s">
        <v>241</v>
      </c>
      <c r="BB2599" s="4" t="s">
        <v>250</v>
      </c>
      <c r="BC2599" s="4" t="s">
        <v>241</v>
      </c>
      <c r="BD2599" s="4" t="s">
        <v>252</v>
      </c>
      <c r="BE2599" s="4" t="s">
        <v>241</v>
      </c>
      <c r="BI2599" s="4" t="s">
        <v>253</v>
      </c>
      <c r="BJ2599" s="5" t="s">
        <v>246</v>
      </c>
      <c r="BK2599" s="4" t="s">
        <v>254</v>
      </c>
      <c r="BL2599" s="4" t="s">
        <v>255</v>
      </c>
      <c r="BM2599" s="4" t="s">
        <v>241</v>
      </c>
      <c r="BN2599" s="6">
        <f>0</f>
        <v>0</v>
      </c>
      <c r="BO2599" s="6">
        <f>0</f>
        <v>0</v>
      </c>
      <c r="BP2599" s="4" t="s">
        <v>256</v>
      </c>
      <c r="BQ2599" s="4" t="s">
        <v>257</v>
      </c>
      <c r="CE2599" s="4" t="s">
        <v>241</v>
      </c>
      <c r="CF2599" s="4" t="s">
        <v>241</v>
      </c>
      <c r="CJ2599" s="4" t="s">
        <v>276</v>
      </c>
      <c r="CK2599" s="4" t="s">
        <v>259</v>
      </c>
      <c r="CL2599" s="4" t="s">
        <v>241</v>
      </c>
      <c r="CO2599" s="5" t="s">
        <v>260</v>
      </c>
      <c r="CP2599" s="4" t="s">
        <v>241</v>
      </c>
      <c r="CQ2599" s="4" t="s">
        <v>261</v>
      </c>
      <c r="CR2599" s="4" t="s">
        <v>241</v>
      </c>
      <c r="CS2599" s="4" t="s">
        <v>241</v>
      </c>
      <c r="CT2599" s="4">
        <v>0</v>
      </c>
      <c r="CU2599" s="4" t="s">
        <v>262</v>
      </c>
      <c r="CV2599" s="4" t="s">
        <v>263</v>
      </c>
      <c r="CW2599" s="4" t="s">
        <v>263</v>
      </c>
      <c r="CX2599" s="4" t="s">
        <v>264</v>
      </c>
      <c r="DA2599" s="6">
        <f>1</f>
        <v>1</v>
      </c>
      <c r="DC2599" s="4" t="s">
        <v>325</v>
      </c>
      <c r="DD2599" s="4" t="s">
        <v>241</v>
      </c>
      <c r="DF2599" s="4" t="s">
        <v>325</v>
      </c>
      <c r="DG2599" s="6">
        <f>2643</f>
        <v>2643</v>
      </c>
      <c r="DI2599" s="4" t="s">
        <v>241</v>
      </c>
      <c r="DJ2599" s="4" t="s">
        <v>241</v>
      </c>
      <c r="DK2599" s="4" t="s">
        <v>241</v>
      </c>
      <c r="DL2599" s="4" t="s">
        <v>241</v>
      </c>
      <c r="DP2599" s="4" t="s">
        <v>241</v>
      </c>
      <c r="DQ2599" s="4" t="s">
        <v>241</v>
      </c>
      <c r="DR2599" s="4" t="s">
        <v>241</v>
      </c>
      <c r="DS2599" s="4" t="s">
        <v>241</v>
      </c>
      <c r="DV2599" s="4" t="s">
        <v>426</v>
      </c>
      <c r="DW2599" s="4" t="s">
        <v>2683</v>
      </c>
      <c r="HO2599" s="4" t="s">
        <v>267</v>
      </c>
    </row>
    <row r="2600" spans="1:223" ht="19.5" customHeight="1" x14ac:dyDescent="0.4">
      <c r="A2600" s="4">
        <v>1</v>
      </c>
      <c r="B2600" s="4" t="s">
        <v>239</v>
      </c>
      <c r="C2600" s="4">
        <v>4303</v>
      </c>
      <c r="D2600" s="4">
        <v>1</v>
      </c>
      <c r="E2600" s="4">
        <v>1</v>
      </c>
      <c r="F2600" s="4" t="s">
        <v>268</v>
      </c>
      <c r="G2600" s="4" t="s">
        <v>241</v>
      </c>
      <c r="H2600" s="4" t="s">
        <v>241</v>
      </c>
      <c r="I2600" s="4" t="s">
        <v>424</v>
      </c>
      <c r="J2600" s="4" t="s">
        <v>274</v>
      </c>
      <c r="K2600" s="4" t="s">
        <v>251</v>
      </c>
      <c r="L2600" s="4" t="s">
        <v>423</v>
      </c>
      <c r="M2600" s="5" t="s">
        <v>4037</v>
      </c>
      <c r="N2600" s="6">
        <f>30</f>
        <v>30</v>
      </c>
      <c r="O2600" s="4" t="s">
        <v>265</v>
      </c>
      <c r="P2600" s="6">
        <f>1</f>
        <v>1</v>
      </c>
      <c r="Q2600" s="6">
        <f>0</f>
        <v>0</v>
      </c>
      <c r="S2600" s="6">
        <f>0</f>
        <v>0</v>
      </c>
      <c r="T2600" s="6">
        <f>1</f>
        <v>1</v>
      </c>
      <c r="U2600" s="5" t="s">
        <v>245</v>
      </c>
      <c r="V2600" s="4" t="s">
        <v>270</v>
      </c>
      <c r="W2600" s="4" t="s">
        <v>271</v>
      </c>
      <c r="X2600" s="4" t="s">
        <v>273</v>
      </c>
      <c r="Y2600" s="4" t="s">
        <v>241</v>
      </c>
      <c r="AB2600" s="4" t="s">
        <v>241</v>
      </c>
      <c r="AD2600" s="5" t="s">
        <v>241</v>
      </c>
      <c r="AG2600" s="5" t="s">
        <v>246</v>
      </c>
      <c r="AH2600" s="4" t="s">
        <v>241</v>
      </c>
      <c r="AI2600" s="4" t="s">
        <v>247</v>
      </c>
      <c r="AJ2600" s="4" t="s">
        <v>248</v>
      </c>
      <c r="AZ2600" s="4" t="s">
        <v>249</v>
      </c>
      <c r="BA2600" s="4" t="s">
        <v>241</v>
      </c>
      <c r="BB2600" s="4" t="s">
        <v>250</v>
      </c>
      <c r="BC2600" s="4" t="s">
        <v>241</v>
      </c>
      <c r="BD2600" s="4" t="s">
        <v>252</v>
      </c>
      <c r="BE2600" s="4" t="s">
        <v>241</v>
      </c>
      <c r="BI2600" s="4" t="s">
        <v>253</v>
      </c>
      <c r="BJ2600" s="5" t="s">
        <v>246</v>
      </c>
      <c r="BK2600" s="4" t="s">
        <v>254</v>
      </c>
      <c r="BL2600" s="4" t="s">
        <v>255</v>
      </c>
      <c r="BM2600" s="4" t="s">
        <v>241</v>
      </c>
      <c r="BN2600" s="6">
        <f>0</f>
        <v>0</v>
      </c>
      <c r="BO2600" s="6">
        <f>0</f>
        <v>0</v>
      </c>
      <c r="BP2600" s="4" t="s">
        <v>256</v>
      </c>
      <c r="BQ2600" s="4" t="s">
        <v>257</v>
      </c>
      <c r="CE2600" s="4" t="s">
        <v>241</v>
      </c>
      <c r="CF2600" s="4" t="s">
        <v>241</v>
      </c>
      <c r="CJ2600" s="4" t="s">
        <v>276</v>
      </c>
      <c r="CK2600" s="4" t="s">
        <v>259</v>
      </c>
      <c r="CL2600" s="4" t="s">
        <v>241</v>
      </c>
      <c r="CO2600" s="5" t="s">
        <v>260</v>
      </c>
      <c r="CP2600" s="4" t="s">
        <v>241</v>
      </c>
      <c r="CQ2600" s="4" t="s">
        <v>261</v>
      </c>
      <c r="CR2600" s="4" t="s">
        <v>241</v>
      </c>
      <c r="CS2600" s="4" t="s">
        <v>241</v>
      </c>
      <c r="CT2600" s="4">
        <v>0</v>
      </c>
      <c r="CU2600" s="4" t="s">
        <v>262</v>
      </c>
      <c r="CV2600" s="4" t="s">
        <v>263</v>
      </c>
      <c r="CW2600" s="4" t="s">
        <v>263</v>
      </c>
      <c r="CX2600" s="4" t="s">
        <v>264</v>
      </c>
      <c r="DA2600" s="6">
        <f>1</f>
        <v>1</v>
      </c>
      <c r="DC2600" s="4" t="s">
        <v>325</v>
      </c>
      <c r="DD2600" s="4" t="s">
        <v>241</v>
      </c>
      <c r="DF2600" s="4" t="s">
        <v>325</v>
      </c>
      <c r="DG2600" s="6">
        <f>30</f>
        <v>30</v>
      </c>
      <c r="DI2600" s="4" t="s">
        <v>241</v>
      </c>
      <c r="DJ2600" s="4" t="s">
        <v>241</v>
      </c>
      <c r="DK2600" s="4" t="s">
        <v>241</v>
      </c>
      <c r="DL2600" s="4" t="s">
        <v>241</v>
      </c>
      <c r="DP2600" s="4" t="s">
        <v>241</v>
      </c>
      <c r="DQ2600" s="4" t="s">
        <v>241</v>
      </c>
      <c r="DR2600" s="4" t="s">
        <v>241</v>
      </c>
      <c r="DS2600" s="4" t="s">
        <v>241</v>
      </c>
      <c r="DV2600" s="4" t="s">
        <v>426</v>
      </c>
      <c r="DW2600" s="4" t="s">
        <v>2681</v>
      </c>
      <c r="HO2600" s="4" t="s">
        <v>267</v>
      </c>
    </row>
    <row r="2601" spans="1:223" ht="19.5" customHeight="1" x14ac:dyDescent="0.4">
      <c r="A2601" s="4">
        <v>1</v>
      </c>
      <c r="B2601" s="4" t="s">
        <v>239</v>
      </c>
      <c r="C2601" s="4">
        <v>4304</v>
      </c>
      <c r="D2601" s="4">
        <v>1</v>
      </c>
      <c r="E2601" s="4">
        <v>1</v>
      </c>
      <c r="F2601" s="4" t="s">
        <v>268</v>
      </c>
      <c r="G2601" s="4" t="s">
        <v>241</v>
      </c>
      <c r="H2601" s="4" t="s">
        <v>241</v>
      </c>
      <c r="I2601" s="4" t="s">
        <v>424</v>
      </c>
      <c r="J2601" s="4" t="s">
        <v>274</v>
      </c>
      <c r="K2601" s="4" t="s">
        <v>251</v>
      </c>
      <c r="L2601" s="4" t="s">
        <v>423</v>
      </c>
      <c r="M2601" s="5" t="s">
        <v>4041</v>
      </c>
      <c r="N2601" s="6">
        <f>690</f>
        <v>690</v>
      </c>
      <c r="O2601" s="4" t="s">
        <v>265</v>
      </c>
      <c r="P2601" s="6">
        <f>1</f>
        <v>1</v>
      </c>
      <c r="Q2601" s="6">
        <f>0</f>
        <v>0</v>
      </c>
      <c r="S2601" s="6">
        <f>0</f>
        <v>0</v>
      </c>
      <c r="T2601" s="6">
        <f>1</f>
        <v>1</v>
      </c>
      <c r="U2601" s="5" t="s">
        <v>245</v>
      </c>
      <c r="V2601" s="4" t="s">
        <v>270</v>
      </c>
      <c r="W2601" s="4" t="s">
        <v>271</v>
      </c>
      <c r="X2601" s="4" t="s">
        <v>273</v>
      </c>
      <c r="Y2601" s="4" t="s">
        <v>241</v>
      </c>
      <c r="AB2601" s="4" t="s">
        <v>241</v>
      </c>
      <c r="AD2601" s="5" t="s">
        <v>241</v>
      </c>
      <c r="AG2601" s="5" t="s">
        <v>246</v>
      </c>
      <c r="AH2601" s="4" t="s">
        <v>241</v>
      </c>
      <c r="AI2601" s="4" t="s">
        <v>247</v>
      </c>
      <c r="AJ2601" s="4" t="s">
        <v>248</v>
      </c>
      <c r="AZ2601" s="4" t="s">
        <v>249</v>
      </c>
      <c r="BA2601" s="4" t="s">
        <v>241</v>
      </c>
      <c r="BB2601" s="4" t="s">
        <v>250</v>
      </c>
      <c r="BC2601" s="4" t="s">
        <v>241</v>
      </c>
      <c r="BD2601" s="4" t="s">
        <v>252</v>
      </c>
      <c r="BE2601" s="4" t="s">
        <v>241</v>
      </c>
      <c r="BI2601" s="4" t="s">
        <v>253</v>
      </c>
      <c r="BJ2601" s="5" t="s">
        <v>246</v>
      </c>
      <c r="BK2601" s="4" t="s">
        <v>254</v>
      </c>
      <c r="BL2601" s="4" t="s">
        <v>255</v>
      </c>
      <c r="BM2601" s="4" t="s">
        <v>241</v>
      </c>
      <c r="BN2601" s="6">
        <f>0</f>
        <v>0</v>
      </c>
      <c r="BO2601" s="6">
        <f>0</f>
        <v>0</v>
      </c>
      <c r="BP2601" s="4" t="s">
        <v>256</v>
      </c>
      <c r="BQ2601" s="4" t="s">
        <v>257</v>
      </c>
      <c r="CE2601" s="4" t="s">
        <v>241</v>
      </c>
      <c r="CF2601" s="4" t="s">
        <v>241</v>
      </c>
      <c r="CJ2601" s="4" t="s">
        <v>276</v>
      </c>
      <c r="CK2601" s="4" t="s">
        <v>259</v>
      </c>
      <c r="CL2601" s="4" t="s">
        <v>241</v>
      </c>
      <c r="CO2601" s="5" t="s">
        <v>260</v>
      </c>
      <c r="CP2601" s="4" t="s">
        <v>241</v>
      </c>
      <c r="CQ2601" s="4" t="s">
        <v>261</v>
      </c>
      <c r="CR2601" s="4" t="s">
        <v>241</v>
      </c>
      <c r="CS2601" s="4" t="s">
        <v>241</v>
      </c>
      <c r="CT2601" s="4">
        <v>0</v>
      </c>
      <c r="CU2601" s="4" t="s">
        <v>262</v>
      </c>
      <c r="CV2601" s="4" t="s">
        <v>263</v>
      </c>
      <c r="CW2601" s="4" t="s">
        <v>263</v>
      </c>
      <c r="CX2601" s="4" t="s">
        <v>264</v>
      </c>
      <c r="DA2601" s="6">
        <f>1</f>
        <v>1</v>
      </c>
      <c r="DC2601" s="4" t="s">
        <v>325</v>
      </c>
      <c r="DD2601" s="4" t="s">
        <v>241</v>
      </c>
      <c r="DF2601" s="4" t="s">
        <v>325</v>
      </c>
      <c r="DG2601" s="6">
        <f>690</f>
        <v>690</v>
      </c>
      <c r="DI2601" s="4" t="s">
        <v>241</v>
      </c>
      <c r="DJ2601" s="4" t="s">
        <v>241</v>
      </c>
      <c r="DK2601" s="4" t="s">
        <v>241</v>
      </c>
      <c r="DL2601" s="4" t="s">
        <v>241</v>
      </c>
      <c r="DP2601" s="4" t="s">
        <v>241</v>
      </c>
      <c r="DQ2601" s="4" t="s">
        <v>241</v>
      </c>
      <c r="DR2601" s="4" t="s">
        <v>241</v>
      </c>
      <c r="DS2601" s="4" t="s">
        <v>241</v>
      </c>
      <c r="DV2601" s="4" t="s">
        <v>426</v>
      </c>
      <c r="DW2601" s="4" t="s">
        <v>2679</v>
      </c>
      <c r="HO2601" s="4" t="s">
        <v>267</v>
      </c>
    </row>
    <row r="2602" spans="1:223" ht="19.5" customHeight="1" x14ac:dyDescent="0.4">
      <c r="A2602" s="4">
        <v>1</v>
      </c>
      <c r="B2602" s="4" t="s">
        <v>239</v>
      </c>
      <c r="C2602" s="4">
        <v>4305</v>
      </c>
      <c r="D2602" s="4">
        <v>1</v>
      </c>
      <c r="E2602" s="4">
        <v>1</v>
      </c>
      <c r="F2602" s="4" t="s">
        <v>268</v>
      </c>
      <c r="G2602" s="4" t="s">
        <v>241</v>
      </c>
      <c r="H2602" s="4" t="s">
        <v>241</v>
      </c>
      <c r="I2602" s="4" t="s">
        <v>424</v>
      </c>
      <c r="J2602" s="4" t="s">
        <v>274</v>
      </c>
      <c r="K2602" s="4" t="s">
        <v>251</v>
      </c>
      <c r="L2602" s="4" t="s">
        <v>423</v>
      </c>
      <c r="M2602" s="5" t="s">
        <v>4045</v>
      </c>
      <c r="N2602" s="6">
        <f>943</f>
        <v>943</v>
      </c>
      <c r="O2602" s="4" t="s">
        <v>265</v>
      </c>
      <c r="P2602" s="6">
        <f>1</f>
        <v>1</v>
      </c>
      <c r="Q2602" s="6">
        <f>0</f>
        <v>0</v>
      </c>
      <c r="S2602" s="6">
        <f>0</f>
        <v>0</v>
      </c>
      <c r="T2602" s="6">
        <f>1</f>
        <v>1</v>
      </c>
      <c r="U2602" s="5" t="s">
        <v>245</v>
      </c>
      <c r="V2602" s="4" t="s">
        <v>270</v>
      </c>
      <c r="W2602" s="4" t="s">
        <v>271</v>
      </c>
      <c r="X2602" s="4" t="s">
        <v>273</v>
      </c>
      <c r="Y2602" s="4" t="s">
        <v>241</v>
      </c>
      <c r="AB2602" s="4" t="s">
        <v>241</v>
      </c>
      <c r="AD2602" s="5" t="s">
        <v>241</v>
      </c>
      <c r="AG2602" s="5" t="s">
        <v>246</v>
      </c>
      <c r="AH2602" s="4" t="s">
        <v>241</v>
      </c>
      <c r="AI2602" s="4" t="s">
        <v>247</v>
      </c>
      <c r="AJ2602" s="4" t="s">
        <v>248</v>
      </c>
      <c r="AZ2602" s="4" t="s">
        <v>249</v>
      </c>
      <c r="BA2602" s="4" t="s">
        <v>241</v>
      </c>
      <c r="BB2602" s="4" t="s">
        <v>250</v>
      </c>
      <c r="BC2602" s="4" t="s">
        <v>241</v>
      </c>
      <c r="BD2602" s="4" t="s">
        <v>252</v>
      </c>
      <c r="BE2602" s="4" t="s">
        <v>241</v>
      </c>
      <c r="BI2602" s="4" t="s">
        <v>253</v>
      </c>
      <c r="BJ2602" s="5" t="s">
        <v>246</v>
      </c>
      <c r="BK2602" s="4" t="s">
        <v>254</v>
      </c>
      <c r="BL2602" s="4" t="s">
        <v>255</v>
      </c>
      <c r="BM2602" s="4" t="s">
        <v>241</v>
      </c>
      <c r="BN2602" s="6">
        <f>0</f>
        <v>0</v>
      </c>
      <c r="BO2602" s="6">
        <f>0</f>
        <v>0</v>
      </c>
      <c r="BP2602" s="4" t="s">
        <v>256</v>
      </c>
      <c r="BQ2602" s="4" t="s">
        <v>257</v>
      </c>
      <c r="CE2602" s="4" t="s">
        <v>241</v>
      </c>
      <c r="CF2602" s="4" t="s">
        <v>241</v>
      </c>
      <c r="CJ2602" s="4" t="s">
        <v>276</v>
      </c>
      <c r="CK2602" s="4" t="s">
        <v>259</v>
      </c>
      <c r="CL2602" s="4" t="s">
        <v>241</v>
      </c>
      <c r="CO2602" s="5" t="s">
        <v>260</v>
      </c>
      <c r="CP2602" s="4" t="s">
        <v>241</v>
      </c>
      <c r="CQ2602" s="4" t="s">
        <v>261</v>
      </c>
      <c r="CR2602" s="4" t="s">
        <v>241</v>
      </c>
      <c r="CS2602" s="4" t="s">
        <v>241</v>
      </c>
      <c r="CT2602" s="4">
        <v>0</v>
      </c>
      <c r="CU2602" s="4" t="s">
        <v>262</v>
      </c>
      <c r="CV2602" s="4" t="s">
        <v>263</v>
      </c>
      <c r="CW2602" s="4" t="s">
        <v>263</v>
      </c>
      <c r="CX2602" s="4" t="s">
        <v>264</v>
      </c>
      <c r="DA2602" s="6">
        <f>1</f>
        <v>1</v>
      </c>
      <c r="DC2602" s="4" t="s">
        <v>325</v>
      </c>
      <c r="DD2602" s="4" t="s">
        <v>241</v>
      </c>
      <c r="DF2602" s="4" t="s">
        <v>325</v>
      </c>
      <c r="DG2602" s="6">
        <f>943</f>
        <v>943</v>
      </c>
      <c r="DI2602" s="4" t="s">
        <v>241</v>
      </c>
      <c r="DJ2602" s="4" t="s">
        <v>241</v>
      </c>
      <c r="DK2602" s="4" t="s">
        <v>241</v>
      </c>
      <c r="DL2602" s="4" t="s">
        <v>241</v>
      </c>
      <c r="DP2602" s="4" t="s">
        <v>241</v>
      </c>
      <c r="DQ2602" s="4" t="s">
        <v>241</v>
      </c>
      <c r="DR2602" s="4" t="s">
        <v>241</v>
      </c>
      <c r="DS2602" s="4" t="s">
        <v>241</v>
      </c>
      <c r="DV2602" s="4" t="s">
        <v>426</v>
      </c>
      <c r="DW2602" s="4" t="s">
        <v>2675</v>
      </c>
      <c r="HO2602" s="4" t="s">
        <v>267</v>
      </c>
    </row>
    <row r="2603" spans="1:223" ht="19.5" customHeight="1" x14ac:dyDescent="0.4">
      <c r="A2603" s="4">
        <v>1</v>
      </c>
      <c r="B2603" s="4" t="s">
        <v>239</v>
      </c>
      <c r="C2603" s="4">
        <v>4306</v>
      </c>
      <c r="D2603" s="4">
        <v>1</v>
      </c>
      <c r="E2603" s="4">
        <v>1</v>
      </c>
      <c r="F2603" s="4" t="s">
        <v>268</v>
      </c>
      <c r="G2603" s="4" t="s">
        <v>241</v>
      </c>
      <c r="H2603" s="4" t="s">
        <v>241</v>
      </c>
      <c r="I2603" s="4" t="s">
        <v>424</v>
      </c>
      <c r="J2603" s="4" t="s">
        <v>274</v>
      </c>
      <c r="K2603" s="4" t="s">
        <v>251</v>
      </c>
      <c r="L2603" s="4" t="s">
        <v>423</v>
      </c>
      <c r="M2603" s="5" t="s">
        <v>4050</v>
      </c>
      <c r="N2603" s="6">
        <f>327</f>
        <v>327</v>
      </c>
      <c r="O2603" s="4" t="s">
        <v>265</v>
      </c>
      <c r="P2603" s="6">
        <f>1</f>
        <v>1</v>
      </c>
      <c r="Q2603" s="6">
        <f>0</f>
        <v>0</v>
      </c>
      <c r="S2603" s="6">
        <f>0</f>
        <v>0</v>
      </c>
      <c r="T2603" s="6">
        <f>1</f>
        <v>1</v>
      </c>
      <c r="U2603" s="5" t="s">
        <v>245</v>
      </c>
      <c r="V2603" s="4" t="s">
        <v>270</v>
      </c>
      <c r="W2603" s="4" t="s">
        <v>271</v>
      </c>
      <c r="X2603" s="4" t="s">
        <v>273</v>
      </c>
      <c r="Y2603" s="4" t="s">
        <v>241</v>
      </c>
      <c r="AB2603" s="4" t="s">
        <v>241</v>
      </c>
      <c r="AD2603" s="5" t="s">
        <v>241</v>
      </c>
      <c r="AG2603" s="5" t="s">
        <v>246</v>
      </c>
      <c r="AH2603" s="4" t="s">
        <v>241</v>
      </c>
      <c r="AI2603" s="4" t="s">
        <v>247</v>
      </c>
      <c r="AJ2603" s="4" t="s">
        <v>248</v>
      </c>
      <c r="AZ2603" s="4" t="s">
        <v>249</v>
      </c>
      <c r="BA2603" s="4" t="s">
        <v>241</v>
      </c>
      <c r="BB2603" s="4" t="s">
        <v>250</v>
      </c>
      <c r="BC2603" s="4" t="s">
        <v>241</v>
      </c>
      <c r="BD2603" s="4" t="s">
        <v>252</v>
      </c>
      <c r="BE2603" s="4" t="s">
        <v>241</v>
      </c>
      <c r="BI2603" s="4" t="s">
        <v>253</v>
      </c>
      <c r="BJ2603" s="5" t="s">
        <v>246</v>
      </c>
      <c r="BK2603" s="4" t="s">
        <v>254</v>
      </c>
      <c r="BL2603" s="4" t="s">
        <v>255</v>
      </c>
      <c r="BM2603" s="4" t="s">
        <v>241</v>
      </c>
      <c r="BN2603" s="6">
        <f>0</f>
        <v>0</v>
      </c>
      <c r="BO2603" s="6">
        <f>0</f>
        <v>0</v>
      </c>
      <c r="BP2603" s="4" t="s">
        <v>256</v>
      </c>
      <c r="BQ2603" s="4" t="s">
        <v>257</v>
      </c>
      <c r="CE2603" s="4" t="s">
        <v>241</v>
      </c>
      <c r="CF2603" s="4" t="s">
        <v>241</v>
      </c>
      <c r="CJ2603" s="4" t="s">
        <v>276</v>
      </c>
      <c r="CK2603" s="4" t="s">
        <v>259</v>
      </c>
      <c r="CL2603" s="4" t="s">
        <v>241</v>
      </c>
      <c r="CO2603" s="5" t="s">
        <v>260</v>
      </c>
      <c r="CP2603" s="4" t="s">
        <v>241</v>
      </c>
      <c r="CQ2603" s="4" t="s">
        <v>261</v>
      </c>
      <c r="CR2603" s="4" t="s">
        <v>241</v>
      </c>
      <c r="CS2603" s="4" t="s">
        <v>241</v>
      </c>
      <c r="CT2603" s="4">
        <v>0</v>
      </c>
      <c r="CU2603" s="4" t="s">
        <v>262</v>
      </c>
      <c r="CV2603" s="4" t="s">
        <v>263</v>
      </c>
      <c r="CW2603" s="4" t="s">
        <v>263</v>
      </c>
      <c r="CX2603" s="4" t="s">
        <v>264</v>
      </c>
      <c r="DA2603" s="6">
        <f>1</f>
        <v>1</v>
      </c>
      <c r="DC2603" s="4" t="s">
        <v>325</v>
      </c>
      <c r="DD2603" s="4" t="s">
        <v>241</v>
      </c>
      <c r="DF2603" s="4" t="s">
        <v>325</v>
      </c>
      <c r="DG2603" s="6">
        <f>327</f>
        <v>327</v>
      </c>
      <c r="DI2603" s="4" t="s">
        <v>241</v>
      </c>
      <c r="DJ2603" s="4" t="s">
        <v>241</v>
      </c>
      <c r="DK2603" s="4" t="s">
        <v>241</v>
      </c>
      <c r="DL2603" s="4" t="s">
        <v>241</v>
      </c>
      <c r="DP2603" s="4" t="s">
        <v>241</v>
      </c>
      <c r="DQ2603" s="4" t="s">
        <v>241</v>
      </c>
      <c r="DR2603" s="4" t="s">
        <v>241</v>
      </c>
      <c r="DS2603" s="4" t="s">
        <v>241</v>
      </c>
      <c r="DV2603" s="4" t="s">
        <v>426</v>
      </c>
      <c r="DW2603" s="4" t="s">
        <v>2671</v>
      </c>
      <c r="HO2603" s="4" t="s">
        <v>267</v>
      </c>
    </row>
    <row r="2604" spans="1:223" ht="19.5" customHeight="1" x14ac:dyDescent="0.4">
      <c r="A2604" s="4">
        <v>1</v>
      </c>
      <c r="B2604" s="4" t="s">
        <v>239</v>
      </c>
      <c r="C2604" s="4">
        <v>4307</v>
      </c>
      <c r="D2604" s="4">
        <v>1</v>
      </c>
      <c r="E2604" s="4">
        <v>1</v>
      </c>
      <c r="F2604" s="4" t="s">
        <v>268</v>
      </c>
      <c r="G2604" s="4" t="s">
        <v>241</v>
      </c>
      <c r="H2604" s="4" t="s">
        <v>241</v>
      </c>
      <c r="I2604" s="4" t="s">
        <v>424</v>
      </c>
      <c r="J2604" s="4" t="s">
        <v>274</v>
      </c>
      <c r="K2604" s="4" t="s">
        <v>251</v>
      </c>
      <c r="L2604" s="4" t="s">
        <v>423</v>
      </c>
      <c r="M2604" s="5" t="s">
        <v>4052</v>
      </c>
      <c r="N2604" s="6">
        <f>359</f>
        <v>359</v>
      </c>
      <c r="O2604" s="4" t="s">
        <v>265</v>
      </c>
      <c r="P2604" s="6">
        <f>1</f>
        <v>1</v>
      </c>
      <c r="Q2604" s="6">
        <f>0</f>
        <v>0</v>
      </c>
      <c r="S2604" s="6">
        <f>0</f>
        <v>0</v>
      </c>
      <c r="T2604" s="6">
        <f>1</f>
        <v>1</v>
      </c>
      <c r="U2604" s="5" t="s">
        <v>245</v>
      </c>
      <c r="V2604" s="4" t="s">
        <v>270</v>
      </c>
      <c r="W2604" s="4" t="s">
        <v>271</v>
      </c>
      <c r="X2604" s="4" t="s">
        <v>273</v>
      </c>
      <c r="Y2604" s="4" t="s">
        <v>241</v>
      </c>
      <c r="AB2604" s="4" t="s">
        <v>241</v>
      </c>
      <c r="AD2604" s="5" t="s">
        <v>241</v>
      </c>
      <c r="AG2604" s="5" t="s">
        <v>246</v>
      </c>
      <c r="AH2604" s="4" t="s">
        <v>241</v>
      </c>
      <c r="AI2604" s="4" t="s">
        <v>247</v>
      </c>
      <c r="AJ2604" s="4" t="s">
        <v>248</v>
      </c>
      <c r="AZ2604" s="4" t="s">
        <v>249</v>
      </c>
      <c r="BA2604" s="4" t="s">
        <v>241</v>
      </c>
      <c r="BB2604" s="4" t="s">
        <v>250</v>
      </c>
      <c r="BC2604" s="4" t="s">
        <v>241</v>
      </c>
      <c r="BD2604" s="4" t="s">
        <v>252</v>
      </c>
      <c r="BE2604" s="4" t="s">
        <v>241</v>
      </c>
      <c r="BI2604" s="4" t="s">
        <v>253</v>
      </c>
      <c r="BJ2604" s="5" t="s">
        <v>246</v>
      </c>
      <c r="BK2604" s="4" t="s">
        <v>254</v>
      </c>
      <c r="BL2604" s="4" t="s">
        <v>255</v>
      </c>
      <c r="BM2604" s="4" t="s">
        <v>241</v>
      </c>
      <c r="BN2604" s="6">
        <f>0</f>
        <v>0</v>
      </c>
      <c r="BO2604" s="6">
        <f>0</f>
        <v>0</v>
      </c>
      <c r="BP2604" s="4" t="s">
        <v>256</v>
      </c>
      <c r="BQ2604" s="4" t="s">
        <v>257</v>
      </c>
      <c r="CE2604" s="4" t="s">
        <v>241</v>
      </c>
      <c r="CF2604" s="4" t="s">
        <v>241</v>
      </c>
      <c r="CJ2604" s="4" t="s">
        <v>276</v>
      </c>
      <c r="CK2604" s="4" t="s">
        <v>259</v>
      </c>
      <c r="CL2604" s="4" t="s">
        <v>241</v>
      </c>
      <c r="CO2604" s="5" t="s">
        <v>260</v>
      </c>
      <c r="CP2604" s="4" t="s">
        <v>241</v>
      </c>
      <c r="CQ2604" s="4" t="s">
        <v>261</v>
      </c>
      <c r="CR2604" s="4" t="s">
        <v>241</v>
      </c>
      <c r="CS2604" s="4" t="s">
        <v>241</v>
      </c>
      <c r="CT2604" s="4">
        <v>0</v>
      </c>
      <c r="CU2604" s="4" t="s">
        <v>262</v>
      </c>
      <c r="CV2604" s="4" t="s">
        <v>263</v>
      </c>
      <c r="CW2604" s="4" t="s">
        <v>263</v>
      </c>
      <c r="CX2604" s="4" t="s">
        <v>264</v>
      </c>
      <c r="DA2604" s="6">
        <f>1</f>
        <v>1</v>
      </c>
      <c r="DC2604" s="4" t="s">
        <v>325</v>
      </c>
      <c r="DD2604" s="4" t="s">
        <v>241</v>
      </c>
      <c r="DF2604" s="4" t="s">
        <v>325</v>
      </c>
      <c r="DG2604" s="6">
        <f>359</f>
        <v>359</v>
      </c>
      <c r="DI2604" s="4" t="s">
        <v>241</v>
      </c>
      <c r="DJ2604" s="4" t="s">
        <v>241</v>
      </c>
      <c r="DK2604" s="4" t="s">
        <v>241</v>
      </c>
      <c r="DL2604" s="4" t="s">
        <v>241</v>
      </c>
      <c r="DP2604" s="4" t="s">
        <v>241</v>
      </c>
      <c r="DQ2604" s="4" t="s">
        <v>241</v>
      </c>
      <c r="DR2604" s="4" t="s">
        <v>241</v>
      </c>
      <c r="DS2604" s="4" t="s">
        <v>241</v>
      </c>
      <c r="DV2604" s="4" t="s">
        <v>426</v>
      </c>
      <c r="DW2604" s="4" t="s">
        <v>2667</v>
      </c>
      <c r="HO2604" s="4" t="s">
        <v>267</v>
      </c>
    </row>
    <row r="2605" spans="1:223" ht="19.5" customHeight="1" x14ac:dyDescent="0.4">
      <c r="A2605" s="4">
        <v>1</v>
      </c>
      <c r="B2605" s="4" t="s">
        <v>239</v>
      </c>
      <c r="C2605" s="4">
        <v>4308</v>
      </c>
      <c r="D2605" s="4">
        <v>1</v>
      </c>
      <c r="E2605" s="4">
        <v>1</v>
      </c>
      <c r="F2605" s="4" t="s">
        <v>268</v>
      </c>
      <c r="G2605" s="4" t="s">
        <v>241</v>
      </c>
      <c r="H2605" s="4" t="s">
        <v>241</v>
      </c>
      <c r="I2605" s="4" t="s">
        <v>424</v>
      </c>
      <c r="J2605" s="4" t="s">
        <v>274</v>
      </c>
      <c r="K2605" s="4" t="s">
        <v>251</v>
      </c>
      <c r="L2605" s="4" t="s">
        <v>423</v>
      </c>
      <c r="M2605" s="5" t="s">
        <v>4056</v>
      </c>
      <c r="N2605" s="6">
        <f>177</f>
        <v>177</v>
      </c>
      <c r="O2605" s="4" t="s">
        <v>265</v>
      </c>
      <c r="P2605" s="6">
        <f>1</f>
        <v>1</v>
      </c>
      <c r="Q2605" s="6">
        <f>0</f>
        <v>0</v>
      </c>
      <c r="S2605" s="6">
        <f>0</f>
        <v>0</v>
      </c>
      <c r="T2605" s="6">
        <f>1</f>
        <v>1</v>
      </c>
      <c r="U2605" s="5" t="s">
        <v>245</v>
      </c>
      <c r="V2605" s="4" t="s">
        <v>270</v>
      </c>
      <c r="W2605" s="4" t="s">
        <v>271</v>
      </c>
      <c r="X2605" s="4" t="s">
        <v>273</v>
      </c>
      <c r="Y2605" s="4" t="s">
        <v>241</v>
      </c>
      <c r="AB2605" s="4" t="s">
        <v>241</v>
      </c>
      <c r="AD2605" s="5" t="s">
        <v>241</v>
      </c>
      <c r="AG2605" s="5" t="s">
        <v>246</v>
      </c>
      <c r="AH2605" s="4" t="s">
        <v>241</v>
      </c>
      <c r="AI2605" s="4" t="s">
        <v>247</v>
      </c>
      <c r="AJ2605" s="4" t="s">
        <v>248</v>
      </c>
      <c r="AZ2605" s="4" t="s">
        <v>249</v>
      </c>
      <c r="BA2605" s="4" t="s">
        <v>241</v>
      </c>
      <c r="BB2605" s="4" t="s">
        <v>250</v>
      </c>
      <c r="BC2605" s="4" t="s">
        <v>241</v>
      </c>
      <c r="BD2605" s="4" t="s">
        <v>252</v>
      </c>
      <c r="BE2605" s="4" t="s">
        <v>241</v>
      </c>
      <c r="BI2605" s="4" t="s">
        <v>253</v>
      </c>
      <c r="BJ2605" s="5" t="s">
        <v>246</v>
      </c>
      <c r="BK2605" s="4" t="s">
        <v>254</v>
      </c>
      <c r="BL2605" s="4" t="s">
        <v>255</v>
      </c>
      <c r="BM2605" s="4" t="s">
        <v>241</v>
      </c>
      <c r="BN2605" s="6">
        <f>0</f>
        <v>0</v>
      </c>
      <c r="BO2605" s="6">
        <f>0</f>
        <v>0</v>
      </c>
      <c r="BP2605" s="4" t="s">
        <v>256</v>
      </c>
      <c r="BQ2605" s="4" t="s">
        <v>257</v>
      </c>
      <c r="CE2605" s="4" t="s">
        <v>241</v>
      </c>
      <c r="CF2605" s="4" t="s">
        <v>241</v>
      </c>
      <c r="CJ2605" s="4" t="s">
        <v>276</v>
      </c>
      <c r="CK2605" s="4" t="s">
        <v>259</v>
      </c>
      <c r="CL2605" s="4" t="s">
        <v>241</v>
      </c>
      <c r="CO2605" s="5" t="s">
        <v>260</v>
      </c>
      <c r="CP2605" s="4" t="s">
        <v>241</v>
      </c>
      <c r="CQ2605" s="4" t="s">
        <v>261</v>
      </c>
      <c r="CR2605" s="4" t="s">
        <v>241</v>
      </c>
      <c r="CS2605" s="4" t="s">
        <v>241</v>
      </c>
      <c r="CT2605" s="4">
        <v>0</v>
      </c>
      <c r="CU2605" s="4" t="s">
        <v>262</v>
      </c>
      <c r="CV2605" s="4" t="s">
        <v>263</v>
      </c>
      <c r="CW2605" s="4" t="s">
        <v>263</v>
      </c>
      <c r="CX2605" s="4" t="s">
        <v>264</v>
      </c>
      <c r="DA2605" s="6">
        <f>1</f>
        <v>1</v>
      </c>
      <c r="DC2605" s="4" t="s">
        <v>325</v>
      </c>
      <c r="DD2605" s="4" t="s">
        <v>241</v>
      </c>
      <c r="DF2605" s="4" t="s">
        <v>325</v>
      </c>
      <c r="DG2605" s="6">
        <f>177</f>
        <v>177</v>
      </c>
      <c r="DI2605" s="4" t="s">
        <v>241</v>
      </c>
      <c r="DJ2605" s="4" t="s">
        <v>241</v>
      </c>
      <c r="DK2605" s="4" t="s">
        <v>241</v>
      </c>
      <c r="DL2605" s="4" t="s">
        <v>241</v>
      </c>
      <c r="DP2605" s="4" t="s">
        <v>241</v>
      </c>
      <c r="DQ2605" s="4" t="s">
        <v>241</v>
      </c>
      <c r="DR2605" s="4" t="s">
        <v>241</v>
      </c>
      <c r="DS2605" s="4" t="s">
        <v>241</v>
      </c>
      <c r="DV2605" s="4" t="s">
        <v>426</v>
      </c>
      <c r="DW2605" s="4" t="s">
        <v>2663</v>
      </c>
      <c r="HO2605" s="4" t="s">
        <v>267</v>
      </c>
    </row>
    <row r="2606" spans="1:223" ht="19.5" customHeight="1" x14ac:dyDescent="0.4">
      <c r="A2606" s="4">
        <v>1</v>
      </c>
      <c r="B2606" s="4" t="s">
        <v>239</v>
      </c>
      <c r="C2606" s="4">
        <v>4309</v>
      </c>
      <c r="D2606" s="4">
        <v>1</v>
      </c>
      <c r="E2606" s="4">
        <v>1</v>
      </c>
      <c r="F2606" s="4" t="s">
        <v>268</v>
      </c>
      <c r="G2606" s="4" t="s">
        <v>241</v>
      </c>
      <c r="H2606" s="4" t="s">
        <v>241</v>
      </c>
      <c r="I2606" s="4" t="s">
        <v>424</v>
      </c>
      <c r="J2606" s="4" t="s">
        <v>274</v>
      </c>
      <c r="K2606" s="4" t="s">
        <v>251</v>
      </c>
      <c r="L2606" s="4" t="s">
        <v>423</v>
      </c>
      <c r="M2606" s="5" t="s">
        <v>4059</v>
      </c>
      <c r="N2606" s="6">
        <f>42</f>
        <v>42</v>
      </c>
      <c r="O2606" s="4" t="s">
        <v>265</v>
      </c>
      <c r="P2606" s="6">
        <f>1</f>
        <v>1</v>
      </c>
      <c r="Q2606" s="6">
        <f>0</f>
        <v>0</v>
      </c>
      <c r="S2606" s="6">
        <f>0</f>
        <v>0</v>
      </c>
      <c r="T2606" s="6">
        <f>1</f>
        <v>1</v>
      </c>
      <c r="U2606" s="5" t="s">
        <v>245</v>
      </c>
      <c r="V2606" s="4" t="s">
        <v>270</v>
      </c>
      <c r="W2606" s="4" t="s">
        <v>271</v>
      </c>
      <c r="X2606" s="4" t="s">
        <v>273</v>
      </c>
      <c r="Y2606" s="4" t="s">
        <v>241</v>
      </c>
      <c r="AB2606" s="4" t="s">
        <v>241</v>
      </c>
      <c r="AD2606" s="5" t="s">
        <v>241</v>
      </c>
      <c r="AG2606" s="5" t="s">
        <v>246</v>
      </c>
      <c r="AH2606" s="4" t="s">
        <v>241</v>
      </c>
      <c r="AI2606" s="4" t="s">
        <v>247</v>
      </c>
      <c r="AJ2606" s="4" t="s">
        <v>248</v>
      </c>
      <c r="AZ2606" s="4" t="s">
        <v>249</v>
      </c>
      <c r="BA2606" s="4" t="s">
        <v>241</v>
      </c>
      <c r="BB2606" s="4" t="s">
        <v>250</v>
      </c>
      <c r="BC2606" s="4" t="s">
        <v>241</v>
      </c>
      <c r="BD2606" s="4" t="s">
        <v>252</v>
      </c>
      <c r="BE2606" s="4" t="s">
        <v>241</v>
      </c>
      <c r="BI2606" s="4" t="s">
        <v>253</v>
      </c>
      <c r="BJ2606" s="5" t="s">
        <v>246</v>
      </c>
      <c r="BK2606" s="4" t="s">
        <v>254</v>
      </c>
      <c r="BL2606" s="4" t="s">
        <v>255</v>
      </c>
      <c r="BM2606" s="4" t="s">
        <v>241</v>
      </c>
      <c r="BN2606" s="6">
        <f>0</f>
        <v>0</v>
      </c>
      <c r="BO2606" s="6">
        <f>0</f>
        <v>0</v>
      </c>
      <c r="BP2606" s="4" t="s">
        <v>256</v>
      </c>
      <c r="BQ2606" s="4" t="s">
        <v>257</v>
      </c>
      <c r="CE2606" s="4" t="s">
        <v>241</v>
      </c>
      <c r="CF2606" s="4" t="s">
        <v>241</v>
      </c>
      <c r="CJ2606" s="4" t="s">
        <v>276</v>
      </c>
      <c r="CK2606" s="4" t="s">
        <v>259</v>
      </c>
      <c r="CL2606" s="4" t="s">
        <v>241</v>
      </c>
      <c r="CO2606" s="5" t="s">
        <v>260</v>
      </c>
      <c r="CP2606" s="4" t="s">
        <v>241</v>
      </c>
      <c r="CQ2606" s="4" t="s">
        <v>261</v>
      </c>
      <c r="CR2606" s="4" t="s">
        <v>241</v>
      </c>
      <c r="CS2606" s="4" t="s">
        <v>241</v>
      </c>
      <c r="CT2606" s="4">
        <v>0</v>
      </c>
      <c r="CU2606" s="4" t="s">
        <v>262</v>
      </c>
      <c r="CV2606" s="4" t="s">
        <v>263</v>
      </c>
      <c r="CW2606" s="4" t="s">
        <v>263</v>
      </c>
      <c r="CX2606" s="4" t="s">
        <v>264</v>
      </c>
      <c r="DA2606" s="6">
        <f>1</f>
        <v>1</v>
      </c>
      <c r="DC2606" s="4" t="s">
        <v>325</v>
      </c>
      <c r="DD2606" s="4" t="s">
        <v>241</v>
      </c>
      <c r="DF2606" s="4" t="s">
        <v>325</v>
      </c>
      <c r="DG2606" s="6">
        <f>42</f>
        <v>42</v>
      </c>
      <c r="DI2606" s="4" t="s">
        <v>241</v>
      </c>
      <c r="DJ2606" s="4" t="s">
        <v>241</v>
      </c>
      <c r="DK2606" s="4" t="s">
        <v>241</v>
      </c>
      <c r="DL2606" s="4" t="s">
        <v>241</v>
      </c>
      <c r="DP2606" s="4" t="s">
        <v>241</v>
      </c>
      <c r="DQ2606" s="4" t="s">
        <v>241</v>
      </c>
      <c r="DR2606" s="4" t="s">
        <v>241</v>
      </c>
      <c r="DS2606" s="4" t="s">
        <v>241</v>
      </c>
      <c r="DV2606" s="4" t="s">
        <v>426</v>
      </c>
      <c r="DW2606" s="4" t="s">
        <v>2658</v>
      </c>
      <c r="HO2606" s="4" t="s">
        <v>267</v>
      </c>
    </row>
    <row r="2607" spans="1:223" ht="19.5" customHeight="1" x14ac:dyDescent="0.4">
      <c r="A2607" s="4">
        <v>1</v>
      </c>
      <c r="B2607" s="4" t="s">
        <v>239</v>
      </c>
      <c r="C2607" s="4">
        <v>4310</v>
      </c>
      <c r="D2607" s="4">
        <v>1</v>
      </c>
      <c r="E2607" s="4">
        <v>1</v>
      </c>
      <c r="F2607" s="4" t="s">
        <v>268</v>
      </c>
      <c r="G2607" s="4" t="s">
        <v>241</v>
      </c>
      <c r="H2607" s="4" t="s">
        <v>241</v>
      </c>
      <c r="I2607" s="4" t="s">
        <v>424</v>
      </c>
      <c r="J2607" s="4" t="s">
        <v>274</v>
      </c>
      <c r="K2607" s="4" t="s">
        <v>251</v>
      </c>
      <c r="L2607" s="4" t="s">
        <v>423</v>
      </c>
      <c r="M2607" s="5" t="s">
        <v>4063</v>
      </c>
      <c r="N2607" s="6">
        <f>397</f>
        <v>397</v>
      </c>
      <c r="O2607" s="4" t="s">
        <v>265</v>
      </c>
      <c r="P2607" s="6">
        <f>1</f>
        <v>1</v>
      </c>
      <c r="Q2607" s="6">
        <f>0</f>
        <v>0</v>
      </c>
      <c r="S2607" s="6">
        <f>0</f>
        <v>0</v>
      </c>
      <c r="T2607" s="6">
        <f>1</f>
        <v>1</v>
      </c>
      <c r="U2607" s="5" t="s">
        <v>245</v>
      </c>
      <c r="V2607" s="4" t="s">
        <v>270</v>
      </c>
      <c r="W2607" s="4" t="s">
        <v>271</v>
      </c>
      <c r="X2607" s="4" t="s">
        <v>273</v>
      </c>
      <c r="Y2607" s="4" t="s">
        <v>241</v>
      </c>
      <c r="AB2607" s="4" t="s">
        <v>241</v>
      </c>
      <c r="AD2607" s="5" t="s">
        <v>241</v>
      </c>
      <c r="AG2607" s="5" t="s">
        <v>246</v>
      </c>
      <c r="AH2607" s="4" t="s">
        <v>241</v>
      </c>
      <c r="AI2607" s="4" t="s">
        <v>247</v>
      </c>
      <c r="AJ2607" s="4" t="s">
        <v>248</v>
      </c>
      <c r="AZ2607" s="4" t="s">
        <v>249</v>
      </c>
      <c r="BA2607" s="4" t="s">
        <v>241</v>
      </c>
      <c r="BB2607" s="4" t="s">
        <v>250</v>
      </c>
      <c r="BC2607" s="4" t="s">
        <v>241</v>
      </c>
      <c r="BD2607" s="4" t="s">
        <v>252</v>
      </c>
      <c r="BE2607" s="4" t="s">
        <v>241</v>
      </c>
      <c r="BI2607" s="4" t="s">
        <v>253</v>
      </c>
      <c r="BJ2607" s="5" t="s">
        <v>246</v>
      </c>
      <c r="BK2607" s="4" t="s">
        <v>254</v>
      </c>
      <c r="BL2607" s="4" t="s">
        <v>255</v>
      </c>
      <c r="BM2607" s="4" t="s">
        <v>241</v>
      </c>
      <c r="BN2607" s="6">
        <f>0</f>
        <v>0</v>
      </c>
      <c r="BO2607" s="6">
        <f>0</f>
        <v>0</v>
      </c>
      <c r="BP2607" s="4" t="s">
        <v>256</v>
      </c>
      <c r="BQ2607" s="4" t="s">
        <v>257</v>
      </c>
      <c r="CE2607" s="4" t="s">
        <v>241</v>
      </c>
      <c r="CF2607" s="4" t="s">
        <v>241</v>
      </c>
      <c r="CJ2607" s="4" t="s">
        <v>276</v>
      </c>
      <c r="CK2607" s="4" t="s">
        <v>259</v>
      </c>
      <c r="CL2607" s="4" t="s">
        <v>241</v>
      </c>
      <c r="CO2607" s="5" t="s">
        <v>260</v>
      </c>
      <c r="CP2607" s="4" t="s">
        <v>241</v>
      </c>
      <c r="CQ2607" s="4" t="s">
        <v>261</v>
      </c>
      <c r="CR2607" s="4" t="s">
        <v>241</v>
      </c>
      <c r="CS2607" s="4" t="s">
        <v>241</v>
      </c>
      <c r="CT2607" s="4">
        <v>0</v>
      </c>
      <c r="CU2607" s="4" t="s">
        <v>262</v>
      </c>
      <c r="CV2607" s="4" t="s">
        <v>263</v>
      </c>
      <c r="CW2607" s="4" t="s">
        <v>263</v>
      </c>
      <c r="CX2607" s="4" t="s">
        <v>264</v>
      </c>
      <c r="DA2607" s="6">
        <f>1</f>
        <v>1</v>
      </c>
      <c r="DC2607" s="4" t="s">
        <v>325</v>
      </c>
      <c r="DD2607" s="4" t="s">
        <v>241</v>
      </c>
      <c r="DF2607" s="4" t="s">
        <v>325</v>
      </c>
      <c r="DG2607" s="6">
        <f>397</f>
        <v>397</v>
      </c>
      <c r="DI2607" s="4" t="s">
        <v>241</v>
      </c>
      <c r="DJ2607" s="4" t="s">
        <v>241</v>
      </c>
      <c r="DK2607" s="4" t="s">
        <v>241</v>
      </c>
      <c r="DL2607" s="4" t="s">
        <v>241</v>
      </c>
      <c r="DP2607" s="4" t="s">
        <v>241</v>
      </c>
      <c r="DQ2607" s="4" t="s">
        <v>241</v>
      </c>
      <c r="DR2607" s="4" t="s">
        <v>241</v>
      </c>
      <c r="DS2607" s="4" t="s">
        <v>241</v>
      </c>
      <c r="DV2607" s="4" t="s">
        <v>426</v>
      </c>
      <c r="DW2607" s="4" t="s">
        <v>2656</v>
      </c>
      <c r="HO2607" s="4" t="s">
        <v>267</v>
      </c>
    </row>
    <row r="2608" spans="1:223" ht="19.5" customHeight="1" x14ac:dyDescent="0.4">
      <c r="A2608" s="4">
        <v>1</v>
      </c>
      <c r="B2608" s="4" t="s">
        <v>239</v>
      </c>
      <c r="C2608" s="4">
        <v>4311</v>
      </c>
      <c r="D2608" s="4">
        <v>1</v>
      </c>
      <c r="E2608" s="4">
        <v>1</v>
      </c>
      <c r="F2608" s="4" t="s">
        <v>268</v>
      </c>
      <c r="G2608" s="4" t="s">
        <v>241</v>
      </c>
      <c r="H2608" s="4" t="s">
        <v>241</v>
      </c>
      <c r="I2608" s="4" t="s">
        <v>424</v>
      </c>
      <c r="J2608" s="4" t="s">
        <v>274</v>
      </c>
      <c r="K2608" s="4" t="s">
        <v>251</v>
      </c>
      <c r="L2608" s="4" t="s">
        <v>423</v>
      </c>
      <c r="M2608" s="5" t="s">
        <v>4067</v>
      </c>
      <c r="N2608" s="6">
        <f>2976</f>
        <v>2976</v>
      </c>
      <c r="O2608" s="4" t="s">
        <v>265</v>
      </c>
      <c r="P2608" s="6">
        <f>1</f>
        <v>1</v>
      </c>
      <c r="Q2608" s="6">
        <f>0</f>
        <v>0</v>
      </c>
      <c r="S2608" s="6">
        <f>0</f>
        <v>0</v>
      </c>
      <c r="T2608" s="6">
        <f>1</f>
        <v>1</v>
      </c>
      <c r="U2608" s="5" t="s">
        <v>245</v>
      </c>
      <c r="V2608" s="4" t="s">
        <v>270</v>
      </c>
      <c r="W2608" s="4" t="s">
        <v>271</v>
      </c>
      <c r="X2608" s="4" t="s">
        <v>273</v>
      </c>
      <c r="Y2608" s="4" t="s">
        <v>241</v>
      </c>
      <c r="AB2608" s="4" t="s">
        <v>241</v>
      </c>
      <c r="AD2608" s="5" t="s">
        <v>241</v>
      </c>
      <c r="AG2608" s="5" t="s">
        <v>246</v>
      </c>
      <c r="AH2608" s="4" t="s">
        <v>241</v>
      </c>
      <c r="AI2608" s="4" t="s">
        <v>247</v>
      </c>
      <c r="AJ2608" s="4" t="s">
        <v>248</v>
      </c>
      <c r="AZ2608" s="4" t="s">
        <v>249</v>
      </c>
      <c r="BA2608" s="4" t="s">
        <v>241</v>
      </c>
      <c r="BB2608" s="4" t="s">
        <v>250</v>
      </c>
      <c r="BC2608" s="4" t="s">
        <v>241</v>
      </c>
      <c r="BD2608" s="4" t="s">
        <v>252</v>
      </c>
      <c r="BE2608" s="4" t="s">
        <v>241</v>
      </c>
      <c r="BI2608" s="4" t="s">
        <v>253</v>
      </c>
      <c r="BJ2608" s="5" t="s">
        <v>246</v>
      </c>
      <c r="BK2608" s="4" t="s">
        <v>254</v>
      </c>
      <c r="BL2608" s="4" t="s">
        <v>255</v>
      </c>
      <c r="BM2608" s="4" t="s">
        <v>241</v>
      </c>
      <c r="BN2608" s="6">
        <f>0</f>
        <v>0</v>
      </c>
      <c r="BO2608" s="6">
        <f>0</f>
        <v>0</v>
      </c>
      <c r="BP2608" s="4" t="s">
        <v>256</v>
      </c>
      <c r="BQ2608" s="4" t="s">
        <v>257</v>
      </c>
      <c r="CE2608" s="4" t="s">
        <v>241</v>
      </c>
      <c r="CF2608" s="4" t="s">
        <v>241</v>
      </c>
      <c r="CJ2608" s="4" t="s">
        <v>276</v>
      </c>
      <c r="CK2608" s="4" t="s">
        <v>259</v>
      </c>
      <c r="CL2608" s="4" t="s">
        <v>241</v>
      </c>
      <c r="CO2608" s="5" t="s">
        <v>260</v>
      </c>
      <c r="CP2608" s="4" t="s">
        <v>241</v>
      </c>
      <c r="CQ2608" s="4" t="s">
        <v>261</v>
      </c>
      <c r="CR2608" s="4" t="s">
        <v>241</v>
      </c>
      <c r="CS2608" s="4" t="s">
        <v>241</v>
      </c>
      <c r="CT2608" s="4">
        <v>0</v>
      </c>
      <c r="CU2608" s="4" t="s">
        <v>262</v>
      </c>
      <c r="CV2608" s="4" t="s">
        <v>263</v>
      </c>
      <c r="CW2608" s="4" t="s">
        <v>263</v>
      </c>
      <c r="CX2608" s="4" t="s">
        <v>264</v>
      </c>
      <c r="DA2608" s="6">
        <f>1</f>
        <v>1</v>
      </c>
      <c r="DC2608" s="4" t="s">
        <v>325</v>
      </c>
      <c r="DD2608" s="4" t="s">
        <v>241</v>
      </c>
      <c r="DF2608" s="4" t="s">
        <v>325</v>
      </c>
      <c r="DG2608" s="6">
        <f>2976</f>
        <v>2976</v>
      </c>
      <c r="DI2608" s="4" t="s">
        <v>241</v>
      </c>
      <c r="DJ2608" s="4" t="s">
        <v>241</v>
      </c>
      <c r="DK2608" s="4" t="s">
        <v>241</v>
      </c>
      <c r="DL2608" s="4" t="s">
        <v>241</v>
      </c>
      <c r="DP2608" s="4" t="s">
        <v>241</v>
      </c>
      <c r="DQ2608" s="4" t="s">
        <v>241</v>
      </c>
      <c r="DR2608" s="4" t="s">
        <v>241</v>
      </c>
      <c r="DS2608" s="4" t="s">
        <v>241</v>
      </c>
      <c r="DV2608" s="4" t="s">
        <v>426</v>
      </c>
      <c r="DW2608" s="4" t="s">
        <v>2654</v>
      </c>
      <c r="HO2608" s="4" t="s">
        <v>267</v>
      </c>
    </row>
    <row r="2609" spans="1:223" ht="19.5" customHeight="1" x14ac:dyDescent="0.4">
      <c r="A2609" s="4">
        <v>1</v>
      </c>
      <c r="B2609" s="4" t="s">
        <v>239</v>
      </c>
      <c r="C2609" s="4">
        <v>4312</v>
      </c>
      <c r="D2609" s="4">
        <v>1</v>
      </c>
      <c r="E2609" s="4">
        <v>1</v>
      </c>
      <c r="F2609" s="4" t="s">
        <v>268</v>
      </c>
      <c r="G2609" s="4" t="s">
        <v>241</v>
      </c>
      <c r="H2609" s="4" t="s">
        <v>241</v>
      </c>
      <c r="I2609" s="4" t="s">
        <v>424</v>
      </c>
      <c r="J2609" s="4" t="s">
        <v>274</v>
      </c>
      <c r="K2609" s="4" t="s">
        <v>251</v>
      </c>
      <c r="L2609" s="4" t="s">
        <v>423</v>
      </c>
      <c r="M2609" s="5" t="s">
        <v>4071</v>
      </c>
      <c r="N2609" s="6">
        <f>947</f>
        <v>947</v>
      </c>
      <c r="O2609" s="4" t="s">
        <v>265</v>
      </c>
      <c r="P2609" s="6">
        <f>1</f>
        <v>1</v>
      </c>
      <c r="Q2609" s="6">
        <f>0</f>
        <v>0</v>
      </c>
      <c r="S2609" s="6">
        <f>0</f>
        <v>0</v>
      </c>
      <c r="T2609" s="6">
        <f>1</f>
        <v>1</v>
      </c>
      <c r="U2609" s="5" t="s">
        <v>245</v>
      </c>
      <c r="V2609" s="4" t="s">
        <v>270</v>
      </c>
      <c r="W2609" s="4" t="s">
        <v>271</v>
      </c>
      <c r="X2609" s="4" t="s">
        <v>273</v>
      </c>
      <c r="Y2609" s="4" t="s">
        <v>241</v>
      </c>
      <c r="AB2609" s="4" t="s">
        <v>241</v>
      </c>
      <c r="AD2609" s="5" t="s">
        <v>241</v>
      </c>
      <c r="AG2609" s="5" t="s">
        <v>246</v>
      </c>
      <c r="AH2609" s="4" t="s">
        <v>241</v>
      </c>
      <c r="AI2609" s="4" t="s">
        <v>247</v>
      </c>
      <c r="AJ2609" s="4" t="s">
        <v>248</v>
      </c>
      <c r="AZ2609" s="4" t="s">
        <v>249</v>
      </c>
      <c r="BA2609" s="4" t="s">
        <v>241</v>
      </c>
      <c r="BB2609" s="4" t="s">
        <v>250</v>
      </c>
      <c r="BC2609" s="4" t="s">
        <v>241</v>
      </c>
      <c r="BD2609" s="4" t="s">
        <v>252</v>
      </c>
      <c r="BE2609" s="4" t="s">
        <v>241</v>
      </c>
      <c r="BI2609" s="4" t="s">
        <v>253</v>
      </c>
      <c r="BJ2609" s="5" t="s">
        <v>246</v>
      </c>
      <c r="BK2609" s="4" t="s">
        <v>254</v>
      </c>
      <c r="BL2609" s="4" t="s">
        <v>255</v>
      </c>
      <c r="BM2609" s="4" t="s">
        <v>241</v>
      </c>
      <c r="BN2609" s="6">
        <f>0</f>
        <v>0</v>
      </c>
      <c r="BO2609" s="6">
        <f>0</f>
        <v>0</v>
      </c>
      <c r="BP2609" s="4" t="s">
        <v>256</v>
      </c>
      <c r="BQ2609" s="4" t="s">
        <v>257</v>
      </c>
      <c r="CE2609" s="4" t="s">
        <v>241</v>
      </c>
      <c r="CF2609" s="4" t="s">
        <v>241</v>
      </c>
      <c r="CJ2609" s="4" t="s">
        <v>276</v>
      </c>
      <c r="CK2609" s="4" t="s">
        <v>259</v>
      </c>
      <c r="CL2609" s="4" t="s">
        <v>241</v>
      </c>
      <c r="CO2609" s="5" t="s">
        <v>260</v>
      </c>
      <c r="CP2609" s="4" t="s">
        <v>241</v>
      </c>
      <c r="CQ2609" s="4" t="s">
        <v>261</v>
      </c>
      <c r="CR2609" s="4" t="s">
        <v>241</v>
      </c>
      <c r="CS2609" s="4" t="s">
        <v>241</v>
      </c>
      <c r="CT2609" s="4">
        <v>0</v>
      </c>
      <c r="CU2609" s="4" t="s">
        <v>262</v>
      </c>
      <c r="CV2609" s="4" t="s">
        <v>263</v>
      </c>
      <c r="CW2609" s="4" t="s">
        <v>263</v>
      </c>
      <c r="CX2609" s="4" t="s">
        <v>264</v>
      </c>
      <c r="DA2609" s="6">
        <f>1</f>
        <v>1</v>
      </c>
      <c r="DC2609" s="4" t="s">
        <v>325</v>
      </c>
      <c r="DD2609" s="4" t="s">
        <v>241</v>
      </c>
      <c r="DF2609" s="4" t="s">
        <v>325</v>
      </c>
      <c r="DG2609" s="6">
        <f>947</f>
        <v>947</v>
      </c>
      <c r="DI2609" s="4" t="s">
        <v>241</v>
      </c>
      <c r="DJ2609" s="4" t="s">
        <v>241</v>
      </c>
      <c r="DK2609" s="4" t="s">
        <v>241</v>
      </c>
      <c r="DL2609" s="4" t="s">
        <v>241</v>
      </c>
      <c r="DP2609" s="4" t="s">
        <v>241</v>
      </c>
      <c r="DQ2609" s="4" t="s">
        <v>241</v>
      </c>
      <c r="DR2609" s="4" t="s">
        <v>241</v>
      </c>
      <c r="DS2609" s="4" t="s">
        <v>241</v>
      </c>
      <c r="DV2609" s="4" t="s">
        <v>426</v>
      </c>
      <c r="DW2609" s="4" t="s">
        <v>2652</v>
      </c>
      <c r="HO2609" s="4" t="s">
        <v>267</v>
      </c>
    </row>
    <row r="2610" spans="1:223" ht="19.5" customHeight="1" x14ac:dyDescent="0.4">
      <c r="A2610" s="4">
        <v>1</v>
      </c>
      <c r="B2610" s="4" t="s">
        <v>239</v>
      </c>
      <c r="C2610" s="4">
        <v>4313</v>
      </c>
      <c r="D2610" s="4">
        <v>1</v>
      </c>
      <c r="E2610" s="4">
        <v>1</v>
      </c>
      <c r="F2610" s="4" t="s">
        <v>268</v>
      </c>
      <c r="G2610" s="4" t="s">
        <v>241</v>
      </c>
      <c r="H2610" s="4" t="s">
        <v>241</v>
      </c>
      <c r="I2610" s="4" t="s">
        <v>424</v>
      </c>
      <c r="J2610" s="4" t="s">
        <v>274</v>
      </c>
      <c r="K2610" s="4" t="s">
        <v>251</v>
      </c>
      <c r="L2610" s="4" t="s">
        <v>423</v>
      </c>
      <c r="M2610" s="5" t="s">
        <v>4074</v>
      </c>
      <c r="N2610" s="6">
        <f>103</f>
        <v>103</v>
      </c>
      <c r="O2610" s="4" t="s">
        <v>265</v>
      </c>
      <c r="P2610" s="6">
        <f>1</f>
        <v>1</v>
      </c>
      <c r="Q2610" s="6">
        <f>0</f>
        <v>0</v>
      </c>
      <c r="S2610" s="6">
        <f>0</f>
        <v>0</v>
      </c>
      <c r="T2610" s="6">
        <f>1</f>
        <v>1</v>
      </c>
      <c r="U2610" s="5" t="s">
        <v>245</v>
      </c>
      <c r="V2610" s="4" t="s">
        <v>270</v>
      </c>
      <c r="W2610" s="4" t="s">
        <v>271</v>
      </c>
      <c r="X2610" s="4" t="s">
        <v>273</v>
      </c>
      <c r="Y2610" s="4" t="s">
        <v>241</v>
      </c>
      <c r="AB2610" s="4" t="s">
        <v>241</v>
      </c>
      <c r="AD2610" s="5" t="s">
        <v>241</v>
      </c>
      <c r="AG2610" s="5" t="s">
        <v>246</v>
      </c>
      <c r="AH2610" s="4" t="s">
        <v>241</v>
      </c>
      <c r="AI2610" s="4" t="s">
        <v>247</v>
      </c>
      <c r="AJ2610" s="4" t="s">
        <v>248</v>
      </c>
      <c r="AZ2610" s="4" t="s">
        <v>249</v>
      </c>
      <c r="BA2610" s="4" t="s">
        <v>241</v>
      </c>
      <c r="BB2610" s="4" t="s">
        <v>250</v>
      </c>
      <c r="BC2610" s="4" t="s">
        <v>241</v>
      </c>
      <c r="BD2610" s="4" t="s">
        <v>252</v>
      </c>
      <c r="BE2610" s="4" t="s">
        <v>241</v>
      </c>
      <c r="BI2610" s="4" t="s">
        <v>253</v>
      </c>
      <c r="BJ2610" s="5" t="s">
        <v>246</v>
      </c>
      <c r="BK2610" s="4" t="s">
        <v>254</v>
      </c>
      <c r="BL2610" s="4" t="s">
        <v>255</v>
      </c>
      <c r="BM2610" s="4" t="s">
        <v>241</v>
      </c>
      <c r="BN2610" s="6">
        <f>0</f>
        <v>0</v>
      </c>
      <c r="BO2610" s="6">
        <f>0</f>
        <v>0</v>
      </c>
      <c r="BP2610" s="4" t="s">
        <v>256</v>
      </c>
      <c r="BQ2610" s="4" t="s">
        <v>257</v>
      </c>
      <c r="CE2610" s="4" t="s">
        <v>241</v>
      </c>
      <c r="CF2610" s="4" t="s">
        <v>241</v>
      </c>
      <c r="CJ2610" s="4" t="s">
        <v>276</v>
      </c>
      <c r="CK2610" s="4" t="s">
        <v>259</v>
      </c>
      <c r="CL2610" s="4" t="s">
        <v>241</v>
      </c>
      <c r="CO2610" s="5" t="s">
        <v>260</v>
      </c>
      <c r="CP2610" s="4" t="s">
        <v>241</v>
      </c>
      <c r="CQ2610" s="4" t="s">
        <v>261</v>
      </c>
      <c r="CR2610" s="4" t="s">
        <v>241</v>
      </c>
      <c r="CS2610" s="4" t="s">
        <v>241</v>
      </c>
      <c r="CT2610" s="4">
        <v>0</v>
      </c>
      <c r="CU2610" s="4" t="s">
        <v>262</v>
      </c>
      <c r="CV2610" s="4" t="s">
        <v>263</v>
      </c>
      <c r="CW2610" s="4" t="s">
        <v>263</v>
      </c>
      <c r="CX2610" s="4" t="s">
        <v>264</v>
      </c>
      <c r="DA2610" s="6">
        <f>1</f>
        <v>1</v>
      </c>
      <c r="DC2610" s="4" t="s">
        <v>325</v>
      </c>
      <c r="DD2610" s="4" t="s">
        <v>241</v>
      </c>
      <c r="DF2610" s="4" t="s">
        <v>325</v>
      </c>
      <c r="DG2610" s="6">
        <f>103</f>
        <v>103</v>
      </c>
      <c r="DI2610" s="4" t="s">
        <v>241</v>
      </c>
      <c r="DJ2610" s="4" t="s">
        <v>241</v>
      </c>
      <c r="DK2610" s="4" t="s">
        <v>241</v>
      </c>
      <c r="DL2610" s="4" t="s">
        <v>241</v>
      </c>
      <c r="DP2610" s="4" t="s">
        <v>241</v>
      </c>
      <c r="DQ2610" s="4" t="s">
        <v>241</v>
      </c>
      <c r="DR2610" s="4" t="s">
        <v>241</v>
      </c>
      <c r="DS2610" s="4" t="s">
        <v>241</v>
      </c>
      <c r="DV2610" s="4" t="s">
        <v>426</v>
      </c>
      <c r="DW2610" s="4" t="s">
        <v>2650</v>
      </c>
      <c r="HO2610" s="4" t="s">
        <v>267</v>
      </c>
    </row>
    <row r="2611" spans="1:223" ht="19.5" customHeight="1" x14ac:dyDescent="0.4">
      <c r="A2611" s="4">
        <v>1</v>
      </c>
      <c r="B2611" s="4" t="s">
        <v>239</v>
      </c>
      <c r="C2611" s="4">
        <v>4314</v>
      </c>
      <c r="D2611" s="4">
        <v>1</v>
      </c>
      <c r="E2611" s="4">
        <v>1</v>
      </c>
      <c r="F2611" s="4" t="s">
        <v>268</v>
      </c>
      <c r="G2611" s="4" t="s">
        <v>241</v>
      </c>
      <c r="H2611" s="4" t="s">
        <v>241</v>
      </c>
      <c r="I2611" s="4" t="s">
        <v>424</v>
      </c>
      <c r="J2611" s="4" t="s">
        <v>274</v>
      </c>
      <c r="K2611" s="4" t="s">
        <v>251</v>
      </c>
      <c r="L2611" s="4" t="s">
        <v>423</v>
      </c>
      <c r="M2611" s="5" t="s">
        <v>4079</v>
      </c>
      <c r="N2611" s="6">
        <f>905</f>
        <v>905</v>
      </c>
      <c r="O2611" s="4" t="s">
        <v>265</v>
      </c>
      <c r="P2611" s="6">
        <f>1</f>
        <v>1</v>
      </c>
      <c r="Q2611" s="6">
        <f>0</f>
        <v>0</v>
      </c>
      <c r="S2611" s="6">
        <f>0</f>
        <v>0</v>
      </c>
      <c r="T2611" s="6">
        <f>1</f>
        <v>1</v>
      </c>
      <c r="U2611" s="5" t="s">
        <v>245</v>
      </c>
      <c r="V2611" s="4" t="s">
        <v>270</v>
      </c>
      <c r="W2611" s="4" t="s">
        <v>271</v>
      </c>
      <c r="X2611" s="4" t="s">
        <v>273</v>
      </c>
      <c r="Y2611" s="4" t="s">
        <v>241</v>
      </c>
      <c r="AB2611" s="4" t="s">
        <v>241</v>
      </c>
      <c r="AD2611" s="5" t="s">
        <v>241</v>
      </c>
      <c r="AG2611" s="5" t="s">
        <v>246</v>
      </c>
      <c r="AH2611" s="4" t="s">
        <v>241</v>
      </c>
      <c r="AI2611" s="4" t="s">
        <v>247</v>
      </c>
      <c r="AJ2611" s="4" t="s">
        <v>248</v>
      </c>
      <c r="AZ2611" s="4" t="s">
        <v>249</v>
      </c>
      <c r="BA2611" s="4" t="s">
        <v>241</v>
      </c>
      <c r="BB2611" s="4" t="s">
        <v>250</v>
      </c>
      <c r="BC2611" s="4" t="s">
        <v>241</v>
      </c>
      <c r="BD2611" s="4" t="s">
        <v>252</v>
      </c>
      <c r="BE2611" s="4" t="s">
        <v>241</v>
      </c>
      <c r="BI2611" s="4" t="s">
        <v>253</v>
      </c>
      <c r="BJ2611" s="5" t="s">
        <v>246</v>
      </c>
      <c r="BK2611" s="4" t="s">
        <v>254</v>
      </c>
      <c r="BL2611" s="4" t="s">
        <v>255</v>
      </c>
      <c r="BM2611" s="4" t="s">
        <v>241</v>
      </c>
      <c r="BN2611" s="6">
        <f>0</f>
        <v>0</v>
      </c>
      <c r="BO2611" s="6">
        <f>0</f>
        <v>0</v>
      </c>
      <c r="BP2611" s="4" t="s">
        <v>256</v>
      </c>
      <c r="BQ2611" s="4" t="s">
        <v>257</v>
      </c>
      <c r="CE2611" s="4" t="s">
        <v>241</v>
      </c>
      <c r="CF2611" s="4" t="s">
        <v>241</v>
      </c>
      <c r="CJ2611" s="4" t="s">
        <v>276</v>
      </c>
      <c r="CK2611" s="4" t="s">
        <v>259</v>
      </c>
      <c r="CL2611" s="4" t="s">
        <v>241</v>
      </c>
      <c r="CO2611" s="5" t="s">
        <v>260</v>
      </c>
      <c r="CP2611" s="4" t="s">
        <v>241</v>
      </c>
      <c r="CQ2611" s="4" t="s">
        <v>261</v>
      </c>
      <c r="CR2611" s="4" t="s">
        <v>241</v>
      </c>
      <c r="CS2611" s="4" t="s">
        <v>241</v>
      </c>
      <c r="CT2611" s="4">
        <v>0</v>
      </c>
      <c r="CU2611" s="4" t="s">
        <v>262</v>
      </c>
      <c r="CV2611" s="4" t="s">
        <v>263</v>
      </c>
      <c r="CW2611" s="4" t="s">
        <v>263</v>
      </c>
      <c r="CX2611" s="4" t="s">
        <v>264</v>
      </c>
      <c r="DA2611" s="6">
        <f>1</f>
        <v>1</v>
      </c>
      <c r="DC2611" s="4" t="s">
        <v>325</v>
      </c>
      <c r="DD2611" s="4" t="s">
        <v>241</v>
      </c>
      <c r="DF2611" s="4" t="s">
        <v>325</v>
      </c>
      <c r="DG2611" s="6">
        <f>905</f>
        <v>905</v>
      </c>
      <c r="DI2611" s="4" t="s">
        <v>241</v>
      </c>
      <c r="DJ2611" s="4" t="s">
        <v>241</v>
      </c>
      <c r="DK2611" s="4" t="s">
        <v>241</v>
      </c>
      <c r="DL2611" s="4" t="s">
        <v>241</v>
      </c>
      <c r="DP2611" s="4" t="s">
        <v>241</v>
      </c>
      <c r="DQ2611" s="4" t="s">
        <v>241</v>
      </c>
      <c r="DR2611" s="4" t="s">
        <v>241</v>
      </c>
      <c r="DS2611" s="4" t="s">
        <v>241</v>
      </c>
      <c r="DV2611" s="4" t="s">
        <v>426</v>
      </c>
      <c r="DW2611" s="4" t="s">
        <v>2648</v>
      </c>
      <c r="HO2611" s="4" t="s">
        <v>267</v>
      </c>
    </row>
    <row r="2612" spans="1:223" ht="19.5" customHeight="1" x14ac:dyDescent="0.4">
      <c r="A2612" s="4">
        <v>1</v>
      </c>
      <c r="B2612" s="4" t="s">
        <v>239</v>
      </c>
      <c r="C2612" s="4">
        <v>4315</v>
      </c>
      <c r="D2612" s="4">
        <v>1</v>
      </c>
      <c r="E2612" s="4">
        <v>1</v>
      </c>
      <c r="F2612" s="4" t="s">
        <v>268</v>
      </c>
      <c r="G2612" s="4" t="s">
        <v>241</v>
      </c>
      <c r="H2612" s="4" t="s">
        <v>241</v>
      </c>
      <c r="I2612" s="4" t="s">
        <v>424</v>
      </c>
      <c r="J2612" s="4" t="s">
        <v>274</v>
      </c>
      <c r="K2612" s="4" t="s">
        <v>251</v>
      </c>
      <c r="L2612" s="4" t="s">
        <v>423</v>
      </c>
      <c r="M2612" s="5" t="s">
        <v>4082</v>
      </c>
      <c r="N2612" s="6">
        <f>1965</f>
        <v>1965</v>
      </c>
      <c r="O2612" s="4" t="s">
        <v>265</v>
      </c>
      <c r="P2612" s="6">
        <f>1</f>
        <v>1</v>
      </c>
      <c r="Q2612" s="6">
        <f>0</f>
        <v>0</v>
      </c>
      <c r="S2612" s="6">
        <f>0</f>
        <v>0</v>
      </c>
      <c r="T2612" s="6">
        <f>1</f>
        <v>1</v>
      </c>
      <c r="U2612" s="5" t="s">
        <v>245</v>
      </c>
      <c r="V2612" s="4" t="s">
        <v>270</v>
      </c>
      <c r="W2612" s="4" t="s">
        <v>271</v>
      </c>
      <c r="X2612" s="4" t="s">
        <v>273</v>
      </c>
      <c r="Y2612" s="4" t="s">
        <v>241</v>
      </c>
      <c r="AB2612" s="4" t="s">
        <v>241</v>
      </c>
      <c r="AD2612" s="5" t="s">
        <v>241</v>
      </c>
      <c r="AG2612" s="5" t="s">
        <v>246</v>
      </c>
      <c r="AH2612" s="4" t="s">
        <v>241</v>
      </c>
      <c r="AI2612" s="4" t="s">
        <v>247</v>
      </c>
      <c r="AJ2612" s="4" t="s">
        <v>248</v>
      </c>
      <c r="AZ2612" s="4" t="s">
        <v>249</v>
      </c>
      <c r="BA2612" s="4" t="s">
        <v>241</v>
      </c>
      <c r="BB2612" s="4" t="s">
        <v>250</v>
      </c>
      <c r="BC2612" s="4" t="s">
        <v>241</v>
      </c>
      <c r="BD2612" s="4" t="s">
        <v>252</v>
      </c>
      <c r="BE2612" s="4" t="s">
        <v>241</v>
      </c>
      <c r="BI2612" s="4" t="s">
        <v>253</v>
      </c>
      <c r="BJ2612" s="5" t="s">
        <v>246</v>
      </c>
      <c r="BK2612" s="4" t="s">
        <v>254</v>
      </c>
      <c r="BL2612" s="4" t="s">
        <v>255</v>
      </c>
      <c r="BM2612" s="4" t="s">
        <v>241</v>
      </c>
      <c r="BN2612" s="6">
        <f>0</f>
        <v>0</v>
      </c>
      <c r="BO2612" s="6">
        <f>0</f>
        <v>0</v>
      </c>
      <c r="BP2612" s="4" t="s">
        <v>256</v>
      </c>
      <c r="BQ2612" s="4" t="s">
        <v>257</v>
      </c>
      <c r="CE2612" s="4" t="s">
        <v>241</v>
      </c>
      <c r="CF2612" s="4" t="s">
        <v>241</v>
      </c>
      <c r="CJ2612" s="4" t="s">
        <v>276</v>
      </c>
      <c r="CK2612" s="4" t="s">
        <v>259</v>
      </c>
      <c r="CL2612" s="4" t="s">
        <v>241</v>
      </c>
      <c r="CO2612" s="5" t="s">
        <v>260</v>
      </c>
      <c r="CP2612" s="4" t="s">
        <v>241</v>
      </c>
      <c r="CQ2612" s="4" t="s">
        <v>261</v>
      </c>
      <c r="CR2612" s="4" t="s">
        <v>241</v>
      </c>
      <c r="CS2612" s="4" t="s">
        <v>241</v>
      </c>
      <c r="CT2612" s="4">
        <v>0</v>
      </c>
      <c r="CU2612" s="4" t="s">
        <v>262</v>
      </c>
      <c r="CV2612" s="4" t="s">
        <v>263</v>
      </c>
      <c r="CW2612" s="4" t="s">
        <v>263</v>
      </c>
      <c r="CX2612" s="4" t="s">
        <v>264</v>
      </c>
      <c r="DA2612" s="6">
        <f>1</f>
        <v>1</v>
      </c>
      <c r="DC2612" s="4" t="s">
        <v>325</v>
      </c>
      <c r="DD2612" s="4" t="s">
        <v>241</v>
      </c>
      <c r="DF2612" s="4" t="s">
        <v>325</v>
      </c>
      <c r="DG2612" s="6">
        <f>1965</f>
        <v>1965</v>
      </c>
      <c r="DI2612" s="4" t="s">
        <v>241</v>
      </c>
      <c r="DJ2612" s="4" t="s">
        <v>241</v>
      </c>
      <c r="DK2612" s="4" t="s">
        <v>241</v>
      </c>
      <c r="DL2612" s="4" t="s">
        <v>241</v>
      </c>
      <c r="DP2612" s="4" t="s">
        <v>241</v>
      </c>
      <c r="DQ2612" s="4" t="s">
        <v>241</v>
      </c>
      <c r="DR2612" s="4" t="s">
        <v>241</v>
      </c>
      <c r="DS2612" s="4" t="s">
        <v>241</v>
      </c>
      <c r="DV2612" s="4" t="s">
        <v>426</v>
      </c>
      <c r="DW2612" s="4" t="s">
        <v>2646</v>
      </c>
      <c r="HO2612" s="4" t="s">
        <v>267</v>
      </c>
    </row>
    <row r="2613" spans="1:223" ht="19.5" customHeight="1" x14ac:dyDescent="0.4">
      <c r="A2613" s="4">
        <v>1</v>
      </c>
      <c r="B2613" s="4" t="s">
        <v>239</v>
      </c>
      <c r="C2613" s="4">
        <v>4316</v>
      </c>
      <c r="D2613" s="4">
        <v>1</v>
      </c>
      <c r="E2613" s="4">
        <v>1</v>
      </c>
      <c r="F2613" s="4" t="s">
        <v>268</v>
      </c>
      <c r="G2613" s="4" t="s">
        <v>241</v>
      </c>
      <c r="H2613" s="4" t="s">
        <v>241</v>
      </c>
      <c r="I2613" s="4" t="s">
        <v>424</v>
      </c>
      <c r="J2613" s="4" t="s">
        <v>274</v>
      </c>
      <c r="K2613" s="4" t="s">
        <v>251</v>
      </c>
      <c r="L2613" s="4" t="s">
        <v>423</v>
      </c>
      <c r="M2613" s="5" t="s">
        <v>4086</v>
      </c>
      <c r="N2613" s="6">
        <f>322</f>
        <v>322</v>
      </c>
      <c r="O2613" s="4" t="s">
        <v>265</v>
      </c>
      <c r="P2613" s="6">
        <f>1</f>
        <v>1</v>
      </c>
      <c r="Q2613" s="6">
        <f>0</f>
        <v>0</v>
      </c>
      <c r="S2613" s="6">
        <f>0</f>
        <v>0</v>
      </c>
      <c r="T2613" s="6">
        <f>1</f>
        <v>1</v>
      </c>
      <c r="U2613" s="5" t="s">
        <v>245</v>
      </c>
      <c r="V2613" s="4" t="s">
        <v>270</v>
      </c>
      <c r="W2613" s="4" t="s">
        <v>271</v>
      </c>
      <c r="X2613" s="4" t="s">
        <v>273</v>
      </c>
      <c r="Y2613" s="4" t="s">
        <v>241</v>
      </c>
      <c r="AB2613" s="4" t="s">
        <v>241</v>
      </c>
      <c r="AD2613" s="5" t="s">
        <v>241</v>
      </c>
      <c r="AG2613" s="5" t="s">
        <v>246</v>
      </c>
      <c r="AH2613" s="4" t="s">
        <v>241</v>
      </c>
      <c r="AI2613" s="4" t="s">
        <v>247</v>
      </c>
      <c r="AJ2613" s="4" t="s">
        <v>248</v>
      </c>
      <c r="AZ2613" s="4" t="s">
        <v>249</v>
      </c>
      <c r="BA2613" s="4" t="s">
        <v>241</v>
      </c>
      <c r="BB2613" s="4" t="s">
        <v>250</v>
      </c>
      <c r="BC2613" s="4" t="s">
        <v>241</v>
      </c>
      <c r="BD2613" s="4" t="s">
        <v>252</v>
      </c>
      <c r="BE2613" s="4" t="s">
        <v>241</v>
      </c>
      <c r="BI2613" s="4" t="s">
        <v>253</v>
      </c>
      <c r="BJ2613" s="5" t="s">
        <v>246</v>
      </c>
      <c r="BK2613" s="4" t="s">
        <v>254</v>
      </c>
      <c r="BL2613" s="4" t="s">
        <v>255</v>
      </c>
      <c r="BM2613" s="4" t="s">
        <v>241</v>
      </c>
      <c r="BN2613" s="6">
        <f>0</f>
        <v>0</v>
      </c>
      <c r="BO2613" s="6">
        <f>0</f>
        <v>0</v>
      </c>
      <c r="BP2613" s="4" t="s">
        <v>256</v>
      </c>
      <c r="BQ2613" s="4" t="s">
        <v>257</v>
      </c>
      <c r="CE2613" s="4" t="s">
        <v>241</v>
      </c>
      <c r="CF2613" s="4" t="s">
        <v>241</v>
      </c>
      <c r="CJ2613" s="4" t="s">
        <v>276</v>
      </c>
      <c r="CK2613" s="4" t="s">
        <v>259</v>
      </c>
      <c r="CL2613" s="4" t="s">
        <v>241</v>
      </c>
      <c r="CO2613" s="5" t="s">
        <v>260</v>
      </c>
      <c r="CP2613" s="4" t="s">
        <v>241</v>
      </c>
      <c r="CQ2613" s="4" t="s">
        <v>261</v>
      </c>
      <c r="CR2613" s="4" t="s">
        <v>241</v>
      </c>
      <c r="CS2613" s="4" t="s">
        <v>241</v>
      </c>
      <c r="CT2613" s="4">
        <v>0</v>
      </c>
      <c r="CU2613" s="4" t="s">
        <v>262</v>
      </c>
      <c r="CV2613" s="4" t="s">
        <v>263</v>
      </c>
      <c r="CW2613" s="4" t="s">
        <v>263</v>
      </c>
      <c r="CX2613" s="4" t="s">
        <v>264</v>
      </c>
      <c r="DA2613" s="6">
        <f>1</f>
        <v>1</v>
      </c>
      <c r="DC2613" s="4" t="s">
        <v>325</v>
      </c>
      <c r="DD2613" s="4" t="s">
        <v>241</v>
      </c>
      <c r="DF2613" s="4" t="s">
        <v>325</v>
      </c>
      <c r="DG2613" s="6">
        <f>322</f>
        <v>322</v>
      </c>
      <c r="DI2613" s="4" t="s">
        <v>241</v>
      </c>
      <c r="DJ2613" s="4" t="s">
        <v>241</v>
      </c>
      <c r="DK2613" s="4" t="s">
        <v>241</v>
      </c>
      <c r="DL2613" s="4" t="s">
        <v>241</v>
      </c>
      <c r="DP2613" s="4" t="s">
        <v>241</v>
      </c>
      <c r="DQ2613" s="4" t="s">
        <v>241</v>
      </c>
      <c r="DR2613" s="4" t="s">
        <v>241</v>
      </c>
      <c r="DS2613" s="4" t="s">
        <v>241</v>
      </c>
      <c r="DV2613" s="4" t="s">
        <v>426</v>
      </c>
      <c r="DW2613" s="4" t="s">
        <v>2642</v>
      </c>
      <c r="HO2613" s="4" t="s">
        <v>267</v>
      </c>
    </row>
    <row r="2614" spans="1:223" ht="19.5" customHeight="1" x14ac:dyDescent="0.4">
      <c r="A2614" s="4">
        <v>1</v>
      </c>
      <c r="B2614" s="4" t="s">
        <v>239</v>
      </c>
      <c r="C2614" s="4">
        <v>4317</v>
      </c>
      <c r="D2614" s="4">
        <v>1</v>
      </c>
      <c r="E2614" s="4">
        <v>1</v>
      </c>
      <c r="F2614" s="4" t="s">
        <v>268</v>
      </c>
      <c r="G2614" s="4" t="s">
        <v>241</v>
      </c>
      <c r="H2614" s="4" t="s">
        <v>241</v>
      </c>
      <c r="I2614" s="4" t="s">
        <v>424</v>
      </c>
      <c r="J2614" s="4" t="s">
        <v>274</v>
      </c>
      <c r="K2614" s="4" t="s">
        <v>251</v>
      </c>
      <c r="L2614" s="4" t="s">
        <v>423</v>
      </c>
      <c r="M2614" s="5" t="s">
        <v>4089</v>
      </c>
      <c r="N2614" s="6">
        <f>1305</f>
        <v>1305</v>
      </c>
      <c r="O2614" s="4" t="s">
        <v>265</v>
      </c>
      <c r="P2614" s="6">
        <f>1</f>
        <v>1</v>
      </c>
      <c r="Q2614" s="6">
        <f>0</f>
        <v>0</v>
      </c>
      <c r="S2614" s="6">
        <f>0</f>
        <v>0</v>
      </c>
      <c r="T2614" s="6">
        <f>1</f>
        <v>1</v>
      </c>
      <c r="U2614" s="5" t="s">
        <v>245</v>
      </c>
      <c r="V2614" s="4" t="s">
        <v>270</v>
      </c>
      <c r="W2614" s="4" t="s">
        <v>271</v>
      </c>
      <c r="X2614" s="4" t="s">
        <v>273</v>
      </c>
      <c r="Y2614" s="4" t="s">
        <v>241</v>
      </c>
      <c r="AB2614" s="4" t="s">
        <v>241</v>
      </c>
      <c r="AD2614" s="5" t="s">
        <v>241</v>
      </c>
      <c r="AG2614" s="5" t="s">
        <v>246</v>
      </c>
      <c r="AH2614" s="4" t="s">
        <v>241</v>
      </c>
      <c r="AI2614" s="4" t="s">
        <v>247</v>
      </c>
      <c r="AJ2614" s="4" t="s">
        <v>248</v>
      </c>
      <c r="AZ2614" s="4" t="s">
        <v>249</v>
      </c>
      <c r="BA2614" s="4" t="s">
        <v>241</v>
      </c>
      <c r="BB2614" s="4" t="s">
        <v>250</v>
      </c>
      <c r="BC2614" s="4" t="s">
        <v>241</v>
      </c>
      <c r="BD2614" s="4" t="s">
        <v>252</v>
      </c>
      <c r="BE2614" s="4" t="s">
        <v>241</v>
      </c>
      <c r="BI2614" s="4" t="s">
        <v>253</v>
      </c>
      <c r="BJ2614" s="5" t="s">
        <v>246</v>
      </c>
      <c r="BK2614" s="4" t="s">
        <v>254</v>
      </c>
      <c r="BL2614" s="4" t="s">
        <v>255</v>
      </c>
      <c r="BM2614" s="4" t="s">
        <v>241</v>
      </c>
      <c r="BN2614" s="6">
        <f>0</f>
        <v>0</v>
      </c>
      <c r="BO2614" s="6">
        <f>0</f>
        <v>0</v>
      </c>
      <c r="BP2614" s="4" t="s">
        <v>256</v>
      </c>
      <c r="BQ2614" s="4" t="s">
        <v>257</v>
      </c>
      <c r="CE2614" s="4" t="s">
        <v>241</v>
      </c>
      <c r="CF2614" s="4" t="s">
        <v>241</v>
      </c>
      <c r="CJ2614" s="4" t="s">
        <v>276</v>
      </c>
      <c r="CK2614" s="4" t="s">
        <v>259</v>
      </c>
      <c r="CL2614" s="4" t="s">
        <v>241</v>
      </c>
      <c r="CO2614" s="5" t="s">
        <v>260</v>
      </c>
      <c r="CP2614" s="4" t="s">
        <v>241</v>
      </c>
      <c r="CQ2614" s="4" t="s">
        <v>261</v>
      </c>
      <c r="CR2614" s="4" t="s">
        <v>241</v>
      </c>
      <c r="CS2614" s="4" t="s">
        <v>241</v>
      </c>
      <c r="CT2614" s="4">
        <v>0</v>
      </c>
      <c r="CU2614" s="4" t="s">
        <v>262</v>
      </c>
      <c r="CV2614" s="4" t="s">
        <v>263</v>
      </c>
      <c r="CW2614" s="4" t="s">
        <v>263</v>
      </c>
      <c r="CX2614" s="4" t="s">
        <v>264</v>
      </c>
      <c r="DA2614" s="6">
        <f>1</f>
        <v>1</v>
      </c>
      <c r="DC2614" s="4" t="s">
        <v>325</v>
      </c>
      <c r="DD2614" s="4" t="s">
        <v>241</v>
      </c>
      <c r="DF2614" s="4" t="s">
        <v>325</v>
      </c>
      <c r="DG2614" s="6">
        <f>1305</f>
        <v>1305</v>
      </c>
      <c r="DI2614" s="4" t="s">
        <v>241</v>
      </c>
      <c r="DJ2614" s="4" t="s">
        <v>241</v>
      </c>
      <c r="DK2614" s="4" t="s">
        <v>241</v>
      </c>
      <c r="DL2614" s="4" t="s">
        <v>241</v>
      </c>
      <c r="DP2614" s="4" t="s">
        <v>241</v>
      </c>
      <c r="DQ2614" s="4" t="s">
        <v>241</v>
      </c>
      <c r="DR2614" s="4" t="s">
        <v>241</v>
      </c>
      <c r="DS2614" s="4" t="s">
        <v>241</v>
      </c>
      <c r="DV2614" s="4" t="s">
        <v>426</v>
      </c>
      <c r="DW2614" s="4" t="s">
        <v>2640</v>
      </c>
      <c r="HO2614" s="4" t="s">
        <v>267</v>
      </c>
    </row>
    <row r="2615" spans="1:223" ht="19.5" customHeight="1" x14ac:dyDescent="0.4">
      <c r="A2615" s="4">
        <v>1</v>
      </c>
      <c r="B2615" s="4" t="s">
        <v>239</v>
      </c>
      <c r="C2615" s="4">
        <v>4318</v>
      </c>
      <c r="D2615" s="4">
        <v>1</v>
      </c>
      <c r="E2615" s="4">
        <v>1</v>
      </c>
      <c r="F2615" s="4" t="s">
        <v>268</v>
      </c>
      <c r="G2615" s="4" t="s">
        <v>241</v>
      </c>
      <c r="H2615" s="4" t="s">
        <v>241</v>
      </c>
      <c r="I2615" s="4" t="s">
        <v>424</v>
      </c>
      <c r="J2615" s="4" t="s">
        <v>274</v>
      </c>
      <c r="K2615" s="4" t="s">
        <v>251</v>
      </c>
      <c r="L2615" s="4" t="s">
        <v>423</v>
      </c>
      <c r="M2615" s="5" t="s">
        <v>4094</v>
      </c>
      <c r="N2615" s="6">
        <f>122</f>
        <v>122</v>
      </c>
      <c r="O2615" s="4" t="s">
        <v>265</v>
      </c>
      <c r="P2615" s="6">
        <f>1</f>
        <v>1</v>
      </c>
      <c r="Q2615" s="6">
        <f>0</f>
        <v>0</v>
      </c>
      <c r="S2615" s="6">
        <f>0</f>
        <v>0</v>
      </c>
      <c r="T2615" s="6">
        <f>1</f>
        <v>1</v>
      </c>
      <c r="U2615" s="5" t="s">
        <v>245</v>
      </c>
      <c r="V2615" s="4" t="s">
        <v>270</v>
      </c>
      <c r="W2615" s="4" t="s">
        <v>271</v>
      </c>
      <c r="X2615" s="4" t="s">
        <v>273</v>
      </c>
      <c r="Y2615" s="4" t="s">
        <v>241</v>
      </c>
      <c r="AB2615" s="4" t="s">
        <v>241</v>
      </c>
      <c r="AD2615" s="5" t="s">
        <v>241</v>
      </c>
      <c r="AG2615" s="5" t="s">
        <v>246</v>
      </c>
      <c r="AH2615" s="4" t="s">
        <v>241</v>
      </c>
      <c r="AI2615" s="4" t="s">
        <v>247</v>
      </c>
      <c r="AJ2615" s="4" t="s">
        <v>248</v>
      </c>
      <c r="AZ2615" s="4" t="s">
        <v>249</v>
      </c>
      <c r="BA2615" s="4" t="s">
        <v>241</v>
      </c>
      <c r="BB2615" s="4" t="s">
        <v>250</v>
      </c>
      <c r="BC2615" s="4" t="s">
        <v>241</v>
      </c>
      <c r="BD2615" s="4" t="s">
        <v>252</v>
      </c>
      <c r="BE2615" s="4" t="s">
        <v>241</v>
      </c>
      <c r="BI2615" s="4" t="s">
        <v>253</v>
      </c>
      <c r="BJ2615" s="5" t="s">
        <v>246</v>
      </c>
      <c r="BK2615" s="4" t="s">
        <v>254</v>
      </c>
      <c r="BL2615" s="4" t="s">
        <v>255</v>
      </c>
      <c r="BM2615" s="4" t="s">
        <v>241</v>
      </c>
      <c r="BN2615" s="6">
        <f>0</f>
        <v>0</v>
      </c>
      <c r="BO2615" s="6">
        <f>0</f>
        <v>0</v>
      </c>
      <c r="BP2615" s="4" t="s">
        <v>256</v>
      </c>
      <c r="BQ2615" s="4" t="s">
        <v>257</v>
      </c>
      <c r="CE2615" s="4" t="s">
        <v>241</v>
      </c>
      <c r="CF2615" s="4" t="s">
        <v>241</v>
      </c>
      <c r="CJ2615" s="4" t="s">
        <v>276</v>
      </c>
      <c r="CK2615" s="4" t="s">
        <v>259</v>
      </c>
      <c r="CL2615" s="4" t="s">
        <v>241</v>
      </c>
      <c r="CO2615" s="5" t="s">
        <v>260</v>
      </c>
      <c r="CP2615" s="4" t="s">
        <v>241</v>
      </c>
      <c r="CQ2615" s="4" t="s">
        <v>261</v>
      </c>
      <c r="CR2615" s="4" t="s">
        <v>241</v>
      </c>
      <c r="CS2615" s="4" t="s">
        <v>241</v>
      </c>
      <c r="CT2615" s="4">
        <v>0</v>
      </c>
      <c r="CU2615" s="4" t="s">
        <v>262</v>
      </c>
      <c r="CV2615" s="4" t="s">
        <v>263</v>
      </c>
      <c r="CW2615" s="4" t="s">
        <v>263</v>
      </c>
      <c r="CX2615" s="4" t="s">
        <v>264</v>
      </c>
      <c r="DA2615" s="6">
        <f>1</f>
        <v>1</v>
      </c>
      <c r="DC2615" s="4" t="s">
        <v>325</v>
      </c>
      <c r="DD2615" s="4" t="s">
        <v>241</v>
      </c>
      <c r="DF2615" s="4" t="s">
        <v>325</v>
      </c>
      <c r="DG2615" s="6">
        <f>122</f>
        <v>122</v>
      </c>
      <c r="DI2615" s="4" t="s">
        <v>241</v>
      </c>
      <c r="DJ2615" s="4" t="s">
        <v>241</v>
      </c>
      <c r="DK2615" s="4" t="s">
        <v>241</v>
      </c>
      <c r="DL2615" s="4" t="s">
        <v>241</v>
      </c>
      <c r="DP2615" s="4" t="s">
        <v>241</v>
      </c>
      <c r="DQ2615" s="4" t="s">
        <v>241</v>
      </c>
      <c r="DR2615" s="4" t="s">
        <v>241</v>
      </c>
      <c r="DS2615" s="4" t="s">
        <v>241</v>
      </c>
      <c r="DV2615" s="4" t="s">
        <v>426</v>
      </c>
      <c r="DW2615" s="4" t="s">
        <v>2638</v>
      </c>
      <c r="HO2615" s="4" t="s">
        <v>267</v>
      </c>
    </row>
    <row r="2616" spans="1:223" ht="19.5" customHeight="1" x14ac:dyDescent="0.4">
      <c r="A2616" s="4">
        <v>1</v>
      </c>
      <c r="B2616" s="4" t="s">
        <v>239</v>
      </c>
      <c r="C2616" s="4">
        <v>4319</v>
      </c>
      <c r="D2616" s="4">
        <v>1</v>
      </c>
      <c r="E2616" s="4">
        <v>1</v>
      </c>
      <c r="F2616" s="4" t="s">
        <v>268</v>
      </c>
      <c r="G2616" s="4" t="s">
        <v>241</v>
      </c>
      <c r="H2616" s="4" t="s">
        <v>241</v>
      </c>
      <c r="I2616" s="4" t="s">
        <v>424</v>
      </c>
      <c r="J2616" s="4" t="s">
        <v>274</v>
      </c>
      <c r="K2616" s="4" t="s">
        <v>251</v>
      </c>
      <c r="L2616" s="4" t="s">
        <v>423</v>
      </c>
      <c r="M2616" s="5" t="s">
        <v>4991</v>
      </c>
      <c r="N2616" s="6">
        <f>335</f>
        <v>335</v>
      </c>
      <c r="O2616" s="4" t="s">
        <v>265</v>
      </c>
      <c r="P2616" s="6">
        <f>1</f>
        <v>1</v>
      </c>
      <c r="Q2616" s="6">
        <f>0</f>
        <v>0</v>
      </c>
      <c r="S2616" s="6">
        <f>0</f>
        <v>0</v>
      </c>
      <c r="T2616" s="6">
        <f>1</f>
        <v>1</v>
      </c>
      <c r="U2616" s="5" t="s">
        <v>245</v>
      </c>
      <c r="V2616" s="4" t="s">
        <v>270</v>
      </c>
      <c r="W2616" s="4" t="s">
        <v>271</v>
      </c>
      <c r="X2616" s="4" t="s">
        <v>273</v>
      </c>
      <c r="Y2616" s="4" t="s">
        <v>241</v>
      </c>
      <c r="AB2616" s="4" t="s">
        <v>241</v>
      </c>
      <c r="AD2616" s="5" t="s">
        <v>241</v>
      </c>
      <c r="AG2616" s="5" t="s">
        <v>246</v>
      </c>
      <c r="AH2616" s="4" t="s">
        <v>241</v>
      </c>
      <c r="AI2616" s="4" t="s">
        <v>247</v>
      </c>
      <c r="AJ2616" s="4" t="s">
        <v>248</v>
      </c>
      <c r="AZ2616" s="4" t="s">
        <v>249</v>
      </c>
      <c r="BA2616" s="4" t="s">
        <v>241</v>
      </c>
      <c r="BB2616" s="4" t="s">
        <v>250</v>
      </c>
      <c r="BC2616" s="4" t="s">
        <v>241</v>
      </c>
      <c r="BD2616" s="4" t="s">
        <v>252</v>
      </c>
      <c r="BE2616" s="4" t="s">
        <v>241</v>
      </c>
      <c r="BI2616" s="4" t="s">
        <v>253</v>
      </c>
      <c r="BJ2616" s="5" t="s">
        <v>246</v>
      </c>
      <c r="BK2616" s="4" t="s">
        <v>254</v>
      </c>
      <c r="BL2616" s="4" t="s">
        <v>255</v>
      </c>
      <c r="BM2616" s="4" t="s">
        <v>241</v>
      </c>
      <c r="BN2616" s="6">
        <f>0</f>
        <v>0</v>
      </c>
      <c r="BO2616" s="6">
        <f>0</f>
        <v>0</v>
      </c>
      <c r="BP2616" s="4" t="s">
        <v>256</v>
      </c>
      <c r="BQ2616" s="4" t="s">
        <v>257</v>
      </c>
      <c r="CE2616" s="4" t="s">
        <v>241</v>
      </c>
      <c r="CF2616" s="4" t="s">
        <v>241</v>
      </c>
      <c r="CJ2616" s="4" t="s">
        <v>276</v>
      </c>
      <c r="CK2616" s="4" t="s">
        <v>259</v>
      </c>
      <c r="CL2616" s="4" t="s">
        <v>241</v>
      </c>
      <c r="CO2616" s="5" t="s">
        <v>260</v>
      </c>
      <c r="CP2616" s="4" t="s">
        <v>241</v>
      </c>
      <c r="CQ2616" s="4" t="s">
        <v>261</v>
      </c>
      <c r="CR2616" s="4" t="s">
        <v>241</v>
      </c>
      <c r="CS2616" s="4" t="s">
        <v>241</v>
      </c>
      <c r="CT2616" s="4">
        <v>0</v>
      </c>
      <c r="CU2616" s="4" t="s">
        <v>262</v>
      </c>
      <c r="CV2616" s="4" t="s">
        <v>263</v>
      </c>
      <c r="CW2616" s="4" t="s">
        <v>263</v>
      </c>
      <c r="CX2616" s="4" t="s">
        <v>264</v>
      </c>
      <c r="DA2616" s="6">
        <f>1</f>
        <v>1</v>
      </c>
      <c r="DC2616" s="4" t="s">
        <v>325</v>
      </c>
      <c r="DD2616" s="4" t="s">
        <v>241</v>
      </c>
      <c r="DF2616" s="4" t="s">
        <v>325</v>
      </c>
      <c r="DG2616" s="6">
        <f>335</f>
        <v>335</v>
      </c>
      <c r="DI2616" s="4" t="s">
        <v>241</v>
      </c>
      <c r="DJ2616" s="4" t="s">
        <v>241</v>
      </c>
      <c r="DK2616" s="4" t="s">
        <v>241</v>
      </c>
      <c r="DL2616" s="4" t="s">
        <v>241</v>
      </c>
      <c r="DP2616" s="4" t="s">
        <v>241</v>
      </c>
      <c r="DQ2616" s="4" t="s">
        <v>241</v>
      </c>
      <c r="DR2616" s="4" t="s">
        <v>241</v>
      </c>
      <c r="DS2616" s="4" t="s">
        <v>241</v>
      </c>
      <c r="DV2616" s="4" t="s">
        <v>426</v>
      </c>
      <c r="DW2616" s="4" t="s">
        <v>2636</v>
      </c>
      <c r="HO2616" s="4" t="s">
        <v>267</v>
      </c>
    </row>
    <row r="2617" spans="1:223" ht="19.5" customHeight="1" x14ac:dyDescent="0.4">
      <c r="A2617" s="4">
        <v>1</v>
      </c>
      <c r="B2617" s="4" t="s">
        <v>239</v>
      </c>
      <c r="C2617" s="4">
        <v>4320</v>
      </c>
      <c r="D2617" s="4">
        <v>1</v>
      </c>
      <c r="E2617" s="4">
        <v>1</v>
      </c>
      <c r="F2617" s="4" t="s">
        <v>268</v>
      </c>
      <c r="G2617" s="4" t="s">
        <v>241</v>
      </c>
      <c r="H2617" s="4" t="s">
        <v>241</v>
      </c>
      <c r="I2617" s="4" t="s">
        <v>424</v>
      </c>
      <c r="J2617" s="4" t="s">
        <v>274</v>
      </c>
      <c r="K2617" s="4" t="s">
        <v>251</v>
      </c>
      <c r="L2617" s="4" t="s">
        <v>423</v>
      </c>
      <c r="M2617" s="5" t="s">
        <v>4099</v>
      </c>
      <c r="N2617" s="6">
        <f>356</f>
        <v>356</v>
      </c>
      <c r="O2617" s="4" t="s">
        <v>265</v>
      </c>
      <c r="P2617" s="6">
        <f>1</f>
        <v>1</v>
      </c>
      <c r="Q2617" s="6">
        <f>0</f>
        <v>0</v>
      </c>
      <c r="S2617" s="6">
        <f>0</f>
        <v>0</v>
      </c>
      <c r="T2617" s="6">
        <f>1</f>
        <v>1</v>
      </c>
      <c r="U2617" s="5" t="s">
        <v>245</v>
      </c>
      <c r="V2617" s="4" t="s">
        <v>270</v>
      </c>
      <c r="W2617" s="4" t="s">
        <v>271</v>
      </c>
      <c r="X2617" s="4" t="s">
        <v>273</v>
      </c>
      <c r="Y2617" s="4" t="s">
        <v>241</v>
      </c>
      <c r="AB2617" s="4" t="s">
        <v>241</v>
      </c>
      <c r="AD2617" s="5" t="s">
        <v>241</v>
      </c>
      <c r="AG2617" s="5" t="s">
        <v>246</v>
      </c>
      <c r="AH2617" s="4" t="s">
        <v>241</v>
      </c>
      <c r="AI2617" s="4" t="s">
        <v>247</v>
      </c>
      <c r="AJ2617" s="4" t="s">
        <v>248</v>
      </c>
      <c r="AZ2617" s="4" t="s">
        <v>249</v>
      </c>
      <c r="BA2617" s="4" t="s">
        <v>241</v>
      </c>
      <c r="BB2617" s="4" t="s">
        <v>250</v>
      </c>
      <c r="BC2617" s="4" t="s">
        <v>241</v>
      </c>
      <c r="BD2617" s="4" t="s">
        <v>252</v>
      </c>
      <c r="BE2617" s="4" t="s">
        <v>241</v>
      </c>
      <c r="BI2617" s="4" t="s">
        <v>253</v>
      </c>
      <c r="BJ2617" s="5" t="s">
        <v>246</v>
      </c>
      <c r="BK2617" s="4" t="s">
        <v>254</v>
      </c>
      <c r="BL2617" s="4" t="s">
        <v>255</v>
      </c>
      <c r="BM2617" s="4" t="s">
        <v>241</v>
      </c>
      <c r="BN2617" s="6">
        <f>0</f>
        <v>0</v>
      </c>
      <c r="BO2617" s="6">
        <f>0</f>
        <v>0</v>
      </c>
      <c r="BP2617" s="4" t="s">
        <v>256</v>
      </c>
      <c r="BQ2617" s="4" t="s">
        <v>257</v>
      </c>
      <c r="CE2617" s="4" t="s">
        <v>241</v>
      </c>
      <c r="CF2617" s="4" t="s">
        <v>241</v>
      </c>
      <c r="CJ2617" s="4" t="s">
        <v>276</v>
      </c>
      <c r="CK2617" s="4" t="s">
        <v>259</v>
      </c>
      <c r="CL2617" s="4" t="s">
        <v>241</v>
      </c>
      <c r="CO2617" s="5" t="s">
        <v>260</v>
      </c>
      <c r="CP2617" s="4" t="s">
        <v>241</v>
      </c>
      <c r="CQ2617" s="4" t="s">
        <v>261</v>
      </c>
      <c r="CR2617" s="4" t="s">
        <v>241</v>
      </c>
      <c r="CS2617" s="4" t="s">
        <v>241</v>
      </c>
      <c r="CT2617" s="4">
        <v>0</v>
      </c>
      <c r="CU2617" s="4" t="s">
        <v>262</v>
      </c>
      <c r="CV2617" s="4" t="s">
        <v>263</v>
      </c>
      <c r="CW2617" s="4" t="s">
        <v>263</v>
      </c>
      <c r="CX2617" s="4" t="s">
        <v>264</v>
      </c>
      <c r="DA2617" s="6">
        <f>1</f>
        <v>1</v>
      </c>
      <c r="DC2617" s="4" t="s">
        <v>325</v>
      </c>
      <c r="DD2617" s="4" t="s">
        <v>241</v>
      </c>
      <c r="DF2617" s="4" t="s">
        <v>325</v>
      </c>
      <c r="DG2617" s="6">
        <f>356</f>
        <v>356</v>
      </c>
      <c r="DI2617" s="4" t="s">
        <v>241</v>
      </c>
      <c r="DJ2617" s="4" t="s">
        <v>241</v>
      </c>
      <c r="DK2617" s="4" t="s">
        <v>241</v>
      </c>
      <c r="DL2617" s="4" t="s">
        <v>241</v>
      </c>
      <c r="DP2617" s="4" t="s">
        <v>241</v>
      </c>
      <c r="DQ2617" s="4" t="s">
        <v>241</v>
      </c>
      <c r="DR2617" s="4" t="s">
        <v>241</v>
      </c>
      <c r="DS2617" s="4" t="s">
        <v>241</v>
      </c>
      <c r="DV2617" s="4" t="s">
        <v>426</v>
      </c>
      <c r="DW2617" s="4" t="s">
        <v>2634</v>
      </c>
      <c r="HO2617" s="4" t="s">
        <v>267</v>
      </c>
    </row>
    <row r="2618" spans="1:223" ht="19.5" customHeight="1" x14ac:dyDescent="0.4">
      <c r="A2618" s="4">
        <v>1</v>
      </c>
      <c r="B2618" s="4" t="s">
        <v>239</v>
      </c>
      <c r="C2618" s="4">
        <v>4321</v>
      </c>
      <c r="D2618" s="4">
        <v>1</v>
      </c>
      <c r="E2618" s="4">
        <v>1</v>
      </c>
      <c r="F2618" s="4" t="s">
        <v>268</v>
      </c>
      <c r="G2618" s="4" t="s">
        <v>241</v>
      </c>
      <c r="H2618" s="4" t="s">
        <v>241</v>
      </c>
      <c r="I2618" s="4" t="s">
        <v>424</v>
      </c>
      <c r="J2618" s="4" t="s">
        <v>274</v>
      </c>
      <c r="K2618" s="4" t="s">
        <v>251</v>
      </c>
      <c r="L2618" s="4" t="s">
        <v>423</v>
      </c>
      <c r="M2618" s="5" t="s">
        <v>4104</v>
      </c>
      <c r="N2618" s="6">
        <f>753</f>
        <v>753</v>
      </c>
      <c r="O2618" s="4" t="s">
        <v>265</v>
      </c>
      <c r="P2618" s="6">
        <f>1</f>
        <v>1</v>
      </c>
      <c r="Q2618" s="6">
        <f>0</f>
        <v>0</v>
      </c>
      <c r="S2618" s="6">
        <f>0</f>
        <v>0</v>
      </c>
      <c r="T2618" s="6">
        <f>1</f>
        <v>1</v>
      </c>
      <c r="U2618" s="5" t="s">
        <v>245</v>
      </c>
      <c r="V2618" s="4" t="s">
        <v>270</v>
      </c>
      <c r="W2618" s="4" t="s">
        <v>271</v>
      </c>
      <c r="X2618" s="4" t="s">
        <v>273</v>
      </c>
      <c r="Y2618" s="4" t="s">
        <v>241</v>
      </c>
      <c r="AB2618" s="4" t="s">
        <v>241</v>
      </c>
      <c r="AD2618" s="5" t="s">
        <v>241</v>
      </c>
      <c r="AG2618" s="5" t="s">
        <v>246</v>
      </c>
      <c r="AH2618" s="4" t="s">
        <v>241</v>
      </c>
      <c r="AI2618" s="4" t="s">
        <v>247</v>
      </c>
      <c r="AJ2618" s="4" t="s">
        <v>248</v>
      </c>
      <c r="AZ2618" s="4" t="s">
        <v>249</v>
      </c>
      <c r="BA2618" s="4" t="s">
        <v>241</v>
      </c>
      <c r="BB2618" s="4" t="s">
        <v>250</v>
      </c>
      <c r="BC2618" s="4" t="s">
        <v>241</v>
      </c>
      <c r="BD2618" s="4" t="s">
        <v>252</v>
      </c>
      <c r="BE2618" s="4" t="s">
        <v>241</v>
      </c>
      <c r="BI2618" s="4" t="s">
        <v>253</v>
      </c>
      <c r="BJ2618" s="5" t="s">
        <v>246</v>
      </c>
      <c r="BK2618" s="4" t="s">
        <v>254</v>
      </c>
      <c r="BL2618" s="4" t="s">
        <v>255</v>
      </c>
      <c r="BM2618" s="4" t="s">
        <v>241</v>
      </c>
      <c r="BN2618" s="6">
        <f>0</f>
        <v>0</v>
      </c>
      <c r="BO2618" s="6">
        <f>0</f>
        <v>0</v>
      </c>
      <c r="BP2618" s="4" t="s">
        <v>256</v>
      </c>
      <c r="BQ2618" s="4" t="s">
        <v>257</v>
      </c>
      <c r="CE2618" s="4" t="s">
        <v>241</v>
      </c>
      <c r="CF2618" s="4" t="s">
        <v>241</v>
      </c>
      <c r="CJ2618" s="4" t="s">
        <v>276</v>
      </c>
      <c r="CK2618" s="4" t="s">
        <v>259</v>
      </c>
      <c r="CL2618" s="4" t="s">
        <v>241</v>
      </c>
      <c r="CO2618" s="5" t="s">
        <v>260</v>
      </c>
      <c r="CP2618" s="4" t="s">
        <v>241</v>
      </c>
      <c r="CQ2618" s="4" t="s">
        <v>261</v>
      </c>
      <c r="CR2618" s="4" t="s">
        <v>241</v>
      </c>
      <c r="CS2618" s="4" t="s">
        <v>241</v>
      </c>
      <c r="CT2618" s="4">
        <v>0</v>
      </c>
      <c r="CU2618" s="4" t="s">
        <v>262</v>
      </c>
      <c r="CV2618" s="4" t="s">
        <v>263</v>
      </c>
      <c r="CW2618" s="4" t="s">
        <v>263</v>
      </c>
      <c r="CX2618" s="4" t="s">
        <v>264</v>
      </c>
      <c r="DA2618" s="6">
        <f>1</f>
        <v>1</v>
      </c>
      <c r="DC2618" s="4" t="s">
        <v>325</v>
      </c>
      <c r="DD2618" s="4" t="s">
        <v>241</v>
      </c>
      <c r="DF2618" s="4" t="s">
        <v>325</v>
      </c>
      <c r="DG2618" s="6">
        <f>753</f>
        <v>753</v>
      </c>
      <c r="DI2618" s="4" t="s">
        <v>241</v>
      </c>
      <c r="DJ2618" s="4" t="s">
        <v>241</v>
      </c>
      <c r="DK2618" s="4" t="s">
        <v>241</v>
      </c>
      <c r="DL2618" s="4" t="s">
        <v>241</v>
      </c>
      <c r="DP2618" s="4" t="s">
        <v>241</v>
      </c>
      <c r="DQ2618" s="4" t="s">
        <v>241</v>
      </c>
      <c r="DR2618" s="4" t="s">
        <v>241</v>
      </c>
      <c r="DS2618" s="4" t="s">
        <v>241</v>
      </c>
      <c r="DV2618" s="4" t="s">
        <v>426</v>
      </c>
      <c r="DW2618" s="4" t="s">
        <v>2632</v>
      </c>
      <c r="HO2618" s="4" t="s">
        <v>267</v>
      </c>
    </row>
    <row r="2619" spans="1:223" ht="19.5" customHeight="1" x14ac:dyDescent="0.4">
      <c r="A2619" s="4">
        <v>1</v>
      </c>
      <c r="B2619" s="4" t="s">
        <v>239</v>
      </c>
      <c r="C2619" s="4">
        <v>4322</v>
      </c>
      <c r="D2619" s="4">
        <v>1</v>
      </c>
      <c r="E2619" s="4">
        <v>1</v>
      </c>
      <c r="F2619" s="4" t="s">
        <v>268</v>
      </c>
      <c r="G2619" s="4" t="s">
        <v>241</v>
      </c>
      <c r="H2619" s="4" t="s">
        <v>241</v>
      </c>
      <c r="I2619" s="4" t="s">
        <v>424</v>
      </c>
      <c r="J2619" s="4" t="s">
        <v>274</v>
      </c>
      <c r="K2619" s="4" t="s">
        <v>251</v>
      </c>
      <c r="L2619" s="4" t="s">
        <v>423</v>
      </c>
      <c r="M2619" s="5" t="s">
        <v>4110</v>
      </c>
      <c r="N2619" s="6">
        <f>100</f>
        <v>100</v>
      </c>
      <c r="O2619" s="4" t="s">
        <v>265</v>
      </c>
      <c r="P2619" s="6">
        <f>1</f>
        <v>1</v>
      </c>
      <c r="Q2619" s="6">
        <f>0</f>
        <v>0</v>
      </c>
      <c r="S2619" s="6">
        <f>0</f>
        <v>0</v>
      </c>
      <c r="T2619" s="6">
        <f>1</f>
        <v>1</v>
      </c>
      <c r="U2619" s="5" t="s">
        <v>245</v>
      </c>
      <c r="V2619" s="4" t="s">
        <v>270</v>
      </c>
      <c r="W2619" s="4" t="s">
        <v>271</v>
      </c>
      <c r="X2619" s="4" t="s">
        <v>273</v>
      </c>
      <c r="Y2619" s="4" t="s">
        <v>241</v>
      </c>
      <c r="AB2619" s="4" t="s">
        <v>241</v>
      </c>
      <c r="AD2619" s="5" t="s">
        <v>241</v>
      </c>
      <c r="AG2619" s="5" t="s">
        <v>246</v>
      </c>
      <c r="AH2619" s="4" t="s">
        <v>241</v>
      </c>
      <c r="AI2619" s="4" t="s">
        <v>247</v>
      </c>
      <c r="AJ2619" s="4" t="s">
        <v>248</v>
      </c>
      <c r="AZ2619" s="4" t="s">
        <v>249</v>
      </c>
      <c r="BA2619" s="4" t="s">
        <v>241</v>
      </c>
      <c r="BB2619" s="4" t="s">
        <v>250</v>
      </c>
      <c r="BC2619" s="4" t="s">
        <v>241</v>
      </c>
      <c r="BD2619" s="4" t="s">
        <v>252</v>
      </c>
      <c r="BE2619" s="4" t="s">
        <v>241</v>
      </c>
      <c r="BI2619" s="4" t="s">
        <v>253</v>
      </c>
      <c r="BJ2619" s="5" t="s">
        <v>246</v>
      </c>
      <c r="BK2619" s="4" t="s">
        <v>254</v>
      </c>
      <c r="BL2619" s="4" t="s">
        <v>255</v>
      </c>
      <c r="BM2619" s="4" t="s">
        <v>241</v>
      </c>
      <c r="BN2619" s="6">
        <f>0</f>
        <v>0</v>
      </c>
      <c r="BO2619" s="6">
        <f>0</f>
        <v>0</v>
      </c>
      <c r="BP2619" s="4" t="s">
        <v>256</v>
      </c>
      <c r="BQ2619" s="4" t="s">
        <v>257</v>
      </c>
      <c r="CE2619" s="4" t="s">
        <v>241</v>
      </c>
      <c r="CF2619" s="4" t="s">
        <v>241</v>
      </c>
      <c r="CJ2619" s="4" t="s">
        <v>276</v>
      </c>
      <c r="CK2619" s="4" t="s">
        <v>259</v>
      </c>
      <c r="CL2619" s="4" t="s">
        <v>241</v>
      </c>
      <c r="CO2619" s="5" t="s">
        <v>260</v>
      </c>
      <c r="CP2619" s="4" t="s">
        <v>241</v>
      </c>
      <c r="CQ2619" s="4" t="s">
        <v>261</v>
      </c>
      <c r="CR2619" s="4" t="s">
        <v>241</v>
      </c>
      <c r="CS2619" s="4" t="s">
        <v>241</v>
      </c>
      <c r="CT2619" s="4">
        <v>0</v>
      </c>
      <c r="CU2619" s="4" t="s">
        <v>262</v>
      </c>
      <c r="CV2619" s="4" t="s">
        <v>263</v>
      </c>
      <c r="CW2619" s="4" t="s">
        <v>263</v>
      </c>
      <c r="CX2619" s="4" t="s">
        <v>264</v>
      </c>
      <c r="DA2619" s="6">
        <f>1</f>
        <v>1</v>
      </c>
      <c r="DC2619" s="4" t="s">
        <v>325</v>
      </c>
      <c r="DD2619" s="4" t="s">
        <v>241</v>
      </c>
      <c r="DF2619" s="4" t="s">
        <v>325</v>
      </c>
      <c r="DG2619" s="6">
        <f>100</f>
        <v>100</v>
      </c>
      <c r="DI2619" s="4" t="s">
        <v>241</v>
      </c>
      <c r="DJ2619" s="4" t="s">
        <v>241</v>
      </c>
      <c r="DK2619" s="4" t="s">
        <v>241</v>
      </c>
      <c r="DL2619" s="4" t="s">
        <v>241</v>
      </c>
      <c r="DP2619" s="4" t="s">
        <v>241</v>
      </c>
      <c r="DQ2619" s="4" t="s">
        <v>241</v>
      </c>
      <c r="DR2619" s="4" t="s">
        <v>241</v>
      </c>
      <c r="DS2619" s="4" t="s">
        <v>241</v>
      </c>
      <c r="DV2619" s="4" t="s">
        <v>426</v>
      </c>
      <c r="DW2619" s="4" t="s">
        <v>2628</v>
      </c>
      <c r="HO2619" s="4" t="s">
        <v>267</v>
      </c>
    </row>
    <row r="2620" spans="1:223" ht="19.5" customHeight="1" x14ac:dyDescent="0.4">
      <c r="A2620" s="4">
        <v>1</v>
      </c>
      <c r="B2620" s="4" t="s">
        <v>239</v>
      </c>
      <c r="C2620" s="4">
        <v>4323</v>
      </c>
      <c r="D2620" s="4">
        <v>1</v>
      </c>
      <c r="E2620" s="4">
        <v>1</v>
      </c>
      <c r="F2620" s="4" t="s">
        <v>268</v>
      </c>
      <c r="G2620" s="4" t="s">
        <v>241</v>
      </c>
      <c r="H2620" s="4" t="s">
        <v>241</v>
      </c>
      <c r="I2620" s="4" t="s">
        <v>424</v>
      </c>
      <c r="J2620" s="4" t="s">
        <v>274</v>
      </c>
      <c r="K2620" s="4" t="s">
        <v>251</v>
      </c>
      <c r="L2620" s="4" t="s">
        <v>423</v>
      </c>
      <c r="M2620" s="5" t="s">
        <v>4112</v>
      </c>
      <c r="N2620" s="6">
        <f>187</f>
        <v>187</v>
      </c>
      <c r="O2620" s="4" t="s">
        <v>265</v>
      </c>
      <c r="P2620" s="6">
        <f>1</f>
        <v>1</v>
      </c>
      <c r="Q2620" s="6">
        <f>0</f>
        <v>0</v>
      </c>
      <c r="S2620" s="6">
        <f>0</f>
        <v>0</v>
      </c>
      <c r="T2620" s="6">
        <f>1</f>
        <v>1</v>
      </c>
      <c r="U2620" s="5" t="s">
        <v>245</v>
      </c>
      <c r="V2620" s="4" t="s">
        <v>270</v>
      </c>
      <c r="W2620" s="4" t="s">
        <v>271</v>
      </c>
      <c r="X2620" s="4" t="s">
        <v>273</v>
      </c>
      <c r="Y2620" s="4" t="s">
        <v>241</v>
      </c>
      <c r="AB2620" s="4" t="s">
        <v>241</v>
      </c>
      <c r="AD2620" s="5" t="s">
        <v>241</v>
      </c>
      <c r="AG2620" s="5" t="s">
        <v>246</v>
      </c>
      <c r="AH2620" s="4" t="s">
        <v>241</v>
      </c>
      <c r="AI2620" s="4" t="s">
        <v>247</v>
      </c>
      <c r="AJ2620" s="4" t="s">
        <v>248</v>
      </c>
      <c r="AZ2620" s="4" t="s">
        <v>249</v>
      </c>
      <c r="BA2620" s="4" t="s">
        <v>241</v>
      </c>
      <c r="BB2620" s="4" t="s">
        <v>250</v>
      </c>
      <c r="BC2620" s="4" t="s">
        <v>241</v>
      </c>
      <c r="BD2620" s="4" t="s">
        <v>252</v>
      </c>
      <c r="BE2620" s="4" t="s">
        <v>241</v>
      </c>
      <c r="BI2620" s="4" t="s">
        <v>253</v>
      </c>
      <c r="BJ2620" s="5" t="s">
        <v>246</v>
      </c>
      <c r="BK2620" s="4" t="s">
        <v>254</v>
      </c>
      <c r="BL2620" s="4" t="s">
        <v>255</v>
      </c>
      <c r="BM2620" s="4" t="s">
        <v>241</v>
      </c>
      <c r="BN2620" s="6">
        <f>0</f>
        <v>0</v>
      </c>
      <c r="BO2620" s="6">
        <f>0</f>
        <v>0</v>
      </c>
      <c r="BP2620" s="4" t="s">
        <v>256</v>
      </c>
      <c r="BQ2620" s="4" t="s">
        <v>257</v>
      </c>
      <c r="CE2620" s="4" t="s">
        <v>241</v>
      </c>
      <c r="CF2620" s="4" t="s">
        <v>241</v>
      </c>
      <c r="CJ2620" s="4" t="s">
        <v>276</v>
      </c>
      <c r="CK2620" s="4" t="s">
        <v>259</v>
      </c>
      <c r="CL2620" s="4" t="s">
        <v>241</v>
      </c>
      <c r="CO2620" s="5" t="s">
        <v>260</v>
      </c>
      <c r="CP2620" s="4" t="s">
        <v>241</v>
      </c>
      <c r="CQ2620" s="4" t="s">
        <v>261</v>
      </c>
      <c r="CR2620" s="4" t="s">
        <v>241</v>
      </c>
      <c r="CS2620" s="4" t="s">
        <v>241</v>
      </c>
      <c r="CT2620" s="4">
        <v>0</v>
      </c>
      <c r="CU2620" s="4" t="s">
        <v>262</v>
      </c>
      <c r="CV2620" s="4" t="s">
        <v>263</v>
      </c>
      <c r="CW2620" s="4" t="s">
        <v>263</v>
      </c>
      <c r="CX2620" s="4" t="s">
        <v>264</v>
      </c>
      <c r="DA2620" s="6">
        <f>1</f>
        <v>1</v>
      </c>
      <c r="DC2620" s="4" t="s">
        <v>325</v>
      </c>
      <c r="DD2620" s="4" t="s">
        <v>241</v>
      </c>
      <c r="DF2620" s="4" t="s">
        <v>325</v>
      </c>
      <c r="DG2620" s="6">
        <f>187</f>
        <v>187</v>
      </c>
      <c r="DI2620" s="4" t="s">
        <v>241</v>
      </c>
      <c r="DJ2620" s="4" t="s">
        <v>241</v>
      </c>
      <c r="DK2620" s="4" t="s">
        <v>241</v>
      </c>
      <c r="DL2620" s="4" t="s">
        <v>241</v>
      </c>
      <c r="DP2620" s="4" t="s">
        <v>241</v>
      </c>
      <c r="DQ2620" s="4" t="s">
        <v>241</v>
      </c>
      <c r="DR2620" s="4" t="s">
        <v>241</v>
      </c>
      <c r="DS2620" s="4" t="s">
        <v>241</v>
      </c>
      <c r="DV2620" s="4" t="s">
        <v>426</v>
      </c>
      <c r="DW2620" s="4" t="s">
        <v>2626</v>
      </c>
      <c r="HO2620" s="4" t="s">
        <v>267</v>
      </c>
    </row>
    <row r="2621" spans="1:223" ht="19.5" customHeight="1" x14ac:dyDescent="0.4">
      <c r="A2621" s="4">
        <v>1</v>
      </c>
      <c r="B2621" s="4" t="s">
        <v>239</v>
      </c>
      <c r="C2621" s="4">
        <v>4324</v>
      </c>
      <c r="D2621" s="4">
        <v>1</v>
      </c>
      <c r="E2621" s="4">
        <v>1</v>
      </c>
      <c r="F2621" s="4" t="s">
        <v>268</v>
      </c>
      <c r="G2621" s="4" t="s">
        <v>241</v>
      </c>
      <c r="H2621" s="4" t="s">
        <v>241</v>
      </c>
      <c r="I2621" s="4" t="s">
        <v>424</v>
      </c>
      <c r="J2621" s="4" t="s">
        <v>274</v>
      </c>
      <c r="K2621" s="4" t="s">
        <v>251</v>
      </c>
      <c r="L2621" s="4" t="s">
        <v>423</v>
      </c>
      <c r="M2621" s="5" t="s">
        <v>4118</v>
      </c>
      <c r="N2621" s="6">
        <f>678</f>
        <v>678</v>
      </c>
      <c r="O2621" s="4" t="s">
        <v>265</v>
      </c>
      <c r="P2621" s="6">
        <f>1</f>
        <v>1</v>
      </c>
      <c r="Q2621" s="6">
        <f>0</f>
        <v>0</v>
      </c>
      <c r="S2621" s="6">
        <f>0</f>
        <v>0</v>
      </c>
      <c r="T2621" s="6">
        <f>1</f>
        <v>1</v>
      </c>
      <c r="U2621" s="5" t="s">
        <v>245</v>
      </c>
      <c r="V2621" s="4" t="s">
        <v>270</v>
      </c>
      <c r="W2621" s="4" t="s">
        <v>271</v>
      </c>
      <c r="X2621" s="4" t="s">
        <v>273</v>
      </c>
      <c r="Y2621" s="4" t="s">
        <v>241</v>
      </c>
      <c r="AB2621" s="4" t="s">
        <v>241</v>
      </c>
      <c r="AD2621" s="5" t="s">
        <v>241</v>
      </c>
      <c r="AG2621" s="5" t="s">
        <v>246</v>
      </c>
      <c r="AH2621" s="4" t="s">
        <v>241</v>
      </c>
      <c r="AI2621" s="4" t="s">
        <v>247</v>
      </c>
      <c r="AJ2621" s="4" t="s">
        <v>248</v>
      </c>
      <c r="AZ2621" s="4" t="s">
        <v>249</v>
      </c>
      <c r="BA2621" s="4" t="s">
        <v>241</v>
      </c>
      <c r="BB2621" s="4" t="s">
        <v>250</v>
      </c>
      <c r="BC2621" s="4" t="s">
        <v>241</v>
      </c>
      <c r="BD2621" s="4" t="s">
        <v>252</v>
      </c>
      <c r="BE2621" s="4" t="s">
        <v>241</v>
      </c>
      <c r="BI2621" s="4" t="s">
        <v>253</v>
      </c>
      <c r="BJ2621" s="5" t="s">
        <v>246</v>
      </c>
      <c r="BK2621" s="4" t="s">
        <v>254</v>
      </c>
      <c r="BL2621" s="4" t="s">
        <v>255</v>
      </c>
      <c r="BM2621" s="4" t="s">
        <v>241</v>
      </c>
      <c r="BN2621" s="6">
        <f>0</f>
        <v>0</v>
      </c>
      <c r="BO2621" s="6">
        <f>0</f>
        <v>0</v>
      </c>
      <c r="BP2621" s="4" t="s">
        <v>256</v>
      </c>
      <c r="BQ2621" s="4" t="s">
        <v>257</v>
      </c>
      <c r="CE2621" s="4" t="s">
        <v>241</v>
      </c>
      <c r="CF2621" s="4" t="s">
        <v>241</v>
      </c>
      <c r="CJ2621" s="4" t="s">
        <v>276</v>
      </c>
      <c r="CK2621" s="4" t="s">
        <v>259</v>
      </c>
      <c r="CL2621" s="4" t="s">
        <v>241</v>
      </c>
      <c r="CO2621" s="5" t="s">
        <v>260</v>
      </c>
      <c r="CP2621" s="4" t="s">
        <v>241</v>
      </c>
      <c r="CQ2621" s="4" t="s">
        <v>261</v>
      </c>
      <c r="CR2621" s="4" t="s">
        <v>241</v>
      </c>
      <c r="CS2621" s="4" t="s">
        <v>241</v>
      </c>
      <c r="CT2621" s="4">
        <v>0</v>
      </c>
      <c r="CU2621" s="4" t="s">
        <v>262</v>
      </c>
      <c r="CV2621" s="4" t="s">
        <v>263</v>
      </c>
      <c r="CW2621" s="4" t="s">
        <v>263</v>
      </c>
      <c r="CX2621" s="4" t="s">
        <v>264</v>
      </c>
      <c r="DA2621" s="6">
        <f>1</f>
        <v>1</v>
      </c>
      <c r="DC2621" s="4" t="s">
        <v>325</v>
      </c>
      <c r="DD2621" s="4" t="s">
        <v>241</v>
      </c>
      <c r="DF2621" s="4" t="s">
        <v>325</v>
      </c>
      <c r="DG2621" s="6">
        <f>678</f>
        <v>678</v>
      </c>
      <c r="DI2621" s="4" t="s">
        <v>241</v>
      </c>
      <c r="DJ2621" s="4" t="s">
        <v>241</v>
      </c>
      <c r="DK2621" s="4" t="s">
        <v>241</v>
      </c>
      <c r="DL2621" s="4" t="s">
        <v>241</v>
      </c>
      <c r="DP2621" s="4" t="s">
        <v>241</v>
      </c>
      <c r="DQ2621" s="4" t="s">
        <v>241</v>
      </c>
      <c r="DR2621" s="4" t="s">
        <v>241</v>
      </c>
      <c r="DS2621" s="4" t="s">
        <v>241</v>
      </c>
      <c r="DV2621" s="4" t="s">
        <v>426</v>
      </c>
      <c r="DW2621" s="4" t="s">
        <v>2619</v>
      </c>
      <c r="HO2621" s="4" t="s">
        <v>267</v>
      </c>
    </row>
    <row r="2622" spans="1:223" ht="19.5" customHeight="1" x14ac:dyDescent="0.4">
      <c r="A2622" s="4">
        <v>1</v>
      </c>
      <c r="B2622" s="4" t="s">
        <v>239</v>
      </c>
      <c r="C2622" s="4">
        <v>4325</v>
      </c>
      <c r="D2622" s="4">
        <v>1</v>
      </c>
      <c r="E2622" s="4">
        <v>1</v>
      </c>
      <c r="F2622" s="4" t="s">
        <v>268</v>
      </c>
      <c r="G2622" s="4" t="s">
        <v>241</v>
      </c>
      <c r="H2622" s="4" t="s">
        <v>241</v>
      </c>
      <c r="I2622" s="4" t="s">
        <v>424</v>
      </c>
      <c r="J2622" s="4" t="s">
        <v>274</v>
      </c>
      <c r="K2622" s="4" t="s">
        <v>251</v>
      </c>
      <c r="L2622" s="4" t="s">
        <v>423</v>
      </c>
      <c r="M2622" s="5" t="s">
        <v>4119</v>
      </c>
      <c r="N2622" s="6">
        <f>1056</f>
        <v>1056</v>
      </c>
      <c r="O2622" s="4" t="s">
        <v>265</v>
      </c>
      <c r="P2622" s="6">
        <f>1</f>
        <v>1</v>
      </c>
      <c r="Q2622" s="6">
        <f>0</f>
        <v>0</v>
      </c>
      <c r="S2622" s="6">
        <f>0</f>
        <v>0</v>
      </c>
      <c r="T2622" s="6">
        <f>1</f>
        <v>1</v>
      </c>
      <c r="U2622" s="5" t="s">
        <v>245</v>
      </c>
      <c r="V2622" s="4" t="s">
        <v>270</v>
      </c>
      <c r="W2622" s="4" t="s">
        <v>271</v>
      </c>
      <c r="X2622" s="4" t="s">
        <v>273</v>
      </c>
      <c r="Y2622" s="4" t="s">
        <v>241</v>
      </c>
      <c r="AB2622" s="4" t="s">
        <v>241</v>
      </c>
      <c r="AD2622" s="5" t="s">
        <v>241</v>
      </c>
      <c r="AG2622" s="5" t="s">
        <v>246</v>
      </c>
      <c r="AH2622" s="4" t="s">
        <v>241</v>
      </c>
      <c r="AI2622" s="4" t="s">
        <v>247</v>
      </c>
      <c r="AJ2622" s="4" t="s">
        <v>248</v>
      </c>
      <c r="AZ2622" s="4" t="s">
        <v>249</v>
      </c>
      <c r="BA2622" s="4" t="s">
        <v>241</v>
      </c>
      <c r="BB2622" s="4" t="s">
        <v>250</v>
      </c>
      <c r="BC2622" s="4" t="s">
        <v>241</v>
      </c>
      <c r="BD2622" s="4" t="s">
        <v>252</v>
      </c>
      <c r="BE2622" s="4" t="s">
        <v>241</v>
      </c>
      <c r="BI2622" s="4" t="s">
        <v>253</v>
      </c>
      <c r="BJ2622" s="5" t="s">
        <v>246</v>
      </c>
      <c r="BK2622" s="4" t="s">
        <v>254</v>
      </c>
      <c r="BL2622" s="4" t="s">
        <v>255</v>
      </c>
      <c r="BM2622" s="4" t="s">
        <v>241</v>
      </c>
      <c r="BN2622" s="6">
        <f>0</f>
        <v>0</v>
      </c>
      <c r="BO2622" s="6">
        <f>0</f>
        <v>0</v>
      </c>
      <c r="BP2622" s="4" t="s">
        <v>256</v>
      </c>
      <c r="BQ2622" s="4" t="s">
        <v>257</v>
      </c>
      <c r="CE2622" s="4" t="s">
        <v>241</v>
      </c>
      <c r="CF2622" s="4" t="s">
        <v>241</v>
      </c>
      <c r="CJ2622" s="4" t="s">
        <v>276</v>
      </c>
      <c r="CK2622" s="4" t="s">
        <v>259</v>
      </c>
      <c r="CL2622" s="4" t="s">
        <v>241</v>
      </c>
      <c r="CO2622" s="5" t="s">
        <v>260</v>
      </c>
      <c r="CP2622" s="4" t="s">
        <v>241</v>
      </c>
      <c r="CQ2622" s="4" t="s">
        <v>261</v>
      </c>
      <c r="CR2622" s="4" t="s">
        <v>241</v>
      </c>
      <c r="CS2622" s="4" t="s">
        <v>241</v>
      </c>
      <c r="CT2622" s="4">
        <v>0</v>
      </c>
      <c r="CU2622" s="4" t="s">
        <v>262</v>
      </c>
      <c r="CV2622" s="4" t="s">
        <v>263</v>
      </c>
      <c r="CW2622" s="4" t="s">
        <v>263</v>
      </c>
      <c r="CX2622" s="4" t="s">
        <v>264</v>
      </c>
      <c r="DA2622" s="6">
        <f>1</f>
        <v>1</v>
      </c>
      <c r="DC2622" s="4" t="s">
        <v>325</v>
      </c>
      <c r="DD2622" s="4" t="s">
        <v>241</v>
      </c>
      <c r="DF2622" s="4" t="s">
        <v>325</v>
      </c>
      <c r="DG2622" s="6">
        <f>1056</f>
        <v>1056</v>
      </c>
      <c r="DI2622" s="4" t="s">
        <v>241</v>
      </c>
      <c r="DJ2622" s="4" t="s">
        <v>241</v>
      </c>
      <c r="DK2622" s="4" t="s">
        <v>241</v>
      </c>
      <c r="DL2622" s="4" t="s">
        <v>241</v>
      </c>
      <c r="DP2622" s="4" t="s">
        <v>241</v>
      </c>
      <c r="DQ2622" s="4" t="s">
        <v>241</v>
      </c>
      <c r="DR2622" s="4" t="s">
        <v>241</v>
      </c>
      <c r="DS2622" s="4" t="s">
        <v>241</v>
      </c>
      <c r="DV2622" s="4" t="s">
        <v>426</v>
      </c>
      <c r="DW2622" s="4" t="s">
        <v>2617</v>
      </c>
      <c r="HO2622" s="4" t="s">
        <v>267</v>
      </c>
    </row>
    <row r="2623" spans="1:223" ht="19.5" customHeight="1" x14ac:dyDescent="0.4">
      <c r="A2623" s="4">
        <v>1</v>
      </c>
      <c r="B2623" s="4" t="s">
        <v>239</v>
      </c>
      <c r="C2623" s="4">
        <v>4326</v>
      </c>
      <c r="D2623" s="4">
        <v>1</v>
      </c>
      <c r="E2623" s="4">
        <v>1</v>
      </c>
      <c r="F2623" s="4" t="s">
        <v>268</v>
      </c>
      <c r="G2623" s="4" t="s">
        <v>241</v>
      </c>
      <c r="H2623" s="4" t="s">
        <v>241</v>
      </c>
      <c r="I2623" s="4" t="s">
        <v>424</v>
      </c>
      <c r="J2623" s="4" t="s">
        <v>274</v>
      </c>
      <c r="K2623" s="4" t="s">
        <v>251</v>
      </c>
      <c r="L2623" s="4" t="s">
        <v>423</v>
      </c>
      <c r="M2623" s="5" t="s">
        <v>4124</v>
      </c>
      <c r="N2623" s="6">
        <f>988</f>
        <v>988</v>
      </c>
      <c r="O2623" s="4" t="s">
        <v>265</v>
      </c>
      <c r="P2623" s="6">
        <f>1</f>
        <v>1</v>
      </c>
      <c r="Q2623" s="6">
        <f>0</f>
        <v>0</v>
      </c>
      <c r="S2623" s="6">
        <f>0</f>
        <v>0</v>
      </c>
      <c r="T2623" s="6">
        <f>1</f>
        <v>1</v>
      </c>
      <c r="U2623" s="5" t="s">
        <v>245</v>
      </c>
      <c r="V2623" s="4" t="s">
        <v>270</v>
      </c>
      <c r="W2623" s="4" t="s">
        <v>271</v>
      </c>
      <c r="X2623" s="4" t="s">
        <v>273</v>
      </c>
      <c r="Y2623" s="4" t="s">
        <v>241</v>
      </c>
      <c r="AB2623" s="4" t="s">
        <v>241</v>
      </c>
      <c r="AD2623" s="5" t="s">
        <v>241</v>
      </c>
      <c r="AG2623" s="5" t="s">
        <v>246</v>
      </c>
      <c r="AH2623" s="4" t="s">
        <v>241</v>
      </c>
      <c r="AI2623" s="4" t="s">
        <v>247</v>
      </c>
      <c r="AJ2623" s="4" t="s">
        <v>248</v>
      </c>
      <c r="AZ2623" s="4" t="s">
        <v>249</v>
      </c>
      <c r="BA2623" s="4" t="s">
        <v>241</v>
      </c>
      <c r="BB2623" s="4" t="s">
        <v>250</v>
      </c>
      <c r="BC2623" s="4" t="s">
        <v>241</v>
      </c>
      <c r="BD2623" s="4" t="s">
        <v>252</v>
      </c>
      <c r="BE2623" s="4" t="s">
        <v>241</v>
      </c>
      <c r="BI2623" s="4" t="s">
        <v>253</v>
      </c>
      <c r="BJ2623" s="5" t="s">
        <v>246</v>
      </c>
      <c r="BK2623" s="4" t="s">
        <v>254</v>
      </c>
      <c r="BL2623" s="4" t="s">
        <v>255</v>
      </c>
      <c r="BM2623" s="4" t="s">
        <v>241</v>
      </c>
      <c r="BN2623" s="6">
        <f>0</f>
        <v>0</v>
      </c>
      <c r="BO2623" s="6">
        <f>0</f>
        <v>0</v>
      </c>
      <c r="BP2623" s="4" t="s">
        <v>256</v>
      </c>
      <c r="BQ2623" s="4" t="s">
        <v>257</v>
      </c>
      <c r="CE2623" s="4" t="s">
        <v>241</v>
      </c>
      <c r="CF2623" s="4" t="s">
        <v>241</v>
      </c>
      <c r="CJ2623" s="4" t="s">
        <v>276</v>
      </c>
      <c r="CK2623" s="4" t="s">
        <v>259</v>
      </c>
      <c r="CL2623" s="4" t="s">
        <v>241</v>
      </c>
      <c r="CO2623" s="5" t="s">
        <v>260</v>
      </c>
      <c r="CP2623" s="4" t="s">
        <v>241</v>
      </c>
      <c r="CQ2623" s="4" t="s">
        <v>261</v>
      </c>
      <c r="CR2623" s="4" t="s">
        <v>241</v>
      </c>
      <c r="CS2623" s="4" t="s">
        <v>241</v>
      </c>
      <c r="CT2623" s="4">
        <v>0</v>
      </c>
      <c r="CU2623" s="4" t="s">
        <v>262</v>
      </c>
      <c r="CV2623" s="4" t="s">
        <v>263</v>
      </c>
      <c r="CW2623" s="4" t="s">
        <v>263</v>
      </c>
      <c r="CX2623" s="4" t="s">
        <v>264</v>
      </c>
      <c r="DA2623" s="6">
        <f>1</f>
        <v>1</v>
      </c>
      <c r="DC2623" s="4" t="s">
        <v>325</v>
      </c>
      <c r="DD2623" s="4" t="s">
        <v>241</v>
      </c>
      <c r="DF2623" s="4" t="s">
        <v>325</v>
      </c>
      <c r="DG2623" s="6">
        <f>988</f>
        <v>988</v>
      </c>
      <c r="DI2623" s="4" t="s">
        <v>241</v>
      </c>
      <c r="DJ2623" s="4" t="s">
        <v>241</v>
      </c>
      <c r="DK2623" s="4" t="s">
        <v>241</v>
      </c>
      <c r="DL2623" s="4" t="s">
        <v>241</v>
      </c>
      <c r="DP2623" s="4" t="s">
        <v>241</v>
      </c>
      <c r="DQ2623" s="4" t="s">
        <v>241</v>
      </c>
      <c r="DR2623" s="4" t="s">
        <v>241</v>
      </c>
      <c r="DS2623" s="4" t="s">
        <v>241</v>
      </c>
      <c r="DV2623" s="4" t="s">
        <v>426</v>
      </c>
      <c r="DW2623" s="4" t="s">
        <v>2615</v>
      </c>
      <c r="HO2623" s="4" t="s">
        <v>267</v>
      </c>
    </row>
    <row r="2624" spans="1:223" ht="19.5" customHeight="1" x14ac:dyDescent="0.4">
      <c r="A2624" s="4">
        <v>1</v>
      </c>
      <c r="B2624" s="4" t="s">
        <v>239</v>
      </c>
      <c r="C2624" s="4">
        <v>4327</v>
      </c>
      <c r="D2624" s="4">
        <v>1</v>
      </c>
      <c r="E2624" s="4">
        <v>1</v>
      </c>
      <c r="F2624" s="4" t="s">
        <v>268</v>
      </c>
      <c r="G2624" s="4" t="s">
        <v>241</v>
      </c>
      <c r="H2624" s="4" t="s">
        <v>241</v>
      </c>
      <c r="I2624" s="4" t="s">
        <v>424</v>
      </c>
      <c r="J2624" s="4" t="s">
        <v>274</v>
      </c>
      <c r="K2624" s="4" t="s">
        <v>251</v>
      </c>
      <c r="L2624" s="4" t="s">
        <v>423</v>
      </c>
      <c r="M2624" s="5" t="s">
        <v>4128</v>
      </c>
      <c r="N2624" s="6">
        <f>173</f>
        <v>173</v>
      </c>
      <c r="O2624" s="4" t="s">
        <v>265</v>
      </c>
      <c r="P2624" s="6">
        <f>1</f>
        <v>1</v>
      </c>
      <c r="Q2624" s="6">
        <f>0</f>
        <v>0</v>
      </c>
      <c r="S2624" s="6">
        <f>0</f>
        <v>0</v>
      </c>
      <c r="T2624" s="6">
        <f>1</f>
        <v>1</v>
      </c>
      <c r="U2624" s="5" t="s">
        <v>245</v>
      </c>
      <c r="V2624" s="4" t="s">
        <v>270</v>
      </c>
      <c r="W2624" s="4" t="s">
        <v>271</v>
      </c>
      <c r="X2624" s="4" t="s">
        <v>273</v>
      </c>
      <c r="Y2624" s="4" t="s">
        <v>241</v>
      </c>
      <c r="AB2624" s="4" t="s">
        <v>241</v>
      </c>
      <c r="AD2624" s="5" t="s">
        <v>241</v>
      </c>
      <c r="AG2624" s="5" t="s">
        <v>246</v>
      </c>
      <c r="AH2624" s="4" t="s">
        <v>241</v>
      </c>
      <c r="AI2624" s="4" t="s">
        <v>247</v>
      </c>
      <c r="AJ2624" s="4" t="s">
        <v>248</v>
      </c>
      <c r="AZ2624" s="4" t="s">
        <v>249</v>
      </c>
      <c r="BA2624" s="4" t="s">
        <v>241</v>
      </c>
      <c r="BB2624" s="4" t="s">
        <v>250</v>
      </c>
      <c r="BC2624" s="4" t="s">
        <v>241</v>
      </c>
      <c r="BD2624" s="4" t="s">
        <v>252</v>
      </c>
      <c r="BE2624" s="4" t="s">
        <v>241</v>
      </c>
      <c r="BI2624" s="4" t="s">
        <v>253</v>
      </c>
      <c r="BJ2624" s="5" t="s">
        <v>246</v>
      </c>
      <c r="BK2624" s="4" t="s">
        <v>254</v>
      </c>
      <c r="BL2624" s="4" t="s">
        <v>255</v>
      </c>
      <c r="BM2624" s="4" t="s">
        <v>241</v>
      </c>
      <c r="BN2624" s="6">
        <f>0</f>
        <v>0</v>
      </c>
      <c r="BO2624" s="6">
        <f>0</f>
        <v>0</v>
      </c>
      <c r="BP2624" s="4" t="s">
        <v>256</v>
      </c>
      <c r="BQ2624" s="4" t="s">
        <v>257</v>
      </c>
      <c r="CE2624" s="4" t="s">
        <v>241</v>
      </c>
      <c r="CF2624" s="4" t="s">
        <v>241</v>
      </c>
      <c r="CJ2624" s="4" t="s">
        <v>276</v>
      </c>
      <c r="CK2624" s="4" t="s">
        <v>259</v>
      </c>
      <c r="CL2624" s="4" t="s">
        <v>241</v>
      </c>
      <c r="CO2624" s="5" t="s">
        <v>260</v>
      </c>
      <c r="CP2624" s="4" t="s">
        <v>241</v>
      </c>
      <c r="CQ2624" s="4" t="s">
        <v>261</v>
      </c>
      <c r="CR2624" s="4" t="s">
        <v>241</v>
      </c>
      <c r="CS2624" s="4" t="s">
        <v>241</v>
      </c>
      <c r="CT2624" s="4">
        <v>0</v>
      </c>
      <c r="CU2624" s="4" t="s">
        <v>262</v>
      </c>
      <c r="CV2624" s="4" t="s">
        <v>263</v>
      </c>
      <c r="CW2624" s="4" t="s">
        <v>263</v>
      </c>
      <c r="CX2624" s="4" t="s">
        <v>264</v>
      </c>
      <c r="DA2624" s="6">
        <f>1</f>
        <v>1</v>
      </c>
      <c r="DC2624" s="4" t="s">
        <v>325</v>
      </c>
      <c r="DD2624" s="4" t="s">
        <v>241</v>
      </c>
      <c r="DF2624" s="4" t="s">
        <v>325</v>
      </c>
      <c r="DG2624" s="6">
        <f>173</f>
        <v>173</v>
      </c>
      <c r="DI2624" s="4" t="s">
        <v>241</v>
      </c>
      <c r="DJ2624" s="4" t="s">
        <v>241</v>
      </c>
      <c r="DK2624" s="4" t="s">
        <v>241</v>
      </c>
      <c r="DL2624" s="4" t="s">
        <v>241</v>
      </c>
      <c r="DP2624" s="4" t="s">
        <v>241</v>
      </c>
      <c r="DQ2624" s="4" t="s">
        <v>241</v>
      </c>
      <c r="DR2624" s="4" t="s">
        <v>241</v>
      </c>
      <c r="DS2624" s="4" t="s">
        <v>241</v>
      </c>
      <c r="DV2624" s="4" t="s">
        <v>426</v>
      </c>
      <c r="DW2624" s="4" t="s">
        <v>2613</v>
      </c>
      <c r="HO2624" s="4" t="s">
        <v>267</v>
      </c>
    </row>
    <row r="2625" spans="1:223" ht="19.5" customHeight="1" x14ac:dyDescent="0.4">
      <c r="A2625" s="4">
        <v>1</v>
      </c>
      <c r="B2625" s="4" t="s">
        <v>239</v>
      </c>
      <c r="C2625" s="4">
        <v>4328</v>
      </c>
      <c r="D2625" s="4">
        <v>1</v>
      </c>
      <c r="E2625" s="4">
        <v>1</v>
      </c>
      <c r="F2625" s="4" t="s">
        <v>268</v>
      </c>
      <c r="G2625" s="4" t="s">
        <v>241</v>
      </c>
      <c r="H2625" s="4" t="s">
        <v>241</v>
      </c>
      <c r="I2625" s="4" t="s">
        <v>424</v>
      </c>
      <c r="J2625" s="4" t="s">
        <v>274</v>
      </c>
      <c r="K2625" s="4" t="s">
        <v>251</v>
      </c>
      <c r="L2625" s="4" t="s">
        <v>423</v>
      </c>
      <c r="M2625" s="5" t="s">
        <v>4136</v>
      </c>
      <c r="N2625" s="6">
        <f>423</f>
        <v>423</v>
      </c>
      <c r="O2625" s="4" t="s">
        <v>265</v>
      </c>
      <c r="P2625" s="6">
        <f>1</f>
        <v>1</v>
      </c>
      <c r="Q2625" s="6">
        <f>0</f>
        <v>0</v>
      </c>
      <c r="S2625" s="6">
        <f>0</f>
        <v>0</v>
      </c>
      <c r="T2625" s="6">
        <f>1</f>
        <v>1</v>
      </c>
      <c r="U2625" s="5" t="s">
        <v>245</v>
      </c>
      <c r="V2625" s="4" t="s">
        <v>270</v>
      </c>
      <c r="W2625" s="4" t="s">
        <v>271</v>
      </c>
      <c r="X2625" s="4" t="s">
        <v>273</v>
      </c>
      <c r="Y2625" s="4" t="s">
        <v>241</v>
      </c>
      <c r="AB2625" s="4" t="s">
        <v>241</v>
      </c>
      <c r="AD2625" s="5" t="s">
        <v>241</v>
      </c>
      <c r="AG2625" s="5" t="s">
        <v>246</v>
      </c>
      <c r="AH2625" s="4" t="s">
        <v>241</v>
      </c>
      <c r="AI2625" s="4" t="s">
        <v>247</v>
      </c>
      <c r="AJ2625" s="4" t="s">
        <v>248</v>
      </c>
      <c r="AZ2625" s="4" t="s">
        <v>249</v>
      </c>
      <c r="BA2625" s="4" t="s">
        <v>241</v>
      </c>
      <c r="BB2625" s="4" t="s">
        <v>250</v>
      </c>
      <c r="BC2625" s="4" t="s">
        <v>241</v>
      </c>
      <c r="BD2625" s="4" t="s">
        <v>252</v>
      </c>
      <c r="BE2625" s="4" t="s">
        <v>241</v>
      </c>
      <c r="BI2625" s="4" t="s">
        <v>253</v>
      </c>
      <c r="BJ2625" s="5" t="s">
        <v>246</v>
      </c>
      <c r="BK2625" s="4" t="s">
        <v>254</v>
      </c>
      <c r="BL2625" s="4" t="s">
        <v>255</v>
      </c>
      <c r="BM2625" s="4" t="s">
        <v>241</v>
      </c>
      <c r="BN2625" s="6">
        <f>0</f>
        <v>0</v>
      </c>
      <c r="BO2625" s="6">
        <f>0</f>
        <v>0</v>
      </c>
      <c r="BP2625" s="4" t="s">
        <v>256</v>
      </c>
      <c r="BQ2625" s="4" t="s">
        <v>257</v>
      </c>
      <c r="CE2625" s="4" t="s">
        <v>241</v>
      </c>
      <c r="CF2625" s="4" t="s">
        <v>241</v>
      </c>
      <c r="CJ2625" s="4" t="s">
        <v>276</v>
      </c>
      <c r="CK2625" s="4" t="s">
        <v>259</v>
      </c>
      <c r="CL2625" s="4" t="s">
        <v>241</v>
      </c>
      <c r="CO2625" s="5" t="s">
        <v>260</v>
      </c>
      <c r="CP2625" s="4" t="s">
        <v>241</v>
      </c>
      <c r="CQ2625" s="4" t="s">
        <v>261</v>
      </c>
      <c r="CR2625" s="4" t="s">
        <v>241</v>
      </c>
      <c r="CS2625" s="4" t="s">
        <v>241</v>
      </c>
      <c r="CT2625" s="4">
        <v>0</v>
      </c>
      <c r="CU2625" s="4" t="s">
        <v>262</v>
      </c>
      <c r="CV2625" s="4" t="s">
        <v>263</v>
      </c>
      <c r="CW2625" s="4" t="s">
        <v>263</v>
      </c>
      <c r="CX2625" s="4" t="s">
        <v>264</v>
      </c>
      <c r="DA2625" s="6">
        <f>1</f>
        <v>1</v>
      </c>
      <c r="DC2625" s="4" t="s">
        <v>325</v>
      </c>
      <c r="DD2625" s="4" t="s">
        <v>241</v>
      </c>
      <c r="DF2625" s="4" t="s">
        <v>325</v>
      </c>
      <c r="DG2625" s="6">
        <f>423</f>
        <v>423</v>
      </c>
      <c r="DI2625" s="4" t="s">
        <v>241</v>
      </c>
      <c r="DJ2625" s="4" t="s">
        <v>241</v>
      </c>
      <c r="DK2625" s="4" t="s">
        <v>241</v>
      </c>
      <c r="DL2625" s="4" t="s">
        <v>241</v>
      </c>
      <c r="DP2625" s="4" t="s">
        <v>241</v>
      </c>
      <c r="DQ2625" s="4" t="s">
        <v>241</v>
      </c>
      <c r="DR2625" s="4" t="s">
        <v>241</v>
      </c>
      <c r="DS2625" s="4" t="s">
        <v>241</v>
      </c>
      <c r="DV2625" s="4" t="s">
        <v>426</v>
      </c>
      <c r="DW2625" s="4" t="s">
        <v>2611</v>
      </c>
      <c r="HO2625" s="4" t="s">
        <v>267</v>
      </c>
    </row>
    <row r="2626" spans="1:223" ht="19.5" customHeight="1" x14ac:dyDescent="0.4">
      <c r="A2626" s="4">
        <v>1</v>
      </c>
      <c r="B2626" s="4" t="s">
        <v>239</v>
      </c>
      <c r="C2626" s="4">
        <v>4329</v>
      </c>
      <c r="D2626" s="4">
        <v>1</v>
      </c>
      <c r="E2626" s="4">
        <v>1</v>
      </c>
      <c r="F2626" s="4" t="s">
        <v>268</v>
      </c>
      <c r="G2626" s="4" t="s">
        <v>241</v>
      </c>
      <c r="H2626" s="4" t="s">
        <v>241</v>
      </c>
      <c r="I2626" s="4" t="s">
        <v>424</v>
      </c>
      <c r="J2626" s="4" t="s">
        <v>274</v>
      </c>
      <c r="K2626" s="4" t="s">
        <v>251</v>
      </c>
      <c r="L2626" s="4" t="s">
        <v>423</v>
      </c>
      <c r="M2626" s="5" t="s">
        <v>4149</v>
      </c>
      <c r="N2626" s="6">
        <f>950</f>
        <v>950</v>
      </c>
      <c r="O2626" s="4" t="s">
        <v>265</v>
      </c>
      <c r="P2626" s="6">
        <f>1</f>
        <v>1</v>
      </c>
      <c r="Q2626" s="6">
        <f>0</f>
        <v>0</v>
      </c>
      <c r="S2626" s="6">
        <f>0</f>
        <v>0</v>
      </c>
      <c r="T2626" s="6">
        <f>1</f>
        <v>1</v>
      </c>
      <c r="U2626" s="5" t="s">
        <v>245</v>
      </c>
      <c r="V2626" s="4" t="s">
        <v>270</v>
      </c>
      <c r="W2626" s="4" t="s">
        <v>271</v>
      </c>
      <c r="X2626" s="4" t="s">
        <v>273</v>
      </c>
      <c r="Y2626" s="4" t="s">
        <v>241</v>
      </c>
      <c r="AB2626" s="4" t="s">
        <v>241</v>
      </c>
      <c r="AD2626" s="5" t="s">
        <v>241</v>
      </c>
      <c r="AG2626" s="5" t="s">
        <v>246</v>
      </c>
      <c r="AH2626" s="4" t="s">
        <v>241</v>
      </c>
      <c r="AI2626" s="4" t="s">
        <v>247</v>
      </c>
      <c r="AJ2626" s="4" t="s">
        <v>248</v>
      </c>
      <c r="AZ2626" s="4" t="s">
        <v>249</v>
      </c>
      <c r="BA2626" s="4" t="s">
        <v>241</v>
      </c>
      <c r="BB2626" s="4" t="s">
        <v>250</v>
      </c>
      <c r="BC2626" s="4" t="s">
        <v>241</v>
      </c>
      <c r="BD2626" s="4" t="s">
        <v>252</v>
      </c>
      <c r="BE2626" s="4" t="s">
        <v>241</v>
      </c>
      <c r="BI2626" s="4" t="s">
        <v>253</v>
      </c>
      <c r="BJ2626" s="5" t="s">
        <v>246</v>
      </c>
      <c r="BK2626" s="4" t="s">
        <v>254</v>
      </c>
      <c r="BL2626" s="4" t="s">
        <v>255</v>
      </c>
      <c r="BM2626" s="4" t="s">
        <v>241</v>
      </c>
      <c r="BN2626" s="6">
        <f>0</f>
        <v>0</v>
      </c>
      <c r="BO2626" s="6">
        <f>0</f>
        <v>0</v>
      </c>
      <c r="BP2626" s="4" t="s">
        <v>256</v>
      </c>
      <c r="BQ2626" s="4" t="s">
        <v>257</v>
      </c>
      <c r="CE2626" s="4" t="s">
        <v>241</v>
      </c>
      <c r="CF2626" s="4" t="s">
        <v>241</v>
      </c>
      <c r="CJ2626" s="4" t="s">
        <v>276</v>
      </c>
      <c r="CK2626" s="4" t="s">
        <v>259</v>
      </c>
      <c r="CL2626" s="4" t="s">
        <v>241</v>
      </c>
      <c r="CO2626" s="5" t="s">
        <v>260</v>
      </c>
      <c r="CP2626" s="4" t="s">
        <v>241</v>
      </c>
      <c r="CQ2626" s="4" t="s">
        <v>261</v>
      </c>
      <c r="CR2626" s="4" t="s">
        <v>241</v>
      </c>
      <c r="CS2626" s="4" t="s">
        <v>241</v>
      </c>
      <c r="CT2626" s="4">
        <v>0</v>
      </c>
      <c r="CU2626" s="4" t="s">
        <v>262</v>
      </c>
      <c r="CV2626" s="4" t="s">
        <v>263</v>
      </c>
      <c r="CW2626" s="4" t="s">
        <v>263</v>
      </c>
      <c r="CX2626" s="4" t="s">
        <v>264</v>
      </c>
      <c r="DA2626" s="6">
        <f>1</f>
        <v>1</v>
      </c>
      <c r="DC2626" s="4" t="s">
        <v>325</v>
      </c>
      <c r="DD2626" s="4" t="s">
        <v>241</v>
      </c>
      <c r="DF2626" s="4" t="s">
        <v>325</v>
      </c>
      <c r="DG2626" s="6">
        <f>950</f>
        <v>950</v>
      </c>
      <c r="DI2626" s="4" t="s">
        <v>241</v>
      </c>
      <c r="DJ2626" s="4" t="s">
        <v>241</v>
      </c>
      <c r="DK2626" s="4" t="s">
        <v>241</v>
      </c>
      <c r="DL2626" s="4" t="s">
        <v>241</v>
      </c>
      <c r="DP2626" s="4" t="s">
        <v>241</v>
      </c>
      <c r="DQ2626" s="4" t="s">
        <v>241</v>
      </c>
      <c r="DR2626" s="4" t="s">
        <v>241</v>
      </c>
      <c r="DS2626" s="4" t="s">
        <v>241</v>
      </c>
      <c r="DV2626" s="4" t="s">
        <v>426</v>
      </c>
      <c r="DW2626" s="4" t="s">
        <v>2605</v>
      </c>
      <c r="HO2626" s="4" t="s">
        <v>267</v>
      </c>
    </row>
    <row r="2627" spans="1:223" ht="19.5" customHeight="1" x14ac:dyDescent="0.4">
      <c r="A2627" s="4">
        <v>1</v>
      </c>
      <c r="B2627" s="4" t="s">
        <v>239</v>
      </c>
      <c r="C2627" s="4">
        <v>4330</v>
      </c>
      <c r="D2627" s="4">
        <v>1</v>
      </c>
      <c r="E2627" s="4">
        <v>1</v>
      </c>
      <c r="F2627" s="4" t="s">
        <v>268</v>
      </c>
      <c r="G2627" s="4" t="s">
        <v>241</v>
      </c>
      <c r="H2627" s="4" t="s">
        <v>241</v>
      </c>
      <c r="I2627" s="4" t="s">
        <v>424</v>
      </c>
      <c r="J2627" s="4" t="s">
        <v>274</v>
      </c>
      <c r="K2627" s="4" t="s">
        <v>251</v>
      </c>
      <c r="L2627" s="4" t="s">
        <v>423</v>
      </c>
      <c r="M2627" s="5" t="s">
        <v>4157</v>
      </c>
      <c r="N2627" s="6">
        <f>352</f>
        <v>352</v>
      </c>
      <c r="O2627" s="4" t="s">
        <v>265</v>
      </c>
      <c r="P2627" s="6">
        <f>1</f>
        <v>1</v>
      </c>
      <c r="Q2627" s="6">
        <f>0</f>
        <v>0</v>
      </c>
      <c r="S2627" s="6">
        <f>0</f>
        <v>0</v>
      </c>
      <c r="T2627" s="6">
        <f>1</f>
        <v>1</v>
      </c>
      <c r="U2627" s="5" t="s">
        <v>245</v>
      </c>
      <c r="V2627" s="4" t="s">
        <v>270</v>
      </c>
      <c r="W2627" s="4" t="s">
        <v>271</v>
      </c>
      <c r="X2627" s="4" t="s">
        <v>273</v>
      </c>
      <c r="Y2627" s="4" t="s">
        <v>241</v>
      </c>
      <c r="AB2627" s="4" t="s">
        <v>241</v>
      </c>
      <c r="AD2627" s="5" t="s">
        <v>241</v>
      </c>
      <c r="AG2627" s="5" t="s">
        <v>246</v>
      </c>
      <c r="AH2627" s="4" t="s">
        <v>241</v>
      </c>
      <c r="AI2627" s="4" t="s">
        <v>247</v>
      </c>
      <c r="AJ2627" s="4" t="s">
        <v>248</v>
      </c>
      <c r="AZ2627" s="4" t="s">
        <v>249</v>
      </c>
      <c r="BA2627" s="4" t="s">
        <v>241</v>
      </c>
      <c r="BB2627" s="4" t="s">
        <v>250</v>
      </c>
      <c r="BC2627" s="4" t="s">
        <v>241</v>
      </c>
      <c r="BD2627" s="4" t="s">
        <v>252</v>
      </c>
      <c r="BE2627" s="4" t="s">
        <v>241</v>
      </c>
      <c r="BI2627" s="4" t="s">
        <v>253</v>
      </c>
      <c r="BJ2627" s="5" t="s">
        <v>246</v>
      </c>
      <c r="BK2627" s="4" t="s">
        <v>254</v>
      </c>
      <c r="BL2627" s="4" t="s">
        <v>255</v>
      </c>
      <c r="BM2627" s="4" t="s">
        <v>241</v>
      </c>
      <c r="BN2627" s="6">
        <f>0</f>
        <v>0</v>
      </c>
      <c r="BO2627" s="6">
        <f>0</f>
        <v>0</v>
      </c>
      <c r="BP2627" s="4" t="s">
        <v>256</v>
      </c>
      <c r="BQ2627" s="4" t="s">
        <v>257</v>
      </c>
      <c r="CE2627" s="4" t="s">
        <v>241</v>
      </c>
      <c r="CF2627" s="4" t="s">
        <v>241</v>
      </c>
      <c r="CJ2627" s="4" t="s">
        <v>276</v>
      </c>
      <c r="CK2627" s="4" t="s">
        <v>259</v>
      </c>
      <c r="CL2627" s="4" t="s">
        <v>241</v>
      </c>
      <c r="CO2627" s="5" t="s">
        <v>260</v>
      </c>
      <c r="CP2627" s="4" t="s">
        <v>241</v>
      </c>
      <c r="CQ2627" s="4" t="s">
        <v>261</v>
      </c>
      <c r="CR2627" s="4" t="s">
        <v>241</v>
      </c>
      <c r="CS2627" s="4" t="s">
        <v>241</v>
      </c>
      <c r="CT2627" s="4">
        <v>0</v>
      </c>
      <c r="CU2627" s="4" t="s">
        <v>262</v>
      </c>
      <c r="CV2627" s="4" t="s">
        <v>263</v>
      </c>
      <c r="CW2627" s="4" t="s">
        <v>263</v>
      </c>
      <c r="CX2627" s="4" t="s">
        <v>264</v>
      </c>
      <c r="DA2627" s="6">
        <f>1</f>
        <v>1</v>
      </c>
      <c r="DC2627" s="4" t="s">
        <v>325</v>
      </c>
      <c r="DD2627" s="4" t="s">
        <v>241</v>
      </c>
      <c r="DF2627" s="4" t="s">
        <v>325</v>
      </c>
      <c r="DG2627" s="6">
        <f>352</f>
        <v>352</v>
      </c>
      <c r="DI2627" s="4" t="s">
        <v>241</v>
      </c>
      <c r="DJ2627" s="4" t="s">
        <v>241</v>
      </c>
      <c r="DK2627" s="4" t="s">
        <v>241</v>
      </c>
      <c r="DL2627" s="4" t="s">
        <v>241</v>
      </c>
      <c r="DP2627" s="4" t="s">
        <v>241</v>
      </c>
      <c r="DQ2627" s="4" t="s">
        <v>241</v>
      </c>
      <c r="DR2627" s="4" t="s">
        <v>241</v>
      </c>
      <c r="DS2627" s="4" t="s">
        <v>241</v>
      </c>
      <c r="DV2627" s="4" t="s">
        <v>426</v>
      </c>
      <c r="DW2627" s="4" t="s">
        <v>2603</v>
      </c>
      <c r="HO2627" s="4" t="s">
        <v>267</v>
      </c>
    </row>
    <row r="2628" spans="1:223" ht="19.5" customHeight="1" x14ac:dyDescent="0.4">
      <c r="A2628" s="4">
        <v>1</v>
      </c>
      <c r="B2628" s="4" t="s">
        <v>239</v>
      </c>
      <c r="C2628" s="4">
        <v>4331</v>
      </c>
      <c r="D2628" s="4">
        <v>1</v>
      </c>
      <c r="E2628" s="4">
        <v>1</v>
      </c>
      <c r="F2628" s="4" t="s">
        <v>268</v>
      </c>
      <c r="G2628" s="4" t="s">
        <v>241</v>
      </c>
      <c r="H2628" s="4" t="s">
        <v>241</v>
      </c>
      <c r="I2628" s="4" t="s">
        <v>424</v>
      </c>
      <c r="J2628" s="4" t="s">
        <v>274</v>
      </c>
      <c r="K2628" s="4" t="s">
        <v>251</v>
      </c>
      <c r="L2628" s="4" t="s">
        <v>423</v>
      </c>
      <c r="M2628" s="5" t="s">
        <v>4160</v>
      </c>
      <c r="N2628" s="6">
        <f>542</f>
        <v>542</v>
      </c>
      <c r="O2628" s="4" t="s">
        <v>265</v>
      </c>
      <c r="P2628" s="6">
        <f>1</f>
        <v>1</v>
      </c>
      <c r="Q2628" s="6">
        <f>0</f>
        <v>0</v>
      </c>
      <c r="S2628" s="6">
        <f>0</f>
        <v>0</v>
      </c>
      <c r="T2628" s="6">
        <f>1</f>
        <v>1</v>
      </c>
      <c r="U2628" s="5" t="s">
        <v>245</v>
      </c>
      <c r="V2628" s="4" t="s">
        <v>270</v>
      </c>
      <c r="W2628" s="4" t="s">
        <v>271</v>
      </c>
      <c r="X2628" s="4" t="s">
        <v>273</v>
      </c>
      <c r="Y2628" s="4" t="s">
        <v>241</v>
      </c>
      <c r="AB2628" s="4" t="s">
        <v>241</v>
      </c>
      <c r="AD2628" s="5" t="s">
        <v>241</v>
      </c>
      <c r="AG2628" s="5" t="s">
        <v>246</v>
      </c>
      <c r="AH2628" s="4" t="s">
        <v>241</v>
      </c>
      <c r="AI2628" s="4" t="s">
        <v>247</v>
      </c>
      <c r="AJ2628" s="4" t="s">
        <v>248</v>
      </c>
      <c r="AZ2628" s="4" t="s">
        <v>249</v>
      </c>
      <c r="BA2628" s="4" t="s">
        <v>241</v>
      </c>
      <c r="BB2628" s="4" t="s">
        <v>250</v>
      </c>
      <c r="BC2628" s="4" t="s">
        <v>241</v>
      </c>
      <c r="BD2628" s="4" t="s">
        <v>252</v>
      </c>
      <c r="BE2628" s="4" t="s">
        <v>241</v>
      </c>
      <c r="BI2628" s="4" t="s">
        <v>253</v>
      </c>
      <c r="BJ2628" s="5" t="s">
        <v>246</v>
      </c>
      <c r="BK2628" s="4" t="s">
        <v>254</v>
      </c>
      <c r="BL2628" s="4" t="s">
        <v>255</v>
      </c>
      <c r="BM2628" s="4" t="s">
        <v>241</v>
      </c>
      <c r="BN2628" s="6">
        <f>0</f>
        <v>0</v>
      </c>
      <c r="BO2628" s="6">
        <f>0</f>
        <v>0</v>
      </c>
      <c r="BP2628" s="4" t="s">
        <v>256</v>
      </c>
      <c r="BQ2628" s="4" t="s">
        <v>257</v>
      </c>
      <c r="CE2628" s="4" t="s">
        <v>241</v>
      </c>
      <c r="CF2628" s="4" t="s">
        <v>241</v>
      </c>
      <c r="CJ2628" s="4" t="s">
        <v>276</v>
      </c>
      <c r="CK2628" s="4" t="s">
        <v>259</v>
      </c>
      <c r="CL2628" s="4" t="s">
        <v>241</v>
      </c>
      <c r="CO2628" s="5" t="s">
        <v>260</v>
      </c>
      <c r="CP2628" s="4" t="s">
        <v>241</v>
      </c>
      <c r="CQ2628" s="4" t="s">
        <v>261</v>
      </c>
      <c r="CR2628" s="4" t="s">
        <v>241</v>
      </c>
      <c r="CS2628" s="4" t="s">
        <v>241</v>
      </c>
      <c r="CT2628" s="4">
        <v>0</v>
      </c>
      <c r="CU2628" s="4" t="s">
        <v>262</v>
      </c>
      <c r="CV2628" s="4" t="s">
        <v>263</v>
      </c>
      <c r="CW2628" s="4" t="s">
        <v>263</v>
      </c>
      <c r="CX2628" s="4" t="s">
        <v>264</v>
      </c>
      <c r="DA2628" s="6">
        <f>1</f>
        <v>1</v>
      </c>
      <c r="DC2628" s="4" t="s">
        <v>325</v>
      </c>
      <c r="DD2628" s="4" t="s">
        <v>241</v>
      </c>
      <c r="DF2628" s="4" t="s">
        <v>325</v>
      </c>
      <c r="DG2628" s="6">
        <f>542</f>
        <v>542</v>
      </c>
      <c r="DI2628" s="4" t="s">
        <v>241</v>
      </c>
      <c r="DJ2628" s="4" t="s">
        <v>241</v>
      </c>
      <c r="DK2628" s="4" t="s">
        <v>241</v>
      </c>
      <c r="DL2628" s="4" t="s">
        <v>241</v>
      </c>
      <c r="DP2628" s="4" t="s">
        <v>241</v>
      </c>
      <c r="DQ2628" s="4" t="s">
        <v>241</v>
      </c>
      <c r="DR2628" s="4" t="s">
        <v>241</v>
      </c>
      <c r="DS2628" s="4" t="s">
        <v>241</v>
      </c>
      <c r="DV2628" s="4" t="s">
        <v>426</v>
      </c>
      <c r="DW2628" s="4" t="s">
        <v>2601</v>
      </c>
      <c r="HO2628" s="4" t="s">
        <v>267</v>
      </c>
    </row>
    <row r="2629" spans="1:223" ht="19.5" customHeight="1" x14ac:dyDescent="0.4">
      <c r="A2629" s="4">
        <v>1</v>
      </c>
      <c r="B2629" s="4" t="s">
        <v>239</v>
      </c>
      <c r="C2629" s="4">
        <v>4332</v>
      </c>
      <c r="D2629" s="4">
        <v>1</v>
      </c>
      <c r="E2629" s="4">
        <v>1</v>
      </c>
      <c r="F2629" s="4" t="s">
        <v>268</v>
      </c>
      <c r="G2629" s="4" t="s">
        <v>241</v>
      </c>
      <c r="H2629" s="4" t="s">
        <v>241</v>
      </c>
      <c r="I2629" s="4" t="s">
        <v>424</v>
      </c>
      <c r="J2629" s="4" t="s">
        <v>274</v>
      </c>
      <c r="K2629" s="4" t="s">
        <v>251</v>
      </c>
      <c r="L2629" s="4" t="s">
        <v>423</v>
      </c>
      <c r="M2629" s="5" t="s">
        <v>4173</v>
      </c>
      <c r="N2629" s="6">
        <f>1211</f>
        <v>1211</v>
      </c>
      <c r="O2629" s="4" t="s">
        <v>265</v>
      </c>
      <c r="P2629" s="6">
        <f>1</f>
        <v>1</v>
      </c>
      <c r="Q2629" s="6">
        <f>0</f>
        <v>0</v>
      </c>
      <c r="S2629" s="6">
        <f>0</f>
        <v>0</v>
      </c>
      <c r="T2629" s="6">
        <f>1</f>
        <v>1</v>
      </c>
      <c r="U2629" s="5" t="s">
        <v>245</v>
      </c>
      <c r="V2629" s="4" t="s">
        <v>270</v>
      </c>
      <c r="W2629" s="4" t="s">
        <v>271</v>
      </c>
      <c r="X2629" s="4" t="s">
        <v>273</v>
      </c>
      <c r="Y2629" s="4" t="s">
        <v>241</v>
      </c>
      <c r="AB2629" s="4" t="s">
        <v>241</v>
      </c>
      <c r="AD2629" s="5" t="s">
        <v>241</v>
      </c>
      <c r="AG2629" s="5" t="s">
        <v>246</v>
      </c>
      <c r="AH2629" s="4" t="s">
        <v>241</v>
      </c>
      <c r="AI2629" s="4" t="s">
        <v>247</v>
      </c>
      <c r="AJ2629" s="4" t="s">
        <v>248</v>
      </c>
      <c r="AZ2629" s="4" t="s">
        <v>249</v>
      </c>
      <c r="BA2629" s="4" t="s">
        <v>241</v>
      </c>
      <c r="BB2629" s="4" t="s">
        <v>250</v>
      </c>
      <c r="BC2629" s="4" t="s">
        <v>241</v>
      </c>
      <c r="BD2629" s="4" t="s">
        <v>252</v>
      </c>
      <c r="BE2629" s="4" t="s">
        <v>241</v>
      </c>
      <c r="BI2629" s="4" t="s">
        <v>253</v>
      </c>
      <c r="BJ2629" s="5" t="s">
        <v>246</v>
      </c>
      <c r="BK2629" s="4" t="s">
        <v>254</v>
      </c>
      <c r="BL2629" s="4" t="s">
        <v>255</v>
      </c>
      <c r="BM2629" s="4" t="s">
        <v>241</v>
      </c>
      <c r="BN2629" s="6">
        <f>0</f>
        <v>0</v>
      </c>
      <c r="BO2629" s="6">
        <f>0</f>
        <v>0</v>
      </c>
      <c r="BP2629" s="4" t="s">
        <v>256</v>
      </c>
      <c r="BQ2629" s="4" t="s">
        <v>257</v>
      </c>
      <c r="CE2629" s="4" t="s">
        <v>241</v>
      </c>
      <c r="CF2629" s="4" t="s">
        <v>241</v>
      </c>
      <c r="CJ2629" s="4" t="s">
        <v>276</v>
      </c>
      <c r="CK2629" s="4" t="s">
        <v>259</v>
      </c>
      <c r="CL2629" s="4" t="s">
        <v>241</v>
      </c>
      <c r="CO2629" s="5" t="s">
        <v>260</v>
      </c>
      <c r="CP2629" s="4" t="s">
        <v>241</v>
      </c>
      <c r="CQ2629" s="4" t="s">
        <v>261</v>
      </c>
      <c r="CR2629" s="4" t="s">
        <v>241</v>
      </c>
      <c r="CS2629" s="4" t="s">
        <v>241</v>
      </c>
      <c r="CT2629" s="4">
        <v>0</v>
      </c>
      <c r="CU2629" s="4" t="s">
        <v>262</v>
      </c>
      <c r="CV2629" s="4" t="s">
        <v>263</v>
      </c>
      <c r="CW2629" s="4" t="s">
        <v>263</v>
      </c>
      <c r="CX2629" s="4" t="s">
        <v>264</v>
      </c>
      <c r="DA2629" s="6">
        <f>1</f>
        <v>1</v>
      </c>
      <c r="DC2629" s="4" t="s">
        <v>325</v>
      </c>
      <c r="DD2629" s="4" t="s">
        <v>241</v>
      </c>
      <c r="DF2629" s="4" t="s">
        <v>325</v>
      </c>
      <c r="DG2629" s="6">
        <f>1211</f>
        <v>1211</v>
      </c>
      <c r="DI2629" s="4" t="s">
        <v>241</v>
      </c>
      <c r="DJ2629" s="4" t="s">
        <v>241</v>
      </c>
      <c r="DK2629" s="4" t="s">
        <v>241</v>
      </c>
      <c r="DL2629" s="4" t="s">
        <v>241</v>
      </c>
      <c r="DP2629" s="4" t="s">
        <v>241</v>
      </c>
      <c r="DQ2629" s="4" t="s">
        <v>241</v>
      </c>
      <c r="DR2629" s="4" t="s">
        <v>241</v>
      </c>
      <c r="DS2629" s="4" t="s">
        <v>241</v>
      </c>
      <c r="DV2629" s="4" t="s">
        <v>426</v>
      </c>
      <c r="DW2629" s="4" t="s">
        <v>2599</v>
      </c>
      <c r="HO2629" s="4" t="s">
        <v>267</v>
      </c>
    </row>
    <row r="2630" spans="1:223" ht="19.5" customHeight="1" x14ac:dyDescent="0.4">
      <c r="A2630" s="4">
        <v>1</v>
      </c>
      <c r="B2630" s="4" t="s">
        <v>239</v>
      </c>
      <c r="C2630" s="4">
        <v>4333</v>
      </c>
      <c r="D2630" s="4">
        <v>1</v>
      </c>
      <c r="E2630" s="4">
        <v>1</v>
      </c>
      <c r="F2630" s="4" t="s">
        <v>268</v>
      </c>
      <c r="G2630" s="4" t="s">
        <v>241</v>
      </c>
      <c r="H2630" s="4" t="s">
        <v>241</v>
      </c>
      <c r="I2630" s="4" t="s">
        <v>424</v>
      </c>
      <c r="J2630" s="4" t="s">
        <v>274</v>
      </c>
      <c r="K2630" s="4" t="s">
        <v>251</v>
      </c>
      <c r="L2630" s="4" t="s">
        <v>423</v>
      </c>
      <c r="M2630" s="5" t="s">
        <v>4179</v>
      </c>
      <c r="N2630" s="6">
        <f>1220</f>
        <v>1220</v>
      </c>
      <c r="O2630" s="4" t="s">
        <v>265</v>
      </c>
      <c r="P2630" s="6">
        <f>1</f>
        <v>1</v>
      </c>
      <c r="Q2630" s="6">
        <f>0</f>
        <v>0</v>
      </c>
      <c r="S2630" s="6">
        <f>0</f>
        <v>0</v>
      </c>
      <c r="T2630" s="6">
        <f>1</f>
        <v>1</v>
      </c>
      <c r="U2630" s="5" t="s">
        <v>245</v>
      </c>
      <c r="V2630" s="4" t="s">
        <v>270</v>
      </c>
      <c r="W2630" s="4" t="s">
        <v>271</v>
      </c>
      <c r="X2630" s="4" t="s">
        <v>273</v>
      </c>
      <c r="Y2630" s="4" t="s">
        <v>241</v>
      </c>
      <c r="AB2630" s="4" t="s">
        <v>241</v>
      </c>
      <c r="AD2630" s="5" t="s">
        <v>241</v>
      </c>
      <c r="AG2630" s="5" t="s">
        <v>246</v>
      </c>
      <c r="AH2630" s="4" t="s">
        <v>241</v>
      </c>
      <c r="AI2630" s="4" t="s">
        <v>247</v>
      </c>
      <c r="AJ2630" s="4" t="s">
        <v>248</v>
      </c>
      <c r="AZ2630" s="4" t="s">
        <v>249</v>
      </c>
      <c r="BA2630" s="4" t="s">
        <v>241</v>
      </c>
      <c r="BB2630" s="4" t="s">
        <v>250</v>
      </c>
      <c r="BC2630" s="4" t="s">
        <v>241</v>
      </c>
      <c r="BD2630" s="4" t="s">
        <v>252</v>
      </c>
      <c r="BE2630" s="4" t="s">
        <v>241</v>
      </c>
      <c r="BI2630" s="4" t="s">
        <v>253</v>
      </c>
      <c r="BJ2630" s="5" t="s">
        <v>246</v>
      </c>
      <c r="BK2630" s="4" t="s">
        <v>254</v>
      </c>
      <c r="BL2630" s="4" t="s">
        <v>255</v>
      </c>
      <c r="BM2630" s="4" t="s">
        <v>241</v>
      </c>
      <c r="BN2630" s="6">
        <f>0</f>
        <v>0</v>
      </c>
      <c r="BO2630" s="6">
        <f>0</f>
        <v>0</v>
      </c>
      <c r="BP2630" s="4" t="s">
        <v>256</v>
      </c>
      <c r="BQ2630" s="4" t="s">
        <v>257</v>
      </c>
      <c r="CE2630" s="4" t="s">
        <v>241</v>
      </c>
      <c r="CF2630" s="4" t="s">
        <v>241</v>
      </c>
      <c r="CJ2630" s="4" t="s">
        <v>276</v>
      </c>
      <c r="CK2630" s="4" t="s">
        <v>259</v>
      </c>
      <c r="CL2630" s="4" t="s">
        <v>241</v>
      </c>
      <c r="CO2630" s="5" t="s">
        <v>260</v>
      </c>
      <c r="CP2630" s="4" t="s">
        <v>241</v>
      </c>
      <c r="CQ2630" s="4" t="s">
        <v>261</v>
      </c>
      <c r="CR2630" s="4" t="s">
        <v>241</v>
      </c>
      <c r="CS2630" s="4" t="s">
        <v>241</v>
      </c>
      <c r="CT2630" s="4">
        <v>0</v>
      </c>
      <c r="CU2630" s="4" t="s">
        <v>262</v>
      </c>
      <c r="CV2630" s="4" t="s">
        <v>263</v>
      </c>
      <c r="CW2630" s="4" t="s">
        <v>263</v>
      </c>
      <c r="CX2630" s="4" t="s">
        <v>264</v>
      </c>
      <c r="DA2630" s="6">
        <f>1</f>
        <v>1</v>
      </c>
      <c r="DC2630" s="4" t="s">
        <v>325</v>
      </c>
      <c r="DD2630" s="4" t="s">
        <v>241</v>
      </c>
      <c r="DF2630" s="4" t="s">
        <v>325</v>
      </c>
      <c r="DG2630" s="6">
        <f>1220</f>
        <v>1220</v>
      </c>
      <c r="DI2630" s="4" t="s">
        <v>241</v>
      </c>
      <c r="DJ2630" s="4" t="s">
        <v>241</v>
      </c>
      <c r="DK2630" s="4" t="s">
        <v>241</v>
      </c>
      <c r="DL2630" s="4" t="s">
        <v>241</v>
      </c>
      <c r="DP2630" s="4" t="s">
        <v>241</v>
      </c>
      <c r="DQ2630" s="4" t="s">
        <v>241</v>
      </c>
      <c r="DR2630" s="4" t="s">
        <v>241</v>
      </c>
      <c r="DS2630" s="4" t="s">
        <v>241</v>
      </c>
      <c r="DV2630" s="4" t="s">
        <v>426</v>
      </c>
      <c r="DW2630" s="4" t="s">
        <v>2597</v>
      </c>
      <c r="HO2630" s="4" t="s">
        <v>267</v>
      </c>
    </row>
    <row r="2631" spans="1:223" ht="19.5" customHeight="1" x14ac:dyDescent="0.4">
      <c r="A2631" s="4">
        <v>1</v>
      </c>
      <c r="B2631" s="4" t="s">
        <v>239</v>
      </c>
      <c r="C2631" s="4">
        <v>4334</v>
      </c>
      <c r="D2631" s="4">
        <v>1</v>
      </c>
      <c r="E2631" s="4">
        <v>1</v>
      </c>
      <c r="F2631" s="4" t="s">
        <v>268</v>
      </c>
      <c r="G2631" s="4" t="s">
        <v>241</v>
      </c>
      <c r="H2631" s="4" t="s">
        <v>241</v>
      </c>
      <c r="I2631" s="4" t="s">
        <v>424</v>
      </c>
      <c r="J2631" s="4" t="s">
        <v>274</v>
      </c>
      <c r="K2631" s="4" t="s">
        <v>251</v>
      </c>
      <c r="L2631" s="4" t="s">
        <v>423</v>
      </c>
      <c r="M2631" s="5" t="s">
        <v>4189</v>
      </c>
      <c r="N2631" s="6">
        <f>2141</f>
        <v>2141</v>
      </c>
      <c r="O2631" s="4" t="s">
        <v>265</v>
      </c>
      <c r="P2631" s="6">
        <f>1</f>
        <v>1</v>
      </c>
      <c r="Q2631" s="6">
        <f>0</f>
        <v>0</v>
      </c>
      <c r="S2631" s="6">
        <f>0</f>
        <v>0</v>
      </c>
      <c r="T2631" s="6">
        <f>1</f>
        <v>1</v>
      </c>
      <c r="U2631" s="5" t="s">
        <v>245</v>
      </c>
      <c r="V2631" s="4" t="s">
        <v>270</v>
      </c>
      <c r="W2631" s="4" t="s">
        <v>271</v>
      </c>
      <c r="X2631" s="4" t="s">
        <v>273</v>
      </c>
      <c r="Y2631" s="4" t="s">
        <v>241</v>
      </c>
      <c r="AB2631" s="4" t="s">
        <v>241</v>
      </c>
      <c r="AD2631" s="5" t="s">
        <v>241</v>
      </c>
      <c r="AG2631" s="5" t="s">
        <v>246</v>
      </c>
      <c r="AH2631" s="4" t="s">
        <v>241</v>
      </c>
      <c r="AI2631" s="4" t="s">
        <v>247</v>
      </c>
      <c r="AJ2631" s="4" t="s">
        <v>248</v>
      </c>
      <c r="AZ2631" s="4" t="s">
        <v>249</v>
      </c>
      <c r="BA2631" s="4" t="s">
        <v>241</v>
      </c>
      <c r="BB2631" s="4" t="s">
        <v>250</v>
      </c>
      <c r="BC2631" s="4" t="s">
        <v>241</v>
      </c>
      <c r="BD2631" s="4" t="s">
        <v>252</v>
      </c>
      <c r="BE2631" s="4" t="s">
        <v>241</v>
      </c>
      <c r="BI2631" s="4" t="s">
        <v>253</v>
      </c>
      <c r="BJ2631" s="5" t="s">
        <v>246</v>
      </c>
      <c r="BK2631" s="4" t="s">
        <v>254</v>
      </c>
      <c r="BL2631" s="4" t="s">
        <v>255</v>
      </c>
      <c r="BM2631" s="4" t="s">
        <v>241</v>
      </c>
      <c r="BN2631" s="6">
        <f>0</f>
        <v>0</v>
      </c>
      <c r="BO2631" s="6">
        <f>0</f>
        <v>0</v>
      </c>
      <c r="BP2631" s="4" t="s">
        <v>256</v>
      </c>
      <c r="BQ2631" s="4" t="s">
        <v>257</v>
      </c>
      <c r="CE2631" s="4" t="s">
        <v>241</v>
      </c>
      <c r="CF2631" s="4" t="s">
        <v>241</v>
      </c>
      <c r="CJ2631" s="4" t="s">
        <v>276</v>
      </c>
      <c r="CK2631" s="4" t="s">
        <v>259</v>
      </c>
      <c r="CL2631" s="4" t="s">
        <v>241</v>
      </c>
      <c r="CO2631" s="5" t="s">
        <v>260</v>
      </c>
      <c r="CP2631" s="4" t="s">
        <v>241</v>
      </c>
      <c r="CQ2631" s="4" t="s">
        <v>261</v>
      </c>
      <c r="CR2631" s="4" t="s">
        <v>241</v>
      </c>
      <c r="CS2631" s="4" t="s">
        <v>241</v>
      </c>
      <c r="CT2631" s="4">
        <v>0</v>
      </c>
      <c r="CU2631" s="4" t="s">
        <v>262</v>
      </c>
      <c r="CV2631" s="4" t="s">
        <v>263</v>
      </c>
      <c r="CW2631" s="4" t="s">
        <v>263</v>
      </c>
      <c r="CX2631" s="4" t="s">
        <v>264</v>
      </c>
      <c r="DA2631" s="6">
        <f>1</f>
        <v>1</v>
      </c>
      <c r="DC2631" s="4" t="s">
        <v>325</v>
      </c>
      <c r="DD2631" s="4" t="s">
        <v>241</v>
      </c>
      <c r="DF2631" s="4" t="s">
        <v>325</v>
      </c>
      <c r="DG2631" s="6">
        <f>2141</f>
        <v>2141</v>
      </c>
      <c r="DI2631" s="4" t="s">
        <v>241</v>
      </c>
      <c r="DJ2631" s="4" t="s">
        <v>241</v>
      </c>
      <c r="DK2631" s="4" t="s">
        <v>241</v>
      </c>
      <c r="DL2631" s="4" t="s">
        <v>241</v>
      </c>
      <c r="DP2631" s="4" t="s">
        <v>241</v>
      </c>
      <c r="DQ2631" s="4" t="s">
        <v>241</v>
      </c>
      <c r="DR2631" s="4" t="s">
        <v>241</v>
      </c>
      <c r="DS2631" s="4" t="s">
        <v>241</v>
      </c>
      <c r="DV2631" s="4" t="s">
        <v>426</v>
      </c>
      <c r="DW2631" s="4" t="s">
        <v>2595</v>
      </c>
      <c r="HO2631" s="4" t="s">
        <v>267</v>
      </c>
    </row>
    <row r="2632" spans="1:223" ht="19.5" customHeight="1" x14ac:dyDescent="0.4">
      <c r="A2632" s="4">
        <v>1</v>
      </c>
      <c r="B2632" s="4" t="s">
        <v>239</v>
      </c>
      <c r="C2632" s="4">
        <v>4335</v>
      </c>
      <c r="D2632" s="4">
        <v>1</v>
      </c>
      <c r="E2632" s="4">
        <v>1</v>
      </c>
      <c r="F2632" s="4" t="s">
        <v>268</v>
      </c>
      <c r="G2632" s="4" t="s">
        <v>241</v>
      </c>
      <c r="H2632" s="4" t="s">
        <v>241</v>
      </c>
      <c r="I2632" s="4" t="s">
        <v>424</v>
      </c>
      <c r="J2632" s="4" t="s">
        <v>274</v>
      </c>
      <c r="K2632" s="4" t="s">
        <v>251</v>
      </c>
      <c r="L2632" s="4" t="s">
        <v>423</v>
      </c>
      <c r="M2632" s="5" t="s">
        <v>4193</v>
      </c>
      <c r="N2632" s="6">
        <f>123</f>
        <v>123</v>
      </c>
      <c r="O2632" s="4" t="s">
        <v>265</v>
      </c>
      <c r="P2632" s="6">
        <f>1</f>
        <v>1</v>
      </c>
      <c r="Q2632" s="6">
        <f>0</f>
        <v>0</v>
      </c>
      <c r="S2632" s="6">
        <f>0</f>
        <v>0</v>
      </c>
      <c r="T2632" s="6">
        <f>1</f>
        <v>1</v>
      </c>
      <c r="U2632" s="5" t="s">
        <v>245</v>
      </c>
      <c r="V2632" s="4" t="s">
        <v>270</v>
      </c>
      <c r="W2632" s="4" t="s">
        <v>271</v>
      </c>
      <c r="X2632" s="4" t="s">
        <v>273</v>
      </c>
      <c r="Y2632" s="4" t="s">
        <v>241</v>
      </c>
      <c r="AB2632" s="4" t="s">
        <v>241</v>
      </c>
      <c r="AD2632" s="5" t="s">
        <v>241</v>
      </c>
      <c r="AG2632" s="5" t="s">
        <v>246</v>
      </c>
      <c r="AH2632" s="4" t="s">
        <v>241</v>
      </c>
      <c r="AI2632" s="4" t="s">
        <v>247</v>
      </c>
      <c r="AJ2632" s="4" t="s">
        <v>248</v>
      </c>
      <c r="AZ2632" s="4" t="s">
        <v>249</v>
      </c>
      <c r="BA2632" s="4" t="s">
        <v>241</v>
      </c>
      <c r="BB2632" s="4" t="s">
        <v>250</v>
      </c>
      <c r="BC2632" s="4" t="s">
        <v>241</v>
      </c>
      <c r="BD2632" s="4" t="s">
        <v>252</v>
      </c>
      <c r="BE2632" s="4" t="s">
        <v>241</v>
      </c>
      <c r="BI2632" s="4" t="s">
        <v>253</v>
      </c>
      <c r="BJ2632" s="5" t="s">
        <v>246</v>
      </c>
      <c r="BK2632" s="4" t="s">
        <v>254</v>
      </c>
      <c r="BL2632" s="4" t="s">
        <v>255</v>
      </c>
      <c r="BM2632" s="4" t="s">
        <v>241</v>
      </c>
      <c r="BN2632" s="6">
        <f>0</f>
        <v>0</v>
      </c>
      <c r="BO2632" s="6">
        <f>0</f>
        <v>0</v>
      </c>
      <c r="BP2632" s="4" t="s">
        <v>256</v>
      </c>
      <c r="BQ2632" s="4" t="s">
        <v>257</v>
      </c>
      <c r="CE2632" s="4" t="s">
        <v>241</v>
      </c>
      <c r="CF2632" s="4" t="s">
        <v>241</v>
      </c>
      <c r="CJ2632" s="4" t="s">
        <v>276</v>
      </c>
      <c r="CK2632" s="4" t="s">
        <v>259</v>
      </c>
      <c r="CL2632" s="4" t="s">
        <v>241</v>
      </c>
      <c r="CO2632" s="5" t="s">
        <v>260</v>
      </c>
      <c r="CP2632" s="4" t="s">
        <v>241</v>
      </c>
      <c r="CQ2632" s="4" t="s">
        <v>261</v>
      </c>
      <c r="CR2632" s="4" t="s">
        <v>241</v>
      </c>
      <c r="CS2632" s="4" t="s">
        <v>241</v>
      </c>
      <c r="CT2632" s="4">
        <v>0</v>
      </c>
      <c r="CU2632" s="4" t="s">
        <v>262</v>
      </c>
      <c r="CV2632" s="4" t="s">
        <v>263</v>
      </c>
      <c r="CW2632" s="4" t="s">
        <v>263</v>
      </c>
      <c r="CX2632" s="4" t="s">
        <v>264</v>
      </c>
      <c r="DA2632" s="6">
        <f>1</f>
        <v>1</v>
      </c>
      <c r="DC2632" s="4" t="s">
        <v>325</v>
      </c>
      <c r="DD2632" s="4" t="s">
        <v>241</v>
      </c>
      <c r="DF2632" s="4" t="s">
        <v>325</v>
      </c>
      <c r="DG2632" s="6">
        <f>123</f>
        <v>123</v>
      </c>
      <c r="DI2632" s="4" t="s">
        <v>241</v>
      </c>
      <c r="DJ2632" s="4" t="s">
        <v>241</v>
      </c>
      <c r="DK2632" s="4" t="s">
        <v>241</v>
      </c>
      <c r="DL2632" s="4" t="s">
        <v>241</v>
      </c>
      <c r="DP2632" s="4" t="s">
        <v>241</v>
      </c>
      <c r="DQ2632" s="4" t="s">
        <v>241</v>
      </c>
      <c r="DR2632" s="4" t="s">
        <v>241</v>
      </c>
      <c r="DS2632" s="4" t="s">
        <v>241</v>
      </c>
      <c r="DV2632" s="4" t="s">
        <v>426</v>
      </c>
      <c r="DW2632" s="4" t="s">
        <v>2593</v>
      </c>
      <c r="HO2632" s="4" t="s">
        <v>267</v>
      </c>
    </row>
    <row r="2633" spans="1:223" ht="19.5" customHeight="1" x14ac:dyDescent="0.4">
      <c r="A2633" s="4">
        <v>1</v>
      </c>
      <c r="B2633" s="4" t="s">
        <v>239</v>
      </c>
      <c r="C2633" s="4">
        <v>4336</v>
      </c>
      <c r="D2633" s="4">
        <v>1</v>
      </c>
      <c r="E2633" s="4">
        <v>1</v>
      </c>
      <c r="F2633" s="4" t="s">
        <v>268</v>
      </c>
      <c r="G2633" s="4" t="s">
        <v>241</v>
      </c>
      <c r="H2633" s="4" t="s">
        <v>241</v>
      </c>
      <c r="I2633" s="4" t="s">
        <v>424</v>
      </c>
      <c r="J2633" s="4" t="s">
        <v>274</v>
      </c>
      <c r="K2633" s="4" t="s">
        <v>251</v>
      </c>
      <c r="L2633" s="4" t="s">
        <v>423</v>
      </c>
      <c r="M2633" s="5" t="s">
        <v>4203</v>
      </c>
      <c r="N2633" s="6">
        <f>51</f>
        <v>51</v>
      </c>
      <c r="O2633" s="4" t="s">
        <v>265</v>
      </c>
      <c r="P2633" s="6">
        <f>1</f>
        <v>1</v>
      </c>
      <c r="Q2633" s="6">
        <f>0</f>
        <v>0</v>
      </c>
      <c r="S2633" s="6">
        <f>0</f>
        <v>0</v>
      </c>
      <c r="T2633" s="6">
        <f>1</f>
        <v>1</v>
      </c>
      <c r="U2633" s="5" t="s">
        <v>245</v>
      </c>
      <c r="V2633" s="4" t="s">
        <v>270</v>
      </c>
      <c r="W2633" s="4" t="s">
        <v>271</v>
      </c>
      <c r="X2633" s="4" t="s">
        <v>273</v>
      </c>
      <c r="Y2633" s="4" t="s">
        <v>241</v>
      </c>
      <c r="AB2633" s="4" t="s">
        <v>241</v>
      </c>
      <c r="AD2633" s="5" t="s">
        <v>241</v>
      </c>
      <c r="AG2633" s="5" t="s">
        <v>246</v>
      </c>
      <c r="AH2633" s="4" t="s">
        <v>241</v>
      </c>
      <c r="AI2633" s="4" t="s">
        <v>247</v>
      </c>
      <c r="AJ2633" s="4" t="s">
        <v>248</v>
      </c>
      <c r="AZ2633" s="4" t="s">
        <v>249</v>
      </c>
      <c r="BA2633" s="4" t="s">
        <v>241</v>
      </c>
      <c r="BB2633" s="4" t="s">
        <v>250</v>
      </c>
      <c r="BC2633" s="4" t="s">
        <v>241</v>
      </c>
      <c r="BD2633" s="4" t="s">
        <v>252</v>
      </c>
      <c r="BE2633" s="4" t="s">
        <v>241</v>
      </c>
      <c r="BI2633" s="4" t="s">
        <v>253</v>
      </c>
      <c r="BJ2633" s="5" t="s">
        <v>246</v>
      </c>
      <c r="BK2633" s="4" t="s">
        <v>254</v>
      </c>
      <c r="BL2633" s="4" t="s">
        <v>255</v>
      </c>
      <c r="BM2633" s="4" t="s">
        <v>241</v>
      </c>
      <c r="BN2633" s="6">
        <f>0</f>
        <v>0</v>
      </c>
      <c r="BO2633" s="6">
        <f>0</f>
        <v>0</v>
      </c>
      <c r="BP2633" s="4" t="s">
        <v>256</v>
      </c>
      <c r="BQ2633" s="4" t="s">
        <v>257</v>
      </c>
      <c r="CE2633" s="4" t="s">
        <v>241</v>
      </c>
      <c r="CF2633" s="4" t="s">
        <v>241</v>
      </c>
      <c r="CJ2633" s="4" t="s">
        <v>276</v>
      </c>
      <c r="CK2633" s="4" t="s">
        <v>259</v>
      </c>
      <c r="CL2633" s="4" t="s">
        <v>241</v>
      </c>
      <c r="CO2633" s="5" t="s">
        <v>260</v>
      </c>
      <c r="CP2633" s="4" t="s">
        <v>241</v>
      </c>
      <c r="CQ2633" s="4" t="s">
        <v>261</v>
      </c>
      <c r="CR2633" s="4" t="s">
        <v>241</v>
      </c>
      <c r="CS2633" s="4" t="s">
        <v>241</v>
      </c>
      <c r="CT2633" s="4">
        <v>0</v>
      </c>
      <c r="CU2633" s="4" t="s">
        <v>262</v>
      </c>
      <c r="CV2633" s="4" t="s">
        <v>263</v>
      </c>
      <c r="CW2633" s="4" t="s">
        <v>263</v>
      </c>
      <c r="CX2633" s="4" t="s">
        <v>264</v>
      </c>
      <c r="DA2633" s="6">
        <f>1</f>
        <v>1</v>
      </c>
      <c r="DC2633" s="4" t="s">
        <v>325</v>
      </c>
      <c r="DD2633" s="4" t="s">
        <v>241</v>
      </c>
      <c r="DF2633" s="4" t="s">
        <v>325</v>
      </c>
      <c r="DG2633" s="6">
        <f>51</f>
        <v>51</v>
      </c>
      <c r="DI2633" s="4" t="s">
        <v>241</v>
      </c>
      <c r="DJ2633" s="4" t="s">
        <v>241</v>
      </c>
      <c r="DK2633" s="4" t="s">
        <v>241</v>
      </c>
      <c r="DL2633" s="4" t="s">
        <v>241</v>
      </c>
      <c r="DP2633" s="4" t="s">
        <v>241</v>
      </c>
      <c r="DQ2633" s="4" t="s">
        <v>241</v>
      </c>
      <c r="DR2633" s="4" t="s">
        <v>241</v>
      </c>
      <c r="DS2633" s="4" t="s">
        <v>241</v>
      </c>
      <c r="DV2633" s="4" t="s">
        <v>426</v>
      </c>
      <c r="DW2633" s="4" t="s">
        <v>2589</v>
      </c>
      <c r="HO2633" s="4" t="s">
        <v>267</v>
      </c>
    </row>
    <row r="2634" spans="1:223" ht="19.5" customHeight="1" x14ac:dyDescent="0.4">
      <c r="A2634" s="4">
        <v>1</v>
      </c>
      <c r="B2634" s="4" t="s">
        <v>239</v>
      </c>
      <c r="C2634" s="4">
        <v>4337</v>
      </c>
      <c r="D2634" s="4">
        <v>1</v>
      </c>
      <c r="E2634" s="4">
        <v>1</v>
      </c>
      <c r="F2634" s="4" t="s">
        <v>268</v>
      </c>
      <c r="G2634" s="4" t="s">
        <v>241</v>
      </c>
      <c r="H2634" s="4" t="s">
        <v>241</v>
      </c>
      <c r="I2634" s="4" t="s">
        <v>424</v>
      </c>
      <c r="J2634" s="4" t="s">
        <v>274</v>
      </c>
      <c r="K2634" s="4" t="s">
        <v>251</v>
      </c>
      <c r="L2634" s="4" t="s">
        <v>423</v>
      </c>
      <c r="M2634" s="5" t="s">
        <v>4207</v>
      </c>
      <c r="N2634" s="6">
        <f>225</f>
        <v>225</v>
      </c>
      <c r="O2634" s="4" t="s">
        <v>265</v>
      </c>
      <c r="P2634" s="6">
        <f>1</f>
        <v>1</v>
      </c>
      <c r="Q2634" s="6">
        <f>0</f>
        <v>0</v>
      </c>
      <c r="S2634" s="6">
        <f>0</f>
        <v>0</v>
      </c>
      <c r="T2634" s="6">
        <f>1</f>
        <v>1</v>
      </c>
      <c r="U2634" s="5" t="s">
        <v>245</v>
      </c>
      <c r="V2634" s="4" t="s">
        <v>270</v>
      </c>
      <c r="W2634" s="4" t="s">
        <v>271</v>
      </c>
      <c r="X2634" s="4" t="s">
        <v>273</v>
      </c>
      <c r="Y2634" s="4" t="s">
        <v>241</v>
      </c>
      <c r="AB2634" s="4" t="s">
        <v>241</v>
      </c>
      <c r="AD2634" s="5" t="s">
        <v>241</v>
      </c>
      <c r="AG2634" s="5" t="s">
        <v>246</v>
      </c>
      <c r="AH2634" s="4" t="s">
        <v>241</v>
      </c>
      <c r="AI2634" s="4" t="s">
        <v>247</v>
      </c>
      <c r="AJ2634" s="4" t="s">
        <v>248</v>
      </c>
      <c r="AZ2634" s="4" t="s">
        <v>249</v>
      </c>
      <c r="BA2634" s="4" t="s">
        <v>241</v>
      </c>
      <c r="BB2634" s="4" t="s">
        <v>250</v>
      </c>
      <c r="BC2634" s="4" t="s">
        <v>241</v>
      </c>
      <c r="BD2634" s="4" t="s">
        <v>252</v>
      </c>
      <c r="BE2634" s="4" t="s">
        <v>241</v>
      </c>
      <c r="BI2634" s="4" t="s">
        <v>253</v>
      </c>
      <c r="BJ2634" s="5" t="s">
        <v>246</v>
      </c>
      <c r="BK2634" s="4" t="s">
        <v>254</v>
      </c>
      <c r="BL2634" s="4" t="s">
        <v>255</v>
      </c>
      <c r="BM2634" s="4" t="s">
        <v>241</v>
      </c>
      <c r="BN2634" s="6">
        <f>0</f>
        <v>0</v>
      </c>
      <c r="BO2634" s="6">
        <f>0</f>
        <v>0</v>
      </c>
      <c r="BP2634" s="4" t="s">
        <v>256</v>
      </c>
      <c r="BQ2634" s="4" t="s">
        <v>257</v>
      </c>
      <c r="CE2634" s="4" t="s">
        <v>241</v>
      </c>
      <c r="CF2634" s="4" t="s">
        <v>241</v>
      </c>
      <c r="CJ2634" s="4" t="s">
        <v>276</v>
      </c>
      <c r="CK2634" s="4" t="s">
        <v>259</v>
      </c>
      <c r="CL2634" s="4" t="s">
        <v>241</v>
      </c>
      <c r="CO2634" s="5" t="s">
        <v>260</v>
      </c>
      <c r="CP2634" s="4" t="s">
        <v>241</v>
      </c>
      <c r="CQ2634" s="4" t="s">
        <v>261</v>
      </c>
      <c r="CR2634" s="4" t="s">
        <v>241</v>
      </c>
      <c r="CS2634" s="4" t="s">
        <v>241</v>
      </c>
      <c r="CT2634" s="4">
        <v>0</v>
      </c>
      <c r="CU2634" s="4" t="s">
        <v>262</v>
      </c>
      <c r="CV2634" s="4" t="s">
        <v>263</v>
      </c>
      <c r="CW2634" s="4" t="s">
        <v>263</v>
      </c>
      <c r="CX2634" s="4" t="s">
        <v>264</v>
      </c>
      <c r="DA2634" s="6">
        <f>1</f>
        <v>1</v>
      </c>
      <c r="DC2634" s="4" t="s">
        <v>325</v>
      </c>
      <c r="DD2634" s="4" t="s">
        <v>241</v>
      </c>
      <c r="DF2634" s="4" t="s">
        <v>325</v>
      </c>
      <c r="DG2634" s="6">
        <f>225</f>
        <v>225</v>
      </c>
      <c r="DI2634" s="4" t="s">
        <v>241</v>
      </c>
      <c r="DJ2634" s="4" t="s">
        <v>241</v>
      </c>
      <c r="DK2634" s="4" t="s">
        <v>241</v>
      </c>
      <c r="DL2634" s="4" t="s">
        <v>241</v>
      </c>
      <c r="DP2634" s="4" t="s">
        <v>241</v>
      </c>
      <c r="DQ2634" s="4" t="s">
        <v>241</v>
      </c>
      <c r="DR2634" s="4" t="s">
        <v>241</v>
      </c>
      <c r="DS2634" s="4" t="s">
        <v>241</v>
      </c>
      <c r="DV2634" s="4" t="s">
        <v>426</v>
      </c>
      <c r="DW2634" s="4" t="s">
        <v>2587</v>
      </c>
      <c r="HO2634" s="4" t="s">
        <v>267</v>
      </c>
    </row>
    <row r="2635" spans="1:223" ht="19.5" customHeight="1" x14ac:dyDescent="0.4">
      <c r="A2635" s="4">
        <v>1</v>
      </c>
      <c r="B2635" s="4" t="s">
        <v>239</v>
      </c>
      <c r="C2635" s="4">
        <v>4338</v>
      </c>
      <c r="D2635" s="4">
        <v>1</v>
      </c>
      <c r="E2635" s="4">
        <v>1</v>
      </c>
      <c r="F2635" s="4" t="s">
        <v>268</v>
      </c>
      <c r="G2635" s="4" t="s">
        <v>241</v>
      </c>
      <c r="H2635" s="4" t="s">
        <v>241</v>
      </c>
      <c r="I2635" s="4" t="s">
        <v>424</v>
      </c>
      <c r="J2635" s="4" t="s">
        <v>274</v>
      </c>
      <c r="K2635" s="4" t="s">
        <v>251</v>
      </c>
      <c r="L2635" s="4" t="s">
        <v>423</v>
      </c>
      <c r="M2635" s="5" t="s">
        <v>430</v>
      </c>
      <c r="N2635" s="6">
        <f>3013</f>
        <v>3013</v>
      </c>
      <c r="O2635" s="4" t="s">
        <v>265</v>
      </c>
      <c r="P2635" s="6">
        <f>1</f>
        <v>1</v>
      </c>
      <c r="Q2635" s="6">
        <f>0</f>
        <v>0</v>
      </c>
      <c r="S2635" s="6">
        <f>0</f>
        <v>0</v>
      </c>
      <c r="T2635" s="6">
        <f>1</f>
        <v>1</v>
      </c>
      <c r="U2635" s="5" t="s">
        <v>245</v>
      </c>
      <c r="V2635" s="4" t="s">
        <v>270</v>
      </c>
      <c r="W2635" s="4" t="s">
        <v>271</v>
      </c>
      <c r="X2635" s="4" t="s">
        <v>273</v>
      </c>
      <c r="Y2635" s="4" t="s">
        <v>241</v>
      </c>
      <c r="AB2635" s="4" t="s">
        <v>241</v>
      </c>
      <c r="AD2635" s="5" t="s">
        <v>241</v>
      </c>
      <c r="AG2635" s="5" t="s">
        <v>246</v>
      </c>
      <c r="AH2635" s="4" t="s">
        <v>241</v>
      </c>
      <c r="AI2635" s="4" t="s">
        <v>247</v>
      </c>
      <c r="AJ2635" s="4" t="s">
        <v>248</v>
      </c>
      <c r="AZ2635" s="4" t="s">
        <v>249</v>
      </c>
      <c r="BA2635" s="4" t="s">
        <v>241</v>
      </c>
      <c r="BB2635" s="4" t="s">
        <v>250</v>
      </c>
      <c r="BC2635" s="4" t="s">
        <v>241</v>
      </c>
      <c r="BD2635" s="4" t="s">
        <v>252</v>
      </c>
      <c r="BE2635" s="4" t="s">
        <v>241</v>
      </c>
      <c r="BI2635" s="4" t="s">
        <v>253</v>
      </c>
      <c r="BJ2635" s="5" t="s">
        <v>246</v>
      </c>
      <c r="BK2635" s="4" t="s">
        <v>254</v>
      </c>
      <c r="BL2635" s="4" t="s">
        <v>255</v>
      </c>
      <c r="BM2635" s="4" t="s">
        <v>241</v>
      </c>
      <c r="BN2635" s="6">
        <f>0</f>
        <v>0</v>
      </c>
      <c r="BO2635" s="6">
        <f>0</f>
        <v>0</v>
      </c>
      <c r="BP2635" s="4" t="s">
        <v>256</v>
      </c>
      <c r="BQ2635" s="4" t="s">
        <v>257</v>
      </c>
      <c r="CE2635" s="4" t="s">
        <v>241</v>
      </c>
      <c r="CF2635" s="4" t="s">
        <v>241</v>
      </c>
      <c r="CJ2635" s="4" t="s">
        <v>276</v>
      </c>
      <c r="CK2635" s="4" t="s">
        <v>259</v>
      </c>
      <c r="CL2635" s="4" t="s">
        <v>241</v>
      </c>
      <c r="CO2635" s="5" t="s">
        <v>260</v>
      </c>
      <c r="CP2635" s="4" t="s">
        <v>241</v>
      </c>
      <c r="CQ2635" s="4" t="s">
        <v>261</v>
      </c>
      <c r="CR2635" s="4" t="s">
        <v>241</v>
      </c>
      <c r="CS2635" s="4" t="s">
        <v>241</v>
      </c>
      <c r="CT2635" s="4">
        <v>0</v>
      </c>
      <c r="CU2635" s="4" t="s">
        <v>262</v>
      </c>
      <c r="CV2635" s="4" t="s">
        <v>263</v>
      </c>
      <c r="CW2635" s="4" t="s">
        <v>263</v>
      </c>
      <c r="CX2635" s="4" t="s">
        <v>264</v>
      </c>
      <c r="DA2635" s="6">
        <f>1</f>
        <v>1</v>
      </c>
      <c r="DC2635" s="4" t="s">
        <v>325</v>
      </c>
      <c r="DD2635" s="4" t="s">
        <v>241</v>
      </c>
      <c r="DF2635" s="4" t="s">
        <v>325</v>
      </c>
      <c r="DG2635" s="6">
        <f>3013</f>
        <v>3013</v>
      </c>
      <c r="DI2635" s="4" t="s">
        <v>241</v>
      </c>
      <c r="DJ2635" s="4" t="s">
        <v>241</v>
      </c>
      <c r="DK2635" s="4" t="s">
        <v>241</v>
      </c>
      <c r="DL2635" s="4" t="s">
        <v>241</v>
      </c>
      <c r="DP2635" s="4" t="s">
        <v>241</v>
      </c>
      <c r="DQ2635" s="4" t="s">
        <v>241</v>
      </c>
      <c r="DR2635" s="4" t="s">
        <v>241</v>
      </c>
      <c r="DS2635" s="4" t="s">
        <v>241</v>
      </c>
      <c r="DV2635" s="4" t="s">
        <v>426</v>
      </c>
      <c r="DW2635" s="4" t="s">
        <v>431</v>
      </c>
      <c r="HO2635" s="4" t="s">
        <v>267</v>
      </c>
    </row>
    <row r="2636" spans="1:223" ht="19.5" customHeight="1" x14ac:dyDescent="0.4">
      <c r="A2636" s="4">
        <v>1</v>
      </c>
      <c r="B2636" s="4" t="s">
        <v>239</v>
      </c>
      <c r="C2636" s="4">
        <v>4339</v>
      </c>
      <c r="D2636" s="4">
        <v>1</v>
      </c>
      <c r="E2636" s="4">
        <v>1</v>
      </c>
      <c r="F2636" s="4" t="s">
        <v>268</v>
      </c>
      <c r="G2636" s="4" t="s">
        <v>241</v>
      </c>
      <c r="H2636" s="4" t="s">
        <v>241</v>
      </c>
      <c r="I2636" s="4" t="s">
        <v>424</v>
      </c>
      <c r="J2636" s="4" t="s">
        <v>274</v>
      </c>
      <c r="K2636" s="4" t="s">
        <v>251</v>
      </c>
      <c r="L2636" s="4" t="s">
        <v>423</v>
      </c>
      <c r="M2636" s="5" t="s">
        <v>436</v>
      </c>
      <c r="N2636" s="6">
        <f>86</f>
        <v>86</v>
      </c>
      <c r="O2636" s="4" t="s">
        <v>265</v>
      </c>
      <c r="P2636" s="6">
        <f>1</f>
        <v>1</v>
      </c>
      <c r="Q2636" s="6">
        <f>0</f>
        <v>0</v>
      </c>
      <c r="S2636" s="6">
        <f>0</f>
        <v>0</v>
      </c>
      <c r="T2636" s="6">
        <f>1</f>
        <v>1</v>
      </c>
      <c r="U2636" s="5" t="s">
        <v>245</v>
      </c>
      <c r="V2636" s="4" t="s">
        <v>270</v>
      </c>
      <c r="W2636" s="4" t="s">
        <v>271</v>
      </c>
      <c r="X2636" s="4" t="s">
        <v>273</v>
      </c>
      <c r="Y2636" s="4" t="s">
        <v>241</v>
      </c>
      <c r="AB2636" s="4" t="s">
        <v>241</v>
      </c>
      <c r="AD2636" s="5" t="s">
        <v>241</v>
      </c>
      <c r="AG2636" s="5" t="s">
        <v>246</v>
      </c>
      <c r="AH2636" s="4" t="s">
        <v>241</v>
      </c>
      <c r="AI2636" s="4" t="s">
        <v>247</v>
      </c>
      <c r="AJ2636" s="4" t="s">
        <v>248</v>
      </c>
      <c r="AZ2636" s="4" t="s">
        <v>249</v>
      </c>
      <c r="BA2636" s="4" t="s">
        <v>241</v>
      </c>
      <c r="BB2636" s="4" t="s">
        <v>250</v>
      </c>
      <c r="BC2636" s="4" t="s">
        <v>241</v>
      </c>
      <c r="BD2636" s="4" t="s">
        <v>252</v>
      </c>
      <c r="BE2636" s="4" t="s">
        <v>241</v>
      </c>
      <c r="BI2636" s="4" t="s">
        <v>253</v>
      </c>
      <c r="BJ2636" s="5" t="s">
        <v>246</v>
      </c>
      <c r="BK2636" s="4" t="s">
        <v>254</v>
      </c>
      <c r="BL2636" s="4" t="s">
        <v>255</v>
      </c>
      <c r="BM2636" s="4" t="s">
        <v>241</v>
      </c>
      <c r="BN2636" s="6">
        <f>0</f>
        <v>0</v>
      </c>
      <c r="BO2636" s="6">
        <f>0</f>
        <v>0</v>
      </c>
      <c r="BP2636" s="4" t="s">
        <v>256</v>
      </c>
      <c r="BQ2636" s="4" t="s">
        <v>257</v>
      </c>
      <c r="CE2636" s="4" t="s">
        <v>241</v>
      </c>
      <c r="CF2636" s="4" t="s">
        <v>241</v>
      </c>
      <c r="CJ2636" s="4" t="s">
        <v>276</v>
      </c>
      <c r="CK2636" s="4" t="s">
        <v>259</v>
      </c>
      <c r="CL2636" s="4" t="s">
        <v>241</v>
      </c>
      <c r="CO2636" s="5" t="s">
        <v>260</v>
      </c>
      <c r="CP2636" s="4" t="s">
        <v>241</v>
      </c>
      <c r="CQ2636" s="4" t="s">
        <v>261</v>
      </c>
      <c r="CR2636" s="4" t="s">
        <v>241</v>
      </c>
      <c r="CS2636" s="4" t="s">
        <v>241</v>
      </c>
      <c r="CT2636" s="4">
        <v>0</v>
      </c>
      <c r="CU2636" s="4" t="s">
        <v>262</v>
      </c>
      <c r="CV2636" s="4" t="s">
        <v>263</v>
      </c>
      <c r="CW2636" s="4" t="s">
        <v>263</v>
      </c>
      <c r="CX2636" s="4" t="s">
        <v>264</v>
      </c>
      <c r="DA2636" s="6">
        <f>1</f>
        <v>1</v>
      </c>
      <c r="DC2636" s="4" t="s">
        <v>325</v>
      </c>
      <c r="DD2636" s="4" t="s">
        <v>241</v>
      </c>
      <c r="DF2636" s="4" t="s">
        <v>325</v>
      </c>
      <c r="DG2636" s="6">
        <f>86</f>
        <v>86</v>
      </c>
      <c r="DI2636" s="4" t="s">
        <v>241</v>
      </c>
      <c r="DJ2636" s="4" t="s">
        <v>241</v>
      </c>
      <c r="DK2636" s="4" t="s">
        <v>241</v>
      </c>
      <c r="DL2636" s="4" t="s">
        <v>241</v>
      </c>
      <c r="DP2636" s="4" t="s">
        <v>241</v>
      </c>
      <c r="DQ2636" s="4" t="s">
        <v>241</v>
      </c>
      <c r="DR2636" s="4" t="s">
        <v>241</v>
      </c>
      <c r="DS2636" s="4" t="s">
        <v>241</v>
      </c>
      <c r="DV2636" s="4" t="s">
        <v>426</v>
      </c>
      <c r="DW2636" s="4" t="s">
        <v>437</v>
      </c>
      <c r="HO2636" s="4" t="s">
        <v>267</v>
      </c>
    </row>
    <row r="2637" spans="1:223" ht="19.5" customHeight="1" x14ac:dyDescent="0.4">
      <c r="A2637" s="4">
        <v>1</v>
      </c>
      <c r="B2637" s="4" t="s">
        <v>239</v>
      </c>
      <c r="C2637" s="4">
        <v>4340</v>
      </c>
      <c r="D2637" s="4">
        <v>1</v>
      </c>
      <c r="E2637" s="4">
        <v>1</v>
      </c>
      <c r="F2637" s="4" t="s">
        <v>268</v>
      </c>
      <c r="G2637" s="4" t="s">
        <v>241</v>
      </c>
      <c r="H2637" s="4" t="s">
        <v>241</v>
      </c>
      <c r="I2637" s="4" t="s">
        <v>424</v>
      </c>
      <c r="J2637" s="4" t="s">
        <v>274</v>
      </c>
      <c r="K2637" s="4" t="s">
        <v>251</v>
      </c>
      <c r="L2637" s="4" t="s">
        <v>423</v>
      </c>
      <c r="M2637" s="5" t="s">
        <v>4343</v>
      </c>
      <c r="N2637" s="6">
        <f>2440</f>
        <v>2440</v>
      </c>
      <c r="O2637" s="4" t="s">
        <v>265</v>
      </c>
      <c r="P2637" s="6">
        <f>1</f>
        <v>1</v>
      </c>
      <c r="Q2637" s="6">
        <f>0</f>
        <v>0</v>
      </c>
      <c r="S2637" s="6">
        <f>0</f>
        <v>0</v>
      </c>
      <c r="T2637" s="6">
        <f>1</f>
        <v>1</v>
      </c>
      <c r="U2637" s="5" t="s">
        <v>245</v>
      </c>
      <c r="V2637" s="4" t="s">
        <v>270</v>
      </c>
      <c r="W2637" s="4" t="s">
        <v>271</v>
      </c>
      <c r="X2637" s="4" t="s">
        <v>273</v>
      </c>
      <c r="Y2637" s="4" t="s">
        <v>241</v>
      </c>
      <c r="AB2637" s="4" t="s">
        <v>241</v>
      </c>
      <c r="AD2637" s="5" t="s">
        <v>241</v>
      </c>
      <c r="AG2637" s="5" t="s">
        <v>246</v>
      </c>
      <c r="AH2637" s="4" t="s">
        <v>241</v>
      </c>
      <c r="AI2637" s="4" t="s">
        <v>247</v>
      </c>
      <c r="AJ2637" s="4" t="s">
        <v>248</v>
      </c>
      <c r="AZ2637" s="4" t="s">
        <v>249</v>
      </c>
      <c r="BA2637" s="4" t="s">
        <v>241</v>
      </c>
      <c r="BB2637" s="4" t="s">
        <v>250</v>
      </c>
      <c r="BC2637" s="4" t="s">
        <v>241</v>
      </c>
      <c r="BD2637" s="4" t="s">
        <v>252</v>
      </c>
      <c r="BE2637" s="4" t="s">
        <v>241</v>
      </c>
      <c r="BI2637" s="4" t="s">
        <v>253</v>
      </c>
      <c r="BJ2637" s="5" t="s">
        <v>246</v>
      </c>
      <c r="BK2637" s="4" t="s">
        <v>254</v>
      </c>
      <c r="BL2637" s="4" t="s">
        <v>255</v>
      </c>
      <c r="BM2637" s="4" t="s">
        <v>241</v>
      </c>
      <c r="BN2637" s="6">
        <f>0</f>
        <v>0</v>
      </c>
      <c r="BO2637" s="6">
        <f>0</f>
        <v>0</v>
      </c>
      <c r="BP2637" s="4" t="s">
        <v>256</v>
      </c>
      <c r="BQ2637" s="4" t="s">
        <v>257</v>
      </c>
      <c r="CE2637" s="4" t="s">
        <v>241</v>
      </c>
      <c r="CF2637" s="4" t="s">
        <v>241</v>
      </c>
      <c r="CJ2637" s="4" t="s">
        <v>276</v>
      </c>
      <c r="CK2637" s="4" t="s">
        <v>259</v>
      </c>
      <c r="CL2637" s="4" t="s">
        <v>241</v>
      </c>
      <c r="CO2637" s="5" t="s">
        <v>260</v>
      </c>
      <c r="CP2637" s="4" t="s">
        <v>241</v>
      </c>
      <c r="CQ2637" s="4" t="s">
        <v>261</v>
      </c>
      <c r="CR2637" s="4" t="s">
        <v>241</v>
      </c>
      <c r="CS2637" s="4" t="s">
        <v>241</v>
      </c>
      <c r="CT2637" s="4">
        <v>0</v>
      </c>
      <c r="CU2637" s="4" t="s">
        <v>262</v>
      </c>
      <c r="CV2637" s="4" t="s">
        <v>263</v>
      </c>
      <c r="CW2637" s="4" t="s">
        <v>263</v>
      </c>
      <c r="CX2637" s="4" t="s">
        <v>264</v>
      </c>
      <c r="DA2637" s="6">
        <f>1</f>
        <v>1</v>
      </c>
      <c r="DC2637" s="4" t="s">
        <v>325</v>
      </c>
      <c r="DD2637" s="4" t="s">
        <v>241</v>
      </c>
      <c r="DF2637" s="4" t="s">
        <v>325</v>
      </c>
      <c r="DG2637" s="6">
        <f>2440</f>
        <v>2440</v>
      </c>
      <c r="DI2637" s="4" t="s">
        <v>241</v>
      </c>
      <c r="DJ2637" s="4" t="s">
        <v>241</v>
      </c>
      <c r="DK2637" s="4" t="s">
        <v>241</v>
      </c>
      <c r="DL2637" s="4" t="s">
        <v>241</v>
      </c>
      <c r="DP2637" s="4" t="s">
        <v>241</v>
      </c>
      <c r="DQ2637" s="4" t="s">
        <v>241</v>
      </c>
      <c r="DR2637" s="4" t="s">
        <v>241</v>
      </c>
      <c r="DS2637" s="4" t="s">
        <v>241</v>
      </c>
      <c r="DV2637" s="4" t="s">
        <v>426</v>
      </c>
      <c r="DW2637" s="4" t="s">
        <v>2583</v>
      </c>
      <c r="HO2637" s="4" t="s">
        <v>267</v>
      </c>
    </row>
    <row r="2638" spans="1:223" ht="19.5" customHeight="1" x14ac:dyDescent="0.4">
      <c r="A2638" s="4">
        <v>1</v>
      </c>
      <c r="B2638" s="4" t="s">
        <v>239</v>
      </c>
      <c r="C2638" s="4">
        <v>4341</v>
      </c>
      <c r="D2638" s="4">
        <v>1</v>
      </c>
      <c r="E2638" s="4">
        <v>1</v>
      </c>
      <c r="F2638" s="4" t="s">
        <v>268</v>
      </c>
      <c r="G2638" s="4" t="s">
        <v>241</v>
      </c>
      <c r="H2638" s="4" t="s">
        <v>241</v>
      </c>
      <c r="I2638" s="4" t="s">
        <v>424</v>
      </c>
      <c r="J2638" s="4" t="s">
        <v>274</v>
      </c>
      <c r="K2638" s="4" t="s">
        <v>251</v>
      </c>
      <c r="L2638" s="4" t="s">
        <v>423</v>
      </c>
      <c r="M2638" s="5" t="s">
        <v>449</v>
      </c>
      <c r="N2638" s="6">
        <f>1115</f>
        <v>1115</v>
      </c>
      <c r="O2638" s="4" t="s">
        <v>265</v>
      </c>
      <c r="P2638" s="6">
        <f>1</f>
        <v>1</v>
      </c>
      <c r="Q2638" s="6">
        <f>0</f>
        <v>0</v>
      </c>
      <c r="S2638" s="6">
        <f>0</f>
        <v>0</v>
      </c>
      <c r="T2638" s="6">
        <f>1</f>
        <v>1</v>
      </c>
      <c r="U2638" s="5" t="s">
        <v>245</v>
      </c>
      <c r="V2638" s="4" t="s">
        <v>270</v>
      </c>
      <c r="W2638" s="4" t="s">
        <v>271</v>
      </c>
      <c r="X2638" s="4" t="s">
        <v>273</v>
      </c>
      <c r="Y2638" s="4" t="s">
        <v>241</v>
      </c>
      <c r="AB2638" s="4" t="s">
        <v>241</v>
      </c>
      <c r="AD2638" s="5" t="s">
        <v>241</v>
      </c>
      <c r="AG2638" s="5" t="s">
        <v>246</v>
      </c>
      <c r="AH2638" s="4" t="s">
        <v>241</v>
      </c>
      <c r="AI2638" s="4" t="s">
        <v>247</v>
      </c>
      <c r="AJ2638" s="4" t="s">
        <v>248</v>
      </c>
      <c r="AZ2638" s="4" t="s">
        <v>249</v>
      </c>
      <c r="BA2638" s="4" t="s">
        <v>241</v>
      </c>
      <c r="BB2638" s="4" t="s">
        <v>250</v>
      </c>
      <c r="BC2638" s="4" t="s">
        <v>241</v>
      </c>
      <c r="BD2638" s="4" t="s">
        <v>252</v>
      </c>
      <c r="BE2638" s="4" t="s">
        <v>241</v>
      </c>
      <c r="BI2638" s="4" t="s">
        <v>253</v>
      </c>
      <c r="BJ2638" s="5" t="s">
        <v>246</v>
      </c>
      <c r="BK2638" s="4" t="s">
        <v>254</v>
      </c>
      <c r="BL2638" s="4" t="s">
        <v>255</v>
      </c>
      <c r="BM2638" s="4" t="s">
        <v>241</v>
      </c>
      <c r="BN2638" s="6">
        <f>0</f>
        <v>0</v>
      </c>
      <c r="BO2638" s="6">
        <f>0</f>
        <v>0</v>
      </c>
      <c r="BP2638" s="4" t="s">
        <v>256</v>
      </c>
      <c r="BQ2638" s="4" t="s">
        <v>257</v>
      </c>
      <c r="CE2638" s="4" t="s">
        <v>241</v>
      </c>
      <c r="CF2638" s="4" t="s">
        <v>241</v>
      </c>
      <c r="CJ2638" s="4" t="s">
        <v>276</v>
      </c>
      <c r="CK2638" s="4" t="s">
        <v>259</v>
      </c>
      <c r="CL2638" s="4" t="s">
        <v>241</v>
      </c>
      <c r="CO2638" s="5" t="s">
        <v>260</v>
      </c>
      <c r="CP2638" s="4" t="s">
        <v>241</v>
      </c>
      <c r="CQ2638" s="4" t="s">
        <v>261</v>
      </c>
      <c r="CR2638" s="4" t="s">
        <v>241</v>
      </c>
      <c r="CS2638" s="4" t="s">
        <v>241</v>
      </c>
      <c r="CT2638" s="4">
        <v>0</v>
      </c>
      <c r="CU2638" s="4" t="s">
        <v>262</v>
      </c>
      <c r="CV2638" s="4" t="s">
        <v>263</v>
      </c>
      <c r="CW2638" s="4" t="s">
        <v>263</v>
      </c>
      <c r="CX2638" s="4" t="s">
        <v>264</v>
      </c>
      <c r="DA2638" s="6">
        <f>1</f>
        <v>1</v>
      </c>
      <c r="DC2638" s="4" t="s">
        <v>325</v>
      </c>
      <c r="DD2638" s="4" t="s">
        <v>241</v>
      </c>
      <c r="DF2638" s="4" t="s">
        <v>325</v>
      </c>
      <c r="DG2638" s="6">
        <f>1115</f>
        <v>1115</v>
      </c>
      <c r="DI2638" s="4" t="s">
        <v>241</v>
      </c>
      <c r="DJ2638" s="4" t="s">
        <v>241</v>
      </c>
      <c r="DK2638" s="4" t="s">
        <v>241</v>
      </c>
      <c r="DL2638" s="4" t="s">
        <v>241</v>
      </c>
      <c r="DP2638" s="4" t="s">
        <v>241</v>
      </c>
      <c r="DQ2638" s="4" t="s">
        <v>241</v>
      </c>
      <c r="DR2638" s="4" t="s">
        <v>241</v>
      </c>
      <c r="DS2638" s="4" t="s">
        <v>241</v>
      </c>
      <c r="DV2638" s="4" t="s">
        <v>426</v>
      </c>
      <c r="DW2638" s="4" t="s">
        <v>450</v>
      </c>
      <c r="HO2638" s="4" t="s">
        <v>267</v>
      </c>
    </row>
    <row r="2639" spans="1:223" ht="19.5" customHeight="1" x14ac:dyDescent="0.4">
      <c r="A2639" s="4">
        <v>1</v>
      </c>
      <c r="B2639" s="4" t="s">
        <v>239</v>
      </c>
      <c r="C2639" s="4">
        <v>4342</v>
      </c>
      <c r="D2639" s="4">
        <v>1</v>
      </c>
      <c r="E2639" s="4">
        <v>1</v>
      </c>
      <c r="F2639" s="4" t="s">
        <v>268</v>
      </c>
      <c r="G2639" s="4" t="s">
        <v>241</v>
      </c>
      <c r="H2639" s="4" t="s">
        <v>241</v>
      </c>
      <c r="I2639" s="4" t="s">
        <v>424</v>
      </c>
      <c r="J2639" s="4" t="s">
        <v>274</v>
      </c>
      <c r="K2639" s="4" t="s">
        <v>251</v>
      </c>
      <c r="L2639" s="4" t="s">
        <v>423</v>
      </c>
      <c r="M2639" s="5" t="s">
        <v>459</v>
      </c>
      <c r="N2639" s="6">
        <f>247</f>
        <v>247</v>
      </c>
      <c r="O2639" s="4" t="s">
        <v>265</v>
      </c>
      <c r="P2639" s="6">
        <f>1</f>
        <v>1</v>
      </c>
      <c r="Q2639" s="6">
        <f>0</f>
        <v>0</v>
      </c>
      <c r="S2639" s="6">
        <f>0</f>
        <v>0</v>
      </c>
      <c r="T2639" s="6">
        <f>1</f>
        <v>1</v>
      </c>
      <c r="U2639" s="5" t="s">
        <v>245</v>
      </c>
      <c r="V2639" s="4" t="s">
        <v>270</v>
      </c>
      <c r="W2639" s="4" t="s">
        <v>271</v>
      </c>
      <c r="X2639" s="4" t="s">
        <v>273</v>
      </c>
      <c r="Y2639" s="4" t="s">
        <v>241</v>
      </c>
      <c r="AB2639" s="4" t="s">
        <v>241</v>
      </c>
      <c r="AD2639" s="5" t="s">
        <v>241</v>
      </c>
      <c r="AG2639" s="5" t="s">
        <v>246</v>
      </c>
      <c r="AH2639" s="4" t="s">
        <v>241</v>
      </c>
      <c r="AI2639" s="4" t="s">
        <v>247</v>
      </c>
      <c r="AJ2639" s="4" t="s">
        <v>248</v>
      </c>
      <c r="AZ2639" s="4" t="s">
        <v>249</v>
      </c>
      <c r="BA2639" s="4" t="s">
        <v>241</v>
      </c>
      <c r="BB2639" s="4" t="s">
        <v>250</v>
      </c>
      <c r="BC2639" s="4" t="s">
        <v>241</v>
      </c>
      <c r="BD2639" s="4" t="s">
        <v>252</v>
      </c>
      <c r="BE2639" s="4" t="s">
        <v>241</v>
      </c>
      <c r="BI2639" s="4" t="s">
        <v>253</v>
      </c>
      <c r="BJ2639" s="5" t="s">
        <v>246</v>
      </c>
      <c r="BK2639" s="4" t="s">
        <v>254</v>
      </c>
      <c r="BL2639" s="4" t="s">
        <v>255</v>
      </c>
      <c r="BM2639" s="4" t="s">
        <v>241</v>
      </c>
      <c r="BN2639" s="6">
        <f>0</f>
        <v>0</v>
      </c>
      <c r="BO2639" s="6">
        <f>0</f>
        <v>0</v>
      </c>
      <c r="BP2639" s="4" t="s">
        <v>256</v>
      </c>
      <c r="BQ2639" s="4" t="s">
        <v>257</v>
      </c>
      <c r="CE2639" s="4" t="s">
        <v>241</v>
      </c>
      <c r="CF2639" s="4" t="s">
        <v>241</v>
      </c>
      <c r="CJ2639" s="4" t="s">
        <v>276</v>
      </c>
      <c r="CK2639" s="4" t="s">
        <v>259</v>
      </c>
      <c r="CL2639" s="4" t="s">
        <v>241</v>
      </c>
      <c r="CO2639" s="5" t="s">
        <v>260</v>
      </c>
      <c r="CP2639" s="4" t="s">
        <v>241</v>
      </c>
      <c r="CQ2639" s="4" t="s">
        <v>261</v>
      </c>
      <c r="CR2639" s="4" t="s">
        <v>241</v>
      </c>
      <c r="CS2639" s="4" t="s">
        <v>241</v>
      </c>
      <c r="CT2639" s="4">
        <v>0</v>
      </c>
      <c r="CU2639" s="4" t="s">
        <v>262</v>
      </c>
      <c r="CV2639" s="4" t="s">
        <v>263</v>
      </c>
      <c r="CW2639" s="4" t="s">
        <v>263</v>
      </c>
      <c r="CX2639" s="4" t="s">
        <v>264</v>
      </c>
      <c r="DA2639" s="6">
        <f>1</f>
        <v>1</v>
      </c>
      <c r="DC2639" s="4" t="s">
        <v>325</v>
      </c>
      <c r="DD2639" s="4" t="s">
        <v>241</v>
      </c>
      <c r="DF2639" s="4" t="s">
        <v>325</v>
      </c>
      <c r="DG2639" s="6">
        <f>247</f>
        <v>247</v>
      </c>
      <c r="DI2639" s="4" t="s">
        <v>241</v>
      </c>
      <c r="DJ2639" s="4" t="s">
        <v>241</v>
      </c>
      <c r="DK2639" s="4" t="s">
        <v>241</v>
      </c>
      <c r="DL2639" s="4" t="s">
        <v>241</v>
      </c>
      <c r="DP2639" s="4" t="s">
        <v>241</v>
      </c>
      <c r="DQ2639" s="4" t="s">
        <v>241</v>
      </c>
      <c r="DR2639" s="4" t="s">
        <v>241</v>
      </c>
      <c r="DS2639" s="4" t="s">
        <v>241</v>
      </c>
      <c r="DV2639" s="4" t="s">
        <v>426</v>
      </c>
      <c r="DW2639" s="4" t="s">
        <v>460</v>
      </c>
      <c r="HO2639" s="4" t="s">
        <v>267</v>
      </c>
    </row>
    <row r="2640" spans="1:223" ht="19.5" customHeight="1" x14ac:dyDescent="0.4">
      <c r="A2640" s="4">
        <v>1</v>
      </c>
      <c r="B2640" s="4" t="s">
        <v>239</v>
      </c>
      <c r="C2640" s="4">
        <v>4343</v>
      </c>
      <c r="D2640" s="4">
        <v>1</v>
      </c>
      <c r="E2640" s="4">
        <v>1</v>
      </c>
      <c r="F2640" s="4" t="s">
        <v>268</v>
      </c>
      <c r="G2640" s="4" t="s">
        <v>241</v>
      </c>
      <c r="H2640" s="4" t="s">
        <v>241</v>
      </c>
      <c r="I2640" s="4" t="s">
        <v>424</v>
      </c>
      <c r="J2640" s="4" t="s">
        <v>274</v>
      </c>
      <c r="K2640" s="4" t="s">
        <v>251</v>
      </c>
      <c r="L2640" s="4" t="s">
        <v>423</v>
      </c>
      <c r="M2640" s="5" t="s">
        <v>465</v>
      </c>
      <c r="N2640" s="6">
        <f>1687</f>
        <v>1687</v>
      </c>
      <c r="O2640" s="4" t="s">
        <v>265</v>
      </c>
      <c r="P2640" s="6">
        <f>1</f>
        <v>1</v>
      </c>
      <c r="Q2640" s="6">
        <f>0</f>
        <v>0</v>
      </c>
      <c r="S2640" s="6">
        <f>0</f>
        <v>0</v>
      </c>
      <c r="T2640" s="6">
        <f>1</f>
        <v>1</v>
      </c>
      <c r="U2640" s="5" t="s">
        <v>245</v>
      </c>
      <c r="V2640" s="4" t="s">
        <v>270</v>
      </c>
      <c r="W2640" s="4" t="s">
        <v>271</v>
      </c>
      <c r="X2640" s="4" t="s">
        <v>273</v>
      </c>
      <c r="Y2640" s="4" t="s">
        <v>241</v>
      </c>
      <c r="AB2640" s="4" t="s">
        <v>241</v>
      </c>
      <c r="AD2640" s="5" t="s">
        <v>241</v>
      </c>
      <c r="AG2640" s="5" t="s">
        <v>246</v>
      </c>
      <c r="AH2640" s="4" t="s">
        <v>241</v>
      </c>
      <c r="AI2640" s="4" t="s">
        <v>247</v>
      </c>
      <c r="AJ2640" s="4" t="s">
        <v>248</v>
      </c>
      <c r="AZ2640" s="4" t="s">
        <v>249</v>
      </c>
      <c r="BA2640" s="4" t="s">
        <v>241</v>
      </c>
      <c r="BB2640" s="4" t="s">
        <v>250</v>
      </c>
      <c r="BC2640" s="4" t="s">
        <v>241</v>
      </c>
      <c r="BD2640" s="4" t="s">
        <v>252</v>
      </c>
      <c r="BE2640" s="4" t="s">
        <v>241</v>
      </c>
      <c r="BI2640" s="4" t="s">
        <v>253</v>
      </c>
      <c r="BJ2640" s="5" t="s">
        <v>246</v>
      </c>
      <c r="BK2640" s="4" t="s">
        <v>254</v>
      </c>
      <c r="BL2640" s="4" t="s">
        <v>255</v>
      </c>
      <c r="BM2640" s="4" t="s">
        <v>241</v>
      </c>
      <c r="BN2640" s="6">
        <f>0</f>
        <v>0</v>
      </c>
      <c r="BO2640" s="6">
        <f>0</f>
        <v>0</v>
      </c>
      <c r="BP2640" s="4" t="s">
        <v>256</v>
      </c>
      <c r="BQ2640" s="4" t="s">
        <v>257</v>
      </c>
      <c r="CE2640" s="4" t="s">
        <v>241</v>
      </c>
      <c r="CF2640" s="4" t="s">
        <v>241</v>
      </c>
      <c r="CJ2640" s="4" t="s">
        <v>276</v>
      </c>
      <c r="CK2640" s="4" t="s">
        <v>259</v>
      </c>
      <c r="CL2640" s="4" t="s">
        <v>241</v>
      </c>
      <c r="CO2640" s="5" t="s">
        <v>260</v>
      </c>
      <c r="CP2640" s="4" t="s">
        <v>241</v>
      </c>
      <c r="CQ2640" s="4" t="s">
        <v>261</v>
      </c>
      <c r="CR2640" s="4" t="s">
        <v>241</v>
      </c>
      <c r="CS2640" s="4" t="s">
        <v>241</v>
      </c>
      <c r="CT2640" s="4">
        <v>0</v>
      </c>
      <c r="CU2640" s="4" t="s">
        <v>262</v>
      </c>
      <c r="CV2640" s="4" t="s">
        <v>263</v>
      </c>
      <c r="CW2640" s="4" t="s">
        <v>263</v>
      </c>
      <c r="CX2640" s="4" t="s">
        <v>264</v>
      </c>
      <c r="DA2640" s="6">
        <f>1</f>
        <v>1</v>
      </c>
      <c r="DC2640" s="4" t="s">
        <v>325</v>
      </c>
      <c r="DD2640" s="4" t="s">
        <v>241</v>
      </c>
      <c r="DF2640" s="4" t="s">
        <v>325</v>
      </c>
      <c r="DG2640" s="6">
        <f>1687</f>
        <v>1687</v>
      </c>
      <c r="DI2640" s="4" t="s">
        <v>241</v>
      </c>
      <c r="DJ2640" s="4" t="s">
        <v>241</v>
      </c>
      <c r="DK2640" s="4" t="s">
        <v>241</v>
      </c>
      <c r="DL2640" s="4" t="s">
        <v>241</v>
      </c>
      <c r="DP2640" s="4" t="s">
        <v>241</v>
      </c>
      <c r="DQ2640" s="4" t="s">
        <v>241</v>
      </c>
      <c r="DR2640" s="4" t="s">
        <v>241</v>
      </c>
      <c r="DS2640" s="4" t="s">
        <v>241</v>
      </c>
      <c r="DV2640" s="4" t="s">
        <v>426</v>
      </c>
      <c r="DW2640" s="4" t="s">
        <v>466</v>
      </c>
      <c r="HO2640" s="4" t="s">
        <v>267</v>
      </c>
    </row>
    <row r="2641" spans="1:223" ht="19.5" customHeight="1" x14ac:dyDescent="0.4">
      <c r="A2641" s="4">
        <v>1</v>
      </c>
      <c r="B2641" s="4" t="s">
        <v>239</v>
      </c>
      <c r="C2641" s="4">
        <v>4344</v>
      </c>
      <c r="D2641" s="4">
        <v>1</v>
      </c>
      <c r="E2641" s="4">
        <v>1</v>
      </c>
      <c r="F2641" s="4" t="s">
        <v>268</v>
      </c>
      <c r="G2641" s="4" t="s">
        <v>241</v>
      </c>
      <c r="H2641" s="4" t="s">
        <v>241</v>
      </c>
      <c r="I2641" s="4" t="s">
        <v>424</v>
      </c>
      <c r="J2641" s="4" t="s">
        <v>274</v>
      </c>
      <c r="K2641" s="4" t="s">
        <v>251</v>
      </c>
      <c r="L2641" s="4" t="s">
        <v>423</v>
      </c>
      <c r="M2641" s="5" t="s">
        <v>473</v>
      </c>
      <c r="N2641" s="6">
        <f>1538</f>
        <v>1538</v>
      </c>
      <c r="O2641" s="4" t="s">
        <v>265</v>
      </c>
      <c r="P2641" s="6">
        <f>1</f>
        <v>1</v>
      </c>
      <c r="Q2641" s="6">
        <f>0</f>
        <v>0</v>
      </c>
      <c r="S2641" s="6">
        <f>0</f>
        <v>0</v>
      </c>
      <c r="T2641" s="6">
        <f>1</f>
        <v>1</v>
      </c>
      <c r="U2641" s="5" t="s">
        <v>245</v>
      </c>
      <c r="V2641" s="4" t="s">
        <v>270</v>
      </c>
      <c r="W2641" s="4" t="s">
        <v>271</v>
      </c>
      <c r="X2641" s="4" t="s">
        <v>273</v>
      </c>
      <c r="Y2641" s="4" t="s">
        <v>241</v>
      </c>
      <c r="AB2641" s="4" t="s">
        <v>241</v>
      </c>
      <c r="AD2641" s="5" t="s">
        <v>241</v>
      </c>
      <c r="AG2641" s="5" t="s">
        <v>246</v>
      </c>
      <c r="AH2641" s="4" t="s">
        <v>241</v>
      </c>
      <c r="AI2641" s="4" t="s">
        <v>247</v>
      </c>
      <c r="AJ2641" s="4" t="s">
        <v>248</v>
      </c>
      <c r="AZ2641" s="4" t="s">
        <v>249</v>
      </c>
      <c r="BA2641" s="4" t="s">
        <v>241</v>
      </c>
      <c r="BB2641" s="4" t="s">
        <v>250</v>
      </c>
      <c r="BC2641" s="4" t="s">
        <v>241</v>
      </c>
      <c r="BD2641" s="4" t="s">
        <v>252</v>
      </c>
      <c r="BE2641" s="4" t="s">
        <v>241</v>
      </c>
      <c r="BI2641" s="4" t="s">
        <v>253</v>
      </c>
      <c r="BJ2641" s="5" t="s">
        <v>246</v>
      </c>
      <c r="BK2641" s="4" t="s">
        <v>254</v>
      </c>
      <c r="BL2641" s="4" t="s">
        <v>255</v>
      </c>
      <c r="BM2641" s="4" t="s">
        <v>241</v>
      </c>
      <c r="BN2641" s="6">
        <f>0</f>
        <v>0</v>
      </c>
      <c r="BO2641" s="6">
        <f>0</f>
        <v>0</v>
      </c>
      <c r="BP2641" s="4" t="s">
        <v>256</v>
      </c>
      <c r="BQ2641" s="4" t="s">
        <v>257</v>
      </c>
      <c r="CE2641" s="4" t="s">
        <v>241</v>
      </c>
      <c r="CF2641" s="4" t="s">
        <v>241</v>
      </c>
      <c r="CJ2641" s="4" t="s">
        <v>276</v>
      </c>
      <c r="CK2641" s="4" t="s">
        <v>259</v>
      </c>
      <c r="CL2641" s="4" t="s">
        <v>241</v>
      </c>
      <c r="CO2641" s="5" t="s">
        <v>260</v>
      </c>
      <c r="CP2641" s="4" t="s">
        <v>241</v>
      </c>
      <c r="CQ2641" s="4" t="s">
        <v>261</v>
      </c>
      <c r="CR2641" s="4" t="s">
        <v>241</v>
      </c>
      <c r="CS2641" s="4" t="s">
        <v>241</v>
      </c>
      <c r="CT2641" s="4">
        <v>0</v>
      </c>
      <c r="CU2641" s="4" t="s">
        <v>262</v>
      </c>
      <c r="CV2641" s="4" t="s">
        <v>263</v>
      </c>
      <c r="CW2641" s="4" t="s">
        <v>263</v>
      </c>
      <c r="CX2641" s="4" t="s">
        <v>264</v>
      </c>
      <c r="DA2641" s="6">
        <f>1</f>
        <v>1</v>
      </c>
      <c r="DC2641" s="4" t="s">
        <v>325</v>
      </c>
      <c r="DD2641" s="4" t="s">
        <v>241</v>
      </c>
      <c r="DF2641" s="4" t="s">
        <v>325</v>
      </c>
      <c r="DG2641" s="6">
        <f>1538</f>
        <v>1538</v>
      </c>
      <c r="DI2641" s="4" t="s">
        <v>241</v>
      </c>
      <c r="DJ2641" s="4" t="s">
        <v>241</v>
      </c>
      <c r="DK2641" s="4" t="s">
        <v>241</v>
      </c>
      <c r="DL2641" s="4" t="s">
        <v>241</v>
      </c>
      <c r="DP2641" s="4" t="s">
        <v>241</v>
      </c>
      <c r="DQ2641" s="4" t="s">
        <v>241</v>
      </c>
      <c r="DR2641" s="4" t="s">
        <v>241</v>
      </c>
      <c r="DS2641" s="4" t="s">
        <v>241</v>
      </c>
      <c r="DV2641" s="4" t="s">
        <v>426</v>
      </c>
      <c r="DW2641" s="4" t="s">
        <v>474</v>
      </c>
      <c r="HO2641" s="4" t="s">
        <v>267</v>
      </c>
    </row>
    <row r="2642" spans="1:223" ht="19.5" customHeight="1" x14ac:dyDescent="0.4">
      <c r="A2642" s="4">
        <v>1</v>
      </c>
      <c r="B2642" s="4" t="s">
        <v>239</v>
      </c>
      <c r="C2642" s="4">
        <v>4345</v>
      </c>
      <c r="D2642" s="4">
        <v>1</v>
      </c>
      <c r="E2642" s="4">
        <v>1</v>
      </c>
      <c r="F2642" s="4" t="s">
        <v>268</v>
      </c>
      <c r="G2642" s="4" t="s">
        <v>241</v>
      </c>
      <c r="H2642" s="4" t="s">
        <v>241</v>
      </c>
      <c r="I2642" s="4" t="s">
        <v>424</v>
      </c>
      <c r="J2642" s="4" t="s">
        <v>274</v>
      </c>
      <c r="K2642" s="4" t="s">
        <v>251</v>
      </c>
      <c r="L2642" s="4" t="s">
        <v>423</v>
      </c>
      <c r="M2642" s="5" t="s">
        <v>477</v>
      </c>
      <c r="N2642" s="6">
        <f>1683</f>
        <v>1683</v>
      </c>
      <c r="O2642" s="4" t="s">
        <v>265</v>
      </c>
      <c r="P2642" s="6">
        <f>1</f>
        <v>1</v>
      </c>
      <c r="Q2642" s="6">
        <f>0</f>
        <v>0</v>
      </c>
      <c r="S2642" s="6">
        <f>0</f>
        <v>0</v>
      </c>
      <c r="T2642" s="6">
        <f>1</f>
        <v>1</v>
      </c>
      <c r="U2642" s="5" t="s">
        <v>245</v>
      </c>
      <c r="V2642" s="4" t="s">
        <v>270</v>
      </c>
      <c r="W2642" s="4" t="s">
        <v>271</v>
      </c>
      <c r="X2642" s="4" t="s">
        <v>273</v>
      </c>
      <c r="Y2642" s="4" t="s">
        <v>241</v>
      </c>
      <c r="AB2642" s="4" t="s">
        <v>241</v>
      </c>
      <c r="AD2642" s="5" t="s">
        <v>241</v>
      </c>
      <c r="AG2642" s="5" t="s">
        <v>246</v>
      </c>
      <c r="AH2642" s="4" t="s">
        <v>241</v>
      </c>
      <c r="AI2642" s="4" t="s">
        <v>247</v>
      </c>
      <c r="AJ2642" s="4" t="s">
        <v>248</v>
      </c>
      <c r="AZ2642" s="4" t="s">
        <v>249</v>
      </c>
      <c r="BA2642" s="4" t="s">
        <v>241</v>
      </c>
      <c r="BB2642" s="4" t="s">
        <v>250</v>
      </c>
      <c r="BC2642" s="4" t="s">
        <v>241</v>
      </c>
      <c r="BD2642" s="4" t="s">
        <v>252</v>
      </c>
      <c r="BE2642" s="4" t="s">
        <v>241</v>
      </c>
      <c r="BI2642" s="4" t="s">
        <v>253</v>
      </c>
      <c r="BJ2642" s="5" t="s">
        <v>246</v>
      </c>
      <c r="BK2642" s="4" t="s">
        <v>254</v>
      </c>
      <c r="BL2642" s="4" t="s">
        <v>255</v>
      </c>
      <c r="BM2642" s="4" t="s">
        <v>241</v>
      </c>
      <c r="BN2642" s="6">
        <f>0</f>
        <v>0</v>
      </c>
      <c r="BO2642" s="6">
        <f>0</f>
        <v>0</v>
      </c>
      <c r="BP2642" s="4" t="s">
        <v>256</v>
      </c>
      <c r="BQ2642" s="4" t="s">
        <v>257</v>
      </c>
      <c r="CE2642" s="4" t="s">
        <v>241</v>
      </c>
      <c r="CF2642" s="4" t="s">
        <v>241</v>
      </c>
      <c r="CJ2642" s="4" t="s">
        <v>276</v>
      </c>
      <c r="CK2642" s="4" t="s">
        <v>259</v>
      </c>
      <c r="CL2642" s="4" t="s">
        <v>241</v>
      </c>
      <c r="CO2642" s="5" t="s">
        <v>260</v>
      </c>
      <c r="CP2642" s="4" t="s">
        <v>241</v>
      </c>
      <c r="CQ2642" s="4" t="s">
        <v>261</v>
      </c>
      <c r="CR2642" s="4" t="s">
        <v>241</v>
      </c>
      <c r="CS2642" s="4" t="s">
        <v>241</v>
      </c>
      <c r="CT2642" s="4">
        <v>0</v>
      </c>
      <c r="CU2642" s="4" t="s">
        <v>262</v>
      </c>
      <c r="CV2642" s="4" t="s">
        <v>263</v>
      </c>
      <c r="CW2642" s="4" t="s">
        <v>263</v>
      </c>
      <c r="CX2642" s="4" t="s">
        <v>264</v>
      </c>
      <c r="DA2642" s="6">
        <f>1</f>
        <v>1</v>
      </c>
      <c r="DC2642" s="4" t="s">
        <v>325</v>
      </c>
      <c r="DD2642" s="4" t="s">
        <v>241</v>
      </c>
      <c r="DF2642" s="4" t="s">
        <v>325</v>
      </c>
      <c r="DG2642" s="6">
        <f>1683</f>
        <v>1683</v>
      </c>
      <c r="DI2642" s="4" t="s">
        <v>241</v>
      </c>
      <c r="DJ2642" s="4" t="s">
        <v>241</v>
      </c>
      <c r="DK2642" s="4" t="s">
        <v>241</v>
      </c>
      <c r="DL2642" s="4" t="s">
        <v>241</v>
      </c>
      <c r="DP2642" s="4" t="s">
        <v>241</v>
      </c>
      <c r="DQ2642" s="4" t="s">
        <v>241</v>
      </c>
      <c r="DR2642" s="4" t="s">
        <v>241</v>
      </c>
      <c r="DS2642" s="4" t="s">
        <v>241</v>
      </c>
      <c r="DV2642" s="4" t="s">
        <v>426</v>
      </c>
      <c r="DW2642" s="4" t="s">
        <v>478</v>
      </c>
      <c r="HO2642" s="4" t="s">
        <v>267</v>
      </c>
    </row>
    <row r="2643" spans="1:223" ht="19.5" customHeight="1" x14ac:dyDescent="0.4">
      <c r="A2643" s="4">
        <v>1</v>
      </c>
      <c r="B2643" s="4" t="s">
        <v>239</v>
      </c>
      <c r="C2643" s="4">
        <v>4346</v>
      </c>
      <c r="D2643" s="4">
        <v>1</v>
      </c>
      <c r="E2643" s="4">
        <v>1</v>
      </c>
      <c r="F2643" s="4" t="s">
        <v>268</v>
      </c>
      <c r="G2643" s="4" t="s">
        <v>241</v>
      </c>
      <c r="H2643" s="4" t="s">
        <v>241</v>
      </c>
      <c r="I2643" s="4" t="s">
        <v>424</v>
      </c>
      <c r="J2643" s="4" t="s">
        <v>274</v>
      </c>
      <c r="K2643" s="4" t="s">
        <v>251</v>
      </c>
      <c r="L2643" s="4" t="s">
        <v>423</v>
      </c>
      <c r="M2643" s="5" t="s">
        <v>4345</v>
      </c>
      <c r="N2643" s="6">
        <f>459</f>
        <v>459</v>
      </c>
      <c r="O2643" s="4" t="s">
        <v>265</v>
      </c>
      <c r="P2643" s="6">
        <f>1</f>
        <v>1</v>
      </c>
      <c r="Q2643" s="6">
        <f>0</f>
        <v>0</v>
      </c>
      <c r="S2643" s="6">
        <f>0</f>
        <v>0</v>
      </c>
      <c r="T2643" s="6">
        <f>1</f>
        <v>1</v>
      </c>
      <c r="U2643" s="5" t="s">
        <v>245</v>
      </c>
      <c r="V2643" s="4" t="s">
        <v>270</v>
      </c>
      <c r="W2643" s="4" t="s">
        <v>271</v>
      </c>
      <c r="X2643" s="4" t="s">
        <v>273</v>
      </c>
      <c r="Y2643" s="4" t="s">
        <v>241</v>
      </c>
      <c r="AB2643" s="4" t="s">
        <v>241</v>
      </c>
      <c r="AD2643" s="5" t="s">
        <v>241</v>
      </c>
      <c r="AG2643" s="5" t="s">
        <v>246</v>
      </c>
      <c r="AH2643" s="4" t="s">
        <v>241</v>
      </c>
      <c r="AI2643" s="4" t="s">
        <v>247</v>
      </c>
      <c r="AJ2643" s="4" t="s">
        <v>248</v>
      </c>
      <c r="AZ2643" s="4" t="s">
        <v>249</v>
      </c>
      <c r="BA2643" s="4" t="s">
        <v>241</v>
      </c>
      <c r="BB2643" s="4" t="s">
        <v>250</v>
      </c>
      <c r="BC2643" s="4" t="s">
        <v>241</v>
      </c>
      <c r="BD2643" s="4" t="s">
        <v>252</v>
      </c>
      <c r="BE2643" s="4" t="s">
        <v>241</v>
      </c>
      <c r="BI2643" s="4" t="s">
        <v>253</v>
      </c>
      <c r="BJ2643" s="5" t="s">
        <v>246</v>
      </c>
      <c r="BK2643" s="4" t="s">
        <v>254</v>
      </c>
      <c r="BL2643" s="4" t="s">
        <v>255</v>
      </c>
      <c r="BM2643" s="4" t="s">
        <v>241</v>
      </c>
      <c r="BN2643" s="6">
        <f>0</f>
        <v>0</v>
      </c>
      <c r="BO2643" s="6">
        <f>0</f>
        <v>0</v>
      </c>
      <c r="BP2643" s="4" t="s">
        <v>256</v>
      </c>
      <c r="BQ2643" s="4" t="s">
        <v>257</v>
      </c>
      <c r="CE2643" s="4" t="s">
        <v>241</v>
      </c>
      <c r="CF2643" s="4" t="s">
        <v>241</v>
      </c>
      <c r="CJ2643" s="4" t="s">
        <v>276</v>
      </c>
      <c r="CK2643" s="4" t="s">
        <v>259</v>
      </c>
      <c r="CL2643" s="4" t="s">
        <v>241</v>
      </c>
      <c r="CO2643" s="5" t="s">
        <v>260</v>
      </c>
      <c r="CP2643" s="4" t="s">
        <v>241</v>
      </c>
      <c r="CQ2643" s="4" t="s">
        <v>261</v>
      </c>
      <c r="CR2643" s="4" t="s">
        <v>241</v>
      </c>
      <c r="CS2643" s="4" t="s">
        <v>241</v>
      </c>
      <c r="CT2643" s="4">
        <v>0</v>
      </c>
      <c r="CU2643" s="4" t="s">
        <v>262</v>
      </c>
      <c r="CV2643" s="4" t="s">
        <v>263</v>
      </c>
      <c r="CW2643" s="4" t="s">
        <v>263</v>
      </c>
      <c r="CX2643" s="4" t="s">
        <v>264</v>
      </c>
      <c r="DA2643" s="6">
        <f>1</f>
        <v>1</v>
      </c>
      <c r="DC2643" s="4" t="s">
        <v>325</v>
      </c>
      <c r="DD2643" s="4" t="s">
        <v>241</v>
      </c>
      <c r="DF2643" s="4" t="s">
        <v>325</v>
      </c>
      <c r="DG2643" s="6">
        <f>459</f>
        <v>459</v>
      </c>
      <c r="DI2643" s="4" t="s">
        <v>241</v>
      </c>
      <c r="DJ2643" s="4" t="s">
        <v>241</v>
      </c>
      <c r="DK2643" s="4" t="s">
        <v>241</v>
      </c>
      <c r="DL2643" s="4" t="s">
        <v>241</v>
      </c>
      <c r="DP2643" s="4" t="s">
        <v>241</v>
      </c>
      <c r="DQ2643" s="4" t="s">
        <v>241</v>
      </c>
      <c r="DR2643" s="4" t="s">
        <v>241</v>
      </c>
      <c r="DS2643" s="4" t="s">
        <v>241</v>
      </c>
      <c r="DV2643" s="4" t="s">
        <v>426</v>
      </c>
      <c r="DW2643" s="4" t="s">
        <v>2573</v>
      </c>
      <c r="HO2643" s="4" t="s">
        <v>267</v>
      </c>
    </row>
    <row r="2644" spans="1:223" ht="19.5" customHeight="1" x14ac:dyDescent="0.4">
      <c r="A2644" s="4">
        <v>1</v>
      </c>
      <c r="B2644" s="4" t="s">
        <v>239</v>
      </c>
      <c r="C2644" s="4">
        <v>4347</v>
      </c>
      <c r="D2644" s="4">
        <v>1</v>
      </c>
      <c r="E2644" s="4">
        <v>1</v>
      </c>
      <c r="F2644" s="4" t="s">
        <v>268</v>
      </c>
      <c r="G2644" s="4" t="s">
        <v>241</v>
      </c>
      <c r="H2644" s="4" t="s">
        <v>241</v>
      </c>
      <c r="I2644" s="4" t="s">
        <v>424</v>
      </c>
      <c r="J2644" s="4" t="s">
        <v>274</v>
      </c>
      <c r="K2644" s="4" t="s">
        <v>251</v>
      </c>
      <c r="L2644" s="4" t="s">
        <v>423</v>
      </c>
      <c r="M2644" s="5" t="s">
        <v>494</v>
      </c>
      <c r="N2644" s="6">
        <f>178</f>
        <v>178</v>
      </c>
      <c r="O2644" s="4" t="s">
        <v>265</v>
      </c>
      <c r="P2644" s="6">
        <f>1</f>
        <v>1</v>
      </c>
      <c r="Q2644" s="6">
        <f>0</f>
        <v>0</v>
      </c>
      <c r="S2644" s="6">
        <f>0</f>
        <v>0</v>
      </c>
      <c r="T2644" s="6">
        <f>1</f>
        <v>1</v>
      </c>
      <c r="U2644" s="5" t="s">
        <v>245</v>
      </c>
      <c r="V2644" s="4" t="s">
        <v>270</v>
      </c>
      <c r="W2644" s="4" t="s">
        <v>271</v>
      </c>
      <c r="X2644" s="4" t="s">
        <v>273</v>
      </c>
      <c r="Y2644" s="4" t="s">
        <v>241</v>
      </c>
      <c r="AB2644" s="4" t="s">
        <v>241</v>
      </c>
      <c r="AD2644" s="5" t="s">
        <v>241</v>
      </c>
      <c r="AG2644" s="5" t="s">
        <v>246</v>
      </c>
      <c r="AH2644" s="4" t="s">
        <v>241</v>
      </c>
      <c r="AI2644" s="4" t="s">
        <v>247</v>
      </c>
      <c r="AJ2644" s="4" t="s">
        <v>248</v>
      </c>
      <c r="AZ2644" s="4" t="s">
        <v>249</v>
      </c>
      <c r="BA2644" s="4" t="s">
        <v>241</v>
      </c>
      <c r="BB2644" s="4" t="s">
        <v>250</v>
      </c>
      <c r="BC2644" s="4" t="s">
        <v>241</v>
      </c>
      <c r="BD2644" s="4" t="s">
        <v>252</v>
      </c>
      <c r="BE2644" s="4" t="s">
        <v>241</v>
      </c>
      <c r="BI2644" s="4" t="s">
        <v>253</v>
      </c>
      <c r="BJ2644" s="5" t="s">
        <v>246</v>
      </c>
      <c r="BK2644" s="4" t="s">
        <v>254</v>
      </c>
      <c r="BL2644" s="4" t="s">
        <v>255</v>
      </c>
      <c r="BM2644" s="4" t="s">
        <v>241</v>
      </c>
      <c r="BN2644" s="6">
        <f>0</f>
        <v>0</v>
      </c>
      <c r="BO2644" s="6">
        <f>0</f>
        <v>0</v>
      </c>
      <c r="BP2644" s="4" t="s">
        <v>256</v>
      </c>
      <c r="BQ2644" s="4" t="s">
        <v>257</v>
      </c>
      <c r="CE2644" s="4" t="s">
        <v>241</v>
      </c>
      <c r="CF2644" s="4" t="s">
        <v>241</v>
      </c>
      <c r="CJ2644" s="4" t="s">
        <v>276</v>
      </c>
      <c r="CK2644" s="4" t="s">
        <v>259</v>
      </c>
      <c r="CL2644" s="4" t="s">
        <v>241</v>
      </c>
      <c r="CO2644" s="5" t="s">
        <v>260</v>
      </c>
      <c r="CP2644" s="4" t="s">
        <v>241</v>
      </c>
      <c r="CQ2644" s="4" t="s">
        <v>261</v>
      </c>
      <c r="CR2644" s="4" t="s">
        <v>241</v>
      </c>
      <c r="CS2644" s="4" t="s">
        <v>241</v>
      </c>
      <c r="CT2644" s="4">
        <v>0</v>
      </c>
      <c r="CU2644" s="4" t="s">
        <v>262</v>
      </c>
      <c r="CV2644" s="4" t="s">
        <v>263</v>
      </c>
      <c r="CW2644" s="4" t="s">
        <v>263</v>
      </c>
      <c r="CX2644" s="4" t="s">
        <v>264</v>
      </c>
      <c r="DA2644" s="6">
        <f>1</f>
        <v>1</v>
      </c>
      <c r="DC2644" s="4" t="s">
        <v>325</v>
      </c>
      <c r="DD2644" s="4" t="s">
        <v>241</v>
      </c>
      <c r="DF2644" s="4" t="s">
        <v>325</v>
      </c>
      <c r="DG2644" s="6">
        <f>178</f>
        <v>178</v>
      </c>
      <c r="DI2644" s="4" t="s">
        <v>241</v>
      </c>
      <c r="DJ2644" s="4" t="s">
        <v>241</v>
      </c>
      <c r="DK2644" s="4" t="s">
        <v>241</v>
      </c>
      <c r="DL2644" s="4" t="s">
        <v>241</v>
      </c>
      <c r="DP2644" s="4" t="s">
        <v>241</v>
      </c>
      <c r="DQ2644" s="4" t="s">
        <v>241</v>
      </c>
      <c r="DR2644" s="4" t="s">
        <v>241</v>
      </c>
      <c r="DS2644" s="4" t="s">
        <v>241</v>
      </c>
      <c r="DV2644" s="4" t="s">
        <v>426</v>
      </c>
      <c r="DW2644" s="4" t="s">
        <v>495</v>
      </c>
      <c r="HO2644" s="4" t="s">
        <v>267</v>
      </c>
    </row>
    <row r="2645" spans="1:223" ht="19.5" customHeight="1" x14ac:dyDescent="0.4">
      <c r="A2645" s="4">
        <v>1</v>
      </c>
      <c r="B2645" s="4" t="s">
        <v>239</v>
      </c>
      <c r="C2645" s="4">
        <v>4348</v>
      </c>
      <c r="D2645" s="4">
        <v>1</v>
      </c>
      <c r="E2645" s="4">
        <v>1</v>
      </c>
      <c r="F2645" s="4" t="s">
        <v>268</v>
      </c>
      <c r="G2645" s="4" t="s">
        <v>241</v>
      </c>
      <c r="H2645" s="4" t="s">
        <v>241</v>
      </c>
      <c r="I2645" s="4" t="s">
        <v>424</v>
      </c>
      <c r="J2645" s="4" t="s">
        <v>274</v>
      </c>
      <c r="K2645" s="4" t="s">
        <v>251</v>
      </c>
      <c r="L2645" s="4" t="s">
        <v>423</v>
      </c>
      <c r="M2645" s="5" t="s">
        <v>502</v>
      </c>
      <c r="N2645" s="6">
        <f>530</f>
        <v>530</v>
      </c>
      <c r="O2645" s="4" t="s">
        <v>265</v>
      </c>
      <c r="P2645" s="6">
        <f>1</f>
        <v>1</v>
      </c>
      <c r="Q2645" s="6">
        <f>0</f>
        <v>0</v>
      </c>
      <c r="S2645" s="6">
        <f>0</f>
        <v>0</v>
      </c>
      <c r="T2645" s="6">
        <f>1</f>
        <v>1</v>
      </c>
      <c r="U2645" s="5" t="s">
        <v>245</v>
      </c>
      <c r="V2645" s="4" t="s">
        <v>270</v>
      </c>
      <c r="W2645" s="4" t="s">
        <v>271</v>
      </c>
      <c r="X2645" s="4" t="s">
        <v>273</v>
      </c>
      <c r="Y2645" s="4" t="s">
        <v>241</v>
      </c>
      <c r="AB2645" s="4" t="s">
        <v>241</v>
      </c>
      <c r="AD2645" s="5" t="s">
        <v>241</v>
      </c>
      <c r="AG2645" s="5" t="s">
        <v>246</v>
      </c>
      <c r="AH2645" s="4" t="s">
        <v>241</v>
      </c>
      <c r="AI2645" s="4" t="s">
        <v>247</v>
      </c>
      <c r="AJ2645" s="4" t="s">
        <v>248</v>
      </c>
      <c r="AZ2645" s="4" t="s">
        <v>249</v>
      </c>
      <c r="BA2645" s="4" t="s">
        <v>241</v>
      </c>
      <c r="BB2645" s="4" t="s">
        <v>250</v>
      </c>
      <c r="BC2645" s="4" t="s">
        <v>241</v>
      </c>
      <c r="BD2645" s="4" t="s">
        <v>252</v>
      </c>
      <c r="BE2645" s="4" t="s">
        <v>241</v>
      </c>
      <c r="BI2645" s="4" t="s">
        <v>253</v>
      </c>
      <c r="BJ2645" s="5" t="s">
        <v>246</v>
      </c>
      <c r="BK2645" s="4" t="s">
        <v>254</v>
      </c>
      <c r="BL2645" s="4" t="s">
        <v>255</v>
      </c>
      <c r="BM2645" s="4" t="s">
        <v>241</v>
      </c>
      <c r="BN2645" s="6">
        <f>0</f>
        <v>0</v>
      </c>
      <c r="BO2645" s="6">
        <f>0</f>
        <v>0</v>
      </c>
      <c r="BP2645" s="4" t="s">
        <v>256</v>
      </c>
      <c r="BQ2645" s="4" t="s">
        <v>257</v>
      </c>
      <c r="CE2645" s="4" t="s">
        <v>241</v>
      </c>
      <c r="CF2645" s="4" t="s">
        <v>241</v>
      </c>
      <c r="CJ2645" s="4" t="s">
        <v>276</v>
      </c>
      <c r="CK2645" s="4" t="s">
        <v>259</v>
      </c>
      <c r="CL2645" s="4" t="s">
        <v>241</v>
      </c>
      <c r="CO2645" s="5" t="s">
        <v>260</v>
      </c>
      <c r="CP2645" s="4" t="s">
        <v>241</v>
      </c>
      <c r="CQ2645" s="4" t="s">
        <v>261</v>
      </c>
      <c r="CR2645" s="4" t="s">
        <v>241</v>
      </c>
      <c r="CS2645" s="4" t="s">
        <v>241</v>
      </c>
      <c r="CT2645" s="4">
        <v>0</v>
      </c>
      <c r="CU2645" s="4" t="s">
        <v>262</v>
      </c>
      <c r="CV2645" s="4" t="s">
        <v>263</v>
      </c>
      <c r="CW2645" s="4" t="s">
        <v>263</v>
      </c>
      <c r="CX2645" s="4" t="s">
        <v>264</v>
      </c>
      <c r="DA2645" s="6">
        <f>1</f>
        <v>1</v>
      </c>
      <c r="DC2645" s="4" t="s">
        <v>325</v>
      </c>
      <c r="DD2645" s="4" t="s">
        <v>241</v>
      </c>
      <c r="DF2645" s="4" t="s">
        <v>325</v>
      </c>
      <c r="DG2645" s="6">
        <f>530</f>
        <v>530</v>
      </c>
      <c r="DI2645" s="4" t="s">
        <v>241</v>
      </c>
      <c r="DJ2645" s="4" t="s">
        <v>241</v>
      </c>
      <c r="DK2645" s="4" t="s">
        <v>241</v>
      </c>
      <c r="DL2645" s="4" t="s">
        <v>241</v>
      </c>
      <c r="DP2645" s="4" t="s">
        <v>241</v>
      </c>
      <c r="DQ2645" s="4" t="s">
        <v>241</v>
      </c>
      <c r="DR2645" s="4" t="s">
        <v>241</v>
      </c>
      <c r="DS2645" s="4" t="s">
        <v>241</v>
      </c>
      <c r="DV2645" s="4" t="s">
        <v>426</v>
      </c>
      <c r="DW2645" s="4" t="s">
        <v>503</v>
      </c>
      <c r="HO2645" s="4" t="s">
        <v>267</v>
      </c>
    </row>
    <row r="2646" spans="1:223" ht="19.5" customHeight="1" x14ac:dyDescent="0.4">
      <c r="A2646" s="4">
        <v>1</v>
      </c>
      <c r="B2646" s="4" t="s">
        <v>239</v>
      </c>
      <c r="C2646" s="4">
        <v>4349</v>
      </c>
      <c r="D2646" s="4">
        <v>1</v>
      </c>
      <c r="E2646" s="4">
        <v>1</v>
      </c>
      <c r="F2646" s="4" t="s">
        <v>268</v>
      </c>
      <c r="G2646" s="4" t="s">
        <v>241</v>
      </c>
      <c r="H2646" s="4" t="s">
        <v>241</v>
      </c>
      <c r="I2646" s="4" t="s">
        <v>424</v>
      </c>
      <c r="J2646" s="4" t="s">
        <v>274</v>
      </c>
      <c r="K2646" s="4" t="s">
        <v>251</v>
      </c>
      <c r="L2646" s="4" t="s">
        <v>423</v>
      </c>
      <c r="M2646" s="5" t="s">
        <v>506</v>
      </c>
      <c r="N2646" s="6">
        <f>43</f>
        <v>43</v>
      </c>
      <c r="O2646" s="4" t="s">
        <v>265</v>
      </c>
      <c r="P2646" s="6">
        <f>1</f>
        <v>1</v>
      </c>
      <c r="Q2646" s="6">
        <f>0</f>
        <v>0</v>
      </c>
      <c r="S2646" s="6">
        <f>0</f>
        <v>0</v>
      </c>
      <c r="T2646" s="6">
        <f>1</f>
        <v>1</v>
      </c>
      <c r="U2646" s="5" t="s">
        <v>245</v>
      </c>
      <c r="V2646" s="4" t="s">
        <v>270</v>
      </c>
      <c r="W2646" s="4" t="s">
        <v>271</v>
      </c>
      <c r="X2646" s="4" t="s">
        <v>273</v>
      </c>
      <c r="Y2646" s="4" t="s">
        <v>241</v>
      </c>
      <c r="AB2646" s="4" t="s">
        <v>241</v>
      </c>
      <c r="AD2646" s="5" t="s">
        <v>241</v>
      </c>
      <c r="AG2646" s="5" t="s">
        <v>246</v>
      </c>
      <c r="AH2646" s="4" t="s">
        <v>241</v>
      </c>
      <c r="AI2646" s="4" t="s">
        <v>247</v>
      </c>
      <c r="AJ2646" s="4" t="s">
        <v>248</v>
      </c>
      <c r="AZ2646" s="4" t="s">
        <v>249</v>
      </c>
      <c r="BA2646" s="4" t="s">
        <v>241</v>
      </c>
      <c r="BB2646" s="4" t="s">
        <v>250</v>
      </c>
      <c r="BC2646" s="4" t="s">
        <v>241</v>
      </c>
      <c r="BD2646" s="4" t="s">
        <v>252</v>
      </c>
      <c r="BE2646" s="4" t="s">
        <v>241</v>
      </c>
      <c r="BI2646" s="4" t="s">
        <v>253</v>
      </c>
      <c r="BJ2646" s="5" t="s">
        <v>246</v>
      </c>
      <c r="BK2646" s="4" t="s">
        <v>254</v>
      </c>
      <c r="BL2646" s="4" t="s">
        <v>255</v>
      </c>
      <c r="BM2646" s="4" t="s">
        <v>241</v>
      </c>
      <c r="BN2646" s="6">
        <f>0</f>
        <v>0</v>
      </c>
      <c r="BO2646" s="6">
        <f>0</f>
        <v>0</v>
      </c>
      <c r="BP2646" s="4" t="s">
        <v>256</v>
      </c>
      <c r="BQ2646" s="4" t="s">
        <v>257</v>
      </c>
      <c r="CE2646" s="4" t="s">
        <v>241</v>
      </c>
      <c r="CF2646" s="4" t="s">
        <v>241</v>
      </c>
      <c r="CJ2646" s="4" t="s">
        <v>276</v>
      </c>
      <c r="CK2646" s="4" t="s">
        <v>259</v>
      </c>
      <c r="CL2646" s="4" t="s">
        <v>241</v>
      </c>
      <c r="CO2646" s="5" t="s">
        <v>260</v>
      </c>
      <c r="CP2646" s="4" t="s">
        <v>241</v>
      </c>
      <c r="CQ2646" s="4" t="s">
        <v>261</v>
      </c>
      <c r="CR2646" s="4" t="s">
        <v>241</v>
      </c>
      <c r="CS2646" s="4" t="s">
        <v>241</v>
      </c>
      <c r="CT2646" s="4">
        <v>0</v>
      </c>
      <c r="CU2646" s="4" t="s">
        <v>262</v>
      </c>
      <c r="CV2646" s="4" t="s">
        <v>263</v>
      </c>
      <c r="CW2646" s="4" t="s">
        <v>263</v>
      </c>
      <c r="CX2646" s="4" t="s">
        <v>264</v>
      </c>
      <c r="DA2646" s="6">
        <f>1</f>
        <v>1</v>
      </c>
      <c r="DC2646" s="4" t="s">
        <v>325</v>
      </c>
      <c r="DD2646" s="4" t="s">
        <v>241</v>
      </c>
      <c r="DF2646" s="4" t="s">
        <v>325</v>
      </c>
      <c r="DG2646" s="6">
        <f>43</f>
        <v>43</v>
      </c>
      <c r="DI2646" s="4" t="s">
        <v>241</v>
      </c>
      <c r="DJ2646" s="4" t="s">
        <v>241</v>
      </c>
      <c r="DK2646" s="4" t="s">
        <v>241</v>
      </c>
      <c r="DL2646" s="4" t="s">
        <v>241</v>
      </c>
      <c r="DP2646" s="4" t="s">
        <v>241</v>
      </c>
      <c r="DQ2646" s="4" t="s">
        <v>241</v>
      </c>
      <c r="DR2646" s="4" t="s">
        <v>241</v>
      </c>
      <c r="DS2646" s="4" t="s">
        <v>241</v>
      </c>
      <c r="DV2646" s="4" t="s">
        <v>426</v>
      </c>
      <c r="DW2646" s="4" t="s">
        <v>507</v>
      </c>
      <c r="HO2646" s="4" t="s">
        <v>267</v>
      </c>
    </row>
    <row r="2647" spans="1:223" ht="19.5" customHeight="1" x14ac:dyDescent="0.4">
      <c r="A2647" s="4">
        <v>1</v>
      </c>
      <c r="B2647" s="4" t="s">
        <v>239</v>
      </c>
      <c r="C2647" s="4">
        <v>4350</v>
      </c>
      <c r="D2647" s="4">
        <v>1</v>
      </c>
      <c r="E2647" s="4">
        <v>1</v>
      </c>
      <c r="F2647" s="4" t="s">
        <v>268</v>
      </c>
      <c r="G2647" s="4" t="s">
        <v>241</v>
      </c>
      <c r="H2647" s="4" t="s">
        <v>241</v>
      </c>
      <c r="I2647" s="4" t="s">
        <v>424</v>
      </c>
      <c r="J2647" s="4" t="s">
        <v>274</v>
      </c>
      <c r="K2647" s="4" t="s">
        <v>251</v>
      </c>
      <c r="L2647" s="4" t="s">
        <v>423</v>
      </c>
      <c r="M2647" s="5" t="s">
        <v>516</v>
      </c>
      <c r="N2647" s="6">
        <f>328</f>
        <v>328</v>
      </c>
      <c r="O2647" s="4" t="s">
        <v>265</v>
      </c>
      <c r="P2647" s="6">
        <f>1</f>
        <v>1</v>
      </c>
      <c r="Q2647" s="6">
        <f>0</f>
        <v>0</v>
      </c>
      <c r="S2647" s="6">
        <f>0</f>
        <v>0</v>
      </c>
      <c r="T2647" s="6">
        <f>1</f>
        <v>1</v>
      </c>
      <c r="U2647" s="5" t="s">
        <v>245</v>
      </c>
      <c r="V2647" s="4" t="s">
        <v>270</v>
      </c>
      <c r="W2647" s="4" t="s">
        <v>271</v>
      </c>
      <c r="X2647" s="4" t="s">
        <v>273</v>
      </c>
      <c r="Y2647" s="4" t="s">
        <v>241</v>
      </c>
      <c r="AB2647" s="4" t="s">
        <v>241</v>
      </c>
      <c r="AD2647" s="5" t="s">
        <v>241</v>
      </c>
      <c r="AG2647" s="5" t="s">
        <v>246</v>
      </c>
      <c r="AH2647" s="4" t="s">
        <v>241</v>
      </c>
      <c r="AI2647" s="4" t="s">
        <v>247</v>
      </c>
      <c r="AJ2647" s="4" t="s">
        <v>248</v>
      </c>
      <c r="AZ2647" s="4" t="s">
        <v>249</v>
      </c>
      <c r="BA2647" s="4" t="s">
        <v>241</v>
      </c>
      <c r="BB2647" s="4" t="s">
        <v>250</v>
      </c>
      <c r="BC2647" s="4" t="s">
        <v>241</v>
      </c>
      <c r="BD2647" s="4" t="s">
        <v>252</v>
      </c>
      <c r="BE2647" s="4" t="s">
        <v>241</v>
      </c>
      <c r="BI2647" s="4" t="s">
        <v>253</v>
      </c>
      <c r="BJ2647" s="5" t="s">
        <v>246</v>
      </c>
      <c r="BK2647" s="4" t="s">
        <v>254</v>
      </c>
      <c r="BL2647" s="4" t="s">
        <v>255</v>
      </c>
      <c r="BM2647" s="4" t="s">
        <v>241</v>
      </c>
      <c r="BN2647" s="6">
        <f>0</f>
        <v>0</v>
      </c>
      <c r="BO2647" s="6">
        <f>0</f>
        <v>0</v>
      </c>
      <c r="BP2647" s="4" t="s">
        <v>256</v>
      </c>
      <c r="BQ2647" s="4" t="s">
        <v>257</v>
      </c>
      <c r="CE2647" s="4" t="s">
        <v>241</v>
      </c>
      <c r="CF2647" s="4" t="s">
        <v>241</v>
      </c>
      <c r="CJ2647" s="4" t="s">
        <v>276</v>
      </c>
      <c r="CK2647" s="4" t="s">
        <v>259</v>
      </c>
      <c r="CL2647" s="4" t="s">
        <v>241</v>
      </c>
      <c r="CO2647" s="5" t="s">
        <v>260</v>
      </c>
      <c r="CP2647" s="4" t="s">
        <v>241</v>
      </c>
      <c r="CQ2647" s="4" t="s">
        <v>261</v>
      </c>
      <c r="CR2647" s="4" t="s">
        <v>241</v>
      </c>
      <c r="CS2647" s="4" t="s">
        <v>241</v>
      </c>
      <c r="CT2647" s="4">
        <v>0</v>
      </c>
      <c r="CU2647" s="4" t="s">
        <v>262</v>
      </c>
      <c r="CV2647" s="4" t="s">
        <v>263</v>
      </c>
      <c r="CW2647" s="4" t="s">
        <v>263</v>
      </c>
      <c r="CX2647" s="4" t="s">
        <v>264</v>
      </c>
      <c r="DA2647" s="6">
        <f>1</f>
        <v>1</v>
      </c>
      <c r="DC2647" s="4" t="s">
        <v>325</v>
      </c>
      <c r="DD2647" s="4" t="s">
        <v>241</v>
      </c>
      <c r="DF2647" s="4" t="s">
        <v>325</v>
      </c>
      <c r="DG2647" s="6">
        <f>328</f>
        <v>328</v>
      </c>
      <c r="DI2647" s="4" t="s">
        <v>241</v>
      </c>
      <c r="DJ2647" s="4" t="s">
        <v>241</v>
      </c>
      <c r="DK2647" s="4" t="s">
        <v>241</v>
      </c>
      <c r="DL2647" s="4" t="s">
        <v>241</v>
      </c>
      <c r="DP2647" s="4" t="s">
        <v>241</v>
      </c>
      <c r="DQ2647" s="4" t="s">
        <v>241</v>
      </c>
      <c r="DR2647" s="4" t="s">
        <v>241</v>
      </c>
      <c r="DS2647" s="4" t="s">
        <v>241</v>
      </c>
      <c r="DV2647" s="4" t="s">
        <v>426</v>
      </c>
      <c r="DW2647" s="4" t="s">
        <v>517</v>
      </c>
      <c r="HO2647" s="4" t="s">
        <v>267</v>
      </c>
    </row>
    <row r="2648" spans="1:223" ht="19.5" customHeight="1" x14ac:dyDescent="0.4">
      <c r="A2648" s="4">
        <v>1</v>
      </c>
      <c r="B2648" s="4" t="s">
        <v>239</v>
      </c>
      <c r="C2648" s="4">
        <v>4351</v>
      </c>
      <c r="D2648" s="4">
        <v>1</v>
      </c>
      <c r="E2648" s="4">
        <v>1</v>
      </c>
      <c r="F2648" s="4" t="s">
        <v>268</v>
      </c>
      <c r="G2648" s="4" t="s">
        <v>241</v>
      </c>
      <c r="H2648" s="4" t="s">
        <v>241</v>
      </c>
      <c r="I2648" s="4" t="s">
        <v>424</v>
      </c>
      <c r="J2648" s="4" t="s">
        <v>274</v>
      </c>
      <c r="K2648" s="4" t="s">
        <v>251</v>
      </c>
      <c r="L2648" s="4" t="s">
        <v>423</v>
      </c>
      <c r="M2648" s="5" t="s">
        <v>522</v>
      </c>
      <c r="N2648" s="6">
        <f>48</f>
        <v>48</v>
      </c>
      <c r="O2648" s="4" t="s">
        <v>265</v>
      </c>
      <c r="P2648" s="6">
        <f>1</f>
        <v>1</v>
      </c>
      <c r="Q2648" s="6">
        <f>0</f>
        <v>0</v>
      </c>
      <c r="S2648" s="6">
        <f>0</f>
        <v>0</v>
      </c>
      <c r="T2648" s="6">
        <f>1</f>
        <v>1</v>
      </c>
      <c r="U2648" s="5" t="s">
        <v>245</v>
      </c>
      <c r="V2648" s="4" t="s">
        <v>270</v>
      </c>
      <c r="W2648" s="4" t="s">
        <v>271</v>
      </c>
      <c r="X2648" s="4" t="s">
        <v>273</v>
      </c>
      <c r="Y2648" s="4" t="s">
        <v>241</v>
      </c>
      <c r="AB2648" s="4" t="s">
        <v>241</v>
      </c>
      <c r="AD2648" s="5" t="s">
        <v>241</v>
      </c>
      <c r="AG2648" s="5" t="s">
        <v>246</v>
      </c>
      <c r="AH2648" s="4" t="s">
        <v>241</v>
      </c>
      <c r="AI2648" s="4" t="s">
        <v>247</v>
      </c>
      <c r="AJ2648" s="4" t="s">
        <v>248</v>
      </c>
      <c r="AZ2648" s="4" t="s">
        <v>249</v>
      </c>
      <c r="BA2648" s="4" t="s">
        <v>241</v>
      </c>
      <c r="BB2648" s="4" t="s">
        <v>250</v>
      </c>
      <c r="BC2648" s="4" t="s">
        <v>241</v>
      </c>
      <c r="BD2648" s="4" t="s">
        <v>252</v>
      </c>
      <c r="BE2648" s="4" t="s">
        <v>241</v>
      </c>
      <c r="BI2648" s="4" t="s">
        <v>253</v>
      </c>
      <c r="BJ2648" s="5" t="s">
        <v>246</v>
      </c>
      <c r="BK2648" s="4" t="s">
        <v>254</v>
      </c>
      <c r="BL2648" s="4" t="s">
        <v>255</v>
      </c>
      <c r="BM2648" s="4" t="s">
        <v>241</v>
      </c>
      <c r="BN2648" s="6">
        <f>0</f>
        <v>0</v>
      </c>
      <c r="BO2648" s="6">
        <f>0</f>
        <v>0</v>
      </c>
      <c r="BP2648" s="4" t="s">
        <v>256</v>
      </c>
      <c r="BQ2648" s="4" t="s">
        <v>257</v>
      </c>
      <c r="CE2648" s="4" t="s">
        <v>241</v>
      </c>
      <c r="CF2648" s="4" t="s">
        <v>241</v>
      </c>
      <c r="CJ2648" s="4" t="s">
        <v>276</v>
      </c>
      <c r="CK2648" s="4" t="s">
        <v>259</v>
      </c>
      <c r="CL2648" s="4" t="s">
        <v>241</v>
      </c>
      <c r="CO2648" s="5" t="s">
        <v>260</v>
      </c>
      <c r="CP2648" s="4" t="s">
        <v>241</v>
      </c>
      <c r="CQ2648" s="4" t="s">
        <v>261</v>
      </c>
      <c r="CR2648" s="4" t="s">
        <v>241</v>
      </c>
      <c r="CS2648" s="4" t="s">
        <v>241</v>
      </c>
      <c r="CT2648" s="4">
        <v>0</v>
      </c>
      <c r="CU2648" s="4" t="s">
        <v>262</v>
      </c>
      <c r="CV2648" s="4" t="s">
        <v>263</v>
      </c>
      <c r="CW2648" s="4" t="s">
        <v>263</v>
      </c>
      <c r="CX2648" s="4" t="s">
        <v>264</v>
      </c>
      <c r="DA2648" s="6">
        <f>1</f>
        <v>1</v>
      </c>
      <c r="DC2648" s="4" t="s">
        <v>325</v>
      </c>
      <c r="DD2648" s="4" t="s">
        <v>241</v>
      </c>
      <c r="DF2648" s="4" t="s">
        <v>325</v>
      </c>
      <c r="DG2648" s="6">
        <f>48</f>
        <v>48</v>
      </c>
      <c r="DI2648" s="4" t="s">
        <v>241</v>
      </c>
      <c r="DJ2648" s="4" t="s">
        <v>241</v>
      </c>
      <c r="DK2648" s="4" t="s">
        <v>241</v>
      </c>
      <c r="DL2648" s="4" t="s">
        <v>241</v>
      </c>
      <c r="DP2648" s="4" t="s">
        <v>241</v>
      </c>
      <c r="DQ2648" s="4" t="s">
        <v>241</v>
      </c>
      <c r="DR2648" s="4" t="s">
        <v>241</v>
      </c>
      <c r="DS2648" s="4" t="s">
        <v>241</v>
      </c>
      <c r="DV2648" s="4" t="s">
        <v>426</v>
      </c>
      <c r="DW2648" s="4" t="s">
        <v>523</v>
      </c>
      <c r="HO2648" s="4" t="s">
        <v>267</v>
      </c>
    </row>
    <row r="2649" spans="1:223" ht="19.5" customHeight="1" x14ac:dyDescent="0.4">
      <c r="A2649" s="4">
        <v>1</v>
      </c>
      <c r="B2649" s="4" t="s">
        <v>239</v>
      </c>
      <c r="C2649" s="4">
        <v>4352</v>
      </c>
      <c r="D2649" s="4">
        <v>1</v>
      </c>
      <c r="E2649" s="4">
        <v>1</v>
      </c>
      <c r="F2649" s="4" t="s">
        <v>268</v>
      </c>
      <c r="G2649" s="4" t="s">
        <v>241</v>
      </c>
      <c r="H2649" s="4" t="s">
        <v>241</v>
      </c>
      <c r="I2649" s="4" t="s">
        <v>424</v>
      </c>
      <c r="J2649" s="4" t="s">
        <v>274</v>
      </c>
      <c r="K2649" s="4" t="s">
        <v>251</v>
      </c>
      <c r="L2649" s="4" t="s">
        <v>423</v>
      </c>
      <c r="M2649" s="5" t="s">
        <v>532</v>
      </c>
      <c r="N2649" s="6">
        <f>623</f>
        <v>623</v>
      </c>
      <c r="O2649" s="4" t="s">
        <v>265</v>
      </c>
      <c r="P2649" s="6">
        <f>1</f>
        <v>1</v>
      </c>
      <c r="Q2649" s="6">
        <f>0</f>
        <v>0</v>
      </c>
      <c r="S2649" s="6">
        <f>0</f>
        <v>0</v>
      </c>
      <c r="T2649" s="6">
        <f>1</f>
        <v>1</v>
      </c>
      <c r="U2649" s="5" t="s">
        <v>245</v>
      </c>
      <c r="V2649" s="4" t="s">
        <v>270</v>
      </c>
      <c r="W2649" s="4" t="s">
        <v>271</v>
      </c>
      <c r="X2649" s="4" t="s">
        <v>273</v>
      </c>
      <c r="Y2649" s="4" t="s">
        <v>241</v>
      </c>
      <c r="AB2649" s="4" t="s">
        <v>241</v>
      </c>
      <c r="AD2649" s="5" t="s">
        <v>241</v>
      </c>
      <c r="AG2649" s="5" t="s">
        <v>246</v>
      </c>
      <c r="AH2649" s="4" t="s">
        <v>241</v>
      </c>
      <c r="AI2649" s="4" t="s">
        <v>247</v>
      </c>
      <c r="AJ2649" s="4" t="s">
        <v>248</v>
      </c>
      <c r="AZ2649" s="4" t="s">
        <v>249</v>
      </c>
      <c r="BA2649" s="4" t="s">
        <v>241</v>
      </c>
      <c r="BB2649" s="4" t="s">
        <v>250</v>
      </c>
      <c r="BC2649" s="4" t="s">
        <v>241</v>
      </c>
      <c r="BD2649" s="4" t="s">
        <v>252</v>
      </c>
      <c r="BE2649" s="4" t="s">
        <v>241</v>
      </c>
      <c r="BI2649" s="4" t="s">
        <v>253</v>
      </c>
      <c r="BJ2649" s="5" t="s">
        <v>246</v>
      </c>
      <c r="BK2649" s="4" t="s">
        <v>254</v>
      </c>
      <c r="BL2649" s="4" t="s">
        <v>255</v>
      </c>
      <c r="BM2649" s="4" t="s">
        <v>241</v>
      </c>
      <c r="BN2649" s="6">
        <f>0</f>
        <v>0</v>
      </c>
      <c r="BO2649" s="6">
        <f>0</f>
        <v>0</v>
      </c>
      <c r="BP2649" s="4" t="s">
        <v>256</v>
      </c>
      <c r="BQ2649" s="4" t="s">
        <v>257</v>
      </c>
      <c r="CE2649" s="4" t="s">
        <v>241</v>
      </c>
      <c r="CF2649" s="4" t="s">
        <v>241</v>
      </c>
      <c r="CJ2649" s="4" t="s">
        <v>276</v>
      </c>
      <c r="CK2649" s="4" t="s">
        <v>259</v>
      </c>
      <c r="CL2649" s="4" t="s">
        <v>241</v>
      </c>
      <c r="CO2649" s="5" t="s">
        <v>260</v>
      </c>
      <c r="CP2649" s="4" t="s">
        <v>241</v>
      </c>
      <c r="CQ2649" s="4" t="s">
        <v>261</v>
      </c>
      <c r="CR2649" s="4" t="s">
        <v>241</v>
      </c>
      <c r="CS2649" s="4" t="s">
        <v>241</v>
      </c>
      <c r="CT2649" s="4">
        <v>0</v>
      </c>
      <c r="CU2649" s="4" t="s">
        <v>262</v>
      </c>
      <c r="CV2649" s="4" t="s">
        <v>263</v>
      </c>
      <c r="CW2649" s="4" t="s">
        <v>263</v>
      </c>
      <c r="CX2649" s="4" t="s">
        <v>264</v>
      </c>
      <c r="DA2649" s="6">
        <f>1</f>
        <v>1</v>
      </c>
      <c r="DC2649" s="4" t="s">
        <v>325</v>
      </c>
      <c r="DD2649" s="4" t="s">
        <v>241</v>
      </c>
      <c r="DF2649" s="4" t="s">
        <v>325</v>
      </c>
      <c r="DG2649" s="6">
        <f>623</f>
        <v>623</v>
      </c>
      <c r="DI2649" s="4" t="s">
        <v>241</v>
      </c>
      <c r="DJ2649" s="4" t="s">
        <v>241</v>
      </c>
      <c r="DK2649" s="4" t="s">
        <v>241</v>
      </c>
      <c r="DL2649" s="4" t="s">
        <v>241</v>
      </c>
      <c r="DP2649" s="4" t="s">
        <v>241</v>
      </c>
      <c r="DQ2649" s="4" t="s">
        <v>241</v>
      </c>
      <c r="DR2649" s="4" t="s">
        <v>241</v>
      </c>
      <c r="DS2649" s="4" t="s">
        <v>241</v>
      </c>
      <c r="DV2649" s="4" t="s">
        <v>426</v>
      </c>
      <c r="DW2649" s="4" t="s">
        <v>533</v>
      </c>
      <c r="HO2649" s="4" t="s">
        <v>267</v>
      </c>
    </row>
    <row r="2650" spans="1:223" ht="19.5" customHeight="1" x14ac:dyDescent="0.4">
      <c r="A2650" s="4">
        <v>1</v>
      </c>
      <c r="B2650" s="4" t="s">
        <v>239</v>
      </c>
      <c r="C2650" s="4">
        <v>4353</v>
      </c>
      <c r="D2650" s="4">
        <v>1</v>
      </c>
      <c r="E2650" s="4">
        <v>1</v>
      </c>
      <c r="F2650" s="4" t="s">
        <v>268</v>
      </c>
      <c r="G2650" s="4" t="s">
        <v>241</v>
      </c>
      <c r="H2650" s="4" t="s">
        <v>241</v>
      </c>
      <c r="I2650" s="4" t="s">
        <v>424</v>
      </c>
      <c r="J2650" s="4" t="s">
        <v>274</v>
      </c>
      <c r="K2650" s="4" t="s">
        <v>251</v>
      </c>
      <c r="L2650" s="4" t="s">
        <v>423</v>
      </c>
      <c r="M2650" s="5" t="s">
        <v>538</v>
      </c>
      <c r="N2650" s="6">
        <f>43</f>
        <v>43</v>
      </c>
      <c r="O2650" s="4" t="s">
        <v>265</v>
      </c>
      <c r="P2650" s="6">
        <f>1</f>
        <v>1</v>
      </c>
      <c r="Q2650" s="6">
        <f>0</f>
        <v>0</v>
      </c>
      <c r="S2650" s="6">
        <f>0</f>
        <v>0</v>
      </c>
      <c r="T2650" s="6">
        <f>1</f>
        <v>1</v>
      </c>
      <c r="U2650" s="5" t="s">
        <v>245</v>
      </c>
      <c r="V2650" s="4" t="s">
        <v>270</v>
      </c>
      <c r="W2650" s="4" t="s">
        <v>271</v>
      </c>
      <c r="X2650" s="4" t="s">
        <v>273</v>
      </c>
      <c r="Y2650" s="4" t="s">
        <v>241</v>
      </c>
      <c r="AB2650" s="4" t="s">
        <v>241</v>
      </c>
      <c r="AD2650" s="5" t="s">
        <v>241</v>
      </c>
      <c r="AG2650" s="5" t="s">
        <v>246</v>
      </c>
      <c r="AH2650" s="4" t="s">
        <v>241</v>
      </c>
      <c r="AI2650" s="4" t="s">
        <v>247</v>
      </c>
      <c r="AJ2650" s="4" t="s">
        <v>248</v>
      </c>
      <c r="AZ2650" s="4" t="s">
        <v>249</v>
      </c>
      <c r="BA2650" s="4" t="s">
        <v>241</v>
      </c>
      <c r="BB2650" s="4" t="s">
        <v>250</v>
      </c>
      <c r="BC2650" s="4" t="s">
        <v>241</v>
      </c>
      <c r="BD2650" s="4" t="s">
        <v>252</v>
      </c>
      <c r="BE2650" s="4" t="s">
        <v>241</v>
      </c>
      <c r="BI2650" s="4" t="s">
        <v>253</v>
      </c>
      <c r="BJ2650" s="5" t="s">
        <v>246</v>
      </c>
      <c r="BK2650" s="4" t="s">
        <v>254</v>
      </c>
      <c r="BL2650" s="4" t="s">
        <v>255</v>
      </c>
      <c r="BM2650" s="4" t="s">
        <v>241</v>
      </c>
      <c r="BN2650" s="6">
        <f>0</f>
        <v>0</v>
      </c>
      <c r="BO2650" s="6">
        <f>0</f>
        <v>0</v>
      </c>
      <c r="BP2650" s="4" t="s">
        <v>256</v>
      </c>
      <c r="BQ2650" s="4" t="s">
        <v>257</v>
      </c>
      <c r="CE2650" s="4" t="s">
        <v>241</v>
      </c>
      <c r="CF2650" s="4" t="s">
        <v>241</v>
      </c>
      <c r="CJ2650" s="4" t="s">
        <v>276</v>
      </c>
      <c r="CK2650" s="4" t="s">
        <v>259</v>
      </c>
      <c r="CL2650" s="4" t="s">
        <v>241</v>
      </c>
      <c r="CO2650" s="5" t="s">
        <v>260</v>
      </c>
      <c r="CP2650" s="4" t="s">
        <v>241</v>
      </c>
      <c r="CQ2650" s="4" t="s">
        <v>261</v>
      </c>
      <c r="CR2650" s="4" t="s">
        <v>241</v>
      </c>
      <c r="CS2650" s="4" t="s">
        <v>241</v>
      </c>
      <c r="CT2650" s="4">
        <v>0</v>
      </c>
      <c r="CU2650" s="4" t="s">
        <v>262</v>
      </c>
      <c r="CV2650" s="4" t="s">
        <v>263</v>
      </c>
      <c r="CW2650" s="4" t="s">
        <v>263</v>
      </c>
      <c r="CX2650" s="4" t="s">
        <v>264</v>
      </c>
      <c r="DA2650" s="6">
        <f>1</f>
        <v>1</v>
      </c>
      <c r="DC2650" s="4" t="s">
        <v>325</v>
      </c>
      <c r="DD2650" s="4" t="s">
        <v>241</v>
      </c>
      <c r="DF2650" s="4" t="s">
        <v>325</v>
      </c>
      <c r="DG2650" s="6">
        <f>43</f>
        <v>43</v>
      </c>
      <c r="DI2650" s="4" t="s">
        <v>241</v>
      </c>
      <c r="DJ2650" s="4" t="s">
        <v>241</v>
      </c>
      <c r="DK2650" s="4" t="s">
        <v>241</v>
      </c>
      <c r="DL2650" s="4" t="s">
        <v>241</v>
      </c>
      <c r="DP2650" s="4" t="s">
        <v>241</v>
      </c>
      <c r="DQ2650" s="4" t="s">
        <v>241</v>
      </c>
      <c r="DR2650" s="4" t="s">
        <v>241</v>
      </c>
      <c r="DS2650" s="4" t="s">
        <v>241</v>
      </c>
      <c r="DV2650" s="4" t="s">
        <v>426</v>
      </c>
      <c r="DW2650" s="4" t="s">
        <v>539</v>
      </c>
      <c r="HO2650" s="4" t="s">
        <v>267</v>
      </c>
    </row>
    <row r="2651" spans="1:223" ht="19.5" customHeight="1" x14ac:dyDescent="0.4">
      <c r="A2651" s="4">
        <v>1</v>
      </c>
      <c r="B2651" s="4" t="s">
        <v>239</v>
      </c>
      <c r="C2651" s="4">
        <v>4354</v>
      </c>
      <c r="D2651" s="4">
        <v>1</v>
      </c>
      <c r="E2651" s="4">
        <v>1</v>
      </c>
      <c r="F2651" s="4" t="s">
        <v>268</v>
      </c>
      <c r="G2651" s="4" t="s">
        <v>241</v>
      </c>
      <c r="H2651" s="4" t="s">
        <v>241</v>
      </c>
      <c r="I2651" s="4" t="s">
        <v>424</v>
      </c>
      <c r="J2651" s="4" t="s">
        <v>274</v>
      </c>
      <c r="K2651" s="4" t="s">
        <v>251</v>
      </c>
      <c r="L2651" s="4" t="s">
        <v>423</v>
      </c>
      <c r="M2651" s="5" t="s">
        <v>552</v>
      </c>
      <c r="N2651" s="6">
        <f>615</f>
        <v>615</v>
      </c>
      <c r="O2651" s="4" t="s">
        <v>265</v>
      </c>
      <c r="P2651" s="6">
        <f>1</f>
        <v>1</v>
      </c>
      <c r="Q2651" s="6">
        <f>0</f>
        <v>0</v>
      </c>
      <c r="S2651" s="6">
        <f>0</f>
        <v>0</v>
      </c>
      <c r="T2651" s="6">
        <f>1</f>
        <v>1</v>
      </c>
      <c r="U2651" s="5" t="s">
        <v>245</v>
      </c>
      <c r="V2651" s="4" t="s">
        <v>270</v>
      </c>
      <c r="W2651" s="4" t="s">
        <v>271</v>
      </c>
      <c r="X2651" s="4" t="s">
        <v>273</v>
      </c>
      <c r="Y2651" s="4" t="s">
        <v>241</v>
      </c>
      <c r="AB2651" s="4" t="s">
        <v>241</v>
      </c>
      <c r="AD2651" s="5" t="s">
        <v>241</v>
      </c>
      <c r="AG2651" s="5" t="s">
        <v>246</v>
      </c>
      <c r="AH2651" s="4" t="s">
        <v>241</v>
      </c>
      <c r="AI2651" s="4" t="s">
        <v>247</v>
      </c>
      <c r="AJ2651" s="4" t="s">
        <v>248</v>
      </c>
      <c r="AZ2651" s="4" t="s">
        <v>249</v>
      </c>
      <c r="BA2651" s="4" t="s">
        <v>241</v>
      </c>
      <c r="BB2651" s="4" t="s">
        <v>250</v>
      </c>
      <c r="BC2651" s="4" t="s">
        <v>241</v>
      </c>
      <c r="BD2651" s="4" t="s">
        <v>252</v>
      </c>
      <c r="BE2651" s="4" t="s">
        <v>241</v>
      </c>
      <c r="BI2651" s="4" t="s">
        <v>253</v>
      </c>
      <c r="BJ2651" s="5" t="s">
        <v>246</v>
      </c>
      <c r="BK2651" s="4" t="s">
        <v>254</v>
      </c>
      <c r="BL2651" s="4" t="s">
        <v>255</v>
      </c>
      <c r="BM2651" s="4" t="s">
        <v>241</v>
      </c>
      <c r="BN2651" s="6">
        <f>0</f>
        <v>0</v>
      </c>
      <c r="BO2651" s="6">
        <f>0</f>
        <v>0</v>
      </c>
      <c r="BP2651" s="4" t="s">
        <v>256</v>
      </c>
      <c r="BQ2651" s="4" t="s">
        <v>257</v>
      </c>
      <c r="CE2651" s="4" t="s">
        <v>241</v>
      </c>
      <c r="CF2651" s="4" t="s">
        <v>241</v>
      </c>
      <c r="CJ2651" s="4" t="s">
        <v>276</v>
      </c>
      <c r="CK2651" s="4" t="s">
        <v>259</v>
      </c>
      <c r="CL2651" s="4" t="s">
        <v>241</v>
      </c>
      <c r="CO2651" s="5" t="s">
        <v>260</v>
      </c>
      <c r="CP2651" s="4" t="s">
        <v>241</v>
      </c>
      <c r="CQ2651" s="4" t="s">
        <v>261</v>
      </c>
      <c r="CR2651" s="4" t="s">
        <v>241</v>
      </c>
      <c r="CS2651" s="4" t="s">
        <v>241</v>
      </c>
      <c r="CT2651" s="4">
        <v>0</v>
      </c>
      <c r="CU2651" s="4" t="s">
        <v>262</v>
      </c>
      <c r="CV2651" s="4" t="s">
        <v>263</v>
      </c>
      <c r="CW2651" s="4" t="s">
        <v>263</v>
      </c>
      <c r="CX2651" s="4" t="s">
        <v>264</v>
      </c>
      <c r="DA2651" s="6">
        <f>1</f>
        <v>1</v>
      </c>
      <c r="DC2651" s="4" t="s">
        <v>325</v>
      </c>
      <c r="DD2651" s="4" t="s">
        <v>241</v>
      </c>
      <c r="DF2651" s="4" t="s">
        <v>325</v>
      </c>
      <c r="DG2651" s="6">
        <f>615</f>
        <v>615</v>
      </c>
      <c r="DI2651" s="4" t="s">
        <v>241</v>
      </c>
      <c r="DJ2651" s="4" t="s">
        <v>241</v>
      </c>
      <c r="DK2651" s="4" t="s">
        <v>241</v>
      </c>
      <c r="DL2651" s="4" t="s">
        <v>241</v>
      </c>
      <c r="DP2651" s="4" t="s">
        <v>241</v>
      </c>
      <c r="DQ2651" s="4" t="s">
        <v>241</v>
      </c>
      <c r="DR2651" s="4" t="s">
        <v>241</v>
      </c>
      <c r="DS2651" s="4" t="s">
        <v>241</v>
      </c>
      <c r="DV2651" s="4" t="s">
        <v>426</v>
      </c>
      <c r="DW2651" s="4" t="s">
        <v>553</v>
      </c>
      <c r="HO2651" s="4" t="s">
        <v>267</v>
      </c>
    </row>
    <row r="2652" spans="1:223" ht="19.5" customHeight="1" x14ac:dyDescent="0.4">
      <c r="A2652" s="4">
        <v>1</v>
      </c>
      <c r="B2652" s="4" t="s">
        <v>239</v>
      </c>
      <c r="C2652" s="4">
        <v>4355</v>
      </c>
      <c r="D2652" s="4">
        <v>1</v>
      </c>
      <c r="E2652" s="4">
        <v>1</v>
      </c>
      <c r="F2652" s="4" t="s">
        <v>268</v>
      </c>
      <c r="G2652" s="4" t="s">
        <v>241</v>
      </c>
      <c r="H2652" s="4" t="s">
        <v>241</v>
      </c>
      <c r="I2652" s="4" t="s">
        <v>424</v>
      </c>
      <c r="J2652" s="4" t="s">
        <v>274</v>
      </c>
      <c r="K2652" s="4" t="s">
        <v>251</v>
      </c>
      <c r="L2652" s="4" t="s">
        <v>423</v>
      </c>
      <c r="M2652" s="5" t="s">
        <v>558</v>
      </c>
      <c r="N2652" s="6">
        <f>273</f>
        <v>273</v>
      </c>
      <c r="O2652" s="4" t="s">
        <v>265</v>
      </c>
      <c r="P2652" s="6">
        <f>1</f>
        <v>1</v>
      </c>
      <c r="Q2652" s="6">
        <f>0</f>
        <v>0</v>
      </c>
      <c r="S2652" s="6">
        <f>0</f>
        <v>0</v>
      </c>
      <c r="T2652" s="6">
        <f>1</f>
        <v>1</v>
      </c>
      <c r="U2652" s="5" t="s">
        <v>245</v>
      </c>
      <c r="V2652" s="4" t="s">
        <v>270</v>
      </c>
      <c r="W2652" s="4" t="s">
        <v>271</v>
      </c>
      <c r="X2652" s="4" t="s">
        <v>273</v>
      </c>
      <c r="Y2652" s="4" t="s">
        <v>241</v>
      </c>
      <c r="AB2652" s="4" t="s">
        <v>241</v>
      </c>
      <c r="AD2652" s="5" t="s">
        <v>241</v>
      </c>
      <c r="AG2652" s="5" t="s">
        <v>246</v>
      </c>
      <c r="AH2652" s="4" t="s">
        <v>241</v>
      </c>
      <c r="AI2652" s="4" t="s">
        <v>247</v>
      </c>
      <c r="AJ2652" s="4" t="s">
        <v>248</v>
      </c>
      <c r="AZ2652" s="4" t="s">
        <v>249</v>
      </c>
      <c r="BA2652" s="4" t="s">
        <v>241</v>
      </c>
      <c r="BB2652" s="4" t="s">
        <v>250</v>
      </c>
      <c r="BC2652" s="4" t="s">
        <v>241</v>
      </c>
      <c r="BD2652" s="4" t="s">
        <v>252</v>
      </c>
      <c r="BE2652" s="4" t="s">
        <v>241</v>
      </c>
      <c r="BI2652" s="4" t="s">
        <v>253</v>
      </c>
      <c r="BJ2652" s="5" t="s">
        <v>246</v>
      </c>
      <c r="BK2652" s="4" t="s">
        <v>254</v>
      </c>
      <c r="BL2652" s="4" t="s">
        <v>255</v>
      </c>
      <c r="BM2652" s="4" t="s">
        <v>241</v>
      </c>
      <c r="BN2652" s="6">
        <f>0</f>
        <v>0</v>
      </c>
      <c r="BO2652" s="6">
        <f>0</f>
        <v>0</v>
      </c>
      <c r="BP2652" s="4" t="s">
        <v>256</v>
      </c>
      <c r="BQ2652" s="4" t="s">
        <v>257</v>
      </c>
      <c r="CE2652" s="4" t="s">
        <v>241</v>
      </c>
      <c r="CF2652" s="4" t="s">
        <v>241</v>
      </c>
      <c r="CJ2652" s="4" t="s">
        <v>276</v>
      </c>
      <c r="CK2652" s="4" t="s">
        <v>259</v>
      </c>
      <c r="CL2652" s="4" t="s">
        <v>241</v>
      </c>
      <c r="CO2652" s="5" t="s">
        <v>260</v>
      </c>
      <c r="CP2652" s="4" t="s">
        <v>241</v>
      </c>
      <c r="CQ2652" s="4" t="s">
        <v>261</v>
      </c>
      <c r="CR2652" s="4" t="s">
        <v>241</v>
      </c>
      <c r="CS2652" s="4" t="s">
        <v>241</v>
      </c>
      <c r="CT2652" s="4">
        <v>0</v>
      </c>
      <c r="CU2652" s="4" t="s">
        <v>262</v>
      </c>
      <c r="CV2652" s="4" t="s">
        <v>263</v>
      </c>
      <c r="CW2652" s="4" t="s">
        <v>263</v>
      </c>
      <c r="CX2652" s="4" t="s">
        <v>264</v>
      </c>
      <c r="DA2652" s="6">
        <f>1</f>
        <v>1</v>
      </c>
      <c r="DC2652" s="4" t="s">
        <v>325</v>
      </c>
      <c r="DD2652" s="4" t="s">
        <v>241</v>
      </c>
      <c r="DF2652" s="4" t="s">
        <v>325</v>
      </c>
      <c r="DG2652" s="6">
        <f>273</f>
        <v>273</v>
      </c>
      <c r="DI2652" s="4" t="s">
        <v>241</v>
      </c>
      <c r="DJ2652" s="4" t="s">
        <v>241</v>
      </c>
      <c r="DK2652" s="4" t="s">
        <v>241</v>
      </c>
      <c r="DL2652" s="4" t="s">
        <v>241</v>
      </c>
      <c r="DP2652" s="4" t="s">
        <v>241</v>
      </c>
      <c r="DQ2652" s="4" t="s">
        <v>241</v>
      </c>
      <c r="DR2652" s="4" t="s">
        <v>241</v>
      </c>
      <c r="DS2652" s="4" t="s">
        <v>241</v>
      </c>
      <c r="DV2652" s="4" t="s">
        <v>426</v>
      </c>
      <c r="DW2652" s="4" t="s">
        <v>559</v>
      </c>
      <c r="HO2652" s="4" t="s">
        <v>267</v>
      </c>
    </row>
    <row r="2653" spans="1:223" ht="19.5" customHeight="1" x14ac:dyDescent="0.4">
      <c r="A2653" s="4">
        <v>1</v>
      </c>
      <c r="B2653" s="4" t="s">
        <v>239</v>
      </c>
      <c r="C2653" s="4">
        <v>4356</v>
      </c>
      <c r="D2653" s="4">
        <v>1</v>
      </c>
      <c r="E2653" s="4">
        <v>1</v>
      </c>
      <c r="F2653" s="4" t="s">
        <v>268</v>
      </c>
      <c r="G2653" s="4" t="s">
        <v>241</v>
      </c>
      <c r="H2653" s="4" t="s">
        <v>241</v>
      </c>
      <c r="I2653" s="4" t="s">
        <v>424</v>
      </c>
      <c r="J2653" s="4" t="s">
        <v>274</v>
      </c>
      <c r="K2653" s="4" t="s">
        <v>251</v>
      </c>
      <c r="L2653" s="4" t="s">
        <v>423</v>
      </c>
      <c r="M2653" s="5" t="s">
        <v>4347</v>
      </c>
      <c r="N2653" s="6">
        <f>694</f>
        <v>694</v>
      </c>
      <c r="O2653" s="4" t="s">
        <v>265</v>
      </c>
      <c r="P2653" s="6">
        <f>1</f>
        <v>1</v>
      </c>
      <c r="Q2653" s="6">
        <f>0</f>
        <v>0</v>
      </c>
      <c r="S2653" s="6">
        <f>0</f>
        <v>0</v>
      </c>
      <c r="T2653" s="6">
        <f>1</f>
        <v>1</v>
      </c>
      <c r="U2653" s="5" t="s">
        <v>245</v>
      </c>
      <c r="V2653" s="4" t="s">
        <v>270</v>
      </c>
      <c r="W2653" s="4" t="s">
        <v>271</v>
      </c>
      <c r="X2653" s="4" t="s">
        <v>273</v>
      </c>
      <c r="Y2653" s="4" t="s">
        <v>241</v>
      </c>
      <c r="AB2653" s="4" t="s">
        <v>241</v>
      </c>
      <c r="AD2653" s="5" t="s">
        <v>241</v>
      </c>
      <c r="AG2653" s="5" t="s">
        <v>246</v>
      </c>
      <c r="AH2653" s="4" t="s">
        <v>241</v>
      </c>
      <c r="AI2653" s="4" t="s">
        <v>247</v>
      </c>
      <c r="AJ2653" s="4" t="s">
        <v>248</v>
      </c>
      <c r="AZ2653" s="4" t="s">
        <v>249</v>
      </c>
      <c r="BA2653" s="4" t="s">
        <v>241</v>
      </c>
      <c r="BB2653" s="4" t="s">
        <v>250</v>
      </c>
      <c r="BC2653" s="4" t="s">
        <v>241</v>
      </c>
      <c r="BD2653" s="4" t="s">
        <v>252</v>
      </c>
      <c r="BE2653" s="4" t="s">
        <v>241</v>
      </c>
      <c r="BI2653" s="4" t="s">
        <v>253</v>
      </c>
      <c r="BJ2653" s="5" t="s">
        <v>246</v>
      </c>
      <c r="BK2653" s="4" t="s">
        <v>254</v>
      </c>
      <c r="BL2653" s="4" t="s">
        <v>255</v>
      </c>
      <c r="BM2653" s="4" t="s">
        <v>241</v>
      </c>
      <c r="BN2653" s="6">
        <f>0</f>
        <v>0</v>
      </c>
      <c r="BO2653" s="6">
        <f>0</f>
        <v>0</v>
      </c>
      <c r="BP2653" s="4" t="s">
        <v>256</v>
      </c>
      <c r="BQ2653" s="4" t="s">
        <v>257</v>
      </c>
      <c r="CE2653" s="4" t="s">
        <v>241</v>
      </c>
      <c r="CF2653" s="4" t="s">
        <v>241</v>
      </c>
      <c r="CJ2653" s="4" t="s">
        <v>276</v>
      </c>
      <c r="CK2653" s="4" t="s">
        <v>259</v>
      </c>
      <c r="CL2653" s="4" t="s">
        <v>241</v>
      </c>
      <c r="CO2653" s="5" t="s">
        <v>260</v>
      </c>
      <c r="CP2653" s="4" t="s">
        <v>241</v>
      </c>
      <c r="CQ2653" s="4" t="s">
        <v>261</v>
      </c>
      <c r="CR2653" s="4" t="s">
        <v>241</v>
      </c>
      <c r="CS2653" s="4" t="s">
        <v>241</v>
      </c>
      <c r="CT2653" s="4">
        <v>0</v>
      </c>
      <c r="CU2653" s="4" t="s">
        <v>262</v>
      </c>
      <c r="CV2653" s="4" t="s">
        <v>263</v>
      </c>
      <c r="CW2653" s="4" t="s">
        <v>263</v>
      </c>
      <c r="CX2653" s="4" t="s">
        <v>264</v>
      </c>
      <c r="DA2653" s="6">
        <f>1</f>
        <v>1</v>
      </c>
      <c r="DC2653" s="4" t="s">
        <v>325</v>
      </c>
      <c r="DD2653" s="4" t="s">
        <v>241</v>
      </c>
      <c r="DF2653" s="4" t="s">
        <v>325</v>
      </c>
      <c r="DG2653" s="6">
        <f>694</f>
        <v>694</v>
      </c>
      <c r="DI2653" s="4" t="s">
        <v>241</v>
      </c>
      <c r="DJ2653" s="4" t="s">
        <v>241</v>
      </c>
      <c r="DK2653" s="4" t="s">
        <v>241</v>
      </c>
      <c r="DL2653" s="4" t="s">
        <v>241</v>
      </c>
      <c r="DP2653" s="4" t="s">
        <v>241</v>
      </c>
      <c r="DQ2653" s="4" t="s">
        <v>241</v>
      </c>
      <c r="DR2653" s="4" t="s">
        <v>241</v>
      </c>
      <c r="DS2653" s="4" t="s">
        <v>241</v>
      </c>
      <c r="DV2653" s="4" t="s">
        <v>426</v>
      </c>
      <c r="DW2653" s="4" t="s">
        <v>2546</v>
      </c>
      <c r="HO2653" s="4" t="s">
        <v>267</v>
      </c>
    </row>
    <row r="2654" spans="1:223" ht="19.5" customHeight="1" x14ac:dyDescent="0.4">
      <c r="A2654" s="4">
        <v>1</v>
      </c>
      <c r="B2654" s="4" t="s">
        <v>239</v>
      </c>
      <c r="C2654" s="4">
        <v>4357</v>
      </c>
      <c r="D2654" s="4">
        <v>1</v>
      </c>
      <c r="E2654" s="4">
        <v>1</v>
      </c>
      <c r="F2654" s="4" t="s">
        <v>268</v>
      </c>
      <c r="G2654" s="4" t="s">
        <v>241</v>
      </c>
      <c r="H2654" s="4" t="s">
        <v>241</v>
      </c>
      <c r="I2654" s="4" t="s">
        <v>424</v>
      </c>
      <c r="J2654" s="4" t="s">
        <v>274</v>
      </c>
      <c r="K2654" s="4" t="s">
        <v>251</v>
      </c>
      <c r="L2654" s="4" t="s">
        <v>423</v>
      </c>
      <c r="M2654" s="5" t="s">
        <v>568</v>
      </c>
      <c r="N2654" s="6">
        <f>1938</f>
        <v>1938</v>
      </c>
      <c r="O2654" s="4" t="s">
        <v>265</v>
      </c>
      <c r="P2654" s="6">
        <f>1</f>
        <v>1</v>
      </c>
      <c r="Q2654" s="6">
        <f>0</f>
        <v>0</v>
      </c>
      <c r="S2654" s="6">
        <f>0</f>
        <v>0</v>
      </c>
      <c r="T2654" s="6">
        <f>1</f>
        <v>1</v>
      </c>
      <c r="U2654" s="5" t="s">
        <v>245</v>
      </c>
      <c r="V2654" s="4" t="s">
        <v>270</v>
      </c>
      <c r="W2654" s="4" t="s">
        <v>271</v>
      </c>
      <c r="X2654" s="4" t="s">
        <v>273</v>
      </c>
      <c r="Y2654" s="4" t="s">
        <v>241</v>
      </c>
      <c r="AB2654" s="4" t="s">
        <v>241</v>
      </c>
      <c r="AD2654" s="5" t="s">
        <v>241</v>
      </c>
      <c r="AG2654" s="5" t="s">
        <v>246</v>
      </c>
      <c r="AH2654" s="4" t="s">
        <v>241</v>
      </c>
      <c r="AI2654" s="4" t="s">
        <v>247</v>
      </c>
      <c r="AJ2654" s="4" t="s">
        <v>248</v>
      </c>
      <c r="AZ2654" s="4" t="s">
        <v>249</v>
      </c>
      <c r="BA2654" s="4" t="s">
        <v>241</v>
      </c>
      <c r="BB2654" s="4" t="s">
        <v>250</v>
      </c>
      <c r="BC2654" s="4" t="s">
        <v>241</v>
      </c>
      <c r="BD2654" s="4" t="s">
        <v>252</v>
      </c>
      <c r="BE2654" s="4" t="s">
        <v>241</v>
      </c>
      <c r="BI2654" s="4" t="s">
        <v>253</v>
      </c>
      <c r="BJ2654" s="5" t="s">
        <v>246</v>
      </c>
      <c r="BK2654" s="4" t="s">
        <v>254</v>
      </c>
      <c r="BL2654" s="4" t="s">
        <v>255</v>
      </c>
      <c r="BM2654" s="4" t="s">
        <v>241</v>
      </c>
      <c r="BN2654" s="6">
        <f>0</f>
        <v>0</v>
      </c>
      <c r="BO2654" s="6">
        <f>0</f>
        <v>0</v>
      </c>
      <c r="BP2654" s="4" t="s">
        <v>256</v>
      </c>
      <c r="BQ2654" s="4" t="s">
        <v>257</v>
      </c>
      <c r="CE2654" s="4" t="s">
        <v>241</v>
      </c>
      <c r="CF2654" s="4" t="s">
        <v>241</v>
      </c>
      <c r="CJ2654" s="4" t="s">
        <v>276</v>
      </c>
      <c r="CK2654" s="4" t="s">
        <v>259</v>
      </c>
      <c r="CL2654" s="4" t="s">
        <v>241</v>
      </c>
      <c r="CO2654" s="5" t="s">
        <v>260</v>
      </c>
      <c r="CP2654" s="4" t="s">
        <v>241</v>
      </c>
      <c r="CQ2654" s="4" t="s">
        <v>261</v>
      </c>
      <c r="CR2654" s="4" t="s">
        <v>241</v>
      </c>
      <c r="CS2654" s="4" t="s">
        <v>241</v>
      </c>
      <c r="CT2654" s="4">
        <v>0</v>
      </c>
      <c r="CU2654" s="4" t="s">
        <v>262</v>
      </c>
      <c r="CV2654" s="4" t="s">
        <v>263</v>
      </c>
      <c r="CW2654" s="4" t="s">
        <v>263</v>
      </c>
      <c r="CX2654" s="4" t="s">
        <v>264</v>
      </c>
      <c r="DA2654" s="6">
        <f>1</f>
        <v>1</v>
      </c>
      <c r="DC2654" s="4" t="s">
        <v>325</v>
      </c>
      <c r="DD2654" s="4" t="s">
        <v>241</v>
      </c>
      <c r="DF2654" s="4" t="s">
        <v>325</v>
      </c>
      <c r="DG2654" s="6">
        <f>1938</f>
        <v>1938</v>
      </c>
      <c r="DI2654" s="4" t="s">
        <v>241</v>
      </c>
      <c r="DJ2654" s="4" t="s">
        <v>241</v>
      </c>
      <c r="DK2654" s="4" t="s">
        <v>241</v>
      </c>
      <c r="DL2654" s="4" t="s">
        <v>241</v>
      </c>
      <c r="DP2654" s="4" t="s">
        <v>241</v>
      </c>
      <c r="DQ2654" s="4" t="s">
        <v>241</v>
      </c>
      <c r="DR2654" s="4" t="s">
        <v>241</v>
      </c>
      <c r="DS2654" s="4" t="s">
        <v>241</v>
      </c>
      <c r="DV2654" s="4" t="s">
        <v>426</v>
      </c>
      <c r="DW2654" s="4" t="s">
        <v>569</v>
      </c>
      <c r="HO2654" s="4" t="s">
        <v>267</v>
      </c>
    </row>
    <row r="2655" spans="1:223" ht="19.5" customHeight="1" x14ac:dyDescent="0.4">
      <c r="A2655" s="4">
        <v>1</v>
      </c>
      <c r="B2655" s="4" t="s">
        <v>239</v>
      </c>
      <c r="C2655" s="4">
        <v>4358</v>
      </c>
      <c r="D2655" s="4">
        <v>1</v>
      </c>
      <c r="E2655" s="4">
        <v>1</v>
      </c>
      <c r="F2655" s="4" t="s">
        <v>268</v>
      </c>
      <c r="G2655" s="4" t="s">
        <v>241</v>
      </c>
      <c r="H2655" s="4" t="s">
        <v>241</v>
      </c>
      <c r="I2655" s="4" t="s">
        <v>424</v>
      </c>
      <c r="J2655" s="4" t="s">
        <v>274</v>
      </c>
      <c r="K2655" s="4" t="s">
        <v>251</v>
      </c>
      <c r="L2655" s="4" t="s">
        <v>423</v>
      </c>
      <c r="M2655" s="5" t="s">
        <v>578</v>
      </c>
      <c r="N2655" s="6">
        <f>52</f>
        <v>52</v>
      </c>
      <c r="O2655" s="4" t="s">
        <v>265</v>
      </c>
      <c r="P2655" s="6">
        <f>1</f>
        <v>1</v>
      </c>
      <c r="Q2655" s="6">
        <f>0</f>
        <v>0</v>
      </c>
      <c r="S2655" s="6">
        <f>0</f>
        <v>0</v>
      </c>
      <c r="T2655" s="6">
        <f>1</f>
        <v>1</v>
      </c>
      <c r="U2655" s="5" t="s">
        <v>245</v>
      </c>
      <c r="V2655" s="4" t="s">
        <v>270</v>
      </c>
      <c r="W2655" s="4" t="s">
        <v>271</v>
      </c>
      <c r="X2655" s="4" t="s">
        <v>273</v>
      </c>
      <c r="Y2655" s="4" t="s">
        <v>241</v>
      </c>
      <c r="AB2655" s="4" t="s">
        <v>241</v>
      </c>
      <c r="AD2655" s="5" t="s">
        <v>241</v>
      </c>
      <c r="AG2655" s="5" t="s">
        <v>246</v>
      </c>
      <c r="AH2655" s="4" t="s">
        <v>241</v>
      </c>
      <c r="AI2655" s="4" t="s">
        <v>247</v>
      </c>
      <c r="AJ2655" s="4" t="s">
        <v>248</v>
      </c>
      <c r="AZ2655" s="4" t="s">
        <v>249</v>
      </c>
      <c r="BA2655" s="4" t="s">
        <v>241</v>
      </c>
      <c r="BB2655" s="4" t="s">
        <v>250</v>
      </c>
      <c r="BC2655" s="4" t="s">
        <v>241</v>
      </c>
      <c r="BD2655" s="4" t="s">
        <v>252</v>
      </c>
      <c r="BE2655" s="4" t="s">
        <v>241</v>
      </c>
      <c r="BI2655" s="4" t="s">
        <v>253</v>
      </c>
      <c r="BJ2655" s="5" t="s">
        <v>246</v>
      </c>
      <c r="BK2655" s="4" t="s">
        <v>254</v>
      </c>
      <c r="BL2655" s="4" t="s">
        <v>255</v>
      </c>
      <c r="BM2655" s="4" t="s">
        <v>241</v>
      </c>
      <c r="BN2655" s="6">
        <f>0</f>
        <v>0</v>
      </c>
      <c r="BO2655" s="6">
        <f>0</f>
        <v>0</v>
      </c>
      <c r="BP2655" s="4" t="s">
        <v>256</v>
      </c>
      <c r="BQ2655" s="4" t="s">
        <v>257</v>
      </c>
      <c r="CE2655" s="4" t="s">
        <v>241</v>
      </c>
      <c r="CF2655" s="4" t="s">
        <v>241</v>
      </c>
      <c r="CJ2655" s="4" t="s">
        <v>276</v>
      </c>
      <c r="CK2655" s="4" t="s">
        <v>259</v>
      </c>
      <c r="CL2655" s="4" t="s">
        <v>241</v>
      </c>
      <c r="CO2655" s="5" t="s">
        <v>260</v>
      </c>
      <c r="CP2655" s="4" t="s">
        <v>241</v>
      </c>
      <c r="CQ2655" s="4" t="s">
        <v>261</v>
      </c>
      <c r="CR2655" s="4" t="s">
        <v>241</v>
      </c>
      <c r="CS2655" s="4" t="s">
        <v>241</v>
      </c>
      <c r="CT2655" s="4">
        <v>0</v>
      </c>
      <c r="CU2655" s="4" t="s">
        <v>262</v>
      </c>
      <c r="CV2655" s="4" t="s">
        <v>263</v>
      </c>
      <c r="CW2655" s="4" t="s">
        <v>263</v>
      </c>
      <c r="CX2655" s="4" t="s">
        <v>264</v>
      </c>
      <c r="DA2655" s="6">
        <f>1</f>
        <v>1</v>
      </c>
      <c r="DC2655" s="4" t="s">
        <v>325</v>
      </c>
      <c r="DD2655" s="4" t="s">
        <v>241</v>
      </c>
      <c r="DF2655" s="4" t="s">
        <v>325</v>
      </c>
      <c r="DG2655" s="6">
        <f>52</f>
        <v>52</v>
      </c>
      <c r="DI2655" s="4" t="s">
        <v>241</v>
      </c>
      <c r="DJ2655" s="4" t="s">
        <v>241</v>
      </c>
      <c r="DK2655" s="4" t="s">
        <v>241</v>
      </c>
      <c r="DL2655" s="4" t="s">
        <v>241</v>
      </c>
      <c r="DP2655" s="4" t="s">
        <v>241</v>
      </c>
      <c r="DQ2655" s="4" t="s">
        <v>241</v>
      </c>
      <c r="DR2655" s="4" t="s">
        <v>241</v>
      </c>
      <c r="DS2655" s="4" t="s">
        <v>241</v>
      </c>
      <c r="DV2655" s="4" t="s">
        <v>426</v>
      </c>
      <c r="DW2655" s="4" t="s">
        <v>579</v>
      </c>
      <c r="HO2655" s="4" t="s">
        <v>267</v>
      </c>
    </row>
    <row r="2656" spans="1:223" ht="19.5" customHeight="1" x14ac:dyDescent="0.4">
      <c r="A2656" s="4">
        <v>1</v>
      </c>
      <c r="B2656" s="4" t="s">
        <v>239</v>
      </c>
      <c r="C2656" s="4">
        <v>4359</v>
      </c>
      <c r="D2656" s="4">
        <v>1</v>
      </c>
      <c r="E2656" s="4">
        <v>1</v>
      </c>
      <c r="F2656" s="4" t="s">
        <v>268</v>
      </c>
      <c r="G2656" s="4" t="s">
        <v>241</v>
      </c>
      <c r="H2656" s="4" t="s">
        <v>241</v>
      </c>
      <c r="I2656" s="4" t="s">
        <v>424</v>
      </c>
      <c r="J2656" s="4" t="s">
        <v>274</v>
      </c>
      <c r="K2656" s="4" t="s">
        <v>251</v>
      </c>
      <c r="L2656" s="4" t="s">
        <v>423</v>
      </c>
      <c r="M2656" s="5" t="s">
        <v>582</v>
      </c>
      <c r="N2656" s="6">
        <f>496</f>
        <v>496</v>
      </c>
      <c r="O2656" s="4" t="s">
        <v>265</v>
      </c>
      <c r="P2656" s="6">
        <f>1</f>
        <v>1</v>
      </c>
      <c r="Q2656" s="6">
        <f>0</f>
        <v>0</v>
      </c>
      <c r="S2656" s="6">
        <f>0</f>
        <v>0</v>
      </c>
      <c r="T2656" s="6">
        <f>1</f>
        <v>1</v>
      </c>
      <c r="U2656" s="5" t="s">
        <v>245</v>
      </c>
      <c r="V2656" s="4" t="s">
        <v>270</v>
      </c>
      <c r="W2656" s="4" t="s">
        <v>271</v>
      </c>
      <c r="X2656" s="4" t="s">
        <v>273</v>
      </c>
      <c r="Y2656" s="4" t="s">
        <v>241</v>
      </c>
      <c r="AB2656" s="4" t="s">
        <v>241</v>
      </c>
      <c r="AD2656" s="5" t="s">
        <v>241</v>
      </c>
      <c r="AG2656" s="5" t="s">
        <v>246</v>
      </c>
      <c r="AH2656" s="4" t="s">
        <v>241</v>
      </c>
      <c r="AI2656" s="4" t="s">
        <v>247</v>
      </c>
      <c r="AJ2656" s="4" t="s">
        <v>248</v>
      </c>
      <c r="AZ2656" s="4" t="s">
        <v>249</v>
      </c>
      <c r="BA2656" s="4" t="s">
        <v>241</v>
      </c>
      <c r="BB2656" s="4" t="s">
        <v>250</v>
      </c>
      <c r="BC2656" s="4" t="s">
        <v>241</v>
      </c>
      <c r="BD2656" s="4" t="s">
        <v>252</v>
      </c>
      <c r="BE2656" s="4" t="s">
        <v>241</v>
      </c>
      <c r="BI2656" s="4" t="s">
        <v>253</v>
      </c>
      <c r="BJ2656" s="5" t="s">
        <v>246</v>
      </c>
      <c r="BK2656" s="4" t="s">
        <v>254</v>
      </c>
      <c r="BL2656" s="4" t="s">
        <v>255</v>
      </c>
      <c r="BM2656" s="4" t="s">
        <v>241</v>
      </c>
      <c r="BN2656" s="6">
        <f>0</f>
        <v>0</v>
      </c>
      <c r="BO2656" s="6">
        <f>0</f>
        <v>0</v>
      </c>
      <c r="BP2656" s="4" t="s">
        <v>256</v>
      </c>
      <c r="BQ2656" s="4" t="s">
        <v>257</v>
      </c>
      <c r="CE2656" s="4" t="s">
        <v>241</v>
      </c>
      <c r="CF2656" s="4" t="s">
        <v>241</v>
      </c>
      <c r="CJ2656" s="4" t="s">
        <v>276</v>
      </c>
      <c r="CK2656" s="4" t="s">
        <v>259</v>
      </c>
      <c r="CL2656" s="4" t="s">
        <v>241</v>
      </c>
      <c r="CO2656" s="5" t="s">
        <v>260</v>
      </c>
      <c r="CP2656" s="4" t="s">
        <v>241</v>
      </c>
      <c r="CQ2656" s="4" t="s">
        <v>261</v>
      </c>
      <c r="CR2656" s="4" t="s">
        <v>241</v>
      </c>
      <c r="CS2656" s="4" t="s">
        <v>241</v>
      </c>
      <c r="CT2656" s="4">
        <v>0</v>
      </c>
      <c r="CU2656" s="4" t="s">
        <v>262</v>
      </c>
      <c r="CV2656" s="4" t="s">
        <v>263</v>
      </c>
      <c r="CW2656" s="4" t="s">
        <v>263</v>
      </c>
      <c r="CX2656" s="4" t="s">
        <v>264</v>
      </c>
      <c r="DA2656" s="6">
        <f>1</f>
        <v>1</v>
      </c>
      <c r="DC2656" s="4" t="s">
        <v>325</v>
      </c>
      <c r="DD2656" s="4" t="s">
        <v>241</v>
      </c>
      <c r="DF2656" s="4" t="s">
        <v>325</v>
      </c>
      <c r="DG2656" s="6">
        <f>496</f>
        <v>496</v>
      </c>
      <c r="DI2656" s="4" t="s">
        <v>241</v>
      </c>
      <c r="DJ2656" s="4" t="s">
        <v>241</v>
      </c>
      <c r="DK2656" s="4" t="s">
        <v>241</v>
      </c>
      <c r="DL2656" s="4" t="s">
        <v>241</v>
      </c>
      <c r="DP2656" s="4" t="s">
        <v>241</v>
      </c>
      <c r="DQ2656" s="4" t="s">
        <v>241</v>
      </c>
      <c r="DR2656" s="4" t="s">
        <v>241</v>
      </c>
      <c r="DS2656" s="4" t="s">
        <v>241</v>
      </c>
      <c r="DV2656" s="4" t="s">
        <v>426</v>
      </c>
      <c r="DW2656" s="4" t="s">
        <v>583</v>
      </c>
      <c r="HO2656" s="4" t="s">
        <v>267</v>
      </c>
    </row>
    <row r="2657" spans="1:223" ht="19.5" customHeight="1" x14ac:dyDescent="0.4">
      <c r="A2657" s="4">
        <v>1</v>
      </c>
      <c r="B2657" s="4" t="s">
        <v>239</v>
      </c>
      <c r="C2657" s="4">
        <v>4360</v>
      </c>
      <c r="D2657" s="4">
        <v>1</v>
      </c>
      <c r="E2657" s="4">
        <v>1</v>
      </c>
      <c r="F2657" s="4" t="s">
        <v>268</v>
      </c>
      <c r="G2657" s="4" t="s">
        <v>241</v>
      </c>
      <c r="H2657" s="4" t="s">
        <v>241</v>
      </c>
      <c r="I2657" s="4" t="s">
        <v>424</v>
      </c>
      <c r="J2657" s="4" t="s">
        <v>274</v>
      </c>
      <c r="K2657" s="4" t="s">
        <v>251</v>
      </c>
      <c r="L2657" s="4" t="s">
        <v>423</v>
      </c>
      <c r="M2657" s="5" t="s">
        <v>590</v>
      </c>
      <c r="N2657" s="6">
        <f>2302</f>
        <v>2302</v>
      </c>
      <c r="O2657" s="4" t="s">
        <v>265</v>
      </c>
      <c r="P2657" s="6">
        <f>1</f>
        <v>1</v>
      </c>
      <c r="Q2657" s="6">
        <f>0</f>
        <v>0</v>
      </c>
      <c r="S2657" s="6">
        <f>0</f>
        <v>0</v>
      </c>
      <c r="T2657" s="6">
        <f>1</f>
        <v>1</v>
      </c>
      <c r="U2657" s="5" t="s">
        <v>245</v>
      </c>
      <c r="V2657" s="4" t="s">
        <v>270</v>
      </c>
      <c r="W2657" s="4" t="s">
        <v>271</v>
      </c>
      <c r="X2657" s="4" t="s">
        <v>273</v>
      </c>
      <c r="Y2657" s="4" t="s">
        <v>241</v>
      </c>
      <c r="AB2657" s="4" t="s">
        <v>241</v>
      </c>
      <c r="AD2657" s="5" t="s">
        <v>241</v>
      </c>
      <c r="AG2657" s="5" t="s">
        <v>246</v>
      </c>
      <c r="AH2657" s="4" t="s">
        <v>241</v>
      </c>
      <c r="AI2657" s="4" t="s">
        <v>247</v>
      </c>
      <c r="AJ2657" s="4" t="s">
        <v>248</v>
      </c>
      <c r="AZ2657" s="4" t="s">
        <v>249</v>
      </c>
      <c r="BA2657" s="4" t="s">
        <v>241</v>
      </c>
      <c r="BB2657" s="4" t="s">
        <v>250</v>
      </c>
      <c r="BC2657" s="4" t="s">
        <v>241</v>
      </c>
      <c r="BD2657" s="4" t="s">
        <v>252</v>
      </c>
      <c r="BE2657" s="4" t="s">
        <v>241</v>
      </c>
      <c r="BI2657" s="4" t="s">
        <v>253</v>
      </c>
      <c r="BJ2657" s="5" t="s">
        <v>246</v>
      </c>
      <c r="BK2657" s="4" t="s">
        <v>254</v>
      </c>
      <c r="BL2657" s="4" t="s">
        <v>255</v>
      </c>
      <c r="BM2657" s="4" t="s">
        <v>241</v>
      </c>
      <c r="BN2657" s="6">
        <f>0</f>
        <v>0</v>
      </c>
      <c r="BO2657" s="6">
        <f>0</f>
        <v>0</v>
      </c>
      <c r="BP2657" s="4" t="s">
        <v>256</v>
      </c>
      <c r="BQ2657" s="4" t="s">
        <v>257</v>
      </c>
      <c r="CE2657" s="4" t="s">
        <v>241</v>
      </c>
      <c r="CF2657" s="4" t="s">
        <v>241</v>
      </c>
      <c r="CJ2657" s="4" t="s">
        <v>276</v>
      </c>
      <c r="CK2657" s="4" t="s">
        <v>259</v>
      </c>
      <c r="CL2657" s="4" t="s">
        <v>241</v>
      </c>
      <c r="CO2657" s="5" t="s">
        <v>260</v>
      </c>
      <c r="CP2657" s="4" t="s">
        <v>241</v>
      </c>
      <c r="CQ2657" s="4" t="s">
        <v>261</v>
      </c>
      <c r="CR2657" s="4" t="s">
        <v>241</v>
      </c>
      <c r="CS2657" s="4" t="s">
        <v>241</v>
      </c>
      <c r="CT2657" s="4">
        <v>0</v>
      </c>
      <c r="CU2657" s="4" t="s">
        <v>262</v>
      </c>
      <c r="CV2657" s="4" t="s">
        <v>263</v>
      </c>
      <c r="CW2657" s="4" t="s">
        <v>263</v>
      </c>
      <c r="CX2657" s="4" t="s">
        <v>264</v>
      </c>
      <c r="DA2657" s="6">
        <f>1</f>
        <v>1</v>
      </c>
      <c r="DC2657" s="4" t="s">
        <v>325</v>
      </c>
      <c r="DD2657" s="4" t="s">
        <v>241</v>
      </c>
      <c r="DF2657" s="4" t="s">
        <v>325</v>
      </c>
      <c r="DG2657" s="6">
        <f>2302</f>
        <v>2302</v>
      </c>
      <c r="DI2657" s="4" t="s">
        <v>241</v>
      </c>
      <c r="DJ2657" s="4" t="s">
        <v>241</v>
      </c>
      <c r="DK2657" s="4" t="s">
        <v>241</v>
      </c>
      <c r="DL2657" s="4" t="s">
        <v>241</v>
      </c>
      <c r="DP2657" s="4" t="s">
        <v>241</v>
      </c>
      <c r="DQ2657" s="4" t="s">
        <v>241</v>
      </c>
      <c r="DR2657" s="4" t="s">
        <v>241</v>
      </c>
      <c r="DS2657" s="4" t="s">
        <v>241</v>
      </c>
      <c r="DV2657" s="4" t="s">
        <v>426</v>
      </c>
      <c r="DW2657" s="4" t="s">
        <v>591</v>
      </c>
      <c r="HO2657" s="4" t="s">
        <v>267</v>
      </c>
    </row>
    <row r="2658" spans="1:223" ht="19.5" customHeight="1" x14ac:dyDescent="0.4">
      <c r="A2658" s="4">
        <v>1</v>
      </c>
      <c r="B2658" s="4" t="s">
        <v>239</v>
      </c>
      <c r="C2658" s="4">
        <v>4361</v>
      </c>
      <c r="D2658" s="4">
        <v>1</v>
      </c>
      <c r="E2658" s="4">
        <v>1</v>
      </c>
      <c r="F2658" s="4" t="s">
        <v>268</v>
      </c>
      <c r="G2658" s="4" t="s">
        <v>241</v>
      </c>
      <c r="H2658" s="4" t="s">
        <v>241</v>
      </c>
      <c r="I2658" s="4" t="s">
        <v>424</v>
      </c>
      <c r="J2658" s="4" t="s">
        <v>274</v>
      </c>
      <c r="K2658" s="4" t="s">
        <v>251</v>
      </c>
      <c r="L2658" s="4" t="s">
        <v>423</v>
      </c>
      <c r="M2658" s="5" t="s">
        <v>793</v>
      </c>
      <c r="N2658" s="6">
        <f>934</f>
        <v>934</v>
      </c>
      <c r="O2658" s="4" t="s">
        <v>265</v>
      </c>
      <c r="P2658" s="6">
        <f>1</f>
        <v>1</v>
      </c>
      <c r="Q2658" s="6">
        <f>0</f>
        <v>0</v>
      </c>
      <c r="S2658" s="6">
        <f>0</f>
        <v>0</v>
      </c>
      <c r="T2658" s="6">
        <f>1</f>
        <v>1</v>
      </c>
      <c r="U2658" s="5" t="s">
        <v>245</v>
      </c>
      <c r="V2658" s="4" t="s">
        <v>270</v>
      </c>
      <c r="W2658" s="4" t="s">
        <v>271</v>
      </c>
      <c r="X2658" s="4" t="s">
        <v>273</v>
      </c>
      <c r="Y2658" s="4" t="s">
        <v>241</v>
      </c>
      <c r="AB2658" s="4" t="s">
        <v>241</v>
      </c>
      <c r="AD2658" s="5" t="s">
        <v>241</v>
      </c>
      <c r="AG2658" s="5" t="s">
        <v>246</v>
      </c>
      <c r="AH2658" s="4" t="s">
        <v>241</v>
      </c>
      <c r="AI2658" s="4" t="s">
        <v>247</v>
      </c>
      <c r="AJ2658" s="4" t="s">
        <v>248</v>
      </c>
      <c r="AZ2658" s="4" t="s">
        <v>249</v>
      </c>
      <c r="BA2658" s="4" t="s">
        <v>241</v>
      </c>
      <c r="BB2658" s="4" t="s">
        <v>250</v>
      </c>
      <c r="BC2658" s="4" t="s">
        <v>241</v>
      </c>
      <c r="BD2658" s="4" t="s">
        <v>252</v>
      </c>
      <c r="BE2658" s="4" t="s">
        <v>241</v>
      </c>
      <c r="BI2658" s="4" t="s">
        <v>253</v>
      </c>
      <c r="BJ2658" s="5" t="s">
        <v>246</v>
      </c>
      <c r="BK2658" s="4" t="s">
        <v>254</v>
      </c>
      <c r="BL2658" s="4" t="s">
        <v>255</v>
      </c>
      <c r="BM2658" s="4" t="s">
        <v>241</v>
      </c>
      <c r="BN2658" s="6">
        <f>0</f>
        <v>0</v>
      </c>
      <c r="BO2658" s="6">
        <f>0</f>
        <v>0</v>
      </c>
      <c r="BP2658" s="4" t="s">
        <v>256</v>
      </c>
      <c r="BQ2658" s="4" t="s">
        <v>257</v>
      </c>
      <c r="CE2658" s="4" t="s">
        <v>241</v>
      </c>
      <c r="CF2658" s="4" t="s">
        <v>241</v>
      </c>
      <c r="CJ2658" s="4" t="s">
        <v>276</v>
      </c>
      <c r="CK2658" s="4" t="s">
        <v>259</v>
      </c>
      <c r="CL2658" s="4" t="s">
        <v>241</v>
      </c>
      <c r="CO2658" s="5" t="s">
        <v>260</v>
      </c>
      <c r="CP2658" s="4" t="s">
        <v>241</v>
      </c>
      <c r="CQ2658" s="4" t="s">
        <v>261</v>
      </c>
      <c r="CR2658" s="4" t="s">
        <v>241</v>
      </c>
      <c r="CS2658" s="4" t="s">
        <v>241</v>
      </c>
      <c r="CT2658" s="4">
        <v>0</v>
      </c>
      <c r="CU2658" s="4" t="s">
        <v>262</v>
      </c>
      <c r="CV2658" s="4" t="s">
        <v>263</v>
      </c>
      <c r="CW2658" s="4" t="s">
        <v>263</v>
      </c>
      <c r="CX2658" s="4" t="s">
        <v>264</v>
      </c>
      <c r="DA2658" s="6">
        <f>1</f>
        <v>1</v>
      </c>
      <c r="DC2658" s="4" t="s">
        <v>325</v>
      </c>
      <c r="DD2658" s="4" t="s">
        <v>241</v>
      </c>
      <c r="DF2658" s="4" t="s">
        <v>325</v>
      </c>
      <c r="DG2658" s="6">
        <f>934</f>
        <v>934</v>
      </c>
      <c r="DI2658" s="4" t="s">
        <v>241</v>
      </c>
      <c r="DJ2658" s="4" t="s">
        <v>241</v>
      </c>
      <c r="DK2658" s="4" t="s">
        <v>241</v>
      </c>
      <c r="DL2658" s="4" t="s">
        <v>241</v>
      </c>
      <c r="DP2658" s="4" t="s">
        <v>241</v>
      </c>
      <c r="DQ2658" s="4" t="s">
        <v>241</v>
      </c>
      <c r="DR2658" s="4" t="s">
        <v>241</v>
      </c>
      <c r="DS2658" s="4" t="s">
        <v>241</v>
      </c>
      <c r="DV2658" s="4" t="s">
        <v>426</v>
      </c>
      <c r="DW2658" s="4" t="s">
        <v>794</v>
      </c>
      <c r="HO2658" s="4" t="s">
        <v>267</v>
      </c>
    </row>
    <row r="2659" spans="1:223" ht="19.5" customHeight="1" x14ac:dyDescent="0.4">
      <c r="A2659" s="4">
        <v>1</v>
      </c>
      <c r="B2659" s="4" t="s">
        <v>239</v>
      </c>
      <c r="C2659" s="4">
        <v>4362</v>
      </c>
      <c r="D2659" s="4">
        <v>1</v>
      </c>
      <c r="E2659" s="4">
        <v>1</v>
      </c>
      <c r="F2659" s="4" t="s">
        <v>268</v>
      </c>
      <c r="G2659" s="4" t="s">
        <v>241</v>
      </c>
      <c r="H2659" s="4" t="s">
        <v>241</v>
      </c>
      <c r="I2659" s="4" t="s">
        <v>424</v>
      </c>
      <c r="J2659" s="4" t="s">
        <v>274</v>
      </c>
      <c r="K2659" s="4" t="s">
        <v>251</v>
      </c>
      <c r="L2659" s="4" t="s">
        <v>423</v>
      </c>
      <c r="M2659" s="5" t="s">
        <v>608</v>
      </c>
      <c r="N2659" s="6">
        <f>2879</f>
        <v>2879</v>
      </c>
      <c r="O2659" s="4" t="s">
        <v>265</v>
      </c>
      <c r="P2659" s="6">
        <f>1</f>
        <v>1</v>
      </c>
      <c r="Q2659" s="6">
        <f>0</f>
        <v>0</v>
      </c>
      <c r="S2659" s="6">
        <f>0</f>
        <v>0</v>
      </c>
      <c r="T2659" s="6">
        <f>1</f>
        <v>1</v>
      </c>
      <c r="U2659" s="5" t="s">
        <v>245</v>
      </c>
      <c r="V2659" s="4" t="s">
        <v>270</v>
      </c>
      <c r="W2659" s="4" t="s">
        <v>271</v>
      </c>
      <c r="X2659" s="4" t="s">
        <v>273</v>
      </c>
      <c r="Y2659" s="4" t="s">
        <v>241</v>
      </c>
      <c r="AB2659" s="4" t="s">
        <v>241</v>
      </c>
      <c r="AD2659" s="5" t="s">
        <v>241</v>
      </c>
      <c r="AG2659" s="5" t="s">
        <v>246</v>
      </c>
      <c r="AH2659" s="4" t="s">
        <v>241</v>
      </c>
      <c r="AI2659" s="4" t="s">
        <v>247</v>
      </c>
      <c r="AJ2659" s="4" t="s">
        <v>248</v>
      </c>
      <c r="AZ2659" s="4" t="s">
        <v>249</v>
      </c>
      <c r="BA2659" s="4" t="s">
        <v>241</v>
      </c>
      <c r="BB2659" s="4" t="s">
        <v>250</v>
      </c>
      <c r="BC2659" s="4" t="s">
        <v>241</v>
      </c>
      <c r="BD2659" s="4" t="s">
        <v>252</v>
      </c>
      <c r="BE2659" s="4" t="s">
        <v>241</v>
      </c>
      <c r="BI2659" s="4" t="s">
        <v>253</v>
      </c>
      <c r="BJ2659" s="5" t="s">
        <v>246</v>
      </c>
      <c r="BK2659" s="4" t="s">
        <v>254</v>
      </c>
      <c r="BL2659" s="4" t="s">
        <v>255</v>
      </c>
      <c r="BM2659" s="4" t="s">
        <v>241</v>
      </c>
      <c r="BN2659" s="6">
        <f>0</f>
        <v>0</v>
      </c>
      <c r="BO2659" s="6">
        <f>0</f>
        <v>0</v>
      </c>
      <c r="BP2659" s="4" t="s">
        <v>256</v>
      </c>
      <c r="BQ2659" s="4" t="s">
        <v>257</v>
      </c>
      <c r="CE2659" s="4" t="s">
        <v>241</v>
      </c>
      <c r="CF2659" s="4" t="s">
        <v>241</v>
      </c>
      <c r="CJ2659" s="4" t="s">
        <v>276</v>
      </c>
      <c r="CK2659" s="4" t="s">
        <v>259</v>
      </c>
      <c r="CL2659" s="4" t="s">
        <v>241</v>
      </c>
      <c r="CO2659" s="5" t="s">
        <v>260</v>
      </c>
      <c r="CP2659" s="4" t="s">
        <v>241</v>
      </c>
      <c r="CQ2659" s="4" t="s">
        <v>261</v>
      </c>
      <c r="CR2659" s="4" t="s">
        <v>241</v>
      </c>
      <c r="CS2659" s="4" t="s">
        <v>241</v>
      </c>
      <c r="CT2659" s="4">
        <v>0</v>
      </c>
      <c r="CU2659" s="4" t="s">
        <v>262</v>
      </c>
      <c r="CV2659" s="4" t="s">
        <v>263</v>
      </c>
      <c r="CW2659" s="4" t="s">
        <v>263</v>
      </c>
      <c r="CX2659" s="4" t="s">
        <v>264</v>
      </c>
      <c r="DA2659" s="6">
        <f>1</f>
        <v>1</v>
      </c>
      <c r="DC2659" s="4" t="s">
        <v>325</v>
      </c>
      <c r="DD2659" s="4" t="s">
        <v>241</v>
      </c>
      <c r="DF2659" s="4" t="s">
        <v>325</v>
      </c>
      <c r="DG2659" s="6">
        <f>2879</f>
        <v>2879</v>
      </c>
      <c r="DI2659" s="4" t="s">
        <v>241</v>
      </c>
      <c r="DJ2659" s="4" t="s">
        <v>241</v>
      </c>
      <c r="DK2659" s="4" t="s">
        <v>241</v>
      </c>
      <c r="DL2659" s="4" t="s">
        <v>241</v>
      </c>
      <c r="DP2659" s="4" t="s">
        <v>241</v>
      </c>
      <c r="DQ2659" s="4" t="s">
        <v>241</v>
      </c>
      <c r="DR2659" s="4" t="s">
        <v>241</v>
      </c>
      <c r="DS2659" s="4" t="s">
        <v>241</v>
      </c>
      <c r="DV2659" s="4" t="s">
        <v>426</v>
      </c>
      <c r="DW2659" s="4" t="s">
        <v>609</v>
      </c>
      <c r="HO2659" s="4" t="s">
        <v>267</v>
      </c>
    </row>
    <row r="2660" spans="1:223" ht="19.5" customHeight="1" x14ac:dyDescent="0.4">
      <c r="A2660" s="4">
        <v>1</v>
      </c>
      <c r="B2660" s="4" t="s">
        <v>239</v>
      </c>
      <c r="C2660" s="4">
        <v>4363</v>
      </c>
      <c r="D2660" s="4">
        <v>1</v>
      </c>
      <c r="E2660" s="4">
        <v>1</v>
      </c>
      <c r="F2660" s="4" t="s">
        <v>268</v>
      </c>
      <c r="G2660" s="4" t="s">
        <v>241</v>
      </c>
      <c r="H2660" s="4" t="s">
        <v>241</v>
      </c>
      <c r="I2660" s="4" t="s">
        <v>424</v>
      </c>
      <c r="J2660" s="4" t="s">
        <v>274</v>
      </c>
      <c r="K2660" s="4" t="s">
        <v>251</v>
      </c>
      <c r="L2660" s="4" t="s">
        <v>423</v>
      </c>
      <c r="M2660" s="5" t="s">
        <v>618</v>
      </c>
      <c r="N2660" s="6">
        <f>279</f>
        <v>279</v>
      </c>
      <c r="O2660" s="4" t="s">
        <v>265</v>
      </c>
      <c r="P2660" s="6">
        <f>1</f>
        <v>1</v>
      </c>
      <c r="Q2660" s="6">
        <f>0</f>
        <v>0</v>
      </c>
      <c r="S2660" s="6">
        <f>0</f>
        <v>0</v>
      </c>
      <c r="T2660" s="6">
        <f>1</f>
        <v>1</v>
      </c>
      <c r="U2660" s="5" t="s">
        <v>245</v>
      </c>
      <c r="V2660" s="4" t="s">
        <v>270</v>
      </c>
      <c r="W2660" s="4" t="s">
        <v>271</v>
      </c>
      <c r="X2660" s="4" t="s">
        <v>273</v>
      </c>
      <c r="Y2660" s="4" t="s">
        <v>241</v>
      </c>
      <c r="AB2660" s="4" t="s">
        <v>241</v>
      </c>
      <c r="AD2660" s="5" t="s">
        <v>241</v>
      </c>
      <c r="AG2660" s="5" t="s">
        <v>246</v>
      </c>
      <c r="AH2660" s="4" t="s">
        <v>241</v>
      </c>
      <c r="AI2660" s="4" t="s">
        <v>247</v>
      </c>
      <c r="AJ2660" s="4" t="s">
        <v>248</v>
      </c>
      <c r="AZ2660" s="4" t="s">
        <v>249</v>
      </c>
      <c r="BA2660" s="4" t="s">
        <v>241</v>
      </c>
      <c r="BB2660" s="4" t="s">
        <v>250</v>
      </c>
      <c r="BC2660" s="4" t="s">
        <v>241</v>
      </c>
      <c r="BD2660" s="4" t="s">
        <v>252</v>
      </c>
      <c r="BE2660" s="4" t="s">
        <v>241</v>
      </c>
      <c r="BI2660" s="4" t="s">
        <v>253</v>
      </c>
      <c r="BJ2660" s="5" t="s">
        <v>246</v>
      </c>
      <c r="BK2660" s="4" t="s">
        <v>254</v>
      </c>
      <c r="BL2660" s="4" t="s">
        <v>255</v>
      </c>
      <c r="BM2660" s="4" t="s">
        <v>241</v>
      </c>
      <c r="BN2660" s="6">
        <f>0</f>
        <v>0</v>
      </c>
      <c r="BO2660" s="6">
        <f>0</f>
        <v>0</v>
      </c>
      <c r="BP2660" s="4" t="s">
        <v>256</v>
      </c>
      <c r="BQ2660" s="4" t="s">
        <v>257</v>
      </c>
      <c r="CE2660" s="4" t="s">
        <v>241</v>
      </c>
      <c r="CF2660" s="4" t="s">
        <v>241</v>
      </c>
      <c r="CJ2660" s="4" t="s">
        <v>276</v>
      </c>
      <c r="CK2660" s="4" t="s">
        <v>259</v>
      </c>
      <c r="CL2660" s="4" t="s">
        <v>241</v>
      </c>
      <c r="CO2660" s="5" t="s">
        <v>260</v>
      </c>
      <c r="CP2660" s="4" t="s">
        <v>241</v>
      </c>
      <c r="CQ2660" s="4" t="s">
        <v>261</v>
      </c>
      <c r="CR2660" s="4" t="s">
        <v>241</v>
      </c>
      <c r="CS2660" s="4" t="s">
        <v>241</v>
      </c>
      <c r="CT2660" s="4">
        <v>0</v>
      </c>
      <c r="CU2660" s="4" t="s">
        <v>262</v>
      </c>
      <c r="CV2660" s="4" t="s">
        <v>263</v>
      </c>
      <c r="CW2660" s="4" t="s">
        <v>263</v>
      </c>
      <c r="CX2660" s="4" t="s">
        <v>264</v>
      </c>
      <c r="DA2660" s="6">
        <f>1</f>
        <v>1</v>
      </c>
      <c r="DC2660" s="4" t="s">
        <v>325</v>
      </c>
      <c r="DD2660" s="4" t="s">
        <v>241</v>
      </c>
      <c r="DF2660" s="4" t="s">
        <v>325</v>
      </c>
      <c r="DG2660" s="6">
        <f>279</f>
        <v>279</v>
      </c>
      <c r="DI2660" s="4" t="s">
        <v>241</v>
      </c>
      <c r="DJ2660" s="4" t="s">
        <v>241</v>
      </c>
      <c r="DK2660" s="4" t="s">
        <v>241</v>
      </c>
      <c r="DL2660" s="4" t="s">
        <v>241</v>
      </c>
      <c r="DP2660" s="4" t="s">
        <v>241</v>
      </c>
      <c r="DQ2660" s="4" t="s">
        <v>241</v>
      </c>
      <c r="DR2660" s="4" t="s">
        <v>241</v>
      </c>
      <c r="DS2660" s="4" t="s">
        <v>241</v>
      </c>
      <c r="DV2660" s="4" t="s">
        <v>426</v>
      </c>
      <c r="DW2660" s="4" t="s">
        <v>619</v>
      </c>
      <c r="HO2660" s="4" t="s">
        <v>267</v>
      </c>
    </row>
    <row r="2661" spans="1:223" ht="19.5" customHeight="1" x14ac:dyDescent="0.4">
      <c r="A2661" s="4">
        <v>1</v>
      </c>
      <c r="B2661" s="4" t="s">
        <v>239</v>
      </c>
      <c r="C2661" s="4">
        <v>4364</v>
      </c>
      <c r="D2661" s="4">
        <v>1</v>
      </c>
      <c r="E2661" s="4">
        <v>1</v>
      </c>
      <c r="F2661" s="4" t="s">
        <v>268</v>
      </c>
      <c r="G2661" s="4" t="s">
        <v>241</v>
      </c>
      <c r="H2661" s="4" t="s">
        <v>241</v>
      </c>
      <c r="I2661" s="4" t="s">
        <v>424</v>
      </c>
      <c r="J2661" s="4" t="s">
        <v>274</v>
      </c>
      <c r="K2661" s="4" t="s">
        <v>251</v>
      </c>
      <c r="L2661" s="4" t="s">
        <v>423</v>
      </c>
      <c r="M2661" s="5" t="s">
        <v>4350</v>
      </c>
      <c r="N2661" s="6">
        <f>985</f>
        <v>985</v>
      </c>
      <c r="O2661" s="4" t="s">
        <v>265</v>
      </c>
      <c r="P2661" s="6">
        <f>1</f>
        <v>1</v>
      </c>
      <c r="Q2661" s="6">
        <f>0</f>
        <v>0</v>
      </c>
      <c r="S2661" s="6">
        <f>0</f>
        <v>0</v>
      </c>
      <c r="T2661" s="6">
        <f>1</f>
        <v>1</v>
      </c>
      <c r="U2661" s="5" t="s">
        <v>245</v>
      </c>
      <c r="V2661" s="4" t="s">
        <v>270</v>
      </c>
      <c r="W2661" s="4" t="s">
        <v>271</v>
      </c>
      <c r="X2661" s="4" t="s">
        <v>273</v>
      </c>
      <c r="Y2661" s="4" t="s">
        <v>241</v>
      </c>
      <c r="AB2661" s="4" t="s">
        <v>241</v>
      </c>
      <c r="AD2661" s="5" t="s">
        <v>241</v>
      </c>
      <c r="AG2661" s="5" t="s">
        <v>246</v>
      </c>
      <c r="AH2661" s="4" t="s">
        <v>241</v>
      </c>
      <c r="AI2661" s="4" t="s">
        <v>247</v>
      </c>
      <c r="AJ2661" s="4" t="s">
        <v>248</v>
      </c>
      <c r="AZ2661" s="4" t="s">
        <v>249</v>
      </c>
      <c r="BA2661" s="4" t="s">
        <v>241</v>
      </c>
      <c r="BB2661" s="4" t="s">
        <v>250</v>
      </c>
      <c r="BC2661" s="4" t="s">
        <v>241</v>
      </c>
      <c r="BD2661" s="4" t="s">
        <v>252</v>
      </c>
      <c r="BE2661" s="4" t="s">
        <v>241</v>
      </c>
      <c r="BI2661" s="4" t="s">
        <v>253</v>
      </c>
      <c r="BJ2661" s="5" t="s">
        <v>246</v>
      </c>
      <c r="BK2661" s="4" t="s">
        <v>254</v>
      </c>
      <c r="BL2661" s="4" t="s">
        <v>255</v>
      </c>
      <c r="BM2661" s="4" t="s">
        <v>241</v>
      </c>
      <c r="BN2661" s="6">
        <f>0</f>
        <v>0</v>
      </c>
      <c r="BO2661" s="6">
        <f>0</f>
        <v>0</v>
      </c>
      <c r="BP2661" s="4" t="s">
        <v>256</v>
      </c>
      <c r="BQ2661" s="4" t="s">
        <v>257</v>
      </c>
      <c r="CE2661" s="4" t="s">
        <v>241</v>
      </c>
      <c r="CF2661" s="4" t="s">
        <v>241</v>
      </c>
      <c r="CJ2661" s="4" t="s">
        <v>276</v>
      </c>
      <c r="CK2661" s="4" t="s">
        <v>259</v>
      </c>
      <c r="CL2661" s="4" t="s">
        <v>241</v>
      </c>
      <c r="CO2661" s="5" t="s">
        <v>260</v>
      </c>
      <c r="CP2661" s="4" t="s">
        <v>241</v>
      </c>
      <c r="CQ2661" s="4" t="s">
        <v>261</v>
      </c>
      <c r="CR2661" s="4" t="s">
        <v>241</v>
      </c>
      <c r="CS2661" s="4" t="s">
        <v>241</v>
      </c>
      <c r="CT2661" s="4">
        <v>0</v>
      </c>
      <c r="CU2661" s="4" t="s">
        <v>262</v>
      </c>
      <c r="CV2661" s="4" t="s">
        <v>263</v>
      </c>
      <c r="CW2661" s="4" t="s">
        <v>263</v>
      </c>
      <c r="CX2661" s="4" t="s">
        <v>264</v>
      </c>
      <c r="DA2661" s="6">
        <f>1</f>
        <v>1</v>
      </c>
      <c r="DC2661" s="4" t="s">
        <v>325</v>
      </c>
      <c r="DD2661" s="4" t="s">
        <v>241</v>
      </c>
      <c r="DF2661" s="4" t="s">
        <v>325</v>
      </c>
      <c r="DG2661" s="6">
        <f>985</f>
        <v>985</v>
      </c>
      <c r="DI2661" s="4" t="s">
        <v>241</v>
      </c>
      <c r="DJ2661" s="4" t="s">
        <v>241</v>
      </c>
      <c r="DK2661" s="4" t="s">
        <v>241</v>
      </c>
      <c r="DL2661" s="4" t="s">
        <v>241</v>
      </c>
      <c r="DP2661" s="4" t="s">
        <v>241</v>
      </c>
      <c r="DQ2661" s="4" t="s">
        <v>241</v>
      </c>
      <c r="DR2661" s="4" t="s">
        <v>241</v>
      </c>
      <c r="DS2661" s="4" t="s">
        <v>241</v>
      </c>
      <c r="DV2661" s="4" t="s">
        <v>426</v>
      </c>
      <c r="DW2661" s="4" t="s">
        <v>2537</v>
      </c>
      <c r="HO2661" s="4" t="s">
        <v>267</v>
      </c>
    </row>
    <row r="2662" spans="1:223" ht="19.5" customHeight="1" x14ac:dyDescent="0.4">
      <c r="A2662" s="4">
        <v>1</v>
      </c>
      <c r="B2662" s="4" t="s">
        <v>239</v>
      </c>
      <c r="C2662" s="4">
        <v>4365</v>
      </c>
      <c r="D2662" s="4">
        <v>1</v>
      </c>
      <c r="E2662" s="4">
        <v>1</v>
      </c>
      <c r="F2662" s="4" t="s">
        <v>268</v>
      </c>
      <c r="G2662" s="4" t="s">
        <v>241</v>
      </c>
      <c r="H2662" s="4" t="s">
        <v>241</v>
      </c>
      <c r="I2662" s="4" t="s">
        <v>424</v>
      </c>
      <c r="J2662" s="4" t="s">
        <v>274</v>
      </c>
      <c r="K2662" s="4" t="s">
        <v>251</v>
      </c>
      <c r="L2662" s="4" t="s">
        <v>423</v>
      </c>
      <c r="M2662" s="5" t="s">
        <v>633</v>
      </c>
      <c r="N2662" s="6">
        <f>1024</f>
        <v>1024</v>
      </c>
      <c r="O2662" s="4" t="s">
        <v>265</v>
      </c>
      <c r="P2662" s="6">
        <f>1</f>
        <v>1</v>
      </c>
      <c r="Q2662" s="6">
        <f>0</f>
        <v>0</v>
      </c>
      <c r="S2662" s="6">
        <f>0</f>
        <v>0</v>
      </c>
      <c r="T2662" s="6">
        <f>1</f>
        <v>1</v>
      </c>
      <c r="U2662" s="5" t="s">
        <v>245</v>
      </c>
      <c r="V2662" s="4" t="s">
        <v>270</v>
      </c>
      <c r="W2662" s="4" t="s">
        <v>271</v>
      </c>
      <c r="X2662" s="4" t="s">
        <v>273</v>
      </c>
      <c r="Y2662" s="4" t="s">
        <v>241</v>
      </c>
      <c r="AB2662" s="4" t="s">
        <v>241</v>
      </c>
      <c r="AD2662" s="5" t="s">
        <v>241</v>
      </c>
      <c r="AG2662" s="5" t="s">
        <v>246</v>
      </c>
      <c r="AH2662" s="4" t="s">
        <v>241</v>
      </c>
      <c r="AI2662" s="4" t="s">
        <v>247</v>
      </c>
      <c r="AJ2662" s="4" t="s">
        <v>248</v>
      </c>
      <c r="AZ2662" s="4" t="s">
        <v>249</v>
      </c>
      <c r="BA2662" s="4" t="s">
        <v>241</v>
      </c>
      <c r="BB2662" s="4" t="s">
        <v>250</v>
      </c>
      <c r="BC2662" s="4" t="s">
        <v>241</v>
      </c>
      <c r="BD2662" s="4" t="s">
        <v>252</v>
      </c>
      <c r="BE2662" s="4" t="s">
        <v>241</v>
      </c>
      <c r="BI2662" s="4" t="s">
        <v>253</v>
      </c>
      <c r="BJ2662" s="5" t="s">
        <v>246</v>
      </c>
      <c r="BK2662" s="4" t="s">
        <v>254</v>
      </c>
      <c r="BL2662" s="4" t="s">
        <v>255</v>
      </c>
      <c r="BM2662" s="4" t="s">
        <v>241</v>
      </c>
      <c r="BN2662" s="6">
        <f>0</f>
        <v>0</v>
      </c>
      <c r="BO2662" s="6">
        <f>0</f>
        <v>0</v>
      </c>
      <c r="BP2662" s="4" t="s">
        <v>256</v>
      </c>
      <c r="BQ2662" s="4" t="s">
        <v>257</v>
      </c>
      <c r="CE2662" s="4" t="s">
        <v>241</v>
      </c>
      <c r="CF2662" s="4" t="s">
        <v>241</v>
      </c>
      <c r="CJ2662" s="4" t="s">
        <v>276</v>
      </c>
      <c r="CK2662" s="4" t="s">
        <v>259</v>
      </c>
      <c r="CL2662" s="4" t="s">
        <v>241</v>
      </c>
      <c r="CO2662" s="5" t="s">
        <v>260</v>
      </c>
      <c r="CP2662" s="4" t="s">
        <v>241</v>
      </c>
      <c r="CQ2662" s="4" t="s">
        <v>261</v>
      </c>
      <c r="CR2662" s="4" t="s">
        <v>241</v>
      </c>
      <c r="CS2662" s="4" t="s">
        <v>241</v>
      </c>
      <c r="CT2662" s="4">
        <v>0</v>
      </c>
      <c r="CU2662" s="4" t="s">
        <v>262</v>
      </c>
      <c r="CV2662" s="4" t="s">
        <v>263</v>
      </c>
      <c r="CW2662" s="4" t="s">
        <v>263</v>
      </c>
      <c r="CX2662" s="4" t="s">
        <v>264</v>
      </c>
      <c r="DA2662" s="6">
        <f>1</f>
        <v>1</v>
      </c>
      <c r="DC2662" s="4" t="s">
        <v>325</v>
      </c>
      <c r="DD2662" s="4" t="s">
        <v>241</v>
      </c>
      <c r="DF2662" s="4" t="s">
        <v>325</v>
      </c>
      <c r="DG2662" s="6">
        <f>1024</f>
        <v>1024</v>
      </c>
      <c r="DI2662" s="4" t="s">
        <v>241</v>
      </c>
      <c r="DJ2662" s="4" t="s">
        <v>241</v>
      </c>
      <c r="DK2662" s="4" t="s">
        <v>241</v>
      </c>
      <c r="DL2662" s="4" t="s">
        <v>241</v>
      </c>
      <c r="DP2662" s="4" t="s">
        <v>241</v>
      </c>
      <c r="DQ2662" s="4" t="s">
        <v>241</v>
      </c>
      <c r="DR2662" s="4" t="s">
        <v>241</v>
      </c>
      <c r="DS2662" s="4" t="s">
        <v>241</v>
      </c>
      <c r="DV2662" s="4" t="s">
        <v>426</v>
      </c>
      <c r="DW2662" s="4" t="s">
        <v>634</v>
      </c>
      <c r="HO2662" s="4" t="s">
        <v>267</v>
      </c>
    </row>
    <row r="2663" spans="1:223" ht="19.5" customHeight="1" x14ac:dyDescent="0.4">
      <c r="A2663" s="4">
        <v>1</v>
      </c>
      <c r="B2663" s="4" t="s">
        <v>239</v>
      </c>
      <c r="C2663" s="4">
        <v>4366</v>
      </c>
      <c r="D2663" s="4">
        <v>1</v>
      </c>
      <c r="E2663" s="4">
        <v>1</v>
      </c>
      <c r="F2663" s="4" t="s">
        <v>268</v>
      </c>
      <c r="G2663" s="4" t="s">
        <v>241</v>
      </c>
      <c r="H2663" s="4" t="s">
        <v>241</v>
      </c>
      <c r="I2663" s="4" t="s">
        <v>424</v>
      </c>
      <c r="J2663" s="4" t="s">
        <v>274</v>
      </c>
      <c r="K2663" s="4" t="s">
        <v>251</v>
      </c>
      <c r="L2663" s="4" t="s">
        <v>423</v>
      </c>
      <c r="M2663" s="5" t="s">
        <v>3425</v>
      </c>
      <c r="N2663" s="6">
        <f>1110</f>
        <v>1110</v>
      </c>
      <c r="O2663" s="4" t="s">
        <v>265</v>
      </c>
      <c r="P2663" s="6">
        <f>1</f>
        <v>1</v>
      </c>
      <c r="Q2663" s="6">
        <f>0</f>
        <v>0</v>
      </c>
      <c r="S2663" s="6">
        <f>0</f>
        <v>0</v>
      </c>
      <c r="T2663" s="6">
        <f>1</f>
        <v>1</v>
      </c>
      <c r="U2663" s="5" t="s">
        <v>245</v>
      </c>
      <c r="V2663" s="4" t="s">
        <v>270</v>
      </c>
      <c r="W2663" s="4" t="s">
        <v>271</v>
      </c>
      <c r="X2663" s="4" t="s">
        <v>273</v>
      </c>
      <c r="Y2663" s="4" t="s">
        <v>241</v>
      </c>
      <c r="AB2663" s="4" t="s">
        <v>241</v>
      </c>
      <c r="AD2663" s="5" t="s">
        <v>241</v>
      </c>
      <c r="AG2663" s="5" t="s">
        <v>246</v>
      </c>
      <c r="AH2663" s="4" t="s">
        <v>241</v>
      </c>
      <c r="AI2663" s="4" t="s">
        <v>247</v>
      </c>
      <c r="AJ2663" s="4" t="s">
        <v>248</v>
      </c>
      <c r="AZ2663" s="4" t="s">
        <v>249</v>
      </c>
      <c r="BA2663" s="4" t="s">
        <v>241</v>
      </c>
      <c r="BB2663" s="4" t="s">
        <v>250</v>
      </c>
      <c r="BC2663" s="4" t="s">
        <v>241</v>
      </c>
      <c r="BD2663" s="4" t="s">
        <v>252</v>
      </c>
      <c r="BE2663" s="4" t="s">
        <v>241</v>
      </c>
      <c r="BI2663" s="4" t="s">
        <v>253</v>
      </c>
      <c r="BJ2663" s="5" t="s">
        <v>246</v>
      </c>
      <c r="BK2663" s="4" t="s">
        <v>254</v>
      </c>
      <c r="BL2663" s="4" t="s">
        <v>255</v>
      </c>
      <c r="BM2663" s="4" t="s">
        <v>241</v>
      </c>
      <c r="BN2663" s="6">
        <f>0</f>
        <v>0</v>
      </c>
      <c r="BO2663" s="6">
        <f>0</f>
        <v>0</v>
      </c>
      <c r="BP2663" s="4" t="s">
        <v>256</v>
      </c>
      <c r="BQ2663" s="4" t="s">
        <v>257</v>
      </c>
      <c r="CE2663" s="4" t="s">
        <v>241</v>
      </c>
      <c r="CF2663" s="4" t="s">
        <v>241</v>
      </c>
      <c r="CJ2663" s="4" t="s">
        <v>276</v>
      </c>
      <c r="CK2663" s="4" t="s">
        <v>259</v>
      </c>
      <c r="CL2663" s="4" t="s">
        <v>241</v>
      </c>
      <c r="CO2663" s="5" t="s">
        <v>260</v>
      </c>
      <c r="CP2663" s="4" t="s">
        <v>241</v>
      </c>
      <c r="CQ2663" s="4" t="s">
        <v>261</v>
      </c>
      <c r="CR2663" s="4" t="s">
        <v>241</v>
      </c>
      <c r="CS2663" s="4" t="s">
        <v>241</v>
      </c>
      <c r="CT2663" s="4">
        <v>0</v>
      </c>
      <c r="CU2663" s="4" t="s">
        <v>262</v>
      </c>
      <c r="CV2663" s="4" t="s">
        <v>263</v>
      </c>
      <c r="CW2663" s="4" t="s">
        <v>263</v>
      </c>
      <c r="CX2663" s="4" t="s">
        <v>264</v>
      </c>
      <c r="DA2663" s="6">
        <f>1</f>
        <v>1</v>
      </c>
      <c r="DC2663" s="4" t="s">
        <v>325</v>
      </c>
      <c r="DD2663" s="4" t="s">
        <v>241</v>
      </c>
      <c r="DF2663" s="4" t="s">
        <v>325</v>
      </c>
      <c r="DG2663" s="6">
        <f>1110</f>
        <v>1110</v>
      </c>
      <c r="DI2663" s="4" t="s">
        <v>241</v>
      </c>
      <c r="DJ2663" s="4" t="s">
        <v>241</v>
      </c>
      <c r="DK2663" s="4" t="s">
        <v>241</v>
      </c>
      <c r="DL2663" s="4" t="s">
        <v>241</v>
      </c>
      <c r="DP2663" s="4" t="s">
        <v>241</v>
      </c>
      <c r="DQ2663" s="4" t="s">
        <v>241</v>
      </c>
      <c r="DR2663" s="4" t="s">
        <v>241</v>
      </c>
      <c r="DS2663" s="4" t="s">
        <v>241</v>
      </c>
      <c r="DV2663" s="4" t="s">
        <v>426</v>
      </c>
      <c r="DW2663" s="4" t="s">
        <v>2534</v>
      </c>
      <c r="HO2663" s="4" t="s">
        <v>267</v>
      </c>
    </row>
    <row r="2664" spans="1:223" ht="19.5" customHeight="1" x14ac:dyDescent="0.4">
      <c r="A2664" s="4">
        <v>1</v>
      </c>
      <c r="B2664" s="4" t="s">
        <v>239</v>
      </c>
      <c r="C2664" s="4">
        <v>4367</v>
      </c>
      <c r="D2664" s="4">
        <v>1</v>
      </c>
      <c r="E2664" s="4">
        <v>1</v>
      </c>
      <c r="F2664" s="4" t="s">
        <v>268</v>
      </c>
      <c r="G2664" s="4" t="s">
        <v>241</v>
      </c>
      <c r="H2664" s="4" t="s">
        <v>241</v>
      </c>
      <c r="I2664" s="4" t="s">
        <v>424</v>
      </c>
      <c r="J2664" s="4" t="s">
        <v>274</v>
      </c>
      <c r="K2664" s="4" t="s">
        <v>251</v>
      </c>
      <c r="L2664" s="4" t="s">
        <v>423</v>
      </c>
      <c r="M2664" s="5" t="s">
        <v>639</v>
      </c>
      <c r="N2664" s="6">
        <f>1205</f>
        <v>1205</v>
      </c>
      <c r="O2664" s="4" t="s">
        <v>265</v>
      </c>
      <c r="P2664" s="6">
        <f>1</f>
        <v>1</v>
      </c>
      <c r="Q2664" s="6">
        <f>0</f>
        <v>0</v>
      </c>
      <c r="S2664" s="6">
        <f>0</f>
        <v>0</v>
      </c>
      <c r="T2664" s="6">
        <f>1</f>
        <v>1</v>
      </c>
      <c r="U2664" s="5" t="s">
        <v>245</v>
      </c>
      <c r="V2664" s="4" t="s">
        <v>270</v>
      </c>
      <c r="W2664" s="4" t="s">
        <v>271</v>
      </c>
      <c r="X2664" s="4" t="s">
        <v>273</v>
      </c>
      <c r="Y2664" s="4" t="s">
        <v>241</v>
      </c>
      <c r="AB2664" s="4" t="s">
        <v>241</v>
      </c>
      <c r="AD2664" s="5" t="s">
        <v>241</v>
      </c>
      <c r="AG2664" s="5" t="s">
        <v>246</v>
      </c>
      <c r="AH2664" s="4" t="s">
        <v>241</v>
      </c>
      <c r="AI2664" s="4" t="s">
        <v>247</v>
      </c>
      <c r="AJ2664" s="4" t="s">
        <v>248</v>
      </c>
      <c r="AZ2664" s="4" t="s">
        <v>249</v>
      </c>
      <c r="BA2664" s="4" t="s">
        <v>241</v>
      </c>
      <c r="BB2664" s="4" t="s">
        <v>250</v>
      </c>
      <c r="BC2664" s="4" t="s">
        <v>241</v>
      </c>
      <c r="BD2664" s="4" t="s">
        <v>252</v>
      </c>
      <c r="BE2664" s="4" t="s">
        <v>241</v>
      </c>
      <c r="BI2664" s="4" t="s">
        <v>253</v>
      </c>
      <c r="BJ2664" s="5" t="s">
        <v>246</v>
      </c>
      <c r="BK2664" s="4" t="s">
        <v>254</v>
      </c>
      <c r="BL2664" s="4" t="s">
        <v>255</v>
      </c>
      <c r="BM2664" s="4" t="s">
        <v>241</v>
      </c>
      <c r="BN2664" s="6">
        <f>0</f>
        <v>0</v>
      </c>
      <c r="BO2664" s="6">
        <f>0</f>
        <v>0</v>
      </c>
      <c r="BP2664" s="4" t="s">
        <v>256</v>
      </c>
      <c r="BQ2664" s="4" t="s">
        <v>257</v>
      </c>
      <c r="CE2664" s="4" t="s">
        <v>241</v>
      </c>
      <c r="CF2664" s="4" t="s">
        <v>241</v>
      </c>
      <c r="CJ2664" s="4" t="s">
        <v>276</v>
      </c>
      <c r="CK2664" s="4" t="s">
        <v>259</v>
      </c>
      <c r="CL2664" s="4" t="s">
        <v>241</v>
      </c>
      <c r="CO2664" s="5" t="s">
        <v>260</v>
      </c>
      <c r="CP2664" s="4" t="s">
        <v>241</v>
      </c>
      <c r="CQ2664" s="4" t="s">
        <v>261</v>
      </c>
      <c r="CR2664" s="4" t="s">
        <v>241</v>
      </c>
      <c r="CS2664" s="4" t="s">
        <v>241</v>
      </c>
      <c r="CT2664" s="4">
        <v>0</v>
      </c>
      <c r="CU2664" s="4" t="s">
        <v>262</v>
      </c>
      <c r="CV2664" s="4" t="s">
        <v>263</v>
      </c>
      <c r="CW2664" s="4" t="s">
        <v>263</v>
      </c>
      <c r="CX2664" s="4" t="s">
        <v>264</v>
      </c>
      <c r="DA2664" s="6">
        <f>1</f>
        <v>1</v>
      </c>
      <c r="DC2664" s="4" t="s">
        <v>325</v>
      </c>
      <c r="DD2664" s="4" t="s">
        <v>241</v>
      </c>
      <c r="DF2664" s="4" t="s">
        <v>325</v>
      </c>
      <c r="DG2664" s="6">
        <f>1205</f>
        <v>1205</v>
      </c>
      <c r="DI2664" s="4" t="s">
        <v>241</v>
      </c>
      <c r="DJ2664" s="4" t="s">
        <v>241</v>
      </c>
      <c r="DK2664" s="4" t="s">
        <v>241</v>
      </c>
      <c r="DL2664" s="4" t="s">
        <v>241</v>
      </c>
      <c r="DP2664" s="4" t="s">
        <v>241</v>
      </c>
      <c r="DQ2664" s="4" t="s">
        <v>241</v>
      </c>
      <c r="DR2664" s="4" t="s">
        <v>241</v>
      </c>
      <c r="DS2664" s="4" t="s">
        <v>241</v>
      </c>
      <c r="DV2664" s="4" t="s">
        <v>426</v>
      </c>
      <c r="DW2664" s="4" t="s">
        <v>640</v>
      </c>
      <c r="HO2664" s="4" t="s">
        <v>267</v>
      </c>
    </row>
    <row r="2665" spans="1:223" ht="19.5" customHeight="1" x14ac:dyDescent="0.4">
      <c r="A2665" s="4">
        <v>1</v>
      </c>
      <c r="B2665" s="4" t="s">
        <v>239</v>
      </c>
      <c r="C2665" s="4">
        <v>4368</v>
      </c>
      <c r="D2665" s="4">
        <v>1</v>
      </c>
      <c r="E2665" s="4">
        <v>1</v>
      </c>
      <c r="F2665" s="4" t="s">
        <v>268</v>
      </c>
      <c r="G2665" s="4" t="s">
        <v>241</v>
      </c>
      <c r="H2665" s="4" t="s">
        <v>241</v>
      </c>
      <c r="I2665" s="4" t="s">
        <v>424</v>
      </c>
      <c r="J2665" s="4" t="s">
        <v>274</v>
      </c>
      <c r="K2665" s="4" t="s">
        <v>251</v>
      </c>
      <c r="L2665" s="4" t="s">
        <v>423</v>
      </c>
      <c r="M2665" s="5" t="s">
        <v>641</v>
      </c>
      <c r="N2665" s="6">
        <f>2598</f>
        <v>2598</v>
      </c>
      <c r="O2665" s="4" t="s">
        <v>265</v>
      </c>
      <c r="P2665" s="6">
        <f>1</f>
        <v>1</v>
      </c>
      <c r="Q2665" s="6">
        <f>0</f>
        <v>0</v>
      </c>
      <c r="S2665" s="6">
        <f>0</f>
        <v>0</v>
      </c>
      <c r="T2665" s="6">
        <f>1</f>
        <v>1</v>
      </c>
      <c r="U2665" s="5" t="s">
        <v>245</v>
      </c>
      <c r="V2665" s="4" t="s">
        <v>270</v>
      </c>
      <c r="W2665" s="4" t="s">
        <v>271</v>
      </c>
      <c r="X2665" s="4" t="s">
        <v>273</v>
      </c>
      <c r="Y2665" s="4" t="s">
        <v>241</v>
      </c>
      <c r="AB2665" s="4" t="s">
        <v>241</v>
      </c>
      <c r="AD2665" s="5" t="s">
        <v>241</v>
      </c>
      <c r="AG2665" s="5" t="s">
        <v>246</v>
      </c>
      <c r="AH2665" s="4" t="s">
        <v>241</v>
      </c>
      <c r="AI2665" s="4" t="s">
        <v>247</v>
      </c>
      <c r="AJ2665" s="4" t="s">
        <v>248</v>
      </c>
      <c r="AZ2665" s="4" t="s">
        <v>249</v>
      </c>
      <c r="BA2665" s="4" t="s">
        <v>241</v>
      </c>
      <c r="BB2665" s="4" t="s">
        <v>250</v>
      </c>
      <c r="BC2665" s="4" t="s">
        <v>241</v>
      </c>
      <c r="BD2665" s="4" t="s">
        <v>252</v>
      </c>
      <c r="BE2665" s="4" t="s">
        <v>241</v>
      </c>
      <c r="BI2665" s="4" t="s">
        <v>253</v>
      </c>
      <c r="BJ2665" s="5" t="s">
        <v>246</v>
      </c>
      <c r="BK2665" s="4" t="s">
        <v>254</v>
      </c>
      <c r="BL2665" s="4" t="s">
        <v>255</v>
      </c>
      <c r="BM2665" s="4" t="s">
        <v>241</v>
      </c>
      <c r="BN2665" s="6">
        <f>0</f>
        <v>0</v>
      </c>
      <c r="BO2665" s="6">
        <f>0</f>
        <v>0</v>
      </c>
      <c r="BP2665" s="4" t="s">
        <v>256</v>
      </c>
      <c r="BQ2665" s="4" t="s">
        <v>257</v>
      </c>
      <c r="CE2665" s="4" t="s">
        <v>241</v>
      </c>
      <c r="CF2665" s="4" t="s">
        <v>241</v>
      </c>
      <c r="CJ2665" s="4" t="s">
        <v>276</v>
      </c>
      <c r="CK2665" s="4" t="s">
        <v>259</v>
      </c>
      <c r="CL2665" s="4" t="s">
        <v>241</v>
      </c>
      <c r="CO2665" s="5" t="s">
        <v>260</v>
      </c>
      <c r="CP2665" s="4" t="s">
        <v>241</v>
      </c>
      <c r="CQ2665" s="4" t="s">
        <v>261</v>
      </c>
      <c r="CR2665" s="4" t="s">
        <v>241</v>
      </c>
      <c r="CS2665" s="4" t="s">
        <v>241</v>
      </c>
      <c r="CT2665" s="4">
        <v>0</v>
      </c>
      <c r="CU2665" s="4" t="s">
        <v>262</v>
      </c>
      <c r="CV2665" s="4" t="s">
        <v>263</v>
      </c>
      <c r="CW2665" s="4" t="s">
        <v>263</v>
      </c>
      <c r="CX2665" s="4" t="s">
        <v>264</v>
      </c>
      <c r="DA2665" s="6">
        <f>1</f>
        <v>1</v>
      </c>
      <c r="DC2665" s="4" t="s">
        <v>325</v>
      </c>
      <c r="DD2665" s="4" t="s">
        <v>241</v>
      </c>
      <c r="DF2665" s="4" t="s">
        <v>325</v>
      </c>
      <c r="DG2665" s="6">
        <f>2598</f>
        <v>2598</v>
      </c>
      <c r="DI2665" s="4" t="s">
        <v>241</v>
      </c>
      <c r="DJ2665" s="4" t="s">
        <v>241</v>
      </c>
      <c r="DK2665" s="4" t="s">
        <v>241</v>
      </c>
      <c r="DL2665" s="4" t="s">
        <v>241</v>
      </c>
      <c r="DP2665" s="4" t="s">
        <v>241</v>
      </c>
      <c r="DQ2665" s="4" t="s">
        <v>241</v>
      </c>
      <c r="DR2665" s="4" t="s">
        <v>241</v>
      </c>
      <c r="DS2665" s="4" t="s">
        <v>241</v>
      </c>
      <c r="DV2665" s="4" t="s">
        <v>426</v>
      </c>
      <c r="DW2665" s="4" t="s">
        <v>642</v>
      </c>
      <c r="HO2665" s="4" t="s">
        <v>267</v>
      </c>
    </row>
    <row r="2666" spans="1:223" ht="19.5" customHeight="1" x14ac:dyDescent="0.4">
      <c r="A2666" s="4">
        <v>1</v>
      </c>
      <c r="B2666" s="4" t="s">
        <v>239</v>
      </c>
      <c r="C2666" s="4">
        <v>4369</v>
      </c>
      <c r="D2666" s="4">
        <v>1</v>
      </c>
      <c r="E2666" s="4">
        <v>1</v>
      </c>
      <c r="F2666" s="4" t="s">
        <v>268</v>
      </c>
      <c r="G2666" s="4" t="s">
        <v>241</v>
      </c>
      <c r="H2666" s="4" t="s">
        <v>241</v>
      </c>
      <c r="I2666" s="4" t="s">
        <v>424</v>
      </c>
      <c r="J2666" s="4" t="s">
        <v>274</v>
      </c>
      <c r="K2666" s="4" t="s">
        <v>251</v>
      </c>
      <c r="L2666" s="4" t="s">
        <v>423</v>
      </c>
      <c r="M2666" s="5" t="s">
        <v>653</v>
      </c>
      <c r="N2666" s="6">
        <f>249</f>
        <v>249</v>
      </c>
      <c r="O2666" s="4" t="s">
        <v>265</v>
      </c>
      <c r="P2666" s="6">
        <f>1</f>
        <v>1</v>
      </c>
      <c r="Q2666" s="6">
        <f>0</f>
        <v>0</v>
      </c>
      <c r="S2666" s="6">
        <f>0</f>
        <v>0</v>
      </c>
      <c r="T2666" s="6">
        <f>1</f>
        <v>1</v>
      </c>
      <c r="U2666" s="5" t="s">
        <v>245</v>
      </c>
      <c r="V2666" s="4" t="s">
        <v>270</v>
      </c>
      <c r="W2666" s="4" t="s">
        <v>271</v>
      </c>
      <c r="X2666" s="4" t="s">
        <v>273</v>
      </c>
      <c r="Y2666" s="4" t="s">
        <v>241</v>
      </c>
      <c r="AB2666" s="4" t="s">
        <v>241</v>
      </c>
      <c r="AD2666" s="5" t="s">
        <v>241</v>
      </c>
      <c r="AG2666" s="5" t="s">
        <v>246</v>
      </c>
      <c r="AH2666" s="4" t="s">
        <v>241</v>
      </c>
      <c r="AI2666" s="4" t="s">
        <v>247</v>
      </c>
      <c r="AJ2666" s="4" t="s">
        <v>248</v>
      </c>
      <c r="AZ2666" s="4" t="s">
        <v>249</v>
      </c>
      <c r="BA2666" s="4" t="s">
        <v>241</v>
      </c>
      <c r="BB2666" s="4" t="s">
        <v>250</v>
      </c>
      <c r="BC2666" s="4" t="s">
        <v>241</v>
      </c>
      <c r="BD2666" s="4" t="s">
        <v>252</v>
      </c>
      <c r="BE2666" s="4" t="s">
        <v>241</v>
      </c>
      <c r="BI2666" s="4" t="s">
        <v>253</v>
      </c>
      <c r="BJ2666" s="5" t="s">
        <v>246</v>
      </c>
      <c r="BK2666" s="4" t="s">
        <v>254</v>
      </c>
      <c r="BL2666" s="4" t="s">
        <v>255</v>
      </c>
      <c r="BM2666" s="4" t="s">
        <v>241</v>
      </c>
      <c r="BN2666" s="6">
        <f>0</f>
        <v>0</v>
      </c>
      <c r="BO2666" s="6">
        <f>0</f>
        <v>0</v>
      </c>
      <c r="BP2666" s="4" t="s">
        <v>256</v>
      </c>
      <c r="BQ2666" s="4" t="s">
        <v>257</v>
      </c>
      <c r="CE2666" s="4" t="s">
        <v>241</v>
      </c>
      <c r="CF2666" s="4" t="s">
        <v>241</v>
      </c>
      <c r="CJ2666" s="4" t="s">
        <v>276</v>
      </c>
      <c r="CK2666" s="4" t="s">
        <v>259</v>
      </c>
      <c r="CL2666" s="4" t="s">
        <v>241</v>
      </c>
      <c r="CO2666" s="5" t="s">
        <v>260</v>
      </c>
      <c r="CP2666" s="4" t="s">
        <v>241</v>
      </c>
      <c r="CQ2666" s="4" t="s">
        <v>261</v>
      </c>
      <c r="CR2666" s="4" t="s">
        <v>241</v>
      </c>
      <c r="CS2666" s="4" t="s">
        <v>241</v>
      </c>
      <c r="CT2666" s="4">
        <v>0</v>
      </c>
      <c r="CU2666" s="4" t="s">
        <v>262</v>
      </c>
      <c r="CV2666" s="4" t="s">
        <v>263</v>
      </c>
      <c r="CW2666" s="4" t="s">
        <v>263</v>
      </c>
      <c r="CX2666" s="4" t="s">
        <v>264</v>
      </c>
      <c r="DA2666" s="6">
        <f>1</f>
        <v>1</v>
      </c>
      <c r="DC2666" s="4" t="s">
        <v>325</v>
      </c>
      <c r="DD2666" s="4" t="s">
        <v>241</v>
      </c>
      <c r="DF2666" s="4" t="s">
        <v>325</v>
      </c>
      <c r="DG2666" s="6">
        <f>249</f>
        <v>249</v>
      </c>
      <c r="DI2666" s="4" t="s">
        <v>241</v>
      </c>
      <c r="DJ2666" s="4" t="s">
        <v>241</v>
      </c>
      <c r="DK2666" s="4" t="s">
        <v>241</v>
      </c>
      <c r="DL2666" s="4" t="s">
        <v>241</v>
      </c>
      <c r="DP2666" s="4" t="s">
        <v>241</v>
      </c>
      <c r="DQ2666" s="4" t="s">
        <v>241</v>
      </c>
      <c r="DR2666" s="4" t="s">
        <v>241</v>
      </c>
      <c r="DS2666" s="4" t="s">
        <v>241</v>
      </c>
      <c r="DV2666" s="4" t="s">
        <v>426</v>
      </c>
      <c r="DW2666" s="4" t="s">
        <v>654</v>
      </c>
      <c r="HO2666" s="4" t="s">
        <v>267</v>
      </c>
    </row>
    <row r="2667" spans="1:223" ht="19.5" customHeight="1" x14ac:dyDescent="0.4">
      <c r="A2667" s="4">
        <v>1</v>
      </c>
      <c r="B2667" s="4" t="s">
        <v>239</v>
      </c>
      <c r="C2667" s="4">
        <v>4370</v>
      </c>
      <c r="D2667" s="4">
        <v>1</v>
      </c>
      <c r="E2667" s="4">
        <v>1</v>
      </c>
      <c r="F2667" s="4" t="s">
        <v>268</v>
      </c>
      <c r="G2667" s="4" t="s">
        <v>241</v>
      </c>
      <c r="H2667" s="4" t="s">
        <v>241</v>
      </c>
      <c r="I2667" s="4" t="s">
        <v>424</v>
      </c>
      <c r="J2667" s="4" t="s">
        <v>274</v>
      </c>
      <c r="K2667" s="4" t="s">
        <v>251</v>
      </c>
      <c r="L2667" s="4" t="s">
        <v>423</v>
      </c>
      <c r="M2667" s="5" t="s">
        <v>661</v>
      </c>
      <c r="N2667" s="6">
        <f>856</f>
        <v>856</v>
      </c>
      <c r="O2667" s="4" t="s">
        <v>265</v>
      </c>
      <c r="P2667" s="6">
        <f>1</f>
        <v>1</v>
      </c>
      <c r="Q2667" s="6">
        <f>0</f>
        <v>0</v>
      </c>
      <c r="S2667" s="6">
        <f>0</f>
        <v>0</v>
      </c>
      <c r="T2667" s="6">
        <f>1</f>
        <v>1</v>
      </c>
      <c r="U2667" s="5" t="s">
        <v>245</v>
      </c>
      <c r="V2667" s="4" t="s">
        <v>270</v>
      </c>
      <c r="W2667" s="4" t="s">
        <v>271</v>
      </c>
      <c r="X2667" s="4" t="s">
        <v>273</v>
      </c>
      <c r="Y2667" s="4" t="s">
        <v>241</v>
      </c>
      <c r="AB2667" s="4" t="s">
        <v>241</v>
      </c>
      <c r="AD2667" s="5" t="s">
        <v>241</v>
      </c>
      <c r="AG2667" s="5" t="s">
        <v>246</v>
      </c>
      <c r="AH2667" s="4" t="s">
        <v>241</v>
      </c>
      <c r="AI2667" s="4" t="s">
        <v>247</v>
      </c>
      <c r="AJ2667" s="4" t="s">
        <v>248</v>
      </c>
      <c r="AZ2667" s="4" t="s">
        <v>249</v>
      </c>
      <c r="BA2667" s="4" t="s">
        <v>241</v>
      </c>
      <c r="BB2667" s="4" t="s">
        <v>250</v>
      </c>
      <c r="BC2667" s="4" t="s">
        <v>241</v>
      </c>
      <c r="BD2667" s="4" t="s">
        <v>252</v>
      </c>
      <c r="BE2667" s="4" t="s">
        <v>241</v>
      </c>
      <c r="BI2667" s="4" t="s">
        <v>253</v>
      </c>
      <c r="BJ2667" s="5" t="s">
        <v>246</v>
      </c>
      <c r="BK2667" s="4" t="s">
        <v>254</v>
      </c>
      <c r="BL2667" s="4" t="s">
        <v>255</v>
      </c>
      <c r="BM2667" s="4" t="s">
        <v>241</v>
      </c>
      <c r="BN2667" s="6">
        <f>0</f>
        <v>0</v>
      </c>
      <c r="BO2667" s="6">
        <f>0</f>
        <v>0</v>
      </c>
      <c r="BP2667" s="4" t="s">
        <v>256</v>
      </c>
      <c r="BQ2667" s="4" t="s">
        <v>257</v>
      </c>
      <c r="CE2667" s="4" t="s">
        <v>241</v>
      </c>
      <c r="CF2667" s="4" t="s">
        <v>241</v>
      </c>
      <c r="CJ2667" s="4" t="s">
        <v>276</v>
      </c>
      <c r="CK2667" s="4" t="s">
        <v>259</v>
      </c>
      <c r="CL2667" s="4" t="s">
        <v>241</v>
      </c>
      <c r="CO2667" s="5" t="s">
        <v>260</v>
      </c>
      <c r="CP2667" s="4" t="s">
        <v>241</v>
      </c>
      <c r="CQ2667" s="4" t="s">
        <v>261</v>
      </c>
      <c r="CR2667" s="4" t="s">
        <v>241</v>
      </c>
      <c r="CS2667" s="4" t="s">
        <v>241</v>
      </c>
      <c r="CT2667" s="4">
        <v>0</v>
      </c>
      <c r="CU2667" s="4" t="s">
        <v>262</v>
      </c>
      <c r="CV2667" s="4" t="s">
        <v>263</v>
      </c>
      <c r="CW2667" s="4" t="s">
        <v>263</v>
      </c>
      <c r="CX2667" s="4" t="s">
        <v>264</v>
      </c>
      <c r="DA2667" s="6">
        <f>1</f>
        <v>1</v>
      </c>
      <c r="DC2667" s="4" t="s">
        <v>325</v>
      </c>
      <c r="DD2667" s="4" t="s">
        <v>241</v>
      </c>
      <c r="DF2667" s="4" t="s">
        <v>325</v>
      </c>
      <c r="DG2667" s="6">
        <f>856</f>
        <v>856</v>
      </c>
      <c r="DI2667" s="4" t="s">
        <v>241</v>
      </c>
      <c r="DJ2667" s="4" t="s">
        <v>241</v>
      </c>
      <c r="DK2667" s="4" t="s">
        <v>241</v>
      </c>
      <c r="DL2667" s="4" t="s">
        <v>241</v>
      </c>
      <c r="DP2667" s="4" t="s">
        <v>241</v>
      </c>
      <c r="DQ2667" s="4" t="s">
        <v>241</v>
      </c>
      <c r="DR2667" s="4" t="s">
        <v>241</v>
      </c>
      <c r="DS2667" s="4" t="s">
        <v>241</v>
      </c>
      <c r="DV2667" s="4" t="s">
        <v>426</v>
      </c>
      <c r="DW2667" s="4" t="s">
        <v>662</v>
      </c>
      <c r="HO2667" s="4" t="s">
        <v>267</v>
      </c>
    </row>
    <row r="2668" spans="1:223" ht="19.5" customHeight="1" x14ac:dyDescent="0.4">
      <c r="A2668" s="4">
        <v>1</v>
      </c>
      <c r="B2668" s="4" t="s">
        <v>239</v>
      </c>
      <c r="C2668" s="4">
        <v>4371</v>
      </c>
      <c r="D2668" s="4">
        <v>1</v>
      </c>
      <c r="E2668" s="4">
        <v>1</v>
      </c>
      <c r="F2668" s="4" t="s">
        <v>268</v>
      </c>
      <c r="G2668" s="4" t="s">
        <v>241</v>
      </c>
      <c r="H2668" s="4" t="s">
        <v>241</v>
      </c>
      <c r="I2668" s="4" t="s">
        <v>424</v>
      </c>
      <c r="J2668" s="4" t="s">
        <v>274</v>
      </c>
      <c r="K2668" s="4" t="s">
        <v>251</v>
      </c>
      <c r="L2668" s="4" t="s">
        <v>423</v>
      </c>
      <c r="M2668" s="5" t="s">
        <v>665</v>
      </c>
      <c r="N2668" s="6">
        <f>800</f>
        <v>800</v>
      </c>
      <c r="O2668" s="4" t="s">
        <v>265</v>
      </c>
      <c r="P2668" s="6">
        <f>1</f>
        <v>1</v>
      </c>
      <c r="Q2668" s="6">
        <f>0</f>
        <v>0</v>
      </c>
      <c r="S2668" s="6">
        <f>0</f>
        <v>0</v>
      </c>
      <c r="T2668" s="6">
        <f>1</f>
        <v>1</v>
      </c>
      <c r="U2668" s="5" t="s">
        <v>245</v>
      </c>
      <c r="V2668" s="4" t="s">
        <v>270</v>
      </c>
      <c r="W2668" s="4" t="s">
        <v>271</v>
      </c>
      <c r="X2668" s="4" t="s">
        <v>273</v>
      </c>
      <c r="Y2668" s="4" t="s">
        <v>241</v>
      </c>
      <c r="AB2668" s="4" t="s">
        <v>241</v>
      </c>
      <c r="AD2668" s="5" t="s">
        <v>241</v>
      </c>
      <c r="AG2668" s="5" t="s">
        <v>246</v>
      </c>
      <c r="AH2668" s="4" t="s">
        <v>241</v>
      </c>
      <c r="AI2668" s="4" t="s">
        <v>247</v>
      </c>
      <c r="AJ2668" s="4" t="s">
        <v>248</v>
      </c>
      <c r="AZ2668" s="4" t="s">
        <v>249</v>
      </c>
      <c r="BA2668" s="4" t="s">
        <v>241</v>
      </c>
      <c r="BB2668" s="4" t="s">
        <v>250</v>
      </c>
      <c r="BC2668" s="4" t="s">
        <v>241</v>
      </c>
      <c r="BD2668" s="4" t="s">
        <v>252</v>
      </c>
      <c r="BE2668" s="4" t="s">
        <v>241</v>
      </c>
      <c r="BI2668" s="4" t="s">
        <v>253</v>
      </c>
      <c r="BJ2668" s="5" t="s">
        <v>246</v>
      </c>
      <c r="BK2668" s="4" t="s">
        <v>254</v>
      </c>
      <c r="BL2668" s="4" t="s">
        <v>255</v>
      </c>
      <c r="BM2668" s="4" t="s">
        <v>241</v>
      </c>
      <c r="BN2668" s="6">
        <f>0</f>
        <v>0</v>
      </c>
      <c r="BO2668" s="6">
        <f>0</f>
        <v>0</v>
      </c>
      <c r="BP2668" s="4" t="s">
        <v>256</v>
      </c>
      <c r="BQ2668" s="4" t="s">
        <v>257</v>
      </c>
      <c r="CE2668" s="4" t="s">
        <v>241</v>
      </c>
      <c r="CF2668" s="4" t="s">
        <v>241</v>
      </c>
      <c r="CJ2668" s="4" t="s">
        <v>276</v>
      </c>
      <c r="CK2668" s="4" t="s">
        <v>259</v>
      </c>
      <c r="CL2668" s="4" t="s">
        <v>241</v>
      </c>
      <c r="CO2668" s="5" t="s">
        <v>260</v>
      </c>
      <c r="CP2668" s="4" t="s">
        <v>241</v>
      </c>
      <c r="CQ2668" s="4" t="s">
        <v>261</v>
      </c>
      <c r="CR2668" s="4" t="s">
        <v>241</v>
      </c>
      <c r="CS2668" s="4" t="s">
        <v>241</v>
      </c>
      <c r="CT2668" s="4">
        <v>0</v>
      </c>
      <c r="CU2668" s="4" t="s">
        <v>262</v>
      </c>
      <c r="CV2668" s="4" t="s">
        <v>263</v>
      </c>
      <c r="CW2668" s="4" t="s">
        <v>263</v>
      </c>
      <c r="CX2668" s="4" t="s">
        <v>264</v>
      </c>
      <c r="DA2668" s="6">
        <f>1</f>
        <v>1</v>
      </c>
      <c r="DC2668" s="4" t="s">
        <v>325</v>
      </c>
      <c r="DD2668" s="4" t="s">
        <v>241</v>
      </c>
      <c r="DF2668" s="4" t="s">
        <v>325</v>
      </c>
      <c r="DG2668" s="6">
        <f>800</f>
        <v>800</v>
      </c>
      <c r="DI2668" s="4" t="s">
        <v>241</v>
      </c>
      <c r="DJ2668" s="4" t="s">
        <v>241</v>
      </c>
      <c r="DK2668" s="4" t="s">
        <v>241</v>
      </c>
      <c r="DL2668" s="4" t="s">
        <v>241</v>
      </c>
      <c r="DP2668" s="4" t="s">
        <v>241</v>
      </c>
      <c r="DQ2668" s="4" t="s">
        <v>241</v>
      </c>
      <c r="DR2668" s="4" t="s">
        <v>241</v>
      </c>
      <c r="DS2668" s="4" t="s">
        <v>241</v>
      </c>
      <c r="DV2668" s="4" t="s">
        <v>426</v>
      </c>
      <c r="DW2668" s="4" t="s">
        <v>666</v>
      </c>
      <c r="HO2668" s="4" t="s">
        <v>267</v>
      </c>
    </row>
    <row r="2669" spans="1:223" ht="19.5" customHeight="1" x14ac:dyDescent="0.4">
      <c r="A2669" s="4">
        <v>1</v>
      </c>
      <c r="B2669" s="4" t="s">
        <v>239</v>
      </c>
      <c r="C2669" s="4">
        <v>4372</v>
      </c>
      <c r="D2669" s="4">
        <v>1</v>
      </c>
      <c r="E2669" s="4">
        <v>1</v>
      </c>
      <c r="F2669" s="4" t="s">
        <v>268</v>
      </c>
      <c r="G2669" s="4" t="s">
        <v>241</v>
      </c>
      <c r="H2669" s="4" t="s">
        <v>241</v>
      </c>
      <c r="I2669" s="4" t="s">
        <v>424</v>
      </c>
      <c r="J2669" s="4" t="s">
        <v>274</v>
      </c>
      <c r="K2669" s="4" t="s">
        <v>251</v>
      </c>
      <c r="L2669" s="4" t="s">
        <v>423</v>
      </c>
      <c r="M2669" s="5" t="s">
        <v>667</v>
      </c>
      <c r="N2669" s="6">
        <f>319</f>
        <v>319</v>
      </c>
      <c r="O2669" s="4" t="s">
        <v>265</v>
      </c>
      <c r="P2669" s="6">
        <f>1</f>
        <v>1</v>
      </c>
      <c r="Q2669" s="6">
        <f>0</f>
        <v>0</v>
      </c>
      <c r="S2669" s="6">
        <f>0</f>
        <v>0</v>
      </c>
      <c r="T2669" s="6">
        <f>1</f>
        <v>1</v>
      </c>
      <c r="U2669" s="5" t="s">
        <v>245</v>
      </c>
      <c r="V2669" s="4" t="s">
        <v>270</v>
      </c>
      <c r="W2669" s="4" t="s">
        <v>271</v>
      </c>
      <c r="X2669" s="4" t="s">
        <v>273</v>
      </c>
      <c r="Y2669" s="4" t="s">
        <v>241</v>
      </c>
      <c r="AB2669" s="4" t="s">
        <v>241</v>
      </c>
      <c r="AD2669" s="5" t="s">
        <v>241</v>
      </c>
      <c r="AG2669" s="5" t="s">
        <v>246</v>
      </c>
      <c r="AH2669" s="4" t="s">
        <v>241</v>
      </c>
      <c r="AI2669" s="4" t="s">
        <v>247</v>
      </c>
      <c r="AJ2669" s="4" t="s">
        <v>248</v>
      </c>
      <c r="AZ2669" s="4" t="s">
        <v>249</v>
      </c>
      <c r="BA2669" s="4" t="s">
        <v>241</v>
      </c>
      <c r="BB2669" s="4" t="s">
        <v>250</v>
      </c>
      <c r="BC2669" s="4" t="s">
        <v>241</v>
      </c>
      <c r="BD2669" s="4" t="s">
        <v>252</v>
      </c>
      <c r="BE2669" s="4" t="s">
        <v>241</v>
      </c>
      <c r="BI2669" s="4" t="s">
        <v>253</v>
      </c>
      <c r="BJ2669" s="5" t="s">
        <v>246</v>
      </c>
      <c r="BK2669" s="4" t="s">
        <v>254</v>
      </c>
      <c r="BL2669" s="4" t="s">
        <v>255</v>
      </c>
      <c r="BM2669" s="4" t="s">
        <v>241</v>
      </c>
      <c r="BN2669" s="6">
        <f>0</f>
        <v>0</v>
      </c>
      <c r="BO2669" s="6">
        <f>0</f>
        <v>0</v>
      </c>
      <c r="BP2669" s="4" t="s">
        <v>256</v>
      </c>
      <c r="BQ2669" s="4" t="s">
        <v>257</v>
      </c>
      <c r="CE2669" s="4" t="s">
        <v>241</v>
      </c>
      <c r="CF2669" s="4" t="s">
        <v>241</v>
      </c>
      <c r="CJ2669" s="4" t="s">
        <v>276</v>
      </c>
      <c r="CK2669" s="4" t="s">
        <v>259</v>
      </c>
      <c r="CL2669" s="4" t="s">
        <v>241</v>
      </c>
      <c r="CO2669" s="5" t="s">
        <v>260</v>
      </c>
      <c r="CP2669" s="4" t="s">
        <v>241</v>
      </c>
      <c r="CQ2669" s="4" t="s">
        <v>261</v>
      </c>
      <c r="CR2669" s="4" t="s">
        <v>241</v>
      </c>
      <c r="CS2669" s="4" t="s">
        <v>241</v>
      </c>
      <c r="CT2669" s="4">
        <v>0</v>
      </c>
      <c r="CU2669" s="4" t="s">
        <v>262</v>
      </c>
      <c r="CV2669" s="4" t="s">
        <v>263</v>
      </c>
      <c r="CW2669" s="4" t="s">
        <v>263</v>
      </c>
      <c r="CX2669" s="4" t="s">
        <v>264</v>
      </c>
      <c r="DA2669" s="6">
        <f>1</f>
        <v>1</v>
      </c>
      <c r="DC2669" s="4" t="s">
        <v>325</v>
      </c>
      <c r="DD2669" s="4" t="s">
        <v>241</v>
      </c>
      <c r="DF2669" s="4" t="s">
        <v>325</v>
      </c>
      <c r="DG2669" s="6">
        <f>319</f>
        <v>319</v>
      </c>
      <c r="DI2669" s="4" t="s">
        <v>241</v>
      </c>
      <c r="DJ2669" s="4" t="s">
        <v>241</v>
      </c>
      <c r="DK2669" s="4" t="s">
        <v>241</v>
      </c>
      <c r="DL2669" s="4" t="s">
        <v>241</v>
      </c>
      <c r="DP2669" s="4" t="s">
        <v>241</v>
      </c>
      <c r="DQ2669" s="4" t="s">
        <v>241</v>
      </c>
      <c r="DR2669" s="4" t="s">
        <v>241</v>
      </c>
      <c r="DS2669" s="4" t="s">
        <v>241</v>
      </c>
      <c r="DV2669" s="4" t="s">
        <v>426</v>
      </c>
      <c r="DW2669" s="4" t="s">
        <v>668</v>
      </c>
      <c r="HO2669" s="4" t="s">
        <v>267</v>
      </c>
    </row>
    <row r="2670" spans="1:223" ht="19.5" customHeight="1" x14ac:dyDescent="0.4">
      <c r="A2670" s="4">
        <v>1</v>
      </c>
      <c r="B2670" s="4" t="s">
        <v>239</v>
      </c>
      <c r="C2670" s="4">
        <v>4373</v>
      </c>
      <c r="D2670" s="4">
        <v>1</v>
      </c>
      <c r="E2670" s="4">
        <v>1</v>
      </c>
      <c r="F2670" s="4" t="s">
        <v>268</v>
      </c>
      <c r="G2670" s="4" t="s">
        <v>241</v>
      </c>
      <c r="H2670" s="4" t="s">
        <v>241</v>
      </c>
      <c r="I2670" s="4" t="s">
        <v>424</v>
      </c>
      <c r="J2670" s="4" t="s">
        <v>274</v>
      </c>
      <c r="K2670" s="4" t="s">
        <v>251</v>
      </c>
      <c r="L2670" s="4" t="s">
        <v>423</v>
      </c>
      <c r="M2670" s="5" t="s">
        <v>671</v>
      </c>
      <c r="N2670" s="6">
        <f>1839</f>
        <v>1839</v>
      </c>
      <c r="O2670" s="4" t="s">
        <v>265</v>
      </c>
      <c r="P2670" s="6">
        <f>1</f>
        <v>1</v>
      </c>
      <c r="Q2670" s="6">
        <f>0</f>
        <v>0</v>
      </c>
      <c r="S2670" s="6">
        <f>0</f>
        <v>0</v>
      </c>
      <c r="T2670" s="6">
        <f>1</f>
        <v>1</v>
      </c>
      <c r="U2670" s="5" t="s">
        <v>245</v>
      </c>
      <c r="V2670" s="4" t="s">
        <v>270</v>
      </c>
      <c r="W2670" s="4" t="s">
        <v>271</v>
      </c>
      <c r="X2670" s="4" t="s">
        <v>273</v>
      </c>
      <c r="Y2670" s="4" t="s">
        <v>241</v>
      </c>
      <c r="AB2670" s="4" t="s">
        <v>241</v>
      </c>
      <c r="AD2670" s="5" t="s">
        <v>241</v>
      </c>
      <c r="AG2670" s="5" t="s">
        <v>246</v>
      </c>
      <c r="AH2670" s="4" t="s">
        <v>241</v>
      </c>
      <c r="AI2670" s="4" t="s">
        <v>247</v>
      </c>
      <c r="AJ2670" s="4" t="s">
        <v>248</v>
      </c>
      <c r="AZ2670" s="4" t="s">
        <v>249</v>
      </c>
      <c r="BA2670" s="4" t="s">
        <v>241</v>
      </c>
      <c r="BB2670" s="4" t="s">
        <v>250</v>
      </c>
      <c r="BC2670" s="4" t="s">
        <v>241</v>
      </c>
      <c r="BD2670" s="4" t="s">
        <v>252</v>
      </c>
      <c r="BE2670" s="4" t="s">
        <v>241</v>
      </c>
      <c r="BI2670" s="4" t="s">
        <v>253</v>
      </c>
      <c r="BJ2670" s="5" t="s">
        <v>246</v>
      </c>
      <c r="BK2670" s="4" t="s">
        <v>254</v>
      </c>
      <c r="BL2670" s="4" t="s">
        <v>255</v>
      </c>
      <c r="BM2670" s="4" t="s">
        <v>241</v>
      </c>
      <c r="BN2670" s="6">
        <f>0</f>
        <v>0</v>
      </c>
      <c r="BO2670" s="6">
        <f>0</f>
        <v>0</v>
      </c>
      <c r="BP2670" s="4" t="s">
        <v>256</v>
      </c>
      <c r="BQ2670" s="4" t="s">
        <v>257</v>
      </c>
      <c r="CE2670" s="4" t="s">
        <v>241</v>
      </c>
      <c r="CF2670" s="4" t="s">
        <v>241</v>
      </c>
      <c r="CJ2670" s="4" t="s">
        <v>276</v>
      </c>
      <c r="CK2670" s="4" t="s">
        <v>259</v>
      </c>
      <c r="CL2670" s="4" t="s">
        <v>241</v>
      </c>
      <c r="CO2670" s="5" t="s">
        <v>260</v>
      </c>
      <c r="CP2670" s="4" t="s">
        <v>241</v>
      </c>
      <c r="CQ2670" s="4" t="s">
        <v>261</v>
      </c>
      <c r="CR2670" s="4" t="s">
        <v>241</v>
      </c>
      <c r="CS2670" s="4" t="s">
        <v>241</v>
      </c>
      <c r="CT2670" s="4">
        <v>0</v>
      </c>
      <c r="CU2670" s="4" t="s">
        <v>262</v>
      </c>
      <c r="CV2670" s="4" t="s">
        <v>263</v>
      </c>
      <c r="CW2670" s="4" t="s">
        <v>263</v>
      </c>
      <c r="CX2670" s="4" t="s">
        <v>264</v>
      </c>
      <c r="DA2670" s="6">
        <f>1</f>
        <v>1</v>
      </c>
      <c r="DC2670" s="4" t="s">
        <v>325</v>
      </c>
      <c r="DD2670" s="4" t="s">
        <v>241</v>
      </c>
      <c r="DF2670" s="4" t="s">
        <v>325</v>
      </c>
      <c r="DG2670" s="6">
        <f>1839</f>
        <v>1839</v>
      </c>
      <c r="DI2670" s="4" t="s">
        <v>241</v>
      </c>
      <c r="DJ2670" s="4" t="s">
        <v>241</v>
      </c>
      <c r="DK2670" s="4" t="s">
        <v>241</v>
      </c>
      <c r="DL2670" s="4" t="s">
        <v>241</v>
      </c>
      <c r="DP2670" s="4" t="s">
        <v>241</v>
      </c>
      <c r="DQ2670" s="4" t="s">
        <v>241</v>
      </c>
      <c r="DR2670" s="4" t="s">
        <v>241</v>
      </c>
      <c r="DS2670" s="4" t="s">
        <v>241</v>
      </c>
      <c r="DV2670" s="4" t="s">
        <v>426</v>
      </c>
      <c r="DW2670" s="4" t="s">
        <v>672</v>
      </c>
      <c r="HO2670" s="4" t="s">
        <v>267</v>
      </c>
    </row>
    <row r="2671" spans="1:223" ht="19.5" customHeight="1" x14ac:dyDescent="0.4">
      <c r="A2671" s="4">
        <v>1</v>
      </c>
      <c r="B2671" s="4" t="s">
        <v>239</v>
      </c>
      <c r="C2671" s="4">
        <v>4374</v>
      </c>
      <c r="D2671" s="4">
        <v>1</v>
      </c>
      <c r="E2671" s="4">
        <v>1</v>
      </c>
      <c r="F2671" s="4" t="s">
        <v>268</v>
      </c>
      <c r="G2671" s="4" t="s">
        <v>241</v>
      </c>
      <c r="H2671" s="4" t="s">
        <v>241</v>
      </c>
      <c r="I2671" s="4" t="s">
        <v>424</v>
      </c>
      <c r="J2671" s="4" t="s">
        <v>274</v>
      </c>
      <c r="K2671" s="4" t="s">
        <v>251</v>
      </c>
      <c r="L2671" s="4" t="s">
        <v>423</v>
      </c>
      <c r="M2671" s="5" t="s">
        <v>675</v>
      </c>
      <c r="N2671" s="6">
        <f>229</f>
        <v>229</v>
      </c>
      <c r="O2671" s="4" t="s">
        <v>265</v>
      </c>
      <c r="P2671" s="6">
        <f>1</f>
        <v>1</v>
      </c>
      <c r="Q2671" s="6">
        <f>0</f>
        <v>0</v>
      </c>
      <c r="S2671" s="6">
        <f>0</f>
        <v>0</v>
      </c>
      <c r="T2671" s="6">
        <f>1</f>
        <v>1</v>
      </c>
      <c r="U2671" s="5" t="s">
        <v>245</v>
      </c>
      <c r="V2671" s="4" t="s">
        <v>270</v>
      </c>
      <c r="W2671" s="4" t="s">
        <v>271</v>
      </c>
      <c r="X2671" s="4" t="s">
        <v>273</v>
      </c>
      <c r="Y2671" s="4" t="s">
        <v>241</v>
      </c>
      <c r="AB2671" s="4" t="s">
        <v>241</v>
      </c>
      <c r="AD2671" s="5" t="s">
        <v>241</v>
      </c>
      <c r="AG2671" s="5" t="s">
        <v>246</v>
      </c>
      <c r="AH2671" s="4" t="s">
        <v>241</v>
      </c>
      <c r="AI2671" s="4" t="s">
        <v>247</v>
      </c>
      <c r="AJ2671" s="4" t="s">
        <v>248</v>
      </c>
      <c r="AZ2671" s="4" t="s">
        <v>249</v>
      </c>
      <c r="BA2671" s="4" t="s">
        <v>241</v>
      </c>
      <c r="BB2671" s="4" t="s">
        <v>250</v>
      </c>
      <c r="BC2671" s="4" t="s">
        <v>241</v>
      </c>
      <c r="BD2671" s="4" t="s">
        <v>252</v>
      </c>
      <c r="BE2671" s="4" t="s">
        <v>241</v>
      </c>
      <c r="BI2671" s="4" t="s">
        <v>253</v>
      </c>
      <c r="BJ2671" s="5" t="s">
        <v>246</v>
      </c>
      <c r="BK2671" s="4" t="s">
        <v>254</v>
      </c>
      <c r="BL2671" s="4" t="s">
        <v>255</v>
      </c>
      <c r="BM2671" s="4" t="s">
        <v>241</v>
      </c>
      <c r="BN2671" s="6">
        <f>0</f>
        <v>0</v>
      </c>
      <c r="BO2671" s="6">
        <f>0</f>
        <v>0</v>
      </c>
      <c r="BP2671" s="4" t="s">
        <v>256</v>
      </c>
      <c r="BQ2671" s="4" t="s">
        <v>257</v>
      </c>
      <c r="CE2671" s="4" t="s">
        <v>241</v>
      </c>
      <c r="CF2671" s="4" t="s">
        <v>241</v>
      </c>
      <c r="CJ2671" s="4" t="s">
        <v>276</v>
      </c>
      <c r="CK2671" s="4" t="s">
        <v>259</v>
      </c>
      <c r="CL2671" s="4" t="s">
        <v>241</v>
      </c>
      <c r="CO2671" s="5" t="s">
        <v>260</v>
      </c>
      <c r="CP2671" s="4" t="s">
        <v>241</v>
      </c>
      <c r="CQ2671" s="4" t="s">
        <v>261</v>
      </c>
      <c r="CR2671" s="4" t="s">
        <v>241</v>
      </c>
      <c r="CS2671" s="4" t="s">
        <v>241</v>
      </c>
      <c r="CT2671" s="4">
        <v>0</v>
      </c>
      <c r="CU2671" s="4" t="s">
        <v>262</v>
      </c>
      <c r="CV2671" s="4" t="s">
        <v>263</v>
      </c>
      <c r="CW2671" s="4" t="s">
        <v>263</v>
      </c>
      <c r="CX2671" s="4" t="s">
        <v>264</v>
      </c>
      <c r="DA2671" s="6">
        <f>1</f>
        <v>1</v>
      </c>
      <c r="DC2671" s="4" t="s">
        <v>325</v>
      </c>
      <c r="DD2671" s="4" t="s">
        <v>241</v>
      </c>
      <c r="DF2671" s="4" t="s">
        <v>325</v>
      </c>
      <c r="DG2671" s="6">
        <f>229</f>
        <v>229</v>
      </c>
      <c r="DI2671" s="4" t="s">
        <v>241</v>
      </c>
      <c r="DJ2671" s="4" t="s">
        <v>241</v>
      </c>
      <c r="DK2671" s="4" t="s">
        <v>241</v>
      </c>
      <c r="DL2671" s="4" t="s">
        <v>241</v>
      </c>
      <c r="DP2671" s="4" t="s">
        <v>241</v>
      </c>
      <c r="DQ2671" s="4" t="s">
        <v>241</v>
      </c>
      <c r="DR2671" s="4" t="s">
        <v>241</v>
      </c>
      <c r="DS2671" s="4" t="s">
        <v>241</v>
      </c>
      <c r="DV2671" s="4" t="s">
        <v>426</v>
      </c>
      <c r="DW2671" s="4" t="s">
        <v>676</v>
      </c>
      <c r="HO2671" s="4" t="s">
        <v>267</v>
      </c>
    </row>
    <row r="2672" spans="1:223" ht="19.5" customHeight="1" x14ac:dyDescent="0.4">
      <c r="A2672" s="4">
        <v>1</v>
      </c>
      <c r="B2672" s="4" t="s">
        <v>239</v>
      </c>
      <c r="C2672" s="4">
        <v>4375</v>
      </c>
      <c r="D2672" s="4">
        <v>1</v>
      </c>
      <c r="E2672" s="4">
        <v>1</v>
      </c>
      <c r="F2672" s="4" t="s">
        <v>268</v>
      </c>
      <c r="G2672" s="4" t="s">
        <v>241</v>
      </c>
      <c r="H2672" s="4" t="s">
        <v>241</v>
      </c>
      <c r="I2672" s="4" t="s">
        <v>424</v>
      </c>
      <c r="J2672" s="4" t="s">
        <v>274</v>
      </c>
      <c r="K2672" s="4" t="s">
        <v>251</v>
      </c>
      <c r="L2672" s="4" t="s">
        <v>423</v>
      </c>
      <c r="M2672" s="5" t="s">
        <v>678</v>
      </c>
      <c r="N2672" s="6">
        <f>156</f>
        <v>156</v>
      </c>
      <c r="O2672" s="4" t="s">
        <v>265</v>
      </c>
      <c r="P2672" s="6">
        <f>1</f>
        <v>1</v>
      </c>
      <c r="Q2672" s="6">
        <f>0</f>
        <v>0</v>
      </c>
      <c r="S2672" s="6">
        <f>0</f>
        <v>0</v>
      </c>
      <c r="T2672" s="6">
        <f>1</f>
        <v>1</v>
      </c>
      <c r="U2672" s="5" t="s">
        <v>245</v>
      </c>
      <c r="V2672" s="4" t="s">
        <v>270</v>
      </c>
      <c r="W2672" s="4" t="s">
        <v>271</v>
      </c>
      <c r="X2672" s="4" t="s">
        <v>273</v>
      </c>
      <c r="Y2672" s="4" t="s">
        <v>241</v>
      </c>
      <c r="AB2672" s="4" t="s">
        <v>241</v>
      </c>
      <c r="AD2672" s="5" t="s">
        <v>241</v>
      </c>
      <c r="AG2672" s="5" t="s">
        <v>246</v>
      </c>
      <c r="AH2672" s="4" t="s">
        <v>241</v>
      </c>
      <c r="AI2672" s="4" t="s">
        <v>247</v>
      </c>
      <c r="AJ2672" s="4" t="s">
        <v>248</v>
      </c>
      <c r="AZ2672" s="4" t="s">
        <v>249</v>
      </c>
      <c r="BA2672" s="4" t="s">
        <v>241</v>
      </c>
      <c r="BB2672" s="4" t="s">
        <v>250</v>
      </c>
      <c r="BC2672" s="4" t="s">
        <v>241</v>
      </c>
      <c r="BD2672" s="4" t="s">
        <v>252</v>
      </c>
      <c r="BE2672" s="4" t="s">
        <v>241</v>
      </c>
      <c r="BI2672" s="4" t="s">
        <v>253</v>
      </c>
      <c r="BJ2672" s="5" t="s">
        <v>246</v>
      </c>
      <c r="BK2672" s="4" t="s">
        <v>254</v>
      </c>
      <c r="BL2672" s="4" t="s">
        <v>255</v>
      </c>
      <c r="BM2672" s="4" t="s">
        <v>241</v>
      </c>
      <c r="BN2672" s="6">
        <f>0</f>
        <v>0</v>
      </c>
      <c r="BO2672" s="6">
        <f>0</f>
        <v>0</v>
      </c>
      <c r="BP2672" s="4" t="s">
        <v>256</v>
      </c>
      <c r="BQ2672" s="4" t="s">
        <v>257</v>
      </c>
      <c r="CE2672" s="4" t="s">
        <v>241</v>
      </c>
      <c r="CF2672" s="4" t="s">
        <v>241</v>
      </c>
      <c r="CJ2672" s="4" t="s">
        <v>276</v>
      </c>
      <c r="CK2672" s="4" t="s">
        <v>259</v>
      </c>
      <c r="CL2672" s="4" t="s">
        <v>241</v>
      </c>
      <c r="CO2672" s="5" t="s">
        <v>260</v>
      </c>
      <c r="CP2672" s="4" t="s">
        <v>241</v>
      </c>
      <c r="CQ2672" s="4" t="s">
        <v>261</v>
      </c>
      <c r="CR2672" s="4" t="s">
        <v>241</v>
      </c>
      <c r="CS2672" s="4" t="s">
        <v>241</v>
      </c>
      <c r="CT2672" s="4">
        <v>0</v>
      </c>
      <c r="CU2672" s="4" t="s">
        <v>262</v>
      </c>
      <c r="CV2672" s="4" t="s">
        <v>263</v>
      </c>
      <c r="CW2672" s="4" t="s">
        <v>263</v>
      </c>
      <c r="CX2672" s="4" t="s">
        <v>264</v>
      </c>
      <c r="DA2672" s="6">
        <f>1</f>
        <v>1</v>
      </c>
      <c r="DC2672" s="4" t="s">
        <v>325</v>
      </c>
      <c r="DD2672" s="4" t="s">
        <v>241</v>
      </c>
      <c r="DF2672" s="4" t="s">
        <v>325</v>
      </c>
      <c r="DG2672" s="6">
        <f>156</f>
        <v>156</v>
      </c>
      <c r="DI2672" s="4" t="s">
        <v>241</v>
      </c>
      <c r="DJ2672" s="4" t="s">
        <v>241</v>
      </c>
      <c r="DK2672" s="4" t="s">
        <v>241</v>
      </c>
      <c r="DL2672" s="4" t="s">
        <v>241</v>
      </c>
      <c r="DP2672" s="4" t="s">
        <v>241</v>
      </c>
      <c r="DQ2672" s="4" t="s">
        <v>241</v>
      </c>
      <c r="DR2672" s="4" t="s">
        <v>241</v>
      </c>
      <c r="DS2672" s="4" t="s">
        <v>241</v>
      </c>
      <c r="DV2672" s="4" t="s">
        <v>426</v>
      </c>
      <c r="DW2672" s="4" t="s">
        <v>679</v>
      </c>
      <c r="HO2672" s="4" t="s">
        <v>267</v>
      </c>
    </row>
    <row r="2673" spans="1:223" ht="19.5" customHeight="1" x14ac:dyDescent="0.4">
      <c r="A2673" s="4">
        <v>1</v>
      </c>
      <c r="B2673" s="4" t="s">
        <v>239</v>
      </c>
      <c r="C2673" s="4">
        <v>4376</v>
      </c>
      <c r="D2673" s="4">
        <v>1</v>
      </c>
      <c r="E2673" s="4">
        <v>1</v>
      </c>
      <c r="F2673" s="4" t="s">
        <v>268</v>
      </c>
      <c r="G2673" s="4" t="s">
        <v>241</v>
      </c>
      <c r="H2673" s="4" t="s">
        <v>241</v>
      </c>
      <c r="I2673" s="4" t="s">
        <v>424</v>
      </c>
      <c r="J2673" s="4" t="s">
        <v>274</v>
      </c>
      <c r="K2673" s="4" t="s">
        <v>251</v>
      </c>
      <c r="L2673" s="4" t="s">
        <v>423</v>
      </c>
      <c r="M2673" s="5" t="s">
        <v>686</v>
      </c>
      <c r="N2673" s="6">
        <f>137</f>
        <v>137</v>
      </c>
      <c r="O2673" s="4" t="s">
        <v>265</v>
      </c>
      <c r="P2673" s="6">
        <f>1</f>
        <v>1</v>
      </c>
      <c r="Q2673" s="6">
        <f>0</f>
        <v>0</v>
      </c>
      <c r="S2673" s="6">
        <f>0</f>
        <v>0</v>
      </c>
      <c r="T2673" s="6">
        <f>1</f>
        <v>1</v>
      </c>
      <c r="U2673" s="5" t="s">
        <v>245</v>
      </c>
      <c r="V2673" s="4" t="s">
        <v>270</v>
      </c>
      <c r="W2673" s="4" t="s">
        <v>271</v>
      </c>
      <c r="X2673" s="4" t="s">
        <v>273</v>
      </c>
      <c r="Y2673" s="4" t="s">
        <v>241</v>
      </c>
      <c r="AB2673" s="4" t="s">
        <v>241</v>
      </c>
      <c r="AD2673" s="5" t="s">
        <v>241</v>
      </c>
      <c r="AG2673" s="5" t="s">
        <v>246</v>
      </c>
      <c r="AH2673" s="4" t="s">
        <v>241</v>
      </c>
      <c r="AI2673" s="4" t="s">
        <v>247</v>
      </c>
      <c r="AJ2673" s="4" t="s">
        <v>248</v>
      </c>
      <c r="AZ2673" s="4" t="s">
        <v>249</v>
      </c>
      <c r="BA2673" s="4" t="s">
        <v>241</v>
      </c>
      <c r="BB2673" s="4" t="s">
        <v>250</v>
      </c>
      <c r="BC2673" s="4" t="s">
        <v>241</v>
      </c>
      <c r="BD2673" s="4" t="s">
        <v>252</v>
      </c>
      <c r="BE2673" s="4" t="s">
        <v>241</v>
      </c>
      <c r="BI2673" s="4" t="s">
        <v>253</v>
      </c>
      <c r="BJ2673" s="5" t="s">
        <v>246</v>
      </c>
      <c r="BK2673" s="4" t="s">
        <v>254</v>
      </c>
      <c r="BL2673" s="4" t="s">
        <v>255</v>
      </c>
      <c r="BM2673" s="4" t="s">
        <v>241</v>
      </c>
      <c r="BN2673" s="6">
        <f>0</f>
        <v>0</v>
      </c>
      <c r="BO2673" s="6">
        <f>0</f>
        <v>0</v>
      </c>
      <c r="BP2673" s="4" t="s">
        <v>256</v>
      </c>
      <c r="BQ2673" s="4" t="s">
        <v>257</v>
      </c>
      <c r="CE2673" s="4" t="s">
        <v>241</v>
      </c>
      <c r="CF2673" s="4" t="s">
        <v>241</v>
      </c>
      <c r="CJ2673" s="4" t="s">
        <v>276</v>
      </c>
      <c r="CK2673" s="4" t="s">
        <v>259</v>
      </c>
      <c r="CL2673" s="4" t="s">
        <v>241</v>
      </c>
      <c r="CO2673" s="5" t="s">
        <v>260</v>
      </c>
      <c r="CP2673" s="4" t="s">
        <v>241</v>
      </c>
      <c r="CQ2673" s="4" t="s">
        <v>261</v>
      </c>
      <c r="CR2673" s="4" t="s">
        <v>241</v>
      </c>
      <c r="CS2673" s="4" t="s">
        <v>241</v>
      </c>
      <c r="CT2673" s="4">
        <v>0</v>
      </c>
      <c r="CU2673" s="4" t="s">
        <v>262</v>
      </c>
      <c r="CV2673" s="4" t="s">
        <v>263</v>
      </c>
      <c r="CW2673" s="4" t="s">
        <v>263</v>
      </c>
      <c r="CX2673" s="4" t="s">
        <v>264</v>
      </c>
      <c r="DA2673" s="6">
        <f>1</f>
        <v>1</v>
      </c>
      <c r="DC2673" s="4" t="s">
        <v>325</v>
      </c>
      <c r="DD2673" s="4" t="s">
        <v>241</v>
      </c>
      <c r="DF2673" s="4" t="s">
        <v>325</v>
      </c>
      <c r="DG2673" s="6">
        <f>137</f>
        <v>137</v>
      </c>
      <c r="DI2673" s="4" t="s">
        <v>241</v>
      </c>
      <c r="DJ2673" s="4" t="s">
        <v>241</v>
      </c>
      <c r="DK2673" s="4" t="s">
        <v>241</v>
      </c>
      <c r="DL2673" s="4" t="s">
        <v>241</v>
      </c>
      <c r="DP2673" s="4" t="s">
        <v>241</v>
      </c>
      <c r="DQ2673" s="4" t="s">
        <v>241</v>
      </c>
      <c r="DR2673" s="4" t="s">
        <v>241</v>
      </c>
      <c r="DS2673" s="4" t="s">
        <v>241</v>
      </c>
      <c r="DV2673" s="4" t="s">
        <v>426</v>
      </c>
      <c r="DW2673" s="4" t="s">
        <v>687</v>
      </c>
      <c r="HO2673" s="4" t="s">
        <v>267</v>
      </c>
    </row>
    <row r="2674" spans="1:223" ht="19.5" customHeight="1" x14ac:dyDescent="0.4">
      <c r="A2674" s="4">
        <v>1</v>
      </c>
      <c r="B2674" s="4" t="s">
        <v>239</v>
      </c>
      <c r="C2674" s="4">
        <v>4377</v>
      </c>
      <c r="D2674" s="4">
        <v>1</v>
      </c>
      <c r="E2674" s="4">
        <v>1</v>
      </c>
      <c r="F2674" s="4" t="s">
        <v>268</v>
      </c>
      <c r="G2674" s="4" t="s">
        <v>241</v>
      </c>
      <c r="H2674" s="4" t="s">
        <v>241</v>
      </c>
      <c r="I2674" s="4" t="s">
        <v>424</v>
      </c>
      <c r="J2674" s="4" t="s">
        <v>274</v>
      </c>
      <c r="K2674" s="4" t="s">
        <v>251</v>
      </c>
      <c r="L2674" s="4" t="s">
        <v>423</v>
      </c>
      <c r="M2674" s="5" t="s">
        <v>3754</v>
      </c>
      <c r="N2674" s="6">
        <f>75</f>
        <v>75</v>
      </c>
      <c r="O2674" s="4" t="s">
        <v>265</v>
      </c>
      <c r="P2674" s="6">
        <f>1</f>
        <v>1</v>
      </c>
      <c r="Q2674" s="6">
        <f>0</f>
        <v>0</v>
      </c>
      <c r="S2674" s="6">
        <f>0</f>
        <v>0</v>
      </c>
      <c r="T2674" s="6">
        <f>1</f>
        <v>1</v>
      </c>
      <c r="U2674" s="5" t="s">
        <v>245</v>
      </c>
      <c r="V2674" s="4" t="s">
        <v>270</v>
      </c>
      <c r="W2674" s="4" t="s">
        <v>271</v>
      </c>
      <c r="X2674" s="4" t="s">
        <v>273</v>
      </c>
      <c r="Y2674" s="4" t="s">
        <v>241</v>
      </c>
      <c r="AB2674" s="4" t="s">
        <v>241</v>
      </c>
      <c r="AD2674" s="5" t="s">
        <v>241</v>
      </c>
      <c r="AG2674" s="5" t="s">
        <v>246</v>
      </c>
      <c r="AH2674" s="4" t="s">
        <v>241</v>
      </c>
      <c r="AI2674" s="4" t="s">
        <v>247</v>
      </c>
      <c r="AJ2674" s="4" t="s">
        <v>248</v>
      </c>
      <c r="AZ2674" s="4" t="s">
        <v>249</v>
      </c>
      <c r="BA2674" s="4" t="s">
        <v>241</v>
      </c>
      <c r="BB2674" s="4" t="s">
        <v>250</v>
      </c>
      <c r="BC2674" s="4" t="s">
        <v>241</v>
      </c>
      <c r="BD2674" s="4" t="s">
        <v>252</v>
      </c>
      <c r="BE2674" s="4" t="s">
        <v>241</v>
      </c>
      <c r="BI2674" s="4" t="s">
        <v>253</v>
      </c>
      <c r="BJ2674" s="5" t="s">
        <v>246</v>
      </c>
      <c r="BK2674" s="4" t="s">
        <v>254</v>
      </c>
      <c r="BL2674" s="4" t="s">
        <v>255</v>
      </c>
      <c r="BM2674" s="4" t="s">
        <v>241</v>
      </c>
      <c r="BN2674" s="6">
        <f>0</f>
        <v>0</v>
      </c>
      <c r="BO2674" s="6">
        <f>0</f>
        <v>0</v>
      </c>
      <c r="BP2674" s="4" t="s">
        <v>256</v>
      </c>
      <c r="BQ2674" s="4" t="s">
        <v>257</v>
      </c>
      <c r="CE2674" s="4" t="s">
        <v>241</v>
      </c>
      <c r="CF2674" s="4" t="s">
        <v>241</v>
      </c>
      <c r="CJ2674" s="4" t="s">
        <v>276</v>
      </c>
      <c r="CK2674" s="4" t="s">
        <v>259</v>
      </c>
      <c r="CL2674" s="4" t="s">
        <v>241</v>
      </c>
      <c r="CO2674" s="5" t="s">
        <v>260</v>
      </c>
      <c r="CP2674" s="4" t="s">
        <v>241</v>
      </c>
      <c r="CQ2674" s="4" t="s">
        <v>261</v>
      </c>
      <c r="CR2674" s="4" t="s">
        <v>241</v>
      </c>
      <c r="CS2674" s="4" t="s">
        <v>241</v>
      </c>
      <c r="CT2674" s="4">
        <v>0</v>
      </c>
      <c r="CU2674" s="4" t="s">
        <v>262</v>
      </c>
      <c r="CV2674" s="4" t="s">
        <v>263</v>
      </c>
      <c r="CW2674" s="4" t="s">
        <v>263</v>
      </c>
      <c r="CX2674" s="4" t="s">
        <v>264</v>
      </c>
      <c r="DA2674" s="6">
        <f>1</f>
        <v>1</v>
      </c>
      <c r="DC2674" s="4" t="s">
        <v>325</v>
      </c>
      <c r="DD2674" s="4" t="s">
        <v>241</v>
      </c>
      <c r="DF2674" s="4" t="s">
        <v>325</v>
      </c>
      <c r="DG2674" s="6">
        <f>75</f>
        <v>75</v>
      </c>
      <c r="DI2674" s="4" t="s">
        <v>241</v>
      </c>
      <c r="DJ2674" s="4" t="s">
        <v>241</v>
      </c>
      <c r="DK2674" s="4" t="s">
        <v>241</v>
      </c>
      <c r="DL2674" s="4" t="s">
        <v>241</v>
      </c>
      <c r="DP2674" s="4" t="s">
        <v>241</v>
      </c>
      <c r="DQ2674" s="4" t="s">
        <v>241</v>
      </c>
      <c r="DR2674" s="4" t="s">
        <v>241</v>
      </c>
      <c r="DS2674" s="4" t="s">
        <v>241</v>
      </c>
      <c r="DV2674" s="4" t="s">
        <v>426</v>
      </c>
      <c r="DW2674" s="4" t="s">
        <v>2522</v>
      </c>
      <c r="HO2674" s="4" t="s">
        <v>267</v>
      </c>
    </row>
    <row r="2675" spans="1:223" ht="19.5" customHeight="1" x14ac:dyDescent="0.4">
      <c r="A2675" s="4">
        <v>1</v>
      </c>
      <c r="B2675" s="4" t="s">
        <v>239</v>
      </c>
      <c r="C2675" s="4">
        <v>4378</v>
      </c>
      <c r="D2675" s="4">
        <v>1</v>
      </c>
      <c r="E2675" s="4">
        <v>1</v>
      </c>
      <c r="F2675" s="4" t="s">
        <v>268</v>
      </c>
      <c r="G2675" s="4" t="s">
        <v>241</v>
      </c>
      <c r="H2675" s="4" t="s">
        <v>241</v>
      </c>
      <c r="I2675" s="4" t="s">
        <v>424</v>
      </c>
      <c r="J2675" s="4" t="s">
        <v>274</v>
      </c>
      <c r="K2675" s="4" t="s">
        <v>251</v>
      </c>
      <c r="L2675" s="4" t="s">
        <v>423</v>
      </c>
      <c r="M2675" s="5" t="s">
        <v>703</v>
      </c>
      <c r="N2675" s="6">
        <f>344</f>
        <v>344</v>
      </c>
      <c r="O2675" s="4" t="s">
        <v>265</v>
      </c>
      <c r="P2675" s="6">
        <f>1</f>
        <v>1</v>
      </c>
      <c r="Q2675" s="6">
        <f>0</f>
        <v>0</v>
      </c>
      <c r="S2675" s="6">
        <f>0</f>
        <v>0</v>
      </c>
      <c r="T2675" s="6">
        <f>1</f>
        <v>1</v>
      </c>
      <c r="U2675" s="5" t="s">
        <v>245</v>
      </c>
      <c r="V2675" s="4" t="s">
        <v>270</v>
      </c>
      <c r="W2675" s="4" t="s">
        <v>271</v>
      </c>
      <c r="X2675" s="4" t="s">
        <v>273</v>
      </c>
      <c r="Y2675" s="4" t="s">
        <v>241</v>
      </c>
      <c r="AB2675" s="4" t="s">
        <v>241</v>
      </c>
      <c r="AD2675" s="5" t="s">
        <v>241</v>
      </c>
      <c r="AG2675" s="5" t="s">
        <v>246</v>
      </c>
      <c r="AH2675" s="4" t="s">
        <v>241</v>
      </c>
      <c r="AI2675" s="4" t="s">
        <v>247</v>
      </c>
      <c r="AJ2675" s="4" t="s">
        <v>248</v>
      </c>
      <c r="AZ2675" s="4" t="s">
        <v>249</v>
      </c>
      <c r="BA2675" s="4" t="s">
        <v>241</v>
      </c>
      <c r="BB2675" s="4" t="s">
        <v>250</v>
      </c>
      <c r="BC2675" s="4" t="s">
        <v>241</v>
      </c>
      <c r="BD2675" s="4" t="s">
        <v>252</v>
      </c>
      <c r="BE2675" s="4" t="s">
        <v>241</v>
      </c>
      <c r="BI2675" s="4" t="s">
        <v>253</v>
      </c>
      <c r="BJ2675" s="5" t="s">
        <v>246</v>
      </c>
      <c r="BK2675" s="4" t="s">
        <v>254</v>
      </c>
      <c r="BL2675" s="4" t="s">
        <v>255</v>
      </c>
      <c r="BM2675" s="4" t="s">
        <v>241</v>
      </c>
      <c r="BN2675" s="6">
        <f>0</f>
        <v>0</v>
      </c>
      <c r="BO2675" s="6">
        <f>0</f>
        <v>0</v>
      </c>
      <c r="BP2675" s="4" t="s">
        <v>256</v>
      </c>
      <c r="BQ2675" s="4" t="s">
        <v>257</v>
      </c>
      <c r="CE2675" s="4" t="s">
        <v>241</v>
      </c>
      <c r="CF2675" s="4" t="s">
        <v>241</v>
      </c>
      <c r="CJ2675" s="4" t="s">
        <v>276</v>
      </c>
      <c r="CK2675" s="4" t="s">
        <v>259</v>
      </c>
      <c r="CL2675" s="4" t="s">
        <v>241</v>
      </c>
      <c r="CO2675" s="5" t="s">
        <v>260</v>
      </c>
      <c r="CP2675" s="4" t="s">
        <v>241</v>
      </c>
      <c r="CQ2675" s="4" t="s">
        <v>261</v>
      </c>
      <c r="CR2675" s="4" t="s">
        <v>241</v>
      </c>
      <c r="CS2675" s="4" t="s">
        <v>241</v>
      </c>
      <c r="CT2675" s="4">
        <v>0</v>
      </c>
      <c r="CU2675" s="4" t="s">
        <v>262</v>
      </c>
      <c r="CV2675" s="4" t="s">
        <v>263</v>
      </c>
      <c r="CW2675" s="4" t="s">
        <v>263</v>
      </c>
      <c r="CX2675" s="4" t="s">
        <v>264</v>
      </c>
      <c r="DA2675" s="6">
        <f>1</f>
        <v>1</v>
      </c>
      <c r="DC2675" s="4" t="s">
        <v>325</v>
      </c>
      <c r="DD2675" s="4" t="s">
        <v>241</v>
      </c>
      <c r="DF2675" s="4" t="s">
        <v>325</v>
      </c>
      <c r="DG2675" s="6">
        <f>344</f>
        <v>344</v>
      </c>
      <c r="DI2675" s="4" t="s">
        <v>241</v>
      </c>
      <c r="DJ2675" s="4" t="s">
        <v>241</v>
      </c>
      <c r="DK2675" s="4" t="s">
        <v>241</v>
      </c>
      <c r="DL2675" s="4" t="s">
        <v>241</v>
      </c>
      <c r="DP2675" s="4" t="s">
        <v>241</v>
      </c>
      <c r="DQ2675" s="4" t="s">
        <v>241</v>
      </c>
      <c r="DR2675" s="4" t="s">
        <v>241</v>
      </c>
      <c r="DS2675" s="4" t="s">
        <v>241</v>
      </c>
      <c r="DV2675" s="4" t="s">
        <v>426</v>
      </c>
      <c r="DW2675" s="4" t="s">
        <v>704</v>
      </c>
      <c r="HO2675" s="4" t="s">
        <v>267</v>
      </c>
    </row>
    <row r="2676" spans="1:223" ht="19.5" customHeight="1" x14ac:dyDescent="0.4">
      <c r="A2676" s="4">
        <v>1</v>
      </c>
      <c r="B2676" s="4" t="s">
        <v>239</v>
      </c>
      <c r="C2676" s="4">
        <v>4379</v>
      </c>
      <c r="D2676" s="4">
        <v>1</v>
      </c>
      <c r="E2676" s="4">
        <v>1</v>
      </c>
      <c r="F2676" s="4" t="s">
        <v>268</v>
      </c>
      <c r="G2676" s="4" t="s">
        <v>241</v>
      </c>
      <c r="H2676" s="4" t="s">
        <v>241</v>
      </c>
      <c r="I2676" s="4" t="s">
        <v>424</v>
      </c>
      <c r="J2676" s="4" t="s">
        <v>274</v>
      </c>
      <c r="K2676" s="4" t="s">
        <v>251</v>
      </c>
      <c r="L2676" s="4" t="s">
        <v>423</v>
      </c>
      <c r="M2676" s="5" t="s">
        <v>707</v>
      </c>
      <c r="N2676" s="6">
        <f>316</f>
        <v>316</v>
      </c>
      <c r="O2676" s="4" t="s">
        <v>265</v>
      </c>
      <c r="P2676" s="6">
        <f>1</f>
        <v>1</v>
      </c>
      <c r="Q2676" s="6">
        <f>0</f>
        <v>0</v>
      </c>
      <c r="S2676" s="6">
        <f>0</f>
        <v>0</v>
      </c>
      <c r="T2676" s="6">
        <f>1</f>
        <v>1</v>
      </c>
      <c r="U2676" s="5" t="s">
        <v>245</v>
      </c>
      <c r="V2676" s="4" t="s">
        <v>270</v>
      </c>
      <c r="W2676" s="4" t="s">
        <v>271</v>
      </c>
      <c r="X2676" s="4" t="s">
        <v>273</v>
      </c>
      <c r="Y2676" s="4" t="s">
        <v>241</v>
      </c>
      <c r="AB2676" s="4" t="s">
        <v>241</v>
      </c>
      <c r="AD2676" s="5" t="s">
        <v>241</v>
      </c>
      <c r="AG2676" s="5" t="s">
        <v>246</v>
      </c>
      <c r="AH2676" s="4" t="s">
        <v>241</v>
      </c>
      <c r="AI2676" s="4" t="s">
        <v>247</v>
      </c>
      <c r="AJ2676" s="4" t="s">
        <v>248</v>
      </c>
      <c r="AZ2676" s="4" t="s">
        <v>249</v>
      </c>
      <c r="BA2676" s="4" t="s">
        <v>241</v>
      </c>
      <c r="BB2676" s="4" t="s">
        <v>250</v>
      </c>
      <c r="BC2676" s="4" t="s">
        <v>241</v>
      </c>
      <c r="BD2676" s="4" t="s">
        <v>252</v>
      </c>
      <c r="BE2676" s="4" t="s">
        <v>241</v>
      </c>
      <c r="BI2676" s="4" t="s">
        <v>253</v>
      </c>
      <c r="BJ2676" s="5" t="s">
        <v>246</v>
      </c>
      <c r="BK2676" s="4" t="s">
        <v>254</v>
      </c>
      <c r="BL2676" s="4" t="s">
        <v>255</v>
      </c>
      <c r="BM2676" s="4" t="s">
        <v>241</v>
      </c>
      <c r="BN2676" s="6">
        <f>0</f>
        <v>0</v>
      </c>
      <c r="BO2676" s="6">
        <f>0</f>
        <v>0</v>
      </c>
      <c r="BP2676" s="4" t="s">
        <v>256</v>
      </c>
      <c r="BQ2676" s="4" t="s">
        <v>257</v>
      </c>
      <c r="CE2676" s="4" t="s">
        <v>241</v>
      </c>
      <c r="CF2676" s="4" t="s">
        <v>241</v>
      </c>
      <c r="CJ2676" s="4" t="s">
        <v>276</v>
      </c>
      <c r="CK2676" s="4" t="s">
        <v>259</v>
      </c>
      <c r="CL2676" s="4" t="s">
        <v>241</v>
      </c>
      <c r="CO2676" s="5" t="s">
        <v>260</v>
      </c>
      <c r="CP2676" s="4" t="s">
        <v>241</v>
      </c>
      <c r="CQ2676" s="4" t="s">
        <v>261</v>
      </c>
      <c r="CR2676" s="4" t="s">
        <v>241</v>
      </c>
      <c r="CS2676" s="4" t="s">
        <v>241</v>
      </c>
      <c r="CT2676" s="4">
        <v>0</v>
      </c>
      <c r="CU2676" s="4" t="s">
        <v>262</v>
      </c>
      <c r="CV2676" s="4" t="s">
        <v>263</v>
      </c>
      <c r="CW2676" s="4" t="s">
        <v>263</v>
      </c>
      <c r="CX2676" s="4" t="s">
        <v>264</v>
      </c>
      <c r="DA2676" s="6">
        <f>1</f>
        <v>1</v>
      </c>
      <c r="DC2676" s="4" t="s">
        <v>325</v>
      </c>
      <c r="DD2676" s="4" t="s">
        <v>241</v>
      </c>
      <c r="DF2676" s="4" t="s">
        <v>325</v>
      </c>
      <c r="DG2676" s="6">
        <f>316</f>
        <v>316</v>
      </c>
      <c r="DI2676" s="4" t="s">
        <v>241</v>
      </c>
      <c r="DJ2676" s="4" t="s">
        <v>241</v>
      </c>
      <c r="DK2676" s="4" t="s">
        <v>241</v>
      </c>
      <c r="DL2676" s="4" t="s">
        <v>241</v>
      </c>
      <c r="DP2676" s="4" t="s">
        <v>241</v>
      </c>
      <c r="DQ2676" s="4" t="s">
        <v>241</v>
      </c>
      <c r="DR2676" s="4" t="s">
        <v>241</v>
      </c>
      <c r="DS2676" s="4" t="s">
        <v>241</v>
      </c>
      <c r="DV2676" s="4" t="s">
        <v>426</v>
      </c>
      <c r="DW2676" s="4" t="s">
        <v>708</v>
      </c>
      <c r="HO2676" s="4" t="s">
        <v>267</v>
      </c>
    </row>
    <row r="2677" spans="1:223" ht="19.5" customHeight="1" x14ac:dyDescent="0.4">
      <c r="A2677" s="4">
        <v>1</v>
      </c>
      <c r="B2677" s="4" t="s">
        <v>239</v>
      </c>
      <c r="C2677" s="4">
        <v>4380</v>
      </c>
      <c r="D2677" s="4">
        <v>1</v>
      </c>
      <c r="E2677" s="4">
        <v>1</v>
      </c>
      <c r="F2677" s="4" t="s">
        <v>268</v>
      </c>
      <c r="G2677" s="4" t="s">
        <v>241</v>
      </c>
      <c r="H2677" s="4" t="s">
        <v>241</v>
      </c>
      <c r="I2677" s="4" t="s">
        <v>424</v>
      </c>
      <c r="J2677" s="4" t="s">
        <v>274</v>
      </c>
      <c r="K2677" s="4" t="s">
        <v>251</v>
      </c>
      <c r="L2677" s="4" t="s">
        <v>423</v>
      </c>
      <c r="M2677" s="5" t="s">
        <v>715</v>
      </c>
      <c r="N2677" s="6">
        <f>762</f>
        <v>762</v>
      </c>
      <c r="O2677" s="4" t="s">
        <v>265</v>
      </c>
      <c r="P2677" s="6">
        <f>1</f>
        <v>1</v>
      </c>
      <c r="Q2677" s="6">
        <f>0</f>
        <v>0</v>
      </c>
      <c r="S2677" s="6">
        <f>0</f>
        <v>0</v>
      </c>
      <c r="T2677" s="6">
        <f>1</f>
        <v>1</v>
      </c>
      <c r="U2677" s="5" t="s">
        <v>245</v>
      </c>
      <c r="V2677" s="4" t="s">
        <v>270</v>
      </c>
      <c r="W2677" s="4" t="s">
        <v>271</v>
      </c>
      <c r="X2677" s="4" t="s">
        <v>273</v>
      </c>
      <c r="Y2677" s="4" t="s">
        <v>241</v>
      </c>
      <c r="AB2677" s="4" t="s">
        <v>241</v>
      </c>
      <c r="AD2677" s="5" t="s">
        <v>241</v>
      </c>
      <c r="AG2677" s="5" t="s">
        <v>246</v>
      </c>
      <c r="AH2677" s="4" t="s">
        <v>241</v>
      </c>
      <c r="AI2677" s="4" t="s">
        <v>247</v>
      </c>
      <c r="AJ2677" s="4" t="s">
        <v>248</v>
      </c>
      <c r="AZ2677" s="4" t="s">
        <v>249</v>
      </c>
      <c r="BA2677" s="4" t="s">
        <v>241</v>
      </c>
      <c r="BB2677" s="4" t="s">
        <v>250</v>
      </c>
      <c r="BC2677" s="4" t="s">
        <v>241</v>
      </c>
      <c r="BD2677" s="4" t="s">
        <v>252</v>
      </c>
      <c r="BE2677" s="4" t="s">
        <v>241</v>
      </c>
      <c r="BI2677" s="4" t="s">
        <v>253</v>
      </c>
      <c r="BJ2677" s="5" t="s">
        <v>246</v>
      </c>
      <c r="BK2677" s="4" t="s">
        <v>254</v>
      </c>
      <c r="BL2677" s="4" t="s">
        <v>255</v>
      </c>
      <c r="BM2677" s="4" t="s">
        <v>241</v>
      </c>
      <c r="BN2677" s="6">
        <f>0</f>
        <v>0</v>
      </c>
      <c r="BO2677" s="6">
        <f>0</f>
        <v>0</v>
      </c>
      <c r="BP2677" s="4" t="s">
        <v>256</v>
      </c>
      <c r="BQ2677" s="4" t="s">
        <v>257</v>
      </c>
      <c r="CE2677" s="4" t="s">
        <v>241</v>
      </c>
      <c r="CF2677" s="4" t="s">
        <v>241</v>
      </c>
      <c r="CJ2677" s="4" t="s">
        <v>276</v>
      </c>
      <c r="CK2677" s="4" t="s">
        <v>259</v>
      </c>
      <c r="CL2677" s="4" t="s">
        <v>241</v>
      </c>
      <c r="CO2677" s="5" t="s">
        <v>260</v>
      </c>
      <c r="CP2677" s="4" t="s">
        <v>241</v>
      </c>
      <c r="CQ2677" s="4" t="s">
        <v>261</v>
      </c>
      <c r="CR2677" s="4" t="s">
        <v>241</v>
      </c>
      <c r="CS2677" s="4" t="s">
        <v>241</v>
      </c>
      <c r="CT2677" s="4">
        <v>0</v>
      </c>
      <c r="CU2677" s="4" t="s">
        <v>262</v>
      </c>
      <c r="CV2677" s="4" t="s">
        <v>263</v>
      </c>
      <c r="CW2677" s="4" t="s">
        <v>263</v>
      </c>
      <c r="CX2677" s="4" t="s">
        <v>264</v>
      </c>
      <c r="DA2677" s="6">
        <f>1</f>
        <v>1</v>
      </c>
      <c r="DC2677" s="4" t="s">
        <v>325</v>
      </c>
      <c r="DD2677" s="4" t="s">
        <v>241</v>
      </c>
      <c r="DF2677" s="4" t="s">
        <v>325</v>
      </c>
      <c r="DG2677" s="6">
        <f>762</f>
        <v>762</v>
      </c>
      <c r="DI2677" s="4" t="s">
        <v>241</v>
      </c>
      <c r="DJ2677" s="4" t="s">
        <v>241</v>
      </c>
      <c r="DK2677" s="4" t="s">
        <v>241</v>
      </c>
      <c r="DL2677" s="4" t="s">
        <v>241</v>
      </c>
      <c r="DP2677" s="4" t="s">
        <v>241</v>
      </c>
      <c r="DQ2677" s="4" t="s">
        <v>241</v>
      </c>
      <c r="DR2677" s="4" t="s">
        <v>241</v>
      </c>
      <c r="DS2677" s="4" t="s">
        <v>241</v>
      </c>
      <c r="DV2677" s="4" t="s">
        <v>426</v>
      </c>
      <c r="DW2677" s="4" t="s">
        <v>716</v>
      </c>
      <c r="HO2677" s="4" t="s">
        <v>267</v>
      </c>
    </row>
    <row r="2678" spans="1:223" ht="19.5" customHeight="1" x14ac:dyDescent="0.4">
      <c r="A2678" s="4">
        <v>1</v>
      </c>
      <c r="B2678" s="4" t="s">
        <v>239</v>
      </c>
      <c r="C2678" s="4">
        <v>4381</v>
      </c>
      <c r="D2678" s="4">
        <v>1</v>
      </c>
      <c r="E2678" s="4">
        <v>1</v>
      </c>
      <c r="F2678" s="4" t="s">
        <v>268</v>
      </c>
      <c r="G2678" s="4" t="s">
        <v>241</v>
      </c>
      <c r="H2678" s="4" t="s">
        <v>241</v>
      </c>
      <c r="I2678" s="4" t="s">
        <v>424</v>
      </c>
      <c r="J2678" s="4" t="s">
        <v>274</v>
      </c>
      <c r="K2678" s="4" t="s">
        <v>251</v>
      </c>
      <c r="L2678" s="4" t="s">
        <v>423</v>
      </c>
      <c r="M2678" s="5" t="s">
        <v>722</v>
      </c>
      <c r="N2678" s="6">
        <f>332</f>
        <v>332</v>
      </c>
      <c r="O2678" s="4" t="s">
        <v>265</v>
      </c>
      <c r="P2678" s="6">
        <f>1</f>
        <v>1</v>
      </c>
      <c r="Q2678" s="6">
        <f>0</f>
        <v>0</v>
      </c>
      <c r="S2678" s="6">
        <f>0</f>
        <v>0</v>
      </c>
      <c r="T2678" s="6">
        <f>1</f>
        <v>1</v>
      </c>
      <c r="U2678" s="5" t="s">
        <v>245</v>
      </c>
      <c r="V2678" s="4" t="s">
        <v>270</v>
      </c>
      <c r="W2678" s="4" t="s">
        <v>271</v>
      </c>
      <c r="X2678" s="4" t="s">
        <v>273</v>
      </c>
      <c r="Y2678" s="4" t="s">
        <v>241</v>
      </c>
      <c r="AB2678" s="4" t="s">
        <v>241</v>
      </c>
      <c r="AD2678" s="5" t="s">
        <v>241</v>
      </c>
      <c r="AG2678" s="5" t="s">
        <v>246</v>
      </c>
      <c r="AH2678" s="4" t="s">
        <v>241</v>
      </c>
      <c r="AI2678" s="4" t="s">
        <v>247</v>
      </c>
      <c r="AJ2678" s="4" t="s">
        <v>248</v>
      </c>
      <c r="AZ2678" s="4" t="s">
        <v>249</v>
      </c>
      <c r="BA2678" s="4" t="s">
        <v>241</v>
      </c>
      <c r="BB2678" s="4" t="s">
        <v>250</v>
      </c>
      <c r="BC2678" s="4" t="s">
        <v>241</v>
      </c>
      <c r="BD2678" s="4" t="s">
        <v>252</v>
      </c>
      <c r="BE2678" s="4" t="s">
        <v>241</v>
      </c>
      <c r="BI2678" s="4" t="s">
        <v>253</v>
      </c>
      <c r="BJ2678" s="5" t="s">
        <v>246</v>
      </c>
      <c r="BK2678" s="4" t="s">
        <v>254</v>
      </c>
      <c r="BL2678" s="4" t="s">
        <v>255</v>
      </c>
      <c r="BM2678" s="4" t="s">
        <v>241</v>
      </c>
      <c r="BN2678" s="6">
        <f>0</f>
        <v>0</v>
      </c>
      <c r="BO2678" s="6">
        <f>0</f>
        <v>0</v>
      </c>
      <c r="BP2678" s="4" t="s">
        <v>256</v>
      </c>
      <c r="BQ2678" s="4" t="s">
        <v>257</v>
      </c>
      <c r="CE2678" s="4" t="s">
        <v>241</v>
      </c>
      <c r="CF2678" s="4" t="s">
        <v>241</v>
      </c>
      <c r="CJ2678" s="4" t="s">
        <v>276</v>
      </c>
      <c r="CK2678" s="4" t="s">
        <v>259</v>
      </c>
      <c r="CL2678" s="4" t="s">
        <v>241</v>
      </c>
      <c r="CO2678" s="5" t="s">
        <v>260</v>
      </c>
      <c r="CP2678" s="4" t="s">
        <v>241</v>
      </c>
      <c r="CQ2678" s="4" t="s">
        <v>261</v>
      </c>
      <c r="CR2678" s="4" t="s">
        <v>241</v>
      </c>
      <c r="CS2678" s="4" t="s">
        <v>241</v>
      </c>
      <c r="CT2678" s="4">
        <v>0</v>
      </c>
      <c r="CU2678" s="4" t="s">
        <v>262</v>
      </c>
      <c r="CV2678" s="4" t="s">
        <v>263</v>
      </c>
      <c r="CW2678" s="4" t="s">
        <v>263</v>
      </c>
      <c r="CX2678" s="4" t="s">
        <v>264</v>
      </c>
      <c r="DA2678" s="6">
        <f>1</f>
        <v>1</v>
      </c>
      <c r="DC2678" s="4" t="s">
        <v>325</v>
      </c>
      <c r="DD2678" s="4" t="s">
        <v>241</v>
      </c>
      <c r="DF2678" s="4" t="s">
        <v>325</v>
      </c>
      <c r="DG2678" s="6">
        <f>332</f>
        <v>332</v>
      </c>
      <c r="DI2678" s="4" t="s">
        <v>241</v>
      </c>
      <c r="DJ2678" s="4" t="s">
        <v>241</v>
      </c>
      <c r="DK2678" s="4" t="s">
        <v>241</v>
      </c>
      <c r="DL2678" s="4" t="s">
        <v>241</v>
      </c>
      <c r="DP2678" s="4" t="s">
        <v>241</v>
      </c>
      <c r="DQ2678" s="4" t="s">
        <v>241</v>
      </c>
      <c r="DR2678" s="4" t="s">
        <v>241</v>
      </c>
      <c r="DS2678" s="4" t="s">
        <v>241</v>
      </c>
      <c r="DV2678" s="4" t="s">
        <v>426</v>
      </c>
      <c r="DW2678" s="4" t="s">
        <v>723</v>
      </c>
      <c r="HO2678" s="4" t="s">
        <v>267</v>
      </c>
    </row>
    <row r="2679" spans="1:223" ht="19.5" customHeight="1" x14ac:dyDescent="0.4">
      <c r="A2679" s="4">
        <v>1</v>
      </c>
      <c r="B2679" s="4" t="s">
        <v>239</v>
      </c>
      <c r="C2679" s="4">
        <v>4382</v>
      </c>
      <c r="D2679" s="4">
        <v>1</v>
      </c>
      <c r="E2679" s="4">
        <v>1</v>
      </c>
      <c r="F2679" s="4" t="s">
        <v>268</v>
      </c>
      <c r="G2679" s="4" t="s">
        <v>241</v>
      </c>
      <c r="H2679" s="4" t="s">
        <v>241</v>
      </c>
      <c r="I2679" s="4" t="s">
        <v>424</v>
      </c>
      <c r="J2679" s="4" t="s">
        <v>274</v>
      </c>
      <c r="K2679" s="4" t="s">
        <v>251</v>
      </c>
      <c r="L2679" s="4" t="s">
        <v>423</v>
      </c>
      <c r="M2679" s="5" t="s">
        <v>3700</v>
      </c>
      <c r="N2679" s="6">
        <f>2344</f>
        <v>2344</v>
      </c>
      <c r="O2679" s="4" t="s">
        <v>265</v>
      </c>
      <c r="P2679" s="6">
        <f>1</f>
        <v>1</v>
      </c>
      <c r="Q2679" s="6">
        <f>0</f>
        <v>0</v>
      </c>
      <c r="S2679" s="6">
        <f>0</f>
        <v>0</v>
      </c>
      <c r="T2679" s="6">
        <f>1</f>
        <v>1</v>
      </c>
      <c r="U2679" s="5" t="s">
        <v>245</v>
      </c>
      <c r="V2679" s="4" t="s">
        <v>270</v>
      </c>
      <c r="W2679" s="4" t="s">
        <v>271</v>
      </c>
      <c r="X2679" s="4" t="s">
        <v>273</v>
      </c>
      <c r="Y2679" s="4" t="s">
        <v>241</v>
      </c>
      <c r="AB2679" s="4" t="s">
        <v>241</v>
      </c>
      <c r="AD2679" s="5" t="s">
        <v>241</v>
      </c>
      <c r="AG2679" s="5" t="s">
        <v>246</v>
      </c>
      <c r="AH2679" s="4" t="s">
        <v>241</v>
      </c>
      <c r="AI2679" s="4" t="s">
        <v>247</v>
      </c>
      <c r="AJ2679" s="4" t="s">
        <v>248</v>
      </c>
      <c r="AZ2679" s="4" t="s">
        <v>249</v>
      </c>
      <c r="BA2679" s="4" t="s">
        <v>241</v>
      </c>
      <c r="BB2679" s="4" t="s">
        <v>250</v>
      </c>
      <c r="BC2679" s="4" t="s">
        <v>241</v>
      </c>
      <c r="BD2679" s="4" t="s">
        <v>252</v>
      </c>
      <c r="BE2679" s="4" t="s">
        <v>241</v>
      </c>
      <c r="BI2679" s="4" t="s">
        <v>253</v>
      </c>
      <c r="BJ2679" s="5" t="s">
        <v>246</v>
      </c>
      <c r="BK2679" s="4" t="s">
        <v>254</v>
      </c>
      <c r="BL2679" s="4" t="s">
        <v>255</v>
      </c>
      <c r="BM2679" s="4" t="s">
        <v>241</v>
      </c>
      <c r="BN2679" s="6">
        <f>0</f>
        <v>0</v>
      </c>
      <c r="BO2679" s="6">
        <f>0</f>
        <v>0</v>
      </c>
      <c r="BP2679" s="4" t="s">
        <v>256</v>
      </c>
      <c r="BQ2679" s="4" t="s">
        <v>257</v>
      </c>
      <c r="CE2679" s="4" t="s">
        <v>241</v>
      </c>
      <c r="CF2679" s="4" t="s">
        <v>241</v>
      </c>
      <c r="CJ2679" s="4" t="s">
        <v>276</v>
      </c>
      <c r="CK2679" s="4" t="s">
        <v>259</v>
      </c>
      <c r="CL2679" s="4" t="s">
        <v>241</v>
      </c>
      <c r="CO2679" s="5" t="s">
        <v>260</v>
      </c>
      <c r="CP2679" s="4" t="s">
        <v>241</v>
      </c>
      <c r="CQ2679" s="4" t="s">
        <v>261</v>
      </c>
      <c r="CR2679" s="4" t="s">
        <v>241</v>
      </c>
      <c r="CS2679" s="4" t="s">
        <v>241</v>
      </c>
      <c r="CT2679" s="4">
        <v>0</v>
      </c>
      <c r="CU2679" s="4" t="s">
        <v>262</v>
      </c>
      <c r="CV2679" s="4" t="s">
        <v>263</v>
      </c>
      <c r="CW2679" s="4" t="s">
        <v>263</v>
      </c>
      <c r="CX2679" s="4" t="s">
        <v>264</v>
      </c>
      <c r="DA2679" s="6">
        <f>1</f>
        <v>1</v>
      </c>
      <c r="DC2679" s="4" t="s">
        <v>325</v>
      </c>
      <c r="DD2679" s="4" t="s">
        <v>241</v>
      </c>
      <c r="DF2679" s="4" t="s">
        <v>325</v>
      </c>
      <c r="DG2679" s="6">
        <f>2344</f>
        <v>2344</v>
      </c>
      <c r="DI2679" s="4" t="s">
        <v>241</v>
      </c>
      <c r="DJ2679" s="4" t="s">
        <v>241</v>
      </c>
      <c r="DK2679" s="4" t="s">
        <v>241</v>
      </c>
      <c r="DL2679" s="4" t="s">
        <v>241</v>
      </c>
      <c r="DP2679" s="4" t="s">
        <v>241</v>
      </c>
      <c r="DQ2679" s="4" t="s">
        <v>241</v>
      </c>
      <c r="DR2679" s="4" t="s">
        <v>241</v>
      </c>
      <c r="DS2679" s="4" t="s">
        <v>241</v>
      </c>
      <c r="DV2679" s="4" t="s">
        <v>426</v>
      </c>
      <c r="DW2679" s="4" t="s">
        <v>2516</v>
      </c>
      <c r="HO2679" s="4" t="s">
        <v>267</v>
      </c>
    </row>
    <row r="2680" spans="1:223" ht="19.5" customHeight="1" x14ac:dyDescent="0.4">
      <c r="A2680" s="4">
        <v>1</v>
      </c>
      <c r="B2680" s="4" t="s">
        <v>239</v>
      </c>
      <c r="C2680" s="4">
        <v>4383</v>
      </c>
      <c r="D2680" s="4">
        <v>1</v>
      </c>
      <c r="E2680" s="4">
        <v>1</v>
      </c>
      <c r="F2680" s="4" t="s">
        <v>268</v>
      </c>
      <c r="G2680" s="4" t="s">
        <v>241</v>
      </c>
      <c r="H2680" s="4" t="s">
        <v>241</v>
      </c>
      <c r="I2680" s="4" t="s">
        <v>424</v>
      </c>
      <c r="J2680" s="4" t="s">
        <v>274</v>
      </c>
      <c r="K2680" s="4" t="s">
        <v>251</v>
      </c>
      <c r="L2680" s="4" t="s">
        <v>423</v>
      </c>
      <c r="M2680" s="5" t="s">
        <v>744</v>
      </c>
      <c r="N2680" s="6">
        <f>1541</f>
        <v>1541</v>
      </c>
      <c r="O2680" s="4" t="s">
        <v>265</v>
      </c>
      <c r="P2680" s="6">
        <f>1</f>
        <v>1</v>
      </c>
      <c r="Q2680" s="6">
        <f>0</f>
        <v>0</v>
      </c>
      <c r="S2680" s="6">
        <f>0</f>
        <v>0</v>
      </c>
      <c r="T2680" s="6">
        <f>1</f>
        <v>1</v>
      </c>
      <c r="U2680" s="5" t="s">
        <v>245</v>
      </c>
      <c r="V2680" s="4" t="s">
        <v>270</v>
      </c>
      <c r="W2680" s="4" t="s">
        <v>271</v>
      </c>
      <c r="X2680" s="4" t="s">
        <v>273</v>
      </c>
      <c r="Y2680" s="4" t="s">
        <v>241</v>
      </c>
      <c r="AB2680" s="4" t="s">
        <v>241</v>
      </c>
      <c r="AD2680" s="5" t="s">
        <v>241</v>
      </c>
      <c r="AG2680" s="5" t="s">
        <v>246</v>
      </c>
      <c r="AH2680" s="4" t="s">
        <v>241</v>
      </c>
      <c r="AI2680" s="4" t="s">
        <v>247</v>
      </c>
      <c r="AJ2680" s="4" t="s">
        <v>248</v>
      </c>
      <c r="AZ2680" s="4" t="s">
        <v>249</v>
      </c>
      <c r="BA2680" s="4" t="s">
        <v>241</v>
      </c>
      <c r="BB2680" s="4" t="s">
        <v>250</v>
      </c>
      <c r="BC2680" s="4" t="s">
        <v>241</v>
      </c>
      <c r="BD2680" s="4" t="s">
        <v>252</v>
      </c>
      <c r="BE2680" s="4" t="s">
        <v>241</v>
      </c>
      <c r="BI2680" s="4" t="s">
        <v>253</v>
      </c>
      <c r="BJ2680" s="5" t="s">
        <v>246</v>
      </c>
      <c r="BK2680" s="4" t="s">
        <v>254</v>
      </c>
      <c r="BL2680" s="4" t="s">
        <v>255</v>
      </c>
      <c r="BM2680" s="4" t="s">
        <v>241</v>
      </c>
      <c r="BN2680" s="6">
        <f>0</f>
        <v>0</v>
      </c>
      <c r="BO2680" s="6">
        <f>0</f>
        <v>0</v>
      </c>
      <c r="BP2680" s="4" t="s">
        <v>256</v>
      </c>
      <c r="BQ2680" s="4" t="s">
        <v>257</v>
      </c>
      <c r="CE2680" s="4" t="s">
        <v>241</v>
      </c>
      <c r="CF2680" s="4" t="s">
        <v>241</v>
      </c>
      <c r="CJ2680" s="4" t="s">
        <v>276</v>
      </c>
      <c r="CK2680" s="4" t="s">
        <v>259</v>
      </c>
      <c r="CL2680" s="4" t="s">
        <v>241</v>
      </c>
      <c r="CO2680" s="5" t="s">
        <v>260</v>
      </c>
      <c r="CP2680" s="4" t="s">
        <v>241</v>
      </c>
      <c r="CQ2680" s="4" t="s">
        <v>261</v>
      </c>
      <c r="CR2680" s="4" t="s">
        <v>241</v>
      </c>
      <c r="CS2680" s="4" t="s">
        <v>241</v>
      </c>
      <c r="CT2680" s="4">
        <v>0</v>
      </c>
      <c r="CU2680" s="4" t="s">
        <v>262</v>
      </c>
      <c r="CV2680" s="4" t="s">
        <v>263</v>
      </c>
      <c r="CW2680" s="4" t="s">
        <v>263</v>
      </c>
      <c r="CX2680" s="4" t="s">
        <v>264</v>
      </c>
      <c r="DA2680" s="6">
        <f>1</f>
        <v>1</v>
      </c>
      <c r="DC2680" s="4" t="s">
        <v>325</v>
      </c>
      <c r="DD2680" s="4" t="s">
        <v>241</v>
      </c>
      <c r="DF2680" s="4" t="s">
        <v>325</v>
      </c>
      <c r="DG2680" s="6">
        <f>1541</f>
        <v>1541</v>
      </c>
      <c r="DI2680" s="4" t="s">
        <v>241</v>
      </c>
      <c r="DJ2680" s="4" t="s">
        <v>241</v>
      </c>
      <c r="DK2680" s="4" t="s">
        <v>241</v>
      </c>
      <c r="DL2680" s="4" t="s">
        <v>241</v>
      </c>
      <c r="DP2680" s="4" t="s">
        <v>241</v>
      </c>
      <c r="DQ2680" s="4" t="s">
        <v>241</v>
      </c>
      <c r="DR2680" s="4" t="s">
        <v>241</v>
      </c>
      <c r="DS2680" s="4" t="s">
        <v>241</v>
      </c>
      <c r="DV2680" s="4" t="s">
        <v>426</v>
      </c>
      <c r="DW2680" s="4" t="s">
        <v>745</v>
      </c>
      <c r="HO2680" s="4" t="s">
        <v>267</v>
      </c>
    </row>
    <row r="2681" spans="1:223" ht="19.5" customHeight="1" x14ac:dyDescent="0.4">
      <c r="A2681" s="4">
        <v>1</v>
      </c>
      <c r="B2681" s="4" t="s">
        <v>239</v>
      </c>
      <c r="C2681" s="4">
        <v>4384</v>
      </c>
      <c r="D2681" s="4">
        <v>1</v>
      </c>
      <c r="E2681" s="4">
        <v>1</v>
      </c>
      <c r="F2681" s="4" t="s">
        <v>268</v>
      </c>
      <c r="G2681" s="4" t="s">
        <v>241</v>
      </c>
      <c r="H2681" s="4" t="s">
        <v>241</v>
      </c>
      <c r="I2681" s="4" t="s">
        <v>424</v>
      </c>
      <c r="J2681" s="4" t="s">
        <v>274</v>
      </c>
      <c r="K2681" s="4" t="s">
        <v>251</v>
      </c>
      <c r="L2681" s="4" t="s">
        <v>423</v>
      </c>
      <c r="M2681" s="5" t="s">
        <v>751</v>
      </c>
      <c r="N2681" s="6">
        <f>2352</f>
        <v>2352</v>
      </c>
      <c r="O2681" s="4" t="s">
        <v>265</v>
      </c>
      <c r="P2681" s="6">
        <f>1</f>
        <v>1</v>
      </c>
      <c r="Q2681" s="6">
        <f>0</f>
        <v>0</v>
      </c>
      <c r="S2681" s="6">
        <f>0</f>
        <v>0</v>
      </c>
      <c r="T2681" s="6">
        <f>1</f>
        <v>1</v>
      </c>
      <c r="U2681" s="5" t="s">
        <v>245</v>
      </c>
      <c r="V2681" s="4" t="s">
        <v>270</v>
      </c>
      <c r="W2681" s="4" t="s">
        <v>271</v>
      </c>
      <c r="X2681" s="4" t="s">
        <v>273</v>
      </c>
      <c r="Y2681" s="4" t="s">
        <v>241</v>
      </c>
      <c r="AB2681" s="4" t="s">
        <v>241</v>
      </c>
      <c r="AD2681" s="5" t="s">
        <v>241</v>
      </c>
      <c r="AG2681" s="5" t="s">
        <v>246</v>
      </c>
      <c r="AH2681" s="4" t="s">
        <v>241</v>
      </c>
      <c r="AI2681" s="4" t="s">
        <v>247</v>
      </c>
      <c r="AJ2681" s="4" t="s">
        <v>248</v>
      </c>
      <c r="AZ2681" s="4" t="s">
        <v>249</v>
      </c>
      <c r="BA2681" s="4" t="s">
        <v>241</v>
      </c>
      <c r="BB2681" s="4" t="s">
        <v>250</v>
      </c>
      <c r="BC2681" s="4" t="s">
        <v>241</v>
      </c>
      <c r="BD2681" s="4" t="s">
        <v>252</v>
      </c>
      <c r="BE2681" s="4" t="s">
        <v>241</v>
      </c>
      <c r="BI2681" s="4" t="s">
        <v>253</v>
      </c>
      <c r="BJ2681" s="5" t="s">
        <v>246</v>
      </c>
      <c r="BK2681" s="4" t="s">
        <v>254</v>
      </c>
      <c r="BL2681" s="4" t="s">
        <v>255</v>
      </c>
      <c r="BM2681" s="4" t="s">
        <v>241</v>
      </c>
      <c r="BN2681" s="6">
        <f>0</f>
        <v>0</v>
      </c>
      <c r="BO2681" s="6">
        <f>0</f>
        <v>0</v>
      </c>
      <c r="BP2681" s="4" t="s">
        <v>256</v>
      </c>
      <c r="BQ2681" s="4" t="s">
        <v>257</v>
      </c>
      <c r="CE2681" s="4" t="s">
        <v>241</v>
      </c>
      <c r="CF2681" s="4" t="s">
        <v>241</v>
      </c>
      <c r="CJ2681" s="4" t="s">
        <v>276</v>
      </c>
      <c r="CK2681" s="4" t="s">
        <v>259</v>
      </c>
      <c r="CL2681" s="4" t="s">
        <v>241</v>
      </c>
      <c r="CO2681" s="5" t="s">
        <v>260</v>
      </c>
      <c r="CP2681" s="4" t="s">
        <v>241</v>
      </c>
      <c r="CQ2681" s="4" t="s">
        <v>261</v>
      </c>
      <c r="CR2681" s="4" t="s">
        <v>241</v>
      </c>
      <c r="CS2681" s="4" t="s">
        <v>241</v>
      </c>
      <c r="CT2681" s="4">
        <v>0</v>
      </c>
      <c r="CU2681" s="4" t="s">
        <v>262</v>
      </c>
      <c r="CV2681" s="4" t="s">
        <v>263</v>
      </c>
      <c r="CW2681" s="4" t="s">
        <v>263</v>
      </c>
      <c r="CX2681" s="4" t="s">
        <v>264</v>
      </c>
      <c r="DA2681" s="6">
        <f>1</f>
        <v>1</v>
      </c>
      <c r="DC2681" s="4" t="s">
        <v>325</v>
      </c>
      <c r="DD2681" s="4" t="s">
        <v>241</v>
      </c>
      <c r="DF2681" s="4" t="s">
        <v>325</v>
      </c>
      <c r="DG2681" s="6">
        <f>2352</f>
        <v>2352</v>
      </c>
      <c r="DI2681" s="4" t="s">
        <v>241</v>
      </c>
      <c r="DJ2681" s="4" t="s">
        <v>241</v>
      </c>
      <c r="DK2681" s="4" t="s">
        <v>241</v>
      </c>
      <c r="DL2681" s="4" t="s">
        <v>241</v>
      </c>
      <c r="DP2681" s="4" t="s">
        <v>241</v>
      </c>
      <c r="DQ2681" s="4" t="s">
        <v>241</v>
      </c>
      <c r="DR2681" s="4" t="s">
        <v>241</v>
      </c>
      <c r="DS2681" s="4" t="s">
        <v>241</v>
      </c>
      <c r="DV2681" s="4" t="s">
        <v>426</v>
      </c>
      <c r="DW2681" s="4" t="s">
        <v>752</v>
      </c>
      <c r="HO2681" s="4" t="s">
        <v>267</v>
      </c>
    </row>
    <row r="2682" spans="1:223" ht="19.5" customHeight="1" x14ac:dyDescent="0.4">
      <c r="A2682" s="4">
        <v>1</v>
      </c>
      <c r="B2682" s="4" t="s">
        <v>239</v>
      </c>
      <c r="C2682" s="4">
        <v>4385</v>
      </c>
      <c r="D2682" s="4">
        <v>1</v>
      </c>
      <c r="E2682" s="4">
        <v>1</v>
      </c>
      <c r="F2682" s="4" t="s">
        <v>268</v>
      </c>
      <c r="G2682" s="4" t="s">
        <v>241</v>
      </c>
      <c r="H2682" s="4" t="s">
        <v>241</v>
      </c>
      <c r="I2682" s="4" t="s">
        <v>424</v>
      </c>
      <c r="J2682" s="4" t="s">
        <v>274</v>
      </c>
      <c r="K2682" s="4" t="s">
        <v>251</v>
      </c>
      <c r="L2682" s="4" t="s">
        <v>423</v>
      </c>
      <c r="M2682" s="5" t="s">
        <v>769</v>
      </c>
      <c r="N2682" s="6">
        <f>524</f>
        <v>524</v>
      </c>
      <c r="O2682" s="4" t="s">
        <v>265</v>
      </c>
      <c r="P2682" s="6">
        <f>1</f>
        <v>1</v>
      </c>
      <c r="Q2682" s="6">
        <f>0</f>
        <v>0</v>
      </c>
      <c r="S2682" s="6">
        <f>0</f>
        <v>0</v>
      </c>
      <c r="T2682" s="6">
        <f>1</f>
        <v>1</v>
      </c>
      <c r="U2682" s="5" t="s">
        <v>245</v>
      </c>
      <c r="V2682" s="4" t="s">
        <v>270</v>
      </c>
      <c r="W2682" s="4" t="s">
        <v>271</v>
      </c>
      <c r="X2682" s="4" t="s">
        <v>273</v>
      </c>
      <c r="Y2682" s="4" t="s">
        <v>241</v>
      </c>
      <c r="AB2682" s="4" t="s">
        <v>241</v>
      </c>
      <c r="AD2682" s="5" t="s">
        <v>241</v>
      </c>
      <c r="AG2682" s="5" t="s">
        <v>246</v>
      </c>
      <c r="AH2682" s="4" t="s">
        <v>241</v>
      </c>
      <c r="AI2682" s="4" t="s">
        <v>247</v>
      </c>
      <c r="AJ2682" s="4" t="s">
        <v>248</v>
      </c>
      <c r="AZ2682" s="4" t="s">
        <v>249</v>
      </c>
      <c r="BA2682" s="4" t="s">
        <v>241</v>
      </c>
      <c r="BB2682" s="4" t="s">
        <v>250</v>
      </c>
      <c r="BC2682" s="4" t="s">
        <v>241</v>
      </c>
      <c r="BD2682" s="4" t="s">
        <v>252</v>
      </c>
      <c r="BE2682" s="4" t="s">
        <v>241</v>
      </c>
      <c r="BI2682" s="4" t="s">
        <v>253</v>
      </c>
      <c r="BJ2682" s="5" t="s">
        <v>246</v>
      </c>
      <c r="BK2682" s="4" t="s">
        <v>254</v>
      </c>
      <c r="BL2682" s="4" t="s">
        <v>255</v>
      </c>
      <c r="BM2682" s="4" t="s">
        <v>241</v>
      </c>
      <c r="BN2682" s="6">
        <f>0</f>
        <v>0</v>
      </c>
      <c r="BO2682" s="6">
        <f>0</f>
        <v>0</v>
      </c>
      <c r="BP2682" s="4" t="s">
        <v>256</v>
      </c>
      <c r="BQ2682" s="4" t="s">
        <v>257</v>
      </c>
      <c r="CE2682" s="4" t="s">
        <v>241</v>
      </c>
      <c r="CF2682" s="4" t="s">
        <v>241</v>
      </c>
      <c r="CJ2682" s="4" t="s">
        <v>276</v>
      </c>
      <c r="CK2682" s="4" t="s">
        <v>259</v>
      </c>
      <c r="CL2682" s="4" t="s">
        <v>241</v>
      </c>
      <c r="CO2682" s="5" t="s">
        <v>260</v>
      </c>
      <c r="CP2682" s="4" t="s">
        <v>241</v>
      </c>
      <c r="CQ2682" s="4" t="s">
        <v>261</v>
      </c>
      <c r="CR2682" s="4" t="s">
        <v>241</v>
      </c>
      <c r="CS2682" s="4" t="s">
        <v>241</v>
      </c>
      <c r="CT2682" s="4">
        <v>0</v>
      </c>
      <c r="CU2682" s="4" t="s">
        <v>262</v>
      </c>
      <c r="CV2682" s="4" t="s">
        <v>263</v>
      </c>
      <c r="CW2682" s="4" t="s">
        <v>263</v>
      </c>
      <c r="CX2682" s="4" t="s">
        <v>264</v>
      </c>
      <c r="DA2682" s="6">
        <f>1</f>
        <v>1</v>
      </c>
      <c r="DC2682" s="4" t="s">
        <v>325</v>
      </c>
      <c r="DD2682" s="4" t="s">
        <v>241</v>
      </c>
      <c r="DF2682" s="4" t="s">
        <v>325</v>
      </c>
      <c r="DG2682" s="6">
        <f>524</f>
        <v>524</v>
      </c>
      <c r="DI2682" s="4" t="s">
        <v>241</v>
      </c>
      <c r="DJ2682" s="4" t="s">
        <v>241</v>
      </c>
      <c r="DK2682" s="4" t="s">
        <v>241</v>
      </c>
      <c r="DL2682" s="4" t="s">
        <v>241</v>
      </c>
      <c r="DP2682" s="4" t="s">
        <v>241</v>
      </c>
      <c r="DQ2682" s="4" t="s">
        <v>241</v>
      </c>
      <c r="DR2682" s="4" t="s">
        <v>241</v>
      </c>
      <c r="DS2682" s="4" t="s">
        <v>241</v>
      </c>
      <c r="DV2682" s="4" t="s">
        <v>426</v>
      </c>
      <c r="DW2682" s="4" t="s">
        <v>770</v>
      </c>
      <c r="HO2682" s="4" t="s">
        <v>267</v>
      </c>
    </row>
    <row r="2683" spans="1:223" ht="19.5" customHeight="1" x14ac:dyDescent="0.4">
      <c r="A2683" s="4">
        <v>1</v>
      </c>
      <c r="B2683" s="4" t="s">
        <v>239</v>
      </c>
      <c r="C2683" s="4">
        <v>4386</v>
      </c>
      <c r="D2683" s="4">
        <v>1</v>
      </c>
      <c r="E2683" s="4">
        <v>1</v>
      </c>
      <c r="F2683" s="4" t="s">
        <v>268</v>
      </c>
      <c r="G2683" s="4" t="s">
        <v>241</v>
      </c>
      <c r="H2683" s="4" t="s">
        <v>241</v>
      </c>
      <c r="I2683" s="4" t="s">
        <v>424</v>
      </c>
      <c r="J2683" s="4" t="s">
        <v>274</v>
      </c>
      <c r="K2683" s="4" t="s">
        <v>251</v>
      </c>
      <c r="L2683" s="4" t="s">
        <v>423</v>
      </c>
      <c r="M2683" s="5" t="s">
        <v>775</v>
      </c>
      <c r="N2683" s="6">
        <f>300</f>
        <v>300</v>
      </c>
      <c r="O2683" s="4" t="s">
        <v>265</v>
      </c>
      <c r="P2683" s="6">
        <f>1</f>
        <v>1</v>
      </c>
      <c r="Q2683" s="6">
        <f>0</f>
        <v>0</v>
      </c>
      <c r="S2683" s="6">
        <f>0</f>
        <v>0</v>
      </c>
      <c r="T2683" s="6">
        <f>1</f>
        <v>1</v>
      </c>
      <c r="U2683" s="5" t="s">
        <v>245</v>
      </c>
      <c r="V2683" s="4" t="s">
        <v>270</v>
      </c>
      <c r="W2683" s="4" t="s">
        <v>271</v>
      </c>
      <c r="X2683" s="4" t="s">
        <v>273</v>
      </c>
      <c r="Y2683" s="4" t="s">
        <v>241</v>
      </c>
      <c r="AB2683" s="4" t="s">
        <v>241</v>
      </c>
      <c r="AD2683" s="5" t="s">
        <v>241</v>
      </c>
      <c r="AG2683" s="5" t="s">
        <v>246</v>
      </c>
      <c r="AH2683" s="4" t="s">
        <v>241</v>
      </c>
      <c r="AI2683" s="4" t="s">
        <v>247</v>
      </c>
      <c r="AJ2683" s="4" t="s">
        <v>248</v>
      </c>
      <c r="AZ2683" s="4" t="s">
        <v>249</v>
      </c>
      <c r="BA2683" s="4" t="s">
        <v>241</v>
      </c>
      <c r="BB2683" s="4" t="s">
        <v>250</v>
      </c>
      <c r="BC2683" s="4" t="s">
        <v>241</v>
      </c>
      <c r="BD2683" s="4" t="s">
        <v>252</v>
      </c>
      <c r="BE2683" s="4" t="s">
        <v>241</v>
      </c>
      <c r="BI2683" s="4" t="s">
        <v>253</v>
      </c>
      <c r="BJ2683" s="5" t="s">
        <v>246</v>
      </c>
      <c r="BK2683" s="4" t="s">
        <v>254</v>
      </c>
      <c r="BL2683" s="4" t="s">
        <v>255</v>
      </c>
      <c r="BM2683" s="4" t="s">
        <v>241</v>
      </c>
      <c r="BN2683" s="6">
        <f>0</f>
        <v>0</v>
      </c>
      <c r="BO2683" s="6">
        <f>0</f>
        <v>0</v>
      </c>
      <c r="BP2683" s="4" t="s">
        <v>256</v>
      </c>
      <c r="BQ2683" s="4" t="s">
        <v>257</v>
      </c>
      <c r="CE2683" s="4" t="s">
        <v>241</v>
      </c>
      <c r="CF2683" s="4" t="s">
        <v>241</v>
      </c>
      <c r="CJ2683" s="4" t="s">
        <v>276</v>
      </c>
      <c r="CK2683" s="4" t="s">
        <v>259</v>
      </c>
      <c r="CL2683" s="4" t="s">
        <v>241</v>
      </c>
      <c r="CO2683" s="5" t="s">
        <v>260</v>
      </c>
      <c r="CP2683" s="4" t="s">
        <v>241</v>
      </c>
      <c r="CQ2683" s="4" t="s">
        <v>261</v>
      </c>
      <c r="CR2683" s="4" t="s">
        <v>241</v>
      </c>
      <c r="CS2683" s="4" t="s">
        <v>241</v>
      </c>
      <c r="CT2683" s="4">
        <v>0</v>
      </c>
      <c r="CU2683" s="4" t="s">
        <v>262</v>
      </c>
      <c r="CV2683" s="4" t="s">
        <v>263</v>
      </c>
      <c r="CW2683" s="4" t="s">
        <v>263</v>
      </c>
      <c r="CX2683" s="4" t="s">
        <v>264</v>
      </c>
      <c r="DA2683" s="6">
        <f>1</f>
        <v>1</v>
      </c>
      <c r="DC2683" s="4" t="s">
        <v>325</v>
      </c>
      <c r="DD2683" s="4" t="s">
        <v>241</v>
      </c>
      <c r="DF2683" s="4" t="s">
        <v>325</v>
      </c>
      <c r="DG2683" s="6">
        <f>300</f>
        <v>300</v>
      </c>
      <c r="DI2683" s="4" t="s">
        <v>241</v>
      </c>
      <c r="DJ2683" s="4" t="s">
        <v>241</v>
      </c>
      <c r="DK2683" s="4" t="s">
        <v>241</v>
      </c>
      <c r="DL2683" s="4" t="s">
        <v>241</v>
      </c>
      <c r="DP2683" s="4" t="s">
        <v>241</v>
      </c>
      <c r="DQ2683" s="4" t="s">
        <v>241</v>
      </c>
      <c r="DR2683" s="4" t="s">
        <v>241</v>
      </c>
      <c r="DS2683" s="4" t="s">
        <v>241</v>
      </c>
      <c r="DV2683" s="4" t="s">
        <v>426</v>
      </c>
      <c r="DW2683" s="4" t="s">
        <v>776</v>
      </c>
      <c r="HO2683" s="4" t="s">
        <v>267</v>
      </c>
    </row>
    <row r="2684" spans="1:223" ht="19.5" customHeight="1" x14ac:dyDescent="0.4">
      <c r="A2684" s="4">
        <v>1</v>
      </c>
      <c r="B2684" s="4" t="s">
        <v>239</v>
      </c>
      <c r="C2684" s="4">
        <v>4387</v>
      </c>
      <c r="D2684" s="4">
        <v>1</v>
      </c>
      <c r="E2684" s="4">
        <v>1</v>
      </c>
      <c r="F2684" s="4" t="s">
        <v>268</v>
      </c>
      <c r="G2684" s="4" t="s">
        <v>241</v>
      </c>
      <c r="H2684" s="4" t="s">
        <v>241</v>
      </c>
      <c r="I2684" s="4" t="s">
        <v>424</v>
      </c>
      <c r="J2684" s="4" t="s">
        <v>274</v>
      </c>
      <c r="K2684" s="4" t="s">
        <v>251</v>
      </c>
      <c r="L2684" s="4" t="s">
        <v>423</v>
      </c>
      <c r="M2684" s="5" t="s">
        <v>783</v>
      </c>
      <c r="N2684" s="6">
        <f>1188</f>
        <v>1188</v>
      </c>
      <c r="O2684" s="4" t="s">
        <v>265</v>
      </c>
      <c r="P2684" s="6">
        <f>1</f>
        <v>1</v>
      </c>
      <c r="Q2684" s="6">
        <f>0</f>
        <v>0</v>
      </c>
      <c r="S2684" s="6">
        <f>0</f>
        <v>0</v>
      </c>
      <c r="T2684" s="6">
        <f>1</f>
        <v>1</v>
      </c>
      <c r="U2684" s="5" t="s">
        <v>245</v>
      </c>
      <c r="V2684" s="4" t="s">
        <v>270</v>
      </c>
      <c r="W2684" s="4" t="s">
        <v>271</v>
      </c>
      <c r="X2684" s="4" t="s">
        <v>273</v>
      </c>
      <c r="Y2684" s="4" t="s">
        <v>241</v>
      </c>
      <c r="AB2684" s="4" t="s">
        <v>241</v>
      </c>
      <c r="AD2684" s="5" t="s">
        <v>241</v>
      </c>
      <c r="AG2684" s="5" t="s">
        <v>246</v>
      </c>
      <c r="AH2684" s="4" t="s">
        <v>241</v>
      </c>
      <c r="AI2684" s="4" t="s">
        <v>247</v>
      </c>
      <c r="AJ2684" s="4" t="s">
        <v>248</v>
      </c>
      <c r="AZ2684" s="4" t="s">
        <v>249</v>
      </c>
      <c r="BA2684" s="4" t="s">
        <v>241</v>
      </c>
      <c r="BB2684" s="4" t="s">
        <v>250</v>
      </c>
      <c r="BC2684" s="4" t="s">
        <v>241</v>
      </c>
      <c r="BD2684" s="4" t="s">
        <v>252</v>
      </c>
      <c r="BE2684" s="4" t="s">
        <v>241</v>
      </c>
      <c r="BI2684" s="4" t="s">
        <v>253</v>
      </c>
      <c r="BJ2684" s="5" t="s">
        <v>246</v>
      </c>
      <c r="BK2684" s="4" t="s">
        <v>254</v>
      </c>
      <c r="BL2684" s="4" t="s">
        <v>255</v>
      </c>
      <c r="BM2684" s="4" t="s">
        <v>241</v>
      </c>
      <c r="BN2684" s="6">
        <f>0</f>
        <v>0</v>
      </c>
      <c r="BO2684" s="6">
        <f>0</f>
        <v>0</v>
      </c>
      <c r="BP2684" s="4" t="s">
        <v>256</v>
      </c>
      <c r="BQ2684" s="4" t="s">
        <v>257</v>
      </c>
      <c r="CE2684" s="4" t="s">
        <v>241</v>
      </c>
      <c r="CF2684" s="4" t="s">
        <v>241</v>
      </c>
      <c r="CJ2684" s="4" t="s">
        <v>276</v>
      </c>
      <c r="CK2684" s="4" t="s">
        <v>259</v>
      </c>
      <c r="CL2684" s="4" t="s">
        <v>241</v>
      </c>
      <c r="CO2684" s="5" t="s">
        <v>260</v>
      </c>
      <c r="CP2684" s="4" t="s">
        <v>241</v>
      </c>
      <c r="CQ2684" s="4" t="s">
        <v>261</v>
      </c>
      <c r="CR2684" s="4" t="s">
        <v>241</v>
      </c>
      <c r="CS2684" s="4" t="s">
        <v>241</v>
      </c>
      <c r="CT2684" s="4">
        <v>0</v>
      </c>
      <c r="CU2684" s="4" t="s">
        <v>262</v>
      </c>
      <c r="CV2684" s="4" t="s">
        <v>263</v>
      </c>
      <c r="CW2684" s="4" t="s">
        <v>263</v>
      </c>
      <c r="CX2684" s="4" t="s">
        <v>264</v>
      </c>
      <c r="DA2684" s="6">
        <f>1</f>
        <v>1</v>
      </c>
      <c r="DC2684" s="4" t="s">
        <v>325</v>
      </c>
      <c r="DD2684" s="4" t="s">
        <v>241</v>
      </c>
      <c r="DF2684" s="4" t="s">
        <v>325</v>
      </c>
      <c r="DG2684" s="6">
        <f>1188</f>
        <v>1188</v>
      </c>
      <c r="DI2684" s="4" t="s">
        <v>241</v>
      </c>
      <c r="DJ2684" s="4" t="s">
        <v>241</v>
      </c>
      <c r="DK2684" s="4" t="s">
        <v>241</v>
      </c>
      <c r="DL2684" s="4" t="s">
        <v>241</v>
      </c>
      <c r="DP2684" s="4" t="s">
        <v>241</v>
      </c>
      <c r="DQ2684" s="4" t="s">
        <v>241</v>
      </c>
      <c r="DR2684" s="4" t="s">
        <v>241</v>
      </c>
      <c r="DS2684" s="4" t="s">
        <v>241</v>
      </c>
      <c r="DV2684" s="4" t="s">
        <v>426</v>
      </c>
      <c r="DW2684" s="4" t="s">
        <v>784</v>
      </c>
      <c r="HO2684" s="4" t="s">
        <v>267</v>
      </c>
    </row>
    <row r="2685" spans="1:223" ht="19.5" customHeight="1" x14ac:dyDescent="0.4">
      <c r="A2685" s="4">
        <v>1</v>
      </c>
      <c r="B2685" s="4" t="s">
        <v>239</v>
      </c>
      <c r="C2685" s="4">
        <v>4388</v>
      </c>
      <c r="D2685" s="4">
        <v>1</v>
      </c>
      <c r="E2685" s="4">
        <v>1</v>
      </c>
      <c r="F2685" s="4" t="s">
        <v>268</v>
      </c>
      <c r="G2685" s="4" t="s">
        <v>241</v>
      </c>
      <c r="H2685" s="4" t="s">
        <v>241</v>
      </c>
      <c r="I2685" s="4" t="s">
        <v>424</v>
      </c>
      <c r="J2685" s="4" t="s">
        <v>274</v>
      </c>
      <c r="K2685" s="4" t="s">
        <v>251</v>
      </c>
      <c r="L2685" s="4" t="s">
        <v>423</v>
      </c>
      <c r="M2685" s="5" t="s">
        <v>799</v>
      </c>
      <c r="N2685" s="6">
        <f>335</f>
        <v>335</v>
      </c>
      <c r="O2685" s="4" t="s">
        <v>265</v>
      </c>
      <c r="P2685" s="6">
        <f>1</f>
        <v>1</v>
      </c>
      <c r="Q2685" s="6">
        <f>0</f>
        <v>0</v>
      </c>
      <c r="S2685" s="6">
        <f>0</f>
        <v>0</v>
      </c>
      <c r="T2685" s="6">
        <f>1</f>
        <v>1</v>
      </c>
      <c r="U2685" s="5" t="s">
        <v>245</v>
      </c>
      <c r="V2685" s="4" t="s">
        <v>270</v>
      </c>
      <c r="W2685" s="4" t="s">
        <v>271</v>
      </c>
      <c r="X2685" s="4" t="s">
        <v>273</v>
      </c>
      <c r="Y2685" s="4" t="s">
        <v>241</v>
      </c>
      <c r="AB2685" s="4" t="s">
        <v>241</v>
      </c>
      <c r="AD2685" s="5" t="s">
        <v>241</v>
      </c>
      <c r="AG2685" s="5" t="s">
        <v>246</v>
      </c>
      <c r="AH2685" s="4" t="s">
        <v>241</v>
      </c>
      <c r="AI2685" s="4" t="s">
        <v>247</v>
      </c>
      <c r="AJ2685" s="4" t="s">
        <v>248</v>
      </c>
      <c r="AZ2685" s="4" t="s">
        <v>249</v>
      </c>
      <c r="BA2685" s="4" t="s">
        <v>241</v>
      </c>
      <c r="BB2685" s="4" t="s">
        <v>250</v>
      </c>
      <c r="BC2685" s="4" t="s">
        <v>241</v>
      </c>
      <c r="BD2685" s="4" t="s">
        <v>252</v>
      </c>
      <c r="BE2685" s="4" t="s">
        <v>241</v>
      </c>
      <c r="BI2685" s="4" t="s">
        <v>253</v>
      </c>
      <c r="BJ2685" s="5" t="s">
        <v>246</v>
      </c>
      <c r="BK2685" s="4" t="s">
        <v>254</v>
      </c>
      <c r="BL2685" s="4" t="s">
        <v>255</v>
      </c>
      <c r="BM2685" s="4" t="s">
        <v>241</v>
      </c>
      <c r="BN2685" s="6">
        <f>0</f>
        <v>0</v>
      </c>
      <c r="BO2685" s="6">
        <f>0</f>
        <v>0</v>
      </c>
      <c r="BP2685" s="4" t="s">
        <v>256</v>
      </c>
      <c r="BQ2685" s="4" t="s">
        <v>257</v>
      </c>
      <c r="CE2685" s="4" t="s">
        <v>241</v>
      </c>
      <c r="CF2685" s="4" t="s">
        <v>241</v>
      </c>
      <c r="CJ2685" s="4" t="s">
        <v>276</v>
      </c>
      <c r="CK2685" s="4" t="s">
        <v>259</v>
      </c>
      <c r="CL2685" s="4" t="s">
        <v>241</v>
      </c>
      <c r="CO2685" s="5" t="s">
        <v>260</v>
      </c>
      <c r="CP2685" s="4" t="s">
        <v>241</v>
      </c>
      <c r="CQ2685" s="4" t="s">
        <v>261</v>
      </c>
      <c r="CR2685" s="4" t="s">
        <v>241</v>
      </c>
      <c r="CS2685" s="4" t="s">
        <v>241</v>
      </c>
      <c r="CT2685" s="4">
        <v>0</v>
      </c>
      <c r="CU2685" s="4" t="s">
        <v>262</v>
      </c>
      <c r="CV2685" s="4" t="s">
        <v>263</v>
      </c>
      <c r="CW2685" s="4" t="s">
        <v>263</v>
      </c>
      <c r="CX2685" s="4" t="s">
        <v>264</v>
      </c>
      <c r="DA2685" s="6">
        <f>1</f>
        <v>1</v>
      </c>
      <c r="DC2685" s="4" t="s">
        <v>325</v>
      </c>
      <c r="DD2685" s="4" t="s">
        <v>241</v>
      </c>
      <c r="DF2685" s="4" t="s">
        <v>325</v>
      </c>
      <c r="DG2685" s="6">
        <f>335</f>
        <v>335</v>
      </c>
      <c r="DI2685" s="4" t="s">
        <v>241</v>
      </c>
      <c r="DJ2685" s="4" t="s">
        <v>241</v>
      </c>
      <c r="DK2685" s="4" t="s">
        <v>241</v>
      </c>
      <c r="DL2685" s="4" t="s">
        <v>241</v>
      </c>
      <c r="DP2685" s="4" t="s">
        <v>241</v>
      </c>
      <c r="DQ2685" s="4" t="s">
        <v>241</v>
      </c>
      <c r="DR2685" s="4" t="s">
        <v>241</v>
      </c>
      <c r="DS2685" s="4" t="s">
        <v>241</v>
      </c>
      <c r="DV2685" s="4" t="s">
        <v>426</v>
      </c>
      <c r="DW2685" s="4" t="s">
        <v>800</v>
      </c>
      <c r="HO2685" s="4" t="s">
        <v>267</v>
      </c>
    </row>
    <row r="2686" spans="1:223" ht="19.5" customHeight="1" x14ac:dyDescent="0.4">
      <c r="A2686" s="4">
        <v>1</v>
      </c>
      <c r="B2686" s="4" t="s">
        <v>239</v>
      </c>
      <c r="C2686" s="4">
        <v>4389</v>
      </c>
      <c r="D2686" s="4">
        <v>1</v>
      </c>
      <c r="E2686" s="4">
        <v>1</v>
      </c>
      <c r="F2686" s="4" t="s">
        <v>268</v>
      </c>
      <c r="G2686" s="4" t="s">
        <v>241</v>
      </c>
      <c r="H2686" s="4" t="s">
        <v>241</v>
      </c>
      <c r="I2686" s="4" t="s">
        <v>424</v>
      </c>
      <c r="J2686" s="4" t="s">
        <v>274</v>
      </c>
      <c r="K2686" s="4" t="s">
        <v>251</v>
      </c>
      <c r="L2686" s="4" t="s">
        <v>423</v>
      </c>
      <c r="M2686" s="5" t="s">
        <v>809</v>
      </c>
      <c r="N2686" s="6">
        <f>1058</f>
        <v>1058</v>
      </c>
      <c r="O2686" s="4" t="s">
        <v>265</v>
      </c>
      <c r="P2686" s="6">
        <f>1</f>
        <v>1</v>
      </c>
      <c r="Q2686" s="6">
        <f>0</f>
        <v>0</v>
      </c>
      <c r="S2686" s="6">
        <f>0</f>
        <v>0</v>
      </c>
      <c r="T2686" s="6">
        <f>1</f>
        <v>1</v>
      </c>
      <c r="U2686" s="5" t="s">
        <v>245</v>
      </c>
      <c r="V2686" s="4" t="s">
        <v>270</v>
      </c>
      <c r="W2686" s="4" t="s">
        <v>271</v>
      </c>
      <c r="X2686" s="4" t="s">
        <v>273</v>
      </c>
      <c r="Y2686" s="4" t="s">
        <v>241</v>
      </c>
      <c r="AB2686" s="4" t="s">
        <v>241</v>
      </c>
      <c r="AD2686" s="5" t="s">
        <v>241</v>
      </c>
      <c r="AG2686" s="5" t="s">
        <v>246</v>
      </c>
      <c r="AH2686" s="4" t="s">
        <v>241</v>
      </c>
      <c r="AI2686" s="4" t="s">
        <v>247</v>
      </c>
      <c r="AJ2686" s="4" t="s">
        <v>248</v>
      </c>
      <c r="AZ2686" s="4" t="s">
        <v>249</v>
      </c>
      <c r="BA2686" s="4" t="s">
        <v>241</v>
      </c>
      <c r="BB2686" s="4" t="s">
        <v>250</v>
      </c>
      <c r="BC2686" s="4" t="s">
        <v>241</v>
      </c>
      <c r="BD2686" s="4" t="s">
        <v>252</v>
      </c>
      <c r="BE2686" s="4" t="s">
        <v>241</v>
      </c>
      <c r="BI2686" s="4" t="s">
        <v>253</v>
      </c>
      <c r="BJ2686" s="5" t="s">
        <v>246</v>
      </c>
      <c r="BK2686" s="4" t="s">
        <v>254</v>
      </c>
      <c r="BL2686" s="4" t="s">
        <v>255</v>
      </c>
      <c r="BM2686" s="4" t="s">
        <v>241</v>
      </c>
      <c r="BN2686" s="6">
        <f>0</f>
        <v>0</v>
      </c>
      <c r="BO2686" s="6">
        <f>0</f>
        <v>0</v>
      </c>
      <c r="BP2686" s="4" t="s">
        <v>256</v>
      </c>
      <c r="BQ2686" s="4" t="s">
        <v>257</v>
      </c>
      <c r="CE2686" s="4" t="s">
        <v>241</v>
      </c>
      <c r="CF2686" s="4" t="s">
        <v>241</v>
      </c>
      <c r="CJ2686" s="4" t="s">
        <v>276</v>
      </c>
      <c r="CK2686" s="4" t="s">
        <v>259</v>
      </c>
      <c r="CL2686" s="4" t="s">
        <v>241</v>
      </c>
      <c r="CO2686" s="5" t="s">
        <v>260</v>
      </c>
      <c r="CP2686" s="4" t="s">
        <v>241</v>
      </c>
      <c r="CQ2686" s="4" t="s">
        <v>261</v>
      </c>
      <c r="CR2686" s="4" t="s">
        <v>241</v>
      </c>
      <c r="CS2686" s="4" t="s">
        <v>241</v>
      </c>
      <c r="CT2686" s="4">
        <v>0</v>
      </c>
      <c r="CU2686" s="4" t="s">
        <v>262</v>
      </c>
      <c r="CV2686" s="4" t="s">
        <v>263</v>
      </c>
      <c r="CW2686" s="4" t="s">
        <v>263</v>
      </c>
      <c r="CX2686" s="4" t="s">
        <v>264</v>
      </c>
      <c r="DA2686" s="6">
        <f>1</f>
        <v>1</v>
      </c>
      <c r="DC2686" s="4" t="s">
        <v>325</v>
      </c>
      <c r="DD2686" s="4" t="s">
        <v>241</v>
      </c>
      <c r="DF2686" s="4" t="s">
        <v>325</v>
      </c>
      <c r="DG2686" s="6">
        <f>1058</f>
        <v>1058</v>
      </c>
      <c r="DI2686" s="4" t="s">
        <v>241</v>
      </c>
      <c r="DJ2686" s="4" t="s">
        <v>241</v>
      </c>
      <c r="DK2686" s="4" t="s">
        <v>241</v>
      </c>
      <c r="DL2686" s="4" t="s">
        <v>241</v>
      </c>
      <c r="DP2686" s="4" t="s">
        <v>241</v>
      </c>
      <c r="DQ2686" s="4" t="s">
        <v>241</v>
      </c>
      <c r="DR2686" s="4" t="s">
        <v>241</v>
      </c>
      <c r="DS2686" s="4" t="s">
        <v>241</v>
      </c>
      <c r="DV2686" s="4" t="s">
        <v>426</v>
      </c>
      <c r="DW2686" s="4" t="s">
        <v>810</v>
      </c>
      <c r="HO2686" s="4" t="s">
        <v>267</v>
      </c>
    </row>
    <row r="2687" spans="1:223" ht="19.5" customHeight="1" x14ac:dyDescent="0.4">
      <c r="A2687" s="4">
        <v>1</v>
      </c>
      <c r="B2687" s="4" t="s">
        <v>239</v>
      </c>
      <c r="C2687" s="4">
        <v>4390</v>
      </c>
      <c r="D2687" s="4">
        <v>1</v>
      </c>
      <c r="E2687" s="4">
        <v>1</v>
      </c>
      <c r="F2687" s="4" t="s">
        <v>268</v>
      </c>
      <c r="G2687" s="4" t="s">
        <v>241</v>
      </c>
      <c r="H2687" s="4" t="s">
        <v>241</v>
      </c>
      <c r="I2687" s="4" t="s">
        <v>424</v>
      </c>
      <c r="J2687" s="4" t="s">
        <v>274</v>
      </c>
      <c r="K2687" s="4" t="s">
        <v>251</v>
      </c>
      <c r="L2687" s="4" t="s">
        <v>423</v>
      </c>
      <c r="M2687" s="5" t="s">
        <v>813</v>
      </c>
      <c r="N2687" s="6">
        <f>651</f>
        <v>651</v>
      </c>
      <c r="O2687" s="4" t="s">
        <v>265</v>
      </c>
      <c r="P2687" s="6">
        <f>1</f>
        <v>1</v>
      </c>
      <c r="Q2687" s="6">
        <f>0</f>
        <v>0</v>
      </c>
      <c r="S2687" s="6">
        <f>0</f>
        <v>0</v>
      </c>
      <c r="T2687" s="6">
        <f>1</f>
        <v>1</v>
      </c>
      <c r="U2687" s="5" t="s">
        <v>245</v>
      </c>
      <c r="V2687" s="4" t="s">
        <v>270</v>
      </c>
      <c r="W2687" s="4" t="s">
        <v>271</v>
      </c>
      <c r="X2687" s="4" t="s">
        <v>273</v>
      </c>
      <c r="Y2687" s="4" t="s">
        <v>241</v>
      </c>
      <c r="AB2687" s="4" t="s">
        <v>241</v>
      </c>
      <c r="AD2687" s="5" t="s">
        <v>241</v>
      </c>
      <c r="AG2687" s="5" t="s">
        <v>246</v>
      </c>
      <c r="AH2687" s="4" t="s">
        <v>241</v>
      </c>
      <c r="AI2687" s="4" t="s">
        <v>247</v>
      </c>
      <c r="AJ2687" s="4" t="s">
        <v>248</v>
      </c>
      <c r="AZ2687" s="4" t="s">
        <v>249</v>
      </c>
      <c r="BA2687" s="4" t="s">
        <v>241</v>
      </c>
      <c r="BB2687" s="4" t="s">
        <v>250</v>
      </c>
      <c r="BC2687" s="4" t="s">
        <v>241</v>
      </c>
      <c r="BD2687" s="4" t="s">
        <v>252</v>
      </c>
      <c r="BE2687" s="4" t="s">
        <v>241</v>
      </c>
      <c r="BI2687" s="4" t="s">
        <v>253</v>
      </c>
      <c r="BJ2687" s="5" t="s">
        <v>246</v>
      </c>
      <c r="BK2687" s="4" t="s">
        <v>254</v>
      </c>
      <c r="BL2687" s="4" t="s">
        <v>255</v>
      </c>
      <c r="BM2687" s="4" t="s">
        <v>241</v>
      </c>
      <c r="BN2687" s="6">
        <f>0</f>
        <v>0</v>
      </c>
      <c r="BO2687" s="6">
        <f>0</f>
        <v>0</v>
      </c>
      <c r="BP2687" s="4" t="s">
        <v>256</v>
      </c>
      <c r="BQ2687" s="4" t="s">
        <v>257</v>
      </c>
      <c r="CE2687" s="4" t="s">
        <v>241</v>
      </c>
      <c r="CF2687" s="4" t="s">
        <v>241</v>
      </c>
      <c r="CJ2687" s="4" t="s">
        <v>276</v>
      </c>
      <c r="CK2687" s="4" t="s">
        <v>259</v>
      </c>
      <c r="CL2687" s="4" t="s">
        <v>241</v>
      </c>
      <c r="CO2687" s="5" t="s">
        <v>260</v>
      </c>
      <c r="CP2687" s="4" t="s">
        <v>241</v>
      </c>
      <c r="CQ2687" s="4" t="s">
        <v>261</v>
      </c>
      <c r="CR2687" s="4" t="s">
        <v>241</v>
      </c>
      <c r="CS2687" s="4" t="s">
        <v>241</v>
      </c>
      <c r="CT2687" s="4">
        <v>0</v>
      </c>
      <c r="CU2687" s="4" t="s">
        <v>262</v>
      </c>
      <c r="CV2687" s="4" t="s">
        <v>263</v>
      </c>
      <c r="CW2687" s="4" t="s">
        <v>263</v>
      </c>
      <c r="CX2687" s="4" t="s">
        <v>264</v>
      </c>
      <c r="DA2687" s="6">
        <f>1</f>
        <v>1</v>
      </c>
      <c r="DC2687" s="4" t="s">
        <v>325</v>
      </c>
      <c r="DD2687" s="4" t="s">
        <v>241</v>
      </c>
      <c r="DF2687" s="4" t="s">
        <v>325</v>
      </c>
      <c r="DG2687" s="6">
        <f>651</f>
        <v>651</v>
      </c>
      <c r="DI2687" s="4" t="s">
        <v>241</v>
      </c>
      <c r="DJ2687" s="4" t="s">
        <v>241</v>
      </c>
      <c r="DK2687" s="4" t="s">
        <v>241</v>
      </c>
      <c r="DL2687" s="4" t="s">
        <v>241</v>
      </c>
      <c r="DP2687" s="4" t="s">
        <v>241</v>
      </c>
      <c r="DQ2687" s="4" t="s">
        <v>241</v>
      </c>
      <c r="DR2687" s="4" t="s">
        <v>241</v>
      </c>
      <c r="DS2687" s="4" t="s">
        <v>241</v>
      </c>
      <c r="DV2687" s="4" t="s">
        <v>426</v>
      </c>
      <c r="DW2687" s="4" t="s">
        <v>814</v>
      </c>
      <c r="HO2687" s="4" t="s">
        <v>267</v>
      </c>
    </row>
    <row r="2688" spans="1:223" ht="19.5" customHeight="1" x14ac:dyDescent="0.4">
      <c r="A2688" s="4">
        <v>1</v>
      </c>
      <c r="B2688" s="4" t="s">
        <v>239</v>
      </c>
      <c r="C2688" s="4">
        <v>4391</v>
      </c>
      <c r="D2688" s="4">
        <v>1</v>
      </c>
      <c r="E2688" s="4">
        <v>1</v>
      </c>
      <c r="F2688" s="4" t="s">
        <v>268</v>
      </c>
      <c r="G2688" s="4" t="s">
        <v>241</v>
      </c>
      <c r="H2688" s="4" t="s">
        <v>241</v>
      </c>
      <c r="I2688" s="4" t="s">
        <v>424</v>
      </c>
      <c r="J2688" s="4" t="s">
        <v>274</v>
      </c>
      <c r="K2688" s="4" t="s">
        <v>251</v>
      </c>
      <c r="L2688" s="4" t="s">
        <v>423</v>
      </c>
      <c r="M2688" s="5" t="s">
        <v>817</v>
      </c>
      <c r="N2688" s="6">
        <f>419</f>
        <v>419</v>
      </c>
      <c r="O2688" s="4" t="s">
        <v>265</v>
      </c>
      <c r="P2688" s="6">
        <f>1</f>
        <v>1</v>
      </c>
      <c r="Q2688" s="6">
        <f>0</f>
        <v>0</v>
      </c>
      <c r="S2688" s="6">
        <f>0</f>
        <v>0</v>
      </c>
      <c r="T2688" s="6">
        <f>1</f>
        <v>1</v>
      </c>
      <c r="U2688" s="5" t="s">
        <v>245</v>
      </c>
      <c r="V2688" s="4" t="s">
        <v>270</v>
      </c>
      <c r="W2688" s="4" t="s">
        <v>271</v>
      </c>
      <c r="X2688" s="4" t="s">
        <v>273</v>
      </c>
      <c r="Y2688" s="4" t="s">
        <v>241</v>
      </c>
      <c r="AB2688" s="4" t="s">
        <v>241</v>
      </c>
      <c r="AD2688" s="5" t="s">
        <v>241</v>
      </c>
      <c r="AG2688" s="5" t="s">
        <v>246</v>
      </c>
      <c r="AH2688" s="4" t="s">
        <v>241</v>
      </c>
      <c r="AI2688" s="4" t="s">
        <v>247</v>
      </c>
      <c r="AJ2688" s="4" t="s">
        <v>248</v>
      </c>
      <c r="AZ2688" s="4" t="s">
        <v>249</v>
      </c>
      <c r="BA2688" s="4" t="s">
        <v>241</v>
      </c>
      <c r="BB2688" s="4" t="s">
        <v>250</v>
      </c>
      <c r="BC2688" s="4" t="s">
        <v>241</v>
      </c>
      <c r="BD2688" s="4" t="s">
        <v>252</v>
      </c>
      <c r="BE2688" s="4" t="s">
        <v>241</v>
      </c>
      <c r="BI2688" s="4" t="s">
        <v>253</v>
      </c>
      <c r="BJ2688" s="5" t="s">
        <v>246</v>
      </c>
      <c r="BK2688" s="4" t="s">
        <v>254</v>
      </c>
      <c r="BL2688" s="4" t="s">
        <v>255</v>
      </c>
      <c r="BM2688" s="4" t="s">
        <v>241</v>
      </c>
      <c r="BN2688" s="6">
        <f>0</f>
        <v>0</v>
      </c>
      <c r="BO2688" s="6">
        <f>0</f>
        <v>0</v>
      </c>
      <c r="BP2688" s="4" t="s">
        <v>256</v>
      </c>
      <c r="BQ2688" s="4" t="s">
        <v>257</v>
      </c>
      <c r="CE2688" s="4" t="s">
        <v>241</v>
      </c>
      <c r="CF2688" s="4" t="s">
        <v>241</v>
      </c>
      <c r="CJ2688" s="4" t="s">
        <v>276</v>
      </c>
      <c r="CK2688" s="4" t="s">
        <v>259</v>
      </c>
      <c r="CL2688" s="4" t="s">
        <v>241</v>
      </c>
      <c r="CO2688" s="5" t="s">
        <v>260</v>
      </c>
      <c r="CP2688" s="4" t="s">
        <v>241</v>
      </c>
      <c r="CQ2688" s="4" t="s">
        <v>261</v>
      </c>
      <c r="CR2688" s="4" t="s">
        <v>241</v>
      </c>
      <c r="CS2688" s="4" t="s">
        <v>241</v>
      </c>
      <c r="CT2688" s="4">
        <v>0</v>
      </c>
      <c r="CU2688" s="4" t="s">
        <v>262</v>
      </c>
      <c r="CV2688" s="4" t="s">
        <v>263</v>
      </c>
      <c r="CW2688" s="4" t="s">
        <v>263</v>
      </c>
      <c r="CX2688" s="4" t="s">
        <v>264</v>
      </c>
      <c r="DA2688" s="6">
        <f>1</f>
        <v>1</v>
      </c>
      <c r="DC2688" s="4" t="s">
        <v>325</v>
      </c>
      <c r="DD2688" s="4" t="s">
        <v>241</v>
      </c>
      <c r="DF2688" s="4" t="s">
        <v>325</v>
      </c>
      <c r="DG2688" s="6">
        <f>419</f>
        <v>419</v>
      </c>
      <c r="DI2688" s="4" t="s">
        <v>241</v>
      </c>
      <c r="DJ2688" s="4" t="s">
        <v>241</v>
      </c>
      <c r="DK2688" s="4" t="s">
        <v>241</v>
      </c>
      <c r="DL2688" s="4" t="s">
        <v>241</v>
      </c>
      <c r="DP2688" s="4" t="s">
        <v>241</v>
      </c>
      <c r="DQ2688" s="4" t="s">
        <v>241</v>
      </c>
      <c r="DR2688" s="4" t="s">
        <v>241</v>
      </c>
      <c r="DS2688" s="4" t="s">
        <v>241</v>
      </c>
      <c r="DV2688" s="4" t="s">
        <v>426</v>
      </c>
      <c r="DW2688" s="4" t="s">
        <v>818</v>
      </c>
      <c r="HO2688" s="4" t="s">
        <v>267</v>
      </c>
    </row>
    <row r="2689" spans="1:223" ht="19.5" customHeight="1" x14ac:dyDescent="0.4">
      <c r="A2689" s="4">
        <v>1</v>
      </c>
      <c r="B2689" s="4" t="s">
        <v>239</v>
      </c>
      <c r="C2689" s="4">
        <v>4392</v>
      </c>
      <c r="D2689" s="4">
        <v>1</v>
      </c>
      <c r="E2689" s="4">
        <v>1</v>
      </c>
      <c r="F2689" s="4" t="s">
        <v>268</v>
      </c>
      <c r="G2689" s="4" t="s">
        <v>241</v>
      </c>
      <c r="H2689" s="4" t="s">
        <v>241</v>
      </c>
      <c r="I2689" s="4" t="s">
        <v>424</v>
      </c>
      <c r="J2689" s="4" t="s">
        <v>274</v>
      </c>
      <c r="K2689" s="4" t="s">
        <v>251</v>
      </c>
      <c r="L2689" s="4" t="s">
        <v>423</v>
      </c>
      <c r="M2689" s="5" t="s">
        <v>819</v>
      </c>
      <c r="N2689" s="6">
        <f>126</f>
        <v>126</v>
      </c>
      <c r="O2689" s="4" t="s">
        <v>265</v>
      </c>
      <c r="P2689" s="6">
        <f>1</f>
        <v>1</v>
      </c>
      <c r="Q2689" s="6">
        <f>0</f>
        <v>0</v>
      </c>
      <c r="S2689" s="6">
        <f>0</f>
        <v>0</v>
      </c>
      <c r="T2689" s="6">
        <f>1</f>
        <v>1</v>
      </c>
      <c r="U2689" s="5" t="s">
        <v>245</v>
      </c>
      <c r="V2689" s="4" t="s">
        <v>270</v>
      </c>
      <c r="W2689" s="4" t="s">
        <v>271</v>
      </c>
      <c r="X2689" s="4" t="s">
        <v>273</v>
      </c>
      <c r="Y2689" s="4" t="s">
        <v>241</v>
      </c>
      <c r="AB2689" s="4" t="s">
        <v>241</v>
      </c>
      <c r="AD2689" s="5" t="s">
        <v>241</v>
      </c>
      <c r="AG2689" s="5" t="s">
        <v>246</v>
      </c>
      <c r="AH2689" s="4" t="s">
        <v>241</v>
      </c>
      <c r="AI2689" s="4" t="s">
        <v>247</v>
      </c>
      <c r="AJ2689" s="4" t="s">
        <v>248</v>
      </c>
      <c r="AZ2689" s="4" t="s">
        <v>249</v>
      </c>
      <c r="BA2689" s="4" t="s">
        <v>241</v>
      </c>
      <c r="BB2689" s="4" t="s">
        <v>250</v>
      </c>
      <c r="BC2689" s="4" t="s">
        <v>241</v>
      </c>
      <c r="BD2689" s="4" t="s">
        <v>252</v>
      </c>
      <c r="BE2689" s="4" t="s">
        <v>241</v>
      </c>
      <c r="BI2689" s="4" t="s">
        <v>253</v>
      </c>
      <c r="BJ2689" s="5" t="s">
        <v>246</v>
      </c>
      <c r="BK2689" s="4" t="s">
        <v>254</v>
      </c>
      <c r="BL2689" s="4" t="s">
        <v>255</v>
      </c>
      <c r="BM2689" s="4" t="s">
        <v>241</v>
      </c>
      <c r="BN2689" s="6">
        <f>0</f>
        <v>0</v>
      </c>
      <c r="BO2689" s="6">
        <f>0</f>
        <v>0</v>
      </c>
      <c r="BP2689" s="4" t="s">
        <v>256</v>
      </c>
      <c r="BQ2689" s="4" t="s">
        <v>257</v>
      </c>
      <c r="CE2689" s="4" t="s">
        <v>241</v>
      </c>
      <c r="CF2689" s="4" t="s">
        <v>241</v>
      </c>
      <c r="CJ2689" s="4" t="s">
        <v>276</v>
      </c>
      <c r="CK2689" s="4" t="s">
        <v>259</v>
      </c>
      <c r="CL2689" s="4" t="s">
        <v>241</v>
      </c>
      <c r="CO2689" s="5" t="s">
        <v>260</v>
      </c>
      <c r="CP2689" s="4" t="s">
        <v>241</v>
      </c>
      <c r="CQ2689" s="4" t="s">
        <v>261</v>
      </c>
      <c r="CR2689" s="4" t="s">
        <v>241</v>
      </c>
      <c r="CS2689" s="4" t="s">
        <v>241</v>
      </c>
      <c r="CT2689" s="4">
        <v>0</v>
      </c>
      <c r="CU2689" s="4" t="s">
        <v>262</v>
      </c>
      <c r="CV2689" s="4" t="s">
        <v>263</v>
      </c>
      <c r="CW2689" s="4" t="s">
        <v>263</v>
      </c>
      <c r="CX2689" s="4" t="s">
        <v>264</v>
      </c>
      <c r="DA2689" s="6">
        <f>1</f>
        <v>1</v>
      </c>
      <c r="DC2689" s="4" t="s">
        <v>325</v>
      </c>
      <c r="DD2689" s="4" t="s">
        <v>241</v>
      </c>
      <c r="DF2689" s="4" t="s">
        <v>325</v>
      </c>
      <c r="DG2689" s="6">
        <f>126</f>
        <v>126</v>
      </c>
      <c r="DI2689" s="4" t="s">
        <v>241</v>
      </c>
      <c r="DJ2689" s="4" t="s">
        <v>241</v>
      </c>
      <c r="DK2689" s="4" t="s">
        <v>241</v>
      </c>
      <c r="DL2689" s="4" t="s">
        <v>241</v>
      </c>
      <c r="DP2689" s="4" t="s">
        <v>241</v>
      </c>
      <c r="DQ2689" s="4" t="s">
        <v>241</v>
      </c>
      <c r="DR2689" s="4" t="s">
        <v>241</v>
      </c>
      <c r="DS2689" s="4" t="s">
        <v>241</v>
      </c>
      <c r="DV2689" s="4" t="s">
        <v>426</v>
      </c>
      <c r="DW2689" s="4" t="s">
        <v>820</v>
      </c>
      <c r="HO2689" s="4" t="s">
        <v>267</v>
      </c>
    </row>
    <row r="2690" spans="1:223" ht="19.5" customHeight="1" x14ac:dyDescent="0.4">
      <c r="A2690" s="4">
        <v>1</v>
      </c>
      <c r="B2690" s="4" t="s">
        <v>239</v>
      </c>
      <c r="C2690" s="4">
        <v>4393</v>
      </c>
      <c r="D2690" s="4">
        <v>1</v>
      </c>
      <c r="E2690" s="4">
        <v>1</v>
      </c>
      <c r="F2690" s="4" t="s">
        <v>268</v>
      </c>
      <c r="G2690" s="4" t="s">
        <v>241</v>
      </c>
      <c r="H2690" s="4" t="s">
        <v>241</v>
      </c>
      <c r="I2690" s="4" t="s">
        <v>424</v>
      </c>
      <c r="J2690" s="4" t="s">
        <v>274</v>
      </c>
      <c r="K2690" s="4" t="s">
        <v>251</v>
      </c>
      <c r="L2690" s="4" t="s">
        <v>423</v>
      </c>
      <c r="M2690" s="5" t="s">
        <v>829</v>
      </c>
      <c r="N2690" s="6">
        <f>392</f>
        <v>392</v>
      </c>
      <c r="O2690" s="4" t="s">
        <v>265</v>
      </c>
      <c r="P2690" s="6">
        <f>1</f>
        <v>1</v>
      </c>
      <c r="Q2690" s="6">
        <f>0</f>
        <v>0</v>
      </c>
      <c r="S2690" s="6">
        <f>0</f>
        <v>0</v>
      </c>
      <c r="T2690" s="6">
        <f>1</f>
        <v>1</v>
      </c>
      <c r="U2690" s="5" t="s">
        <v>245</v>
      </c>
      <c r="V2690" s="4" t="s">
        <v>270</v>
      </c>
      <c r="W2690" s="4" t="s">
        <v>271</v>
      </c>
      <c r="X2690" s="4" t="s">
        <v>273</v>
      </c>
      <c r="Y2690" s="4" t="s">
        <v>241</v>
      </c>
      <c r="AB2690" s="4" t="s">
        <v>241</v>
      </c>
      <c r="AD2690" s="5" t="s">
        <v>241</v>
      </c>
      <c r="AG2690" s="5" t="s">
        <v>246</v>
      </c>
      <c r="AH2690" s="4" t="s">
        <v>241</v>
      </c>
      <c r="AI2690" s="4" t="s">
        <v>247</v>
      </c>
      <c r="AJ2690" s="4" t="s">
        <v>248</v>
      </c>
      <c r="AZ2690" s="4" t="s">
        <v>249</v>
      </c>
      <c r="BA2690" s="4" t="s">
        <v>241</v>
      </c>
      <c r="BB2690" s="4" t="s">
        <v>250</v>
      </c>
      <c r="BC2690" s="4" t="s">
        <v>241</v>
      </c>
      <c r="BD2690" s="4" t="s">
        <v>252</v>
      </c>
      <c r="BE2690" s="4" t="s">
        <v>241</v>
      </c>
      <c r="BI2690" s="4" t="s">
        <v>253</v>
      </c>
      <c r="BJ2690" s="5" t="s">
        <v>246</v>
      </c>
      <c r="BK2690" s="4" t="s">
        <v>254</v>
      </c>
      <c r="BL2690" s="4" t="s">
        <v>255</v>
      </c>
      <c r="BM2690" s="4" t="s">
        <v>241</v>
      </c>
      <c r="BN2690" s="6">
        <f>0</f>
        <v>0</v>
      </c>
      <c r="BO2690" s="6">
        <f>0</f>
        <v>0</v>
      </c>
      <c r="BP2690" s="4" t="s">
        <v>256</v>
      </c>
      <c r="BQ2690" s="4" t="s">
        <v>257</v>
      </c>
      <c r="CE2690" s="4" t="s">
        <v>241</v>
      </c>
      <c r="CF2690" s="4" t="s">
        <v>241</v>
      </c>
      <c r="CJ2690" s="4" t="s">
        <v>276</v>
      </c>
      <c r="CK2690" s="4" t="s">
        <v>259</v>
      </c>
      <c r="CL2690" s="4" t="s">
        <v>241</v>
      </c>
      <c r="CO2690" s="5" t="s">
        <v>260</v>
      </c>
      <c r="CP2690" s="4" t="s">
        <v>241</v>
      </c>
      <c r="CQ2690" s="4" t="s">
        <v>261</v>
      </c>
      <c r="CR2690" s="4" t="s">
        <v>241</v>
      </c>
      <c r="CS2690" s="4" t="s">
        <v>241</v>
      </c>
      <c r="CT2690" s="4">
        <v>0</v>
      </c>
      <c r="CU2690" s="4" t="s">
        <v>262</v>
      </c>
      <c r="CV2690" s="4" t="s">
        <v>263</v>
      </c>
      <c r="CW2690" s="4" t="s">
        <v>263</v>
      </c>
      <c r="CX2690" s="4" t="s">
        <v>264</v>
      </c>
      <c r="DA2690" s="6">
        <f>1</f>
        <v>1</v>
      </c>
      <c r="DC2690" s="4" t="s">
        <v>325</v>
      </c>
      <c r="DD2690" s="4" t="s">
        <v>241</v>
      </c>
      <c r="DF2690" s="4" t="s">
        <v>325</v>
      </c>
      <c r="DG2690" s="6">
        <f>392</f>
        <v>392</v>
      </c>
      <c r="DI2690" s="4" t="s">
        <v>241</v>
      </c>
      <c r="DJ2690" s="4" t="s">
        <v>241</v>
      </c>
      <c r="DK2690" s="4" t="s">
        <v>241</v>
      </c>
      <c r="DL2690" s="4" t="s">
        <v>241</v>
      </c>
      <c r="DP2690" s="4" t="s">
        <v>241</v>
      </c>
      <c r="DQ2690" s="4" t="s">
        <v>241</v>
      </c>
      <c r="DR2690" s="4" t="s">
        <v>241</v>
      </c>
      <c r="DS2690" s="4" t="s">
        <v>241</v>
      </c>
      <c r="DV2690" s="4" t="s">
        <v>426</v>
      </c>
      <c r="DW2690" s="4" t="s">
        <v>830</v>
      </c>
      <c r="HO2690" s="4" t="s">
        <v>267</v>
      </c>
    </row>
    <row r="2691" spans="1:223" ht="19.5" customHeight="1" x14ac:dyDescent="0.4">
      <c r="A2691" s="4">
        <v>1</v>
      </c>
      <c r="B2691" s="4" t="s">
        <v>239</v>
      </c>
      <c r="C2691" s="4">
        <v>4394</v>
      </c>
      <c r="D2691" s="4">
        <v>1</v>
      </c>
      <c r="E2691" s="4">
        <v>1</v>
      </c>
      <c r="F2691" s="4" t="s">
        <v>268</v>
      </c>
      <c r="G2691" s="4" t="s">
        <v>241</v>
      </c>
      <c r="H2691" s="4" t="s">
        <v>241</v>
      </c>
      <c r="I2691" s="4" t="s">
        <v>424</v>
      </c>
      <c r="J2691" s="4" t="s">
        <v>274</v>
      </c>
      <c r="K2691" s="4" t="s">
        <v>251</v>
      </c>
      <c r="L2691" s="4" t="s">
        <v>423</v>
      </c>
      <c r="M2691" s="5" t="s">
        <v>833</v>
      </c>
      <c r="N2691" s="6">
        <f>517</f>
        <v>517</v>
      </c>
      <c r="O2691" s="4" t="s">
        <v>265</v>
      </c>
      <c r="P2691" s="6">
        <f>1</f>
        <v>1</v>
      </c>
      <c r="Q2691" s="6">
        <f>0</f>
        <v>0</v>
      </c>
      <c r="S2691" s="6">
        <f>0</f>
        <v>0</v>
      </c>
      <c r="T2691" s="6">
        <f>1</f>
        <v>1</v>
      </c>
      <c r="U2691" s="5" t="s">
        <v>245</v>
      </c>
      <c r="V2691" s="4" t="s">
        <v>270</v>
      </c>
      <c r="W2691" s="4" t="s">
        <v>271</v>
      </c>
      <c r="X2691" s="4" t="s">
        <v>273</v>
      </c>
      <c r="Y2691" s="4" t="s">
        <v>241</v>
      </c>
      <c r="AB2691" s="4" t="s">
        <v>241</v>
      </c>
      <c r="AD2691" s="5" t="s">
        <v>241</v>
      </c>
      <c r="AG2691" s="5" t="s">
        <v>246</v>
      </c>
      <c r="AH2691" s="4" t="s">
        <v>241</v>
      </c>
      <c r="AI2691" s="4" t="s">
        <v>247</v>
      </c>
      <c r="AJ2691" s="4" t="s">
        <v>248</v>
      </c>
      <c r="AZ2691" s="4" t="s">
        <v>249</v>
      </c>
      <c r="BA2691" s="4" t="s">
        <v>241</v>
      </c>
      <c r="BB2691" s="4" t="s">
        <v>250</v>
      </c>
      <c r="BC2691" s="4" t="s">
        <v>241</v>
      </c>
      <c r="BD2691" s="4" t="s">
        <v>252</v>
      </c>
      <c r="BE2691" s="4" t="s">
        <v>241</v>
      </c>
      <c r="BI2691" s="4" t="s">
        <v>253</v>
      </c>
      <c r="BJ2691" s="5" t="s">
        <v>246</v>
      </c>
      <c r="BK2691" s="4" t="s">
        <v>254</v>
      </c>
      <c r="BL2691" s="4" t="s">
        <v>255</v>
      </c>
      <c r="BM2691" s="4" t="s">
        <v>241</v>
      </c>
      <c r="BN2691" s="6">
        <f>0</f>
        <v>0</v>
      </c>
      <c r="BO2691" s="6">
        <f>0</f>
        <v>0</v>
      </c>
      <c r="BP2691" s="4" t="s">
        <v>256</v>
      </c>
      <c r="BQ2691" s="4" t="s">
        <v>257</v>
      </c>
      <c r="CE2691" s="4" t="s">
        <v>241</v>
      </c>
      <c r="CF2691" s="4" t="s">
        <v>241</v>
      </c>
      <c r="CJ2691" s="4" t="s">
        <v>276</v>
      </c>
      <c r="CK2691" s="4" t="s">
        <v>259</v>
      </c>
      <c r="CL2691" s="4" t="s">
        <v>241</v>
      </c>
      <c r="CO2691" s="5" t="s">
        <v>260</v>
      </c>
      <c r="CP2691" s="4" t="s">
        <v>241</v>
      </c>
      <c r="CQ2691" s="4" t="s">
        <v>261</v>
      </c>
      <c r="CR2691" s="4" t="s">
        <v>241</v>
      </c>
      <c r="CS2691" s="4" t="s">
        <v>241</v>
      </c>
      <c r="CT2691" s="4">
        <v>0</v>
      </c>
      <c r="CU2691" s="4" t="s">
        <v>262</v>
      </c>
      <c r="CV2691" s="4" t="s">
        <v>263</v>
      </c>
      <c r="CW2691" s="4" t="s">
        <v>263</v>
      </c>
      <c r="CX2691" s="4" t="s">
        <v>264</v>
      </c>
      <c r="DA2691" s="6">
        <f>1</f>
        <v>1</v>
      </c>
      <c r="DC2691" s="4" t="s">
        <v>325</v>
      </c>
      <c r="DD2691" s="4" t="s">
        <v>241</v>
      </c>
      <c r="DF2691" s="4" t="s">
        <v>325</v>
      </c>
      <c r="DG2691" s="6">
        <f>517</f>
        <v>517</v>
      </c>
      <c r="DI2691" s="4" t="s">
        <v>241</v>
      </c>
      <c r="DJ2691" s="4" t="s">
        <v>241</v>
      </c>
      <c r="DK2691" s="4" t="s">
        <v>241</v>
      </c>
      <c r="DL2691" s="4" t="s">
        <v>241</v>
      </c>
      <c r="DP2691" s="4" t="s">
        <v>241</v>
      </c>
      <c r="DQ2691" s="4" t="s">
        <v>241</v>
      </c>
      <c r="DR2691" s="4" t="s">
        <v>241</v>
      </c>
      <c r="DS2691" s="4" t="s">
        <v>241</v>
      </c>
      <c r="DV2691" s="4" t="s">
        <v>426</v>
      </c>
      <c r="DW2691" s="4" t="s">
        <v>834</v>
      </c>
      <c r="HO2691" s="4" t="s">
        <v>267</v>
      </c>
    </row>
    <row r="2692" spans="1:223" ht="19.5" customHeight="1" x14ac:dyDescent="0.4">
      <c r="A2692" s="4">
        <v>1</v>
      </c>
      <c r="B2692" s="4" t="s">
        <v>239</v>
      </c>
      <c r="C2692" s="4">
        <v>4395</v>
      </c>
      <c r="D2692" s="4">
        <v>1</v>
      </c>
      <c r="E2692" s="4">
        <v>1</v>
      </c>
      <c r="F2692" s="4" t="s">
        <v>268</v>
      </c>
      <c r="G2692" s="4" t="s">
        <v>241</v>
      </c>
      <c r="H2692" s="4" t="s">
        <v>241</v>
      </c>
      <c r="I2692" s="4" t="s">
        <v>424</v>
      </c>
      <c r="J2692" s="4" t="s">
        <v>274</v>
      </c>
      <c r="K2692" s="4" t="s">
        <v>251</v>
      </c>
      <c r="L2692" s="4" t="s">
        <v>423</v>
      </c>
      <c r="M2692" s="5" t="s">
        <v>835</v>
      </c>
      <c r="N2692" s="6">
        <f>152</f>
        <v>152</v>
      </c>
      <c r="O2692" s="4" t="s">
        <v>265</v>
      </c>
      <c r="P2692" s="6">
        <f>1</f>
        <v>1</v>
      </c>
      <c r="Q2692" s="6">
        <f>0</f>
        <v>0</v>
      </c>
      <c r="S2692" s="6">
        <f>0</f>
        <v>0</v>
      </c>
      <c r="T2692" s="6">
        <f>1</f>
        <v>1</v>
      </c>
      <c r="U2692" s="5" t="s">
        <v>245</v>
      </c>
      <c r="V2692" s="4" t="s">
        <v>270</v>
      </c>
      <c r="W2692" s="4" t="s">
        <v>271</v>
      </c>
      <c r="X2692" s="4" t="s">
        <v>273</v>
      </c>
      <c r="Y2692" s="4" t="s">
        <v>241</v>
      </c>
      <c r="AB2692" s="4" t="s">
        <v>241</v>
      </c>
      <c r="AD2692" s="5" t="s">
        <v>241</v>
      </c>
      <c r="AG2692" s="5" t="s">
        <v>246</v>
      </c>
      <c r="AH2692" s="4" t="s">
        <v>241</v>
      </c>
      <c r="AI2692" s="4" t="s">
        <v>247</v>
      </c>
      <c r="AJ2692" s="4" t="s">
        <v>248</v>
      </c>
      <c r="AZ2692" s="4" t="s">
        <v>249</v>
      </c>
      <c r="BA2692" s="4" t="s">
        <v>241</v>
      </c>
      <c r="BB2692" s="4" t="s">
        <v>250</v>
      </c>
      <c r="BC2692" s="4" t="s">
        <v>241</v>
      </c>
      <c r="BD2692" s="4" t="s">
        <v>252</v>
      </c>
      <c r="BE2692" s="4" t="s">
        <v>241</v>
      </c>
      <c r="BI2692" s="4" t="s">
        <v>253</v>
      </c>
      <c r="BJ2692" s="5" t="s">
        <v>246</v>
      </c>
      <c r="BK2692" s="4" t="s">
        <v>254</v>
      </c>
      <c r="BL2692" s="4" t="s">
        <v>255</v>
      </c>
      <c r="BM2692" s="4" t="s">
        <v>241</v>
      </c>
      <c r="BN2692" s="6">
        <f>0</f>
        <v>0</v>
      </c>
      <c r="BO2692" s="6">
        <f>0</f>
        <v>0</v>
      </c>
      <c r="BP2692" s="4" t="s">
        <v>256</v>
      </c>
      <c r="BQ2692" s="4" t="s">
        <v>257</v>
      </c>
      <c r="CE2692" s="4" t="s">
        <v>241</v>
      </c>
      <c r="CF2692" s="4" t="s">
        <v>241</v>
      </c>
      <c r="CJ2692" s="4" t="s">
        <v>276</v>
      </c>
      <c r="CK2692" s="4" t="s">
        <v>259</v>
      </c>
      <c r="CL2692" s="4" t="s">
        <v>241</v>
      </c>
      <c r="CO2692" s="5" t="s">
        <v>260</v>
      </c>
      <c r="CP2692" s="4" t="s">
        <v>241</v>
      </c>
      <c r="CQ2692" s="4" t="s">
        <v>261</v>
      </c>
      <c r="CR2692" s="4" t="s">
        <v>241</v>
      </c>
      <c r="CS2692" s="4" t="s">
        <v>241</v>
      </c>
      <c r="CT2692" s="4">
        <v>0</v>
      </c>
      <c r="CU2692" s="4" t="s">
        <v>262</v>
      </c>
      <c r="CV2692" s="4" t="s">
        <v>263</v>
      </c>
      <c r="CW2692" s="4" t="s">
        <v>263</v>
      </c>
      <c r="CX2692" s="4" t="s">
        <v>264</v>
      </c>
      <c r="DA2692" s="6">
        <f>1</f>
        <v>1</v>
      </c>
      <c r="DC2692" s="4" t="s">
        <v>325</v>
      </c>
      <c r="DD2692" s="4" t="s">
        <v>241</v>
      </c>
      <c r="DF2692" s="4" t="s">
        <v>325</v>
      </c>
      <c r="DG2692" s="6">
        <f>152</f>
        <v>152</v>
      </c>
      <c r="DI2692" s="4" t="s">
        <v>241</v>
      </c>
      <c r="DJ2692" s="4" t="s">
        <v>241</v>
      </c>
      <c r="DK2692" s="4" t="s">
        <v>241</v>
      </c>
      <c r="DL2692" s="4" t="s">
        <v>241</v>
      </c>
      <c r="DP2692" s="4" t="s">
        <v>241</v>
      </c>
      <c r="DQ2692" s="4" t="s">
        <v>241</v>
      </c>
      <c r="DR2692" s="4" t="s">
        <v>241</v>
      </c>
      <c r="DS2692" s="4" t="s">
        <v>241</v>
      </c>
      <c r="DV2692" s="4" t="s">
        <v>426</v>
      </c>
      <c r="DW2692" s="4" t="s">
        <v>836</v>
      </c>
      <c r="HO2692" s="4" t="s">
        <v>267</v>
      </c>
    </row>
    <row r="2693" spans="1:223" ht="19.5" customHeight="1" x14ac:dyDescent="0.4">
      <c r="A2693" s="4">
        <v>1</v>
      </c>
      <c r="B2693" s="4" t="s">
        <v>239</v>
      </c>
      <c r="C2693" s="4">
        <v>4396</v>
      </c>
      <c r="D2693" s="4">
        <v>1</v>
      </c>
      <c r="E2693" s="4">
        <v>1</v>
      </c>
      <c r="F2693" s="4" t="s">
        <v>268</v>
      </c>
      <c r="G2693" s="4" t="s">
        <v>241</v>
      </c>
      <c r="H2693" s="4" t="s">
        <v>241</v>
      </c>
      <c r="I2693" s="4" t="s">
        <v>424</v>
      </c>
      <c r="J2693" s="4" t="s">
        <v>274</v>
      </c>
      <c r="K2693" s="4" t="s">
        <v>251</v>
      </c>
      <c r="L2693" s="4" t="s">
        <v>423</v>
      </c>
      <c r="M2693" s="5" t="s">
        <v>839</v>
      </c>
      <c r="N2693" s="6">
        <f>122</f>
        <v>122</v>
      </c>
      <c r="O2693" s="4" t="s">
        <v>265</v>
      </c>
      <c r="P2693" s="6">
        <f>1</f>
        <v>1</v>
      </c>
      <c r="Q2693" s="6">
        <f>0</f>
        <v>0</v>
      </c>
      <c r="S2693" s="6">
        <f>0</f>
        <v>0</v>
      </c>
      <c r="T2693" s="6">
        <f>1</f>
        <v>1</v>
      </c>
      <c r="U2693" s="5" t="s">
        <v>245</v>
      </c>
      <c r="V2693" s="4" t="s">
        <v>270</v>
      </c>
      <c r="W2693" s="4" t="s">
        <v>271</v>
      </c>
      <c r="X2693" s="4" t="s">
        <v>273</v>
      </c>
      <c r="Y2693" s="4" t="s">
        <v>241</v>
      </c>
      <c r="AB2693" s="4" t="s">
        <v>241</v>
      </c>
      <c r="AD2693" s="5" t="s">
        <v>241</v>
      </c>
      <c r="AG2693" s="5" t="s">
        <v>246</v>
      </c>
      <c r="AH2693" s="4" t="s">
        <v>241</v>
      </c>
      <c r="AI2693" s="4" t="s">
        <v>247</v>
      </c>
      <c r="AJ2693" s="4" t="s">
        <v>248</v>
      </c>
      <c r="AZ2693" s="4" t="s">
        <v>249</v>
      </c>
      <c r="BA2693" s="4" t="s">
        <v>241</v>
      </c>
      <c r="BB2693" s="4" t="s">
        <v>250</v>
      </c>
      <c r="BC2693" s="4" t="s">
        <v>241</v>
      </c>
      <c r="BD2693" s="4" t="s">
        <v>252</v>
      </c>
      <c r="BE2693" s="4" t="s">
        <v>241</v>
      </c>
      <c r="BI2693" s="4" t="s">
        <v>253</v>
      </c>
      <c r="BJ2693" s="5" t="s">
        <v>246</v>
      </c>
      <c r="BK2693" s="4" t="s">
        <v>254</v>
      </c>
      <c r="BL2693" s="4" t="s">
        <v>255</v>
      </c>
      <c r="BM2693" s="4" t="s">
        <v>241</v>
      </c>
      <c r="BN2693" s="6">
        <f>0</f>
        <v>0</v>
      </c>
      <c r="BO2693" s="6">
        <f>0</f>
        <v>0</v>
      </c>
      <c r="BP2693" s="4" t="s">
        <v>256</v>
      </c>
      <c r="BQ2693" s="4" t="s">
        <v>257</v>
      </c>
      <c r="CE2693" s="4" t="s">
        <v>241</v>
      </c>
      <c r="CF2693" s="4" t="s">
        <v>241</v>
      </c>
      <c r="CJ2693" s="4" t="s">
        <v>276</v>
      </c>
      <c r="CK2693" s="4" t="s">
        <v>259</v>
      </c>
      <c r="CL2693" s="4" t="s">
        <v>241</v>
      </c>
      <c r="CO2693" s="5" t="s">
        <v>260</v>
      </c>
      <c r="CP2693" s="4" t="s">
        <v>241</v>
      </c>
      <c r="CQ2693" s="4" t="s">
        <v>261</v>
      </c>
      <c r="CR2693" s="4" t="s">
        <v>241</v>
      </c>
      <c r="CS2693" s="4" t="s">
        <v>241</v>
      </c>
      <c r="CT2693" s="4">
        <v>0</v>
      </c>
      <c r="CU2693" s="4" t="s">
        <v>262</v>
      </c>
      <c r="CV2693" s="4" t="s">
        <v>263</v>
      </c>
      <c r="CW2693" s="4" t="s">
        <v>263</v>
      </c>
      <c r="CX2693" s="4" t="s">
        <v>264</v>
      </c>
      <c r="DA2693" s="6">
        <f>1</f>
        <v>1</v>
      </c>
      <c r="DC2693" s="4" t="s">
        <v>325</v>
      </c>
      <c r="DD2693" s="4" t="s">
        <v>241</v>
      </c>
      <c r="DF2693" s="4" t="s">
        <v>325</v>
      </c>
      <c r="DG2693" s="6">
        <f>122</f>
        <v>122</v>
      </c>
      <c r="DI2693" s="4" t="s">
        <v>241</v>
      </c>
      <c r="DJ2693" s="4" t="s">
        <v>241</v>
      </c>
      <c r="DK2693" s="4" t="s">
        <v>241</v>
      </c>
      <c r="DL2693" s="4" t="s">
        <v>241</v>
      </c>
      <c r="DP2693" s="4" t="s">
        <v>241</v>
      </c>
      <c r="DQ2693" s="4" t="s">
        <v>241</v>
      </c>
      <c r="DR2693" s="4" t="s">
        <v>241</v>
      </c>
      <c r="DS2693" s="4" t="s">
        <v>241</v>
      </c>
      <c r="DV2693" s="4" t="s">
        <v>426</v>
      </c>
      <c r="DW2693" s="4" t="s">
        <v>840</v>
      </c>
      <c r="HO2693" s="4" t="s">
        <v>267</v>
      </c>
    </row>
    <row r="2694" spans="1:223" ht="19.5" customHeight="1" x14ac:dyDescent="0.4">
      <c r="A2694" s="4">
        <v>1</v>
      </c>
      <c r="B2694" s="4" t="s">
        <v>239</v>
      </c>
      <c r="C2694" s="4">
        <v>4397</v>
      </c>
      <c r="D2694" s="4">
        <v>1</v>
      </c>
      <c r="E2694" s="4">
        <v>1</v>
      </c>
      <c r="F2694" s="4" t="s">
        <v>268</v>
      </c>
      <c r="G2694" s="4" t="s">
        <v>241</v>
      </c>
      <c r="H2694" s="4" t="s">
        <v>241</v>
      </c>
      <c r="I2694" s="4" t="s">
        <v>424</v>
      </c>
      <c r="J2694" s="4" t="s">
        <v>274</v>
      </c>
      <c r="K2694" s="4" t="s">
        <v>251</v>
      </c>
      <c r="L2694" s="4" t="s">
        <v>423</v>
      </c>
      <c r="M2694" s="5" t="s">
        <v>841</v>
      </c>
      <c r="N2694" s="6">
        <f>1455</f>
        <v>1455</v>
      </c>
      <c r="O2694" s="4" t="s">
        <v>265</v>
      </c>
      <c r="P2694" s="6">
        <f>1</f>
        <v>1</v>
      </c>
      <c r="Q2694" s="6">
        <f>0</f>
        <v>0</v>
      </c>
      <c r="S2694" s="6">
        <f>0</f>
        <v>0</v>
      </c>
      <c r="T2694" s="6">
        <f>1</f>
        <v>1</v>
      </c>
      <c r="U2694" s="5" t="s">
        <v>245</v>
      </c>
      <c r="V2694" s="4" t="s">
        <v>270</v>
      </c>
      <c r="W2694" s="4" t="s">
        <v>271</v>
      </c>
      <c r="X2694" s="4" t="s">
        <v>273</v>
      </c>
      <c r="Y2694" s="4" t="s">
        <v>241</v>
      </c>
      <c r="AB2694" s="4" t="s">
        <v>241</v>
      </c>
      <c r="AD2694" s="5" t="s">
        <v>241</v>
      </c>
      <c r="AG2694" s="5" t="s">
        <v>246</v>
      </c>
      <c r="AH2694" s="4" t="s">
        <v>241</v>
      </c>
      <c r="AI2694" s="4" t="s">
        <v>247</v>
      </c>
      <c r="AJ2694" s="4" t="s">
        <v>248</v>
      </c>
      <c r="AZ2694" s="4" t="s">
        <v>249</v>
      </c>
      <c r="BA2694" s="4" t="s">
        <v>241</v>
      </c>
      <c r="BB2694" s="4" t="s">
        <v>250</v>
      </c>
      <c r="BC2694" s="4" t="s">
        <v>241</v>
      </c>
      <c r="BD2694" s="4" t="s">
        <v>252</v>
      </c>
      <c r="BE2694" s="4" t="s">
        <v>241</v>
      </c>
      <c r="BI2694" s="4" t="s">
        <v>253</v>
      </c>
      <c r="BJ2694" s="5" t="s">
        <v>246</v>
      </c>
      <c r="BK2694" s="4" t="s">
        <v>254</v>
      </c>
      <c r="BL2694" s="4" t="s">
        <v>255</v>
      </c>
      <c r="BM2694" s="4" t="s">
        <v>241</v>
      </c>
      <c r="BN2694" s="6">
        <f>0</f>
        <v>0</v>
      </c>
      <c r="BO2694" s="6">
        <f>0</f>
        <v>0</v>
      </c>
      <c r="BP2694" s="4" t="s">
        <v>256</v>
      </c>
      <c r="BQ2694" s="4" t="s">
        <v>257</v>
      </c>
      <c r="CE2694" s="4" t="s">
        <v>241</v>
      </c>
      <c r="CF2694" s="4" t="s">
        <v>241</v>
      </c>
      <c r="CJ2694" s="4" t="s">
        <v>276</v>
      </c>
      <c r="CK2694" s="4" t="s">
        <v>259</v>
      </c>
      <c r="CL2694" s="4" t="s">
        <v>241</v>
      </c>
      <c r="CO2694" s="5" t="s">
        <v>260</v>
      </c>
      <c r="CP2694" s="4" t="s">
        <v>241</v>
      </c>
      <c r="CQ2694" s="4" t="s">
        <v>261</v>
      </c>
      <c r="CR2694" s="4" t="s">
        <v>241</v>
      </c>
      <c r="CS2694" s="4" t="s">
        <v>241</v>
      </c>
      <c r="CT2694" s="4">
        <v>0</v>
      </c>
      <c r="CU2694" s="4" t="s">
        <v>262</v>
      </c>
      <c r="CV2694" s="4" t="s">
        <v>263</v>
      </c>
      <c r="CW2694" s="4" t="s">
        <v>263</v>
      </c>
      <c r="CX2694" s="4" t="s">
        <v>264</v>
      </c>
      <c r="DA2694" s="6">
        <f>1</f>
        <v>1</v>
      </c>
      <c r="DC2694" s="4" t="s">
        <v>325</v>
      </c>
      <c r="DD2694" s="4" t="s">
        <v>241</v>
      </c>
      <c r="DF2694" s="4" t="s">
        <v>325</v>
      </c>
      <c r="DG2694" s="6">
        <f>1455</f>
        <v>1455</v>
      </c>
      <c r="DI2694" s="4" t="s">
        <v>241</v>
      </c>
      <c r="DJ2694" s="4" t="s">
        <v>241</v>
      </c>
      <c r="DK2694" s="4" t="s">
        <v>241</v>
      </c>
      <c r="DL2694" s="4" t="s">
        <v>241</v>
      </c>
      <c r="DP2694" s="4" t="s">
        <v>241</v>
      </c>
      <c r="DQ2694" s="4" t="s">
        <v>241</v>
      </c>
      <c r="DR2694" s="4" t="s">
        <v>241</v>
      </c>
      <c r="DS2694" s="4" t="s">
        <v>241</v>
      </c>
      <c r="DV2694" s="4" t="s">
        <v>426</v>
      </c>
      <c r="DW2694" s="4" t="s">
        <v>842</v>
      </c>
      <c r="HO2694" s="4" t="s">
        <v>267</v>
      </c>
    </row>
    <row r="2695" spans="1:223" ht="19.5" customHeight="1" x14ac:dyDescent="0.4">
      <c r="A2695" s="4">
        <v>1</v>
      </c>
      <c r="B2695" s="4" t="s">
        <v>239</v>
      </c>
      <c r="C2695" s="4">
        <v>4398</v>
      </c>
      <c r="D2695" s="4">
        <v>1</v>
      </c>
      <c r="E2695" s="4">
        <v>1</v>
      </c>
      <c r="F2695" s="4" t="s">
        <v>268</v>
      </c>
      <c r="G2695" s="4" t="s">
        <v>241</v>
      </c>
      <c r="H2695" s="4" t="s">
        <v>241</v>
      </c>
      <c r="I2695" s="4" t="s">
        <v>424</v>
      </c>
      <c r="J2695" s="4" t="s">
        <v>274</v>
      </c>
      <c r="K2695" s="4" t="s">
        <v>251</v>
      </c>
      <c r="L2695" s="4" t="s">
        <v>423</v>
      </c>
      <c r="M2695" s="5" t="s">
        <v>845</v>
      </c>
      <c r="N2695" s="6">
        <f>632</f>
        <v>632</v>
      </c>
      <c r="O2695" s="4" t="s">
        <v>265</v>
      </c>
      <c r="P2695" s="6">
        <f>1</f>
        <v>1</v>
      </c>
      <c r="Q2695" s="6">
        <f>0</f>
        <v>0</v>
      </c>
      <c r="S2695" s="6">
        <f>0</f>
        <v>0</v>
      </c>
      <c r="T2695" s="6">
        <f>1</f>
        <v>1</v>
      </c>
      <c r="U2695" s="5" t="s">
        <v>245</v>
      </c>
      <c r="V2695" s="4" t="s">
        <v>270</v>
      </c>
      <c r="W2695" s="4" t="s">
        <v>271</v>
      </c>
      <c r="X2695" s="4" t="s">
        <v>273</v>
      </c>
      <c r="Y2695" s="4" t="s">
        <v>241</v>
      </c>
      <c r="AB2695" s="4" t="s">
        <v>241</v>
      </c>
      <c r="AD2695" s="5" t="s">
        <v>241</v>
      </c>
      <c r="AG2695" s="5" t="s">
        <v>246</v>
      </c>
      <c r="AH2695" s="4" t="s">
        <v>241</v>
      </c>
      <c r="AI2695" s="4" t="s">
        <v>247</v>
      </c>
      <c r="AJ2695" s="4" t="s">
        <v>248</v>
      </c>
      <c r="AZ2695" s="4" t="s">
        <v>249</v>
      </c>
      <c r="BA2695" s="4" t="s">
        <v>241</v>
      </c>
      <c r="BB2695" s="4" t="s">
        <v>250</v>
      </c>
      <c r="BC2695" s="4" t="s">
        <v>241</v>
      </c>
      <c r="BD2695" s="4" t="s">
        <v>252</v>
      </c>
      <c r="BE2695" s="4" t="s">
        <v>241</v>
      </c>
      <c r="BI2695" s="4" t="s">
        <v>253</v>
      </c>
      <c r="BJ2695" s="5" t="s">
        <v>246</v>
      </c>
      <c r="BK2695" s="4" t="s">
        <v>254</v>
      </c>
      <c r="BL2695" s="4" t="s">
        <v>255</v>
      </c>
      <c r="BM2695" s="4" t="s">
        <v>241</v>
      </c>
      <c r="BN2695" s="6">
        <f>0</f>
        <v>0</v>
      </c>
      <c r="BO2695" s="6">
        <f>0</f>
        <v>0</v>
      </c>
      <c r="BP2695" s="4" t="s">
        <v>256</v>
      </c>
      <c r="BQ2695" s="4" t="s">
        <v>257</v>
      </c>
      <c r="CE2695" s="4" t="s">
        <v>241</v>
      </c>
      <c r="CF2695" s="4" t="s">
        <v>241</v>
      </c>
      <c r="CJ2695" s="4" t="s">
        <v>276</v>
      </c>
      <c r="CK2695" s="4" t="s">
        <v>259</v>
      </c>
      <c r="CL2695" s="4" t="s">
        <v>241</v>
      </c>
      <c r="CO2695" s="5" t="s">
        <v>260</v>
      </c>
      <c r="CP2695" s="4" t="s">
        <v>241</v>
      </c>
      <c r="CQ2695" s="4" t="s">
        <v>261</v>
      </c>
      <c r="CR2695" s="4" t="s">
        <v>241</v>
      </c>
      <c r="CS2695" s="4" t="s">
        <v>241</v>
      </c>
      <c r="CT2695" s="4">
        <v>0</v>
      </c>
      <c r="CU2695" s="4" t="s">
        <v>262</v>
      </c>
      <c r="CV2695" s="4" t="s">
        <v>263</v>
      </c>
      <c r="CW2695" s="4" t="s">
        <v>263</v>
      </c>
      <c r="CX2695" s="4" t="s">
        <v>264</v>
      </c>
      <c r="DA2695" s="6">
        <f>1</f>
        <v>1</v>
      </c>
      <c r="DC2695" s="4" t="s">
        <v>325</v>
      </c>
      <c r="DD2695" s="4" t="s">
        <v>241</v>
      </c>
      <c r="DF2695" s="4" t="s">
        <v>325</v>
      </c>
      <c r="DG2695" s="6">
        <f>632</f>
        <v>632</v>
      </c>
      <c r="DI2695" s="4" t="s">
        <v>241</v>
      </c>
      <c r="DJ2695" s="4" t="s">
        <v>241</v>
      </c>
      <c r="DK2695" s="4" t="s">
        <v>241</v>
      </c>
      <c r="DL2695" s="4" t="s">
        <v>241</v>
      </c>
      <c r="DP2695" s="4" t="s">
        <v>241</v>
      </c>
      <c r="DQ2695" s="4" t="s">
        <v>241</v>
      </c>
      <c r="DR2695" s="4" t="s">
        <v>241</v>
      </c>
      <c r="DS2695" s="4" t="s">
        <v>241</v>
      </c>
      <c r="DV2695" s="4" t="s">
        <v>426</v>
      </c>
      <c r="DW2695" s="4" t="s">
        <v>846</v>
      </c>
      <c r="HO2695" s="4" t="s">
        <v>267</v>
      </c>
    </row>
    <row r="2696" spans="1:223" ht="19.5" customHeight="1" x14ac:dyDescent="0.4">
      <c r="A2696" s="4">
        <v>1</v>
      </c>
      <c r="B2696" s="4" t="s">
        <v>239</v>
      </c>
      <c r="C2696" s="4">
        <v>4399</v>
      </c>
      <c r="D2696" s="4">
        <v>1</v>
      </c>
      <c r="E2696" s="4">
        <v>1</v>
      </c>
      <c r="F2696" s="4" t="s">
        <v>268</v>
      </c>
      <c r="G2696" s="4" t="s">
        <v>241</v>
      </c>
      <c r="H2696" s="4" t="s">
        <v>241</v>
      </c>
      <c r="I2696" s="4" t="s">
        <v>424</v>
      </c>
      <c r="J2696" s="4" t="s">
        <v>274</v>
      </c>
      <c r="K2696" s="4" t="s">
        <v>251</v>
      </c>
      <c r="L2696" s="4" t="s">
        <v>423</v>
      </c>
      <c r="M2696" s="5" t="s">
        <v>859</v>
      </c>
      <c r="N2696" s="6">
        <f>1966</f>
        <v>1966</v>
      </c>
      <c r="O2696" s="4" t="s">
        <v>265</v>
      </c>
      <c r="P2696" s="6">
        <f>1</f>
        <v>1</v>
      </c>
      <c r="Q2696" s="6">
        <f>0</f>
        <v>0</v>
      </c>
      <c r="S2696" s="6">
        <f>0</f>
        <v>0</v>
      </c>
      <c r="T2696" s="6">
        <f>1</f>
        <v>1</v>
      </c>
      <c r="U2696" s="5" t="s">
        <v>245</v>
      </c>
      <c r="V2696" s="4" t="s">
        <v>270</v>
      </c>
      <c r="W2696" s="4" t="s">
        <v>271</v>
      </c>
      <c r="X2696" s="4" t="s">
        <v>273</v>
      </c>
      <c r="Y2696" s="4" t="s">
        <v>241</v>
      </c>
      <c r="AB2696" s="4" t="s">
        <v>241</v>
      </c>
      <c r="AD2696" s="5" t="s">
        <v>241</v>
      </c>
      <c r="AG2696" s="5" t="s">
        <v>246</v>
      </c>
      <c r="AH2696" s="4" t="s">
        <v>241</v>
      </c>
      <c r="AI2696" s="4" t="s">
        <v>247</v>
      </c>
      <c r="AJ2696" s="4" t="s">
        <v>248</v>
      </c>
      <c r="AZ2696" s="4" t="s">
        <v>249</v>
      </c>
      <c r="BA2696" s="4" t="s">
        <v>241</v>
      </c>
      <c r="BB2696" s="4" t="s">
        <v>250</v>
      </c>
      <c r="BC2696" s="4" t="s">
        <v>241</v>
      </c>
      <c r="BD2696" s="4" t="s">
        <v>252</v>
      </c>
      <c r="BE2696" s="4" t="s">
        <v>241</v>
      </c>
      <c r="BI2696" s="4" t="s">
        <v>253</v>
      </c>
      <c r="BJ2696" s="5" t="s">
        <v>246</v>
      </c>
      <c r="BK2696" s="4" t="s">
        <v>254</v>
      </c>
      <c r="BL2696" s="4" t="s">
        <v>255</v>
      </c>
      <c r="BM2696" s="4" t="s">
        <v>241</v>
      </c>
      <c r="BN2696" s="6">
        <f>0</f>
        <v>0</v>
      </c>
      <c r="BO2696" s="6">
        <f>0</f>
        <v>0</v>
      </c>
      <c r="BP2696" s="4" t="s">
        <v>256</v>
      </c>
      <c r="BQ2696" s="4" t="s">
        <v>257</v>
      </c>
      <c r="CE2696" s="4" t="s">
        <v>241</v>
      </c>
      <c r="CF2696" s="4" t="s">
        <v>241</v>
      </c>
      <c r="CJ2696" s="4" t="s">
        <v>276</v>
      </c>
      <c r="CK2696" s="4" t="s">
        <v>259</v>
      </c>
      <c r="CL2696" s="4" t="s">
        <v>241</v>
      </c>
      <c r="CO2696" s="5" t="s">
        <v>260</v>
      </c>
      <c r="CP2696" s="4" t="s">
        <v>241</v>
      </c>
      <c r="CQ2696" s="4" t="s">
        <v>261</v>
      </c>
      <c r="CR2696" s="4" t="s">
        <v>241</v>
      </c>
      <c r="CS2696" s="4" t="s">
        <v>241</v>
      </c>
      <c r="CT2696" s="4">
        <v>0</v>
      </c>
      <c r="CU2696" s="4" t="s">
        <v>262</v>
      </c>
      <c r="CV2696" s="4" t="s">
        <v>263</v>
      </c>
      <c r="CW2696" s="4" t="s">
        <v>263</v>
      </c>
      <c r="CX2696" s="4" t="s">
        <v>264</v>
      </c>
      <c r="DA2696" s="6">
        <f>1</f>
        <v>1</v>
      </c>
      <c r="DC2696" s="4" t="s">
        <v>325</v>
      </c>
      <c r="DD2696" s="4" t="s">
        <v>241</v>
      </c>
      <c r="DF2696" s="4" t="s">
        <v>325</v>
      </c>
      <c r="DG2696" s="6">
        <f>1966</f>
        <v>1966</v>
      </c>
      <c r="DI2696" s="4" t="s">
        <v>241</v>
      </c>
      <c r="DJ2696" s="4" t="s">
        <v>241</v>
      </c>
      <c r="DK2696" s="4" t="s">
        <v>241</v>
      </c>
      <c r="DL2696" s="4" t="s">
        <v>241</v>
      </c>
      <c r="DP2696" s="4" t="s">
        <v>241</v>
      </c>
      <c r="DQ2696" s="4" t="s">
        <v>241</v>
      </c>
      <c r="DR2696" s="4" t="s">
        <v>241</v>
      </c>
      <c r="DS2696" s="4" t="s">
        <v>241</v>
      </c>
      <c r="DV2696" s="4" t="s">
        <v>426</v>
      </c>
      <c r="DW2696" s="4" t="s">
        <v>860</v>
      </c>
      <c r="HO2696" s="4" t="s">
        <v>267</v>
      </c>
    </row>
    <row r="2697" spans="1:223" ht="19.5" customHeight="1" x14ac:dyDescent="0.4">
      <c r="A2697" s="4">
        <v>1</v>
      </c>
      <c r="B2697" s="4" t="s">
        <v>239</v>
      </c>
      <c r="C2697" s="4">
        <v>4400</v>
      </c>
      <c r="D2697" s="4">
        <v>1</v>
      </c>
      <c r="E2697" s="4">
        <v>1</v>
      </c>
      <c r="F2697" s="4" t="s">
        <v>268</v>
      </c>
      <c r="G2697" s="4" t="s">
        <v>241</v>
      </c>
      <c r="H2697" s="4" t="s">
        <v>241</v>
      </c>
      <c r="I2697" s="4" t="s">
        <v>424</v>
      </c>
      <c r="J2697" s="4" t="s">
        <v>274</v>
      </c>
      <c r="K2697" s="4" t="s">
        <v>251</v>
      </c>
      <c r="L2697" s="4" t="s">
        <v>423</v>
      </c>
      <c r="M2697" s="5" t="s">
        <v>861</v>
      </c>
      <c r="N2697" s="6">
        <f>2082</f>
        <v>2082</v>
      </c>
      <c r="O2697" s="4" t="s">
        <v>265</v>
      </c>
      <c r="P2697" s="6">
        <f>1</f>
        <v>1</v>
      </c>
      <c r="Q2697" s="6">
        <f>0</f>
        <v>0</v>
      </c>
      <c r="S2697" s="6">
        <f>0</f>
        <v>0</v>
      </c>
      <c r="T2697" s="6">
        <f>1</f>
        <v>1</v>
      </c>
      <c r="U2697" s="5" t="s">
        <v>245</v>
      </c>
      <c r="V2697" s="4" t="s">
        <v>270</v>
      </c>
      <c r="W2697" s="4" t="s">
        <v>271</v>
      </c>
      <c r="X2697" s="4" t="s">
        <v>273</v>
      </c>
      <c r="Y2697" s="4" t="s">
        <v>241</v>
      </c>
      <c r="AB2697" s="4" t="s">
        <v>241</v>
      </c>
      <c r="AD2697" s="5" t="s">
        <v>241</v>
      </c>
      <c r="AG2697" s="5" t="s">
        <v>246</v>
      </c>
      <c r="AH2697" s="4" t="s">
        <v>241</v>
      </c>
      <c r="AI2697" s="4" t="s">
        <v>247</v>
      </c>
      <c r="AJ2697" s="4" t="s">
        <v>248</v>
      </c>
      <c r="AZ2697" s="4" t="s">
        <v>249</v>
      </c>
      <c r="BA2697" s="4" t="s">
        <v>241</v>
      </c>
      <c r="BB2697" s="4" t="s">
        <v>250</v>
      </c>
      <c r="BC2697" s="4" t="s">
        <v>241</v>
      </c>
      <c r="BD2697" s="4" t="s">
        <v>252</v>
      </c>
      <c r="BE2697" s="4" t="s">
        <v>241</v>
      </c>
      <c r="BI2697" s="4" t="s">
        <v>253</v>
      </c>
      <c r="BJ2697" s="5" t="s">
        <v>246</v>
      </c>
      <c r="BK2697" s="4" t="s">
        <v>254</v>
      </c>
      <c r="BL2697" s="4" t="s">
        <v>255</v>
      </c>
      <c r="BM2697" s="4" t="s">
        <v>241</v>
      </c>
      <c r="BN2697" s="6">
        <f>0</f>
        <v>0</v>
      </c>
      <c r="BO2697" s="6">
        <f>0</f>
        <v>0</v>
      </c>
      <c r="BP2697" s="4" t="s">
        <v>256</v>
      </c>
      <c r="BQ2697" s="4" t="s">
        <v>257</v>
      </c>
      <c r="CE2697" s="4" t="s">
        <v>241</v>
      </c>
      <c r="CF2697" s="4" t="s">
        <v>241</v>
      </c>
      <c r="CJ2697" s="4" t="s">
        <v>276</v>
      </c>
      <c r="CK2697" s="4" t="s">
        <v>259</v>
      </c>
      <c r="CL2697" s="4" t="s">
        <v>241</v>
      </c>
      <c r="CO2697" s="5" t="s">
        <v>260</v>
      </c>
      <c r="CP2697" s="4" t="s">
        <v>241</v>
      </c>
      <c r="CQ2697" s="4" t="s">
        <v>261</v>
      </c>
      <c r="CR2697" s="4" t="s">
        <v>241</v>
      </c>
      <c r="CS2697" s="4" t="s">
        <v>241</v>
      </c>
      <c r="CT2697" s="4">
        <v>0</v>
      </c>
      <c r="CU2697" s="4" t="s">
        <v>262</v>
      </c>
      <c r="CV2697" s="4" t="s">
        <v>263</v>
      </c>
      <c r="CW2697" s="4" t="s">
        <v>263</v>
      </c>
      <c r="CX2697" s="4" t="s">
        <v>264</v>
      </c>
      <c r="DA2697" s="6">
        <f>1</f>
        <v>1</v>
      </c>
      <c r="DC2697" s="4" t="s">
        <v>325</v>
      </c>
      <c r="DD2697" s="4" t="s">
        <v>241</v>
      </c>
      <c r="DF2697" s="4" t="s">
        <v>325</v>
      </c>
      <c r="DG2697" s="6">
        <f>2082</f>
        <v>2082</v>
      </c>
      <c r="DI2697" s="4" t="s">
        <v>241</v>
      </c>
      <c r="DJ2697" s="4" t="s">
        <v>241</v>
      </c>
      <c r="DK2697" s="4" t="s">
        <v>241</v>
      </c>
      <c r="DL2697" s="4" t="s">
        <v>241</v>
      </c>
      <c r="DP2697" s="4" t="s">
        <v>241</v>
      </c>
      <c r="DQ2697" s="4" t="s">
        <v>241</v>
      </c>
      <c r="DR2697" s="4" t="s">
        <v>241</v>
      </c>
      <c r="DS2697" s="4" t="s">
        <v>241</v>
      </c>
      <c r="DV2697" s="4" t="s">
        <v>426</v>
      </c>
      <c r="DW2697" s="4" t="s">
        <v>862</v>
      </c>
      <c r="HO2697" s="4" t="s">
        <v>267</v>
      </c>
    </row>
    <row r="2698" spans="1:223" ht="19.5" customHeight="1" x14ac:dyDescent="0.4">
      <c r="A2698" s="4">
        <v>1</v>
      </c>
      <c r="B2698" s="4" t="s">
        <v>239</v>
      </c>
      <c r="C2698" s="4">
        <v>4401</v>
      </c>
      <c r="D2698" s="4">
        <v>1</v>
      </c>
      <c r="E2698" s="4">
        <v>1</v>
      </c>
      <c r="F2698" s="4" t="s">
        <v>268</v>
      </c>
      <c r="G2698" s="4" t="s">
        <v>241</v>
      </c>
      <c r="H2698" s="4" t="s">
        <v>241</v>
      </c>
      <c r="I2698" s="4" t="s">
        <v>424</v>
      </c>
      <c r="J2698" s="4" t="s">
        <v>274</v>
      </c>
      <c r="K2698" s="4" t="s">
        <v>251</v>
      </c>
      <c r="L2698" s="4" t="s">
        <v>423</v>
      </c>
      <c r="M2698" s="5" t="s">
        <v>3238</v>
      </c>
      <c r="N2698" s="6">
        <f>308</f>
        <v>308</v>
      </c>
      <c r="O2698" s="4" t="s">
        <v>265</v>
      </c>
      <c r="P2698" s="6">
        <f>1</f>
        <v>1</v>
      </c>
      <c r="Q2698" s="6">
        <f>0</f>
        <v>0</v>
      </c>
      <c r="S2698" s="6">
        <f>0</f>
        <v>0</v>
      </c>
      <c r="T2698" s="6">
        <f>1</f>
        <v>1</v>
      </c>
      <c r="U2698" s="5" t="s">
        <v>245</v>
      </c>
      <c r="V2698" s="4" t="s">
        <v>270</v>
      </c>
      <c r="W2698" s="4" t="s">
        <v>271</v>
      </c>
      <c r="X2698" s="4" t="s">
        <v>273</v>
      </c>
      <c r="Y2698" s="4" t="s">
        <v>241</v>
      </c>
      <c r="AB2698" s="4" t="s">
        <v>241</v>
      </c>
      <c r="AD2698" s="5" t="s">
        <v>241</v>
      </c>
      <c r="AG2698" s="5" t="s">
        <v>246</v>
      </c>
      <c r="AH2698" s="4" t="s">
        <v>241</v>
      </c>
      <c r="AI2698" s="4" t="s">
        <v>247</v>
      </c>
      <c r="AJ2698" s="4" t="s">
        <v>248</v>
      </c>
      <c r="AZ2698" s="4" t="s">
        <v>249</v>
      </c>
      <c r="BA2698" s="4" t="s">
        <v>241</v>
      </c>
      <c r="BB2698" s="4" t="s">
        <v>250</v>
      </c>
      <c r="BC2698" s="4" t="s">
        <v>241</v>
      </c>
      <c r="BD2698" s="4" t="s">
        <v>252</v>
      </c>
      <c r="BE2698" s="4" t="s">
        <v>241</v>
      </c>
      <c r="BI2698" s="4" t="s">
        <v>253</v>
      </c>
      <c r="BJ2698" s="5" t="s">
        <v>246</v>
      </c>
      <c r="BK2698" s="4" t="s">
        <v>254</v>
      </c>
      <c r="BL2698" s="4" t="s">
        <v>255</v>
      </c>
      <c r="BM2698" s="4" t="s">
        <v>241</v>
      </c>
      <c r="BN2698" s="6">
        <f>0</f>
        <v>0</v>
      </c>
      <c r="BO2698" s="6">
        <f>0</f>
        <v>0</v>
      </c>
      <c r="BP2698" s="4" t="s">
        <v>256</v>
      </c>
      <c r="BQ2698" s="4" t="s">
        <v>257</v>
      </c>
      <c r="CE2698" s="4" t="s">
        <v>241</v>
      </c>
      <c r="CF2698" s="4" t="s">
        <v>241</v>
      </c>
      <c r="CJ2698" s="4" t="s">
        <v>276</v>
      </c>
      <c r="CK2698" s="4" t="s">
        <v>259</v>
      </c>
      <c r="CL2698" s="4" t="s">
        <v>241</v>
      </c>
      <c r="CO2698" s="5" t="s">
        <v>260</v>
      </c>
      <c r="CP2698" s="4" t="s">
        <v>241</v>
      </c>
      <c r="CQ2698" s="4" t="s">
        <v>261</v>
      </c>
      <c r="CR2698" s="4" t="s">
        <v>241</v>
      </c>
      <c r="CS2698" s="4" t="s">
        <v>241</v>
      </c>
      <c r="CT2698" s="4">
        <v>0</v>
      </c>
      <c r="CU2698" s="4" t="s">
        <v>262</v>
      </c>
      <c r="CV2698" s="4" t="s">
        <v>263</v>
      </c>
      <c r="CW2698" s="4" t="s">
        <v>263</v>
      </c>
      <c r="CX2698" s="4" t="s">
        <v>264</v>
      </c>
      <c r="DA2698" s="6">
        <f>1</f>
        <v>1</v>
      </c>
      <c r="DC2698" s="4" t="s">
        <v>325</v>
      </c>
      <c r="DD2698" s="4" t="s">
        <v>241</v>
      </c>
      <c r="DF2698" s="4" t="s">
        <v>325</v>
      </c>
      <c r="DG2698" s="6">
        <f>308</f>
        <v>308</v>
      </c>
      <c r="DI2698" s="4" t="s">
        <v>241</v>
      </c>
      <c r="DJ2698" s="4" t="s">
        <v>241</v>
      </c>
      <c r="DK2698" s="4" t="s">
        <v>241</v>
      </c>
      <c r="DL2698" s="4" t="s">
        <v>241</v>
      </c>
      <c r="DP2698" s="4" t="s">
        <v>241</v>
      </c>
      <c r="DQ2698" s="4" t="s">
        <v>241</v>
      </c>
      <c r="DR2698" s="4" t="s">
        <v>241</v>
      </c>
      <c r="DS2698" s="4" t="s">
        <v>241</v>
      </c>
      <c r="DV2698" s="4" t="s">
        <v>426</v>
      </c>
      <c r="DW2698" s="4" t="s">
        <v>2488</v>
      </c>
      <c r="HO2698" s="4" t="s">
        <v>267</v>
      </c>
    </row>
    <row r="2699" spans="1:223" ht="19.5" customHeight="1" x14ac:dyDescent="0.4">
      <c r="A2699" s="4">
        <v>1</v>
      </c>
      <c r="B2699" s="4" t="s">
        <v>239</v>
      </c>
      <c r="C2699" s="4">
        <v>4402</v>
      </c>
      <c r="D2699" s="4">
        <v>1</v>
      </c>
      <c r="E2699" s="4">
        <v>1</v>
      </c>
      <c r="F2699" s="4" t="s">
        <v>268</v>
      </c>
      <c r="G2699" s="4" t="s">
        <v>241</v>
      </c>
      <c r="H2699" s="4" t="s">
        <v>241</v>
      </c>
      <c r="I2699" s="4" t="s">
        <v>424</v>
      </c>
      <c r="J2699" s="4" t="s">
        <v>274</v>
      </c>
      <c r="K2699" s="4" t="s">
        <v>251</v>
      </c>
      <c r="L2699" s="4" t="s">
        <v>423</v>
      </c>
      <c r="M2699" s="5" t="s">
        <v>4529</v>
      </c>
      <c r="N2699" s="6">
        <f>234</f>
        <v>234</v>
      </c>
      <c r="O2699" s="4" t="s">
        <v>265</v>
      </c>
      <c r="P2699" s="6">
        <f>1</f>
        <v>1</v>
      </c>
      <c r="Q2699" s="6">
        <f>0</f>
        <v>0</v>
      </c>
      <c r="S2699" s="6">
        <f>0</f>
        <v>0</v>
      </c>
      <c r="T2699" s="6">
        <f>1</f>
        <v>1</v>
      </c>
      <c r="U2699" s="5" t="s">
        <v>245</v>
      </c>
      <c r="V2699" s="4" t="s">
        <v>270</v>
      </c>
      <c r="W2699" s="4" t="s">
        <v>271</v>
      </c>
      <c r="X2699" s="4" t="s">
        <v>273</v>
      </c>
      <c r="Y2699" s="4" t="s">
        <v>241</v>
      </c>
      <c r="AB2699" s="4" t="s">
        <v>241</v>
      </c>
      <c r="AD2699" s="5" t="s">
        <v>241</v>
      </c>
      <c r="AG2699" s="5" t="s">
        <v>246</v>
      </c>
      <c r="AH2699" s="4" t="s">
        <v>241</v>
      </c>
      <c r="AI2699" s="4" t="s">
        <v>247</v>
      </c>
      <c r="AJ2699" s="4" t="s">
        <v>248</v>
      </c>
      <c r="AZ2699" s="4" t="s">
        <v>249</v>
      </c>
      <c r="BA2699" s="4" t="s">
        <v>241</v>
      </c>
      <c r="BB2699" s="4" t="s">
        <v>250</v>
      </c>
      <c r="BC2699" s="4" t="s">
        <v>241</v>
      </c>
      <c r="BD2699" s="4" t="s">
        <v>252</v>
      </c>
      <c r="BE2699" s="4" t="s">
        <v>241</v>
      </c>
      <c r="BI2699" s="4" t="s">
        <v>253</v>
      </c>
      <c r="BJ2699" s="5" t="s">
        <v>246</v>
      </c>
      <c r="BK2699" s="4" t="s">
        <v>254</v>
      </c>
      <c r="BL2699" s="4" t="s">
        <v>255</v>
      </c>
      <c r="BM2699" s="4" t="s">
        <v>241</v>
      </c>
      <c r="BN2699" s="6">
        <f>0</f>
        <v>0</v>
      </c>
      <c r="BO2699" s="6">
        <f>0</f>
        <v>0</v>
      </c>
      <c r="BP2699" s="4" t="s">
        <v>256</v>
      </c>
      <c r="BQ2699" s="4" t="s">
        <v>257</v>
      </c>
      <c r="CE2699" s="4" t="s">
        <v>241</v>
      </c>
      <c r="CF2699" s="4" t="s">
        <v>241</v>
      </c>
      <c r="CJ2699" s="4" t="s">
        <v>276</v>
      </c>
      <c r="CK2699" s="4" t="s">
        <v>259</v>
      </c>
      <c r="CL2699" s="4" t="s">
        <v>241</v>
      </c>
      <c r="CO2699" s="5" t="s">
        <v>260</v>
      </c>
      <c r="CP2699" s="4" t="s">
        <v>241</v>
      </c>
      <c r="CQ2699" s="4" t="s">
        <v>261</v>
      </c>
      <c r="CR2699" s="4" t="s">
        <v>241</v>
      </c>
      <c r="CS2699" s="4" t="s">
        <v>241</v>
      </c>
      <c r="CT2699" s="4">
        <v>0</v>
      </c>
      <c r="CU2699" s="4" t="s">
        <v>262</v>
      </c>
      <c r="CV2699" s="4" t="s">
        <v>263</v>
      </c>
      <c r="CW2699" s="4" t="s">
        <v>263</v>
      </c>
      <c r="CX2699" s="4" t="s">
        <v>264</v>
      </c>
      <c r="DA2699" s="6">
        <f>1</f>
        <v>1</v>
      </c>
      <c r="DC2699" s="4" t="s">
        <v>325</v>
      </c>
      <c r="DD2699" s="4" t="s">
        <v>241</v>
      </c>
      <c r="DF2699" s="4" t="s">
        <v>325</v>
      </c>
      <c r="DG2699" s="6">
        <f>234</f>
        <v>234</v>
      </c>
      <c r="DI2699" s="4" t="s">
        <v>241</v>
      </c>
      <c r="DJ2699" s="4" t="s">
        <v>241</v>
      </c>
      <c r="DK2699" s="4" t="s">
        <v>241</v>
      </c>
      <c r="DL2699" s="4" t="s">
        <v>241</v>
      </c>
      <c r="DP2699" s="4" t="s">
        <v>241</v>
      </c>
      <c r="DQ2699" s="4" t="s">
        <v>241</v>
      </c>
      <c r="DR2699" s="4" t="s">
        <v>241</v>
      </c>
      <c r="DS2699" s="4" t="s">
        <v>241</v>
      </c>
      <c r="DV2699" s="4" t="s">
        <v>426</v>
      </c>
      <c r="DW2699" s="4" t="s">
        <v>2486</v>
      </c>
      <c r="HO2699" s="4" t="s">
        <v>267</v>
      </c>
    </row>
    <row r="2700" spans="1:223" ht="19.5" customHeight="1" x14ac:dyDescent="0.4">
      <c r="A2700" s="4">
        <v>1</v>
      </c>
      <c r="B2700" s="4" t="s">
        <v>239</v>
      </c>
      <c r="C2700" s="4">
        <v>4403</v>
      </c>
      <c r="D2700" s="4">
        <v>1</v>
      </c>
      <c r="E2700" s="4">
        <v>1</v>
      </c>
      <c r="F2700" s="4" t="s">
        <v>268</v>
      </c>
      <c r="G2700" s="4" t="s">
        <v>241</v>
      </c>
      <c r="H2700" s="4" t="s">
        <v>241</v>
      </c>
      <c r="I2700" s="4" t="s">
        <v>424</v>
      </c>
      <c r="J2700" s="4" t="s">
        <v>274</v>
      </c>
      <c r="K2700" s="4" t="s">
        <v>251</v>
      </c>
      <c r="L2700" s="4" t="s">
        <v>423</v>
      </c>
      <c r="M2700" s="5" t="s">
        <v>877</v>
      </c>
      <c r="N2700" s="6">
        <f>770</f>
        <v>770</v>
      </c>
      <c r="O2700" s="4" t="s">
        <v>265</v>
      </c>
      <c r="P2700" s="6">
        <f>1</f>
        <v>1</v>
      </c>
      <c r="Q2700" s="6">
        <f>0</f>
        <v>0</v>
      </c>
      <c r="S2700" s="6">
        <f>0</f>
        <v>0</v>
      </c>
      <c r="T2700" s="6">
        <f>1</f>
        <v>1</v>
      </c>
      <c r="U2700" s="5" t="s">
        <v>245</v>
      </c>
      <c r="V2700" s="4" t="s">
        <v>270</v>
      </c>
      <c r="W2700" s="4" t="s">
        <v>271</v>
      </c>
      <c r="X2700" s="4" t="s">
        <v>273</v>
      </c>
      <c r="Y2700" s="4" t="s">
        <v>241</v>
      </c>
      <c r="AB2700" s="4" t="s">
        <v>241</v>
      </c>
      <c r="AD2700" s="5" t="s">
        <v>241</v>
      </c>
      <c r="AG2700" s="5" t="s">
        <v>246</v>
      </c>
      <c r="AH2700" s="4" t="s">
        <v>241</v>
      </c>
      <c r="AI2700" s="4" t="s">
        <v>247</v>
      </c>
      <c r="AJ2700" s="4" t="s">
        <v>248</v>
      </c>
      <c r="AZ2700" s="4" t="s">
        <v>249</v>
      </c>
      <c r="BA2700" s="4" t="s">
        <v>241</v>
      </c>
      <c r="BB2700" s="4" t="s">
        <v>250</v>
      </c>
      <c r="BC2700" s="4" t="s">
        <v>241</v>
      </c>
      <c r="BD2700" s="4" t="s">
        <v>252</v>
      </c>
      <c r="BE2700" s="4" t="s">
        <v>241</v>
      </c>
      <c r="BI2700" s="4" t="s">
        <v>253</v>
      </c>
      <c r="BJ2700" s="5" t="s">
        <v>246</v>
      </c>
      <c r="BK2700" s="4" t="s">
        <v>254</v>
      </c>
      <c r="BL2700" s="4" t="s">
        <v>255</v>
      </c>
      <c r="BM2700" s="4" t="s">
        <v>241</v>
      </c>
      <c r="BN2700" s="6">
        <f>0</f>
        <v>0</v>
      </c>
      <c r="BO2700" s="6">
        <f>0</f>
        <v>0</v>
      </c>
      <c r="BP2700" s="4" t="s">
        <v>256</v>
      </c>
      <c r="BQ2700" s="4" t="s">
        <v>257</v>
      </c>
      <c r="CE2700" s="4" t="s">
        <v>241</v>
      </c>
      <c r="CF2700" s="4" t="s">
        <v>241</v>
      </c>
      <c r="CJ2700" s="4" t="s">
        <v>276</v>
      </c>
      <c r="CK2700" s="4" t="s">
        <v>259</v>
      </c>
      <c r="CL2700" s="4" t="s">
        <v>241</v>
      </c>
      <c r="CO2700" s="5" t="s">
        <v>260</v>
      </c>
      <c r="CP2700" s="4" t="s">
        <v>241</v>
      </c>
      <c r="CQ2700" s="4" t="s">
        <v>261</v>
      </c>
      <c r="CR2700" s="4" t="s">
        <v>241</v>
      </c>
      <c r="CS2700" s="4" t="s">
        <v>241</v>
      </c>
      <c r="CT2700" s="4">
        <v>0</v>
      </c>
      <c r="CU2700" s="4" t="s">
        <v>262</v>
      </c>
      <c r="CV2700" s="4" t="s">
        <v>263</v>
      </c>
      <c r="CW2700" s="4" t="s">
        <v>263</v>
      </c>
      <c r="CX2700" s="4" t="s">
        <v>264</v>
      </c>
      <c r="DA2700" s="6">
        <f>1</f>
        <v>1</v>
      </c>
      <c r="DC2700" s="4" t="s">
        <v>325</v>
      </c>
      <c r="DD2700" s="4" t="s">
        <v>241</v>
      </c>
      <c r="DF2700" s="4" t="s">
        <v>325</v>
      </c>
      <c r="DG2700" s="6">
        <f>770</f>
        <v>770</v>
      </c>
      <c r="DI2700" s="4" t="s">
        <v>241</v>
      </c>
      <c r="DJ2700" s="4" t="s">
        <v>241</v>
      </c>
      <c r="DK2700" s="4" t="s">
        <v>241</v>
      </c>
      <c r="DL2700" s="4" t="s">
        <v>241</v>
      </c>
      <c r="DP2700" s="4" t="s">
        <v>241</v>
      </c>
      <c r="DQ2700" s="4" t="s">
        <v>241</v>
      </c>
      <c r="DR2700" s="4" t="s">
        <v>241</v>
      </c>
      <c r="DS2700" s="4" t="s">
        <v>241</v>
      </c>
      <c r="DV2700" s="4" t="s">
        <v>426</v>
      </c>
      <c r="DW2700" s="4" t="s">
        <v>878</v>
      </c>
      <c r="HO2700" s="4" t="s">
        <v>267</v>
      </c>
    </row>
    <row r="2701" spans="1:223" ht="19.5" customHeight="1" x14ac:dyDescent="0.4">
      <c r="A2701" s="4">
        <v>1</v>
      </c>
      <c r="B2701" s="4" t="s">
        <v>239</v>
      </c>
      <c r="C2701" s="4">
        <v>4404</v>
      </c>
      <c r="D2701" s="4">
        <v>1</v>
      </c>
      <c r="E2701" s="4">
        <v>1</v>
      </c>
      <c r="F2701" s="4" t="s">
        <v>268</v>
      </c>
      <c r="G2701" s="4" t="s">
        <v>241</v>
      </c>
      <c r="H2701" s="4" t="s">
        <v>241</v>
      </c>
      <c r="I2701" s="4" t="s">
        <v>424</v>
      </c>
      <c r="J2701" s="4" t="s">
        <v>274</v>
      </c>
      <c r="K2701" s="4" t="s">
        <v>251</v>
      </c>
      <c r="L2701" s="4" t="s">
        <v>423</v>
      </c>
      <c r="M2701" s="5" t="s">
        <v>881</v>
      </c>
      <c r="N2701" s="6">
        <f>833</f>
        <v>833</v>
      </c>
      <c r="O2701" s="4" t="s">
        <v>265</v>
      </c>
      <c r="P2701" s="6">
        <f>1</f>
        <v>1</v>
      </c>
      <c r="Q2701" s="6">
        <f>0</f>
        <v>0</v>
      </c>
      <c r="S2701" s="6">
        <f>0</f>
        <v>0</v>
      </c>
      <c r="T2701" s="6">
        <f>1</f>
        <v>1</v>
      </c>
      <c r="U2701" s="5" t="s">
        <v>245</v>
      </c>
      <c r="V2701" s="4" t="s">
        <v>270</v>
      </c>
      <c r="W2701" s="4" t="s">
        <v>271</v>
      </c>
      <c r="X2701" s="4" t="s">
        <v>273</v>
      </c>
      <c r="Y2701" s="4" t="s">
        <v>241</v>
      </c>
      <c r="AB2701" s="4" t="s">
        <v>241</v>
      </c>
      <c r="AD2701" s="5" t="s">
        <v>241</v>
      </c>
      <c r="AG2701" s="5" t="s">
        <v>246</v>
      </c>
      <c r="AH2701" s="4" t="s">
        <v>241</v>
      </c>
      <c r="AI2701" s="4" t="s">
        <v>247</v>
      </c>
      <c r="AJ2701" s="4" t="s">
        <v>248</v>
      </c>
      <c r="AZ2701" s="4" t="s">
        <v>249</v>
      </c>
      <c r="BA2701" s="4" t="s">
        <v>241</v>
      </c>
      <c r="BB2701" s="4" t="s">
        <v>250</v>
      </c>
      <c r="BC2701" s="4" t="s">
        <v>241</v>
      </c>
      <c r="BD2701" s="4" t="s">
        <v>252</v>
      </c>
      <c r="BE2701" s="4" t="s">
        <v>241</v>
      </c>
      <c r="BI2701" s="4" t="s">
        <v>253</v>
      </c>
      <c r="BJ2701" s="5" t="s">
        <v>246</v>
      </c>
      <c r="BK2701" s="4" t="s">
        <v>254</v>
      </c>
      <c r="BL2701" s="4" t="s">
        <v>255</v>
      </c>
      <c r="BM2701" s="4" t="s">
        <v>241</v>
      </c>
      <c r="BN2701" s="6">
        <f>0</f>
        <v>0</v>
      </c>
      <c r="BO2701" s="6">
        <f>0</f>
        <v>0</v>
      </c>
      <c r="BP2701" s="4" t="s">
        <v>256</v>
      </c>
      <c r="BQ2701" s="4" t="s">
        <v>257</v>
      </c>
      <c r="CE2701" s="4" t="s">
        <v>241</v>
      </c>
      <c r="CF2701" s="4" t="s">
        <v>241</v>
      </c>
      <c r="CJ2701" s="4" t="s">
        <v>276</v>
      </c>
      <c r="CK2701" s="4" t="s">
        <v>259</v>
      </c>
      <c r="CL2701" s="4" t="s">
        <v>241</v>
      </c>
      <c r="CO2701" s="5" t="s">
        <v>260</v>
      </c>
      <c r="CP2701" s="4" t="s">
        <v>241</v>
      </c>
      <c r="CQ2701" s="4" t="s">
        <v>261</v>
      </c>
      <c r="CR2701" s="4" t="s">
        <v>241</v>
      </c>
      <c r="CS2701" s="4" t="s">
        <v>241</v>
      </c>
      <c r="CT2701" s="4">
        <v>0</v>
      </c>
      <c r="CU2701" s="4" t="s">
        <v>262</v>
      </c>
      <c r="CV2701" s="4" t="s">
        <v>263</v>
      </c>
      <c r="CW2701" s="4" t="s">
        <v>263</v>
      </c>
      <c r="CX2701" s="4" t="s">
        <v>264</v>
      </c>
      <c r="DA2701" s="6">
        <f>1</f>
        <v>1</v>
      </c>
      <c r="DC2701" s="4" t="s">
        <v>325</v>
      </c>
      <c r="DD2701" s="4" t="s">
        <v>241</v>
      </c>
      <c r="DF2701" s="4" t="s">
        <v>325</v>
      </c>
      <c r="DG2701" s="6">
        <f>833</f>
        <v>833</v>
      </c>
      <c r="DI2701" s="4" t="s">
        <v>241</v>
      </c>
      <c r="DJ2701" s="4" t="s">
        <v>241</v>
      </c>
      <c r="DK2701" s="4" t="s">
        <v>241</v>
      </c>
      <c r="DL2701" s="4" t="s">
        <v>241</v>
      </c>
      <c r="DP2701" s="4" t="s">
        <v>241</v>
      </c>
      <c r="DQ2701" s="4" t="s">
        <v>241</v>
      </c>
      <c r="DR2701" s="4" t="s">
        <v>241</v>
      </c>
      <c r="DS2701" s="4" t="s">
        <v>241</v>
      </c>
      <c r="DV2701" s="4" t="s">
        <v>426</v>
      </c>
      <c r="DW2701" s="4" t="s">
        <v>882</v>
      </c>
      <c r="HO2701" s="4" t="s">
        <v>267</v>
      </c>
    </row>
    <row r="2702" spans="1:223" ht="19.5" customHeight="1" x14ac:dyDescent="0.4">
      <c r="A2702" s="4">
        <v>1</v>
      </c>
      <c r="B2702" s="4" t="s">
        <v>239</v>
      </c>
      <c r="C2702" s="4">
        <v>4405</v>
      </c>
      <c r="D2702" s="4">
        <v>1</v>
      </c>
      <c r="E2702" s="4">
        <v>1</v>
      </c>
      <c r="F2702" s="4" t="s">
        <v>268</v>
      </c>
      <c r="G2702" s="4" t="s">
        <v>241</v>
      </c>
      <c r="H2702" s="4" t="s">
        <v>241</v>
      </c>
      <c r="I2702" s="4" t="s">
        <v>424</v>
      </c>
      <c r="J2702" s="4" t="s">
        <v>274</v>
      </c>
      <c r="K2702" s="4" t="s">
        <v>251</v>
      </c>
      <c r="L2702" s="4" t="s">
        <v>423</v>
      </c>
      <c r="M2702" s="5" t="s">
        <v>887</v>
      </c>
      <c r="N2702" s="6">
        <f>1453</f>
        <v>1453</v>
      </c>
      <c r="O2702" s="4" t="s">
        <v>265</v>
      </c>
      <c r="P2702" s="6">
        <f>1</f>
        <v>1</v>
      </c>
      <c r="Q2702" s="6">
        <f>0</f>
        <v>0</v>
      </c>
      <c r="S2702" s="6">
        <f>0</f>
        <v>0</v>
      </c>
      <c r="T2702" s="6">
        <f>1</f>
        <v>1</v>
      </c>
      <c r="U2702" s="5" t="s">
        <v>245</v>
      </c>
      <c r="V2702" s="4" t="s">
        <v>270</v>
      </c>
      <c r="W2702" s="4" t="s">
        <v>271</v>
      </c>
      <c r="X2702" s="4" t="s">
        <v>273</v>
      </c>
      <c r="Y2702" s="4" t="s">
        <v>241</v>
      </c>
      <c r="AB2702" s="4" t="s">
        <v>241</v>
      </c>
      <c r="AD2702" s="5" t="s">
        <v>241</v>
      </c>
      <c r="AG2702" s="5" t="s">
        <v>246</v>
      </c>
      <c r="AH2702" s="4" t="s">
        <v>241</v>
      </c>
      <c r="AI2702" s="4" t="s">
        <v>247</v>
      </c>
      <c r="AJ2702" s="4" t="s">
        <v>248</v>
      </c>
      <c r="AZ2702" s="4" t="s">
        <v>249</v>
      </c>
      <c r="BA2702" s="4" t="s">
        <v>241</v>
      </c>
      <c r="BB2702" s="4" t="s">
        <v>250</v>
      </c>
      <c r="BC2702" s="4" t="s">
        <v>241</v>
      </c>
      <c r="BD2702" s="4" t="s">
        <v>252</v>
      </c>
      <c r="BE2702" s="4" t="s">
        <v>241</v>
      </c>
      <c r="BI2702" s="4" t="s">
        <v>253</v>
      </c>
      <c r="BJ2702" s="5" t="s">
        <v>246</v>
      </c>
      <c r="BK2702" s="4" t="s">
        <v>254</v>
      </c>
      <c r="BL2702" s="4" t="s">
        <v>255</v>
      </c>
      <c r="BM2702" s="4" t="s">
        <v>241</v>
      </c>
      <c r="BN2702" s="6">
        <f>0</f>
        <v>0</v>
      </c>
      <c r="BO2702" s="6">
        <f>0</f>
        <v>0</v>
      </c>
      <c r="BP2702" s="4" t="s">
        <v>256</v>
      </c>
      <c r="BQ2702" s="4" t="s">
        <v>257</v>
      </c>
      <c r="CE2702" s="4" t="s">
        <v>241</v>
      </c>
      <c r="CF2702" s="4" t="s">
        <v>241</v>
      </c>
      <c r="CJ2702" s="4" t="s">
        <v>276</v>
      </c>
      <c r="CK2702" s="4" t="s">
        <v>259</v>
      </c>
      <c r="CL2702" s="4" t="s">
        <v>241</v>
      </c>
      <c r="CO2702" s="5" t="s">
        <v>260</v>
      </c>
      <c r="CP2702" s="4" t="s">
        <v>241</v>
      </c>
      <c r="CQ2702" s="4" t="s">
        <v>261</v>
      </c>
      <c r="CR2702" s="4" t="s">
        <v>241</v>
      </c>
      <c r="CS2702" s="4" t="s">
        <v>241</v>
      </c>
      <c r="CT2702" s="4">
        <v>0</v>
      </c>
      <c r="CU2702" s="4" t="s">
        <v>262</v>
      </c>
      <c r="CV2702" s="4" t="s">
        <v>263</v>
      </c>
      <c r="CW2702" s="4" t="s">
        <v>263</v>
      </c>
      <c r="CX2702" s="4" t="s">
        <v>264</v>
      </c>
      <c r="DA2702" s="6">
        <f>1</f>
        <v>1</v>
      </c>
      <c r="DC2702" s="4" t="s">
        <v>325</v>
      </c>
      <c r="DD2702" s="4" t="s">
        <v>241</v>
      </c>
      <c r="DF2702" s="4" t="s">
        <v>325</v>
      </c>
      <c r="DG2702" s="6">
        <f>1453</f>
        <v>1453</v>
      </c>
      <c r="DI2702" s="4" t="s">
        <v>241</v>
      </c>
      <c r="DJ2702" s="4" t="s">
        <v>241</v>
      </c>
      <c r="DK2702" s="4" t="s">
        <v>241</v>
      </c>
      <c r="DL2702" s="4" t="s">
        <v>241</v>
      </c>
      <c r="DP2702" s="4" t="s">
        <v>241</v>
      </c>
      <c r="DQ2702" s="4" t="s">
        <v>241</v>
      </c>
      <c r="DR2702" s="4" t="s">
        <v>241</v>
      </c>
      <c r="DS2702" s="4" t="s">
        <v>241</v>
      </c>
      <c r="DV2702" s="4" t="s">
        <v>426</v>
      </c>
      <c r="DW2702" s="4" t="s">
        <v>888</v>
      </c>
      <c r="HO2702" s="4" t="s">
        <v>267</v>
      </c>
    </row>
    <row r="2703" spans="1:223" ht="19.5" customHeight="1" x14ac:dyDescent="0.4">
      <c r="A2703" s="4">
        <v>1</v>
      </c>
      <c r="B2703" s="4" t="s">
        <v>239</v>
      </c>
      <c r="C2703" s="4">
        <v>4406</v>
      </c>
      <c r="D2703" s="4">
        <v>1</v>
      </c>
      <c r="E2703" s="4">
        <v>1</v>
      </c>
      <c r="F2703" s="4" t="s">
        <v>268</v>
      </c>
      <c r="G2703" s="4" t="s">
        <v>241</v>
      </c>
      <c r="H2703" s="4" t="s">
        <v>241</v>
      </c>
      <c r="I2703" s="4" t="s">
        <v>424</v>
      </c>
      <c r="J2703" s="4" t="s">
        <v>274</v>
      </c>
      <c r="K2703" s="4" t="s">
        <v>251</v>
      </c>
      <c r="L2703" s="4" t="s">
        <v>423</v>
      </c>
      <c r="M2703" s="5" t="s">
        <v>898</v>
      </c>
      <c r="N2703" s="6">
        <f>1397</f>
        <v>1397</v>
      </c>
      <c r="O2703" s="4" t="s">
        <v>265</v>
      </c>
      <c r="P2703" s="6">
        <f>1</f>
        <v>1</v>
      </c>
      <c r="Q2703" s="6">
        <f>0</f>
        <v>0</v>
      </c>
      <c r="S2703" s="6">
        <f>0</f>
        <v>0</v>
      </c>
      <c r="T2703" s="6">
        <f>1</f>
        <v>1</v>
      </c>
      <c r="U2703" s="5" t="s">
        <v>245</v>
      </c>
      <c r="V2703" s="4" t="s">
        <v>270</v>
      </c>
      <c r="W2703" s="4" t="s">
        <v>271</v>
      </c>
      <c r="X2703" s="4" t="s">
        <v>273</v>
      </c>
      <c r="Y2703" s="4" t="s">
        <v>241</v>
      </c>
      <c r="AB2703" s="4" t="s">
        <v>241</v>
      </c>
      <c r="AD2703" s="5" t="s">
        <v>241</v>
      </c>
      <c r="AG2703" s="5" t="s">
        <v>246</v>
      </c>
      <c r="AH2703" s="4" t="s">
        <v>241</v>
      </c>
      <c r="AI2703" s="4" t="s">
        <v>247</v>
      </c>
      <c r="AJ2703" s="4" t="s">
        <v>248</v>
      </c>
      <c r="AZ2703" s="4" t="s">
        <v>249</v>
      </c>
      <c r="BA2703" s="4" t="s">
        <v>241</v>
      </c>
      <c r="BB2703" s="4" t="s">
        <v>250</v>
      </c>
      <c r="BC2703" s="4" t="s">
        <v>241</v>
      </c>
      <c r="BD2703" s="4" t="s">
        <v>252</v>
      </c>
      <c r="BE2703" s="4" t="s">
        <v>241</v>
      </c>
      <c r="BI2703" s="4" t="s">
        <v>253</v>
      </c>
      <c r="BJ2703" s="5" t="s">
        <v>246</v>
      </c>
      <c r="BK2703" s="4" t="s">
        <v>254</v>
      </c>
      <c r="BL2703" s="4" t="s">
        <v>255</v>
      </c>
      <c r="BM2703" s="4" t="s">
        <v>241</v>
      </c>
      <c r="BN2703" s="6">
        <f>0</f>
        <v>0</v>
      </c>
      <c r="BO2703" s="6">
        <f>0</f>
        <v>0</v>
      </c>
      <c r="BP2703" s="4" t="s">
        <v>256</v>
      </c>
      <c r="BQ2703" s="4" t="s">
        <v>257</v>
      </c>
      <c r="CE2703" s="4" t="s">
        <v>241</v>
      </c>
      <c r="CF2703" s="4" t="s">
        <v>241</v>
      </c>
      <c r="CJ2703" s="4" t="s">
        <v>276</v>
      </c>
      <c r="CK2703" s="4" t="s">
        <v>259</v>
      </c>
      <c r="CL2703" s="4" t="s">
        <v>241</v>
      </c>
      <c r="CO2703" s="5" t="s">
        <v>260</v>
      </c>
      <c r="CP2703" s="4" t="s">
        <v>241</v>
      </c>
      <c r="CQ2703" s="4" t="s">
        <v>261</v>
      </c>
      <c r="CR2703" s="4" t="s">
        <v>241</v>
      </c>
      <c r="CS2703" s="4" t="s">
        <v>241</v>
      </c>
      <c r="CT2703" s="4">
        <v>0</v>
      </c>
      <c r="CU2703" s="4" t="s">
        <v>262</v>
      </c>
      <c r="CV2703" s="4" t="s">
        <v>263</v>
      </c>
      <c r="CW2703" s="4" t="s">
        <v>263</v>
      </c>
      <c r="CX2703" s="4" t="s">
        <v>264</v>
      </c>
      <c r="DA2703" s="6">
        <f>1</f>
        <v>1</v>
      </c>
      <c r="DC2703" s="4" t="s">
        <v>325</v>
      </c>
      <c r="DD2703" s="4" t="s">
        <v>241</v>
      </c>
      <c r="DF2703" s="4" t="s">
        <v>325</v>
      </c>
      <c r="DG2703" s="6">
        <f>1397</f>
        <v>1397</v>
      </c>
      <c r="DI2703" s="4" t="s">
        <v>241</v>
      </c>
      <c r="DJ2703" s="4" t="s">
        <v>241</v>
      </c>
      <c r="DK2703" s="4" t="s">
        <v>241</v>
      </c>
      <c r="DL2703" s="4" t="s">
        <v>241</v>
      </c>
      <c r="DP2703" s="4" t="s">
        <v>241</v>
      </c>
      <c r="DQ2703" s="4" t="s">
        <v>241</v>
      </c>
      <c r="DR2703" s="4" t="s">
        <v>241</v>
      </c>
      <c r="DS2703" s="4" t="s">
        <v>241</v>
      </c>
      <c r="DV2703" s="4" t="s">
        <v>426</v>
      </c>
      <c r="DW2703" s="4" t="s">
        <v>899</v>
      </c>
      <c r="HO2703" s="4" t="s">
        <v>267</v>
      </c>
    </row>
    <row r="2704" spans="1:223" ht="19.5" customHeight="1" x14ac:dyDescent="0.4">
      <c r="A2704" s="4">
        <v>1</v>
      </c>
      <c r="B2704" s="4" t="s">
        <v>239</v>
      </c>
      <c r="C2704" s="4">
        <v>4407</v>
      </c>
      <c r="D2704" s="4">
        <v>1</v>
      </c>
      <c r="E2704" s="4">
        <v>1</v>
      </c>
      <c r="F2704" s="4" t="s">
        <v>268</v>
      </c>
      <c r="G2704" s="4" t="s">
        <v>241</v>
      </c>
      <c r="H2704" s="4" t="s">
        <v>241</v>
      </c>
      <c r="I2704" s="4" t="s">
        <v>424</v>
      </c>
      <c r="J2704" s="4" t="s">
        <v>274</v>
      </c>
      <c r="K2704" s="4" t="s">
        <v>251</v>
      </c>
      <c r="L2704" s="4" t="s">
        <v>423</v>
      </c>
      <c r="M2704" s="5" t="s">
        <v>903</v>
      </c>
      <c r="N2704" s="6">
        <f>654</f>
        <v>654</v>
      </c>
      <c r="O2704" s="4" t="s">
        <v>265</v>
      </c>
      <c r="P2704" s="6">
        <f>1</f>
        <v>1</v>
      </c>
      <c r="Q2704" s="6">
        <f>0</f>
        <v>0</v>
      </c>
      <c r="S2704" s="6">
        <f>0</f>
        <v>0</v>
      </c>
      <c r="T2704" s="6">
        <f>1</f>
        <v>1</v>
      </c>
      <c r="U2704" s="5" t="s">
        <v>245</v>
      </c>
      <c r="V2704" s="4" t="s">
        <v>270</v>
      </c>
      <c r="W2704" s="4" t="s">
        <v>271</v>
      </c>
      <c r="X2704" s="4" t="s">
        <v>273</v>
      </c>
      <c r="Y2704" s="4" t="s">
        <v>241</v>
      </c>
      <c r="AB2704" s="4" t="s">
        <v>241</v>
      </c>
      <c r="AD2704" s="5" t="s">
        <v>241</v>
      </c>
      <c r="AG2704" s="5" t="s">
        <v>246</v>
      </c>
      <c r="AH2704" s="4" t="s">
        <v>241</v>
      </c>
      <c r="AI2704" s="4" t="s">
        <v>247</v>
      </c>
      <c r="AJ2704" s="4" t="s">
        <v>248</v>
      </c>
      <c r="AZ2704" s="4" t="s">
        <v>249</v>
      </c>
      <c r="BA2704" s="4" t="s">
        <v>241</v>
      </c>
      <c r="BB2704" s="4" t="s">
        <v>250</v>
      </c>
      <c r="BC2704" s="4" t="s">
        <v>241</v>
      </c>
      <c r="BD2704" s="4" t="s">
        <v>252</v>
      </c>
      <c r="BE2704" s="4" t="s">
        <v>241</v>
      </c>
      <c r="BI2704" s="4" t="s">
        <v>253</v>
      </c>
      <c r="BJ2704" s="5" t="s">
        <v>246</v>
      </c>
      <c r="BK2704" s="4" t="s">
        <v>254</v>
      </c>
      <c r="BL2704" s="4" t="s">
        <v>255</v>
      </c>
      <c r="BM2704" s="4" t="s">
        <v>241</v>
      </c>
      <c r="BN2704" s="6">
        <f>0</f>
        <v>0</v>
      </c>
      <c r="BO2704" s="6">
        <f>0</f>
        <v>0</v>
      </c>
      <c r="BP2704" s="4" t="s">
        <v>256</v>
      </c>
      <c r="BQ2704" s="4" t="s">
        <v>257</v>
      </c>
      <c r="CE2704" s="4" t="s">
        <v>241</v>
      </c>
      <c r="CF2704" s="4" t="s">
        <v>241</v>
      </c>
      <c r="CJ2704" s="4" t="s">
        <v>276</v>
      </c>
      <c r="CK2704" s="4" t="s">
        <v>259</v>
      </c>
      <c r="CL2704" s="4" t="s">
        <v>241</v>
      </c>
      <c r="CO2704" s="5" t="s">
        <v>260</v>
      </c>
      <c r="CP2704" s="4" t="s">
        <v>241</v>
      </c>
      <c r="CQ2704" s="4" t="s">
        <v>261</v>
      </c>
      <c r="CR2704" s="4" t="s">
        <v>241</v>
      </c>
      <c r="CS2704" s="4" t="s">
        <v>241</v>
      </c>
      <c r="CT2704" s="4">
        <v>0</v>
      </c>
      <c r="CU2704" s="4" t="s">
        <v>262</v>
      </c>
      <c r="CV2704" s="4" t="s">
        <v>263</v>
      </c>
      <c r="CW2704" s="4" t="s">
        <v>263</v>
      </c>
      <c r="CX2704" s="4" t="s">
        <v>264</v>
      </c>
      <c r="DA2704" s="6">
        <f>1</f>
        <v>1</v>
      </c>
      <c r="DC2704" s="4" t="s">
        <v>325</v>
      </c>
      <c r="DD2704" s="4" t="s">
        <v>241</v>
      </c>
      <c r="DF2704" s="4" t="s">
        <v>325</v>
      </c>
      <c r="DG2704" s="6">
        <f>654</f>
        <v>654</v>
      </c>
      <c r="DI2704" s="4" t="s">
        <v>241</v>
      </c>
      <c r="DJ2704" s="4" t="s">
        <v>241</v>
      </c>
      <c r="DK2704" s="4" t="s">
        <v>241</v>
      </c>
      <c r="DL2704" s="4" t="s">
        <v>241</v>
      </c>
      <c r="DP2704" s="4" t="s">
        <v>241</v>
      </c>
      <c r="DQ2704" s="4" t="s">
        <v>241</v>
      </c>
      <c r="DR2704" s="4" t="s">
        <v>241</v>
      </c>
      <c r="DS2704" s="4" t="s">
        <v>241</v>
      </c>
      <c r="DV2704" s="4" t="s">
        <v>426</v>
      </c>
      <c r="DW2704" s="4" t="s">
        <v>904</v>
      </c>
      <c r="HO2704" s="4" t="s">
        <v>267</v>
      </c>
    </row>
    <row r="2705" spans="1:223" ht="19.5" customHeight="1" x14ac:dyDescent="0.4">
      <c r="A2705" s="4">
        <v>1</v>
      </c>
      <c r="B2705" s="4" t="s">
        <v>239</v>
      </c>
      <c r="C2705" s="4">
        <v>4408</v>
      </c>
      <c r="D2705" s="4">
        <v>1</v>
      </c>
      <c r="E2705" s="4">
        <v>1</v>
      </c>
      <c r="F2705" s="4" t="s">
        <v>268</v>
      </c>
      <c r="G2705" s="4" t="s">
        <v>241</v>
      </c>
      <c r="H2705" s="4" t="s">
        <v>241</v>
      </c>
      <c r="I2705" s="4" t="s">
        <v>424</v>
      </c>
      <c r="J2705" s="4" t="s">
        <v>274</v>
      </c>
      <c r="K2705" s="4" t="s">
        <v>251</v>
      </c>
      <c r="L2705" s="4" t="s">
        <v>423</v>
      </c>
      <c r="M2705" s="5" t="s">
        <v>909</v>
      </c>
      <c r="N2705" s="6">
        <f>1614</f>
        <v>1614</v>
      </c>
      <c r="O2705" s="4" t="s">
        <v>265</v>
      </c>
      <c r="P2705" s="6">
        <f>1</f>
        <v>1</v>
      </c>
      <c r="Q2705" s="6">
        <f>0</f>
        <v>0</v>
      </c>
      <c r="S2705" s="6">
        <f>0</f>
        <v>0</v>
      </c>
      <c r="T2705" s="6">
        <f>1</f>
        <v>1</v>
      </c>
      <c r="U2705" s="5" t="s">
        <v>245</v>
      </c>
      <c r="V2705" s="4" t="s">
        <v>270</v>
      </c>
      <c r="W2705" s="4" t="s">
        <v>271</v>
      </c>
      <c r="X2705" s="4" t="s">
        <v>273</v>
      </c>
      <c r="Y2705" s="4" t="s">
        <v>241</v>
      </c>
      <c r="AB2705" s="4" t="s">
        <v>241</v>
      </c>
      <c r="AD2705" s="5" t="s">
        <v>241</v>
      </c>
      <c r="AG2705" s="5" t="s">
        <v>246</v>
      </c>
      <c r="AH2705" s="4" t="s">
        <v>241</v>
      </c>
      <c r="AI2705" s="4" t="s">
        <v>247</v>
      </c>
      <c r="AJ2705" s="4" t="s">
        <v>248</v>
      </c>
      <c r="AZ2705" s="4" t="s">
        <v>249</v>
      </c>
      <c r="BA2705" s="4" t="s">
        <v>241</v>
      </c>
      <c r="BB2705" s="4" t="s">
        <v>250</v>
      </c>
      <c r="BC2705" s="4" t="s">
        <v>241</v>
      </c>
      <c r="BD2705" s="4" t="s">
        <v>252</v>
      </c>
      <c r="BE2705" s="4" t="s">
        <v>241</v>
      </c>
      <c r="BI2705" s="4" t="s">
        <v>253</v>
      </c>
      <c r="BJ2705" s="5" t="s">
        <v>246</v>
      </c>
      <c r="BK2705" s="4" t="s">
        <v>254</v>
      </c>
      <c r="BL2705" s="4" t="s">
        <v>255</v>
      </c>
      <c r="BM2705" s="4" t="s">
        <v>241</v>
      </c>
      <c r="BN2705" s="6">
        <f>0</f>
        <v>0</v>
      </c>
      <c r="BO2705" s="6">
        <f>0</f>
        <v>0</v>
      </c>
      <c r="BP2705" s="4" t="s">
        <v>256</v>
      </c>
      <c r="BQ2705" s="4" t="s">
        <v>257</v>
      </c>
      <c r="CE2705" s="4" t="s">
        <v>241</v>
      </c>
      <c r="CF2705" s="4" t="s">
        <v>241</v>
      </c>
      <c r="CJ2705" s="4" t="s">
        <v>276</v>
      </c>
      <c r="CK2705" s="4" t="s">
        <v>259</v>
      </c>
      <c r="CL2705" s="4" t="s">
        <v>241</v>
      </c>
      <c r="CO2705" s="5" t="s">
        <v>260</v>
      </c>
      <c r="CP2705" s="4" t="s">
        <v>241</v>
      </c>
      <c r="CQ2705" s="4" t="s">
        <v>261</v>
      </c>
      <c r="CR2705" s="4" t="s">
        <v>241</v>
      </c>
      <c r="CS2705" s="4" t="s">
        <v>241</v>
      </c>
      <c r="CT2705" s="4">
        <v>0</v>
      </c>
      <c r="CU2705" s="4" t="s">
        <v>262</v>
      </c>
      <c r="CV2705" s="4" t="s">
        <v>263</v>
      </c>
      <c r="CW2705" s="4" t="s">
        <v>263</v>
      </c>
      <c r="CX2705" s="4" t="s">
        <v>264</v>
      </c>
      <c r="DA2705" s="6">
        <f>1</f>
        <v>1</v>
      </c>
      <c r="DC2705" s="4" t="s">
        <v>325</v>
      </c>
      <c r="DD2705" s="4" t="s">
        <v>241</v>
      </c>
      <c r="DF2705" s="4" t="s">
        <v>325</v>
      </c>
      <c r="DG2705" s="6">
        <f>1614</f>
        <v>1614</v>
      </c>
      <c r="DI2705" s="4" t="s">
        <v>241</v>
      </c>
      <c r="DJ2705" s="4" t="s">
        <v>241</v>
      </c>
      <c r="DK2705" s="4" t="s">
        <v>241</v>
      </c>
      <c r="DL2705" s="4" t="s">
        <v>241</v>
      </c>
      <c r="DP2705" s="4" t="s">
        <v>241</v>
      </c>
      <c r="DQ2705" s="4" t="s">
        <v>241</v>
      </c>
      <c r="DR2705" s="4" t="s">
        <v>241</v>
      </c>
      <c r="DS2705" s="4" t="s">
        <v>241</v>
      </c>
      <c r="DV2705" s="4" t="s">
        <v>426</v>
      </c>
      <c r="DW2705" s="4" t="s">
        <v>910</v>
      </c>
      <c r="HO2705" s="4" t="s">
        <v>267</v>
      </c>
    </row>
    <row r="2706" spans="1:223" ht="19.5" customHeight="1" x14ac:dyDescent="0.4">
      <c r="A2706" s="4">
        <v>1</v>
      </c>
      <c r="B2706" s="4" t="s">
        <v>239</v>
      </c>
      <c r="C2706" s="4">
        <v>4409</v>
      </c>
      <c r="D2706" s="4">
        <v>1</v>
      </c>
      <c r="E2706" s="4">
        <v>1</v>
      </c>
      <c r="F2706" s="4" t="s">
        <v>268</v>
      </c>
      <c r="G2706" s="4" t="s">
        <v>241</v>
      </c>
      <c r="H2706" s="4" t="s">
        <v>241</v>
      </c>
      <c r="I2706" s="4" t="s">
        <v>424</v>
      </c>
      <c r="J2706" s="4" t="s">
        <v>274</v>
      </c>
      <c r="K2706" s="4" t="s">
        <v>251</v>
      </c>
      <c r="L2706" s="4" t="s">
        <v>423</v>
      </c>
      <c r="M2706" s="5" t="s">
        <v>917</v>
      </c>
      <c r="N2706" s="6">
        <f>2234</f>
        <v>2234</v>
      </c>
      <c r="O2706" s="4" t="s">
        <v>265</v>
      </c>
      <c r="P2706" s="6">
        <f>1</f>
        <v>1</v>
      </c>
      <c r="Q2706" s="6">
        <f>0</f>
        <v>0</v>
      </c>
      <c r="S2706" s="6">
        <f>0</f>
        <v>0</v>
      </c>
      <c r="T2706" s="6">
        <f>1</f>
        <v>1</v>
      </c>
      <c r="U2706" s="5" t="s">
        <v>245</v>
      </c>
      <c r="V2706" s="4" t="s">
        <v>270</v>
      </c>
      <c r="W2706" s="4" t="s">
        <v>271</v>
      </c>
      <c r="X2706" s="4" t="s">
        <v>273</v>
      </c>
      <c r="Y2706" s="4" t="s">
        <v>241</v>
      </c>
      <c r="AB2706" s="4" t="s">
        <v>241</v>
      </c>
      <c r="AD2706" s="5" t="s">
        <v>241</v>
      </c>
      <c r="AG2706" s="5" t="s">
        <v>246</v>
      </c>
      <c r="AH2706" s="4" t="s">
        <v>241</v>
      </c>
      <c r="AI2706" s="4" t="s">
        <v>247</v>
      </c>
      <c r="AJ2706" s="4" t="s">
        <v>248</v>
      </c>
      <c r="AZ2706" s="4" t="s">
        <v>249</v>
      </c>
      <c r="BA2706" s="4" t="s">
        <v>241</v>
      </c>
      <c r="BB2706" s="4" t="s">
        <v>250</v>
      </c>
      <c r="BC2706" s="4" t="s">
        <v>241</v>
      </c>
      <c r="BD2706" s="4" t="s">
        <v>252</v>
      </c>
      <c r="BE2706" s="4" t="s">
        <v>241</v>
      </c>
      <c r="BI2706" s="4" t="s">
        <v>253</v>
      </c>
      <c r="BJ2706" s="5" t="s">
        <v>246</v>
      </c>
      <c r="BK2706" s="4" t="s">
        <v>254</v>
      </c>
      <c r="BL2706" s="4" t="s">
        <v>255</v>
      </c>
      <c r="BM2706" s="4" t="s">
        <v>241</v>
      </c>
      <c r="BN2706" s="6">
        <f>0</f>
        <v>0</v>
      </c>
      <c r="BO2706" s="6">
        <f>0</f>
        <v>0</v>
      </c>
      <c r="BP2706" s="4" t="s">
        <v>256</v>
      </c>
      <c r="BQ2706" s="4" t="s">
        <v>257</v>
      </c>
      <c r="CE2706" s="4" t="s">
        <v>241</v>
      </c>
      <c r="CF2706" s="4" t="s">
        <v>241</v>
      </c>
      <c r="CJ2706" s="4" t="s">
        <v>276</v>
      </c>
      <c r="CK2706" s="4" t="s">
        <v>259</v>
      </c>
      <c r="CL2706" s="4" t="s">
        <v>241</v>
      </c>
      <c r="CO2706" s="5" t="s">
        <v>260</v>
      </c>
      <c r="CP2706" s="4" t="s">
        <v>241</v>
      </c>
      <c r="CQ2706" s="4" t="s">
        <v>261</v>
      </c>
      <c r="CR2706" s="4" t="s">
        <v>241</v>
      </c>
      <c r="CS2706" s="4" t="s">
        <v>241</v>
      </c>
      <c r="CT2706" s="4">
        <v>0</v>
      </c>
      <c r="CU2706" s="4" t="s">
        <v>262</v>
      </c>
      <c r="CV2706" s="4" t="s">
        <v>263</v>
      </c>
      <c r="CW2706" s="4" t="s">
        <v>263</v>
      </c>
      <c r="CX2706" s="4" t="s">
        <v>264</v>
      </c>
      <c r="DA2706" s="6">
        <f>1</f>
        <v>1</v>
      </c>
      <c r="DC2706" s="4" t="s">
        <v>325</v>
      </c>
      <c r="DD2706" s="4" t="s">
        <v>241</v>
      </c>
      <c r="DF2706" s="4" t="s">
        <v>325</v>
      </c>
      <c r="DG2706" s="6">
        <f>2234</f>
        <v>2234</v>
      </c>
      <c r="DI2706" s="4" t="s">
        <v>241</v>
      </c>
      <c r="DJ2706" s="4" t="s">
        <v>241</v>
      </c>
      <c r="DK2706" s="4" t="s">
        <v>241</v>
      </c>
      <c r="DL2706" s="4" t="s">
        <v>241</v>
      </c>
      <c r="DP2706" s="4" t="s">
        <v>241</v>
      </c>
      <c r="DQ2706" s="4" t="s">
        <v>241</v>
      </c>
      <c r="DR2706" s="4" t="s">
        <v>241</v>
      </c>
      <c r="DS2706" s="4" t="s">
        <v>241</v>
      </c>
      <c r="DV2706" s="4" t="s">
        <v>426</v>
      </c>
      <c r="DW2706" s="4" t="s">
        <v>918</v>
      </c>
      <c r="HO2706" s="4" t="s">
        <v>267</v>
      </c>
    </row>
    <row r="2707" spans="1:223" ht="19.5" customHeight="1" x14ac:dyDescent="0.4">
      <c r="A2707" s="4">
        <v>1</v>
      </c>
      <c r="B2707" s="4" t="s">
        <v>239</v>
      </c>
      <c r="C2707" s="4">
        <v>4410</v>
      </c>
      <c r="D2707" s="4">
        <v>1</v>
      </c>
      <c r="E2707" s="4">
        <v>1</v>
      </c>
      <c r="F2707" s="4" t="s">
        <v>268</v>
      </c>
      <c r="G2707" s="4" t="s">
        <v>241</v>
      </c>
      <c r="H2707" s="4" t="s">
        <v>241</v>
      </c>
      <c r="I2707" s="4" t="s">
        <v>424</v>
      </c>
      <c r="J2707" s="4" t="s">
        <v>274</v>
      </c>
      <c r="K2707" s="4" t="s">
        <v>251</v>
      </c>
      <c r="L2707" s="4" t="s">
        <v>423</v>
      </c>
      <c r="M2707" s="5" t="s">
        <v>925</v>
      </c>
      <c r="N2707" s="6">
        <f>952</f>
        <v>952</v>
      </c>
      <c r="O2707" s="4" t="s">
        <v>265</v>
      </c>
      <c r="P2707" s="6">
        <f>1</f>
        <v>1</v>
      </c>
      <c r="Q2707" s="6">
        <f>0</f>
        <v>0</v>
      </c>
      <c r="S2707" s="6">
        <f>0</f>
        <v>0</v>
      </c>
      <c r="T2707" s="6">
        <f>1</f>
        <v>1</v>
      </c>
      <c r="U2707" s="5" t="s">
        <v>245</v>
      </c>
      <c r="V2707" s="4" t="s">
        <v>270</v>
      </c>
      <c r="W2707" s="4" t="s">
        <v>271</v>
      </c>
      <c r="X2707" s="4" t="s">
        <v>273</v>
      </c>
      <c r="Y2707" s="4" t="s">
        <v>241</v>
      </c>
      <c r="AB2707" s="4" t="s">
        <v>241</v>
      </c>
      <c r="AD2707" s="5" t="s">
        <v>241</v>
      </c>
      <c r="AG2707" s="5" t="s">
        <v>246</v>
      </c>
      <c r="AH2707" s="4" t="s">
        <v>241</v>
      </c>
      <c r="AI2707" s="4" t="s">
        <v>247</v>
      </c>
      <c r="AJ2707" s="4" t="s">
        <v>248</v>
      </c>
      <c r="AZ2707" s="4" t="s">
        <v>249</v>
      </c>
      <c r="BA2707" s="4" t="s">
        <v>241</v>
      </c>
      <c r="BB2707" s="4" t="s">
        <v>250</v>
      </c>
      <c r="BC2707" s="4" t="s">
        <v>241</v>
      </c>
      <c r="BD2707" s="4" t="s">
        <v>252</v>
      </c>
      <c r="BE2707" s="4" t="s">
        <v>241</v>
      </c>
      <c r="BI2707" s="4" t="s">
        <v>253</v>
      </c>
      <c r="BJ2707" s="5" t="s">
        <v>246</v>
      </c>
      <c r="BK2707" s="4" t="s">
        <v>254</v>
      </c>
      <c r="BL2707" s="4" t="s">
        <v>255</v>
      </c>
      <c r="BM2707" s="4" t="s">
        <v>241</v>
      </c>
      <c r="BN2707" s="6">
        <f>0</f>
        <v>0</v>
      </c>
      <c r="BO2707" s="6">
        <f>0</f>
        <v>0</v>
      </c>
      <c r="BP2707" s="4" t="s">
        <v>256</v>
      </c>
      <c r="BQ2707" s="4" t="s">
        <v>257</v>
      </c>
      <c r="CE2707" s="4" t="s">
        <v>241</v>
      </c>
      <c r="CF2707" s="4" t="s">
        <v>241</v>
      </c>
      <c r="CJ2707" s="4" t="s">
        <v>276</v>
      </c>
      <c r="CK2707" s="4" t="s">
        <v>259</v>
      </c>
      <c r="CL2707" s="4" t="s">
        <v>241</v>
      </c>
      <c r="CO2707" s="5" t="s">
        <v>260</v>
      </c>
      <c r="CP2707" s="4" t="s">
        <v>241</v>
      </c>
      <c r="CQ2707" s="4" t="s">
        <v>261</v>
      </c>
      <c r="CR2707" s="4" t="s">
        <v>241</v>
      </c>
      <c r="CS2707" s="4" t="s">
        <v>241</v>
      </c>
      <c r="CT2707" s="4">
        <v>0</v>
      </c>
      <c r="CU2707" s="4" t="s">
        <v>262</v>
      </c>
      <c r="CV2707" s="4" t="s">
        <v>263</v>
      </c>
      <c r="CW2707" s="4" t="s">
        <v>263</v>
      </c>
      <c r="CX2707" s="4" t="s">
        <v>264</v>
      </c>
      <c r="DA2707" s="6">
        <f>1</f>
        <v>1</v>
      </c>
      <c r="DC2707" s="4" t="s">
        <v>325</v>
      </c>
      <c r="DD2707" s="4" t="s">
        <v>241</v>
      </c>
      <c r="DF2707" s="4" t="s">
        <v>325</v>
      </c>
      <c r="DG2707" s="6">
        <f>952</f>
        <v>952</v>
      </c>
      <c r="DI2707" s="4" t="s">
        <v>241</v>
      </c>
      <c r="DJ2707" s="4" t="s">
        <v>241</v>
      </c>
      <c r="DK2707" s="4" t="s">
        <v>241</v>
      </c>
      <c r="DL2707" s="4" t="s">
        <v>241</v>
      </c>
      <c r="DP2707" s="4" t="s">
        <v>241</v>
      </c>
      <c r="DQ2707" s="4" t="s">
        <v>241</v>
      </c>
      <c r="DR2707" s="4" t="s">
        <v>241</v>
      </c>
      <c r="DS2707" s="4" t="s">
        <v>241</v>
      </c>
      <c r="DV2707" s="4" t="s">
        <v>426</v>
      </c>
      <c r="DW2707" s="4" t="s">
        <v>926</v>
      </c>
      <c r="HO2707" s="4" t="s">
        <v>267</v>
      </c>
    </row>
    <row r="2708" spans="1:223" ht="19.5" customHeight="1" x14ac:dyDescent="0.4">
      <c r="A2708" s="4">
        <v>1</v>
      </c>
      <c r="B2708" s="4" t="s">
        <v>239</v>
      </c>
      <c r="C2708" s="4">
        <v>4411</v>
      </c>
      <c r="D2708" s="4">
        <v>1</v>
      </c>
      <c r="E2708" s="4">
        <v>1</v>
      </c>
      <c r="F2708" s="4" t="s">
        <v>268</v>
      </c>
      <c r="G2708" s="4" t="s">
        <v>241</v>
      </c>
      <c r="H2708" s="4" t="s">
        <v>241</v>
      </c>
      <c r="I2708" s="4" t="s">
        <v>424</v>
      </c>
      <c r="J2708" s="4" t="s">
        <v>274</v>
      </c>
      <c r="K2708" s="4" t="s">
        <v>251</v>
      </c>
      <c r="L2708" s="4" t="s">
        <v>423</v>
      </c>
      <c r="M2708" s="5" t="s">
        <v>931</v>
      </c>
      <c r="N2708" s="6">
        <f>737</f>
        <v>737</v>
      </c>
      <c r="O2708" s="4" t="s">
        <v>265</v>
      </c>
      <c r="P2708" s="6">
        <f>1</f>
        <v>1</v>
      </c>
      <c r="Q2708" s="6">
        <f>0</f>
        <v>0</v>
      </c>
      <c r="S2708" s="6">
        <f>0</f>
        <v>0</v>
      </c>
      <c r="T2708" s="6">
        <f>1</f>
        <v>1</v>
      </c>
      <c r="U2708" s="5" t="s">
        <v>245</v>
      </c>
      <c r="V2708" s="4" t="s">
        <v>270</v>
      </c>
      <c r="W2708" s="4" t="s">
        <v>271</v>
      </c>
      <c r="X2708" s="4" t="s">
        <v>273</v>
      </c>
      <c r="Y2708" s="4" t="s">
        <v>241</v>
      </c>
      <c r="AB2708" s="4" t="s">
        <v>241</v>
      </c>
      <c r="AD2708" s="5" t="s">
        <v>241</v>
      </c>
      <c r="AG2708" s="5" t="s">
        <v>246</v>
      </c>
      <c r="AH2708" s="4" t="s">
        <v>241</v>
      </c>
      <c r="AI2708" s="4" t="s">
        <v>247</v>
      </c>
      <c r="AJ2708" s="4" t="s">
        <v>248</v>
      </c>
      <c r="AZ2708" s="4" t="s">
        <v>249</v>
      </c>
      <c r="BA2708" s="4" t="s">
        <v>241</v>
      </c>
      <c r="BB2708" s="4" t="s">
        <v>250</v>
      </c>
      <c r="BC2708" s="4" t="s">
        <v>241</v>
      </c>
      <c r="BD2708" s="4" t="s">
        <v>252</v>
      </c>
      <c r="BE2708" s="4" t="s">
        <v>241</v>
      </c>
      <c r="BI2708" s="4" t="s">
        <v>253</v>
      </c>
      <c r="BJ2708" s="5" t="s">
        <v>246</v>
      </c>
      <c r="BK2708" s="4" t="s">
        <v>254</v>
      </c>
      <c r="BL2708" s="4" t="s">
        <v>255</v>
      </c>
      <c r="BM2708" s="4" t="s">
        <v>241</v>
      </c>
      <c r="BN2708" s="6">
        <f>0</f>
        <v>0</v>
      </c>
      <c r="BO2708" s="6">
        <f>0</f>
        <v>0</v>
      </c>
      <c r="BP2708" s="4" t="s">
        <v>256</v>
      </c>
      <c r="BQ2708" s="4" t="s">
        <v>257</v>
      </c>
      <c r="CE2708" s="4" t="s">
        <v>241</v>
      </c>
      <c r="CF2708" s="4" t="s">
        <v>241</v>
      </c>
      <c r="CJ2708" s="4" t="s">
        <v>276</v>
      </c>
      <c r="CK2708" s="4" t="s">
        <v>259</v>
      </c>
      <c r="CL2708" s="4" t="s">
        <v>241</v>
      </c>
      <c r="CO2708" s="5" t="s">
        <v>260</v>
      </c>
      <c r="CP2708" s="4" t="s">
        <v>241</v>
      </c>
      <c r="CQ2708" s="4" t="s">
        <v>261</v>
      </c>
      <c r="CR2708" s="4" t="s">
        <v>241</v>
      </c>
      <c r="CS2708" s="4" t="s">
        <v>241</v>
      </c>
      <c r="CT2708" s="4">
        <v>0</v>
      </c>
      <c r="CU2708" s="4" t="s">
        <v>262</v>
      </c>
      <c r="CV2708" s="4" t="s">
        <v>263</v>
      </c>
      <c r="CW2708" s="4" t="s">
        <v>263</v>
      </c>
      <c r="CX2708" s="4" t="s">
        <v>264</v>
      </c>
      <c r="DA2708" s="6">
        <f>1</f>
        <v>1</v>
      </c>
      <c r="DC2708" s="4" t="s">
        <v>325</v>
      </c>
      <c r="DD2708" s="4" t="s">
        <v>241</v>
      </c>
      <c r="DF2708" s="4" t="s">
        <v>325</v>
      </c>
      <c r="DG2708" s="6">
        <f>737</f>
        <v>737</v>
      </c>
      <c r="DI2708" s="4" t="s">
        <v>241</v>
      </c>
      <c r="DJ2708" s="4" t="s">
        <v>241</v>
      </c>
      <c r="DK2708" s="4" t="s">
        <v>241</v>
      </c>
      <c r="DL2708" s="4" t="s">
        <v>241</v>
      </c>
      <c r="DP2708" s="4" t="s">
        <v>241</v>
      </c>
      <c r="DQ2708" s="4" t="s">
        <v>241</v>
      </c>
      <c r="DR2708" s="4" t="s">
        <v>241</v>
      </c>
      <c r="DS2708" s="4" t="s">
        <v>241</v>
      </c>
      <c r="DV2708" s="4" t="s">
        <v>426</v>
      </c>
      <c r="DW2708" s="4" t="s">
        <v>932</v>
      </c>
      <c r="HO2708" s="4" t="s">
        <v>267</v>
      </c>
    </row>
    <row r="2709" spans="1:223" ht="19.5" customHeight="1" x14ac:dyDescent="0.4">
      <c r="A2709" s="4">
        <v>1</v>
      </c>
      <c r="B2709" s="4" t="s">
        <v>239</v>
      </c>
      <c r="C2709" s="4">
        <v>4412</v>
      </c>
      <c r="D2709" s="4">
        <v>1</v>
      </c>
      <c r="E2709" s="4">
        <v>1</v>
      </c>
      <c r="F2709" s="4" t="s">
        <v>268</v>
      </c>
      <c r="G2709" s="4" t="s">
        <v>241</v>
      </c>
      <c r="H2709" s="4" t="s">
        <v>241</v>
      </c>
      <c r="I2709" s="4" t="s">
        <v>424</v>
      </c>
      <c r="J2709" s="4" t="s">
        <v>274</v>
      </c>
      <c r="K2709" s="4" t="s">
        <v>251</v>
      </c>
      <c r="L2709" s="4" t="s">
        <v>423</v>
      </c>
      <c r="M2709" s="5" t="s">
        <v>936</v>
      </c>
      <c r="N2709" s="6">
        <f>1336</f>
        <v>1336</v>
      </c>
      <c r="O2709" s="4" t="s">
        <v>265</v>
      </c>
      <c r="P2709" s="6">
        <f>1</f>
        <v>1</v>
      </c>
      <c r="Q2709" s="6">
        <f>0</f>
        <v>0</v>
      </c>
      <c r="S2709" s="6">
        <f>0</f>
        <v>0</v>
      </c>
      <c r="T2709" s="6">
        <f>1</f>
        <v>1</v>
      </c>
      <c r="U2709" s="5" t="s">
        <v>245</v>
      </c>
      <c r="V2709" s="4" t="s">
        <v>270</v>
      </c>
      <c r="W2709" s="4" t="s">
        <v>271</v>
      </c>
      <c r="X2709" s="4" t="s">
        <v>273</v>
      </c>
      <c r="Y2709" s="4" t="s">
        <v>241</v>
      </c>
      <c r="AB2709" s="4" t="s">
        <v>241</v>
      </c>
      <c r="AD2709" s="5" t="s">
        <v>241</v>
      </c>
      <c r="AG2709" s="5" t="s">
        <v>246</v>
      </c>
      <c r="AH2709" s="4" t="s">
        <v>241</v>
      </c>
      <c r="AI2709" s="4" t="s">
        <v>247</v>
      </c>
      <c r="AJ2709" s="4" t="s">
        <v>248</v>
      </c>
      <c r="AZ2709" s="4" t="s">
        <v>249</v>
      </c>
      <c r="BA2709" s="4" t="s">
        <v>241</v>
      </c>
      <c r="BB2709" s="4" t="s">
        <v>250</v>
      </c>
      <c r="BC2709" s="4" t="s">
        <v>241</v>
      </c>
      <c r="BD2709" s="4" t="s">
        <v>252</v>
      </c>
      <c r="BE2709" s="4" t="s">
        <v>241</v>
      </c>
      <c r="BI2709" s="4" t="s">
        <v>253</v>
      </c>
      <c r="BJ2709" s="5" t="s">
        <v>246</v>
      </c>
      <c r="BK2709" s="4" t="s">
        <v>254</v>
      </c>
      <c r="BL2709" s="4" t="s">
        <v>255</v>
      </c>
      <c r="BM2709" s="4" t="s">
        <v>241</v>
      </c>
      <c r="BN2709" s="6">
        <f>0</f>
        <v>0</v>
      </c>
      <c r="BO2709" s="6">
        <f>0</f>
        <v>0</v>
      </c>
      <c r="BP2709" s="4" t="s">
        <v>256</v>
      </c>
      <c r="BQ2709" s="4" t="s">
        <v>257</v>
      </c>
      <c r="CE2709" s="4" t="s">
        <v>241</v>
      </c>
      <c r="CF2709" s="4" t="s">
        <v>241</v>
      </c>
      <c r="CJ2709" s="4" t="s">
        <v>276</v>
      </c>
      <c r="CK2709" s="4" t="s">
        <v>259</v>
      </c>
      <c r="CL2709" s="4" t="s">
        <v>241</v>
      </c>
      <c r="CO2709" s="5" t="s">
        <v>260</v>
      </c>
      <c r="CP2709" s="4" t="s">
        <v>241</v>
      </c>
      <c r="CQ2709" s="4" t="s">
        <v>261</v>
      </c>
      <c r="CR2709" s="4" t="s">
        <v>241</v>
      </c>
      <c r="CS2709" s="4" t="s">
        <v>241</v>
      </c>
      <c r="CT2709" s="4">
        <v>0</v>
      </c>
      <c r="CU2709" s="4" t="s">
        <v>262</v>
      </c>
      <c r="CV2709" s="4" t="s">
        <v>263</v>
      </c>
      <c r="CW2709" s="4" t="s">
        <v>263</v>
      </c>
      <c r="CX2709" s="4" t="s">
        <v>264</v>
      </c>
      <c r="DA2709" s="6">
        <f>1</f>
        <v>1</v>
      </c>
      <c r="DC2709" s="4" t="s">
        <v>325</v>
      </c>
      <c r="DD2709" s="4" t="s">
        <v>241</v>
      </c>
      <c r="DF2709" s="4" t="s">
        <v>325</v>
      </c>
      <c r="DG2709" s="6">
        <f>1336</f>
        <v>1336</v>
      </c>
      <c r="DI2709" s="4" t="s">
        <v>241</v>
      </c>
      <c r="DJ2709" s="4" t="s">
        <v>241</v>
      </c>
      <c r="DK2709" s="4" t="s">
        <v>241</v>
      </c>
      <c r="DL2709" s="4" t="s">
        <v>241</v>
      </c>
      <c r="DP2709" s="4" t="s">
        <v>241</v>
      </c>
      <c r="DQ2709" s="4" t="s">
        <v>241</v>
      </c>
      <c r="DR2709" s="4" t="s">
        <v>241</v>
      </c>
      <c r="DS2709" s="4" t="s">
        <v>241</v>
      </c>
      <c r="DV2709" s="4" t="s">
        <v>426</v>
      </c>
      <c r="DW2709" s="4" t="s">
        <v>937</v>
      </c>
      <c r="HO2709" s="4" t="s">
        <v>267</v>
      </c>
    </row>
    <row r="2710" spans="1:223" ht="19.5" customHeight="1" x14ac:dyDescent="0.4">
      <c r="A2710" s="4">
        <v>1</v>
      </c>
      <c r="B2710" s="4" t="s">
        <v>239</v>
      </c>
      <c r="C2710" s="4">
        <v>4413</v>
      </c>
      <c r="D2710" s="4">
        <v>1</v>
      </c>
      <c r="E2710" s="4">
        <v>1</v>
      </c>
      <c r="F2710" s="4" t="s">
        <v>268</v>
      </c>
      <c r="G2710" s="4" t="s">
        <v>241</v>
      </c>
      <c r="H2710" s="4" t="s">
        <v>241</v>
      </c>
      <c r="I2710" s="4" t="s">
        <v>424</v>
      </c>
      <c r="J2710" s="4" t="s">
        <v>274</v>
      </c>
      <c r="K2710" s="4" t="s">
        <v>251</v>
      </c>
      <c r="L2710" s="4" t="s">
        <v>423</v>
      </c>
      <c r="M2710" s="5" t="s">
        <v>944</v>
      </c>
      <c r="N2710" s="6">
        <f>1285</f>
        <v>1285</v>
      </c>
      <c r="O2710" s="4" t="s">
        <v>265</v>
      </c>
      <c r="P2710" s="6">
        <f>1</f>
        <v>1</v>
      </c>
      <c r="Q2710" s="6">
        <f>0</f>
        <v>0</v>
      </c>
      <c r="S2710" s="6">
        <f>0</f>
        <v>0</v>
      </c>
      <c r="T2710" s="6">
        <f>1</f>
        <v>1</v>
      </c>
      <c r="U2710" s="5" t="s">
        <v>245</v>
      </c>
      <c r="V2710" s="4" t="s">
        <v>270</v>
      </c>
      <c r="W2710" s="4" t="s">
        <v>271</v>
      </c>
      <c r="X2710" s="4" t="s">
        <v>273</v>
      </c>
      <c r="Y2710" s="4" t="s">
        <v>241</v>
      </c>
      <c r="AB2710" s="4" t="s">
        <v>241</v>
      </c>
      <c r="AD2710" s="5" t="s">
        <v>241</v>
      </c>
      <c r="AG2710" s="5" t="s">
        <v>246</v>
      </c>
      <c r="AH2710" s="4" t="s">
        <v>241</v>
      </c>
      <c r="AI2710" s="4" t="s">
        <v>247</v>
      </c>
      <c r="AJ2710" s="4" t="s">
        <v>248</v>
      </c>
      <c r="AZ2710" s="4" t="s">
        <v>249</v>
      </c>
      <c r="BA2710" s="4" t="s">
        <v>241</v>
      </c>
      <c r="BB2710" s="4" t="s">
        <v>250</v>
      </c>
      <c r="BC2710" s="4" t="s">
        <v>241</v>
      </c>
      <c r="BD2710" s="4" t="s">
        <v>252</v>
      </c>
      <c r="BE2710" s="4" t="s">
        <v>241</v>
      </c>
      <c r="BI2710" s="4" t="s">
        <v>253</v>
      </c>
      <c r="BJ2710" s="5" t="s">
        <v>246</v>
      </c>
      <c r="BK2710" s="4" t="s">
        <v>254</v>
      </c>
      <c r="BL2710" s="4" t="s">
        <v>255</v>
      </c>
      <c r="BM2710" s="4" t="s">
        <v>241</v>
      </c>
      <c r="BN2710" s="6">
        <f>0</f>
        <v>0</v>
      </c>
      <c r="BO2710" s="6">
        <f>0</f>
        <v>0</v>
      </c>
      <c r="BP2710" s="4" t="s">
        <v>256</v>
      </c>
      <c r="BQ2710" s="4" t="s">
        <v>257</v>
      </c>
      <c r="CE2710" s="4" t="s">
        <v>241</v>
      </c>
      <c r="CF2710" s="4" t="s">
        <v>241</v>
      </c>
      <c r="CJ2710" s="4" t="s">
        <v>276</v>
      </c>
      <c r="CK2710" s="4" t="s">
        <v>259</v>
      </c>
      <c r="CL2710" s="4" t="s">
        <v>241</v>
      </c>
      <c r="CO2710" s="5" t="s">
        <v>260</v>
      </c>
      <c r="CP2710" s="4" t="s">
        <v>241</v>
      </c>
      <c r="CQ2710" s="4" t="s">
        <v>261</v>
      </c>
      <c r="CR2710" s="4" t="s">
        <v>241</v>
      </c>
      <c r="CS2710" s="4" t="s">
        <v>241</v>
      </c>
      <c r="CT2710" s="4">
        <v>0</v>
      </c>
      <c r="CU2710" s="4" t="s">
        <v>262</v>
      </c>
      <c r="CV2710" s="4" t="s">
        <v>263</v>
      </c>
      <c r="CW2710" s="4" t="s">
        <v>263</v>
      </c>
      <c r="CX2710" s="4" t="s">
        <v>264</v>
      </c>
      <c r="DA2710" s="6">
        <f>1</f>
        <v>1</v>
      </c>
      <c r="DC2710" s="4" t="s">
        <v>325</v>
      </c>
      <c r="DD2710" s="4" t="s">
        <v>241</v>
      </c>
      <c r="DF2710" s="4" t="s">
        <v>325</v>
      </c>
      <c r="DG2710" s="6">
        <f>1285</f>
        <v>1285</v>
      </c>
      <c r="DI2710" s="4" t="s">
        <v>241</v>
      </c>
      <c r="DJ2710" s="4" t="s">
        <v>241</v>
      </c>
      <c r="DK2710" s="4" t="s">
        <v>241</v>
      </c>
      <c r="DL2710" s="4" t="s">
        <v>241</v>
      </c>
      <c r="DP2710" s="4" t="s">
        <v>241</v>
      </c>
      <c r="DQ2710" s="4" t="s">
        <v>241</v>
      </c>
      <c r="DR2710" s="4" t="s">
        <v>241</v>
      </c>
      <c r="DS2710" s="4" t="s">
        <v>241</v>
      </c>
      <c r="DV2710" s="4" t="s">
        <v>426</v>
      </c>
      <c r="DW2710" s="4" t="s">
        <v>945</v>
      </c>
      <c r="HO2710" s="4" t="s">
        <v>267</v>
      </c>
    </row>
    <row r="2711" spans="1:223" ht="19.5" customHeight="1" x14ac:dyDescent="0.4">
      <c r="A2711" s="4">
        <v>1</v>
      </c>
      <c r="B2711" s="4" t="s">
        <v>239</v>
      </c>
      <c r="C2711" s="4">
        <v>4414</v>
      </c>
      <c r="D2711" s="4">
        <v>1</v>
      </c>
      <c r="E2711" s="4">
        <v>1</v>
      </c>
      <c r="F2711" s="4" t="s">
        <v>268</v>
      </c>
      <c r="G2711" s="4" t="s">
        <v>241</v>
      </c>
      <c r="H2711" s="4" t="s">
        <v>241</v>
      </c>
      <c r="I2711" s="4" t="s">
        <v>424</v>
      </c>
      <c r="J2711" s="4" t="s">
        <v>274</v>
      </c>
      <c r="K2711" s="4" t="s">
        <v>251</v>
      </c>
      <c r="L2711" s="4" t="s">
        <v>423</v>
      </c>
      <c r="M2711" s="5" t="s">
        <v>950</v>
      </c>
      <c r="N2711" s="6">
        <f>548</f>
        <v>548</v>
      </c>
      <c r="O2711" s="4" t="s">
        <v>265</v>
      </c>
      <c r="P2711" s="6">
        <f>1</f>
        <v>1</v>
      </c>
      <c r="Q2711" s="6">
        <f>0</f>
        <v>0</v>
      </c>
      <c r="S2711" s="6">
        <f>0</f>
        <v>0</v>
      </c>
      <c r="T2711" s="6">
        <f>1</f>
        <v>1</v>
      </c>
      <c r="U2711" s="5" t="s">
        <v>245</v>
      </c>
      <c r="V2711" s="4" t="s">
        <v>270</v>
      </c>
      <c r="W2711" s="4" t="s">
        <v>271</v>
      </c>
      <c r="X2711" s="4" t="s">
        <v>273</v>
      </c>
      <c r="Y2711" s="4" t="s">
        <v>241</v>
      </c>
      <c r="AB2711" s="4" t="s">
        <v>241</v>
      </c>
      <c r="AD2711" s="5" t="s">
        <v>241</v>
      </c>
      <c r="AG2711" s="5" t="s">
        <v>246</v>
      </c>
      <c r="AH2711" s="4" t="s">
        <v>241</v>
      </c>
      <c r="AI2711" s="4" t="s">
        <v>247</v>
      </c>
      <c r="AJ2711" s="4" t="s">
        <v>248</v>
      </c>
      <c r="AZ2711" s="4" t="s">
        <v>249</v>
      </c>
      <c r="BA2711" s="4" t="s">
        <v>241</v>
      </c>
      <c r="BB2711" s="4" t="s">
        <v>250</v>
      </c>
      <c r="BC2711" s="4" t="s">
        <v>241</v>
      </c>
      <c r="BD2711" s="4" t="s">
        <v>252</v>
      </c>
      <c r="BE2711" s="4" t="s">
        <v>241</v>
      </c>
      <c r="BI2711" s="4" t="s">
        <v>253</v>
      </c>
      <c r="BJ2711" s="5" t="s">
        <v>246</v>
      </c>
      <c r="BK2711" s="4" t="s">
        <v>254</v>
      </c>
      <c r="BL2711" s="4" t="s">
        <v>255</v>
      </c>
      <c r="BM2711" s="4" t="s">
        <v>241</v>
      </c>
      <c r="BN2711" s="6">
        <f>0</f>
        <v>0</v>
      </c>
      <c r="BO2711" s="6">
        <f>0</f>
        <v>0</v>
      </c>
      <c r="BP2711" s="4" t="s">
        <v>256</v>
      </c>
      <c r="BQ2711" s="4" t="s">
        <v>257</v>
      </c>
      <c r="CE2711" s="4" t="s">
        <v>241</v>
      </c>
      <c r="CF2711" s="4" t="s">
        <v>241</v>
      </c>
      <c r="CJ2711" s="4" t="s">
        <v>276</v>
      </c>
      <c r="CK2711" s="4" t="s">
        <v>259</v>
      </c>
      <c r="CL2711" s="4" t="s">
        <v>241</v>
      </c>
      <c r="CO2711" s="5" t="s">
        <v>260</v>
      </c>
      <c r="CP2711" s="4" t="s">
        <v>241</v>
      </c>
      <c r="CQ2711" s="4" t="s">
        <v>261</v>
      </c>
      <c r="CR2711" s="4" t="s">
        <v>241</v>
      </c>
      <c r="CS2711" s="4" t="s">
        <v>241</v>
      </c>
      <c r="CT2711" s="4">
        <v>0</v>
      </c>
      <c r="CU2711" s="4" t="s">
        <v>262</v>
      </c>
      <c r="CV2711" s="4" t="s">
        <v>263</v>
      </c>
      <c r="CW2711" s="4" t="s">
        <v>263</v>
      </c>
      <c r="CX2711" s="4" t="s">
        <v>264</v>
      </c>
      <c r="DA2711" s="6">
        <f>1</f>
        <v>1</v>
      </c>
      <c r="DC2711" s="4" t="s">
        <v>325</v>
      </c>
      <c r="DD2711" s="4" t="s">
        <v>241</v>
      </c>
      <c r="DF2711" s="4" t="s">
        <v>325</v>
      </c>
      <c r="DG2711" s="6">
        <f>548</f>
        <v>548</v>
      </c>
      <c r="DI2711" s="4" t="s">
        <v>241</v>
      </c>
      <c r="DJ2711" s="4" t="s">
        <v>241</v>
      </c>
      <c r="DK2711" s="4" t="s">
        <v>241</v>
      </c>
      <c r="DL2711" s="4" t="s">
        <v>241</v>
      </c>
      <c r="DP2711" s="4" t="s">
        <v>241</v>
      </c>
      <c r="DQ2711" s="4" t="s">
        <v>241</v>
      </c>
      <c r="DR2711" s="4" t="s">
        <v>241</v>
      </c>
      <c r="DS2711" s="4" t="s">
        <v>241</v>
      </c>
      <c r="DV2711" s="4" t="s">
        <v>426</v>
      </c>
      <c r="DW2711" s="4" t="s">
        <v>951</v>
      </c>
      <c r="HO2711" s="4" t="s">
        <v>267</v>
      </c>
    </row>
    <row r="2712" spans="1:223" ht="19.5" customHeight="1" x14ac:dyDescent="0.4">
      <c r="A2712" s="4">
        <v>1</v>
      </c>
      <c r="B2712" s="4" t="s">
        <v>239</v>
      </c>
      <c r="C2712" s="4">
        <v>4415</v>
      </c>
      <c r="D2712" s="4">
        <v>1</v>
      </c>
      <c r="E2712" s="4">
        <v>1</v>
      </c>
      <c r="F2712" s="4" t="s">
        <v>268</v>
      </c>
      <c r="G2712" s="4" t="s">
        <v>241</v>
      </c>
      <c r="H2712" s="4" t="s">
        <v>241</v>
      </c>
      <c r="I2712" s="4" t="s">
        <v>424</v>
      </c>
      <c r="J2712" s="4" t="s">
        <v>274</v>
      </c>
      <c r="K2712" s="4" t="s">
        <v>251</v>
      </c>
      <c r="L2712" s="4" t="s">
        <v>423</v>
      </c>
      <c r="M2712" s="5" t="s">
        <v>955</v>
      </c>
      <c r="N2712" s="6">
        <f>980</f>
        <v>980</v>
      </c>
      <c r="O2712" s="4" t="s">
        <v>265</v>
      </c>
      <c r="P2712" s="6">
        <f>1</f>
        <v>1</v>
      </c>
      <c r="Q2712" s="6">
        <f>0</f>
        <v>0</v>
      </c>
      <c r="S2712" s="6">
        <f>0</f>
        <v>0</v>
      </c>
      <c r="T2712" s="6">
        <f>1</f>
        <v>1</v>
      </c>
      <c r="U2712" s="5" t="s">
        <v>245</v>
      </c>
      <c r="V2712" s="4" t="s">
        <v>270</v>
      </c>
      <c r="W2712" s="4" t="s">
        <v>271</v>
      </c>
      <c r="X2712" s="4" t="s">
        <v>273</v>
      </c>
      <c r="Y2712" s="4" t="s">
        <v>241</v>
      </c>
      <c r="AB2712" s="4" t="s">
        <v>241</v>
      </c>
      <c r="AD2712" s="5" t="s">
        <v>241</v>
      </c>
      <c r="AG2712" s="5" t="s">
        <v>246</v>
      </c>
      <c r="AH2712" s="4" t="s">
        <v>241</v>
      </c>
      <c r="AI2712" s="4" t="s">
        <v>247</v>
      </c>
      <c r="AJ2712" s="4" t="s">
        <v>248</v>
      </c>
      <c r="AZ2712" s="4" t="s">
        <v>249</v>
      </c>
      <c r="BA2712" s="4" t="s">
        <v>241</v>
      </c>
      <c r="BB2712" s="4" t="s">
        <v>250</v>
      </c>
      <c r="BC2712" s="4" t="s">
        <v>241</v>
      </c>
      <c r="BD2712" s="4" t="s">
        <v>252</v>
      </c>
      <c r="BE2712" s="4" t="s">
        <v>241</v>
      </c>
      <c r="BI2712" s="4" t="s">
        <v>253</v>
      </c>
      <c r="BJ2712" s="5" t="s">
        <v>246</v>
      </c>
      <c r="BK2712" s="4" t="s">
        <v>254</v>
      </c>
      <c r="BL2712" s="4" t="s">
        <v>255</v>
      </c>
      <c r="BM2712" s="4" t="s">
        <v>241</v>
      </c>
      <c r="BN2712" s="6">
        <f>0</f>
        <v>0</v>
      </c>
      <c r="BO2712" s="6">
        <f>0</f>
        <v>0</v>
      </c>
      <c r="BP2712" s="4" t="s">
        <v>256</v>
      </c>
      <c r="BQ2712" s="4" t="s">
        <v>257</v>
      </c>
      <c r="CE2712" s="4" t="s">
        <v>241</v>
      </c>
      <c r="CF2712" s="4" t="s">
        <v>241</v>
      </c>
      <c r="CJ2712" s="4" t="s">
        <v>276</v>
      </c>
      <c r="CK2712" s="4" t="s">
        <v>259</v>
      </c>
      <c r="CL2712" s="4" t="s">
        <v>241</v>
      </c>
      <c r="CO2712" s="5" t="s">
        <v>260</v>
      </c>
      <c r="CP2712" s="4" t="s">
        <v>241</v>
      </c>
      <c r="CQ2712" s="4" t="s">
        <v>261</v>
      </c>
      <c r="CR2712" s="4" t="s">
        <v>241</v>
      </c>
      <c r="CS2712" s="4" t="s">
        <v>241</v>
      </c>
      <c r="CT2712" s="4">
        <v>0</v>
      </c>
      <c r="CU2712" s="4" t="s">
        <v>262</v>
      </c>
      <c r="CV2712" s="4" t="s">
        <v>263</v>
      </c>
      <c r="CW2712" s="4" t="s">
        <v>263</v>
      </c>
      <c r="CX2712" s="4" t="s">
        <v>264</v>
      </c>
      <c r="DA2712" s="6">
        <f>1</f>
        <v>1</v>
      </c>
      <c r="DC2712" s="4" t="s">
        <v>325</v>
      </c>
      <c r="DD2712" s="4" t="s">
        <v>241</v>
      </c>
      <c r="DF2712" s="4" t="s">
        <v>325</v>
      </c>
      <c r="DG2712" s="6">
        <f>980</f>
        <v>980</v>
      </c>
      <c r="DI2712" s="4" t="s">
        <v>241</v>
      </c>
      <c r="DJ2712" s="4" t="s">
        <v>241</v>
      </c>
      <c r="DK2712" s="4" t="s">
        <v>241</v>
      </c>
      <c r="DL2712" s="4" t="s">
        <v>241</v>
      </c>
      <c r="DP2712" s="4" t="s">
        <v>241</v>
      </c>
      <c r="DQ2712" s="4" t="s">
        <v>241</v>
      </c>
      <c r="DR2712" s="4" t="s">
        <v>241</v>
      </c>
      <c r="DS2712" s="4" t="s">
        <v>241</v>
      </c>
      <c r="DV2712" s="4" t="s">
        <v>426</v>
      </c>
      <c r="DW2712" s="4" t="s">
        <v>956</v>
      </c>
      <c r="HO2712" s="4" t="s">
        <v>267</v>
      </c>
    </row>
    <row r="2713" spans="1:223" ht="19.5" customHeight="1" x14ac:dyDescent="0.4">
      <c r="A2713" s="4">
        <v>1</v>
      </c>
      <c r="B2713" s="4" t="s">
        <v>239</v>
      </c>
      <c r="C2713" s="4">
        <v>4416</v>
      </c>
      <c r="D2713" s="4">
        <v>1</v>
      </c>
      <c r="E2713" s="4">
        <v>1</v>
      </c>
      <c r="F2713" s="4" t="s">
        <v>268</v>
      </c>
      <c r="G2713" s="4" t="s">
        <v>241</v>
      </c>
      <c r="H2713" s="4" t="s">
        <v>241</v>
      </c>
      <c r="I2713" s="4" t="s">
        <v>424</v>
      </c>
      <c r="J2713" s="4" t="s">
        <v>274</v>
      </c>
      <c r="K2713" s="4" t="s">
        <v>251</v>
      </c>
      <c r="L2713" s="4" t="s">
        <v>423</v>
      </c>
      <c r="M2713" s="5" t="s">
        <v>961</v>
      </c>
      <c r="N2713" s="6">
        <f>268</f>
        <v>268</v>
      </c>
      <c r="O2713" s="4" t="s">
        <v>265</v>
      </c>
      <c r="P2713" s="6">
        <f>1</f>
        <v>1</v>
      </c>
      <c r="Q2713" s="6">
        <f>0</f>
        <v>0</v>
      </c>
      <c r="S2713" s="6">
        <f>0</f>
        <v>0</v>
      </c>
      <c r="T2713" s="6">
        <f>1</f>
        <v>1</v>
      </c>
      <c r="U2713" s="5" t="s">
        <v>245</v>
      </c>
      <c r="V2713" s="4" t="s">
        <v>270</v>
      </c>
      <c r="W2713" s="4" t="s">
        <v>271</v>
      </c>
      <c r="X2713" s="4" t="s">
        <v>273</v>
      </c>
      <c r="Y2713" s="4" t="s">
        <v>241</v>
      </c>
      <c r="AB2713" s="4" t="s">
        <v>241</v>
      </c>
      <c r="AD2713" s="5" t="s">
        <v>241</v>
      </c>
      <c r="AG2713" s="5" t="s">
        <v>246</v>
      </c>
      <c r="AH2713" s="4" t="s">
        <v>241</v>
      </c>
      <c r="AI2713" s="4" t="s">
        <v>247</v>
      </c>
      <c r="AJ2713" s="4" t="s">
        <v>248</v>
      </c>
      <c r="AZ2713" s="4" t="s">
        <v>249</v>
      </c>
      <c r="BA2713" s="4" t="s">
        <v>241</v>
      </c>
      <c r="BB2713" s="4" t="s">
        <v>250</v>
      </c>
      <c r="BC2713" s="4" t="s">
        <v>241</v>
      </c>
      <c r="BD2713" s="4" t="s">
        <v>252</v>
      </c>
      <c r="BE2713" s="4" t="s">
        <v>241</v>
      </c>
      <c r="BI2713" s="4" t="s">
        <v>253</v>
      </c>
      <c r="BJ2713" s="5" t="s">
        <v>246</v>
      </c>
      <c r="BK2713" s="4" t="s">
        <v>254</v>
      </c>
      <c r="BL2713" s="4" t="s">
        <v>255</v>
      </c>
      <c r="BM2713" s="4" t="s">
        <v>241</v>
      </c>
      <c r="BN2713" s="6">
        <f>0</f>
        <v>0</v>
      </c>
      <c r="BO2713" s="6">
        <f>0</f>
        <v>0</v>
      </c>
      <c r="BP2713" s="4" t="s">
        <v>256</v>
      </c>
      <c r="BQ2713" s="4" t="s">
        <v>257</v>
      </c>
      <c r="CE2713" s="4" t="s">
        <v>241</v>
      </c>
      <c r="CF2713" s="4" t="s">
        <v>241</v>
      </c>
      <c r="CJ2713" s="4" t="s">
        <v>276</v>
      </c>
      <c r="CK2713" s="4" t="s">
        <v>259</v>
      </c>
      <c r="CL2713" s="4" t="s">
        <v>241</v>
      </c>
      <c r="CO2713" s="5" t="s">
        <v>260</v>
      </c>
      <c r="CP2713" s="4" t="s">
        <v>241</v>
      </c>
      <c r="CQ2713" s="4" t="s">
        <v>261</v>
      </c>
      <c r="CR2713" s="4" t="s">
        <v>241</v>
      </c>
      <c r="CS2713" s="4" t="s">
        <v>241</v>
      </c>
      <c r="CT2713" s="4">
        <v>0</v>
      </c>
      <c r="CU2713" s="4" t="s">
        <v>262</v>
      </c>
      <c r="CV2713" s="4" t="s">
        <v>263</v>
      </c>
      <c r="CW2713" s="4" t="s">
        <v>263</v>
      </c>
      <c r="CX2713" s="4" t="s">
        <v>264</v>
      </c>
      <c r="DA2713" s="6">
        <f>1</f>
        <v>1</v>
      </c>
      <c r="DC2713" s="4" t="s">
        <v>325</v>
      </c>
      <c r="DD2713" s="4" t="s">
        <v>241</v>
      </c>
      <c r="DF2713" s="4" t="s">
        <v>325</v>
      </c>
      <c r="DG2713" s="6">
        <f>268</f>
        <v>268</v>
      </c>
      <c r="DI2713" s="4" t="s">
        <v>241</v>
      </c>
      <c r="DJ2713" s="4" t="s">
        <v>241</v>
      </c>
      <c r="DK2713" s="4" t="s">
        <v>241</v>
      </c>
      <c r="DL2713" s="4" t="s">
        <v>241</v>
      </c>
      <c r="DP2713" s="4" t="s">
        <v>241</v>
      </c>
      <c r="DQ2713" s="4" t="s">
        <v>241</v>
      </c>
      <c r="DR2713" s="4" t="s">
        <v>241</v>
      </c>
      <c r="DS2713" s="4" t="s">
        <v>241</v>
      </c>
      <c r="DV2713" s="4" t="s">
        <v>426</v>
      </c>
      <c r="DW2713" s="4" t="s">
        <v>962</v>
      </c>
      <c r="HO2713" s="4" t="s">
        <v>267</v>
      </c>
    </row>
    <row r="2714" spans="1:223" ht="19.5" customHeight="1" x14ac:dyDescent="0.4">
      <c r="A2714" s="4">
        <v>1</v>
      </c>
      <c r="B2714" s="4" t="s">
        <v>239</v>
      </c>
      <c r="C2714" s="4">
        <v>4417</v>
      </c>
      <c r="D2714" s="4">
        <v>1</v>
      </c>
      <c r="E2714" s="4">
        <v>1</v>
      </c>
      <c r="F2714" s="4" t="s">
        <v>268</v>
      </c>
      <c r="G2714" s="4" t="s">
        <v>241</v>
      </c>
      <c r="H2714" s="4" t="s">
        <v>241</v>
      </c>
      <c r="I2714" s="4" t="s">
        <v>424</v>
      </c>
      <c r="J2714" s="4" t="s">
        <v>274</v>
      </c>
      <c r="K2714" s="4" t="s">
        <v>251</v>
      </c>
      <c r="L2714" s="4" t="s">
        <v>423</v>
      </c>
      <c r="M2714" s="5" t="s">
        <v>3190</v>
      </c>
      <c r="N2714" s="6">
        <f>510</f>
        <v>510</v>
      </c>
      <c r="O2714" s="4" t="s">
        <v>265</v>
      </c>
      <c r="P2714" s="6">
        <f>1</f>
        <v>1</v>
      </c>
      <c r="Q2714" s="6">
        <f>0</f>
        <v>0</v>
      </c>
      <c r="S2714" s="6">
        <f>0</f>
        <v>0</v>
      </c>
      <c r="T2714" s="6">
        <f>1</f>
        <v>1</v>
      </c>
      <c r="U2714" s="5" t="s">
        <v>245</v>
      </c>
      <c r="V2714" s="4" t="s">
        <v>270</v>
      </c>
      <c r="W2714" s="4" t="s">
        <v>271</v>
      </c>
      <c r="X2714" s="4" t="s">
        <v>273</v>
      </c>
      <c r="Y2714" s="4" t="s">
        <v>241</v>
      </c>
      <c r="AB2714" s="4" t="s">
        <v>241</v>
      </c>
      <c r="AD2714" s="5" t="s">
        <v>241</v>
      </c>
      <c r="AG2714" s="5" t="s">
        <v>246</v>
      </c>
      <c r="AH2714" s="4" t="s">
        <v>241</v>
      </c>
      <c r="AI2714" s="4" t="s">
        <v>247</v>
      </c>
      <c r="AJ2714" s="4" t="s">
        <v>248</v>
      </c>
      <c r="AZ2714" s="4" t="s">
        <v>249</v>
      </c>
      <c r="BA2714" s="4" t="s">
        <v>241</v>
      </c>
      <c r="BB2714" s="4" t="s">
        <v>250</v>
      </c>
      <c r="BC2714" s="4" t="s">
        <v>241</v>
      </c>
      <c r="BD2714" s="4" t="s">
        <v>252</v>
      </c>
      <c r="BE2714" s="4" t="s">
        <v>241</v>
      </c>
      <c r="BI2714" s="4" t="s">
        <v>253</v>
      </c>
      <c r="BJ2714" s="5" t="s">
        <v>246</v>
      </c>
      <c r="BK2714" s="4" t="s">
        <v>254</v>
      </c>
      <c r="BL2714" s="4" t="s">
        <v>255</v>
      </c>
      <c r="BM2714" s="4" t="s">
        <v>241</v>
      </c>
      <c r="BN2714" s="6">
        <f>0</f>
        <v>0</v>
      </c>
      <c r="BO2714" s="6">
        <f>0</f>
        <v>0</v>
      </c>
      <c r="BP2714" s="4" t="s">
        <v>256</v>
      </c>
      <c r="BQ2714" s="4" t="s">
        <v>257</v>
      </c>
      <c r="CE2714" s="4" t="s">
        <v>241</v>
      </c>
      <c r="CF2714" s="4" t="s">
        <v>241</v>
      </c>
      <c r="CJ2714" s="4" t="s">
        <v>276</v>
      </c>
      <c r="CK2714" s="4" t="s">
        <v>259</v>
      </c>
      <c r="CL2714" s="4" t="s">
        <v>241</v>
      </c>
      <c r="CO2714" s="5" t="s">
        <v>260</v>
      </c>
      <c r="CP2714" s="4" t="s">
        <v>241</v>
      </c>
      <c r="CQ2714" s="4" t="s">
        <v>261</v>
      </c>
      <c r="CR2714" s="4" t="s">
        <v>241</v>
      </c>
      <c r="CS2714" s="4" t="s">
        <v>241</v>
      </c>
      <c r="CT2714" s="4">
        <v>0</v>
      </c>
      <c r="CU2714" s="4" t="s">
        <v>262</v>
      </c>
      <c r="CV2714" s="4" t="s">
        <v>263</v>
      </c>
      <c r="CW2714" s="4" t="s">
        <v>263</v>
      </c>
      <c r="CX2714" s="4" t="s">
        <v>264</v>
      </c>
      <c r="DA2714" s="6">
        <f>1</f>
        <v>1</v>
      </c>
      <c r="DC2714" s="4" t="s">
        <v>325</v>
      </c>
      <c r="DD2714" s="4" t="s">
        <v>241</v>
      </c>
      <c r="DF2714" s="4" t="s">
        <v>325</v>
      </c>
      <c r="DG2714" s="6">
        <f>510</f>
        <v>510</v>
      </c>
      <c r="DI2714" s="4" t="s">
        <v>241</v>
      </c>
      <c r="DJ2714" s="4" t="s">
        <v>241</v>
      </c>
      <c r="DK2714" s="4" t="s">
        <v>241</v>
      </c>
      <c r="DL2714" s="4" t="s">
        <v>241</v>
      </c>
      <c r="DP2714" s="4" t="s">
        <v>241</v>
      </c>
      <c r="DQ2714" s="4" t="s">
        <v>241</v>
      </c>
      <c r="DR2714" s="4" t="s">
        <v>241</v>
      </c>
      <c r="DS2714" s="4" t="s">
        <v>241</v>
      </c>
      <c r="DV2714" s="4" t="s">
        <v>426</v>
      </c>
      <c r="DW2714" s="4" t="s">
        <v>2463</v>
      </c>
      <c r="HO2714" s="4" t="s">
        <v>267</v>
      </c>
    </row>
    <row r="2715" spans="1:223" ht="19.5" customHeight="1" x14ac:dyDescent="0.4">
      <c r="A2715" s="4">
        <v>1</v>
      </c>
      <c r="B2715" s="4" t="s">
        <v>239</v>
      </c>
      <c r="C2715" s="4">
        <v>4418</v>
      </c>
      <c r="D2715" s="4">
        <v>1</v>
      </c>
      <c r="E2715" s="4">
        <v>1</v>
      </c>
      <c r="F2715" s="4" t="s">
        <v>268</v>
      </c>
      <c r="G2715" s="4" t="s">
        <v>241</v>
      </c>
      <c r="H2715" s="4" t="s">
        <v>241</v>
      </c>
      <c r="I2715" s="4" t="s">
        <v>424</v>
      </c>
      <c r="J2715" s="4" t="s">
        <v>274</v>
      </c>
      <c r="K2715" s="4" t="s">
        <v>251</v>
      </c>
      <c r="L2715" s="4" t="s">
        <v>423</v>
      </c>
      <c r="M2715" s="5" t="s">
        <v>3194</v>
      </c>
      <c r="N2715" s="6">
        <f>381</f>
        <v>381</v>
      </c>
      <c r="O2715" s="4" t="s">
        <v>265</v>
      </c>
      <c r="P2715" s="6">
        <f>1</f>
        <v>1</v>
      </c>
      <c r="Q2715" s="6">
        <f>0</f>
        <v>0</v>
      </c>
      <c r="S2715" s="6">
        <f>0</f>
        <v>0</v>
      </c>
      <c r="T2715" s="6">
        <f>1</f>
        <v>1</v>
      </c>
      <c r="U2715" s="5" t="s">
        <v>245</v>
      </c>
      <c r="V2715" s="4" t="s">
        <v>270</v>
      </c>
      <c r="W2715" s="4" t="s">
        <v>271</v>
      </c>
      <c r="X2715" s="4" t="s">
        <v>273</v>
      </c>
      <c r="Y2715" s="4" t="s">
        <v>241</v>
      </c>
      <c r="AB2715" s="4" t="s">
        <v>241</v>
      </c>
      <c r="AD2715" s="5" t="s">
        <v>241</v>
      </c>
      <c r="AG2715" s="5" t="s">
        <v>246</v>
      </c>
      <c r="AH2715" s="4" t="s">
        <v>241</v>
      </c>
      <c r="AI2715" s="4" t="s">
        <v>247</v>
      </c>
      <c r="AJ2715" s="4" t="s">
        <v>248</v>
      </c>
      <c r="AZ2715" s="4" t="s">
        <v>249</v>
      </c>
      <c r="BA2715" s="4" t="s">
        <v>241</v>
      </c>
      <c r="BB2715" s="4" t="s">
        <v>250</v>
      </c>
      <c r="BC2715" s="4" t="s">
        <v>241</v>
      </c>
      <c r="BD2715" s="4" t="s">
        <v>252</v>
      </c>
      <c r="BE2715" s="4" t="s">
        <v>241</v>
      </c>
      <c r="BI2715" s="4" t="s">
        <v>253</v>
      </c>
      <c r="BJ2715" s="5" t="s">
        <v>246</v>
      </c>
      <c r="BK2715" s="4" t="s">
        <v>254</v>
      </c>
      <c r="BL2715" s="4" t="s">
        <v>255</v>
      </c>
      <c r="BM2715" s="4" t="s">
        <v>241</v>
      </c>
      <c r="BN2715" s="6">
        <f>0</f>
        <v>0</v>
      </c>
      <c r="BO2715" s="6">
        <f>0</f>
        <v>0</v>
      </c>
      <c r="BP2715" s="4" t="s">
        <v>256</v>
      </c>
      <c r="BQ2715" s="4" t="s">
        <v>257</v>
      </c>
      <c r="CE2715" s="4" t="s">
        <v>241</v>
      </c>
      <c r="CF2715" s="4" t="s">
        <v>241</v>
      </c>
      <c r="CJ2715" s="4" t="s">
        <v>276</v>
      </c>
      <c r="CK2715" s="4" t="s">
        <v>259</v>
      </c>
      <c r="CL2715" s="4" t="s">
        <v>241</v>
      </c>
      <c r="CO2715" s="5" t="s">
        <v>260</v>
      </c>
      <c r="CP2715" s="4" t="s">
        <v>241</v>
      </c>
      <c r="CQ2715" s="4" t="s">
        <v>261</v>
      </c>
      <c r="CR2715" s="4" t="s">
        <v>241</v>
      </c>
      <c r="CS2715" s="4" t="s">
        <v>241</v>
      </c>
      <c r="CT2715" s="4">
        <v>0</v>
      </c>
      <c r="CU2715" s="4" t="s">
        <v>262</v>
      </c>
      <c r="CV2715" s="4" t="s">
        <v>263</v>
      </c>
      <c r="CW2715" s="4" t="s">
        <v>263</v>
      </c>
      <c r="CX2715" s="4" t="s">
        <v>264</v>
      </c>
      <c r="DA2715" s="6">
        <f>1</f>
        <v>1</v>
      </c>
      <c r="DC2715" s="4" t="s">
        <v>325</v>
      </c>
      <c r="DD2715" s="4" t="s">
        <v>241</v>
      </c>
      <c r="DF2715" s="4" t="s">
        <v>325</v>
      </c>
      <c r="DG2715" s="6">
        <f>381</f>
        <v>381</v>
      </c>
      <c r="DI2715" s="4" t="s">
        <v>241</v>
      </c>
      <c r="DJ2715" s="4" t="s">
        <v>241</v>
      </c>
      <c r="DK2715" s="4" t="s">
        <v>241</v>
      </c>
      <c r="DL2715" s="4" t="s">
        <v>241</v>
      </c>
      <c r="DP2715" s="4" t="s">
        <v>241</v>
      </c>
      <c r="DQ2715" s="4" t="s">
        <v>241</v>
      </c>
      <c r="DR2715" s="4" t="s">
        <v>241</v>
      </c>
      <c r="DS2715" s="4" t="s">
        <v>241</v>
      </c>
      <c r="DV2715" s="4" t="s">
        <v>426</v>
      </c>
      <c r="DW2715" s="4" t="s">
        <v>2461</v>
      </c>
      <c r="HO2715" s="4" t="s">
        <v>267</v>
      </c>
    </row>
    <row r="2716" spans="1:223" ht="19.5" customHeight="1" x14ac:dyDescent="0.4">
      <c r="A2716" s="4">
        <v>1</v>
      </c>
      <c r="B2716" s="4" t="s">
        <v>239</v>
      </c>
      <c r="C2716" s="4">
        <v>4419</v>
      </c>
      <c r="D2716" s="4">
        <v>1</v>
      </c>
      <c r="E2716" s="4">
        <v>1</v>
      </c>
      <c r="F2716" s="4" t="s">
        <v>268</v>
      </c>
      <c r="G2716" s="4" t="s">
        <v>241</v>
      </c>
      <c r="H2716" s="4" t="s">
        <v>241</v>
      </c>
      <c r="I2716" s="4" t="s">
        <v>424</v>
      </c>
      <c r="J2716" s="4" t="s">
        <v>274</v>
      </c>
      <c r="K2716" s="4" t="s">
        <v>251</v>
      </c>
      <c r="L2716" s="4" t="s">
        <v>423</v>
      </c>
      <c r="M2716" s="5" t="s">
        <v>3197</v>
      </c>
      <c r="N2716" s="6">
        <f>267</f>
        <v>267</v>
      </c>
      <c r="O2716" s="4" t="s">
        <v>265</v>
      </c>
      <c r="P2716" s="6">
        <f>1</f>
        <v>1</v>
      </c>
      <c r="Q2716" s="6">
        <f>0</f>
        <v>0</v>
      </c>
      <c r="S2716" s="6">
        <f>0</f>
        <v>0</v>
      </c>
      <c r="T2716" s="6">
        <f>1</f>
        <v>1</v>
      </c>
      <c r="U2716" s="5" t="s">
        <v>245</v>
      </c>
      <c r="V2716" s="4" t="s">
        <v>270</v>
      </c>
      <c r="W2716" s="4" t="s">
        <v>271</v>
      </c>
      <c r="X2716" s="4" t="s">
        <v>273</v>
      </c>
      <c r="Y2716" s="4" t="s">
        <v>241</v>
      </c>
      <c r="AB2716" s="4" t="s">
        <v>241</v>
      </c>
      <c r="AD2716" s="5" t="s">
        <v>241</v>
      </c>
      <c r="AG2716" s="5" t="s">
        <v>246</v>
      </c>
      <c r="AH2716" s="4" t="s">
        <v>241</v>
      </c>
      <c r="AI2716" s="4" t="s">
        <v>247</v>
      </c>
      <c r="AJ2716" s="4" t="s">
        <v>248</v>
      </c>
      <c r="AZ2716" s="4" t="s">
        <v>249</v>
      </c>
      <c r="BA2716" s="4" t="s">
        <v>241</v>
      </c>
      <c r="BB2716" s="4" t="s">
        <v>250</v>
      </c>
      <c r="BC2716" s="4" t="s">
        <v>241</v>
      </c>
      <c r="BD2716" s="4" t="s">
        <v>252</v>
      </c>
      <c r="BE2716" s="4" t="s">
        <v>241</v>
      </c>
      <c r="BI2716" s="4" t="s">
        <v>253</v>
      </c>
      <c r="BJ2716" s="5" t="s">
        <v>246</v>
      </c>
      <c r="BK2716" s="4" t="s">
        <v>254</v>
      </c>
      <c r="BL2716" s="4" t="s">
        <v>255</v>
      </c>
      <c r="BM2716" s="4" t="s">
        <v>241</v>
      </c>
      <c r="BN2716" s="6">
        <f>0</f>
        <v>0</v>
      </c>
      <c r="BO2716" s="6">
        <f>0</f>
        <v>0</v>
      </c>
      <c r="BP2716" s="4" t="s">
        <v>256</v>
      </c>
      <c r="BQ2716" s="4" t="s">
        <v>257</v>
      </c>
      <c r="CE2716" s="4" t="s">
        <v>241</v>
      </c>
      <c r="CF2716" s="4" t="s">
        <v>241</v>
      </c>
      <c r="CJ2716" s="4" t="s">
        <v>276</v>
      </c>
      <c r="CK2716" s="4" t="s">
        <v>259</v>
      </c>
      <c r="CL2716" s="4" t="s">
        <v>241</v>
      </c>
      <c r="CO2716" s="5" t="s">
        <v>260</v>
      </c>
      <c r="CP2716" s="4" t="s">
        <v>241</v>
      </c>
      <c r="CQ2716" s="4" t="s">
        <v>261</v>
      </c>
      <c r="CR2716" s="4" t="s">
        <v>241</v>
      </c>
      <c r="CS2716" s="4" t="s">
        <v>241</v>
      </c>
      <c r="CT2716" s="4">
        <v>0</v>
      </c>
      <c r="CU2716" s="4" t="s">
        <v>262</v>
      </c>
      <c r="CV2716" s="4" t="s">
        <v>263</v>
      </c>
      <c r="CW2716" s="4" t="s">
        <v>263</v>
      </c>
      <c r="CX2716" s="4" t="s">
        <v>264</v>
      </c>
      <c r="DA2716" s="6">
        <f>1</f>
        <v>1</v>
      </c>
      <c r="DC2716" s="4" t="s">
        <v>325</v>
      </c>
      <c r="DD2716" s="4" t="s">
        <v>241</v>
      </c>
      <c r="DF2716" s="4" t="s">
        <v>325</v>
      </c>
      <c r="DG2716" s="6">
        <f>267</f>
        <v>267</v>
      </c>
      <c r="DI2716" s="4" t="s">
        <v>241</v>
      </c>
      <c r="DJ2716" s="4" t="s">
        <v>241</v>
      </c>
      <c r="DK2716" s="4" t="s">
        <v>241</v>
      </c>
      <c r="DL2716" s="4" t="s">
        <v>241</v>
      </c>
      <c r="DP2716" s="4" t="s">
        <v>241</v>
      </c>
      <c r="DQ2716" s="4" t="s">
        <v>241</v>
      </c>
      <c r="DR2716" s="4" t="s">
        <v>241</v>
      </c>
      <c r="DS2716" s="4" t="s">
        <v>241</v>
      </c>
      <c r="DV2716" s="4" t="s">
        <v>426</v>
      </c>
      <c r="DW2716" s="4" t="s">
        <v>2459</v>
      </c>
      <c r="HO2716" s="4" t="s">
        <v>267</v>
      </c>
    </row>
    <row r="2717" spans="1:223" ht="19.5" customHeight="1" x14ac:dyDescent="0.4">
      <c r="A2717" s="4">
        <v>1</v>
      </c>
      <c r="B2717" s="4" t="s">
        <v>239</v>
      </c>
      <c r="C2717" s="4">
        <v>4420</v>
      </c>
      <c r="D2717" s="4">
        <v>1</v>
      </c>
      <c r="E2717" s="4">
        <v>1</v>
      </c>
      <c r="F2717" s="4" t="s">
        <v>268</v>
      </c>
      <c r="G2717" s="4" t="s">
        <v>241</v>
      </c>
      <c r="H2717" s="4" t="s">
        <v>241</v>
      </c>
      <c r="I2717" s="4" t="s">
        <v>424</v>
      </c>
      <c r="J2717" s="4" t="s">
        <v>274</v>
      </c>
      <c r="K2717" s="4" t="s">
        <v>251</v>
      </c>
      <c r="L2717" s="4" t="s">
        <v>423</v>
      </c>
      <c r="M2717" s="5" t="s">
        <v>3200</v>
      </c>
      <c r="N2717" s="6">
        <f>743</f>
        <v>743</v>
      </c>
      <c r="O2717" s="4" t="s">
        <v>265</v>
      </c>
      <c r="P2717" s="6">
        <f>1</f>
        <v>1</v>
      </c>
      <c r="Q2717" s="6">
        <f>0</f>
        <v>0</v>
      </c>
      <c r="S2717" s="6">
        <f>0</f>
        <v>0</v>
      </c>
      <c r="T2717" s="6">
        <f>1</f>
        <v>1</v>
      </c>
      <c r="U2717" s="5" t="s">
        <v>245</v>
      </c>
      <c r="V2717" s="4" t="s">
        <v>270</v>
      </c>
      <c r="W2717" s="4" t="s">
        <v>271</v>
      </c>
      <c r="X2717" s="4" t="s">
        <v>273</v>
      </c>
      <c r="Y2717" s="4" t="s">
        <v>241</v>
      </c>
      <c r="AB2717" s="4" t="s">
        <v>241</v>
      </c>
      <c r="AD2717" s="5" t="s">
        <v>241</v>
      </c>
      <c r="AG2717" s="5" t="s">
        <v>246</v>
      </c>
      <c r="AH2717" s="4" t="s">
        <v>241</v>
      </c>
      <c r="AI2717" s="4" t="s">
        <v>247</v>
      </c>
      <c r="AJ2717" s="4" t="s">
        <v>248</v>
      </c>
      <c r="AZ2717" s="4" t="s">
        <v>249</v>
      </c>
      <c r="BA2717" s="4" t="s">
        <v>241</v>
      </c>
      <c r="BB2717" s="4" t="s">
        <v>250</v>
      </c>
      <c r="BC2717" s="4" t="s">
        <v>241</v>
      </c>
      <c r="BD2717" s="4" t="s">
        <v>252</v>
      </c>
      <c r="BE2717" s="4" t="s">
        <v>241</v>
      </c>
      <c r="BI2717" s="4" t="s">
        <v>253</v>
      </c>
      <c r="BJ2717" s="5" t="s">
        <v>246</v>
      </c>
      <c r="BK2717" s="4" t="s">
        <v>254</v>
      </c>
      <c r="BL2717" s="4" t="s">
        <v>255</v>
      </c>
      <c r="BM2717" s="4" t="s">
        <v>241</v>
      </c>
      <c r="BN2717" s="6">
        <f>0</f>
        <v>0</v>
      </c>
      <c r="BO2717" s="6">
        <f>0</f>
        <v>0</v>
      </c>
      <c r="BP2717" s="4" t="s">
        <v>256</v>
      </c>
      <c r="BQ2717" s="4" t="s">
        <v>257</v>
      </c>
      <c r="CE2717" s="4" t="s">
        <v>241</v>
      </c>
      <c r="CF2717" s="4" t="s">
        <v>241</v>
      </c>
      <c r="CJ2717" s="4" t="s">
        <v>276</v>
      </c>
      <c r="CK2717" s="4" t="s">
        <v>259</v>
      </c>
      <c r="CL2717" s="4" t="s">
        <v>241</v>
      </c>
      <c r="CO2717" s="5" t="s">
        <v>260</v>
      </c>
      <c r="CP2717" s="4" t="s">
        <v>241</v>
      </c>
      <c r="CQ2717" s="4" t="s">
        <v>261</v>
      </c>
      <c r="CR2717" s="4" t="s">
        <v>241</v>
      </c>
      <c r="CS2717" s="4" t="s">
        <v>241</v>
      </c>
      <c r="CT2717" s="4">
        <v>0</v>
      </c>
      <c r="CU2717" s="4" t="s">
        <v>262</v>
      </c>
      <c r="CV2717" s="4" t="s">
        <v>263</v>
      </c>
      <c r="CW2717" s="4" t="s">
        <v>263</v>
      </c>
      <c r="CX2717" s="4" t="s">
        <v>264</v>
      </c>
      <c r="DA2717" s="6">
        <f>1</f>
        <v>1</v>
      </c>
      <c r="DC2717" s="4" t="s">
        <v>325</v>
      </c>
      <c r="DD2717" s="4" t="s">
        <v>241</v>
      </c>
      <c r="DF2717" s="4" t="s">
        <v>325</v>
      </c>
      <c r="DG2717" s="6">
        <f>743</f>
        <v>743</v>
      </c>
      <c r="DI2717" s="4" t="s">
        <v>241</v>
      </c>
      <c r="DJ2717" s="4" t="s">
        <v>241</v>
      </c>
      <c r="DK2717" s="4" t="s">
        <v>241</v>
      </c>
      <c r="DL2717" s="4" t="s">
        <v>241</v>
      </c>
      <c r="DP2717" s="4" t="s">
        <v>241</v>
      </c>
      <c r="DQ2717" s="4" t="s">
        <v>241</v>
      </c>
      <c r="DR2717" s="4" t="s">
        <v>241</v>
      </c>
      <c r="DS2717" s="4" t="s">
        <v>241</v>
      </c>
      <c r="DV2717" s="4" t="s">
        <v>426</v>
      </c>
      <c r="DW2717" s="4" t="s">
        <v>2457</v>
      </c>
      <c r="HO2717" s="4" t="s">
        <v>267</v>
      </c>
    </row>
    <row r="2718" spans="1:223" ht="19.5" customHeight="1" x14ac:dyDescent="0.4">
      <c r="A2718" s="4">
        <v>1</v>
      </c>
      <c r="B2718" s="4" t="s">
        <v>239</v>
      </c>
      <c r="C2718" s="4">
        <v>4421</v>
      </c>
      <c r="D2718" s="4">
        <v>1</v>
      </c>
      <c r="E2718" s="4">
        <v>1</v>
      </c>
      <c r="F2718" s="4" t="s">
        <v>268</v>
      </c>
      <c r="G2718" s="4" t="s">
        <v>241</v>
      </c>
      <c r="H2718" s="4" t="s">
        <v>241</v>
      </c>
      <c r="I2718" s="4" t="s">
        <v>424</v>
      </c>
      <c r="J2718" s="4" t="s">
        <v>274</v>
      </c>
      <c r="K2718" s="4" t="s">
        <v>251</v>
      </c>
      <c r="L2718" s="4" t="s">
        <v>423</v>
      </c>
      <c r="M2718" s="5" t="s">
        <v>3205</v>
      </c>
      <c r="N2718" s="6">
        <f>478</f>
        <v>478</v>
      </c>
      <c r="O2718" s="4" t="s">
        <v>265</v>
      </c>
      <c r="P2718" s="6">
        <f>1</f>
        <v>1</v>
      </c>
      <c r="Q2718" s="6">
        <f>0</f>
        <v>0</v>
      </c>
      <c r="S2718" s="6">
        <f>0</f>
        <v>0</v>
      </c>
      <c r="T2718" s="6">
        <f>1</f>
        <v>1</v>
      </c>
      <c r="U2718" s="5" t="s">
        <v>245</v>
      </c>
      <c r="V2718" s="4" t="s">
        <v>270</v>
      </c>
      <c r="W2718" s="4" t="s">
        <v>271</v>
      </c>
      <c r="X2718" s="4" t="s">
        <v>273</v>
      </c>
      <c r="Y2718" s="4" t="s">
        <v>241</v>
      </c>
      <c r="AB2718" s="4" t="s">
        <v>241</v>
      </c>
      <c r="AD2718" s="5" t="s">
        <v>241</v>
      </c>
      <c r="AG2718" s="5" t="s">
        <v>246</v>
      </c>
      <c r="AH2718" s="4" t="s">
        <v>241</v>
      </c>
      <c r="AI2718" s="4" t="s">
        <v>247</v>
      </c>
      <c r="AJ2718" s="4" t="s">
        <v>248</v>
      </c>
      <c r="AZ2718" s="4" t="s">
        <v>249</v>
      </c>
      <c r="BA2718" s="4" t="s">
        <v>241</v>
      </c>
      <c r="BB2718" s="4" t="s">
        <v>250</v>
      </c>
      <c r="BC2718" s="4" t="s">
        <v>241</v>
      </c>
      <c r="BD2718" s="4" t="s">
        <v>252</v>
      </c>
      <c r="BE2718" s="4" t="s">
        <v>241</v>
      </c>
      <c r="BI2718" s="4" t="s">
        <v>253</v>
      </c>
      <c r="BJ2718" s="5" t="s">
        <v>246</v>
      </c>
      <c r="BK2718" s="4" t="s">
        <v>254</v>
      </c>
      <c r="BL2718" s="4" t="s">
        <v>255</v>
      </c>
      <c r="BM2718" s="4" t="s">
        <v>241</v>
      </c>
      <c r="BN2718" s="6">
        <f>0</f>
        <v>0</v>
      </c>
      <c r="BO2718" s="6">
        <f>0</f>
        <v>0</v>
      </c>
      <c r="BP2718" s="4" t="s">
        <v>256</v>
      </c>
      <c r="BQ2718" s="4" t="s">
        <v>257</v>
      </c>
      <c r="CE2718" s="4" t="s">
        <v>241</v>
      </c>
      <c r="CF2718" s="4" t="s">
        <v>241</v>
      </c>
      <c r="CJ2718" s="4" t="s">
        <v>276</v>
      </c>
      <c r="CK2718" s="4" t="s">
        <v>259</v>
      </c>
      <c r="CL2718" s="4" t="s">
        <v>241</v>
      </c>
      <c r="CO2718" s="5" t="s">
        <v>260</v>
      </c>
      <c r="CP2718" s="4" t="s">
        <v>241</v>
      </c>
      <c r="CQ2718" s="4" t="s">
        <v>261</v>
      </c>
      <c r="CR2718" s="4" t="s">
        <v>241</v>
      </c>
      <c r="CS2718" s="4" t="s">
        <v>241</v>
      </c>
      <c r="CT2718" s="4">
        <v>0</v>
      </c>
      <c r="CU2718" s="4" t="s">
        <v>262</v>
      </c>
      <c r="CV2718" s="4" t="s">
        <v>263</v>
      </c>
      <c r="CW2718" s="4" t="s">
        <v>263</v>
      </c>
      <c r="CX2718" s="4" t="s">
        <v>264</v>
      </c>
      <c r="DA2718" s="6">
        <f>1</f>
        <v>1</v>
      </c>
      <c r="DC2718" s="4" t="s">
        <v>325</v>
      </c>
      <c r="DD2718" s="4" t="s">
        <v>241</v>
      </c>
      <c r="DF2718" s="4" t="s">
        <v>325</v>
      </c>
      <c r="DG2718" s="6">
        <f>478</f>
        <v>478</v>
      </c>
      <c r="DI2718" s="4" t="s">
        <v>241</v>
      </c>
      <c r="DJ2718" s="4" t="s">
        <v>241</v>
      </c>
      <c r="DK2718" s="4" t="s">
        <v>241</v>
      </c>
      <c r="DL2718" s="4" t="s">
        <v>241</v>
      </c>
      <c r="DP2718" s="4" t="s">
        <v>241</v>
      </c>
      <c r="DQ2718" s="4" t="s">
        <v>241</v>
      </c>
      <c r="DR2718" s="4" t="s">
        <v>241</v>
      </c>
      <c r="DS2718" s="4" t="s">
        <v>241</v>
      </c>
      <c r="DV2718" s="4" t="s">
        <v>426</v>
      </c>
      <c r="DW2718" s="4" t="s">
        <v>2455</v>
      </c>
      <c r="HO2718" s="4" t="s">
        <v>267</v>
      </c>
    </row>
    <row r="2719" spans="1:223" ht="19.5" customHeight="1" x14ac:dyDescent="0.4">
      <c r="A2719" s="4">
        <v>1</v>
      </c>
      <c r="B2719" s="4" t="s">
        <v>239</v>
      </c>
      <c r="C2719" s="4">
        <v>4422</v>
      </c>
      <c r="D2719" s="4">
        <v>1</v>
      </c>
      <c r="E2719" s="4">
        <v>1</v>
      </c>
      <c r="F2719" s="4" t="s">
        <v>268</v>
      </c>
      <c r="G2719" s="4" t="s">
        <v>241</v>
      </c>
      <c r="H2719" s="4" t="s">
        <v>241</v>
      </c>
      <c r="I2719" s="4" t="s">
        <v>424</v>
      </c>
      <c r="J2719" s="4" t="s">
        <v>274</v>
      </c>
      <c r="K2719" s="4" t="s">
        <v>251</v>
      </c>
      <c r="L2719" s="4" t="s">
        <v>423</v>
      </c>
      <c r="M2719" s="5" t="s">
        <v>3208</v>
      </c>
      <c r="N2719" s="6">
        <f>1343</f>
        <v>1343</v>
      </c>
      <c r="O2719" s="4" t="s">
        <v>265</v>
      </c>
      <c r="P2719" s="6">
        <f>1</f>
        <v>1</v>
      </c>
      <c r="Q2719" s="6">
        <f>0</f>
        <v>0</v>
      </c>
      <c r="S2719" s="6">
        <f>0</f>
        <v>0</v>
      </c>
      <c r="T2719" s="6">
        <f>1</f>
        <v>1</v>
      </c>
      <c r="U2719" s="5" t="s">
        <v>245</v>
      </c>
      <c r="V2719" s="4" t="s">
        <v>270</v>
      </c>
      <c r="W2719" s="4" t="s">
        <v>271</v>
      </c>
      <c r="X2719" s="4" t="s">
        <v>273</v>
      </c>
      <c r="Y2719" s="4" t="s">
        <v>241</v>
      </c>
      <c r="AB2719" s="4" t="s">
        <v>241</v>
      </c>
      <c r="AD2719" s="5" t="s">
        <v>241</v>
      </c>
      <c r="AG2719" s="5" t="s">
        <v>246</v>
      </c>
      <c r="AH2719" s="4" t="s">
        <v>241</v>
      </c>
      <c r="AI2719" s="4" t="s">
        <v>247</v>
      </c>
      <c r="AJ2719" s="4" t="s">
        <v>248</v>
      </c>
      <c r="AZ2719" s="4" t="s">
        <v>249</v>
      </c>
      <c r="BA2719" s="4" t="s">
        <v>241</v>
      </c>
      <c r="BB2719" s="4" t="s">
        <v>250</v>
      </c>
      <c r="BC2719" s="4" t="s">
        <v>241</v>
      </c>
      <c r="BD2719" s="4" t="s">
        <v>252</v>
      </c>
      <c r="BE2719" s="4" t="s">
        <v>241</v>
      </c>
      <c r="BI2719" s="4" t="s">
        <v>253</v>
      </c>
      <c r="BJ2719" s="5" t="s">
        <v>246</v>
      </c>
      <c r="BK2719" s="4" t="s">
        <v>254</v>
      </c>
      <c r="BL2719" s="4" t="s">
        <v>255</v>
      </c>
      <c r="BM2719" s="4" t="s">
        <v>241</v>
      </c>
      <c r="BN2719" s="6">
        <f>0</f>
        <v>0</v>
      </c>
      <c r="BO2719" s="6">
        <f>0</f>
        <v>0</v>
      </c>
      <c r="BP2719" s="4" t="s">
        <v>256</v>
      </c>
      <c r="BQ2719" s="4" t="s">
        <v>257</v>
      </c>
      <c r="CE2719" s="4" t="s">
        <v>241</v>
      </c>
      <c r="CF2719" s="4" t="s">
        <v>241</v>
      </c>
      <c r="CJ2719" s="4" t="s">
        <v>276</v>
      </c>
      <c r="CK2719" s="4" t="s">
        <v>259</v>
      </c>
      <c r="CL2719" s="4" t="s">
        <v>241</v>
      </c>
      <c r="CO2719" s="5" t="s">
        <v>260</v>
      </c>
      <c r="CP2719" s="4" t="s">
        <v>241</v>
      </c>
      <c r="CQ2719" s="4" t="s">
        <v>261</v>
      </c>
      <c r="CR2719" s="4" t="s">
        <v>241</v>
      </c>
      <c r="CS2719" s="4" t="s">
        <v>241</v>
      </c>
      <c r="CT2719" s="4">
        <v>0</v>
      </c>
      <c r="CU2719" s="4" t="s">
        <v>262</v>
      </c>
      <c r="CV2719" s="4" t="s">
        <v>263</v>
      </c>
      <c r="CW2719" s="4" t="s">
        <v>263</v>
      </c>
      <c r="CX2719" s="4" t="s">
        <v>264</v>
      </c>
      <c r="DA2719" s="6">
        <f>1</f>
        <v>1</v>
      </c>
      <c r="DC2719" s="4" t="s">
        <v>325</v>
      </c>
      <c r="DD2719" s="4" t="s">
        <v>241</v>
      </c>
      <c r="DF2719" s="4" t="s">
        <v>325</v>
      </c>
      <c r="DG2719" s="6">
        <f>1343</f>
        <v>1343</v>
      </c>
      <c r="DI2719" s="4" t="s">
        <v>241</v>
      </c>
      <c r="DJ2719" s="4" t="s">
        <v>241</v>
      </c>
      <c r="DK2719" s="4" t="s">
        <v>241</v>
      </c>
      <c r="DL2719" s="4" t="s">
        <v>241</v>
      </c>
      <c r="DP2719" s="4" t="s">
        <v>241</v>
      </c>
      <c r="DQ2719" s="4" t="s">
        <v>241</v>
      </c>
      <c r="DR2719" s="4" t="s">
        <v>241</v>
      </c>
      <c r="DS2719" s="4" t="s">
        <v>241</v>
      </c>
      <c r="DV2719" s="4" t="s">
        <v>426</v>
      </c>
      <c r="DW2719" s="4" t="s">
        <v>2453</v>
      </c>
      <c r="HO2719" s="4" t="s">
        <v>267</v>
      </c>
    </row>
    <row r="2720" spans="1:223" ht="19.5" customHeight="1" x14ac:dyDescent="0.4">
      <c r="A2720" s="4">
        <v>1</v>
      </c>
      <c r="B2720" s="4" t="s">
        <v>239</v>
      </c>
      <c r="C2720" s="4">
        <v>4423</v>
      </c>
      <c r="D2720" s="4">
        <v>1</v>
      </c>
      <c r="E2720" s="4">
        <v>1</v>
      </c>
      <c r="F2720" s="4" t="s">
        <v>268</v>
      </c>
      <c r="G2720" s="4" t="s">
        <v>241</v>
      </c>
      <c r="H2720" s="4" t="s">
        <v>241</v>
      </c>
      <c r="I2720" s="4" t="s">
        <v>424</v>
      </c>
      <c r="J2720" s="4" t="s">
        <v>274</v>
      </c>
      <c r="K2720" s="4" t="s">
        <v>251</v>
      </c>
      <c r="L2720" s="4" t="s">
        <v>423</v>
      </c>
      <c r="M2720" s="5" t="s">
        <v>3212</v>
      </c>
      <c r="N2720" s="6">
        <f>393</f>
        <v>393</v>
      </c>
      <c r="O2720" s="4" t="s">
        <v>265</v>
      </c>
      <c r="P2720" s="6">
        <f>1</f>
        <v>1</v>
      </c>
      <c r="Q2720" s="6">
        <f>0</f>
        <v>0</v>
      </c>
      <c r="S2720" s="6">
        <f>0</f>
        <v>0</v>
      </c>
      <c r="T2720" s="6">
        <f>1</f>
        <v>1</v>
      </c>
      <c r="U2720" s="5" t="s">
        <v>245</v>
      </c>
      <c r="V2720" s="4" t="s">
        <v>270</v>
      </c>
      <c r="W2720" s="4" t="s">
        <v>271</v>
      </c>
      <c r="X2720" s="4" t="s">
        <v>273</v>
      </c>
      <c r="Y2720" s="4" t="s">
        <v>241</v>
      </c>
      <c r="AB2720" s="4" t="s">
        <v>241</v>
      </c>
      <c r="AD2720" s="5" t="s">
        <v>241</v>
      </c>
      <c r="AG2720" s="5" t="s">
        <v>246</v>
      </c>
      <c r="AH2720" s="4" t="s">
        <v>241</v>
      </c>
      <c r="AI2720" s="4" t="s">
        <v>247</v>
      </c>
      <c r="AJ2720" s="4" t="s">
        <v>248</v>
      </c>
      <c r="AZ2720" s="4" t="s">
        <v>249</v>
      </c>
      <c r="BA2720" s="4" t="s">
        <v>241</v>
      </c>
      <c r="BB2720" s="4" t="s">
        <v>250</v>
      </c>
      <c r="BC2720" s="4" t="s">
        <v>241</v>
      </c>
      <c r="BD2720" s="4" t="s">
        <v>252</v>
      </c>
      <c r="BE2720" s="4" t="s">
        <v>241</v>
      </c>
      <c r="BI2720" s="4" t="s">
        <v>253</v>
      </c>
      <c r="BJ2720" s="5" t="s">
        <v>246</v>
      </c>
      <c r="BK2720" s="4" t="s">
        <v>254</v>
      </c>
      <c r="BL2720" s="4" t="s">
        <v>255</v>
      </c>
      <c r="BM2720" s="4" t="s">
        <v>241</v>
      </c>
      <c r="BN2720" s="6">
        <f>0</f>
        <v>0</v>
      </c>
      <c r="BO2720" s="6">
        <f>0</f>
        <v>0</v>
      </c>
      <c r="BP2720" s="4" t="s">
        <v>256</v>
      </c>
      <c r="BQ2720" s="4" t="s">
        <v>257</v>
      </c>
      <c r="CE2720" s="4" t="s">
        <v>241</v>
      </c>
      <c r="CF2720" s="4" t="s">
        <v>241</v>
      </c>
      <c r="CJ2720" s="4" t="s">
        <v>276</v>
      </c>
      <c r="CK2720" s="4" t="s">
        <v>259</v>
      </c>
      <c r="CL2720" s="4" t="s">
        <v>241</v>
      </c>
      <c r="CO2720" s="5" t="s">
        <v>260</v>
      </c>
      <c r="CP2720" s="4" t="s">
        <v>241</v>
      </c>
      <c r="CQ2720" s="4" t="s">
        <v>261</v>
      </c>
      <c r="CR2720" s="4" t="s">
        <v>241</v>
      </c>
      <c r="CS2720" s="4" t="s">
        <v>241</v>
      </c>
      <c r="CT2720" s="4">
        <v>0</v>
      </c>
      <c r="CU2720" s="4" t="s">
        <v>262</v>
      </c>
      <c r="CV2720" s="4" t="s">
        <v>263</v>
      </c>
      <c r="CW2720" s="4" t="s">
        <v>263</v>
      </c>
      <c r="CX2720" s="4" t="s">
        <v>264</v>
      </c>
      <c r="DA2720" s="6">
        <f>1</f>
        <v>1</v>
      </c>
      <c r="DC2720" s="4" t="s">
        <v>325</v>
      </c>
      <c r="DD2720" s="4" t="s">
        <v>241</v>
      </c>
      <c r="DF2720" s="4" t="s">
        <v>325</v>
      </c>
      <c r="DG2720" s="6">
        <f>393</f>
        <v>393</v>
      </c>
      <c r="DI2720" s="4" t="s">
        <v>241</v>
      </c>
      <c r="DJ2720" s="4" t="s">
        <v>241</v>
      </c>
      <c r="DK2720" s="4" t="s">
        <v>241</v>
      </c>
      <c r="DL2720" s="4" t="s">
        <v>241</v>
      </c>
      <c r="DP2720" s="4" t="s">
        <v>241</v>
      </c>
      <c r="DQ2720" s="4" t="s">
        <v>241</v>
      </c>
      <c r="DR2720" s="4" t="s">
        <v>241</v>
      </c>
      <c r="DS2720" s="4" t="s">
        <v>241</v>
      </c>
      <c r="DV2720" s="4" t="s">
        <v>426</v>
      </c>
      <c r="DW2720" s="4" t="s">
        <v>2451</v>
      </c>
      <c r="HO2720" s="4" t="s">
        <v>267</v>
      </c>
    </row>
    <row r="2721" spans="1:223" ht="19.5" customHeight="1" x14ac:dyDescent="0.4">
      <c r="A2721" s="4">
        <v>1</v>
      </c>
      <c r="B2721" s="4" t="s">
        <v>239</v>
      </c>
      <c r="C2721" s="4">
        <v>4424</v>
      </c>
      <c r="D2721" s="4">
        <v>1</v>
      </c>
      <c r="E2721" s="4">
        <v>1</v>
      </c>
      <c r="F2721" s="4" t="s">
        <v>268</v>
      </c>
      <c r="G2721" s="4" t="s">
        <v>241</v>
      </c>
      <c r="H2721" s="4" t="s">
        <v>241</v>
      </c>
      <c r="I2721" s="4" t="s">
        <v>424</v>
      </c>
      <c r="J2721" s="4" t="s">
        <v>274</v>
      </c>
      <c r="K2721" s="4" t="s">
        <v>251</v>
      </c>
      <c r="L2721" s="4" t="s">
        <v>423</v>
      </c>
      <c r="M2721" s="5" t="s">
        <v>3215</v>
      </c>
      <c r="N2721" s="6">
        <f>181</f>
        <v>181</v>
      </c>
      <c r="O2721" s="4" t="s">
        <v>265</v>
      </c>
      <c r="P2721" s="6">
        <f>1</f>
        <v>1</v>
      </c>
      <c r="Q2721" s="6">
        <f>0</f>
        <v>0</v>
      </c>
      <c r="S2721" s="6">
        <f>0</f>
        <v>0</v>
      </c>
      <c r="T2721" s="6">
        <f>1</f>
        <v>1</v>
      </c>
      <c r="U2721" s="5" t="s">
        <v>245</v>
      </c>
      <c r="V2721" s="4" t="s">
        <v>270</v>
      </c>
      <c r="W2721" s="4" t="s">
        <v>271</v>
      </c>
      <c r="X2721" s="4" t="s">
        <v>273</v>
      </c>
      <c r="Y2721" s="4" t="s">
        <v>241</v>
      </c>
      <c r="AB2721" s="4" t="s">
        <v>241</v>
      </c>
      <c r="AD2721" s="5" t="s">
        <v>241</v>
      </c>
      <c r="AG2721" s="5" t="s">
        <v>246</v>
      </c>
      <c r="AH2721" s="4" t="s">
        <v>241</v>
      </c>
      <c r="AI2721" s="4" t="s">
        <v>247</v>
      </c>
      <c r="AJ2721" s="4" t="s">
        <v>248</v>
      </c>
      <c r="AZ2721" s="4" t="s">
        <v>249</v>
      </c>
      <c r="BA2721" s="4" t="s">
        <v>241</v>
      </c>
      <c r="BB2721" s="4" t="s">
        <v>250</v>
      </c>
      <c r="BC2721" s="4" t="s">
        <v>241</v>
      </c>
      <c r="BD2721" s="4" t="s">
        <v>252</v>
      </c>
      <c r="BE2721" s="4" t="s">
        <v>241</v>
      </c>
      <c r="BI2721" s="4" t="s">
        <v>253</v>
      </c>
      <c r="BJ2721" s="5" t="s">
        <v>246</v>
      </c>
      <c r="BK2721" s="4" t="s">
        <v>254</v>
      </c>
      <c r="BL2721" s="4" t="s">
        <v>255</v>
      </c>
      <c r="BM2721" s="4" t="s">
        <v>241</v>
      </c>
      <c r="BN2721" s="6">
        <f>0</f>
        <v>0</v>
      </c>
      <c r="BO2721" s="6">
        <f>0</f>
        <v>0</v>
      </c>
      <c r="BP2721" s="4" t="s">
        <v>256</v>
      </c>
      <c r="BQ2721" s="4" t="s">
        <v>257</v>
      </c>
      <c r="CE2721" s="4" t="s">
        <v>241</v>
      </c>
      <c r="CF2721" s="4" t="s">
        <v>241</v>
      </c>
      <c r="CJ2721" s="4" t="s">
        <v>276</v>
      </c>
      <c r="CK2721" s="4" t="s">
        <v>259</v>
      </c>
      <c r="CL2721" s="4" t="s">
        <v>241</v>
      </c>
      <c r="CO2721" s="5" t="s">
        <v>260</v>
      </c>
      <c r="CP2721" s="4" t="s">
        <v>241</v>
      </c>
      <c r="CQ2721" s="4" t="s">
        <v>261</v>
      </c>
      <c r="CR2721" s="4" t="s">
        <v>241</v>
      </c>
      <c r="CS2721" s="4" t="s">
        <v>241</v>
      </c>
      <c r="CT2721" s="4">
        <v>0</v>
      </c>
      <c r="CU2721" s="4" t="s">
        <v>262</v>
      </c>
      <c r="CV2721" s="4" t="s">
        <v>263</v>
      </c>
      <c r="CW2721" s="4" t="s">
        <v>263</v>
      </c>
      <c r="CX2721" s="4" t="s">
        <v>264</v>
      </c>
      <c r="DA2721" s="6">
        <f>1</f>
        <v>1</v>
      </c>
      <c r="DC2721" s="4" t="s">
        <v>325</v>
      </c>
      <c r="DD2721" s="4" t="s">
        <v>241</v>
      </c>
      <c r="DF2721" s="4" t="s">
        <v>325</v>
      </c>
      <c r="DG2721" s="6">
        <f>181</f>
        <v>181</v>
      </c>
      <c r="DI2721" s="4" t="s">
        <v>241</v>
      </c>
      <c r="DJ2721" s="4" t="s">
        <v>241</v>
      </c>
      <c r="DK2721" s="4" t="s">
        <v>241</v>
      </c>
      <c r="DL2721" s="4" t="s">
        <v>241</v>
      </c>
      <c r="DP2721" s="4" t="s">
        <v>241</v>
      </c>
      <c r="DQ2721" s="4" t="s">
        <v>241</v>
      </c>
      <c r="DR2721" s="4" t="s">
        <v>241</v>
      </c>
      <c r="DS2721" s="4" t="s">
        <v>241</v>
      </c>
      <c r="DV2721" s="4" t="s">
        <v>426</v>
      </c>
      <c r="DW2721" s="4" t="s">
        <v>2449</v>
      </c>
      <c r="HO2721" s="4" t="s">
        <v>267</v>
      </c>
    </row>
    <row r="2722" spans="1:223" ht="19.5" customHeight="1" x14ac:dyDescent="0.4">
      <c r="A2722" s="4">
        <v>1</v>
      </c>
      <c r="B2722" s="4" t="s">
        <v>239</v>
      </c>
      <c r="C2722" s="4">
        <v>4425</v>
      </c>
      <c r="D2722" s="4">
        <v>1</v>
      </c>
      <c r="E2722" s="4">
        <v>1</v>
      </c>
      <c r="F2722" s="4" t="s">
        <v>268</v>
      </c>
      <c r="G2722" s="4" t="s">
        <v>241</v>
      </c>
      <c r="H2722" s="4" t="s">
        <v>241</v>
      </c>
      <c r="I2722" s="4" t="s">
        <v>424</v>
      </c>
      <c r="J2722" s="4" t="s">
        <v>274</v>
      </c>
      <c r="K2722" s="4" t="s">
        <v>251</v>
      </c>
      <c r="L2722" s="4" t="s">
        <v>423</v>
      </c>
      <c r="M2722" s="5" t="s">
        <v>3221</v>
      </c>
      <c r="N2722" s="6">
        <f>788</f>
        <v>788</v>
      </c>
      <c r="O2722" s="4" t="s">
        <v>265</v>
      </c>
      <c r="P2722" s="6">
        <f>1</f>
        <v>1</v>
      </c>
      <c r="Q2722" s="6">
        <f>0</f>
        <v>0</v>
      </c>
      <c r="S2722" s="6">
        <f>0</f>
        <v>0</v>
      </c>
      <c r="T2722" s="6">
        <f>1</f>
        <v>1</v>
      </c>
      <c r="U2722" s="5" t="s">
        <v>245</v>
      </c>
      <c r="V2722" s="4" t="s">
        <v>270</v>
      </c>
      <c r="W2722" s="4" t="s">
        <v>271</v>
      </c>
      <c r="X2722" s="4" t="s">
        <v>273</v>
      </c>
      <c r="Y2722" s="4" t="s">
        <v>241</v>
      </c>
      <c r="AB2722" s="4" t="s">
        <v>241</v>
      </c>
      <c r="AD2722" s="5" t="s">
        <v>241</v>
      </c>
      <c r="AG2722" s="5" t="s">
        <v>246</v>
      </c>
      <c r="AH2722" s="4" t="s">
        <v>241</v>
      </c>
      <c r="AI2722" s="4" t="s">
        <v>247</v>
      </c>
      <c r="AJ2722" s="4" t="s">
        <v>248</v>
      </c>
      <c r="AZ2722" s="4" t="s">
        <v>249</v>
      </c>
      <c r="BA2722" s="4" t="s">
        <v>241</v>
      </c>
      <c r="BB2722" s="4" t="s">
        <v>250</v>
      </c>
      <c r="BC2722" s="4" t="s">
        <v>241</v>
      </c>
      <c r="BD2722" s="4" t="s">
        <v>252</v>
      </c>
      <c r="BE2722" s="4" t="s">
        <v>241</v>
      </c>
      <c r="BI2722" s="4" t="s">
        <v>253</v>
      </c>
      <c r="BJ2722" s="5" t="s">
        <v>246</v>
      </c>
      <c r="BK2722" s="4" t="s">
        <v>254</v>
      </c>
      <c r="BL2722" s="4" t="s">
        <v>255</v>
      </c>
      <c r="BM2722" s="4" t="s">
        <v>241</v>
      </c>
      <c r="BN2722" s="6">
        <f>0</f>
        <v>0</v>
      </c>
      <c r="BO2722" s="6">
        <f>0</f>
        <v>0</v>
      </c>
      <c r="BP2722" s="4" t="s">
        <v>256</v>
      </c>
      <c r="BQ2722" s="4" t="s">
        <v>257</v>
      </c>
      <c r="CE2722" s="4" t="s">
        <v>241</v>
      </c>
      <c r="CF2722" s="4" t="s">
        <v>241</v>
      </c>
      <c r="CJ2722" s="4" t="s">
        <v>276</v>
      </c>
      <c r="CK2722" s="4" t="s">
        <v>259</v>
      </c>
      <c r="CL2722" s="4" t="s">
        <v>241</v>
      </c>
      <c r="CO2722" s="5" t="s">
        <v>260</v>
      </c>
      <c r="CP2722" s="4" t="s">
        <v>241</v>
      </c>
      <c r="CQ2722" s="4" t="s">
        <v>261</v>
      </c>
      <c r="CR2722" s="4" t="s">
        <v>241</v>
      </c>
      <c r="CS2722" s="4" t="s">
        <v>241</v>
      </c>
      <c r="CT2722" s="4">
        <v>0</v>
      </c>
      <c r="CU2722" s="4" t="s">
        <v>262</v>
      </c>
      <c r="CV2722" s="4" t="s">
        <v>263</v>
      </c>
      <c r="CW2722" s="4" t="s">
        <v>263</v>
      </c>
      <c r="CX2722" s="4" t="s">
        <v>264</v>
      </c>
      <c r="DA2722" s="6">
        <f>1</f>
        <v>1</v>
      </c>
      <c r="DC2722" s="4" t="s">
        <v>325</v>
      </c>
      <c r="DD2722" s="4" t="s">
        <v>241</v>
      </c>
      <c r="DF2722" s="4" t="s">
        <v>325</v>
      </c>
      <c r="DG2722" s="6">
        <f>788</f>
        <v>788</v>
      </c>
      <c r="DI2722" s="4" t="s">
        <v>241</v>
      </c>
      <c r="DJ2722" s="4" t="s">
        <v>241</v>
      </c>
      <c r="DK2722" s="4" t="s">
        <v>241</v>
      </c>
      <c r="DL2722" s="4" t="s">
        <v>241</v>
      </c>
      <c r="DP2722" s="4" t="s">
        <v>241</v>
      </c>
      <c r="DQ2722" s="4" t="s">
        <v>241</v>
      </c>
      <c r="DR2722" s="4" t="s">
        <v>241</v>
      </c>
      <c r="DS2722" s="4" t="s">
        <v>241</v>
      </c>
      <c r="DV2722" s="4" t="s">
        <v>426</v>
      </c>
      <c r="DW2722" s="4" t="s">
        <v>2447</v>
      </c>
      <c r="HO2722" s="4" t="s">
        <v>267</v>
      </c>
    </row>
    <row r="2723" spans="1:223" ht="19.5" customHeight="1" x14ac:dyDescent="0.4">
      <c r="A2723" s="4">
        <v>1</v>
      </c>
      <c r="B2723" s="4" t="s">
        <v>239</v>
      </c>
      <c r="C2723" s="4">
        <v>4426</v>
      </c>
      <c r="D2723" s="4">
        <v>1</v>
      </c>
      <c r="E2723" s="4">
        <v>1</v>
      </c>
      <c r="F2723" s="4" t="s">
        <v>268</v>
      </c>
      <c r="G2723" s="4" t="s">
        <v>241</v>
      </c>
      <c r="H2723" s="4" t="s">
        <v>241</v>
      </c>
      <c r="I2723" s="4" t="s">
        <v>424</v>
      </c>
      <c r="J2723" s="4" t="s">
        <v>274</v>
      </c>
      <c r="K2723" s="4" t="s">
        <v>251</v>
      </c>
      <c r="L2723" s="4" t="s">
        <v>423</v>
      </c>
      <c r="M2723" s="5" t="s">
        <v>3224</v>
      </c>
      <c r="N2723" s="6">
        <f>489</f>
        <v>489</v>
      </c>
      <c r="O2723" s="4" t="s">
        <v>265</v>
      </c>
      <c r="P2723" s="6">
        <f>1</f>
        <v>1</v>
      </c>
      <c r="Q2723" s="6">
        <f>0</f>
        <v>0</v>
      </c>
      <c r="S2723" s="6">
        <f>0</f>
        <v>0</v>
      </c>
      <c r="T2723" s="6">
        <f>1</f>
        <v>1</v>
      </c>
      <c r="U2723" s="5" t="s">
        <v>245</v>
      </c>
      <c r="V2723" s="4" t="s">
        <v>270</v>
      </c>
      <c r="W2723" s="4" t="s">
        <v>271</v>
      </c>
      <c r="X2723" s="4" t="s">
        <v>273</v>
      </c>
      <c r="Y2723" s="4" t="s">
        <v>241</v>
      </c>
      <c r="AB2723" s="4" t="s">
        <v>241</v>
      </c>
      <c r="AD2723" s="5" t="s">
        <v>241</v>
      </c>
      <c r="AG2723" s="5" t="s">
        <v>246</v>
      </c>
      <c r="AH2723" s="4" t="s">
        <v>241</v>
      </c>
      <c r="AI2723" s="4" t="s">
        <v>247</v>
      </c>
      <c r="AJ2723" s="4" t="s">
        <v>248</v>
      </c>
      <c r="AZ2723" s="4" t="s">
        <v>249</v>
      </c>
      <c r="BA2723" s="4" t="s">
        <v>241</v>
      </c>
      <c r="BB2723" s="4" t="s">
        <v>250</v>
      </c>
      <c r="BC2723" s="4" t="s">
        <v>241</v>
      </c>
      <c r="BD2723" s="4" t="s">
        <v>252</v>
      </c>
      <c r="BE2723" s="4" t="s">
        <v>241</v>
      </c>
      <c r="BI2723" s="4" t="s">
        <v>253</v>
      </c>
      <c r="BJ2723" s="5" t="s">
        <v>246</v>
      </c>
      <c r="BK2723" s="4" t="s">
        <v>254</v>
      </c>
      <c r="BL2723" s="4" t="s">
        <v>255</v>
      </c>
      <c r="BM2723" s="4" t="s">
        <v>241</v>
      </c>
      <c r="BN2723" s="6">
        <f>0</f>
        <v>0</v>
      </c>
      <c r="BO2723" s="6">
        <f>0</f>
        <v>0</v>
      </c>
      <c r="BP2723" s="4" t="s">
        <v>256</v>
      </c>
      <c r="BQ2723" s="4" t="s">
        <v>257</v>
      </c>
      <c r="CE2723" s="4" t="s">
        <v>241</v>
      </c>
      <c r="CF2723" s="4" t="s">
        <v>241</v>
      </c>
      <c r="CJ2723" s="4" t="s">
        <v>276</v>
      </c>
      <c r="CK2723" s="4" t="s">
        <v>259</v>
      </c>
      <c r="CL2723" s="4" t="s">
        <v>241</v>
      </c>
      <c r="CO2723" s="5" t="s">
        <v>260</v>
      </c>
      <c r="CP2723" s="4" t="s">
        <v>241</v>
      </c>
      <c r="CQ2723" s="4" t="s">
        <v>261</v>
      </c>
      <c r="CR2723" s="4" t="s">
        <v>241</v>
      </c>
      <c r="CS2723" s="4" t="s">
        <v>241</v>
      </c>
      <c r="CT2723" s="4">
        <v>0</v>
      </c>
      <c r="CU2723" s="4" t="s">
        <v>262</v>
      </c>
      <c r="CV2723" s="4" t="s">
        <v>263</v>
      </c>
      <c r="CW2723" s="4" t="s">
        <v>263</v>
      </c>
      <c r="CX2723" s="4" t="s">
        <v>264</v>
      </c>
      <c r="DA2723" s="6">
        <f>1</f>
        <v>1</v>
      </c>
      <c r="DC2723" s="4" t="s">
        <v>325</v>
      </c>
      <c r="DD2723" s="4" t="s">
        <v>241</v>
      </c>
      <c r="DF2723" s="4" t="s">
        <v>325</v>
      </c>
      <c r="DG2723" s="6">
        <f>489</f>
        <v>489</v>
      </c>
      <c r="DI2723" s="4" t="s">
        <v>241</v>
      </c>
      <c r="DJ2723" s="4" t="s">
        <v>241</v>
      </c>
      <c r="DK2723" s="4" t="s">
        <v>241</v>
      </c>
      <c r="DL2723" s="4" t="s">
        <v>241</v>
      </c>
      <c r="DP2723" s="4" t="s">
        <v>241</v>
      </c>
      <c r="DQ2723" s="4" t="s">
        <v>241</v>
      </c>
      <c r="DR2723" s="4" t="s">
        <v>241</v>
      </c>
      <c r="DS2723" s="4" t="s">
        <v>241</v>
      </c>
      <c r="DV2723" s="4" t="s">
        <v>426</v>
      </c>
      <c r="DW2723" s="4" t="s">
        <v>2445</v>
      </c>
      <c r="HO2723" s="4" t="s">
        <v>267</v>
      </c>
    </row>
    <row r="2724" spans="1:223" ht="19.5" customHeight="1" x14ac:dyDescent="0.4">
      <c r="A2724" s="4">
        <v>1</v>
      </c>
      <c r="B2724" s="4" t="s">
        <v>239</v>
      </c>
      <c r="C2724" s="4">
        <v>4427</v>
      </c>
      <c r="D2724" s="4">
        <v>1</v>
      </c>
      <c r="E2724" s="4">
        <v>1</v>
      </c>
      <c r="F2724" s="4" t="s">
        <v>268</v>
      </c>
      <c r="G2724" s="4" t="s">
        <v>241</v>
      </c>
      <c r="H2724" s="4" t="s">
        <v>241</v>
      </c>
      <c r="I2724" s="4" t="s">
        <v>424</v>
      </c>
      <c r="J2724" s="4" t="s">
        <v>274</v>
      </c>
      <c r="K2724" s="4" t="s">
        <v>251</v>
      </c>
      <c r="L2724" s="4" t="s">
        <v>423</v>
      </c>
      <c r="M2724" s="5" t="s">
        <v>3229</v>
      </c>
      <c r="N2724" s="6">
        <f>390</f>
        <v>390</v>
      </c>
      <c r="O2724" s="4" t="s">
        <v>265</v>
      </c>
      <c r="P2724" s="6">
        <f>1</f>
        <v>1</v>
      </c>
      <c r="Q2724" s="6">
        <f>0</f>
        <v>0</v>
      </c>
      <c r="S2724" s="6">
        <f>0</f>
        <v>0</v>
      </c>
      <c r="T2724" s="6">
        <f>1</f>
        <v>1</v>
      </c>
      <c r="U2724" s="5" t="s">
        <v>245</v>
      </c>
      <c r="V2724" s="4" t="s">
        <v>270</v>
      </c>
      <c r="W2724" s="4" t="s">
        <v>271</v>
      </c>
      <c r="X2724" s="4" t="s">
        <v>273</v>
      </c>
      <c r="Y2724" s="4" t="s">
        <v>241</v>
      </c>
      <c r="AB2724" s="4" t="s">
        <v>241</v>
      </c>
      <c r="AD2724" s="5" t="s">
        <v>241</v>
      </c>
      <c r="AG2724" s="5" t="s">
        <v>246</v>
      </c>
      <c r="AH2724" s="4" t="s">
        <v>241</v>
      </c>
      <c r="AI2724" s="4" t="s">
        <v>247</v>
      </c>
      <c r="AJ2724" s="4" t="s">
        <v>248</v>
      </c>
      <c r="AZ2724" s="4" t="s">
        <v>249</v>
      </c>
      <c r="BA2724" s="4" t="s">
        <v>241</v>
      </c>
      <c r="BB2724" s="4" t="s">
        <v>250</v>
      </c>
      <c r="BC2724" s="4" t="s">
        <v>241</v>
      </c>
      <c r="BD2724" s="4" t="s">
        <v>252</v>
      </c>
      <c r="BE2724" s="4" t="s">
        <v>241</v>
      </c>
      <c r="BI2724" s="4" t="s">
        <v>253</v>
      </c>
      <c r="BJ2724" s="5" t="s">
        <v>246</v>
      </c>
      <c r="BK2724" s="4" t="s">
        <v>254</v>
      </c>
      <c r="BL2724" s="4" t="s">
        <v>255</v>
      </c>
      <c r="BM2724" s="4" t="s">
        <v>241</v>
      </c>
      <c r="BN2724" s="6">
        <f>0</f>
        <v>0</v>
      </c>
      <c r="BO2724" s="6">
        <f>0</f>
        <v>0</v>
      </c>
      <c r="BP2724" s="4" t="s">
        <v>256</v>
      </c>
      <c r="BQ2724" s="4" t="s">
        <v>257</v>
      </c>
      <c r="CE2724" s="4" t="s">
        <v>241</v>
      </c>
      <c r="CF2724" s="4" t="s">
        <v>241</v>
      </c>
      <c r="CJ2724" s="4" t="s">
        <v>276</v>
      </c>
      <c r="CK2724" s="4" t="s">
        <v>259</v>
      </c>
      <c r="CL2724" s="4" t="s">
        <v>241</v>
      </c>
      <c r="CO2724" s="5" t="s">
        <v>260</v>
      </c>
      <c r="CP2724" s="4" t="s">
        <v>241</v>
      </c>
      <c r="CQ2724" s="4" t="s">
        <v>261</v>
      </c>
      <c r="CR2724" s="4" t="s">
        <v>241</v>
      </c>
      <c r="CS2724" s="4" t="s">
        <v>241</v>
      </c>
      <c r="CT2724" s="4">
        <v>0</v>
      </c>
      <c r="CU2724" s="4" t="s">
        <v>262</v>
      </c>
      <c r="CV2724" s="4" t="s">
        <v>263</v>
      </c>
      <c r="CW2724" s="4" t="s">
        <v>263</v>
      </c>
      <c r="CX2724" s="4" t="s">
        <v>264</v>
      </c>
      <c r="DA2724" s="6">
        <f>1</f>
        <v>1</v>
      </c>
      <c r="DC2724" s="4" t="s">
        <v>325</v>
      </c>
      <c r="DD2724" s="4" t="s">
        <v>241</v>
      </c>
      <c r="DF2724" s="4" t="s">
        <v>325</v>
      </c>
      <c r="DG2724" s="6">
        <f>390</f>
        <v>390</v>
      </c>
      <c r="DI2724" s="4" t="s">
        <v>241</v>
      </c>
      <c r="DJ2724" s="4" t="s">
        <v>241</v>
      </c>
      <c r="DK2724" s="4" t="s">
        <v>241</v>
      </c>
      <c r="DL2724" s="4" t="s">
        <v>241</v>
      </c>
      <c r="DP2724" s="4" t="s">
        <v>241</v>
      </c>
      <c r="DQ2724" s="4" t="s">
        <v>241</v>
      </c>
      <c r="DR2724" s="4" t="s">
        <v>241</v>
      </c>
      <c r="DS2724" s="4" t="s">
        <v>241</v>
      </c>
      <c r="DV2724" s="4" t="s">
        <v>426</v>
      </c>
      <c r="DW2724" s="4" t="s">
        <v>2443</v>
      </c>
      <c r="HO2724" s="4" t="s">
        <v>267</v>
      </c>
    </row>
    <row r="2725" spans="1:223" ht="19.5" customHeight="1" x14ac:dyDescent="0.4">
      <c r="A2725" s="4">
        <v>1</v>
      </c>
      <c r="B2725" s="4" t="s">
        <v>239</v>
      </c>
      <c r="C2725" s="4">
        <v>4428</v>
      </c>
      <c r="D2725" s="4">
        <v>1</v>
      </c>
      <c r="E2725" s="4">
        <v>1</v>
      </c>
      <c r="F2725" s="4" t="s">
        <v>268</v>
      </c>
      <c r="G2725" s="4" t="s">
        <v>241</v>
      </c>
      <c r="H2725" s="4" t="s">
        <v>241</v>
      </c>
      <c r="I2725" s="4" t="s">
        <v>424</v>
      </c>
      <c r="J2725" s="4" t="s">
        <v>274</v>
      </c>
      <c r="K2725" s="4" t="s">
        <v>251</v>
      </c>
      <c r="L2725" s="4" t="s">
        <v>423</v>
      </c>
      <c r="M2725" s="5" t="s">
        <v>3232</v>
      </c>
      <c r="N2725" s="6">
        <f>1905</f>
        <v>1905</v>
      </c>
      <c r="O2725" s="4" t="s">
        <v>265</v>
      </c>
      <c r="P2725" s="6">
        <f>1</f>
        <v>1</v>
      </c>
      <c r="Q2725" s="6">
        <f>0</f>
        <v>0</v>
      </c>
      <c r="S2725" s="6">
        <f>0</f>
        <v>0</v>
      </c>
      <c r="T2725" s="6">
        <f>1</f>
        <v>1</v>
      </c>
      <c r="U2725" s="5" t="s">
        <v>245</v>
      </c>
      <c r="V2725" s="4" t="s">
        <v>270</v>
      </c>
      <c r="W2725" s="4" t="s">
        <v>271</v>
      </c>
      <c r="X2725" s="4" t="s">
        <v>273</v>
      </c>
      <c r="Y2725" s="4" t="s">
        <v>241</v>
      </c>
      <c r="AB2725" s="4" t="s">
        <v>241</v>
      </c>
      <c r="AD2725" s="5" t="s">
        <v>241</v>
      </c>
      <c r="AG2725" s="5" t="s">
        <v>246</v>
      </c>
      <c r="AH2725" s="4" t="s">
        <v>241</v>
      </c>
      <c r="AI2725" s="4" t="s">
        <v>247</v>
      </c>
      <c r="AJ2725" s="4" t="s">
        <v>248</v>
      </c>
      <c r="AZ2725" s="4" t="s">
        <v>249</v>
      </c>
      <c r="BA2725" s="4" t="s">
        <v>241</v>
      </c>
      <c r="BB2725" s="4" t="s">
        <v>250</v>
      </c>
      <c r="BC2725" s="4" t="s">
        <v>241</v>
      </c>
      <c r="BD2725" s="4" t="s">
        <v>252</v>
      </c>
      <c r="BE2725" s="4" t="s">
        <v>241</v>
      </c>
      <c r="BI2725" s="4" t="s">
        <v>253</v>
      </c>
      <c r="BJ2725" s="5" t="s">
        <v>246</v>
      </c>
      <c r="BK2725" s="4" t="s">
        <v>254</v>
      </c>
      <c r="BL2725" s="4" t="s">
        <v>255</v>
      </c>
      <c r="BM2725" s="4" t="s">
        <v>241</v>
      </c>
      <c r="BN2725" s="6">
        <f>0</f>
        <v>0</v>
      </c>
      <c r="BO2725" s="6">
        <f>0</f>
        <v>0</v>
      </c>
      <c r="BP2725" s="4" t="s">
        <v>256</v>
      </c>
      <c r="BQ2725" s="4" t="s">
        <v>257</v>
      </c>
      <c r="CE2725" s="4" t="s">
        <v>241</v>
      </c>
      <c r="CF2725" s="4" t="s">
        <v>241</v>
      </c>
      <c r="CJ2725" s="4" t="s">
        <v>276</v>
      </c>
      <c r="CK2725" s="4" t="s">
        <v>259</v>
      </c>
      <c r="CL2725" s="4" t="s">
        <v>241</v>
      </c>
      <c r="CO2725" s="5" t="s">
        <v>260</v>
      </c>
      <c r="CP2725" s="4" t="s">
        <v>241</v>
      </c>
      <c r="CQ2725" s="4" t="s">
        <v>261</v>
      </c>
      <c r="CR2725" s="4" t="s">
        <v>241</v>
      </c>
      <c r="CS2725" s="4" t="s">
        <v>241</v>
      </c>
      <c r="CT2725" s="4">
        <v>0</v>
      </c>
      <c r="CU2725" s="4" t="s">
        <v>262</v>
      </c>
      <c r="CV2725" s="4" t="s">
        <v>263</v>
      </c>
      <c r="CW2725" s="4" t="s">
        <v>263</v>
      </c>
      <c r="CX2725" s="4" t="s">
        <v>264</v>
      </c>
      <c r="DA2725" s="6">
        <f>1</f>
        <v>1</v>
      </c>
      <c r="DC2725" s="4" t="s">
        <v>325</v>
      </c>
      <c r="DD2725" s="4" t="s">
        <v>241</v>
      </c>
      <c r="DF2725" s="4" t="s">
        <v>325</v>
      </c>
      <c r="DG2725" s="6">
        <f>1905</f>
        <v>1905</v>
      </c>
      <c r="DI2725" s="4" t="s">
        <v>241</v>
      </c>
      <c r="DJ2725" s="4" t="s">
        <v>241</v>
      </c>
      <c r="DK2725" s="4" t="s">
        <v>241</v>
      </c>
      <c r="DL2725" s="4" t="s">
        <v>241</v>
      </c>
      <c r="DP2725" s="4" t="s">
        <v>241</v>
      </c>
      <c r="DQ2725" s="4" t="s">
        <v>241</v>
      </c>
      <c r="DR2725" s="4" t="s">
        <v>241</v>
      </c>
      <c r="DS2725" s="4" t="s">
        <v>241</v>
      </c>
      <c r="DV2725" s="4" t="s">
        <v>426</v>
      </c>
      <c r="DW2725" s="4" t="s">
        <v>2441</v>
      </c>
      <c r="HO2725" s="4" t="s">
        <v>267</v>
      </c>
    </row>
    <row r="2726" spans="1:223" ht="19.5" customHeight="1" x14ac:dyDescent="0.4">
      <c r="A2726" s="4">
        <v>1</v>
      </c>
      <c r="B2726" s="4" t="s">
        <v>239</v>
      </c>
      <c r="C2726" s="4">
        <v>4429</v>
      </c>
      <c r="D2726" s="4">
        <v>1</v>
      </c>
      <c r="E2726" s="4">
        <v>1</v>
      </c>
      <c r="F2726" s="4" t="s">
        <v>268</v>
      </c>
      <c r="G2726" s="4" t="s">
        <v>241</v>
      </c>
      <c r="H2726" s="4" t="s">
        <v>241</v>
      </c>
      <c r="I2726" s="4" t="s">
        <v>424</v>
      </c>
      <c r="J2726" s="4" t="s">
        <v>274</v>
      </c>
      <c r="K2726" s="4" t="s">
        <v>251</v>
      </c>
      <c r="L2726" s="4" t="s">
        <v>423</v>
      </c>
      <c r="M2726" s="5" t="s">
        <v>3237</v>
      </c>
      <c r="N2726" s="6">
        <f>514</f>
        <v>514</v>
      </c>
      <c r="O2726" s="4" t="s">
        <v>265</v>
      </c>
      <c r="P2726" s="6">
        <f>1</f>
        <v>1</v>
      </c>
      <c r="Q2726" s="6">
        <f>0</f>
        <v>0</v>
      </c>
      <c r="S2726" s="6">
        <f>0</f>
        <v>0</v>
      </c>
      <c r="T2726" s="6">
        <f>1</f>
        <v>1</v>
      </c>
      <c r="U2726" s="5" t="s">
        <v>245</v>
      </c>
      <c r="V2726" s="4" t="s">
        <v>270</v>
      </c>
      <c r="W2726" s="4" t="s">
        <v>271</v>
      </c>
      <c r="X2726" s="4" t="s">
        <v>273</v>
      </c>
      <c r="Y2726" s="4" t="s">
        <v>241</v>
      </c>
      <c r="AB2726" s="4" t="s">
        <v>241</v>
      </c>
      <c r="AD2726" s="5" t="s">
        <v>241</v>
      </c>
      <c r="AG2726" s="5" t="s">
        <v>246</v>
      </c>
      <c r="AH2726" s="4" t="s">
        <v>241</v>
      </c>
      <c r="AI2726" s="4" t="s">
        <v>247</v>
      </c>
      <c r="AJ2726" s="4" t="s">
        <v>248</v>
      </c>
      <c r="AZ2726" s="4" t="s">
        <v>249</v>
      </c>
      <c r="BA2726" s="4" t="s">
        <v>241</v>
      </c>
      <c r="BB2726" s="4" t="s">
        <v>250</v>
      </c>
      <c r="BC2726" s="4" t="s">
        <v>241</v>
      </c>
      <c r="BD2726" s="4" t="s">
        <v>252</v>
      </c>
      <c r="BE2726" s="4" t="s">
        <v>241</v>
      </c>
      <c r="BI2726" s="4" t="s">
        <v>253</v>
      </c>
      <c r="BJ2726" s="5" t="s">
        <v>246</v>
      </c>
      <c r="BK2726" s="4" t="s">
        <v>254</v>
      </c>
      <c r="BL2726" s="4" t="s">
        <v>255</v>
      </c>
      <c r="BM2726" s="4" t="s">
        <v>241</v>
      </c>
      <c r="BN2726" s="6">
        <f>0</f>
        <v>0</v>
      </c>
      <c r="BO2726" s="6">
        <f>0</f>
        <v>0</v>
      </c>
      <c r="BP2726" s="4" t="s">
        <v>256</v>
      </c>
      <c r="BQ2726" s="4" t="s">
        <v>257</v>
      </c>
      <c r="CE2726" s="4" t="s">
        <v>241</v>
      </c>
      <c r="CF2726" s="4" t="s">
        <v>241</v>
      </c>
      <c r="CJ2726" s="4" t="s">
        <v>276</v>
      </c>
      <c r="CK2726" s="4" t="s">
        <v>259</v>
      </c>
      <c r="CL2726" s="4" t="s">
        <v>241</v>
      </c>
      <c r="CO2726" s="5" t="s">
        <v>260</v>
      </c>
      <c r="CP2726" s="4" t="s">
        <v>241</v>
      </c>
      <c r="CQ2726" s="4" t="s">
        <v>261</v>
      </c>
      <c r="CR2726" s="4" t="s">
        <v>241</v>
      </c>
      <c r="CS2726" s="4" t="s">
        <v>241</v>
      </c>
      <c r="CT2726" s="4">
        <v>0</v>
      </c>
      <c r="CU2726" s="4" t="s">
        <v>262</v>
      </c>
      <c r="CV2726" s="4" t="s">
        <v>263</v>
      </c>
      <c r="CW2726" s="4" t="s">
        <v>263</v>
      </c>
      <c r="CX2726" s="4" t="s">
        <v>264</v>
      </c>
      <c r="DA2726" s="6">
        <f>1</f>
        <v>1</v>
      </c>
      <c r="DC2726" s="4" t="s">
        <v>325</v>
      </c>
      <c r="DD2726" s="4" t="s">
        <v>241</v>
      </c>
      <c r="DF2726" s="4" t="s">
        <v>325</v>
      </c>
      <c r="DG2726" s="6">
        <f>514</f>
        <v>514</v>
      </c>
      <c r="DI2726" s="4" t="s">
        <v>241</v>
      </c>
      <c r="DJ2726" s="4" t="s">
        <v>241</v>
      </c>
      <c r="DK2726" s="4" t="s">
        <v>241</v>
      </c>
      <c r="DL2726" s="4" t="s">
        <v>241</v>
      </c>
      <c r="DP2726" s="4" t="s">
        <v>241</v>
      </c>
      <c r="DQ2726" s="4" t="s">
        <v>241</v>
      </c>
      <c r="DR2726" s="4" t="s">
        <v>241</v>
      </c>
      <c r="DS2726" s="4" t="s">
        <v>241</v>
      </c>
      <c r="DV2726" s="4" t="s">
        <v>426</v>
      </c>
      <c r="DW2726" s="4" t="s">
        <v>2439</v>
      </c>
      <c r="HO2726" s="4" t="s">
        <v>267</v>
      </c>
    </row>
    <row r="2727" spans="1:223" ht="19.5" customHeight="1" x14ac:dyDescent="0.4">
      <c r="A2727" s="4">
        <v>1</v>
      </c>
      <c r="B2727" s="4" t="s">
        <v>239</v>
      </c>
      <c r="C2727" s="4">
        <v>4430</v>
      </c>
      <c r="D2727" s="4">
        <v>1</v>
      </c>
      <c r="E2727" s="4">
        <v>1</v>
      </c>
      <c r="F2727" s="4" t="s">
        <v>268</v>
      </c>
      <c r="G2727" s="4" t="s">
        <v>241</v>
      </c>
      <c r="H2727" s="4" t="s">
        <v>241</v>
      </c>
      <c r="I2727" s="4" t="s">
        <v>424</v>
      </c>
      <c r="J2727" s="4" t="s">
        <v>274</v>
      </c>
      <c r="K2727" s="4" t="s">
        <v>251</v>
      </c>
      <c r="L2727" s="4" t="s">
        <v>423</v>
      </c>
      <c r="M2727" s="5" t="s">
        <v>3240</v>
      </c>
      <c r="N2727" s="6">
        <f>1031</f>
        <v>1031</v>
      </c>
      <c r="O2727" s="4" t="s">
        <v>265</v>
      </c>
      <c r="P2727" s="6">
        <f>1</f>
        <v>1</v>
      </c>
      <c r="Q2727" s="6">
        <f>0</f>
        <v>0</v>
      </c>
      <c r="S2727" s="6">
        <f>0</f>
        <v>0</v>
      </c>
      <c r="T2727" s="6">
        <f>1</f>
        <v>1</v>
      </c>
      <c r="U2727" s="5" t="s">
        <v>245</v>
      </c>
      <c r="V2727" s="4" t="s">
        <v>270</v>
      </c>
      <c r="W2727" s="4" t="s">
        <v>271</v>
      </c>
      <c r="X2727" s="4" t="s">
        <v>273</v>
      </c>
      <c r="Y2727" s="4" t="s">
        <v>241</v>
      </c>
      <c r="AB2727" s="4" t="s">
        <v>241</v>
      </c>
      <c r="AD2727" s="5" t="s">
        <v>241</v>
      </c>
      <c r="AG2727" s="5" t="s">
        <v>246</v>
      </c>
      <c r="AH2727" s="4" t="s">
        <v>241</v>
      </c>
      <c r="AI2727" s="4" t="s">
        <v>247</v>
      </c>
      <c r="AJ2727" s="4" t="s">
        <v>248</v>
      </c>
      <c r="AZ2727" s="4" t="s">
        <v>249</v>
      </c>
      <c r="BA2727" s="4" t="s">
        <v>241</v>
      </c>
      <c r="BB2727" s="4" t="s">
        <v>250</v>
      </c>
      <c r="BC2727" s="4" t="s">
        <v>241</v>
      </c>
      <c r="BD2727" s="4" t="s">
        <v>252</v>
      </c>
      <c r="BE2727" s="4" t="s">
        <v>241</v>
      </c>
      <c r="BI2727" s="4" t="s">
        <v>253</v>
      </c>
      <c r="BJ2727" s="5" t="s">
        <v>246</v>
      </c>
      <c r="BK2727" s="4" t="s">
        <v>254</v>
      </c>
      <c r="BL2727" s="4" t="s">
        <v>255</v>
      </c>
      <c r="BM2727" s="4" t="s">
        <v>241</v>
      </c>
      <c r="BN2727" s="6">
        <f>0</f>
        <v>0</v>
      </c>
      <c r="BO2727" s="6">
        <f>0</f>
        <v>0</v>
      </c>
      <c r="BP2727" s="4" t="s">
        <v>256</v>
      </c>
      <c r="BQ2727" s="4" t="s">
        <v>257</v>
      </c>
      <c r="CE2727" s="4" t="s">
        <v>241</v>
      </c>
      <c r="CF2727" s="4" t="s">
        <v>241</v>
      </c>
      <c r="CJ2727" s="4" t="s">
        <v>276</v>
      </c>
      <c r="CK2727" s="4" t="s">
        <v>259</v>
      </c>
      <c r="CL2727" s="4" t="s">
        <v>241</v>
      </c>
      <c r="CO2727" s="5" t="s">
        <v>260</v>
      </c>
      <c r="CP2727" s="4" t="s">
        <v>241</v>
      </c>
      <c r="CQ2727" s="4" t="s">
        <v>261</v>
      </c>
      <c r="CR2727" s="4" t="s">
        <v>241</v>
      </c>
      <c r="CS2727" s="4" t="s">
        <v>241</v>
      </c>
      <c r="CT2727" s="4">
        <v>0</v>
      </c>
      <c r="CU2727" s="4" t="s">
        <v>262</v>
      </c>
      <c r="CV2727" s="4" t="s">
        <v>263</v>
      </c>
      <c r="CW2727" s="4" t="s">
        <v>263</v>
      </c>
      <c r="CX2727" s="4" t="s">
        <v>264</v>
      </c>
      <c r="DA2727" s="6">
        <f>1</f>
        <v>1</v>
      </c>
      <c r="DC2727" s="4" t="s">
        <v>325</v>
      </c>
      <c r="DD2727" s="4" t="s">
        <v>241</v>
      </c>
      <c r="DF2727" s="4" t="s">
        <v>325</v>
      </c>
      <c r="DG2727" s="6">
        <f>1031</f>
        <v>1031</v>
      </c>
      <c r="DI2727" s="4" t="s">
        <v>241</v>
      </c>
      <c r="DJ2727" s="4" t="s">
        <v>241</v>
      </c>
      <c r="DK2727" s="4" t="s">
        <v>241</v>
      </c>
      <c r="DL2727" s="4" t="s">
        <v>241</v>
      </c>
      <c r="DP2727" s="4" t="s">
        <v>241</v>
      </c>
      <c r="DQ2727" s="4" t="s">
        <v>241</v>
      </c>
      <c r="DR2727" s="4" t="s">
        <v>241</v>
      </c>
      <c r="DS2727" s="4" t="s">
        <v>241</v>
      </c>
      <c r="DV2727" s="4" t="s">
        <v>426</v>
      </c>
      <c r="DW2727" s="4" t="s">
        <v>2437</v>
      </c>
      <c r="HO2727" s="4" t="s">
        <v>267</v>
      </c>
    </row>
    <row r="2728" spans="1:223" ht="19.5" customHeight="1" x14ac:dyDescent="0.4">
      <c r="A2728" s="4">
        <v>1</v>
      </c>
      <c r="B2728" s="4" t="s">
        <v>239</v>
      </c>
      <c r="C2728" s="4">
        <v>4431</v>
      </c>
      <c r="D2728" s="4">
        <v>1</v>
      </c>
      <c r="E2728" s="4">
        <v>1</v>
      </c>
      <c r="F2728" s="4" t="s">
        <v>268</v>
      </c>
      <c r="G2728" s="4" t="s">
        <v>241</v>
      </c>
      <c r="H2728" s="4" t="s">
        <v>241</v>
      </c>
      <c r="I2728" s="4" t="s">
        <v>424</v>
      </c>
      <c r="J2728" s="4" t="s">
        <v>274</v>
      </c>
      <c r="K2728" s="4" t="s">
        <v>251</v>
      </c>
      <c r="L2728" s="4" t="s">
        <v>423</v>
      </c>
      <c r="M2728" s="5" t="s">
        <v>3244</v>
      </c>
      <c r="N2728" s="6">
        <f>182</f>
        <v>182</v>
      </c>
      <c r="O2728" s="4" t="s">
        <v>265</v>
      </c>
      <c r="P2728" s="6">
        <f>1</f>
        <v>1</v>
      </c>
      <c r="Q2728" s="6">
        <f>0</f>
        <v>0</v>
      </c>
      <c r="S2728" s="6">
        <f>0</f>
        <v>0</v>
      </c>
      <c r="T2728" s="6">
        <f>1</f>
        <v>1</v>
      </c>
      <c r="U2728" s="5" t="s">
        <v>245</v>
      </c>
      <c r="V2728" s="4" t="s">
        <v>270</v>
      </c>
      <c r="W2728" s="4" t="s">
        <v>271</v>
      </c>
      <c r="X2728" s="4" t="s">
        <v>273</v>
      </c>
      <c r="Y2728" s="4" t="s">
        <v>241</v>
      </c>
      <c r="AB2728" s="4" t="s">
        <v>241</v>
      </c>
      <c r="AD2728" s="5" t="s">
        <v>241</v>
      </c>
      <c r="AG2728" s="5" t="s">
        <v>246</v>
      </c>
      <c r="AH2728" s="4" t="s">
        <v>241</v>
      </c>
      <c r="AI2728" s="4" t="s">
        <v>247</v>
      </c>
      <c r="AJ2728" s="4" t="s">
        <v>248</v>
      </c>
      <c r="AZ2728" s="4" t="s">
        <v>249</v>
      </c>
      <c r="BA2728" s="4" t="s">
        <v>241</v>
      </c>
      <c r="BB2728" s="4" t="s">
        <v>250</v>
      </c>
      <c r="BC2728" s="4" t="s">
        <v>241</v>
      </c>
      <c r="BD2728" s="4" t="s">
        <v>252</v>
      </c>
      <c r="BE2728" s="4" t="s">
        <v>241</v>
      </c>
      <c r="BI2728" s="4" t="s">
        <v>253</v>
      </c>
      <c r="BJ2728" s="5" t="s">
        <v>246</v>
      </c>
      <c r="BK2728" s="4" t="s">
        <v>254</v>
      </c>
      <c r="BL2728" s="4" t="s">
        <v>255</v>
      </c>
      <c r="BM2728" s="4" t="s">
        <v>241</v>
      </c>
      <c r="BN2728" s="6">
        <f>0</f>
        <v>0</v>
      </c>
      <c r="BO2728" s="6">
        <f>0</f>
        <v>0</v>
      </c>
      <c r="BP2728" s="4" t="s">
        <v>256</v>
      </c>
      <c r="BQ2728" s="4" t="s">
        <v>257</v>
      </c>
      <c r="CE2728" s="4" t="s">
        <v>241</v>
      </c>
      <c r="CF2728" s="4" t="s">
        <v>241</v>
      </c>
      <c r="CJ2728" s="4" t="s">
        <v>276</v>
      </c>
      <c r="CK2728" s="4" t="s">
        <v>259</v>
      </c>
      <c r="CL2728" s="4" t="s">
        <v>241</v>
      </c>
      <c r="CO2728" s="5" t="s">
        <v>260</v>
      </c>
      <c r="CP2728" s="4" t="s">
        <v>241</v>
      </c>
      <c r="CQ2728" s="4" t="s">
        <v>261</v>
      </c>
      <c r="CR2728" s="4" t="s">
        <v>241</v>
      </c>
      <c r="CS2728" s="4" t="s">
        <v>241</v>
      </c>
      <c r="CT2728" s="4">
        <v>0</v>
      </c>
      <c r="CU2728" s="4" t="s">
        <v>262</v>
      </c>
      <c r="CV2728" s="4" t="s">
        <v>263</v>
      </c>
      <c r="CW2728" s="4" t="s">
        <v>263</v>
      </c>
      <c r="CX2728" s="4" t="s">
        <v>264</v>
      </c>
      <c r="DA2728" s="6">
        <f>1</f>
        <v>1</v>
      </c>
      <c r="DC2728" s="4" t="s">
        <v>325</v>
      </c>
      <c r="DD2728" s="4" t="s">
        <v>241</v>
      </c>
      <c r="DF2728" s="4" t="s">
        <v>325</v>
      </c>
      <c r="DG2728" s="6">
        <f>182</f>
        <v>182</v>
      </c>
      <c r="DI2728" s="4" t="s">
        <v>241</v>
      </c>
      <c r="DJ2728" s="4" t="s">
        <v>241</v>
      </c>
      <c r="DK2728" s="4" t="s">
        <v>241</v>
      </c>
      <c r="DL2728" s="4" t="s">
        <v>241</v>
      </c>
      <c r="DP2728" s="4" t="s">
        <v>241</v>
      </c>
      <c r="DQ2728" s="4" t="s">
        <v>241</v>
      </c>
      <c r="DR2728" s="4" t="s">
        <v>241</v>
      </c>
      <c r="DS2728" s="4" t="s">
        <v>241</v>
      </c>
      <c r="DV2728" s="4" t="s">
        <v>426</v>
      </c>
      <c r="DW2728" s="4" t="s">
        <v>2435</v>
      </c>
      <c r="HO2728" s="4" t="s">
        <v>267</v>
      </c>
    </row>
    <row r="2729" spans="1:223" ht="19.5" customHeight="1" x14ac:dyDescent="0.4">
      <c r="A2729" s="4">
        <v>1</v>
      </c>
      <c r="B2729" s="4" t="s">
        <v>239</v>
      </c>
      <c r="C2729" s="4">
        <v>4432</v>
      </c>
      <c r="D2729" s="4">
        <v>1</v>
      </c>
      <c r="E2729" s="4">
        <v>1</v>
      </c>
      <c r="F2729" s="4" t="s">
        <v>268</v>
      </c>
      <c r="G2729" s="4" t="s">
        <v>241</v>
      </c>
      <c r="H2729" s="4" t="s">
        <v>241</v>
      </c>
      <c r="I2729" s="4" t="s">
        <v>424</v>
      </c>
      <c r="J2729" s="4" t="s">
        <v>274</v>
      </c>
      <c r="K2729" s="4" t="s">
        <v>251</v>
      </c>
      <c r="L2729" s="4" t="s">
        <v>423</v>
      </c>
      <c r="M2729" s="5" t="s">
        <v>3247</v>
      </c>
      <c r="N2729" s="6">
        <f>333</f>
        <v>333</v>
      </c>
      <c r="O2729" s="4" t="s">
        <v>265</v>
      </c>
      <c r="P2729" s="6">
        <f>1</f>
        <v>1</v>
      </c>
      <c r="Q2729" s="6">
        <f>0</f>
        <v>0</v>
      </c>
      <c r="S2729" s="6">
        <f>0</f>
        <v>0</v>
      </c>
      <c r="T2729" s="6">
        <f>1</f>
        <v>1</v>
      </c>
      <c r="U2729" s="5" t="s">
        <v>245</v>
      </c>
      <c r="V2729" s="4" t="s">
        <v>270</v>
      </c>
      <c r="W2729" s="4" t="s">
        <v>271</v>
      </c>
      <c r="X2729" s="4" t="s">
        <v>273</v>
      </c>
      <c r="Y2729" s="4" t="s">
        <v>241</v>
      </c>
      <c r="AB2729" s="4" t="s">
        <v>241</v>
      </c>
      <c r="AD2729" s="5" t="s">
        <v>241</v>
      </c>
      <c r="AG2729" s="5" t="s">
        <v>246</v>
      </c>
      <c r="AH2729" s="4" t="s">
        <v>241</v>
      </c>
      <c r="AI2729" s="4" t="s">
        <v>247</v>
      </c>
      <c r="AJ2729" s="4" t="s">
        <v>248</v>
      </c>
      <c r="AZ2729" s="4" t="s">
        <v>249</v>
      </c>
      <c r="BA2729" s="4" t="s">
        <v>241</v>
      </c>
      <c r="BB2729" s="4" t="s">
        <v>250</v>
      </c>
      <c r="BC2729" s="4" t="s">
        <v>241</v>
      </c>
      <c r="BD2729" s="4" t="s">
        <v>252</v>
      </c>
      <c r="BE2729" s="4" t="s">
        <v>241</v>
      </c>
      <c r="BI2729" s="4" t="s">
        <v>253</v>
      </c>
      <c r="BJ2729" s="5" t="s">
        <v>246</v>
      </c>
      <c r="BK2729" s="4" t="s">
        <v>254</v>
      </c>
      <c r="BL2729" s="4" t="s">
        <v>255</v>
      </c>
      <c r="BM2729" s="4" t="s">
        <v>241</v>
      </c>
      <c r="BN2729" s="6">
        <f>0</f>
        <v>0</v>
      </c>
      <c r="BO2729" s="6">
        <f>0</f>
        <v>0</v>
      </c>
      <c r="BP2729" s="4" t="s">
        <v>256</v>
      </c>
      <c r="BQ2729" s="4" t="s">
        <v>257</v>
      </c>
      <c r="CE2729" s="4" t="s">
        <v>241</v>
      </c>
      <c r="CF2729" s="4" t="s">
        <v>241</v>
      </c>
      <c r="CJ2729" s="4" t="s">
        <v>276</v>
      </c>
      <c r="CK2729" s="4" t="s">
        <v>259</v>
      </c>
      <c r="CL2729" s="4" t="s">
        <v>241</v>
      </c>
      <c r="CO2729" s="5" t="s">
        <v>260</v>
      </c>
      <c r="CP2729" s="4" t="s">
        <v>241</v>
      </c>
      <c r="CQ2729" s="4" t="s">
        <v>261</v>
      </c>
      <c r="CR2729" s="4" t="s">
        <v>241</v>
      </c>
      <c r="CS2729" s="4" t="s">
        <v>241</v>
      </c>
      <c r="CT2729" s="4">
        <v>0</v>
      </c>
      <c r="CU2729" s="4" t="s">
        <v>262</v>
      </c>
      <c r="CV2729" s="4" t="s">
        <v>263</v>
      </c>
      <c r="CW2729" s="4" t="s">
        <v>263</v>
      </c>
      <c r="CX2729" s="4" t="s">
        <v>264</v>
      </c>
      <c r="DA2729" s="6">
        <f>1</f>
        <v>1</v>
      </c>
      <c r="DC2729" s="4" t="s">
        <v>325</v>
      </c>
      <c r="DD2729" s="4" t="s">
        <v>241</v>
      </c>
      <c r="DF2729" s="4" t="s">
        <v>325</v>
      </c>
      <c r="DG2729" s="6">
        <f>333</f>
        <v>333</v>
      </c>
      <c r="DI2729" s="4" t="s">
        <v>241</v>
      </c>
      <c r="DJ2729" s="4" t="s">
        <v>241</v>
      </c>
      <c r="DK2729" s="4" t="s">
        <v>241</v>
      </c>
      <c r="DL2729" s="4" t="s">
        <v>241</v>
      </c>
      <c r="DP2729" s="4" t="s">
        <v>241</v>
      </c>
      <c r="DQ2729" s="4" t="s">
        <v>241</v>
      </c>
      <c r="DR2729" s="4" t="s">
        <v>241</v>
      </c>
      <c r="DS2729" s="4" t="s">
        <v>241</v>
      </c>
      <c r="DV2729" s="4" t="s">
        <v>426</v>
      </c>
      <c r="DW2729" s="4" t="s">
        <v>2433</v>
      </c>
      <c r="HO2729" s="4" t="s">
        <v>267</v>
      </c>
    </row>
    <row r="2730" spans="1:223" ht="19.5" customHeight="1" x14ac:dyDescent="0.4">
      <c r="A2730" s="4">
        <v>1</v>
      </c>
      <c r="B2730" s="4" t="s">
        <v>239</v>
      </c>
      <c r="C2730" s="4">
        <v>4433</v>
      </c>
      <c r="D2730" s="4">
        <v>1</v>
      </c>
      <c r="E2730" s="4">
        <v>1</v>
      </c>
      <c r="F2730" s="4" t="s">
        <v>268</v>
      </c>
      <c r="G2730" s="4" t="s">
        <v>241</v>
      </c>
      <c r="H2730" s="4" t="s">
        <v>241</v>
      </c>
      <c r="I2730" s="4" t="s">
        <v>424</v>
      </c>
      <c r="J2730" s="4" t="s">
        <v>274</v>
      </c>
      <c r="K2730" s="4" t="s">
        <v>251</v>
      </c>
      <c r="L2730" s="4" t="s">
        <v>423</v>
      </c>
      <c r="M2730" s="5" t="s">
        <v>4593</v>
      </c>
      <c r="N2730" s="6">
        <f>1260</f>
        <v>1260</v>
      </c>
      <c r="O2730" s="4" t="s">
        <v>265</v>
      </c>
      <c r="P2730" s="6">
        <f>1</f>
        <v>1</v>
      </c>
      <c r="Q2730" s="6">
        <f>0</f>
        <v>0</v>
      </c>
      <c r="S2730" s="6">
        <f>0</f>
        <v>0</v>
      </c>
      <c r="T2730" s="6">
        <f>1</f>
        <v>1</v>
      </c>
      <c r="U2730" s="5" t="s">
        <v>245</v>
      </c>
      <c r="V2730" s="4" t="s">
        <v>270</v>
      </c>
      <c r="W2730" s="4" t="s">
        <v>271</v>
      </c>
      <c r="X2730" s="4" t="s">
        <v>273</v>
      </c>
      <c r="Y2730" s="4" t="s">
        <v>241</v>
      </c>
      <c r="AB2730" s="4" t="s">
        <v>241</v>
      </c>
      <c r="AD2730" s="5" t="s">
        <v>241</v>
      </c>
      <c r="AG2730" s="5" t="s">
        <v>246</v>
      </c>
      <c r="AH2730" s="4" t="s">
        <v>241</v>
      </c>
      <c r="AI2730" s="4" t="s">
        <v>247</v>
      </c>
      <c r="AJ2730" s="4" t="s">
        <v>248</v>
      </c>
      <c r="AZ2730" s="4" t="s">
        <v>249</v>
      </c>
      <c r="BA2730" s="4" t="s">
        <v>241</v>
      </c>
      <c r="BB2730" s="4" t="s">
        <v>250</v>
      </c>
      <c r="BC2730" s="4" t="s">
        <v>241</v>
      </c>
      <c r="BD2730" s="4" t="s">
        <v>252</v>
      </c>
      <c r="BE2730" s="4" t="s">
        <v>241</v>
      </c>
      <c r="BI2730" s="4" t="s">
        <v>253</v>
      </c>
      <c r="BJ2730" s="5" t="s">
        <v>246</v>
      </c>
      <c r="BK2730" s="4" t="s">
        <v>254</v>
      </c>
      <c r="BL2730" s="4" t="s">
        <v>255</v>
      </c>
      <c r="BM2730" s="4" t="s">
        <v>241</v>
      </c>
      <c r="BN2730" s="6">
        <f>0</f>
        <v>0</v>
      </c>
      <c r="BO2730" s="6">
        <f>0</f>
        <v>0</v>
      </c>
      <c r="BP2730" s="4" t="s">
        <v>256</v>
      </c>
      <c r="BQ2730" s="4" t="s">
        <v>257</v>
      </c>
      <c r="CE2730" s="4" t="s">
        <v>241</v>
      </c>
      <c r="CF2730" s="4" t="s">
        <v>241</v>
      </c>
      <c r="CJ2730" s="4" t="s">
        <v>276</v>
      </c>
      <c r="CK2730" s="4" t="s">
        <v>259</v>
      </c>
      <c r="CL2730" s="4" t="s">
        <v>241</v>
      </c>
      <c r="CO2730" s="5" t="s">
        <v>260</v>
      </c>
      <c r="CP2730" s="4" t="s">
        <v>241</v>
      </c>
      <c r="CQ2730" s="4" t="s">
        <v>261</v>
      </c>
      <c r="CR2730" s="4" t="s">
        <v>241</v>
      </c>
      <c r="CS2730" s="4" t="s">
        <v>241</v>
      </c>
      <c r="CT2730" s="4">
        <v>0</v>
      </c>
      <c r="CU2730" s="4" t="s">
        <v>262</v>
      </c>
      <c r="CV2730" s="4" t="s">
        <v>263</v>
      </c>
      <c r="CW2730" s="4" t="s">
        <v>263</v>
      </c>
      <c r="CX2730" s="4" t="s">
        <v>264</v>
      </c>
      <c r="DA2730" s="6">
        <f>1</f>
        <v>1</v>
      </c>
      <c r="DC2730" s="4" t="s">
        <v>325</v>
      </c>
      <c r="DD2730" s="4" t="s">
        <v>241</v>
      </c>
      <c r="DF2730" s="4" t="s">
        <v>325</v>
      </c>
      <c r="DG2730" s="6">
        <f>1260</f>
        <v>1260</v>
      </c>
      <c r="DI2730" s="4" t="s">
        <v>241</v>
      </c>
      <c r="DJ2730" s="4" t="s">
        <v>241</v>
      </c>
      <c r="DK2730" s="4" t="s">
        <v>241</v>
      </c>
      <c r="DL2730" s="4" t="s">
        <v>241</v>
      </c>
      <c r="DP2730" s="4" t="s">
        <v>241</v>
      </c>
      <c r="DQ2730" s="4" t="s">
        <v>241</v>
      </c>
      <c r="DR2730" s="4" t="s">
        <v>241</v>
      </c>
      <c r="DS2730" s="4" t="s">
        <v>241</v>
      </c>
      <c r="DV2730" s="4" t="s">
        <v>426</v>
      </c>
      <c r="DW2730" s="4" t="s">
        <v>2431</v>
      </c>
      <c r="HO2730" s="4" t="s">
        <v>267</v>
      </c>
    </row>
    <row r="2731" spans="1:223" ht="19.5" customHeight="1" x14ac:dyDescent="0.4">
      <c r="A2731" s="4">
        <v>1</v>
      </c>
      <c r="B2731" s="4" t="s">
        <v>239</v>
      </c>
      <c r="C2731" s="4">
        <v>4434</v>
      </c>
      <c r="D2731" s="4">
        <v>1</v>
      </c>
      <c r="E2731" s="4">
        <v>1</v>
      </c>
      <c r="F2731" s="4" t="s">
        <v>268</v>
      </c>
      <c r="G2731" s="4" t="s">
        <v>241</v>
      </c>
      <c r="H2731" s="4" t="s">
        <v>241</v>
      </c>
      <c r="I2731" s="4" t="s">
        <v>424</v>
      </c>
      <c r="J2731" s="4" t="s">
        <v>274</v>
      </c>
      <c r="K2731" s="4" t="s">
        <v>251</v>
      </c>
      <c r="L2731" s="4" t="s">
        <v>423</v>
      </c>
      <c r="M2731" s="5" t="s">
        <v>3257</v>
      </c>
      <c r="N2731" s="6">
        <f>188</f>
        <v>188</v>
      </c>
      <c r="O2731" s="4" t="s">
        <v>265</v>
      </c>
      <c r="P2731" s="6">
        <f>1</f>
        <v>1</v>
      </c>
      <c r="Q2731" s="6">
        <f>0</f>
        <v>0</v>
      </c>
      <c r="S2731" s="6">
        <f>0</f>
        <v>0</v>
      </c>
      <c r="T2731" s="6">
        <f>1</f>
        <v>1</v>
      </c>
      <c r="U2731" s="5" t="s">
        <v>245</v>
      </c>
      <c r="V2731" s="4" t="s">
        <v>270</v>
      </c>
      <c r="W2731" s="4" t="s">
        <v>271</v>
      </c>
      <c r="X2731" s="4" t="s">
        <v>273</v>
      </c>
      <c r="Y2731" s="4" t="s">
        <v>241</v>
      </c>
      <c r="AB2731" s="4" t="s">
        <v>241</v>
      </c>
      <c r="AD2731" s="5" t="s">
        <v>241</v>
      </c>
      <c r="AG2731" s="5" t="s">
        <v>246</v>
      </c>
      <c r="AH2731" s="4" t="s">
        <v>241</v>
      </c>
      <c r="AI2731" s="4" t="s">
        <v>247</v>
      </c>
      <c r="AJ2731" s="4" t="s">
        <v>248</v>
      </c>
      <c r="AZ2731" s="4" t="s">
        <v>249</v>
      </c>
      <c r="BA2731" s="4" t="s">
        <v>241</v>
      </c>
      <c r="BB2731" s="4" t="s">
        <v>250</v>
      </c>
      <c r="BC2731" s="4" t="s">
        <v>241</v>
      </c>
      <c r="BD2731" s="4" t="s">
        <v>252</v>
      </c>
      <c r="BE2731" s="4" t="s">
        <v>241</v>
      </c>
      <c r="BI2731" s="4" t="s">
        <v>253</v>
      </c>
      <c r="BJ2731" s="5" t="s">
        <v>246</v>
      </c>
      <c r="BK2731" s="4" t="s">
        <v>254</v>
      </c>
      <c r="BL2731" s="4" t="s">
        <v>255</v>
      </c>
      <c r="BM2731" s="4" t="s">
        <v>241</v>
      </c>
      <c r="BN2731" s="6">
        <f>0</f>
        <v>0</v>
      </c>
      <c r="BO2731" s="6">
        <f>0</f>
        <v>0</v>
      </c>
      <c r="BP2731" s="4" t="s">
        <v>256</v>
      </c>
      <c r="BQ2731" s="4" t="s">
        <v>257</v>
      </c>
      <c r="CE2731" s="4" t="s">
        <v>241</v>
      </c>
      <c r="CF2731" s="4" t="s">
        <v>241</v>
      </c>
      <c r="CJ2731" s="4" t="s">
        <v>276</v>
      </c>
      <c r="CK2731" s="4" t="s">
        <v>259</v>
      </c>
      <c r="CL2731" s="4" t="s">
        <v>241</v>
      </c>
      <c r="CO2731" s="5" t="s">
        <v>260</v>
      </c>
      <c r="CP2731" s="4" t="s">
        <v>241</v>
      </c>
      <c r="CQ2731" s="4" t="s">
        <v>261</v>
      </c>
      <c r="CR2731" s="4" t="s">
        <v>241</v>
      </c>
      <c r="CS2731" s="4" t="s">
        <v>241</v>
      </c>
      <c r="CT2731" s="4">
        <v>0</v>
      </c>
      <c r="CU2731" s="4" t="s">
        <v>262</v>
      </c>
      <c r="CV2731" s="4" t="s">
        <v>263</v>
      </c>
      <c r="CW2731" s="4" t="s">
        <v>263</v>
      </c>
      <c r="CX2731" s="4" t="s">
        <v>264</v>
      </c>
      <c r="DA2731" s="6">
        <f>1</f>
        <v>1</v>
      </c>
      <c r="DC2731" s="4" t="s">
        <v>325</v>
      </c>
      <c r="DD2731" s="4" t="s">
        <v>241</v>
      </c>
      <c r="DF2731" s="4" t="s">
        <v>325</v>
      </c>
      <c r="DG2731" s="6">
        <f>188</f>
        <v>188</v>
      </c>
      <c r="DI2731" s="4" t="s">
        <v>241</v>
      </c>
      <c r="DJ2731" s="4" t="s">
        <v>241</v>
      </c>
      <c r="DK2731" s="4" t="s">
        <v>241</v>
      </c>
      <c r="DL2731" s="4" t="s">
        <v>241</v>
      </c>
      <c r="DP2731" s="4" t="s">
        <v>241</v>
      </c>
      <c r="DQ2731" s="4" t="s">
        <v>241</v>
      </c>
      <c r="DR2731" s="4" t="s">
        <v>241</v>
      </c>
      <c r="DS2731" s="4" t="s">
        <v>241</v>
      </c>
      <c r="DV2731" s="4" t="s">
        <v>426</v>
      </c>
      <c r="DW2731" s="4" t="s">
        <v>2429</v>
      </c>
      <c r="HO2731" s="4" t="s">
        <v>267</v>
      </c>
    </row>
    <row r="2732" spans="1:223" ht="19.5" customHeight="1" x14ac:dyDescent="0.4">
      <c r="A2732" s="4">
        <v>1</v>
      </c>
      <c r="B2732" s="4" t="s">
        <v>239</v>
      </c>
      <c r="C2732" s="4">
        <v>4435</v>
      </c>
      <c r="D2732" s="4">
        <v>1</v>
      </c>
      <c r="E2732" s="4">
        <v>1</v>
      </c>
      <c r="F2732" s="4" t="s">
        <v>268</v>
      </c>
      <c r="G2732" s="4" t="s">
        <v>241</v>
      </c>
      <c r="H2732" s="4" t="s">
        <v>241</v>
      </c>
      <c r="I2732" s="4" t="s">
        <v>424</v>
      </c>
      <c r="J2732" s="4" t="s">
        <v>274</v>
      </c>
      <c r="K2732" s="4" t="s">
        <v>251</v>
      </c>
      <c r="L2732" s="4" t="s">
        <v>423</v>
      </c>
      <c r="M2732" s="5" t="s">
        <v>3262</v>
      </c>
      <c r="N2732" s="6">
        <f>129</f>
        <v>129</v>
      </c>
      <c r="O2732" s="4" t="s">
        <v>265</v>
      </c>
      <c r="P2732" s="6">
        <f>1</f>
        <v>1</v>
      </c>
      <c r="Q2732" s="6">
        <f>0</f>
        <v>0</v>
      </c>
      <c r="S2732" s="6">
        <f>0</f>
        <v>0</v>
      </c>
      <c r="T2732" s="6">
        <f>1</f>
        <v>1</v>
      </c>
      <c r="U2732" s="5" t="s">
        <v>245</v>
      </c>
      <c r="V2732" s="4" t="s">
        <v>270</v>
      </c>
      <c r="W2732" s="4" t="s">
        <v>271</v>
      </c>
      <c r="X2732" s="4" t="s">
        <v>273</v>
      </c>
      <c r="Y2732" s="4" t="s">
        <v>241</v>
      </c>
      <c r="AB2732" s="4" t="s">
        <v>241</v>
      </c>
      <c r="AD2732" s="5" t="s">
        <v>241</v>
      </c>
      <c r="AG2732" s="5" t="s">
        <v>246</v>
      </c>
      <c r="AH2732" s="4" t="s">
        <v>241</v>
      </c>
      <c r="AI2732" s="4" t="s">
        <v>247</v>
      </c>
      <c r="AJ2732" s="4" t="s">
        <v>248</v>
      </c>
      <c r="AZ2732" s="4" t="s">
        <v>249</v>
      </c>
      <c r="BA2732" s="4" t="s">
        <v>241</v>
      </c>
      <c r="BB2732" s="4" t="s">
        <v>250</v>
      </c>
      <c r="BC2732" s="4" t="s">
        <v>241</v>
      </c>
      <c r="BD2732" s="4" t="s">
        <v>252</v>
      </c>
      <c r="BE2732" s="4" t="s">
        <v>241</v>
      </c>
      <c r="BI2732" s="4" t="s">
        <v>253</v>
      </c>
      <c r="BJ2732" s="5" t="s">
        <v>246</v>
      </c>
      <c r="BK2732" s="4" t="s">
        <v>254</v>
      </c>
      <c r="BL2732" s="4" t="s">
        <v>255</v>
      </c>
      <c r="BM2732" s="4" t="s">
        <v>241</v>
      </c>
      <c r="BN2732" s="6">
        <f>0</f>
        <v>0</v>
      </c>
      <c r="BO2732" s="6">
        <f>0</f>
        <v>0</v>
      </c>
      <c r="BP2732" s="4" t="s">
        <v>256</v>
      </c>
      <c r="BQ2732" s="4" t="s">
        <v>257</v>
      </c>
      <c r="CE2732" s="4" t="s">
        <v>241</v>
      </c>
      <c r="CF2732" s="4" t="s">
        <v>241</v>
      </c>
      <c r="CJ2732" s="4" t="s">
        <v>276</v>
      </c>
      <c r="CK2732" s="4" t="s">
        <v>259</v>
      </c>
      <c r="CL2732" s="4" t="s">
        <v>241</v>
      </c>
      <c r="CO2732" s="5" t="s">
        <v>260</v>
      </c>
      <c r="CP2732" s="4" t="s">
        <v>241</v>
      </c>
      <c r="CQ2732" s="4" t="s">
        <v>261</v>
      </c>
      <c r="CR2732" s="4" t="s">
        <v>241</v>
      </c>
      <c r="CS2732" s="4" t="s">
        <v>241</v>
      </c>
      <c r="CT2732" s="4">
        <v>0</v>
      </c>
      <c r="CU2732" s="4" t="s">
        <v>262</v>
      </c>
      <c r="CV2732" s="4" t="s">
        <v>263</v>
      </c>
      <c r="CW2732" s="4" t="s">
        <v>263</v>
      </c>
      <c r="CX2732" s="4" t="s">
        <v>264</v>
      </c>
      <c r="DA2732" s="6">
        <f>1</f>
        <v>1</v>
      </c>
      <c r="DC2732" s="4" t="s">
        <v>325</v>
      </c>
      <c r="DD2732" s="4" t="s">
        <v>241</v>
      </c>
      <c r="DF2732" s="4" t="s">
        <v>325</v>
      </c>
      <c r="DG2732" s="6">
        <f>129</f>
        <v>129</v>
      </c>
      <c r="DI2732" s="4" t="s">
        <v>241</v>
      </c>
      <c r="DJ2732" s="4" t="s">
        <v>241</v>
      </c>
      <c r="DK2732" s="4" t="s">
        <v>241</v>
      </c>
      <c r="DL2732" s="4" t="s">
        <v>241</v>
      </c>
      <c r="DP2732" s="4" t="s">
        <v>241</v>
      </c>
      <c r="DQ2732" s="4" t="s">
        <v>241</v>
      </c>
      <c r="DR2732" s="4" t="s">
        <v>241</v>
      </c>
      <c r="DS2732" s="4" t="s">
        <v>241</v>
      </c>
      <c r="DV2732" s="4" t="s">
        <v>426</v>
      </c>
      <c r="DW2732" s="4" t="s">
        <v>2427</v>
      </c>
      <c r="HO2732" s="4" t="s">
        <v>267</v>
      </c>
    </row>
    <row r="2733" spans="1:223" ht="19.5" customHeight="1" x14ac:dyDescent="0.4">
      <c r="A2733" s="4">
        <v>1</v>
      </c>
      <c r="B2733" s="4" t="s">
        <v>239</v>
      </c>
      <c r="C2733" s="4">
        <v>4436</v>
      </c>
      <c r="D2733" s="4">
        <v>1</v>
      </c>
      <c r="E2733" s="4">
        <v>1</v>
      </c>
      <c r="F2733" s="4" t="s">
        <v>268</v>
      </c>
      <c r="G2733" s="4" t="s">
        <v>241</v>
      </c>
      <c r="H2733" s="4" t="s">
        <v>241</v>
      </c>
      <c r="I2733" s="4" t="s">
        <v>424</v>
      </c>
      <c r="J2733" s="4" t="s">
        <v>274</v>
      </c>
      <c r="K2733" s="4" t="s">
        <v>251</v>
      </c>
      <c r="L2733" s="4" t="s">
        <v>423</v>
      </c>
      <c r="M2733" s="5" t="s">
        <v>3265</v>
      </c>
      <c r="N2733" s="6">
        <f>269</f>
        <v>269</v>
      </c>
      <c r="O2733" s="4" t="s">
        <v>265</v>
      </c>
      <c r="P2733" s="6">
        <f>1</f>
        <v>1</v>
      </c>
      <c r="Q2733" s="6">
        <f>0</f>
        <v>0</v>
      </c>
      <c r="S2733" s="6">
        <f>0</f>
        <v>0</v>
      </c>
      <c r="T2733" s="6">
        <f>1</f>
        <v>1</v>
      </c>
      <c r="U2733" s="5" t="s">
        <v>245</v>
      </c>
      <c r="V2733" s="4" t="s">
        <v>270</v>
      </c>
      <c r="W2733" s="4" t="s">
        <v>271</v>
      </c>
      <c r="X2733" s="4" t="s">
        <v>273</v>
      </c>
      <c r="Y2733" s="4" t="s">
        <v>241</v>
      </c>
      <c r="AB2733" s="4" t="s">
        <v>241</v>
      </c>
      <c r="AD2733" s="5" t="s">
        <v>241</v>
      </c>
      <c r="AG2733" s="5" t="s">
        <v>246</v>
      </c>
      <c r="AH2733" s="4" t="s">
        <v>241</v>
      </c>
      <c r="AI2733" s="4" t="s">
        <v>247</v>
      </c>
      <c r="AJ2733" s="4" t="s">
        <v>248</v>
      </c>
      <c r="AZ2733" s="4" t="s">
        <v>249</v>
      </c>
      <c r="BA2733" s="4" t="s">
        <v>241</v>
      </c>
      <c r="BB2733" s="4" t="s">
        <v>250</v>
      </c>
      <c r="BC2733" s="4" t="s">
        <v>241</v>
      </c>
      <c r="BD2733" s="4" t="s">
        <v>252</v>
      </c>
      <c r="BE2733" s="4" t="s">
        <v>241</v>
      </c>
      <c r="BI2733" s="4" t="s">
        <v>253</v>
      </c>
      <c r="BJ2733" s="5" t="s">
        <v>246</v>
      </c>
      <c r="BK2733" s="4" t="s">
        <v>254</v>
      </c>
      <c r="BL2733" s="4" t="s">
        <v>255</v>
      </c>
      <c r="BM2733" s="4" t="s">
        <v>241</v>
      </c>
      <c r="BN2733" s="6">
        <f>0</f>
        <v>0</v>
      </c>
      <c r="BO2733" s="6">
        <f>0</f>
        <v>0</v>
      </c>
      <c r="BP2733" s="4" t="s">
        <v>256</v>
      </c>
      <c r="BQ2733" s="4" t="s">
        <v>257</v>
      </c>
      <c r="CE2733" s="4" t="s">
        <v>241</v>
      </c>
      <c r="CF2733" s="4" t="s">
        <v>241</v>
      </c>
      <c r="CJ2733" s="4" t="s">
        <v>276</v>
      </c>
      <c r="CK2733" s="4" t="s">
        <v>259</v>
      </c>
      <c r="CL2733" s="4" t="s">
        <v>241</v>
      </c>
      <c r="CO2733" s="5" t="s">
        <v>260</v>
      </c>
      <c r="CP2733" s="4" t="s">
        <v>241</v>
      </c>
      <c r="CQ2733" s="4" t="s">
        <v>261</v>
      </c>
      <c r="CR2733" s="4" t="s">
        <v>241</v>
      </c>
      <c r="CS2733" s="4" t="s">
        <v>241</v>
      </c>
      <c r="CT2733" s="4">
        <v>0</v>
      </c>
      <c r="CU2733" s="4" t="s">
        <v>262</v>
      </c>
      <c r="CV2733" s="4" t="s">
        <v>263</v>
      </c>
      <c r="CW2733" s="4" t="s">
        <v>263</v>
      </c>
      <c r="CX2733" s="4" t="s">
        <v>264</v>
      </c>
      <c r="DA2733" s="6">
        <f>1</f>
        <v>1</v>
      </c>
      <c r="DC2733" s="4" t="s">
        <v>325</v>
      </c>
      <c r="DD2733" s="4" t="s">
        <v>241</v>
      </c>
      <c r="DF2733" s="4" t="s">
        <v>325</v>
      </c>
      <c r="DG2733" s="6">
        <f>269</f>
        <v>269</v>
      </c>
      <c r="DI2733" s="4" t="s">
        <v>241</v>
      </c>
      <c r="DJ2733" s="4" t="s">
        <v>241</v>
      </c>
      <c r="DK2733" s="4" t="s">
        <v>241</v>
      </c>
      <c r="DL2733" s="4" t="s">
        <v>241</v>
      </c>
      <c r="DP2733" s="4" t="s">
        <v>241</v>
      </c>
      <c r="DQ2733" s="4" t="s">
        <v>241</v>
      </c>
      <c r="DR2733" s="4" t="s">
        <v>241</v>
      </c>
      <c r="DS2733" s="4" t="s">
        <v>241</v>
      </c>
      <c r="DV2733" s="4" t="s">
        <v>426</v>
      </c>
      <c r="DW2733" s="4" t="s">
        <v>2425</v>
      </c>
      <c r="HO2733" s="4" t="s">
        <v>267</v>
      </c>
    </row>
    <row r="2734" spans="1:223" ht="19.5" customHeight="1" x14ac:dyDescent="0.4">
      <c r="A2734" s="4">
        <v>1</v>
      </c>
      <c r="B2734" s="4" t="s">
        <v>239</v>
      </c>
      <c r="C2734" s="4">
        <v>4437</v>
      </c>
      <c r="D2734" s="4">
        <v>1</v>
      </c>
      <c r="E2734" s="4">
        <v>1</v>
      </c>
      <c r="F2734" s="4" t="s">
        <v>268</v>
      </c>
      <c r="G2734" s="4" t="s">
        <v>241</v>
      </c>
      <c r="H2734" s="4" t="s">
        <v>241</v>
      </c>
      <c r="I2734" s="4" t="s">
        <v>424</v>
      </c>
      <c r="J2734" s="4" t="s">
        <v>274</v>
      </c>
      <c r="K2734" s="4" t="s">
        <v>251</v>
      </c>
      <c r="L2734" s="4" t="s">
        <v>423</v>
      </c>
      <c r="M2734" s="5" t="s">
        <v>3271</v>
      </c>
      <c r="N2734" s="6">
        <f>930</f>
        <v>930</v>
      </c>
      <c r="O2734" s="4" t="s">
        <v>265</v>
      </c>
      <c r="P2734" s="6">
        <f>1</f>
        <v>1</v>
      </c>
      <c r="Q2734" s="6">
        <f>0</f>
        <v>0</v>
      </c>
      <c r="S2734" s="6">
        <f>0</f>
        <v>0</v>
      </c>
      <c r="T2734" s="6">
        <f>1</f>
        <v>1</v>
      </c>
      <c r="U2734" s="5" t="s">
        <v>245</v>
      </c>
      <c r="V2734" s="4" t="s">
        <v>270</v>
      </c>
      <c r="W2734" s="4" t="s">
        <v>271</v>
      </c>
      <c r="X2734" s="4" t="s">
        <v>273</v>
      </c>
      <c r="Y2734" s="4" t="s">
        <v>241</v>
      </c>
      <c r="AB2734" s="4" t="s">
        <v>241</v>
      </c>
      <c r="AD2734" s="5" t="s">
        <v>241</v>
      </c>
      <c r="AG2734" s="5" t="s">
        <v>246</v>
      </c>
      <c r="AH2734" s="4" t="s">
        <v>241</v>
      </c>
      <c r="AI2734" s="4" t="s">
        <v>247</v>
      </c>
      <c r="AJ2734" s="4" t="s">
        <v>248</v>
      </c>
      <c r="AZ2734" s="4" t="s">
        <v>249</v>
      </c>
      <c r="BA2734" s="4" t="s">
        <v>241</v>
      </c>
      <c r="BB2734" s="4" t="s">
        <v>250</v>
      </c>
      <c r="BC2734" s="4" t="s">
        <v>241</v>
      </c>
      <c r="BD2734" s="4" t="s">
        <v>252</v>
      </c>
      <c r="BE2734" s="4" t="s">
        <v>241</v>
      </c>
      <c r="BI2734" s="4" t="s">
        <v>253</v>
      </c>
      <c r="BJ2734" s="5" t="s">
        <v>246</v>
      </c>
      <c r="BK2734" s="4" t="s">
        <v>254</v>
      </c>
      <c r="BL2734" s="4" t="s">
        <v>255</v>
      </c>
      <c r="BM2734" s="4" t="s">
        <v>241</v>
      </c>
      <c r="BN2734" s="6">
        <f>0</f>
        <v>0</v>
      </c>
      <c r="BO2734" s="6">
        <f>0</f>
        <v>0</v>
      </c>
      <c r="BP2734" s="4" t="s">
        <v>256</v>
      </c>
      <c r="BQ2734" s="4" t="s">
        <v>257</v>
      </c>
      <c r="CE2734" s="4" t="s">
        <v>241</v>
      </c>
      <c r="CF2734" s="4" t="s">
        <v>241</v>
      </c>
      <c r="CJ2734" s="4" t="s">
        <v>276</v>
      </c>
      <c r="CK2734" s="4" t="s">
        <v>259</v>
      </c>
      <c r="CL2734" s="4" t="s">
        <v>241</v>
      </c>
      <c r="CO2734" s="5" t="s">
        <v>260</v>
      </c>
      <c r="CP2734" s="4" t="s">
        <v>241</v>
      </c>
      <c r="CQ2734" s="4" t="s">
        <v>261</v>
      </c>
      <c r="CR2734" s="4" t="s">
        <v>241</v>
      </c>
      <c r="CS2734" s="4" t="s">
        <v>241</v>
      </c>
      <c r="CT2734" s="4">
        <v>0</v>
      </c>
      <c r="CU2734" s="4" t="s">
        <v>262</v>
      </c>
      <c r="CV2734" s="4" t="s">
        <v>263</v>
      </c>
      <c r="CW2734" s="4" t="s">
        <v>263</v>
      </c>
      <c r="CX2734" s="4" t="s">
        <v>264</v>
      </c>
      <c r="DA2734" s="6">
        <f>1</f>
        <v>1</v>
      </c>
      <c r="DC2734" s="4" t="s">
        <v>325</v>
      </c>
      <c r="DD2734" s="4" t="s">
        <v>241</v>
      </c>
      <c r="DF2734" s="4" t="s">
        <v>325</v>
      </c>
      <c r="DG2734" s="6">
        <f>930</f>
        <v>930</v>
      </c>
      <c r="DI2734" s="4" t="s">
        <v>241</v>
      </c>
      <c r="DJ2734" s="4" t="s">
        <v>241</v>
      </c>
      <c r="DK2734" s="4" t="s">
        <v>241</v>
      </c>
      <c r="DL2734" s="4" t="s">
        <v>241</v>
      </c>
      <c r="DP2734" s="4" t="s">
        <v>241</v>
      </c>
      <c r="DQ2734" s="4" t="s">
        <v>241</v>
      </c>
      <c r="DR2734" s="4" t="s">
        <v>241</v>
      </c>
      <c r="DS2734" s="4" t="s">
        <v>241</v>
      </c>
      <c r="DV2734" s="4" t="s">
        <v>426</v>
      </c>
      <c r="DW2734" s="4" t="s">
        <v>2423</v>
      </c>
      <c r="HO2734" s="4" t="s">
        <v>267</v>
      </c>
    </row>
    <row r="2735" spans="1:223" ht="19.5" customHeight="1" x14ac:dyDescent="0.4">
      <c r="A2735" s="4">
        <v>1</v>
      </c>
      <c r="B2735" s="4" t="s">
        <v>239</v>
      </c>
      <c r="C2735" s="4">
        <v>4438</v>
      </c>
      <c r="D2735" s="4">
        <v>1</v>
      </c>
      <c r="E2735" s="4">
        <v>1</v>
      </c>
      <c r="F2735" s="4" t="s">
        <v>268</v>
      </c>
      <c r="G2735" s="4" t="s">
        <v>241</v>
      </c>
      <c r="H2735" s="4" t="s">
        <v>241</v>
      </c>
      <c r="I2735" s="4" t="s">
        <v>424</v>
      </c>
      <c r="J2735" s="4" t="s">
        <v>274</v>
      </c>
      <c r="K2735" s="4" t="s">
        <v>251</v>
      </c>
      <c r="L2735" s="4" t="s">
        <v>423</v>
      </c>
      <c r="M2735" s="5" t="s">
        <v>3274</v>
      </c>
      <c r="N2735" s="6">
        <f>2084</f>
        <v>2084</v>
      </c>
      <c r="O2735" s="4" t="s">
        <v>265</v>
      </c>
      <c r="P2735" s="6">
        <f>1</f>
        <v>1</v>
      </c>
      <c r="Q2735" s="6">
        <f>0</f>
        <v>0</v>
      </c>
      <c r="S2735" s="6">
        <f>0</f>
        <v>0</v>
      </c>
      <c r="T2735" s="6">
        <f>1</f>
        <v>1</v>
      </c>
      <c r="U2735" s="5" t="s">
        <v>245</v>
      </c>
      <c r="V2735" s="4" t="s">
        <v>270</v>
      </c>
      <c r="W2735" s="4" t="s">
        <v>271</v>
      </c>
      <c r="X2735" s="4" t="s">
        <v>273</v>
      </c>
      <c r="Y2735" s="4" t="s">
        <v>241</v>
      </c>
      <c r="AB2735" s="4" t="s">
        <v>241</v>
      </c>
      <c r="AD2735" s="5" t="s">
        <v>241</v>
      </c>
      <c r="AG2735" s="5" t="s">
        <v>246</v>
      </c>
      <c r="AH2735" s="4" t="s">
        <v>241</v>
      </c>
      <c r="AI2735" s="4" t="s">
        <v>247</v>
      </c>
      <c r="AJ2735" s="4" t="s">
        <v>248</v>
      </c>
      <c r="AZ2735" s="4" t="s">
        <v>249</v>
      </c>
      <c r="BA2735" s="4" t="s">
        <v>241</v>
      </c>
      <c r="BB2735" s="4" t="s">
        <v>250</v>
      </c>
      <c r="BC2735" s="4" t="s">
        <v>241</v>
      </c>
      <c r="BD2735" s="4" t="s">
        <v>252</v>
      </c>
      <c r="BE2735" s="4" t="s">
        <v>241</v>
      </c>
      <c r="BI2735" s="4" t="s">
        <v>253</v>
      </c>
      <c r="BJ2735" s="5" t="s">
        <v>246</v>
      </c>
      <c r="BK2735" s="4" t="s">
        <v>254</v>
      </c>
      <c r="BL2735" s="4" t="s">
        <v>255</v>
      </c>
      <c r="BM2735" s="4" t="s">
        <v>241</v>
      </c>
      <c r="BN2735" s="6">
        <f>0</f>
        <v>0</v>
      </c>
      <c r="BO2735" s="6">
        <f>0</f>
        <v>0</v>
      </c>
      <c r="BP2735" s="4" t="s">
        <v>256</v>
      </c>
      <c r="BQ2735" s="4" t="s">
        <v>257</v>
      </c>
      <c r="CE2735" s="4" t="s">
        <v>241</v>
      </c>
      <c r="CF2735" s="4" t="s">
        <v>241</v>
      </c>
      <c r="CJ2735" s="4" t="s">
        <v>276</v>
      </c>
      <c r="CK2735" s="4" t="s">
        <v>259</v>
      </c>
      <c r="CL2735" s="4" t="s">
        <v>241</v>
      </c>
      <c r="CO2735" s="5" t="s">
        <v>260</v>
      </c>
      <c r="CP2735" s="4" t="s">
        <v>241</v>
      </c>
      <c r="CQ2735" s="4" t="s">
        <v>261</v>
      </c>
      <c r="CR2735" s="4" t="s">
        <v>241</v>
      </c>
      <c r="CS2735" s="4" t="s">
        <v>241</v>
      </c>
      <c r="CT2735" s="4">
        <v>0</v>
      </c>
      <c r="CU2735" s="4" t="s">
        <v>262</v>
      </c>
      <c r="CV2735" s="4" t="s">
        <v>263</v>
      </c>
      <c r="CW2735" s="4" t="s">
        <v>263</v>
      </c>
      <c r="CX2735" s="4" t="s">
        <v>264</v>
      </c>
      <c r="DA2735" s="6">
        <f>1</f>
        <v>1</v>
      </c>
      <c r="DC2735" s="4" t="s">
        <v>325</v>
      </c>
      <c r="DD2735" s="4" t="s">
        <v>241</v>
      </c>
      <c r="DF2735" s="4" t="s">
        <v>325</v>
      </c>
      <c r="DG2735" s="6">
        <f>2084</f>
        <v>2084</v>
      </c>
      <c r="DI2735" s="4" t="s">
        <v>241</v>
      </c>
      <c r="DJ2735" s="4" t="s">
        <v>241</v>
      </c>
      <c r="DK2735" s="4" t="s">
        <v>241</v>
      </c>
      <c r="DL2735" s="4" t="s">
        <v>241</v>
      </c>
      <c r="DP2735" s="4" t="s">
        <v>241</v>
      </c>
      <c r="DQ2735" s="4" t="s">
        <v>241</v>
      </c>
      <c r="DR2735" s="4" t="s">
        <v>241</v>
      </c>
      <c r="DS2735" s="4" t="s">
        <v>241</v>
      </c>
      <c r="DV2735" s="4" t="s">
        <v>426</v>
      </c>
      <c r="DW2735" s="4" t="s">
        <v>2421</v>
      </c>
      <c r="HO2735" s="4" t="s">
        <v>267</v>
      </c>
    </row>
    <row r="2736" spans="1:223" ht="19.5" customHeight="1" x14ac:dyDescent="0.4">
      <c r="A2736" s="4">
        <v>1</v>
      </c>
      <c r="B2736" s="4" t="s">
        <v>239</v>
      </c>
      <c r="C2736" s="4">
        <v>4439</v>
      </c>
      <c r="D2736" s="4">
        <v>1</v>
      </c>
      <c r="E2736" s="4">
        <v>1</v>
      </c>
      <c r="F2736" s="4" t="s">
        <v>268</v>
      </c>
      <c r="G2736" s="4" t="s">
        <v>241</v>
      </c>
      <c r="H2736" s="4" t="s">
        <v>241</v>
      </c>
      <c r="I2736" s="4" t="s">
        <v>424</v>
      </c>
      <c r="J2736" s="4" t="s">
        <v>274</v>
      </c>
      <c r="K2736" s="4" t="s">
        <v>251</v>
      </c>
      <c r="L2736" s="4" t="s">
        <v>423</v>
      </c>
      <c r="M2736" s="5" t="s">
        <v>3278</v>
      </c>
      <c r="N2736" s="6">
        <f>9.94</f>
        <v>9.94</v>
      </c>
      <c r="O2736" s="4" t="s">
        <v>265</v>
      </c>
      <c r="P2736" s="6">
        <f>1</f>
        <v>1</v>
      </c>
      <c r="Q2736" s="6">
        <f>0</f>
        <v>0</v>
      </c>
      <c r="S2736" s="6">
        <f>0</f>
        <v>0</v>
      </c>
      <c r="T2736" s="6">
        <f>1</f>
        <v>1</v>
      </c>
      <c r="U2736" s="5" t="s">
        <v>245</v>
      </c>
      <c r="V2736" s="4" t="s">
        <v>270</v>
      </c>
      <c r="W2736" s="4" t="s">
        <v>271</v>
      </c>
      <c r="X2736" s="4" t="s">
        <v>273</v>
      </c>
      <c r="Y2736" s="4" t="s">
        <v>241</v>
      </c>
      <c r="AB2736" s="4" t="s">
        <v>241</v>
      </c>
      <c r="AD2736" s="5" t="s">
        <v>241</v>
      </c>
      <c r="AG2736" s="5" t="s">
        <v>246</v>
      </c>
      <c r="AH2736" s="4" t="s">
        <v>241</v>
      </c>
      <c r="AI2736" s="4" t="s">
        <v>247</v>
      </c>
      <c r="AJ2736" s="4" t="s">
        <v>248</v>
      </c>
      <c r="AZ2736" s="4" t="s">
        <v>249</v>
      </c>
      <c r="BA2736" s="4" t="s">
        <v>241</v>
      </c>
      <c r="BB2736" s="4" t="s">
        <v>250</v>
      </c>
      <c r="BC2736" s="4" t="s">
        <v>241</v>
      </c>
      <c r="BD2736" s="4" t="s">
        <v>252</v>
      </c>
      <c r="BE2736" s="4" t="s">
        <v>241</v>
      </c>
      <c r="BI2736" s="4" t="s">
        <v>253</v>
      </c>
      <c r="BJ2736" s="5" t="s">
        <v>246</v>
      </c>
      <c r="BK2736" s="4" t="s">
        <v>254</v>
      </c>
      <c r="BL2736" s="4" t="s">
        <v>255</v>
      </c>
      <c r="BM2736" s="4" t="s">
        <v>241</v>
      </c>
      <c r="BN2736" s="6">
        <f>0</f>
        <v>0</v>
      </c>
      <c r="BO2736" s="6">
        <f>0</f>
        <v>0</v>
      </c>
      <c r="BP2736" s="4" t="s">
        <v>256</v>
      </c>
      <c r="BQ2736" s="4" t="s">
        <v>257</v>
      </c>
      <c r="CE2736" s="4" t="s">
        <v>241</v>
      </c>
      <c r="CF2736" s="4" t="s">
        <v>241</v>
      </c>
      <c r="CJ2736" s="4" t="s">
        <v>276</v>
      </c>
      <c r="CK2736" s="4" t="s">
        <v>259</v>
      </c>
      <c r="CL2736" s="4" t="s">
        <v>241</v>
      </c>
      <c r="CO2736" s="5" t="s">
        <v>260</v>
      </c>
      <c r="CP2736" s="4" t="s">
        <v>241</v>
      </c>
      <c r="CQ2736" s="4" t="s">
        <v>261</v>
      </c>
      <c r="CR2736" s="4" t="s">
        <v>241</v>
      </c>
      <c r="CS2736" s="4" t="s">
        <v>241</v>
      </c>
      <c r="CT2736" s="4">
        <v>0</v>
      </c>
      <c r="CU2736" s="4" t="s">
        <v>262</v>
      </c>
      <c r="CV2736" s="4" t="s">
        <v>263</v>
      </c>
      <c r="CW2736" s="4" t="s">
        <v>263</v>
      </c>
      <c r="CX2736" s="4" t="s">
        <v>264</v>
      </c>
      <c r="DA2736" s="6">
        <f>1</f>
        <v>1</v>
      </c>
      <c r="DC2736" s="4" t="s">
        <v>325</v>
      </c>
      <c r="DD2736" s="4" t="s">
        <v>241</v>
      </c>
      <c r="DF2736" s="4" t="s">
        <v>325</v>
      </c>
      <c r="DG2736" s="6">
        <f>9.94</f>
        <v>9.94</v>
      </c>
      <c r="DI2736" s="4" t="s">
        <v>241</v>
      </c>
      <c r="DJ2736" s="4" t="s">
        <v>241</v>
      </c>
      <c r="DK2736" s="4" t="s">
        <v>241</v>
      </c>
      <c r="DL2736" s="4" t="s">
        <v>241</v>
      </c>
      <c r="DP2736" s="4" t="s">
        <v>241</v>
      </c>
      <c r="DQ2736" s="4" t="s">
        <v>241</v>
      </c>
      <c r="DR2736" s="4" t="s">
        <v>241</v>
      </c>
      <c r="DS2736" s="4" t="s">
        <v>241</v>
      </c>
      <c r="DV2736" s="4" t="s">
        <v>426</v>
      </c>
      <c r="DW2736" s="4" t="s">
        <v>2419</v>
      </c>
      <c r="HO2736" s="4" t="s">
        <v>267</v>
      </c>
    </row>
    <row r="2737" spans="1:223" ht="19.5" customHeight="1" x14ac:dyDescent="0.4">
      <c r="A2737" s="4">
        <v>1</v>
      </c>
      <c r="B2737" s="4" t="s">
        <v>239</v>
      </c>
      <c r="C2737" s="4">
        <v>4440</v>
      </c>
      <c r="D2737" s="4">
        <v>1</v>
      </c>
      <c r="E2737" s="4">
        <v>1</v>
      </c>
      <c r="F2737" s="4" t="s">
        <v>268</v>
      </c>
      <c r="G2737" s="4" t="s">
        <v>241</v>
      </c>
      <c r="H2737" s="4" t="s">
        <v>241</v>
      </c>
      <c r="I2737" s="4" t="s">
        <v>424</v>
      </c>
      <c r="J2737" s="4" t="s">
        <v>274</v>
      </c>
      <c r="K2737" s="4" t="s">
        <v>251</v>
      </c>
      <c r="L2737" s="4" t="s">
        <v>423</v>
      </c>
      <c r="M2737" s="5" t="s">
        <v>3281</v>
      </c>
      <c r="N2737" s="6">
        <f>95</f>
        <v>95</v>
      </c>
      <c r="O2737" s="4" t="s">
        <v>265</v>
      </c>
      <c r="P2737" s="6">
        <f>1</f>
        <v>1</v>
      </c>
      <c r="Q2737" s="6">
        <f>0</f>
        <v>0</v>
      </c>
      <c r="S2737" s="6">
        <f>0</f>
        <v>0</v>
      </c>
      <c r="T2737" s="6">
        <f>1</f>
        <v>1</v>
      </c>
      <c r="U2737" s="5" t="s">
        <v>245</v>
      </c>
      <c r="V2737" s="4" t="s">
        <v>270</v>
      </c>
      <c r="W2737" s="4" t="s">
        <v>271</v>
      </c>
      <c r="X2737" s="4" t="s">
        <v>273</v>
      </c>
      <c r="Y2737" s="4" t="s">
        <v>241</v>
      </c>
      <c r="AB2737" s="4" t="s">
        <v>241</v>
      </c>
      <c r="AD2737" s="5" t="s">
        <v>241</v>
      </c>
      <c r="AG2737" s="5" t="s">
        <v>246</v>
      </c>
      <c r="AH2737" s="4" t="s">
        <v>241</v>
      </c>
      <c r="AI2737" s="4" t="s">
        <v>247</v>
      </c>
      <c r="AJ2737" s="4" t="s">
        <v>248</v>
      </c>
      <c r="AZ2737" s="4" t="s">
        <v>249</v>
      </c>
      <c r="BA2737" s="4" t="s">
        <v>241</v>
      </c>
      <c r="BB2737" s="4" t="s">
        <v>250</v>
      </c>
      <c r="BC2737" s="4" t="s">
        <v>241</v>
      </c>
      <c r="BD2737" s="4" t="s">
        <v>252</v>
      </c>
      <c r="BE2737" s="4" t="s">
        <v>241</v>
      </c>
      <c r="BI2737" s="4" t="s">
        <v>253</v>
      </c>
      <c r="BJ2737" s="5" t="s">
        <v>246</v>
      </c>
      <c r="BK2737" s="4" t="s">
        <v>254</v>
      </c>
      <c r="BL2737" s="4" t="s">
        <v>255</v>
      </c>
      <c r="BM2737" s="4" t="s">
        <v>241</v>
      </c>
      <c r="BN2737" s="6">
        <f>0</f>
        <v>0</v>
      </c>
      <c r="BO2737" s="6">
        <f>0</f>
        <v>0</v>
      </c>
      <c r="BP2737" s="4" t="s">
        <v>256</v>
      </c>
      <c r="BQ2737" s="4" t="s">
        <v>257</v>
      </c>
      <c r="CE2737" s="4" t="s">
        <v>241</v>
      </c>
      <c r="CF2737" s="4" t="s">
        <v>241</v>
      </c>
      <c r="CJ2737" s="4" t="s">
        <v>276</v>
      </c>
      <c r="CK2737" s="4" t="s">
        <v>259</v>
      </c>
      <c r="CL2737" s="4" t="s">
        <v>241</v>
      </c>
      <c r="CO2737" s="5" t="s">
        <v>260</v>
      </c>
      <c r="CP2737" s="4" t="s">
        <v>241</v>
      </c>
      <c r="CQ2737" s="4" t="s">
        <v>261</v>
      </c>
      <c r="CR2737" s="4" t="s">
        <v>241</v>
      </c>
      <c r="CS2737" s="4" t="s">
        <v>241</v>
      </c>
      <c r="CT2737" s="4">
        <v>0</v>
      </c>
      <c r="CU2737" s="4" t="s">
        <v>262</v>
      </c>
      <c r="CV2737" s="4" t="s">
        <v>263</v>
      </c>
      <c r="CW2737" s="4" t="s">
        <v>263</v>
      </c>
      <c r="CX2737" s="4" t="s">
        <v>264</v>
      </c>
      <c r="DA2737" s="6">
        <f>1</f>
        <v>1</v>
      </c>
      <c r="DC2737" s="4" t="s">
        <v>325</v>
      </c>
      <c r="DD2737" s="4" t="s">
        <v>241</v>
      </c>
      <c r="DF2737" s="4" t="s">
        <v>325</v>
      </c>
      <c r="DG2737" s="6">
        <f>95</f>
        <v>95</v>
      </c>
      <c r="DI2737" s="4" t="s">
        <v>241</v>
      </c>
      <c r="DJ2737" s="4" t="s">
        <v>241</v>
      </c>
      <c r="DK2737" s="4" t="s">
        <v>241</v>
      </c>
      <c r="DL2737" s="4" t="s">
        <v>241</v>
      </c>
      <c r="DP2737" s="4" t="s">
        <v>241</v>
      </c>
      <c r="DQ2737" s="4" t="s">
        <v>241</v>
      </c>
      <c r="DR2737" s="4" t="s">
        <v>241</v>
      </c>
      <c r="DS2737" s="4" t="s">
        <v>241</v>
      </c>
      <c r="DV2737" s="4" t="s">
        <v>426</v>
      </c>
      <c r="DW2737" s="4" t="s">
        <v>2417</v>
      </c>
      <c r="HO2737" s="4" t="s">
        <v>267</v>
      </c>
    </row>
    <row r="2738" spans="1:223" ht="19.5" customHeight="1" x14ac:dyDescent="0.4">
      <c r="A2738" s="4">
        <v>1</v>
      </c>
      <c r="B2738" s="4" t="s">
        <v>239</v>
      </c>
      <c r="C2738" s="4">
        <v>4441</v>
      </c>
      <c r="D2738" s="4">
        <v>1</v>
      </c>
      <c r="E2738" s="4">
        <v>1</v>
      </c>
      <c r="F2738" s="4" t="s">
        <v>268</v>
      </c>
      <c r="G2738" s="4" t="s">
        <v>241</v>
      </c>
      <c r="H2738" s="4" t="s">
        <v>241</v>
      </c>
      <c r="I2738" s="4" t="s">
        <v>424</v>
      </c>
      <c r="J2738" s="4" t="s">
        <v>274</v>
      </c>
      <c r="K2738" s="4" t="s">
        <v>251</v>
      </c>
      <c r="L2738" s="4" t="s">
        <v>423</v>
      </c>
      <c r="M2738" s="5" t="s">
        <v>3285</v>
      </c>
      <c r="N2738" s="6">
        <f>1880</f>
        <v>1880</v>
      </c>
      <c r="O2738" s="4" t="s">
        <v>265</v>
      </c>
      <c r="P2738" s="6">
        <f>1</f>
        <v>1</v>
      </c>
      <c r="Q2738" s="6">
        <f>0</f>
        <v>0</v>
      </c>
      <c r="S2738" s="6">
        <f>0</f>
        <v>0</v>
      </c>
      <c r="T2738" s="6">
        <f>1</f>
        <v>1</v>
      </c>
      <c r="U2738" s="5" t="s">
        <v>245</v>
      </c>
      <c r="V2738" s="4" t="s">
        <v>270</v>
      </c>
      <c r="W2738" s="4" t="s">
        <v>271</v>
      </c>
      <c r="X2738" s="4" t="s">
        <v>273</v>
      </c>
      <c r="Y2738" s="4" t="s">
        <v>241</v>
      </c>
      <c r="AB2738" s="4" t="s">
        <v>241</v>
      </c>
      <c r="AD2738" s="5" t="s">
        <v>241</v>
      </c>
      <c r="AG2738" s="5" t="s">
        <v>246</v>
      </c>
      <c r="AH2738" s="4" t="s">
        <v>241</v>
      </c>
      <c r="AI2738" s="4" t="s">
        <v>247</v>
      </c>
      <c r="AJ2738" s="4" t="s">
        <v>248</v>
      </c>
      <c r="AZ2738" s="4" t="s">
        <v>249</v>
      </c>
      <c r="BA2738" s="4" t="s">
        <v>241</v>
      </c>
      <c r="BB2738" s="4" t="s">
        <v>250</v>
      </c>
      <c r="BC2738" s="4" t="s">
        <v>241</v>
      </c>
      <c r="BD2738" s="4" t="s">
        <v>252</v>
      </c>
      <c r="BE2738" s="4" t="s">
        <v>241</v>
      </c>
      <c r="BI2738" s="4" t="s">
        <v>253</v>
      </c>
      <c r="BJ2738" s="5" t="s">
        <v>246</v>
      </c>
      <c r="BK2738" s="4" t="s">
        <v>254</v>
      </c>
      <c r="BL2738" s="4" t="s">
        <v>255</v>
      </c>
      <c r="BM2738" s="4" t="s">
        <v>241</v>
      </c>
      <c r="BN2738" s="6">
        <f>0</f>
        <v>0</v>
      </c>
      <c r="BO2738" s="6">
        <f>0</f>
        <v>0</v>
      </c>
      <c r="BP2738" s="4" t="s">
        <v>256</v>
      </c>
      <c r="BQ2738" s="4" t="s">
        <v>257</v>
      </c>
      <c r="CE2738" s="4" t="s">
        <v>241</v>
      </c>
      <c r="CF2738" s="4" t="s">
        <v>241</v>
      </c>
      <c r="CJ2738" s="4" t="s">
        <v>276</v>
      </c>
      <c r="CK2738" s="4" t="s">
        <v>259</v>
      </c>
      <c r="CL2738" s="4" t="s">
        <v>241</v>
      </c>
      <c r="CO2738" s="5" t="s">
        <v>260</v>
      </c>
      <c r="CP2738" s="4" t="s">
        <v>241</v>
      </c>
      <c r="CQ2738" s="4" t="s">
        <v>261</v>
      </c>
      <c r="CR2738" s="4" t="s">
        <v>241</v>
      </c>
      <c r="CS2738" s="4" t="s">
        <v>241</v>
      </c>
      <c r="CT2738" s="4">
        <v>0</v>
      </c>
      <c r="CU2738" s="4" t="s">
        <v>262</v>
      </c>
      <c r="CV2738" s="4" t="s">
        <v>263</v>
      </c>
      <c r="CW2738" s="4" t="s">
        <v>263</v>
      </c>
      <c r="CX2738" s="4" t="s">
        <v>264</v>
      </c>
      <c r="DA2738" s="6">
        <f>1</f>
        <v>1</v>
      </c>
      <c r="DC2738" s="4" t="s">
        <v>325</v>
      </c>
      <c r="DD2738" s="4" t="s">
        <v>241</v>
      </c>
      <c r="DF2738" s="4" t="s">
        <v>325</v>
      </c>
      <c r="DG2738" s="6">
        <f>1880</f>
        <v>1880</v>
      </c>
      <c r="DI2738" s="4" t="s">
        <v>241</v>
      </c>
      <c r="DJ2738" s="4" t="s">
        <v>241</v>
      </c>
      <c r="DK2738" s="4" t="s">
        <v>241</v>
      </c>
      <c r="DL2738" s="4" t="s">
        <v>241</v>
      </c>
      <c r="DP2738" s="4" t="s">
        <v>241</v>
      </c>
      <c r="DQ2738" s="4" t="s">
        <v>241</v>
      </c>
      <c r="DR2738" s="4" t="s">
        <v>241</v>
      </c>
      <c r="DS2738" s="4" t="s">
        <v>241</v>
      </c>
      <c r="DV2738" s="4" t="s">
        <v>426</v>
      </c>
      <c r="DW2738" s="4" t="s">
        <v>2405</v>
      </c>
      <c r="HO2738" s="4" t="s">
        <v>267</v>
      </c>
    </row>
    <row r="2739" spans="1:223" ht="19.5" customHeight="1" x14ac:dyDescent="0.4">
      <c r="A2739" s="4">
        <v>1</v>
      </c>
      <c r="B2739" s="4" t="s">
        <v>239</v>
      </c>
      <c r="C2739" s="4">
        <v>4442</v>
      </c>
      <c r="D2739" s="4">
        <v>1</v>
      </c>
      <c r="E2739" s="4">
        <v>1</v>
      </c>
      <c r="F2739" s="4" t="s">
        <v>268</v>
      </c>
      <c r="G2739" s="4" t="s">
        <v>241</v>
      </c>
      <c r="H2739" s="4" t="s">
        <v>241</v>
      </c>
      <c r="I2739" s="4" t="s">
        <v>424</v>
      </c>
      <c r="J2739" s="4" t="s">
        <v>274</v>
      </c>
      <c r="K2739" s="4" t="s">
        <v>251</v>
      </c>
      <c r="L2739" s="4" t="s">
        <v>423</v>
      </c>
      <c r="M2739" s="5" t="s">
        <v>3289</v>
      </c>
      <c r="N2739" s="6">
        <f>1012</f>
        <v>1012</v>
      </c>
      <c r="O2739" s="4" t="s">
        <v>265</v>
      </c>
      <c r="P2739" s="6">
        <f>1</f>
        <v>1</v>
      </c>
      <c r="Q2739" s="6">
        <f>0</f>
        <v>0</v>
      </c>
      <c r="S2739" s="6">
        <f>0</f>
        <v>0</v>
      </c>
      <c r="T2739" s="6">
        <f>1</f>
        <v>1</v>
      </c>
      <c r="U2739" s="5" t="s">
        <v>245</v>
      </c>
      <c r="V2739" s="4" t="s">
        <v>270</v>
      </c>
      <c r="W2739" s="4" t="s">
        <v>271</v>
      </c>
      <c r="X2739" s="4" t="s">
        <v>273</v>
      </c>
      <c r="Y2739" s="4" t="s">
        <v>241</v>
      </c>
      <c r="AB2739" s="4" t="s">
        <v>241</v>
      </c>
      <c r="AD2739" s="5" t="s">
        <v>241</v>
      </c>
      <c r="AG2739" s="5" t="s">
        <v>246</v>
      </c>
      <c r="AH2739" s="4" t="s">
        <v>241</v>
      </c>
      <c r="AI2739" s="4" t="s">
        <v>247</v>
      </c>
      <c r="AJ2739" s="4" t="s">
        <v>248</v>
      </c>
      <c r="AZ2739" s="4" t="s">
        <v>249</v>
      </c>
      <c r="BA2739" s="4" t="s">
        <v>241</v>
      </c>
      <c r="BB2739" s="4" t="s">
        <v>250</v>
      </c>
      <c r="BC2739" s="4" t="s">
        <v>241</v>
      </c>
      <c r="BD2739" s="4" t="s">
        <v>252</v>
      </c>
      <c r="BE2739" s="4" t="s">
        <v>241</v>
      </c>
      <c r="BI2739" s="4" t="s">
        <v>253</v>
      </c>
      <c r="BJ2739" s="5" t="s">
        <v>246</v>
      </c>
      <c r="BK2739" s="4" t="s">
        <v>254</v>
      </c>
      <c r="BL2739" s="4" t="s">
        <v>255</v>
      </c>
      <c r="BM2739" s="4" t="s">
        <v>241</v>
      </c>
      <c r="BN2739" s="6">
        <f>0</f>
        <v>0</v>
      </c>
      <c r="BO2739" s="6">
        <f>0</f>
        <v>0</v>
      </c>
      <c r="BP2739" s="4" t="s">
        <v>256</v>
      </c>
      <c r="BQ2739" s="4" t="s">
        <v>257</v>
      </c>
      <c r="CE2739" s="4" t="s">
        <v>241</v>
      </c>
      <c r="CF2739" s="4" t="s">
        <v>241</v>
      </c>
      <c r="CJ2739" s="4" t="s">
        <v>276</v>
      </c>
      <c r="CK2739" s="4" t="s">
        <v>259</v>
      </c>
      <c r="CL2739" s="4" t="s">
        <v>241</v>
      </c>
      <c r="CO2739" s="5" t="s">
        <v>260</v>
      </c>
      <c r="CP2739" s="4" t="s">
        <v>241</v>
      </c>
      <c r="CQ2739" s="4" t="s">
        <v>261</v>
      </c>
      <c r="CR2739" s="4" t="s">
        <v>241</v>
      </c>
      <c r="CS2739" s="4" t="s">
        <v>241</v>
      </c>
      <c r="CT2739" s="4">
        <v>0</v>
      </c>
      <c r="CU2739" s="4" t="s">
        <v>262</v>
      </c>
      <c r="CV2739" s="4" t="s">
        <v>263</v>
      </c>
      <c r="CW2739" s="4" t="s">
        <v>263</v>
      </c>
      <c r="CX2739" s="4" t="s">
        <v>264</v>
      </c>
      <c r="DA2739" s="6">
        <f>1</f>
        <v>1</v>
      </c>
      <c r="DC2739" s="4" t="s">
        <v>325</v>
      </c>
      <c r="DD2739" s="4" t="s">
        <v>241</v>
      </c>
      <c r="DF2739" s="4" t="s">
        <v>325</v>
      </c>
      <c r="DG2739" s="6">
        <f>1012</f>
        <v>1012</v>
      </c>
      <c r="DI2739" s="4" t="s">
        <v>241</v>
      </c>
      <c r="DJ2739" s="4" t="s">
        <v>241</v>
      </c>
      <c r="DK2739" s="4" t="s">
        <v>241</v>
      </c>
      <c r="DL2739" s="4" t="s">
        <v>241</v>
      </c>
      <c r="DP2739" s="4" t="s">
        <v>241</v>
      </c>
      <c r="DQ2739" s="4" t="s">
        <v>241</v>
      </c>
      <c r="DR2739" s="4" t="s">
        <v>241</v>
      </c>
      <c r="DS2739" s="4" t="s">
        <v>241</v>
      </c>
      <c r="DV2739" s="4" t="s">
        <v>426</v>
      </c>
      <c r="DW2739" s="4" t="s">
        <v>2415</v>
      </c>
      <c r="HO2739" s="4" t="s">
        <v>267</v>
      </c>
    </row>
    <row r="2740" spans="1:223" ht="19.5" customHeight="1" x14ac:dyDescent="0.4">
      <c r="A2740" s="4">
        <v>1</v>
      </c>
      <c r="B2740" s="4" t="s">
        <v>239</v>
      </c>
      <c r="C2740" s="4">
        <v>4443</v>
      </c>
      <c r="D2740" s="4">
        <v>1</v>
      </c>
      <c r="E2740" s="4">
        <v>1</v>
      </c>
      <c r="F2740" s="4" t="s">
        <v>268</v>
      </c>
      <c r="G2740" s="4" t="s">
        <v>241</v>
      </c>
      <c r="H2740" s="4" t="s">
        <v>241</v>
      </c>
      <c r="I2740" s="4" t="s">
        <v>424</v>
      </c>
      <c r="J2740" s="4" t="s">
        <v>274</v>
      </c>
      <c r="K2740" s="4" t="s">
        <v>251</v>
      </c>
      <c r="L2740" s="4" t="s">
        <v>423</v>
      </c>
      <c r="M2740" s="5" t="s">
        <v>3293</v>
      </c>
      <c r="N2740" s="6">
        <f>171</f>
        <v>171</v>
      </c>
      <c r="O2740" s="4" t="s">
        <v>265</v>
      </c>
      <c r="P2740" s="6">
        <f>1</f>
        <v>1</v>
      </c>
      <c r="Q2740" s="6">
        <f>0</f>
        <v>0</v>
      </c>
      <c r="S2740" s="6">
        <f>0</f>
        <v>0</v>
      </c>
      <c r="T2740" s="6">
        <f>1</f>
        <v>1</v>
      </c>
      <c r="U2740" s="5" t="s">
        <v>245</v>
      </c>
      <c r="V2740" s="4" t="s">
        <v>270</v>
      </c>
      <c r="W2740" s="4" t="s">
        <v>271</v>
      </c>
      <c r="X2740" s="4" t="s">
        <v>273</v>
      </c>
      <c r="Y2740" s="4" t="s">
        <v>241</v>
      </c>
      <c r="AB2740" s="4" t="s">
        <v>241</v>
      </c>
      <c r="AD2740" s="5" t="s">
        <v>241</v>
      </c>
      <c r="AG2740" s="5" t="s">
        <v>246</v>
      </c>
      <c r="AH2740" s="4" t="s">
        <v>241</v>
      </c>
      <c r="AI2740" s="4" t="s">
        <v>247</v>
      </c>
      <c r="AJ2740" s="4" t="s">
        <v>248</v>
      </c>
      <c r="AZ2740" s="4" t="s">
        <v>249</v>
      </c>
      <c r="BA2740" s="4" t="s">
        <v>241</v>
      </c>
      <c r="BB2740" s="4" t="s">
        <v>250</v>
      </c>
      <c r="BC2740" s="4" t="s">
        <v>241</v>
      </c>
      <c r="BD2740" s="4" t="s">
        <v>252</v>
      </c>
      <c r="BE2740" s="4" t="s">
        <v>241</v>
      </c>
      <c r="BI2740" s="4" t="s">
        <v>253</v>
      </c>
      <c r="BJ2740" s="5" t="s">
        <v>246</v>
      </c>
      <c r="BK2740" s="4" t="s">
        <v>254</v>
      </c>
      <c r="BL2740" s="4" t="s">
        <v>255</v>
      </c>
      <c r="BM2740" s="4" t="s">
        <v>241</v>
      </c>
      <c r="BN2740" s="6">
        <f>0</f>
        <v>0</v>
      </c>
      <c r="BO2740" s="6">
        <f>0</f>
        <v>0</v>
      </c>
      <c r="BP2740" s="4" t="s">
        <v>256</v>
      </c>
      <c r="BQ2740" s="4" t="s">
        <v>257</v>
      </c>
      <c r="CE2740" s="4" t="s">
        <v>241</v>
      </c>
      <c r="CF2740" s="4" t="s">
        <v>241</v>
      </c>
      <c r="CJ2740" s="4" t="s">
        <v>276</v>
      </c>
      <c r="CK2740" s="4" t="s">
        <v>259</v>
      </c>
      <c r="CL2740" s="4" t="s">
        <v>241</v>
      </c>
      <c r="CO2740" s="5" t="s">
        <v>260</v>
      </c>
      <c r="CP2740" s="4" t="s">
        <v>241</v>
      </c>
      <c r="CQ2740" s="4" t="s">
        <v>261</v>
      </c>
      <c r="CR2740" s="4" t="s">
        <v>241</v>
      </c>
      <c r="CS2740" s="4" t="s">
        <v>241</v>
      </c>
      <c r="CT2740" s="4">
        <v>0</v>
      </c>
      <c r="CU2740" s="4" t="s">
        <v>262</v>
      </c>
      <c r="CV2740" s="4" t="s">
        <v>263</v>
      </c>
      <c r="CW2740" s="4" t="s">
        <v>263</v>
      </c>
      <c r="CX2740" s="4" t="s">
        <v>264</v>
      </c>
      <c r="DA2740" s="6">
        <f>1</f>
        <v>1</v>
      </c>
      <c r="DC2740" s="4" t="s">
        <v>325</v>
      </c>
      <c r="DD2740" s="4" t="s">
        <v>241</v>
      </c>
      <c r="DF2740" s="4" t="s">
        <v>325</v>
      </c>
      <c r="DG2740" s="6">
        <f>171</f>
        <v>171</v>
      </c>
      <c r="DI2740" s="4" t="s">
        <v>241</v>
      </c>
      <c r="DJ2740" s="4" t="s">
        <v>241</v>
      </c>
      <c r="DK2740" s="4" t="s">
        <v>241</v>
      </c>
      <c r="DL2740" s="4" t="s">
        <v>241</v>
      </c>
      <c r="DP2740" s="4" t="s">
        <v>241</v>
      </c>
      <c r="DQ2740" s="4" t="s">
        <v>241</v>
      </c>
      <c r="DR2740" s="4" t="s">
        <v>241</v>
      </c>
      <c r="DS2740" s="4" t="s">
        <v>241</v>
      </c>
      <c r="DV2740" s="4" t="s">
        <v>426</v>
      </c>
      <c r="DW2740" s="4" t="s">
        <v>2413</v>
      </c>
      <c r="HO2740" s="4" t="s">
        <v>267</v>
      </c>
    </row>
    <row r="2741" spans="1:223" ht="19.5" customHeight="1" x14ac:dyDescent="0.4">
      <c r="A2741" s="4">
        <v>1</v>
      </c>
      <c r="B2741" s="4" t="s">
        <v>239</v>
      </c>
      <c r="C2741" s="4">
        <v>4444</v>
      </c>
      <c r="D2741" s="4">
        <v>1</v>
      </c>
      <c r="E2741" s="4">
        <v>1</v>
      </c>
      <c r="F2741" s="4" t="s">
        <v>268</v>
      </c>
      <c r="G2741" s="4" t="s">
        <v>241</v>
      </c>
      <c r="H2741" s="4" t="s">
        <v>241</v>
      </c>
      <c r="I2741" s="4" t="s">
        <v>424</v>
      </c>
      <c r="J2741" s="4" t="s">
        <v>274</v>
      </c>
      <c r="K2741" s="4" t="s">
        <v>251</v>
      </c>
      <c r="L2741" s="4" t="s">
        <v>423</v>
      </c>
      <c r="M2741" s="5" t="s">
        <v>3296</v>
      </c>
      <c r="N2741" s="6">
        <f>1412</f>
        <v>1412</v>
      </c>
      <c r="O2741" s="4" t="s">
        <v>265</v>
      </c>
      <c r="P2741" s="6">
        <f>1</f>
        <v>1</v>
      </c>
      <c r="Q2741" s="6">
        <f>0</f>
        <v>0</v>
      </c>
      <c r="S2741" s="6">
        <f>0</f>
        <v>0</v>
      </c>
      <c r="T2741" s="6">
        <f>1</f>
        <v>1</v>
      </c>
      <c r="U2741" s="5" t="s">
        <v>245</v>
      </c>
      <c r="V2741" s="4" t="s">
        <v>270</v>
      </c>
      <c r="W2741" s="4" t="s">
        <v>271</v>
      </c>
      <c r="X2741" s="4" t="s">
        <v>273</v>
      </c>
      <c r="Y2741" s="4" t="s">
        <v>241</v>
      </c>
      <c r="AB2741" s="4" t="s">
        <v>241</v>
      </c>
      <c r="AD2741" s="5" t="s">
        <v>241</v>
      </c>
      <c r="AG2741" s="5" t="s">
        <v>246</v>
      </c>
      <c r="AH2741" s="4" t="s">
        <v>241</v>
      </c>
      <c r="AI2741" s="4" t="s">
        <v>247</v>
      </c>
      <c r="AJ2741" s="4" t="s">
        <v>248</v>
      </c>
      <c r="AZ2741" s="4" t="s">
        <v>249</v>
      </c>
      <c r="BA2741" s="4" t="s">
        <v>241</v>
      </c>
      <c r="BB2741" s="4" t="s">
        <v>250</v>
      </c>
      <c r="BC2741" s="4" t="s">
        <v>241</v>
      </c>
      <c r="BD2741" s="4" t="s">
        <v>252</v>
      </c>
      <c r="BE2741" s="4" t="s">
        <v>241</v>
      </c>
      <c r="BI2741" s="4" t="s">
        <v>253</v>
      </c>
      <c r="BJ2741" s="5" t="s">
        <v>246</v>
      </c>
      <c r="BK2741" s="4" t="s">
        <v>254</v>
      </c>
      <c r="BL2741" s="4" t="s">
        <v>255</v>
      </c>
      <c r="BM2741" s="4" t="s">
        <v>241</v>
      </c>
      <c r="BN2741" s="6">
        <f>0</f>
        <v>0</v>
      </c>
      <c r="BO2741" s="6">
        <f>0</f>
        <v>0</v>
      </c>
      <c r="BP2741" s="4" t="s">
        <v>256</v>
      </c>
      <c r="BQ2741" s="4" t="s">
        <v>257</v>
      </c>
      <c r="CE2741" s="4" t="s">
        <v>241</v>
      </c>
      <c r="CF2741" s="4" t="s">
        <v>241</v>
      </c>
      <c r="CJ2741" s="4" t="s">
        <v>276</v>
      </c>
      <c r="CK2741" s="4" t="s">
        <v>259</v>
      </c>
      <c r="CL2741" s="4" t="s">
        <v>241</v>
      </c>
      <c r="CO2741" s="5" t="s">
        <v>260</v>
      </c>
      <c r="CP2741" s="4" t="s">
        <v>241</v>
      </c>
      <c r="CQ2741" s="4" t="s">
        <v>261</v>
      </c>
      <c r="CR2741" s="4" t="s">
        <v>241</v>
      </c>
      <c r="CS2741" s="4" t="s">
        <v>241</v>
      </c>
      <c r="CT2741" s="4">
        <v>0</v>
      </c>
      <c r="CU2741" s="4" t="s">
        <v>262</v>
      </c>
      <c r="CV2741" s="4" t="s">
        <v>263</v>
      </c>
      <c r="CW2741" s="4" t="s">
        <v>263</v>
      </c>
      <c r="CX2741" s="4" t="s">
        <v>264</v>
      </c>
      <c r="DA2741" s="6">
        <f>1</f>
        <v>1</v>
      </c>
      <c r="DC2741" s="4" t="s">
        <v>325</v>
      </c>
      <c r="DD2741" s="4" t="s">
        <v>241</v>
      </c>
      <c r="DF2741" s="4" t="s">
        <v>325</v>
      </c>
      <c r="DG2741" s="6">
        <f>1412</f>
        <v>1412</v>
      </c>
      <c r="DI2741" s="4" t="s">
        <v>241</v>
      </c>
      <c r="DJ2741" s="4" t="s">
        <v>241</v>
      </c>
      <c r="DK2741" s="4" t="s">
        <v>241</v>
      </c>
      <c r="DL2741" s="4" t="s">
        <v>241</v>
      </c>
      <c r="DP2741" s="4" t="s">
        <v>241</v>
      </c>
      <c r="DQ2741" s="4" t="s">
        <v>241</v>
      </c>
      <c r="DR2741" s="4" t="s">
        <v>241</v>
      </c>
      <c r="DS2741" s="4" t="s">
        <v>241</v>
      </c>
      <c r="DV2741" s="4" t="s">
        <v>426</v>
      </c>
      <c r="DW2741" s="4" t="s">
        <v>2411</v>
      </c>
      <c r="HO2741" s="4" t="s">
        <v>267</v>
      </c>
    </row>
    <row r="2742" spans="1:223" ht="19.5" customHeight="1" x14ac:dyDescent="0.4">
      <c r="A2742" s="4">
        <v>1</v>
      </c>
      <c r="B2742" s="4" t="s">
        <v>239</v>
      </c>
      <c r="C2742" s="4">
        <v>4445</v>
      </c>
      <c r="D2742" s="4">
        <v>1</v>
      </c>
      <c r="E2742" s="4">
        <v>1</v>
      </c>
      <c r="F2742" s="4" t="s">
        <v>268</v>
      </c>
      <c r="G2742" s="4" t="s">
        <v>241</v>
      </c>
      <c r="H2742" s="4" t="s">
        <v>241</v>
      </c>
      <c r="I2742" s="4" t="s">
        <v>424</v>
      </c>
      <c r="J2742" s="4" t="s">
        <v>274</v>
      </c>
      <c r="K2742" s="4" t="s">
        <v>251</v>
      </c>
      <c r="L2742" s="4" t="s">
        <v>423</v>
      </c>
      <c r="M2742" s="5" t="s">
        <v>3300</v>
      </c>
      <c r="N2742" s="6">
        <f>206</f>
        <v>206</v>
      </c>
      <c r="O2742" s="4" t="s">
        <v>265</v>
      </c>
      <c r="P2742" s="6">
        <f>1</f>
        <v>1</v>
      </c>
      <c r="Q2742" s="6">
        <f>0</f>
        <v>0</v>
      </c>
      <c r="S2742" s="6">
        <f>0</f>
        <v>0</v>
      </c>
      <c r="T2742" s="6">
        <f>1</f>
        <v>1</v>
      </c>
      <c r="U2742" s="5" t="s">
        <v>245</v>
      </c>
      <c r="V2742" s="4" t="s">
        <v>270</v>
      </c>
      <c r="W2742" s="4" t="s">
        <v>271</v>
      </c>
      <c r="X2742" s="4" t="s">
        <v>273</v>
      </c>
      <c r="Y2742" s="4" t="s">
        <v>241</v>
      </c>
      <c r="AB2742" s="4" t="s">
        <v>241</v>
      </c>
      <c r="AD2742" s="5" t="s">
        <v>241</v>
      </c>
      <c r="AG2742" s="5" t="s">
        <v>246</v>
      </c>
      <c r="AH2742" s="4" t="s">
        <v>241</v>
      </c>
      <c r="AI2742" s="4" t="s">
        <v>247</v>
      </c>
      <c r="AJ2742" s="4" t="s">
        <v>248</v>
      </c>
      <c r="AZ2742" s="4" t="s">
        <v>249</v>
      </c>
      <c r="BA2742" s="4" t="s">
        <v>241</v>
      </c>
      <c r="BB2742" s="4" t="s">
        <v>250</v>
      </c>
      <c r="BC2742" s="4" t="s">
        <v>241</v>
      </c>
      <c r="BD2742" s="4" t="s">
        <v>252</v>
      </c>
      <c r="BE2742" s="4" t="s">
        <v>241</v>
      </c>
      <c r="BI2742" s="4" t="s">
        <v>253</v>
      </c>
      <c r="BJ2742" s="5" t="s">
        <v>246</v>
      </c>
      <c r="BK2742" s="4" t="s">
        <v>254</v>
      </c>
      <c r="BL2742" s="4" t="s">
        <v>255</v>
      </c>
      <c r="BM2742" s="4" t="s">
        <v>241</v>
      </c>
      <c r="BN2742" s="6">
        <f>0</f>
        <v>0</v>
      </c>
      <c r="BO2742" s="6">
        <f>0</f>
        <v>0</v>
      </c>
      <c r="BP2742" s="4" t="s">
        <v>256</v>
      </c>
      <c r="BQ2742" s="4" t="s">
        <v>257</v>
      </c>
      <c r="CE2742" s="4" t="s">
        <v>241</v>
      </c>
      <c r="CF2742" s="4" t="s">
        <v>241</v>
      </c>
      <c r="CJ2742" s="4" t="s">
        <v>276</v>
      </c>
      <c r="CK2742" s="4" t="s">
        <v>259</v>
      </c>
      <c r="CL2742" s="4" t="s">
        <v>241</v>
      </c>
      <c r="CO2742" s="5" t="s">
        <v>260</v>
      </c>
      <c r="CP2742" s="4" t="s">
        <v>241</v>
      </c>
      <c r="CQ2742" s="4" t="s">
        <v>261</v>
      </c>
      <c r="CR2742" s="4" t="s">
        <v>241</v>
      </c>
      <c r="CS2742" s="4" t="s">
        <v>241</v>
      </c>
      <c r="CT2742" s="4">
        <v>0</v>
      </c>
      <c r="CU2742" s="4" t="s">
        <v>262</v>
      </c>
      <c r="CV2742" s="4" t="s">
        <v>263</v>
      </c>
      <c r="CW2742" s="4" t="s">
        <v>263</v>
      </c>
      <c r="CX2742" s="4" t="s">
        <v>264</v>
      </c>
      <c r="DA2742" s="6">
        <f>1</f>
        <v>1</v>
      </c>
      <c r="DC2742" s="4" t="s">
        <v>325</v>
      </c>
      <c r="DD2742" s="4" t="s">
        <v>241</v>
      </c>
      <c r="DF2742" s="4" t="s">
        <v>325</v>
      </c>
      <c r="DG2742" s="6">
        <f>206</f>
        <v>206</v>
      </c>
      <c r="DI2742" s="4" t="s">
        <v>241</v>
      </c>
      <c r="DJ2742" s="4" t="s">
        <v>241</v>
      </c>
      <c r="DK2742" s="4" t="s">
        <v>241</v>
      </c>
      <c r="DL2742" s="4" t="s">
        <v>241</v>
      </c>
      <c r="DP2742" s="4" t="s">
        <v>241</v>
      </c>
      <c r="DQ2742" s="4" t="s">
        <v>241</v>
      </c>
      <c r="DR2742" s="4" t="s">
        <v>241</v>
      </c>
      <c r="DS2742" s="4" t="s">
        <v>241</v>
      </c>
      <c r="DV2742" s="4" t="s">
        <v>426</v>
      </c>
      <c r="DW2742" s="4" t="s">
        <v>2407</v>
      </c>
      <c r="HO2742" s="4" t="s">
        <v>267</v>
      </c>
    </row>
    <row r="2743" spans="1:223" ht="19.5" customHeight="1" x14ac:dyDescent="0.4">
      <c r="A2743" s="4">
        <v>1</v>
      </c>
      <c r="B2743" s="4" t="s">
        <v>239</v>
      </c>
      <c r="C2743" s="4">
        <v>4446</v>
      </c>
      <c r="D2743" s="4">
        <v>1</v>
      </c>
      <c r="E2743" s="4">
        <v>1</v>
      </c>
      <c r="F2743" s="4" t="s">
        <v>268</v>
      </c>
      <c r="G2743" s="4" t="s">
        <v>241</v>
      </c>
      <c r="H2743" s="4" t="s">
        <v>241</v>
      </c>
      <c r="I2743" s="4" t="s">
        <v>424</v>
      </c>
      <c r="J2743" s="4" t="s">
        <v>274</v>
      </c>
      <c r="K2743" s="4" t="s">
        <v>251</v>
      </c>
      <c r="L2743" s="4" t="s">
        <v>423</v>
      </c>
      <c r="M2743" s="5" t="s">
        <v>3303</v>
      </c>
      <c r="N2743" s="6">
        <f>848</f>
        <v>848</v>
      </c>
      <c r="O2743" s="4" t="s">
        <v>265</v>
      </c>
      <c r="P2743" s="6">
        <f>1</f>
        <v>1</v>
      </c>
      <c r="Q2743" s="6">
        <f>0</f>
        <v>0</v>
      </c>
      <c r="S2743" s="6">
        <f>0</f>
        <v>0</v>
      </c>
      <c r="T2743" s="6">
        <f>1</f>
        <v>1</v>
      </c>
      <c r="U2743" s="5" t="s">
        <v>245</v>
      </c>
      <c r="V2743" s="4" t="s">
        <v>270</v>
      </c>
      <c r="W2743" s="4" t="s">
        <v>271</v>
      </c>
      <c r="X2743" s="4" t="s">
        <v>273</v>
      </c>
      <c r="Y2743" s="4" t="s">
        <v>241</v>
      </c>
      <c r="AB2743" s="4" t="s">
        <v>241</v>
      </c>
      <c r="AD2743" s="5" t="s">
        <v>241</v>
      </c>
      <c r="AG2743" s="5" t="s">
        <v>246</v>
      </c>
      <c r="AH2743" s="4" t="s">
        <v>241</v>
      </c>
      <c r="AI2743" s="4" t="s">
        <v>247</v>
      </c>
      <c r="AJ2743" s="4" t="s">
        <v>248</v>
      </c>
      <c r="AZ2743" s="4" t="s">
        <v>249</v>
      </c>
      <c r="BA2743" s="4" t="s">
        <v>241</v>
      </c>
      <c r="BB2743" s="4" t="s">
        <v>250</v>
      </c>
      <c r="BC2743" s="4" t="s">
        <v>241</v>
      </c>
      <c r="BD2743" s="4" t="s">
        <v>252</v>
      </c>
      <c r="BE2743" s="4" t="s">
        <v>241</v>
      </c>
      <c r="BI2743" s="4" t="s">
        <v>253</v>
      </c>
      <c r="BJ2743" s="5" t="s">
        <v>246</v>
      </c>
      <c r="BK2743" s="4" t="s">
        <v>254</v>
      </c>
      <c r="BL2743" s="4" t="s">
        <v>255</v>
      </c>
      <c r="BM2743" s="4" t="s">
        <v>241</v>
      </c>
      <c r="BN2743" s="6">
        <f>0</f>
        <v>0</v>
      </c>
      <c r="BO2743" s="6">
        <f>0</f>
        <v>0</v>
      </c>
      <c r="BP2743" s="4" t="s">
        <v>256</v>
      </c>
      <c r="BQ2743" s="4" t="s">
        <v>257</v>
      </c>
      <c r="CE2743" s="4" t="s">
        <v>241</v>
      </c>
      <c r="CF2743" s="4" t="s">
        <v>241</v>
      </c>
      <c r="CJ2743" s="4" t="s">
        <v>276</v>
      </c>
      <c r="CK2743" s="4" t="s">
        <v>259</v>
      </c>
      <c r="CL2743" s="4" t="s">
        <v>241</v>
      </c>
      <c r="CO2743" s="5" t="s">
        <v>260</v>
      </c>
      <c r="CP2743" s="4" t="s">
        <v>241</v>
      </c>
      <c r="CQ2743" s="4" t="s">
        <v>261</v>
      </c>
      <c r="CR2743" s="4" t="s">
        <v>241</v>
      </c>
      <c r="CS2743" s="4" t="s">
        <v>241</v>
      </c>
      <c r="CT2743" s="4">
        <v>0</v>
      </c>
      <c r="CU2743" s="4" t="s">
        <v>262</v>
      </c>
      <c r="CV2743" s="4" t="s">
        <v>263</v>
      </c>
      <c r="CW2743" s="4" t="s">
        <v>263</v>
      </c>
      <c r="CX2743" s="4" t="s">
        <v>264</v>
      </c>
      <c r="DA2743" s="6">
        <f>1</f>
        <v>1</v>
      </c>
      <c r="DC2743" s="4" t="s">
        <v>325</v>
      </c>
      <c r="DD2743" s="4" t="s">
        <v>241</v>
      </c>
      <c r="DF2743" s="4" t="s">
        <v>325</v>
      </c>
      <c r="DG2743" s="6">
        <f>848</f>
        <v>848</v>
      </c>
      <c r="DI2743" s="4" t="s">
        <v>241</v>
      </c>
      <c r="DJ2743" s="4" t="s">
        <v>241</v>
      </c>
      <c r="DK2743" s="4" t="s">
        <v>241</v>
      </c>
      <c r="DL2743" s="4" t="s">
        <v>241</v>
      </c>
      <c r="DP2743" s="4" t="s">
        <v>241</v>
      </c>
      <c r="DQ2743" s="4" t="s">
        <v>241</v>
      </c>
      <c r="DR2743" s="4" t="s">
        <v>241</v>
      </c>
      <c r="DS2743" s="4" t="s">
        <v>241</v>
      </c>
      <c r="DV2743" s="4" t="s">
        <v>426</v>
      </c>
      <c r="DW2743" s="4" t="s">
        <v>2401</v>
      </c>
      <c r="HO2743" s="4" t="s">
        <v>267</v>
      </c>
    </row>
    <row r="2744" spans="1:223" ht="19.5" customHeight="1" x14ac:dyDescent="0.4">
      <c r="A2744" s="4">
        <v>1</v>
      </c>
      <c r="B2744" s="4" t="s">
        <v>239</v>
      </c>
      <c r="C2744" s="4">
        <v>4447</v>
      </c>
      <c r="D2744" s="4">
        <v>1</v>
      </c>
      <c r="E2744" s="4">
        <v>1</v>
      </c>
      <c r="F2744" s="4" t="s">
        <v>268</v>
      </c>
      <c r="G2744" s="4" t="s">
        <v>241</v>
      </c>
      <c r="H2744" s="4" t="s">
        <v>241</v>
      </c>
      <c r="I2744" s="4" t="s">
        <v>424</v>
      </c>
      <c r="J2744" s="4" t="s">
        <v>274</v>
      </c>
      <c r="K2744" s="4" t="s">
        <v>251</v>
      </c>
      <c r="L2744" s="4" t="s">
        <v>423</v>
      </c>
      <c r="M2744" s="5" t="s">
        <v>4621</v>
      </c>
      <c r="N2744" s="6">
        <f>1618</f>
        <v>1618</v>
      </c>
      <c r="O2744" s="4" t="s">
        <v>265</v>
      </c>
      <c r="P2744" s="6">
        <f>1</f>
        <v>1</v>
      </c>
      <c r="Q2744" s="6">
        <f>0</f>
        <v>0</v>
      </c>
      <c r="S2744" s="6">
        <f>0</f>
        <v>0</v>
      </c>
      <c r="T2744" s="6">
        <f>1</f>
        <v>1</v>
      </c>
      <c r="U2744" s="5" t="s">
        <v>245</v>
      </c>
      <c r="V2744" s="4" t="s">
        <v>270</v>
      </c>
      <c r="W2744" s="4" t="s">
        <v>271</v>
      </c>
      <c r="X2744" s="4" t="s">
        <v>273</v>
      </c>
      <c r="Y2744" s="4" t="s">
        <v>241</v>
      </c>
      <c r="AB2744" s="4" t="s">
        <v>241</v>
      </c>
      <c r="AD2744" s="5" t="s">
        <v>241</v>
      </c>
      <c r="AG2744" s="5" t="s">
        <v>246</v>
      </c>
      <c r="AH2744" s="4" t="s">
        <v>241</v>
      </c>
      <c r="AI2744" s="4" t="s">
        <v>247</v>
      </c>
      <c r="AJ2744" s="4" t="s">
        <v>248</v>
      </c>
      <c r="AZ2744" s="4" t="s">
        <v>249</v>
      </c>
      <c r="BA2744" s="4" t="s">
        <v>241</v>
      </c>
      <c r="BB2744" s="4" t="s">
        <v>250</v>
      </c>
      <c r="BC2744" s="4" t="s">
        <v>241</v>
      </c>
      <c r="BD2744" s="4" t="s">
        <v>252</v>
      </c>
      <c r="BE2744" s="4" t="s">
        <v>241</v>
      </c>
      <c r="BI2744" s="4" t="s">
        <v>253</v>
      </c>
      <c r="BJ2744" s="5" t="s">
        <v>246</v>
      </c>
      <c r="BK2744" s="4" t="s">
        <v>254</v>
      </c>
      <c r="BL2744" s="4" t="s">
        <v>255</v>
      </c>
      <c r="BM2744" s="4" t="s">
        <v>241</v>
      </c>
      <c r="BN2744" s="6">
        <f>0</f>
        <v>0</v>
      </c>
      <c r="BO2744" s="6">
        <f>0</f>
        <v>0</v>
      </c>
      <c r="BP2744" s="4" t="s">
        <v>256</v>
      </c>
      <c r="BQ2744" s="4" t="s">
        <v>257</v>
      </c>
      <c r="CE2744" s="4" t="s">
        <v>241</v>
      </c>
      <c r="CF2744" s="4" t="s">
        <v>241</v>
      </c>
      <c r="CJ2744" s="4" t="s">
        <v>276</v>
      </c>
      <c r="CK2744" s="4" t="s">
        <v>259</v>
      </c>
      <c r="CL2744" s="4" t="s">
        <v>241</v>
      </c>
      <c r="CO2744" s="5" t="s">
        <v>260</v>
      </c>
      <c r="CP2744" s="4" t="s">
        <v>241</v>
      </c>
      <c r="CQ2744" s="4" t="s">
        <v>261</v>
      </c>
      <c r="CR2744" s="4" t="s">
        <v>241</v>
      </c>
      <c r="CS2744" s="4" t="s">
        <v>241</v>
      </c>
      <c r="CT2744" s="4">
        <v>0</v>
      </c>
      <c r="CU2744" s="4" t="s">
        <v>262</v>
      </c>
      <c r="CV2744" s="4" t="s">
        <v>263</v>
      </c>
      <c r="CW2744" s="4" t="s">
        <v>263</v>
      </c>
      <c r="CX2744" s="4" t="s">
        <v>264</v>
      </c>
      <c r="DA2744" s="6">
        <f>1</f>
        <v>1</v>
      </c>
      <c r="DC2744" s="4" t="s">
        <v>325</v>
      </c>
      <c r="DD2744" s="4" t="s">
        <v>241</v>
      </c>
      <c r="DF2744" s="4" t="s">
        <v>325</v>
      </c>
      <c r="DG2744" s="6">
        <f>1618</f>
        <v>1618</v>
      </c>
      <c r="DI2744" s="4" t="s">
        <v>241</v>
      </c>
      <c r="DJ2744" s="4" t="s">
        <v>241</v>
      </c>
      <c r="DK2744" s="4" t="s">
        <v>241</v>
      </c>
      <c r="DL2744" s="4" t="s">
        <v>241</v>
      </c>
      <c r="DP2744" s="4" t="s">
        <v>241</v>
      </c>
      <c r="DQ2744" s="4" t="s">
        <v>241</v>
      </c>
      <c r="DR2744" s="4" t="s">
        <v>241</v>
      </c>
      <c r="DS2744" s="4" t="s">
        <v>241</v>
      </c>
      <c r="DV2744" s="4" t="s">
        <v>426</v>
      </c>
      <c r="DW2744" s="4" t="s">
        <v>2399</v>
      </c>
      <c r="HO2744" s="4" t="s">
        <v>267</v>
      </c>
    </row>
    <row r="2745" spans="1:223" ht="19.5" customHeight="1" x14ac:dyDescent="0.4">
      <c r="A2745" s="4">
        <v>1</v>
      </c>
      <c r="B2745" s="4" t="s">
        <v>239</v>
      </c>
      <c r="C2745" s="4">
        <v>4448</v>
      </c>
      <c r="D2745" s="4">
        <v>1</v>
      </c>
      <c r="E2745" s="4">
        <v>1</v>
      </c>
      <c r="F2745" s="4" t="s">
        <v>268</v>
      </c>
      <c r="G2745" s="4" t="s">
        <v>241</v>
      </c>
      <c r="H2745" s="4" t="s">
        <v>241</v>
      </c>
      <c r="I2745" s="4" t="s">
        <v>424</v>
      </c>
      <c r="J2745" s="4" t="s">
        <v>274</v>
      </c>
      <c r="K2745" s="4" t="s">
        <v>251</v>
      </c>
      <c r="L2745" s="4" t="s">
        <v>423</v>
      </c>
      <c r="M2745" s="5" t="s">
        <v>3310</v>
      </c>
      <c r="N2745" s="6">
        <f>394</f>
        <v>394</v>
      </c>
      <c r="O2745" s="4" t="s">
        <v>265</v>
      </c>
      <c r="P2745" s="6">
        <f>1</f>
        <v>1</v>
      </c>
      <c r="Q2745" s="6">
        <f>0</f>
        <v>0</v>
      </c>
      <c r="S2745" s="6">
        <f>0</f>
        <v>0</v>
      </c>
      <c r="T2745" s="6">
        <f>1</f>
        <v>1</v>
      </c>
      <c r="U2745" s="5" t="s">
        <v>245</v>
      </c>
      <c r="V2745" s="4" t="s">
        <v>270</v>
      </c>
      <c r="W2745" s="4" t="s">
        <v>271</v>
      </c>
      <c r="X2745" s="4" t="s">
        <v>273</v>
      </c>
      <c r="Y2745" s="4" t="s">
        <v>241</v>
      </c>
      <c r="AB2745" s="4" t="s">
        <v>241</v>
      </c>
      <c r="AD2745" s="5" t="s">
        <v>241</v>
      </c>
      <c r="AG2745" s="5" t="s">
        <v>246</v>
      </c>
      <c r="AH2745" s="4" t="s">
        <v>241</v>
      </c>
      <c r="AI2745" s="4" t="s">
        <v>247</v>
      </c>
      <c r="AJ2745" s="4" t="s">
        <v>248</v>
      </c>
      <c r="AZ2745" s="4" t="s">
        <v>249</v>
      </c>
      <c r="BA2745" s="4" t="s">
        <v>241</v>
      </c>
      <c r="BB2745" s="4" t="s">
        <v>250</v>
      </c>
      <c r="BC2745" s="4" t="s">
        <v>241</v>
      </c>
      <c r="BD2745" s="4" t="s">
        <v>252</v>
      </c>
      <c r="BE2745" s="4" t="s">
        <v>241</v>
      </c>
      <c r="BI2745" s="4" t="s">
        <v>253</v>
      </c>
      <c r="BJ2745" s="5" t="s">
        <v>246</v>
      </c>
      <c r="BK2745" s="4" t="s">
        <v>254</v>
      </c>
      <c r="BL2745" s="4" t="s">
        <v>255</v>
      </c>
      <c r="BM2745" s="4" t="s">
        <v>241</v>
      </c>
      <c r="BN2745" s="6">
        <f>0</f>
        <v>0</v>
      </c>
      <c r="BO2745" s="6">
        <f>0</f>
        <v>0</v>
      </c>
      <c r="BP2745" s="4" t="s">
        <v>256</v>
      </c>
      <c r="BQ2745" s="4" t="s">
        <v>257</v>
      </c>
      <c r="CE2745" s="4" t="s">
        <v>241</v>
      </c>
      <c r="CF2745" s="4" t="s">
        <v>241</v>
      </c>
      <c r="CJ2745" s="4" t="s">
        <v>276</v>
      </c>
      <c r="CK2745" s="4" t="s">
        <v>259</v>
      </c>
      <c r="CL2745" s="4" t="s">
        <v>241</v>
      </c>
      <c r="CO2745" s="5" t="s">
        <v>260</v>
      </c>
      <c r="CP2745" s="4" t="s">
        <v>241</v>
      </c>
      <c r="CQ2745" s="4" t="s">
        <v>261</v>
      </c>
      <c r="CR2745" s="4" t="s">
        <v>241</v>
      </c>
      <c r="CS2745" s="4" t="s">
        <v>241</v>
      </c>
      <c r="CT2745" s="4">
        <v>0</v>
      </c>
      <c r="CU2745" s="4" t="s">
        <v>262</v>
      </c>
      <c r="CV2745" s="4" t="s">
        <v>263</v>
      </c>
      <c r="CW2745" s="4" t="s">
        <v>263</v>
      </c>
      <c r="CX2745" s="4" t="s">
        <v>264</v>
      </c>
      <c r="DA2745" s="6">
        <f>1</f>
        <v>1</v>
      </c>
      <c r="DC2745" s="4" t="s">
        <v>325</v>
      </c>
      <c r="DD2745" s="4" t="s">
        <v>241</v>
      </c>
      <c r="DF2745" s="4" t="s">
        <v>325</v>
      </c>
      <c r="DG2745" s="6">
        <f>394</f>
        <v>394</v>
      </c>
      <c r="DI2745" s="4" t="s">
        <v>241</v>
      </c>
      <c r="DJ2745" s="4" t="s">
        <v>241</v>
      </c>
      <c r="DK2745" s="4" t="s">
        <v>241</v>
      </c>
      <c r="DL2745" s="4" t="s">
        <v>241</v>
      </c>
      <c r="DP2745" s="4" t="s">
        <v>241</v>
      </c>
      <c r="DQ2745" s="4" t="s">
        <v>241</v>
      </c>
      <c r="DR2745" s="4" t="s">
        <v>241</v>
      </c>
      <c r="DS2745" s="4" t="s">
        <v>241</v>
      </c>
      <c r="DV2745" s="4" t="s">
        <v>426</v>
      </c>
      <c r="DW2745" s="4" t="s">
        <v>2397</v>
      </c>
      <c r="HO2745" s="4" t="s">
        <v>267</v>
      </c>
    </row>
    <row r="2746" spans="1:223" ht="19.5" customHeight="1" x14ac:dyDescent="0.4">
      <c r="A2746" s="4">
        <v>1</v>
      </c>
      <c r="B2746" s="4" t="s">
        <v>239</v>
      </c>
      <c r="C2746" s="4">
        <v>4449</v>
      </c>
      <c r="D2746" s="4">
        <v>1</v>
      </c>
      <c r="E2746" s="4">
        <v>1</v>
      </c>
      <c r="F2746" s="4" t="s">
        <v>268</v>
      </c>
      <c r="G2746" s="4" t="s">
        <v>241</v>
      </c>
      <c r="H2746" s="4" t="s">
        <v>241</v>
      </c>
      <c r="I2746" s="4" t="s">
        <v>424</v>
      </c>
      <c r="J2746" s="4" t="s">
        <v>274</v>
      </c>
      <c r="K2746" s="4" t="s">
        <v>251</v>
      </c>
      <c r="L2746" s="4" t="s">
        <v>423</v>
      </c>
      <c r="M2746" s="5" t="s">
        <v>3315</v>
      </c>
      <c r="N2746" s="6">
        <f>105</f>
        <v>105</v>
      </c>
      <c r="O2746" s="4" t="s">
        <v>265</v>
      </c>
      <c r="P2746" s="6">
        <f>1</f>
        <v>1</v>
      </c>
      <c r="Q2746" s="6">
        <f>0</f>
        <v>0</v>
      </c>
      <c r="S2746" s="6">
        <f>0</f>
        <v>0</v>
      </c>
      <c r="T2746" s="6">
        <f>1</f>
        <v>1</v>
      </c>
      <c r="U2746" s="5" t="s">
        <v>245</v>
      </c>
      <c r="V2746" s="4" t="s">
        <v>270</v>
      </c>
      <c r="W2746" s="4" t="s">
        <v>271</v>
      </c>
      <c r="X2746" s="4" t="s">
        <v>273</v>
      </c>
      <c r="Y2746" s="4" t="s">
        <v>241</v>
      </c>
      <c r="AB2746" s="4" t="s">
        <v>241</v>
      </c>
      <c r="AD2746" s="5" t="s">
        <v>241</v>
      </c>
      <c r="AG2746" s="5" t="s">
        <v>246</v>
      </c>
      <c r="AH2746" s="4" t="s">
        <v>241</v>
      </c>
      <c r="AI2746" s="4" t="s">
        <v>247</v>
      </c>
      <c r="AJ2746" s="4" t="s">
        <v>248</v>
      </c>
      <c r="AZ2746" s="4" t="s">
        <v>249</v>
      </c>
      <c r="BA2746" s="4" t="s">
        <v>241</v>
      </c>
      <c r="BB2746" s="4" t="s">
        <v>250</v>
      </c>
      <c r="BC2746" s="4" t="s">
        <v>241</v>
      </c>
      <c r="BD2746" s="4" t="s">
        <v>252</v>
      </c>
      <c r="BE2746" s="4" t="s">
        <v>241</v>
      </c>
      <c r="BI2746" s="4" t="s">
        <v>253</v>
      </c>
      <c r="BJ2746" s="5" t="s">
        <v>246</v>
      </c>
      <c r="BK2746" s="4" t="s">
        <v>254</v>
      </c>
      <c r="BL2746" s="4" t="s">
        <v>255</v>
      </c>
      <c r="BM2746" s="4" t="s">
        <v>241</v>
      </c>
      <c r="BN2746" s="6">
        <f>0</f>
        <v>0</v>
      </c>
      <c r="BO2746" s="6">
        <f>0</f>
        <v>0</v>
      </c>
      <c r="BP2746" s="4" t="s">
        <v>256</v>
      </c>
      <c r="BQ2746" s="4" t="s">
        <v>257</v>
      </c>
      <c r="CE2746" s="4" t="s">
        <v>241</v>
      </c>
      <c r="CF2746" s="4" t="s">
        <v>241</v>
      </c>
      <c r="CJ2746" s="4" t="s">
        <v>276</v>
      </c>
      <c r="CK2746" s="4" t="s">
        <v>259</v>
      </c>
      <c r="CL2746" s="4" t="s">
        <v>241</v>
      </c>
      <c r="CO2746" s="5" t="s">
        <v>260</v>
      </c>
      <c r="CP2746" s="4" t="s">
        <v>241</v>
      </c>
      <c r="CQ2746" s="4" t="s">
        <v>261</v>
      </c>
      <c r="CR2746" s="4" t="s">
        <v>241</v>
      </c>
      <c r="CS2746" s="4" t="s">
        <v>241</v>
      </c>
      <c r="CT2746" s="4">
        <v>0</v>
      </c>
      <c r="CU2746" s="4" t="s">
        <v>262</v>
      </c>
      <c r="CV2746" s="4" t="s">
        <v>263</v>
      </c>
      <c r="CW2746" s="4" t="s">
        <v>263</v>
      </c>
      <c r="CX2746" s="4" t="s">
        <v>264</v>
      </c>
      <c r="DA2746" s="6">
        <f>1</f>
        <v>1</v>
      </c>
      <c r="DC2746" s="4" t="s">
        <v>325</v>
      </c>
      <c r="DD2746" s="4" t="s">
        <v>241</v>
      </c>
      <c r="DF2746" s="4" t="s">
        <v>325</v>
      </c>
      <c r="DG2746" s="6">
        <f>105</f>
        <v>105</v>
      </c>
      <c r="DI2746" s="4" t="s">
        <v>241</v>
      </c>
      <c r="DJ2746" s="4" t="s">
        <v>241</v>
      </c>
      <c r="DK2746" s="4" t="s">
        <v>241</v>
      </c>
      <c r="DL2746" s="4" t="s">
        <v>241</v>
      </c>
      <c r="DP2746" s="4" t="s">
        <v>241</v>
      </c>
      <c r="DQ2746" s="4" t="s">
        <v>241</v>
      </c>
      <c r="DR2746" s="4" t="s">
        <v>241</v>
      </c>
      <c r="DS2746" s="4" t="s">
        <v>241</v>
      </c>
      <c r="DV2746" s="4" t="s">
        <v>426</v>
      </c>
      <c r="DW2746" s="4" t="s">
        <v>2395</v>
      </c>
      <c r="HO2746" s="4" t="s">
        <v>267</v>
      </c>
    </row>
    <row r="2747" spans="1:223" ht="19.5" customHeight="1" x14ac:dyDescent="0.4">
      <c r="A2747" s="4">
        <v>1</v>
      </c>
      <c r="B2747" s="4" t="s">
        <v>239</v>
      </c>
      <c r="C2747" s="4">
        <v>4450</v>
      </c>
      <c r="D2747" s="4">
        <v>1</v>
      </c>
      <c r="E2747" s="4">
        <v>1</v>
      </c>
      <c r="F2747" s="4" t="s">
        <v>268</v>
      </c>
      <c r="G2747" s="4" t="s">
        <v>241</v>
      </c>
      <c r="H2747" s="4" t="s">
        <v>241</v>
      </c>
      <c r="I2747" s="4" t="s">
        <v>424</v>
      </c>
      <c r="J2747" s="4" t="s">
        <v>274</v>
      </c>
      <c r="K2747" s="4" t="s">
        <v>251</v>
      </c>
      <c r="L2747" s="4" t="s">
        <v>423</v>
      </c>
      <c r="M2747" s="5" t="s">
        <v>3319</v>
      </c>
      <c r="N2747" s="6">
        <f>368</f>
        <v>368</v>
      </c>
      <c r="O2747" s="4" t="s">
        <v>265</v>
      </c>
      <c r="P2747" s="6">
        <f>1</f>
        <v>1</v>
      </c>
      <c r="Q2747" s="6">
        <f>0</f>
        <v>0</v>
      </c>
      <c r="S2747" s="6">
        <f>0</f>
        <v>0</v>
      </c>
      <c r="T2747" s="6">
        <f>1</f>
        <v>1</v>
      </c>
      <c r="U2747" s="5" t="s">
        <v>245</v>
      </c>
      <c r="V2747" s="4" t="s">
        <v>270</v>
      </c>
      <c r="W2747" s="4" t="s">
        <v>271</v>
      </c>
      <c r="X2747" s="4" t="s">
        <v>273</v>
      </c>
      <c r="Y2747" s="4" t="s">
        <v>241</v>
      </c>
      <c r="AB2747" s="4" t="s">
        <v>241</v>
      </c>
      <c r="AD2747" s="5" t="s">
        <v>241</v>
      </c>
      <c r="AG2747" s="5" t="s">
        <v>246</v>
      </c>
      <c r="AH2747" s="4" t="s">
        <v>241</v>
      </c>
      <c r="AI2747" s="4" t="s">
        <v>247</v>
      </c>
      <c r="AJ2747" s="4" t="s">
        <v>248</v>
      </c>
      <c r="AZ2747" s="4" t="s">
        <v>249</v>
      </c>
      <c r="BA2747" s="4" t="s">
        <v>241</v>
      </c>
      <c r="BB2747" s="4" t="s">
        <v>250</v>
      </c>
      <c r="BC2747" s="4" t="s">
        <v>241</v>
      </c>
      <c r="BD2747" s="4" t="s">
        <v>252</v>
      </c>
      <c r="BE2747" s="4" t="s">
        <v>241</v>
      </c>
      <c r="BI2747" s="4" t="s">
        <v>253</v>
      </c>
      <c r="BJ2747" s="5" t="s">
        <v>246</v>
      </c>
      <c r="BK2747" s="4" t="s">
        <v>254</v>
      </c>
      <c r="BL2747" s="4" t="s">
        <v>255</v>
      </c>
      <c r="BM2747" s="4" t="s">
        <v>241</v>
      </c>
      <c r="BN2747" s="6">
        <f>0</f>
        <v>0</v>
      </c>
      <c r="BO2747" s="6">
        <f>0</f>
        <v>0</v>
      </c>
      <c r="BP2747" s="4" t="s">
        <v>256</v>
      </c>
      <c r="BQ2747" s="4" t="s">
        <v>257</v>
      </c>
      <c r="CE2747" s="4" t="s">
        <v>241</v>
      </c>
      <c r="CF2747" s="4" t="s">
        <v>241</v>
      </c>
      <c r="CJ2747" s="4" t="s">
        <v>276</v>
      </c>
      <c r="CK2747" s="4" t="s">
        <v>259</v>
      </c>
      <c r="CL2747" s="4" t="s">
        <v>241</v>
      </c>
      <c r="CO2747" s="5" t="s">
        <v>260</v>
      </c>
      <c r="CP2747" s="4" t="s">
        <v>241</v>
      </c>
      <c r="CQ2747" s="4" t="s">
        <v>261</v>
      </c>
      <c r="CR2747" s="4" t="s">
        <v>241</v>
      </c>
      <c r="CS2747" s="4" t="s">
        <v>241</v>
      </c>
      <c r="CT2747" s="4">
        <v>0</v>
      </c>
      <c r="CU2747" s="4" t="s">
        <v>262</v>
      </c>
      <c r="CV2747" s="4" t="s">
        <v>263</v>
      </c>
      <c r="CW2747" s="4" t="s">
        <v>263</v>
      </c>
      <c r="CX2747" s="4" t="s">
        <v>264</v>
      </c>
      <c r="DA2747" s="6">
        <f>1</f>
        <v>1</v>
      </c>
      <c r="DC2747" s="4" t="s">
        <v>325</v>
      </c>
      <c r="DD2747" s="4" t="s">
        <v>241</v>
      </c>
      <c r="DF2747" s="4" t="s">
        <v>325</v>
      </c>
      <c r="DG2747" s="6">
        <f>368</f>
        <v>368</v>
      </c>
      <c r="DI2747" s="4" t="s">
        <v>241</v>
      </c>
      <c r="DJ2747" s="4" t="s">
        <v>241</v>
      </c>
      <c r="DK2747" s="4" t="s">
        <v>241</v>
      </c>
      <c r="DL2747" s="4" t="s">
        <v>241</v>
      </c>
      <c r="DP2747" s="4" t="s">
        <v>241</v>
      </c>
      <c r="DQ2747" s="4" t="s">
        <v>241</v>
      </c>
      <c r="DR2747" s="4" t="s">
        <v>241</v>
      </c>
      <c r="DS2747" s="4" t="s">
        <v>241</v>
      </c>
      <c r="DV2747" s="4" t="s">
        <v>426</v>
      </c>
      <c r="DW2747" s="4" t="s">
        <v>2393</v>
      </c>
      <c r="HO2747" s="4" t="s">
        <v>267</v>
      </c>
    </row>
    <row r="2748" spans="1:223" ht="19.5" customHeight="1" x14ac:dyDescent="0.4">
      <c r="A2748" s="4">
        <v>1</v>
      </c>
      <c r="B2748" s="4" t="s">
        <v>239</v>
      </c>
      <c r="C2748" s="4">
        <v>4451</v>
      </c>
      <c r="D2748" s="4">
        <v>1</v>
      </c>
      <c r="E2748" s="4">
        <v>1</v>
      </c>
      <c r="F2748" s="4" t="s">
        <v>268</v>
      </c>
      <c r="G2748" s="4" t="s">
        <v>241</v>
      </c>
      <c r="H2748" s="4" t="s">
        <v>241</v>
      </c>
      <c r="I2748" s="4" t="s">
        <v>424</v>
      </c>
      <c r="J2748" s="4" t="s">
        <v>274</v>
      </c>
      <c r="K2748" s="4" t="s">
        <v>251</v>
      </c>
      <c r="L2748" s="4" t="s">
        <v>423</v>
      </c>
      <c r="M2748" s="5" t="s">
        <v>3324</v>
      </c>
      <c r="N2748" s="6">
        <f>2600</f>
        <v>2600</v>
      </c>
      <c r="O2748" s="4" t="s">
        <v>265</v>
      </c>
      <c r="P2748" s="6">
        <f>1</f>
        <v>1</v>
      </c>
      <c r="Q2748" s="6">
        <f>0</f>
        <v>0</v>
      </c>
      <c r="S2748" s="6">
        <f>0</f>
        <v>0</v>
      </c>
      <c r="T2748" s="6">
        <f>1</f>
        <v>1</v>
      </c>
      <c r="U2748" s="5" t="s">
        <v>245</v>
      </c>
      <c r="V2748" s="4" t="s">
        <v>270</v>
      </c>
      <c r="W2748" s="4" t="s">
        <v>271</v>
      </c>
      <c r="X2748" s="4" t="s">
        <v>273</v>
      </c>
      <c r="Y2748" s="4" t="s">
        <v>241</v>
      </c>
      <c r="AB2748" s="4" t="s">
        <v>241</v>
      </c>
      <c r="AD2748" s="5" t="s">
        <v>241</v>
      </c>
      <c r="AG2748" s="5" t="s">
        <v>246</v>
      </c>
      <c r="AH2748" s="4" t="s">
        <v>241</v>
      </c>
      <c r="AI2748" s="4" t="s">
        <v>247</v>
      </c>
      <c r="AJ2748" s="4" t="s">
        <v>248</v>
      </c>
      <c r="AZ2748" s="4" t="s">
        <v>249</v>
      </c>
      <c r="BA2748" s="4" t="s">
        <v>241</v>
      </c>
      <c r="BB2748" s="4" t="s">
        <v>250</v>
      </c>
      <c r="BC2748" s="4" t="s">
        <v>241</v>
      </c>
      <c r="BD2748" s="4" t="s">
        <v>252</v>
      </c>
      <c r="BE2748" s="4" t="s">
        <v>241</v>
      </c>
      <c r="BI2748" s="4" t="s">
        <v>253</v>
      </c>
      <c r="BJ2748" s="5" t="s">
        <v>246</v>
      </c>
      <c r="BK2748" s="4" t="s">
        <v>254</v>
      </c>
      <c r="BL2748" s="4" t="s">
        <v>255</v>
      </c>
      <c r="BM2748" s="4" t="s">
        <v>241</v>
      </c>
      <c r="BN2748" s="6">
        <f>0</f>
        <v>0</v>
      </c>
      <c r="BO2748" s="6">
        <f>0</f>
        <v>0</v>
      </c>
      <c r="BP2748" s="4" t="s">
        <v>256</v>
      </c>
      <c r="BQ2748" s="4" t="s">
        <v>257</v>
      </c>
      <c r="CE2748" s="4" t="s">
        <v>241</v>
      </c>
      <c r="CF2748" s="4" t="s">
        <v>241</v>
      </c>
      <c r="CJ2748" s="4" t="s">
        <v>276</v>
      </c>
      <c r="CK2748" s="4" t="s">
        <v>259</v>
      </c>
      <c r="CL2748" s="4" t="s">
        <v>241</v>
      </c>
      <c r="CO2748" s="5" t="s">
        <v>260</v>
      </c>
      <c r="CP2748" s="4" t="s">
        <v>241</v>
      </c>
      <c r="CQ2748" s="4" t="s">
        <v>261</v>
      </c>
      <c r="CR2748" s="4" t="s">
        <v>241</v>
      </c>
      <c r="CS2748" s="4" t="s">
        <v>241</v>
      </c>
      <c r="CT2748" s="4">
        <v>0</v>
      </c>
      <c r="CU2748" s="4" t="s">
        <v>262</v>
      </c>
      <c r="CV2748" s="4" t="s">
        <v>263</v>
      </c>
      <c r="CW2748" s="4" t="s">
        <v>263</v>
      </c>
      <c r="CX2748" s="4" t="s">
        <v>264</v>
      </c>
      <c r="DA2748" s="6">
        <f>1</f>
        <v>1</v>
      </c>
      <c r="DC2748" s="4" t="s">
        <v>325</v>
      </c>
      <c r="DD2748" s="4" t="s">
        <v>241</v>
      </c>
      <c r="DF2748" s="4" t="s">
        <v>325</v>
      </c>
      <c r="DG2748" s="6">
        <f>2600</f>
        <v>2600</v>
      </c>
      <c r="DI2748" s="4" t="s">
        <v>241</v>
      </c>
      <c r="DJ2748" s="4" t="s">
        <v>241</v>
      </c>
      <c r="DK2748" s="4" t="s">
        <v>241</v>
      </c>
      <c r="DL2748" s="4" t="s">
        <v>241</v>
      </c>
      <c r="DP2748" s="4" t="s">
        <v>241</v>
      </c>
      <c r="DQ2748" s="4" t="s">
        <v>241</v>
      </c>
      <c r="DR2748" s="4" t="s">
        <v>241</v>
      </c>
      <c r="DS2748" s="4" t="s">
        <v>241</v>
      </c>
      <c r="DV2748" s="4" t="s">
        <v>426</v>
      </c>
      <c r="DW2748" s="4" t="s">
        <v>2391</v>
      </c>
      <c r="HO2748" s="4" t="s">
        <v>267</v>
      </c>
    </row>
    <row r="2749" spans="1:223" ht="19.5" customHeight="1" x14ac:dyDescent="0.4">
      <c r="A2749" s="4">
        <v>1</v>
      </c>
      <c r="B2749" s="4" t="s">
        <v>239</v>
      </c>
      <c r="C2749" s="4">
        <v>4452</v>
      </c>
      <c r="D2749" s="4">
        <v>1</v>
      </c>
      <c r="E2749" s="4">
        <v>1</v>
      </c>
      <c r="F2749" s="4" t="s">
        <v>268</v>
      </c>
      <c r="G2749" s="4" t="s">
        <v>241</v>
      </c>
      <c r="H2749" s="4" t="s">
        <v>241</v>
      </c>
      <c r="I2749" s="4" t="s">
        <v>424</v>
      </c>
      <c r="J2749" s="4" t="s">
        <v>274</v>
      </c>
      <c r="K2749" s="4" t="s">
        <v>251</v>
      </c>
      <c r="L2749" s="4" t="s">
        <v>423</v>
      </c>
      <c r="M2749" s="5" t="s">
        <v>3328</v>
      </c>
      <c r="N2749" s="6">
        <f>3184</f>
        <v>3184</v>
      </c>
      <c r="O2749" s="4" t="s">
        <v>265</v>
      </c>
      <c r="P2749" s="6">
        <f>1</f>
        <v>1</v>
      </c>
      <c r="Q2749" s="6">
        <f>0</f>
        <v>0</v>
      </c>
      <c r="S2749" s="6">
        <f>0</f>
        <v>0</v>
      </c>
      <c r="T2749" s="6">
        <f>1</f>
        <v>1</v>
      </c>
      <c r="U2749" s="5" t="s">
        <v>245</v>
      </c>
      <c r="V2749" s="4" t="s">
        <v>270</v>
      </c>
      <c r="W2749" s="4" t="s">
        <v>271</v>
      </c>
      <c r="X2749" s="4" t="s">
        <v>273</v>
      </c>
      <c r="Y2749" s="4" t="s">
        <v>241</v>
      </c>
      <c r="AB2749" s="4" t="s">
        <v>241</v>
      </c>
      <c r="AD2749" s="5" t="s">
        <v>241</v>
      </c>
      <c r="AG2749" s="5" t="s">
        <v>246</v>
      </c>
      <c r="AH2749" s="4" t="s">
        <v>241</v>
      </c>
      <c r="AI2749" s="4" t="s">
        <v>247</v>
      </c>
      <c r="AJ2749" s="4" t="s">
        <v>248</v>
      </c>
      <c r="AZ2749" s="4" t="s">
        <v>249</v>
      </c>
      <c r="BA2749" s="4" t="s">
        <v>241</v>
      </c>
      <c r="BB2749" s="4" t="s">
        <v>250</v>
      </c>
      <c r="BC2749" s="4" t="s">
        <v>241</v>
      </c>
      <c r="BD2749" s="4" t="s">
        <v>252</v>
      </c>
      <c r="BE2749" s="4" t="s">
        <v>241</v>
      </c>
      <c r="BI2749" s="4" t="s">
        <v>253</v>
      </c>
      <c r="BJ2749" s="5" t="s">
        <v>246</v>
      </c>
      <c r="BK2749" s="4" t="s">
        <v>254</v>
      </c>
      <c r="BL2749" s="4" t="s">
        <v>255</v>
      </c>
      <c r="BM2749" s="4" t="s">
        <v>241</v>
      </c>
      <c r="BN2749" s="6">
        <f>0</f>
        <v>0</v>
      </c>
      <c r="BO2749" s="6">
        <f>0</f>
        <v>0</v>
      </c>
      <c r="BP2749" s="4" t="s">
        <v>256</v>
      </c>
      <c r="BQ2749" s="4" t="s">
        <v>257</v>
      </c>
      <c r="CE2749" s="4" t="s">
        <v>241</v>
      </c>
      <c r="CF2749" s="4" t="s">
        <v>241</v>
      </c>
      <c r="CJ2749" s="4" t="s">
        <v>276</v>
      </c>
      <c r="CK2749" s="4" t="s">
        <v>259</v>
      </c>
      <c r="CL2749" s="4" t="s">
        <v>241</v>
      </c>
      <c r="CO2749" s="5" t="s">
        <v>260</v>
      </c>
      <c r="CP2749" s="4" t="s">
        <v>241</v>
      </c>
      <c r="CQ2749" s="4" t="s">
        <v>261</v>
      </c>
      <c r="CR2749" s="4" t="s">
        <v>241</v>
      </c>
      <c r="CS2749" s="4" t="s">
        <v>241</v>
      </c>
      <c r="CT2749" s="4">
        <v>0</v>
      </c>
      <c r="CU2749" s="4" t="s">
        <v>262</v>
      </c>
      <c r="CV2749" s="4" t="s">
        <v>263</v>
      </c>
      <c r="CW2749" s="4" t="s">
        <v>263</v>
      </c>
      <c r="CX2749" s="4" t="s">
        <v>264</v>
      </c>
      <c r="DA2749" s="6">
        <f>1</f>
        <v>1</v>
      </c>
      <c r="DC2749" s="4" t="s">
        <v>325</v>
      </c>
      <c r="DD2749" s="4" t="s">
        <v>241</v>
      </c>
      <c r="DF2749" s="4" t="s">
        <v>325</v>
      </c>
      <c r="DG2749" s="6">
        <f>3184</f>
        <v>3184</v>
      </c>
      <c r="DI2749" s="4" t="s">
        <v>241</v>
      </c>
      <c r="DJ2749" s="4" t="s">
        <v>241</v>
      </c>
      <c r="DK2749" s="4" t="s">
        <v>241</v>
      </c>
      <c r="DL2749" s="4" t="s">
        <v>241</v>
      </c>
      <c r="DP2749" s="4" t="s">
        <v>241</v>
      </c>
      <c r="DQ2749" s="4" t="s">
        <v>241</v>
      </c>
      <c r="DR2749" s="4" t="s">
        <v>241</v>
      </c>
      <c r="DS2749" s="4" t="s">
        <v>241</v>
      </c>
      <c r="DV2749" s="4" t="s">
        <v>426</v>
      </c>
      <c r="DW2749" s="4" t="s">
        <v>2389</v>
      </c>
      <c r="HO2749" s="4" t="s">
        <v>267</v>
      </c>
    </row>
    <row r="2750" spans="1:223" ht="19.5" customHeight="1" x14ac:dyDescent="0.4">
      <c r="A2750" s="4">
        <v>1</v>
      </c>
      <c r="B2750" s="4" t="s">
        <v>239</v>
      </c>
      <c r="C2750" s="4">
        <v>4453</v>
      </c>
      <c r="D2750" s="4">
        <v>1</v>
      </c>
      <c r="E2750" s="4">
        <v>1</v>
      </c>
      <c r="F2750" s="4" t="s">
        <v>268</v>
      </c>
      <c r="G2750" s="4" t="s">
        <v>241</v>
      </c>
      <c r="H2750" s="4" t="s">
        <v>241</v>
      </c>
      <c r="I2750" s="4" t="s">
        <v>424</v>
      </c>
      <c r="J2750" s="4" t="s">
        <v>274</v>
      </c>
      <c r="K2750" s="4" t="s">
        <v>251</v>
      </c>
      <c r="L2750" s="4" t="s">
        <v>423</v>
      </c>
      <c r="M2750" s="5" t="s">
        <v>3334</v>
      </c>
      <c r="N2750" s="6">
        <f>877</f>
        <v>877</v>
      </c>
      <c r="O2750" s="4" t="s">
        <v>265</v>
      </c>
      <c r="P2750" s="6">
        <f>1</f>
        <v>1</v>
      </c>
      <c r="Q2750" s="6">
        <f>0</f>
        <v>0</v>
      </c>
      <c r="S2750" s="6">
        <f>0</f>
        <v>0</v>
      </c>
      <c r="T2750" s="6">
        <f>1</f>
        <v>1</v>
      </c>
      <c r="U2750" s="5" t="s">
        <v>245</v>
      </c>
      <c r="V2750" s="4" t="s">
        <v>270</v>
      </c>
      <c r="W2750" s="4" t="s">
        <v>271</v>
      </c>
      <c r="X2750" s="4" t="s">
        <v>273</v>
      </c>
      <c r="Y2750" s="4" t="s">
        <v>241</v>
      </c>
      <c r="AB2750" s="4" t="s">
        <v>241</v>
      </c>
      <c r="AD2750" s="5" t="s">
        <v>241</v>
      </c>
      <c r="AG2750" s="5" t="s">
        <v>246</v>
      </c>
      <c r="AH2750" s="4" t="s">
        <v>241</v>
      </c>
      <c r="AI2750" s="4" t="s">
        <v>247</v>
      </c>
      <c r="AJ2750" s="4" t="s">
        <v>248</v>
      </c>
      <c r="AZ2750" s="4" t="s">
        <v>249</v>
      </c>
      <c r="BA2750" s="4" t="s">
        <v>241</v>
      </c>
      <c r="BB2750" s="4" t="s">
        <v>250</v>
      </c>
      <c r="BC2750" s="4" t="s">
        <v>241</v>
      </c>
      <c r="BD2750" s="4" t="s">
        <v>252</v>
      </c>
      <c r="BE2750" s="4" t="s">
        <v>241</v>
      </c>
      <c r="BI2750" s="4" t="s">
        <v>253</v>
      </c>
      <c r="BJ2750" s="5" t="s">
        <v>246</v>
      </c>
      <c r="BK2750" s="4" t="s">
        <v>254</v>
      </c>
      <c r="BL2750" s="4" t="s">
        <v>255</v>
      </c>
      <c r="BM2750" s="4" t="s">
        <v>241</v>
      </c>
      <c r="BN2750" s="6">
        <f>0</f>
        <v>0</v>
      </c>
      <c r="BO2750" s="6">
        <f>0</f>
        <v>0</v>
      </c>
      <c r="BP2750" s="4" t="s">
        <v>256</v>
      </c>
      <c r="BQ2750" s="4" t="s">
        <v>257</v>
      </c>
      <c r="CE2750" s="4" t="s">
        <v>241</v>
      </c>
      <c r="CF2750" s="4" t="s">
        <v>241</v>
      </c>
      <c r="CJ2750" s="4" t="s">
        <v>276</v>
      </c>
      <c r="CK2750" s="4" t="s">
        <v>259</v>
      </c>
      <c r="CL2750" s="4" t="s">
        <v>241</v>
      </c>
      <c r="CO2750" s="5" t="s">
        <v>260</v>
      </c>
      <c r="CP2750" s="4" t="s">
        <v>241</v>
      </c>
      <c r="CQ2750" s="4" t="s">
        <v>261</v>
      </c>
      <c r="CR2750" s="4" t="s">
        <v>241</v>
      </c>
      <c r="CS2750" s="4" t="s">
        <v>241</v>
      </c>
      <c r="CT2750" s="4">
        <v>0</v>
      </c>
      <c r="CU2750" s="4" t="s">
        <v>262</v>
      </c>
      <c r="CV2750" s="4" t="s">
        <v>263</v>
      </c>
      <c r="CW2750" s="4" t="s">
        <v>263</v>
      </c>
      <c r="CX2750" s="4" t="s">
        <v>264</v>
      </c>
      <c r="DA2750" s="6">
        <f>1</f>
        <v>1</v>
      </c>
      <c r="DC2750" s="4" t="s">
        <v>325</v>
      </c>
      <c r="DD2750" s="4" t="s">
        <v>241</v>
      </c>
      <c r="DF2750" s="4" t="s">
        <v>325</v>
      </c>
      <c r="DG2750" s="6">
        <f>877</f>
        <v>877</v>
      </c>
      <c r="DI2750" s="4" t="s">
        <v>241</v>
      </c>
      <c r="DJ2750" s="4" t="s">
        <v>241</v>
      </c>
      <c r="DK2750" s="4" t="s">
        <v>241</v>
      </c>
      <c r="DL2750" s="4" t="s">
        <v>241</v>
      </c>
      <c r="DP2750" s="4" t="s">
        <v>241</v>
      </c>
      <c r="DQ2750" s="4" t="s">
        <v>241</v>
      </c>
      <c r="DR2750" s="4" t="s">
        <v>241</v>
      </c>
      <c r="DS2750" s="4" t="s">
        <v>241</v>
      </c>
      <c r="DV2750" s="4" t="s">
        <v>426</v>
      </c>
      <c r="DW2750" s="4" t="s">
        <v>2387</v>
      </c>
      <c r="HO2750" s="4" t="s">
        <v>267</v>
      </c>
    </row>
    <row r="2751" spans="1:223" ht="19.5" customHeight="1" x14ac:dyDescent="0.4">
      <c r="A2751" s="4">
        <v>1</v>
      </c>
      <c r="B2751" s="4" t="s">
        <v>239</v>
      </c>
      <c r="C2751" s="4">
        <v>4454</v>
      </c>
      <c r="D2751" s="4">
        <v>1</v>
      </c>
      <c r="E2751" s="4">
        <v>1</v>
      </c>
      <c r="F2751" s="4" t="s">
        <v>268</v>
      </c>
      <c r="G2751" s="4" t="s">
        <v>241</v>
      </c>
      <c r="H2751" s="4" t="s">
        <v>241</v>
      </c>
      <c r="I2751" s="4" t="s">
        <v>424</v>
      </c>
      <c r="J2751" s="4" t="s">
        <v>274</v>
      </c>
      <c r="K2751" s="4" t="s">
        <v>251</v>
      </c>
      <c r="L2751" s="4" t="s">
        <v>423</v>
      </c>
      <c r="M2751" s="5" t="s">
        <v>3337</v>
      </c>
      <c r="N2751" s="6">
        <f>1796</f>
        <v>1796</v>
      </c>
      <c r="O2751" s="4" t="s">
        <v>265</v>
      </c>
      <c r="P2751" s="6">
        <f>1</f>
        <v>1</v>
      </c>
      <c r="Q2751" s="6">
        <f>0</f>
        <v>0</v>
      </c>
      <c r="S2751" s="6">
        <f>0</f>
        <v>0</v>
      </c>
      <c r="T2751" s="6">
        <f>1</f>
        <v>1</v>
      </c>
      <c r="U2751" s="5" t="s">
        <v>245</v>
      </c>
      <c r="V2751" s="4" t="s">
        <v>270</v>
      </c>
      <c r="W2751" s="4" t="s">
        <v>271</v>
      </c>
      <c r="X2751" s="4" t="s">
        <v>273</v>
      </c>
      <c r="Y2751" s="4" t="s">
        <v>241</v>
      </c>
      <c r="AB2751" s="4" t="s">
        <v>241</v>
      </c>
      <c r="AD2751" s="5" t="s">
        <v>241</v>
      </c>
      <c r="AG2751" s="5" t="s">
        <v>246</v>
      </c>
      <c r="AH2751" s="4" t="s">
        <v>241</v>
      </c>
      <c r="AI2751" s="4" t="s">
        <v>247</v>
      </c>
      <c r="AJ2751" s="4" t="s">
        <v>248</v>
      </c>
      <c r="AZ2751" s="4" t="s">
        <v>249</v>
      </c>
      <c r="BA2751" s="4" t="s">
        <v>241</v>
      </c>
      <c r="BB2751" s="4" t="s">
        <v>250</v>
      </c>
      <c r="BC2751" s="4" t="s">
        <v>241</v>
      </c>
      <c r="BD2751" s="4" t="s">
        <v>252</v>
      </c>
      <c r="BE2751" s="4" t="s">
        <v>241</v>
      </c>
      <c r="BI2751" s="4" t="s">
        <v>253</v>
      </c>
      <c r="BJ2751" s="5" t="s">
        <v>246</v>
      </c>
      <c r="BK2751" s="4" t="s">
        <v>254</v>
      </c>
      <c r="BL2751" s="4" t="s">
        <v>255</v>
      </c>
      <c r="BM2751" s="4" t="s">
        <v>241</v>
      </c>
      <c r="BN2751" s="6">
        <f>0</f>
        <v>0</v>
      </c>
      <c r="BO2751" s="6">
        <f>0</f>
        <v>0</v>
      </c>
      <c r="BP2751" s="4" t="s">
        <v>256</v>
      </c>
      <c r="BQ2751" s="4" t="s">
        <v>257</v>
      </c>
      <c r="CE2751" s="4" t="s">
        <v>241</v>
      </c>
      <c r="CF2751" s="4" t="s">
        <v>241</v>
      </c>
      <c r="CJ2751" s="4" t="s">
        <v>276</v>
      </c>
      <c r="CK2751" s="4" t="s">
        <v>259</v>
      </c>
      <c r="CL2751" s="4" t="s">
        <v>241</v>
      </c>
      <c r="CO2751" s="5" t="s">
        <v>260</v>
      </c>
      <c r="CP2751" s="4" t="s">
        <v>241</v>
      </c>
      <c r="CQ2751" s="4" t="s">
        <v>261</v>
      </c>
      <c r="CR2751" s="4" t="s">
        <v>241</v>
      </c>
      <c r="CS2751" s="4" t="s">
        <v>241</v>
      </c>
      <c r="CT2751" s="4">
        <v>0</v>
      </c>
      <c r="CU2751" s="4" t="s">
        <v>262</v>
      </c>
      <c r="CV2751" s="4" t="s">
        <v>263</v>
      </c>
      <c r="CW2751" s="4" t="s">
        <v>263</v>
      </c>
      <c r="CX2751" s="4" t="s">
        <v>264</v>
      </c>
      <c r="DA2751" s="6">
        <f>1</f>
        <v>1</v>
      </c>
      <c r="DC2751" s="4" t="s">
        <v>325</v>
      </c>
      <c r="DD2751" s="4" t="s">
        <v>241</v>
      </c>
      <c r="DF2751" s="4" t="s">
        <v>325</v>
      </c>
      <c r="DG2751" s="6">
        <f>1796</f>
        <v>1796</v>
      </c>
      <c r="DI2751" s="4" t="s">
        <v>241</v>
      </c>
      <c r="DJ2751" s="4" t="s">
        <v>241</v>
      </c>
      <c r="DK2751" s="4" t="s">
        <v>241</v>
      </c>
      <c r="DL2751" s="4" t="s">
        <v>241</v>
      </c>
      <c r="DP2751" s="4" t="s">
        <v>241</v>
      </c>
      <c r="DQ2751" s="4" t="s">
        <v>241</v>
      </c>
      <c r="DR2751" s="4" t="s">
        <v>241</v>
      </c>
      <c r="DS2751" s="4" t="s">
        <v>241</v>
      </c>
      <c r="DV2751" s="4" t="s">
        <v>426</v>
      </c>
      <c r="DW2751" s="4" t="s">
        <v>2385</v>
      </c>
      <c r="HO2751" s="4" t="s">
        <v>267</v>
      </c>
    </row>
    <row r="2752" spans="1:223" ht="19.5" customHeight="1" x14ac:dyDescent="0.4">
      <c r="A2752" s="4">
        <v>1</v>
      </c>
      <c r="B2752" s="4" t="s">
        <v>239</v>
      </c>
      <c r="C2752" s="4">
        <v>4455</v>
      </c>
      <c r="D2752" s="4">
        <v>1</v>
      </c>
      <c r="E2752" s="4">
        <v>1</v>
      </c>
      <c r="F2752" s="4" t="s">
        <v>268</v>
      </c>
      <c r="G2752" s="4" t="s">
        <v>241</v>
      </c>
      <c r="H2752" s="4" t="s">
        <v>241</v>
      </c>
      <c r="I2752" s="4" t="s">
        <v>424</v>
      </c>
      <c r="J2752" s="4" t="s">
        <v>274</v>
      </c>
      <c r="K2752" s="4" t="s">
        <v>251</v>
      </c>
      <c r="L2752" s="4" t="s">
        <v>423</v>
      </c>
      <c r="M2752" s="5" t="s">
        <v>3342</v>
      </c>
      <c r="N2752" s="6">
        <f>1223</f>
        <v>1223</v>
      </c>
      <c r="O2752" s="4" t="s">
        <v>265</v>
      </c>
      <c r="P2752" s="6">
        <f>1</f>
        <v>1</v>
      </c>
      <c r="Q2752" s="6">
        <f>0</f>
        <v>0</v>
      </c>
      <c r="S2752" s="6">
        <f>0</f>
        <v>0</v>
      </c>
      <c r="T2752" s="6">
        <f>1</f>
        <v>1</v>
      </c>
      <c r="U2752" s="5" t="s">
        <v>245</v>
      </c>
      <c r="V2752" s="4" t="s">
        <v>270</v>
      </c>
      <c r="W2752" s="4" t="s">
        <v>271</v>
      </c>
      <c r="X2752" s="4" t="s">
        <v>273</v>
      </c>
      <c r="Y2752" s="4" t="s">
        <v>241</v>
      </c>
      <c r="AB2752" s="4" t="s">
        <v>241</v>
      </c>
      <c r="AD2752" s="5" t="s">
        <v>241</v>
      </c>
      <c r="AG2752" s="5" t="s">
        <v>246</v>
      </c>
      <c r="AH2752" s="4" t="s">
        <v>241</v>
      </c>
      <c r="AI2752" s="4" t="s">
        <v>247</v>
      </c>
      <c r="AJ2752" s="4" t="s">
        <v>248</v>
      </c>
      <c r="AZ2752" s="4" t="s">
        <v>249</v>
      </c>
      <c r="BA2752" s="4" t="s">
        <v>241</v>
      </c>
      <c r="BB2752" s="4" t="s">
        <v>250</v>
      </c>
      <c r="BC2752" s="4" t="s">
        <v>241</v>
      </c>
      <c r="BD2752" s="4" t="s">
        <v>252</v>
      </c>
      <c r="BE2752" s="4" t="s">
        <v>241</v>
      </c>
      <c r="BI2752" s="4" t="s">
        <v>253</v>
      </c>
      <c r="BJ2752" s="5" t="s">
        <v>246</v>
      </c>
      <c r="BK2752" s="4" t="s">
        <v>254</v>
      </c>
      <c r="BL2752" s="4" t="s">
        <v>255</v>
      </c>
      <c r="BM2752" s="4" t="s">
        <v>241</v>
      </c>
      <c r="BN2752" s="6">
        <f>0</f>
        <v>0</v>
      </c>
      <c r="BO2752" s="6">
        <f>0</f>
        <v>0</v>
      </c>
      <c r="BP2752" s="4" t="s">
        <v>256</v>
      </c>
      <c r="BQ2752" s="4" t="s">
        <v>257</v>
      </c>
      <c r="CE2752" s="4" t="s">
        <v>241</v>
      </c>
      <c r="CF2752" s="4" t="s">
        <v>241</v>
      </c>
      <c r="CJ2752" s="4" t="s">
        <v>276</v>
      </c>
      <c r="CK2752" s="4" t="s">
        <v>259</v>
      </c>
      <c r="CL2752" s="4" t="s">
        <v>241</v>
      </c>
      <c r="CO2752" s="5" t="s">
        <v>260</v>
      </c>
      <c r="CP2752" s="4" t="s">
        <v>241</v>
      </c>
      <c r="CQ2752" s="4" t="s">
        <v>261</v>
      </c>
      <c r="CR2752" s="4" t="s">
        <v>241</v>
      </c>
      <c r="CS2752" s="4" t="s">
        <v>241</v>
      </c>
      <c r="CT2752" s="4">
        <v>0</v>
      </c>
      <c r="CU2752" s="4" t="s">
        <v>262</v>
      </c>
      <c r="CV2752" s="4" t="s">
        <v>263</v>
      </c>
      <c r="CW2752" s="4" t="s">
        <v>263</v>
      </c>
      <c r="CX2752" s="4" t="s">
        <v>264</v>
      </c>
      <c r="DA2752" s="6">
        <f>1</f>
        <v>1</v>
      </c>
      <c r="DC2752" s="4" t="s">
        <v>325</v>
      </c>
      <c r="DD2752" s="4" t="s">
        <v>241</v>
      </c>
      <c r="DF2752" s="4" t="s">
        <v>325</v>
      </c>
      <c r="DG2752" s="6">
        <f>1223</f>
        <v>1223</v>
      </c>
      <c r="DI2752" s="4" t="s">
        <v>241</v>
      </c>
      <c r="DJ2752" s="4" t="s">
        <v>241</v>
      </c>
      <c r="DK2752" s="4" t="s">
        <v>241</v>
      </c>
      <c r="DL2752" s="4" t="s">
        <v>241</v>
      </c>
      <c r="DP2752" s="4" t="s">
        <v>241</v>
      </c>
      <c r="DQ2752" s="4" t="s">
        <v>241</v>
      </c>
      <c r="DR2752" s="4" t="s">
        <v>241</v>
      </c>
      <c r="DS2752" s="4" t="s">
        <v>241</v>
      </c>
      <c r="DV2752" s="4" t="s">
        <v>426</v>
      </c>
      <c r="DW2752" s="4" t="s">
        <v>2383</v>
      </c>
      <c r="HO2752" s="4" t="s">
        <v>267</v>
      </c>
    </row>
    <row r="2753" spans="1:223" ht="19.5" customHeight="1" x14ac:dyDescent="0.4">
      <c r="A2753" s="4">
        <v>1</v>
      </c>
      <c r="B2753" s="4" t="s">
        <v>239</v>
      </c>
      <c r="C2753" s="4">
        <v>4456</v>
      </c>
      <c r="D2753" s="4">
        <v>1</v>
      </c>
      <c r="E2753" s="4">
        <v>1</v>
      </c>
      <c r="F2753" s="4" t="s">
        <v>268</v>
      </c>
      <c r="G2753" s="4" t="s">
        <v>241</v>
      </c>
      <c r="H2753" s="4" t="s">
        <v>241</v>
      </c>
      <c r="I2753" s="4" t="s">
        <v>424</v>
      </c>
      <c r="J2753" s="4" t="s">
        <v>274</v>
      </c>
      <c r="K2753" s="4" t="s">
        <v>251</v>
      </c>
      <c r="L2753" s="4" t="s">
        <v>423</v>
      </c>
      <c r="M2753" s="5" t="s">
        <v>3348</v>
      </c>
      <c r="N2753" s="6">
        <f>383</f>
        <v>383</v>
      </c>
      <c r="O2753" s="4" t="s">
        <v>265</v>
      </c>
      <c r="P2753" s="6">
        <f>1</f>
        <v>1</v>
      </c>
      <c r="Q2753" s="6">
        <f>0</f>
        <v>0</v>
      </c>
      <c r="S2753" s="6">
        <f>0</f>
        <v>0</v>
      </c>
      <c r="T2753" s="6">
        <f>1</f>
        <v>1</v>
      </c>
      <c r="U2753" s="5" t="s">
        <v>245</v>
      </c>
      <c r="V2753" s="4" t="s">
        <v>270</v>
      </c>
      <c r="W2753" s="4" t="s">
        <v>271</v>
      </c>
      <c r="X2753" s="4" t="s">
        <v>273</v>
      </c>
      <c r="Y2753" s="4" t="s">
        <v>241</v>
      </c>
      <c r="AB2753" s="4" t="s">
        <v>241</v>
      </c>
      <c r="AD2753" s="5" t="s">
        <v>241</v>
      </c>
      <c r="AG2753" s="5" t="s">
        <v>246</v>
      </c>
      <c r="AH2753" s="4" t="s">
        <v>241</v>
      </c>
      <c r="AI2753" s="4" t="s">
        <v>247</v>
      </c>
      <c r="AJ2753" s="4" t="s">
        <v>248</v>
      </c>
      <c r="AZ2753" s="4" t="s">
        <v>249</v>
      </c>
      <c r="BA2753" s="4" t="s">
        <v>241</v>
      </c>
      <c r="BB2753" s="4" t="s">
        <v>250</v>
      </c>
      <c r="BC2753" s="4" t="s">
        <v>241</v>
      </c>
      <c r="BD2753" s="4" t="s">
        <v>252</v>
      </c>
      <c r="BE2753" s="4" t="s">
        <v>241</v>
      </c>
      <c r="BI2753" s="4" t="s">
        <v>253</v>
      </c>
      <c r="BJ2753" s="5" t="s">
        <v>246</v>
      </c>
      <c r="BK2753" s="4" t="s">
        <v>254</v>
      </c>
      <c r="BL2753" s="4" t="s">
        <v>255</v>
      </c>
      <c r="BM2753" s="4" t="s">
        <v>241</v>
      </c>
      <c r="BN2753" s="6">
        <f>0</f>
        <v>0</v>
      </c>
      <c r="BO2753" s="6">
        <f>0</f>
        <v>0</v>
      </c>
      <c r="BP2753" s="4" t="s">
        <v>256</v>
      </c>
      <c r="BQ2753" s="4" t="s">
        <v>257</v>
      </c>
      <c r="CE2753" s="4" t="s">
        <v>241</v>
      </c>
      <c r="CF2753" s="4" t="s">
        <v>241</v>
      </c>
      <c r="CJ2753" s="4" t="s">
        <v>276</v>
      </c>
      <c r="CK2753" s="4" t="s">
        <v>259</v>
      </c>
      <c r="CL2753" s="4" t="s">
        <v>241</v>
      </c>
      <c r="CO2753" s="5" t="s">
        <v>260</v>
      </c>
      <c r="CP2753" s="4" t="s">
        <v>241</v>
      </c>
      <c r="CQ2753" s="4" t="s">
        <v>261</v>
      </c>
      <c r="CR2753" s="4" t="s">
        <v>241</v>
      </c>
      <c r="CS2753" s="4" t="s">
        <v>241</v>
      </c>
      <c r="CT2753" s="4">
        <v>0</v>
      </c>
      <c r="CU2753" s="4" t="s">
        <v>262</v>
      </c>
      <c r="CV2753" s="4" t="s">
        <v>263</v>
      </c>
      <c r="CW2753" s="4" t="s">
        <v>263</v>
      </c>
      <c r="CX2753" s="4" t="s">
        <v>264</v>
      </c>
      <c r="DA2753" s="6">
        <f>1</f>
        <v>1</v>
      </c>
      <c r="DC2753" s="4" t="s">
        <v>325</v>
      </c>
      <c r="DD2753" s="4" t="s">
        <v>241</v>
      </c>
      <c r="DF2753" s="4" t="s">
        <v>325</v>
      </c>
      <c r="DG2753" s="6">
        <f>383</f>
        <v>383</v>
      </c>
      <c r="DI2753" s="4" t="s">
        <v>241</v>
      </c>
      <c r="DJ2753" s="4" t="s">
        <v>241</v>
      </c>
      <c r="DK2753" s="4" t="s">
        <v>241</v>
      </c>
      <c r="DL2753" s="4" t="s">
        <v>241</v>
      </c>
      <c r="DP2753" s="4" t="s">
        <v>241</v>
      </c>
      <c r="DQ2753" s="4" t="s">
        <v>241</v>
      </c>
      <c r="DR2753" s="4" t="s">
        <v>241</v>
      </c>
      <c r="DS2753" s="4" t="s">
        <v>241</v>
      </c>
      <c r="DV2753" s="4" t="s">
        <v>426</v>
      </c>
      <c r="DW2753" s="4" t="s">
        <v>2381</v>
      </c>
      <c r="HO2753" s="4" t="s">
        <v>267</v>
      </c>
    </row>
    <row r="2754" spans="1:223" ht="19.5" customHeight="1" x14ac:dyDescent="0.4">
      <c r="A2754" s="4">
        <v>1</v>
      </c>
      <c r="B2754" s="4" t="s">
        <v>239</v>
      </c>
      <c r="C2754" s="4">
        <v>4457</v>
      </c>
      <c r="D2754" s="4">
        <v>1</v>
      </c>
      <c r="E2754" s="4">
        <v>1</v>
      </c>
      <c r="F2754" s="4" t="s">
        <v>268</v>
      </c>
      <c r="G2754" s="4" t="s">
        <v>241</v>
      </c>
      <c r="H2754" s="4" t="s">
        <v>241</v>
      </c>
      <c r="I2754" s="4" t="s">
        <v>424</v>
      </c>
      <c r="J2754" s="4" t="s">
        <v>274</v>
      </c>
      <c r="K2754" s="4" t="s">
        <v>251</v>
      </c>
      <c r="L2754" s="4" t="s">
        <v>423</v>
      </c>
      <c r="M2754" s="5" t="s">
        <v>3350</v>
      </c>
      <c r="N2754" s="6">
        <f>91</f>
        <v>91</v>
      </c>
      <c r="O2754" s="4" t="s">
        <v>265</v>
      </c>
      <c r="P2754" s="6">
        <f>1</f>
        <v>1</v>
      </c>
      <c r="Q2754" s="6">
        <f>0</f>
        <v>0</v>
      </c>
      <c r="S2754" s="6">
        <f>0</f>
        <v>0</v>
      </c>
      <c r="T2754" s="6">
        <f>1</f>
        <v>1</v>
      </c>
      <c r="U2754" s="5" t="s">
        <v>245</v>
      </c>
      <c r="V2754" s="4" t="s">
        <v>270</v>
      </c>
      <c r="W2754" s="4" t="s">
        <v>271</v>
      </c>
      <c r="X2754" s="4" t="s">
        <v>273</v>
      </c>
      <c r="Y2754" s="4" t="s">
        <v>241</v>
      </c>
      <c r="AB2754" s="4" t="s">
        <v>241</v>
      </c>
      <c r="AD2754" s="5" t="s">
        <v>241</v>
      </c>
      <c r="AG2754" s="5" t="s">
        <v>246</v>
      </c>
      <c r="AH2754" s="4" t="s">
        <v>241</v>
      </c>
      <c r="AI2754" s="4" t="s">
        <v>247</v>
      </c>
      <c r="AJ2754" s="4" t="s">
        <v>248</v>
      </c>
      <c r="AZ2754" s="4" t="s">
        <v>249</v>
      </c>
      <c r="BA2754" s="4" t="s">
        <v>241</v>
      </c>
      <c r="BB2754" s="4" t="s">
        <v>250</v>
      </c>
      <c r="BC2754" s="4" t="s">
        <v>241</v>
      </c>
      <c r="BD2754" s="4" t="s">
        <v>252</v>
      </c>
      <c r="BE2754" s="4" t="s">
        <v>241</v>
      </c>
      <c r="BI2754" s="4" t="s">
        <v>253</v>
      </c>
      <c r="BJ2754" s="5" t="s">
        <v>246</v>
      </c>
      <c r="BK2754" s="4" t="s">
        <v>254</v>
      </c>
      <c r="BL2754" s="4" t="s">
        <v>255</v>
      </c>
      <c r="BM2754" s="4" t="s">
        <v>241</v>
      </c>
      <c r="BN2754" s="6">
        <f>0</f>
        <v>0</v>
      </c>
      <c r="BO2754" s="6">
        <f>0</f>
        <v>0</v>
      </c>
      <c r="BP2754" s="4" t="s">
        <v>256</v>
      </c>
      <c r="BQ2754" s="4" t="s">
        <v>257</v>
      </c>
      <c r="CE2754" s="4" t="s">
        <v>241</v>
      </c>
      <c r="CF2754" s="4" t="s">
        <v>241</v>
      </c>
      <c r="CJ2754" s="4" t="s">
        <v>276</v>
      </c>
      <c r="CK2754" s="4" t="s">
        <v>259</v>
      </c>
      <c r="CL2754" s="4" t="s">
        <v>241</v>
      </c>
      <c r="CO2754" s="5" t="s">
        <v>260</v>
      </c>
      <c r="CP2754" s="4" t="s">
        <v>241</v>
      </c>
      <c r="CQ2754" s="4" t="s">
        <v>261</v>
      </c>
      <c r="CR2754" s="4" t="s">
        <v>241</v>
      </c>
      <c r="CS2754" s="4" t="s">
        <v>241</v>
      </c>
      <c r="CT2754" s="4">
        <v>0</v>
      </c>
      <c r="CU2754" s="4" t="s">
        <v>262</v>
      </c>
      <c r="CV2754" s="4" t="s">
        <v>263</v>
      </c>
      <c r="CW2754" s="4" t="s">
        <v>263</v>
      </c>
      <c r="CX2754" s="4" t="s">
        <v>264</v>
      </c>
      <c r="DA2754" s="6">
        <f>1</f>
        <v>1</v>
      </c>
      <c r="DC2754" s="4" t="s">
        <v>325</v>
      </c>
      <c r="DD2754" s="4" t="s">
        <v>241</v>
      </c>
      <c r="DF2754" s="4" t="s">
        <v>325</v>
      </c>
      <c r="DG2754" s="6">
        <f>91</f>
        <v>91</v>
      </c>
      <c r="DI2754" s="4" t="s">
        <v>241</v>
      </c>
      <c r="DJ2754" s="4" t="s">
        <v>241</v>
      </c>
      <c r="DK2754" s="4" t="s">
        <v>241</v>
      </c>
      <c r="DL2754" s="4" t="s">
        <v>241</v>
      </c>
      <c r="DP2754" s="4" t="s">
        <v>241</v>
      </c>
      <c r="DQ2754" s="4" t="s">
        <v>241</v>
      </c>
      <c r="DR2754" s="4" t="s">
        <v>241</v>
      </c>
      <c r="DS2754" s="4" t="s">
        <v>241</v>
      </c>
      <c r="DV2754" s="4" t="s">
        <v>426</v>
      </c>
      <c r="DW2754" s="4" t="s">
        <v>2379</v>
      </c>
      <c r="HO2754" s="4" t="s">
        <v>267</v>
      </c>
    </row>
    <row r="2755" spans="1:223" ht="19.5" customHeight="1" x14ac:dyDescent="0.4">
      <c r="A2755" s="4">
        <v>1</v>
      </c>
      <c r="B2755" s="4" t="s">
        <v>239</v>
      </c>
      <c r="C2755" s="4">
        <v>4458</v>
      </c>
      <c r="D2755" s="4">
        <v>1</v>
      </c>
      <c r="E2755" s="4">
        <v>1</v>
      </c>
      <c r="F2755" s="4" t="s">
        <v>268</v>
      </c>
      <c r="G2755" s="4" t="s">
        <v>241</v>
      </c>
      <c r="H2755" s="4" t="s">
        <v>241</v>
      </c>
      <c r="I2755" s="4" t="s">
        <v>424</v>
      </c>
      <c r="J2755" s="4" t="s">
        <v>274</v>
      </c>
      <c r="K2755" s="4" t="s">
        <v>251</v>
      </c>
      <c r="L2755" s="4" t="s">
        <v>423</v>
      </c>
      <c r="M2755" s="5" t="s">
        <v>3359</v>
      </c>
      <c r="N2755" s="6">
        <f>105</f>
        <v>105</v>
      </c>
      <c r="O2755" s="4" t="s">
        <v>265</v>
      </c>
      <c r="P2755" s="6">
        <f>1</f>
        <v>1</v>
      </c>
      <c r="Q2755" s="6">
        <f>0</f>
        <v>0</v>
      </c>
      <c r="S2755" s="6">
        <f>0</f>
        <v>0</v>
      </c>
      <c r="T2755" s="6">
        <f>1</f>
        <v>1</v>
      </c>
      <c r="U2755" s="5" t="s">
        <v>245</v>
      </c>
      <c r="V2755" s="4" t="s">
        <v>270</v>
      </c>
      <c r="W2755" s="4" t="s">
        <v>271</v>
      </c>
      <c r="X2755" s="4" t="s">
        <v>273</v>
      </c>
      <c r="Y2755" s="4" t="s">
        <v>241</v>
      </c>
      <c r="AB2755" s="4" t="s">
        <v>241</v>
      </c>
      <c r="AD2755" s="5" t="s">
        <v>241</v>
      </c>
      <c r="AG2755" s="5" t="s">
        <v>246</v>
      </c>
      <c r="AH2755" s="4" t="s">
        <v>241</v>
      </c>
      <c r="AI2755" s="4" t="s">
        <v>247</v>
      </c>
      <c r="AJ2755" s="4" t="s">
        <v>248</v>
      </c>
      <c r="AZ2755" s="4" t="s">
        <v>249</v>
      </c>
      <c r="BA2755" s="4" t="s">
        <v>241</v>
      </c>
      <c r="BB2755" s="4" t="s">
        <v>250</v>
      </c>
      <c r="BC2755" s="4" t="s">
        <v>241</v>
      </c>
      <c r="BD2755" s="4" t="s">
        <v>252</v>
      </c>
      <c r="BE2755" s="4" t="s">
        <v>241</v>
      </c>
      <c r="BI2755" s="4" t="s">
        <v>253</v>
      </c>
      <c r="BJ2755" s="5" t="s">
        <v>246</v>
      </c>
      <c r="BK2755" s="4" t="s">
        <v>254</v>
      </c>
      <c r="BL2755" s="4" t="s">
        <v>255</v>
      </c>
      <c r="BM2755" s="4" t="s">
        <v>241</v>
      </c>
      <c r="BN2755" s="6">
        <f>0</f>
        <v>0</v>
      </c>
      <c r="BO2755" s="6">
        <f>0</f>
        <v>0</v>
      </c>
      <c r="BP2755" s="4" t="s">
        <v>256</v>
      </c>
      <c r="BQ2755" s="4" t="s">
        <v>257</v>
      </c>
      <c r="CE2755" s="4" t="s">
        <v>241</v>
      </c>
      <c r="CF2755" s="4" t="s">
        <v>241</v>
      </c>
      <c r="CJ2755" s="4" t="s">
        <v>276</v>
      </c>
      <c r="CK2755" s="4" t="s">
        <v>259</v>
      </c>
      <c r="CL2755" s="4" t="s">
        <v>241</v>
      </c>
      <c r="CO2755" s="5" t="s">
        <v>260</v>
      </c>
      <c r="CP2755" s="4" t="s">
        <v>241</v>
      </c>
      <c r="CQ2755" s="4" t="s">
        <v>261</v>
      </c>
      <c r="CR2755" s="4" t="s">
        <v>241</v>
      </c>
      <c r="CS2755" s="4" t="s">
        <v>241</v>
      </c>
      <c r="CT2755" s="4">
        <v>0</v>
      </c>
      <c r="CU2755" s="4" t="s">
        <v>262</v>
      </c>
      <c r="CV2755" s="4" t="s">
        <v>263</v>
      </c>
      <c r="CW2755" s="4" t="s">
        <v>263</v>
      </c>
      <c r="CX2755" s="4" t="s">
        <v>264</v>
      </c>
      <c r="DA2755" s="6">
        <f>1</f>
        <v>1</v>
      </c>
      <c r="DC2755" s="4" t="s">
        <v>325</v>
      </c>
      <c r="DD2755" s="4" t="s">
        <v>241</v>
      </c>
      <c r="DF2755" s="4" t="s">
        <v>325</v>
      </c>
      <c r="DG2755" s="6">
        <f>105</f>
        <v>105</v>
      </c>
      <c r="DI2755" s="4" t="s">
        <v>241</v>
      </c>
      <c r="DJ2755" s="4" t="s">
        <v>241</v>
      </c>
      <c r="DK2755" s="4" t="s">
        <v>241</v>
      </c>
      <c r="DL2755" s="4" t="s">
        <v>241</v>
      </c>
      <c r="DP2755" s="4" t="s">
        <v>241</v>
      </c>
      <c r="DQ2755" s="4" t="s">
        <v>241</v>
      </c>
      <c r="DR2755" s="4" t="s">
        <v>241</v>
      </c>
      <c r="DS2755" s="4" t="s">
        <v>241</v>
      </c>
      <c r="DV2755" s="4" t="s">
        <v>426</v>
      </c>
      <c r="DW2755" s="4" t="s">
        <v>2377</v>
      </c>
      <c r="HO2755" s="4" t="s">
        <v>267</v>
      </c>
    </row>
    <row r="2756" spans="1:223" ht="19.5" customHeight="1" x14ac:dyDescent="0.4">
      <c r="A2756" s="4">
        <v>1</v>
      </c>
      <c r="B2756" s="4" t="s">
        <v>239</v>
      </c>
      <c r="C2756" s="4">
        <v>4459</v>
      </c>
      <c r="D2756" s="4">
        <v>1</v>
      </c>
      <c r="E2756" s="4">
        <v>1</v>
      </c>
      <c r="F2756" s="4" t="s">
        <v>268</v>
      </c>
      <c r="G2756" s="4" t="s">
        <v>241</v>
      </c>
      <c r="H2756" s="4" t="s">
        <v>241</v>
      </c>
      <c r="I2756" s="4" t="s">
        <v>424</v>
      </c>
      <c r="J2756" s="4" t="s">
        <v>274</v>
      </c>
      <c r="K2756" s="4" t="s">
        <v>251</v>
      </c>
      <c r="L2756" s="4" t="s">
        <v>423</v>
      </c>
      <c r="M2756" s="5" t="s">
        <v>3363</v>
      </c>
      <c r="N2756" s="6">
        <f>171</f>
        <v>171</v>
      </c>
      <c r="O2756" s="4" t="s">
        <v>265</v>
      </c>
      <c r="P2756" s="6">
        <f>1</f>
        <v>1</v>
      </c>
      <c r="Q2756" s="6">
        <f>0</f>
        <v>0</v>
      </c>
      <c r="S2756" s="6">
        <f>0</f>
        <v>0</v>
      </c>
      <c r="T2756" s="6">
        <f>1</f>
        <v>1</v>
      </c>
      <c r="U2756" s="5" t="s">
        <v>245</v>
      </c>
      <c r="V2756" s="4" t="s">
        <v>270</v>
      </c>
      <c r="W2756" s="4" t="s">
        <v>271</v>
      </c>
      <c r="X2756" s="4" t="s">
        <v>273</v>
      </c>
      <c r="Y2756" s="4" t="s">
        <v>241</v>
      </c>
      <c r="AB2756" s="4" t="s">
        <v>241</v>
      </c>
      <c r="AD2756" s="5" t="s">
        <v>241</v>
      </c>
      <c r="AG2756" s="5" t="s">
        <v>246</v>
      </c>
      <c r="AH2756" s="4" t="s">
        <v>241</v>
      </c>
      <c r="AI2756" s="4" t="s">
        <v>247</v>
      </c>
      <c r="AJ2756" s="4" t="s">
        <v>248</v>
      </c>
      <c r="AZ2756" s="4" t="s">
        <v>249</v>
      </c>
      <c r="BA2756" s="4" t="s">
        <v>241</v>
      </c>
      <c r="BB2756" s="4" t="s">
        <v>250</v>
      </c>
      <c r="BC2756" s="4" t="s">
        <v>241</v>
      </c>
      <c r="BD2756" s="4" t="s">
        <v>252</v>
      </c>
      <c r="BE2756" s="4" t="s">
        <v>241</v>
      </c>
      <c r="BI2756" s="4" t="s">
        <v>253</v>
      </c>
      <c r="BJ2756" s="5" t="s">
        <v>246</v>
      </c>
      <c r="BK2756" s="4" t="s">
        <v>254</v>
      </c>
      <c r="BL2756" s="4" t="s">
        <v>255</v>
      </c>
      <c r="BM2756" s="4" t="s">
        <v>241</v>
      </c>
      <c r="BN2756" s="6">
        <f>0</f>
        <v>0</v>
      </c>
      <c r="BO2756" s="6">
        <f>0</f>
        <v>0</v>
      </c>
      <c r="BP2756" s="4" t="s">
        <v>256</v>
      </c>
      <c r="BQ2756" s="4" t="s">
        <v>257</v>
      </c>
      <c r="CE2756" s="4" t="s">
        <v>241</v>
      </c>
      <c r="CF2756" s="4" t="s">
        <v>241</v>
      </c>
      <c r="CJ2756" s="4" t="s">
        <v>276</v>
      </c>
      <c r="CK2756" s="4" t="s">
        <v>259</v>
      </c>
      <c r="CL2756" s="4" t="s">
        <v>241</v>
      </c>
      <c r="CO2756" s="5" t="s">
        <v>260</v>
      </c>
      <c r="CP2756" s="4" t="s">
        <v>241</v>
      </c>
      <c r="CQ2756" s="4" t="s">
        <v>261</v>
      </c>
      <c r="CR2756" s="4" t="s">
        <v>241</v>
      </c>
      <c r="CS2756" s="4" t="s">
        <v>241</v>
      </c>
      <c r="CT2756" s="4">
        <v>0</v>
      </c>
      <c r="CU2756" s="4" t="s">
        <v>262</v>
      </c>
      <c r="CV2756" s="4" t="s">
        <v>263</v>
      </c>
      <c r="CW2756" s="4" t="s">
        <v>263</v>
      </c>
      <c r="CX2756" s="4" t="s">
        <v>264</v>
      </c>
      <c r="DA2756" s="6">
        <f>1</f>
        <v>1</v>
      </c>
      <c r="DC2756" s="4" t="s">
        <v>325</v>
      </c>
      <c r="DD2756" s="4" t="s">
        <v>241</v>
      </c>
      <c r="DF2756" s="4" t="s">
        <v>325</v>
      </c>
      <c r="DG2756" s="6">
        <f>171</f>
        <v>171</v>
      </c>
      <c r="DI2756" s="4" t="s">
        <v>241</v>
      </c>
      <c r="DJ2756" s="4" t="s">
        <v>241</v>
      </c>
      <c r="DK2756" s="4" t="s">
        <v>241</v>
      </c>
      <c r="DL2756" s="4" t="s">
        <v>241</v>
      </c>
      <c r="DP2756" s="4" t="s">
        <v>241</v>
      </c>
      <c r="DQ2756" s="4" t="s">
        <v>241</v>
      </c>
      <c r="DR2756" s="4" t="s">
        <v>241</v>
      </c>
      <c r="DS2756" s="4" t="s">
        <v>241</v>
      </c>
      <c r="DV2756" s="4" t="s">
        <v>426</v>
      </c>
      <c r="DW2756" s="4" t="s">
        <v>2375</v>
      </c>
      <c r="HO2756" s="4" t="s">
        <v>267</v>
      </c>
    </row>
    <row r="2757" spans="1:223" ht="19.5" customHeight="1" x14ac:dyDescent="0.4">
      <c r="A2757" s="4">
        <v>1</v>
      </c>
      <c r="B2757" s="4" t="s">
        <v>239</v>
      </c>
      <c r="C2757" s="4">
        <v>4460</v>
      </c>
      <c r="D2757" s="4">
        <v>1</v>
      </c>
      <c r="E2757" s="4">
        <v>1</v>
      </c>
      <c r="F2757" s="4" t="s">
        <v>268</v>
      </c>
      <c r="G2757" s="4" t="s">
        <v>241</v>
      </c>
      <c r="H2757" s="4" t="s">
        <v>241</v>
      </c>
      <c r="I2757" s="4" t="s">
        <v>424</v>
      </c>
      <c r="J2757" s="4" t="s">
        <v>274</v>
      </c>
      <c r="K2757" s="4" t="s">
        <v>251</v>
      </c>
      <c r="L2757" s="4" t="s">
        <v>423</v>
      </c>
      <c r="M2757" s="5" t="s">
        <v>3365</v>
      </c>
      <c r="N2757" s="6">
        <f>512</f>
        <v>512</v>
      </c>
      <c r="O2757" s="4" t="s">
        <v>265</v>
      </c>
      <c r="P2757" s="6">
        <f>1</f>
        <v>1</v>
      </c>
      <c r="Q2757" s="6">
        <f>0</f>
        <v>0</v>
      </c>
      <c r="S2757" s="6">
        <f>0</f>
        <v>0</v>
      </c>
      <c r="T2757" s="6">
        <f>1</f>
        <v>1</v>
      </c>
      <c r="U2757" s="5" t="s">
        <v>245</v>
      </c>
      <c r="V2757" s="4" t="s">
        <v>270</v>
      </c>
      <c r="W2757" s="4" t="s">
        <v>271</v>
      </c>
      <c r="X2757" s="4" t="s">
        <v>273</v>
      </c>
      <c r="Y2757" s="4" t="s">
        <v>241</v>
      </c>
      <c r="AB2757" s="4" t="s">
        <v>241</v>
      </c>
      <c r="AD2757" s="5" t="s">
        <v>241</v>
      </c>
      <c r="AG2757" s="5" t="s">
        <v>246</v>
      </c>
      <c r="AH2757" s="4" t="s">
        <v>241</v>
      </c>
      <c r="AI2757" s="4" t="s">
        <v>247</v>
      </c>
      <c r="AJ2757" s="4" t="s">
        <v>248</v>
      </c>
      <c r="AZ2757" s="4" t="s">
        <v>249</v>
      </c>
      <c r="BA2757" s="4" t="s">
        <v>241</v>
      </c>
      <c r="BB2757" s="4" t="s">
        <v>250</v>
      </c>
      <c r="BC2757" s="4" t="s">
        <v>241</v>
      </c>
      <c r="BD2757" s="4" t="s">
        <v>252</v>
      </c>
      <c r="BE2757" s="4" t="s">
        <v>241</v>
      </c>
      <c r="BI2757" s="4" t="s">
        <v>253</v>
      </c>
      <c r="BJ2757" s="5" t="s">
        <v>246</v>
      </c>
      <c r="BK2757" s="4" t="s">
        <v>254</v>
      </c>
      <c r="BL2757" s="4" t="s">
        <v>255</v>
      </c>
      <c r="BM2757" s="4" t="s">
        <v>241</v>
      </c>
      <c r="BN2757" s="6">
        <f>0</f>
        <v>0</v>
      </c>
      <c r="BO2757" s="6">
        <f>0</f>
        <v>0</v>
      </c>
      <c r="BP2757" s="4" t="s">
        <v>256</v>
      </c>
      <c r="BQ2757" s="4" t="s">
        <v>257</v>
      </c>
      <c r="CE2757" s="4" t="s">
        <v>241</v>
      </c>
      <c r="CF2757" s="4" t="s">
        <v>241</v>
      </c>
      <c r="CJ2757" s="4" t="s">
        <v>276</v>
      </c>
      <c r="CK2757" s="4" t="s">
        <v>259</v>
      </c>
      <c r="CL2757" s="4" t="s">
        <v>241</v>
      </c>
      <c r="CO2757" s="5" t="s">
        <v>260</v>
      </c>
      <c r="CP2757" s="4" t="s">
        <v>241</v>
      </c>
      <c r="CQ2757" s="4" t="s">
        <v>261</v>
      </c>
      <c r="CR2757" s="4" t="s">
        <v>241</v>
      </c>
      <c r="CS2757" s="4" t="s">
        <v>241</v>
      </c>
      <c r="CT2757" s="4">
        <v>0</v>
      </c>
      <c r="CU2757" s="4" t="s">
        <v>262</v>
      </c>
      <c r="CV2757" s="4" t="s">
        <v>263</v>
      </c>
      <c r="CW2757" s="4" t="s">
        <v>263</v>
      </c>
      <c r="CX2757" s="4" t="s">
        <v>264</v>
      </c>
      <c r="DA2757" s="6">
        <f>1</f>
        <v>1</v>
      </c>
      <c r="DC2757" s="4" t="s">
        <v>325</v>
      </c>
      <c r="DD2757" s="4" t="s">
        <v>241</v>
      </c>
      <c r="DF2757" s="4" t="s">
        <v>325</v>
      </c>
      <c r="DG2757" s="6">
        <f>512</f>
        <v>512</v>
      </c>
      <c r="DI2757" s="4" t="s">
        <v>241</v>
      </c>
      <c r="DJ2757" s="4" t="s">
        <v>241</v>
      </c>
      <c r="DK2757" s="4" t="s">
        <v>241</v>
      </c>
      <c r="DL2757" s="4" t="s">
        <v>241</v>
      </c>
      <c r="DP2757" s="4" t="s">
        <v>241</v>
      </c>
      <c r="DQ2757" s="4" t="s">
        <v>241</v>
      </c>
      <c r="DR2757" s="4" t="s">
        <v>241</v>
      </c>
      <c r="DS2757" s="4" t="s">
        <v>241</v>
      </c>
      <c r="DV2757" s="4" t="s">
        <v>426</v>
      </c>
      <c r="DW2757" s="4" t="s">
        <v>2373</v>
      </c>
      <c r="HO2757" s="4" t="s">
        <v>267</v>
      </c>
    </row>
    <row r="2758" spans="1:223" ht="19.5" customHeight="1" x14ac:dyDescent="0.4">
      <c r="A2758" s="4">
        <v>1</v>
      </c>
      <c r="B2758" s="4" t="s">
        <v>239</v>
      </c>
      <c r="C2758" s="4">
        <v>4461</v>
      </c>
      <c r="D2758" s="4">
        <v>1</v>
      </c>
      <c r="E2758" s="4">
        <v>1</v>
      </c>
      <c r="F2758" s="4" t="s">
        <v>268</v>
      </c>
      <c r="G2758" s="4" t="s">
        <v>241</v>
      </c>
      <c r="H2758" s="4" t="s">
        <v>241</v>
      </c>
      <c r="I2758" s="4" t="s">
        <v>424</v>
      </c>
      <c r="J2758" s="4" t="s">
        <v>274</v>
      </c>
      <c r="K2758" s="4" t="s">
        <v>251</v>
      </c>
      <c r="L2758" s="4" t="s">
        <v>423</v>
      </c>
      <c r="M2758" s="5" t="s">
        <v>3370</v>
      </c>
      <c r="N2758" s="6">
        <f>275</f>
        <v>275</v>
      </c>
      <c r="O2758" s="4" t="s">
        <v>265</v>
      </c>
      <c r="P2758" s="6">
        <f>1</f>
        <v>1</v>
      </c>
      <c r="Q2758" s="6">
        <f>0</f>
        <v>0</v>
      </c>
      <c r="S2758" s="6">
        <f>0</f>
        <v>0</v>
      </c>
      <c r="T2758" s="6">
        <f>1</f>
        <v>1</v>
      </c>
      <c r="U2758" s="5" t="s">
        <v>245</v>
      </c>
      <c r="V2758" s="4" t="s">
        <v>270</v>
      </c>
      <c r="W2758" s="4" t="s">
        <v>271</v>
      </c>
      <c r="X2758" s="4" t="s">
        <v>273</v>
      </c>
      <c r="Y2758" s="4" t="s">
        <v>241</v>
      </c>
      <c r="AB2758" s="4" t="s">
        <v>241</v>
      </c>
      <c r="AD2758" s="5" t="s">
        <v>241</v>
      </c>
      <c r="AG2758" s="5" t="s">
        <v>246</v>
      </c>
      <c r="AH2758" s="4" t="s">
        <v>241</v>
      </c>
      <c r="AI2758" s="4" t="s">
        <v>247</v>
      </c>
      <c r="AJ2758" s="4" t="s">
        <v>248</v>
      </c>
      <c r="AZ2758" s="4" t="s">
        <v>249</v>
      </c>
      <c r="BA2758" s="4" t="s">
        <v>241</v>
      </c>
      <c r="BB2758" s="4" t="s">
        <v>250</v>
      </c>
      <c r="BC2758" s="4" t="s">
        <v>241</v>
      </c>
      <c r="BD2758" s="4" t="s">
        <v>252</v>
      </c>
      <c r="BE2758" s="4" t="s">
        <v>241</v>
      </c>
      <c r="BI2758" s="4" t="s">
        <v>253</v>
      </c>
      <c r="BJ2758" s="5" t="s">
        <v>246</v>
      </c>
      <c r="BK2758" s="4" t="s">
        <v>254</v>
      </c>
      <c r="BL2758" s="4" t="s">
        <v>255</v>
      </c>
      <c r="BM2758" s="4" t="s">
        <v>241</v>
      </c>
      <c r="BN2758" s="6">
        <f>0</f>
        <v>0</v>
      </c>
      <c r="BO2758" s="6">
        <f>0</f>
        <v>0</v>
      </c>
      <c r="BP2758" s="4" t="s">
        <v>256</v>
      </c>
      <c r="BQ2758" s="4" t="s">
        <v>257</v>
      </c>
      <c r="CE2758" s="4" t="s">
        <v>241</v>
      </c>
      <c r="CF2758" s="4" t="s">
        <v>241</v>
      </c>
      <c r="CJ2758" s="4" t="s">
        <v>276</v>
      </c>
      <c r="CK2758" s="4" t="s">
        <v>259</v>
      </c>
      <c r="CL2758" s="4" t="s">
        <v>241</v>
      </c>
      <c r="CO2758" s="5" t="s">
        <v>260</v>
      </c>
      <c r="CP2758" s="4" t="s">
        <v>241</v>
      </c>
      <c r="CQ2758" s="4" t="s">
        <v>261</v>
      </c>
      <c r="CR2758" s="4" t="s">
        <v>241</v>
      </c>
      <c r="CS2758" s="4" t="s">
        <v>241</v>
      </c>
      <c r="CT2758" s="4">
        <v>0</v>
      </c>
      <c r="CU2758" s="4" t="s">
        <v>262</v>
      </c>
      <c r="CV2758" s="4" t="s">
        <v>263</v>
      </c>
      <c r="CW2758" s="4" t="s">
        <v>263</v>
      </c>
      <c r="CX2758" s="4" t="s">
        <v>264</v>
      </c>
      <c r="DA2758" s="6">
        <f>1</f>
        <v>1</v>
      </c>
      <c r="DC2758" s="4" t="s">
        <v>325</v>
      </c>
      <c r="DD2758" s="4" t="s">
        <v>241</v>
      </c>
      <c r="DF2758" s="4" t="s">
        <v>325</v>
      </c>
      <c r="DG2758" s="6">
        <f>275</f>
        <v>275</v>
      </c>
      <c r="DI2758" s="4" t="s">
        <v>241</v>
      </c>
      <c r="DJ2758" s="4" t="s">
        <v>241</v>
      </c>
      <c r="DK2758" s="4" t="s">
        <v>241</v>
      </c>
      <c r="DL2758" s="4" t="s">
        <v>241</v>
      </c>
      <c r="DP2758" s="4" t="s">
        <v>241</v>
      </c>
      <c r="DQ2758" s="4" t="s">
        <v>241</v>
      </c>
      <c r="DR2758" s="4" t="s">
        <v>241</v>
      </c>
      <c r="DS2758" s="4" t="s">
        <v>241</v>
      </c>
      <c r="DV2758" s="4" t="s">
        <v>426</v>
      </c>
      <c r="DW2758" s="4" t="s">
        <v>2371</v>
      </c>
      <c r="HO2758" s="4" t="s">
        <v>267</v>
      </c>
    </row>
    <row r="2759" spans="1:223" ht="19.5" customHeight="1" x14ac:dyDescent="0.4">
      <c r="A2759" s="4">
        <v>1</v>
      </c>
      <c r="B2759" s="4" t="s">
        <v>239</v>
      </c>
      <c r="C2759" s="4">
        <v>4462</v>
      </c>
      <c r="D2759" s="4">
        <v>1</v>
      </c>
      <c r="E2759" s="4">
        <v>1</v>
      </c>
      <c r="F2759" s="4" t="s">
        <v>268</v>
      </c>
      <c r="G2759" s="4" t="s">
        <v>241</v>
      </c>
      <c r="H2759" s="4" t="s">
        <v>241</v>
      </c>
      <c r="I2759" s="4" t="s">
        <v>424</v>
      </c>
      <c r="J2759" s="4" t="s">
        <v>274</v>
      </c>
      <c r="K2759" s="4" t="s">
        <v>251</v>
      </c>
      <c r="L2759" s="4" t="s">
        <v>423</v>
      </c>
      <c r="M2759" s="5" t="s">
        <v>3374</v>
      </c>
      <c r="N2759" s="6">
        <f>147</f>
        <v>147</v>
      </c>
      <c r="O2759" s="4" t="s">
        <v>265</v>
      </c>
      <c r="P2759" s="6">
        <f>1</f>
        <v>1</v>
      </c>
      <c r="Q2759" s="6">
        <f>0</f>
        <v>0</v>
      </c>
      <c r="S2759" s="6">
        <f>0</f>
        <v>0</v>
      </c>
      <c r="T2759" s="6">
        <f>1</f>
        <v>1</v>
      </c>
      <c r="U2759" s="5" t="s">
        <v>245</v>
      </c>
      <c r="V2759" s="4" t="s">
        <v>270</v>
      </c>
      <c r="W2759" s="4" t="s">
        <v>271</v>
      </c>
      <c r="X2759" s="4" t="s">
        <v>273</v>
      </c>
      <c r="Y2759" s="4" t="s">
        <v>241</v>
      </c>
      <c r="AB2759" s="4" t="s">
        <v>241</v>
      </c>
      <c r="AD2759" s="5" t="s">
        <v>241</v>
      </c>
      <c r="AG2759" s="5" t="s">
        <v>246</v>
      </c>
      <c r="AH2759" s="4" t="s">
        <v>241</v>
      </c>
      <c r="AI2759" s="4" t="s">
        <v>247</v>
      </c>
      <c r="AJ2759" s="4" t="s">
        <v>248</v>
      </c>
      <c r="AZ2759" s="4" t="s">
        <v>249</v>
      </c>
      <c r="BA2759" s="4" t="s">
        <v>241</v>
      </c>
      <c r="BB2759" s="4" t="s">
        <v>250</v>
      </c>
      <c r="BC2759" s="4" t="s">
        <v>241</v>
      </c>
      <c r="BD2759" s="4" t="s">
        <v>252</v>
      </c>
      <c r="BE2759" s="4" t="s">
        <v>241</v>
      </c>
      <c r="BI2759" s="4" t="s">
        <v>253</v>
      </c>
      <c r="BJ2759" s="5" t="s">
        <v>246</v>
      </c>
      <c r="BK2759" s="4" t="s">
        <v>254</v>
      </c>
      <c r="BL2759" s="4" t="s">
        <v>255</v>
      </c>
      <c r="BM2759" s="4" t="s">
        <v>241</v>
      </c>
      <c r="BN2759" s="6">
        <f>0</f>
        <v>0</v>
      </c>
      <c r="BO2759" s="6">
        <f>0</f>
        <v>0</v>
      </c>
      <c r="BP2759" s="4" t="s">
        <v>256</v>
      </c>
      <c r="BQ2759" s="4" t="s">
        <v>257</v>
      </c>
      <c r="CE2759" s="4" t="s">
        <v>241</v>
      </c>
      <c r="CF2759" s="4" t="s">
        <v>241</v>
      </c>
      <c r="CJ2759" s="4" t="s">
        <v>276</v>
      </c>
      <c r="CK2759" s="4" t="s">
        <v>259</v>
      </c>
      <c r="CL2759" s="4" t="s">
        <v>241</v>
      </c>
      <c r="CO2759" s="5" t="s">
        <v>260</v>
      </c>
      <c r="CP2759" s="4" t="s">
        <v>241</v>
      </c>
      <c r="CQ2759" s="4" t="s">
        <v>261</v>
      </c>
      <c r="CR2759" s="4" t="s">
        <v>241</v>
      </c>
      <c r="CS2759" s="4" t="s">
        <v>241</v>
      </c>
      <c r="CT2759" s="4">
        <v>0</v>
      </c>
      <c r="CU2759" s="4" t="s">
        <v>262</v>
      </c>
      <c r="CV2759" s="4" t="s">
        <v>263</v>
      </c>
      <c r="CW2759" s="4" t="s">
        <v>263</v>
      </c>
      <c r="CX2759" s="4" t="s">
        <v>264</v>
      </c>
      <c r="DA2759" s="6">
        <f>1</f>
        <v>1</v>
      </c>
      <c r="DC2759" s="4" t="s">
        <v>325</v>
      </c>
      <c r="DD2759" s="4" t="s">
        <v>241</v>
      </c>
      <c r="DF2759" s="4" t="s">
        <v>325</v>
      </c>
      <c r="DG2759" s="6">
        <f>147</f>
        <v>147</v>
      </c>
      <c r="DI2759" s="4" t="s">
        <v>241</v>
      </c>
      <c r="DJ2759" s="4" t="s">
        <v>241</v>
      </c>
      <c r="DK2759" s="4" t="s">
        <v>241</v>
      </c>
      <c r="DL2759" s="4" t="s">
        <v>241</v>
      </c>
      <c r="DP2759" s="4" t="s">
        <v>241</v>
      </c>
      <c r="DQ2759" s="4" t="s">
        <v>241</v>
      </c>
      <c r="DR2759" s="4" t="s">
        <v>241</v>
      </c>
      <c r="DS2759" s="4" t="s">
        <v>241</v>
      </c>
      <c r="DV2759" s="4" t="s">
        <v>426</v>
      </c>
      <c r="DW2759" s="4" t="s">
        <v>2369</v>
      </c>
      <c r="HO2759" s="4" t="s">
        <v>267</v>
      </c>
    </row>
    <row r="2760" spans="1:223" ht="19.5" customHeight="1" x14ac:dyDescent="0.4">
      <c r="A2760" s="4">
        <v>1</v>
      </c>
      <c r="B2760" s="4" t="s">
        <v>239</v>
      </c>
      <c r="C2760" s="4">
        <v>4463</v>
      </c>
      <c r="D2760" s="4">
        <v>1</v>
      </c>
      <c r="E2760" s="4">
        <v>1</v>
      </c>
      <c r="F2760" s="4" t="s">
        <v>268</v>
      </c>
      <c r="G2760" s="4" t="s">
        <v>241</v>
      </c>
      <c r="H2760" s="4" t="s">
        <v>241</v>
      </c>
      <c r="I2760" s="4" t="s">
        <v>424</v>
      </c>
      <c r="J2760" s="4" t="s">
        <v>274</v>
      </c>
      <c r="K2760" s="4" t="s">
        <v>251</v>
      </c>
      <c r="L2760" s="4" t="s">
        <v>423</v>
      </c>
      <c r="M2760" s="5" t="s">
        <v>3378</v>
      </c>
      <c r="N2760" s="6">
        <f>1438</f>
        <v>1438</v>
      </c>
      <c r="O2760" s="4" t="s">
        <v>265</v>
      </c>
      <c r="P2760" s="6">
        <f>1</f>
        <v>1</v>
      </c>
      <c r="Q2760" s="6">
        <f>0</f>
        <v>0</v>
      </c>
      <c r="S2760" s="6">
        <f>0</f>
        <v>0</v>
      </c>
      <c r="T2760" s="6">
        <f>1</f>
        <v>1</v>
      </c>
      <c r="U2760" s="5" t="s">
        <v>245</v>
      </c>
      <c r="V2760" s="4" t="s">
        <v>270</v>
      </c>
      <c r="W2760" s="4" t="s">
        <v>271</v>
      </c>
      <c r="X2760" s="4" t="s">
        <v>273</v>
      </c>
      <c r="Y2760" s="4" t="s">
        <v>241</v>
      </c>
      <c r="AB2760" s="4" t="s">
        <v>241</v>
      </c>
      <c r="AD2760" s="5" t="s">
        <v>241</v>
      </c>
      <c r="AG2760" s="5" t="s">
        <v>246</v>
      </c>
      <c r="AH2760" s="4" t="s">
        <v>241</v>
      </c>
      <c r="AI2760" s="4" t="s">
        <v>247</v>
      </c>
      <c r="AJ2760" s="4" t="s">
        <v>248</v>
      </c>
      <c r="AZ2760" s="4" t="s">
        <v>249</v>
      </c>
      <c r="BA2760" s="4" t="s">
        <v>241</v>
      </c>
      <c r="BB2760" s="4" t="s">
        <v>250</v>
      </c>
      <c r="BC2760" s="4" t="s">
        <v>241</v>
      </c>
      <c r="BD2760" s="4" t="s">
        <v>252</v>
      </c>
      <c r="BE2760" s="4" t="s">
        <v>241</v>
      </c>
      <c r="BI2760" s="4" t="s">
        <v>253</v>
      </c>
      <c r="BJ2760" s="5" t="s">
        <v>246</v>
      </c>
      <c r="BK2760" s="4" t="s">
        <v>254</v>
      </c>
      <c r="BL2760" s="4" t="s">
        <v>255</v>
      </c>
      <c r="BM2760" s="4" t="s">
        <v>241</v>
      </c>
      <c r="BN2760" s="6">
        <f>0</f>
        <v>0</v>
      </c>
      <c r="BO2760" s="6">
        <f>0</f>
        <v>0</v>
      </c>
      <c r="BP2760" s="4" t="s">
        <v>256</v>
      </c>
      <c r="BQ2760" s="4" t="s">
        <v>257</v>
      </c>
      <c r="CE2760" s="4" t="s">
        <v>241</v>
      </c>
      <c r="CF2760" s="4" t="s">
        <v>241</v>
      </c>
      <c r="CJ2760" s="4" t="s">
        <v>276</v>
      </c>
      <c r="CK2760" s="4" t="s">
        <v>259</v>
      </c>
      <c r="CL2760" s="4" t="s">
        <v>241</v>
      </c>
      <c r="CO2760" s="5" t="s">
        <v>260</v>
      </c>
      <c r="CP2760" s="4" t="s">
        <v>241</v>
      </c>
      <c r="CQ2760" s="4" t="s">
        <v>261</v>
      </c>
      <c r="CR2760" s="4" t="s">
        <v>241</v>
      </c>
      <c r="CS2760" s="4" t="s">
        <v>241</v>
      </c>
      <c r="CT2760" s="4">
        <v>0</v>
      </c>
      <c r="CU2760" s="4" t="s">
        <v>262</v>
      </c>
      <c r="CV2760" s="4" t="s">
        <v>263</v>
      </c>
      <c r="CW2760" s="4" t="s">
        <v>263</v>
      </c>
      <c r="CX2760" s="4" t="s">
        <v>264</v>
      </c>
      <c r="DA2760" s="6">
        <f>1</f>
        <v>1</v>
      </c>
      <c r="DC2760" s="4" t="s">
        <v>325</v>
      </c>
      <c r="DD2760" s="4" t="s">
        <v>241</v>
      </c>
      <c r="DF2760" s="4" t="s">
        <v>325</v>
      </c>
      <c r="DG2760" s="6">
        <f>1438</f>
        <v>1438</v>
      </c>
      <c r="DI2760" s="4" t="s">
        <v>241</v>
      </c>
      <c r="DJ2760" s="4" t="s">
        <v>241</v>
      </c>
      <c r="DK2760" s="4" t="s">
        <v>241</v>
      </c>
      <c r="DL2760" s="4" t="s">
        <v>241</v>
      </c>
      <c r="DP2760" s="4" t="s">
        <v>241</v>
      </c>
      <c r="DQ2760" s="4" t="s">
        <v>241</v>
      </c>
      <c r="DR2760" s="4" t="s">
        <v>241</v>
      </c>
      <c r="DS2760" s="4" t="s">
        <v>241</v>
      </c>
      <c r="DV2760" s="4" t="s">
        <v>426</v>
      </c>
      <c r="DW2760" s="4" t="s">
        <v>2367</v>
      </c>
      <c r="HO2760" s="4" t="s">
        <v>267</v>
      </c>
    </row>
    <row r="2761" spans="1:223" ht="19.5" customHeight="1" x14ac:dyDescent="0.4">
      <c r="A2761" s="4">
        <v>1</v>
      </c>
      <c r="B2761" s="4" t="s">
        <v>239</v>
      </c>
      <c r="C2761" s="4">
        <v>4464</v>
      </c>
      <c r="D2761" s="4">
        <v>1</v>
      </c>
      <c r="E2761" s="4">
        <v>1</v>
      </c>
      <c r="F2761" s="4" t="s">
        <v>268</v>
      </c>
      <c r="G2761" s="4" t="s">
        <v>241</v>
      </c>
      <c r="H2761" s="4" t="s">
        <v>241</v>
      </c>
      <c r="I2761" s="4" t="s">
        <v>424</v>
      </c>
      <c r="J2761" s="4" t="s">
        <v>274</v>
      </c>
      <c r="K2761" s="4" t="s">
        <v>251</v>
      </c>
      <c r="L2761" s="4" t="s">
        <v>423</v>
      </c>
      <c r="M2761" s="5" t="s">
        <v>3381</v>
      </c>
      <c r="N2761" s="6">
        <f>572</f>
        <v>572</v>
      </c>
      <c r="O2761" s="4" t="s">
        <v>265</v>
      </c>
      <c r="P2761" s="6">
        <f>1</f>
        <v>1</v>
      </c>
      <c r="Q2761" s="6">
        <f>0</f>
        <v>0</v>
      </c>
      <c r="S2761" s="6">
        <f>0</f>
        <v>0</v>
      </c>
      <c r="T2761" s="6">
        <f>1</f>
        <v>1</v>
      </c>
      <c r="U2761" s="5" t="s">
        <v>245</v>
      </c>
      <c r="V2761" s="4" t="s">
        <v>270</v>
      </c>
      <c r="W2761" s="4" t="s">
        <v>271</v>
      </c>
      <c r="X2761" s="4" t="s">
        <v>273</v>
      </c>
      <c r="Y2761" s="4" t="s">
        <v>241</v>
      </c>
      <c r="AB2761" s="4" t="s">
        <v>241</v>
      </c>
      <c r="AD2761" s="5" t="s">
        <v>241</v>
      </c>
      <c r="AG2761" s="5" t="s">
        <v>246</v>
      </c>
      <c r="AH2761" s="4" t="s">
        <v>241</v>
      </c>
      <c r="AI2761" s="4" t="s">
        <v>247</v>
      </c>
      <c r="AJ2761" s="4" t="s">
        <v>248</v>
      </c>
      <c r="AZ2761" s="4" t="s">
        <v>249</v>
      </c>
      <c r="BA2761" s="4" t="s">
        <v>241</v>
      </c>
      <c r="BB2761" s="4" t="s">
        <v>250</v>
      </c>
      <c r="BC2761" s="4" t="s">
        <v>241</v>
      </c>
      <c r="BD2761" s="4" t="s">
        <v>252</v>
      </c>
      <c r="BE2761" s="4" t="s">
        <v>241</v>
      </c>
      <c r="BI2761" s="4" t="s">
        <v>253</v>
      </c>
      <c r="BJ2761" s="5" t="s">
        <v>246</v>
      </c>
      <c r="BK2761" s="4" t="s">
        <v>254</v>
      </c>
      <c r="BL2761" s="4" t="s">
        <v>255</v>
      </c>
      <c r="BM2761" s="4" t="s">
        <v>241</v>
      </c>
      <c r="BN2761" s="6">
        <f>0</f>
        <v>0</v>
      </c>
      <c r="BO2761" s="6">
        <f>0</f>
        <v>0</v>
      </c>
      <c r="BP2761" s="4" t="s">
        <v>256</v>
      </c>
      <c r="BQ2761" s="4" t="s">
        <v>257</v>
      </c>
      <c r="CE2761" s="4" t="s">
        <v>241</v>
      </c>
      <c r="CF2761" s="4" t="s">
        <v>241</v>
      </c>
      <c r="CJ2761" s="4" t="s">
        <v>276</v>
      </c>
      <c r="CK2761" s="4" t="s">
        <v>259</v>
      </c>
      <c r="CL2761" s="4" t="s">
        <v>241</v>
      </c>
      <c r="CO2761" s="5" t="s">
        <v>260</v>
      </c>
      <c r="CP2761" s="4" t="s">
        <v>241</v>
      </c>
      <c r="CQ2761" s="4" t="s">
        <v>261</v>
      </c>
      <c r="CR2761" s="4" t="s">
        <v>241</v>
      </c>
      <c r="CS2761" s="4" t="s">
        <v>241</v>
      </c>
      <c r="CT2761" s="4">
        <v>0</v>
      </c>
      <c r="CU2761" s="4" t="s">
        <v>262</v>
      </c>
      <c r="CV2761" s="4" t="s">
        <v>263</v>
      </c>
      <c r="CW2761" s="4" t="s">
        <v>263</v>
      </c>
      <c r="CX2761" s="4" t="s">
        <v>264</v>
      </c>
      <c r="DA2761" s="6">
        <f>1</f>
        <v>1</v>
      </c>
      <c r="DC2761" s="4" t="s">
        <v>325</v>
      </c>
      <c r="DD2761" s="4" t="s">
        <v>241</v>
      </c>
      <c r="DF2761" s="4" t="s">
        <v>325</v>
      </c>
      <c r="DG2761" s="6">
        <f>572</f>
        <v>572</v>
      </c>
      <c r="DI2761" s="4" t="s">
        <v>241</v>
      </c>
      <c r="DJ2761" s="4" t="s">
        <v>241</v>
      </c>
      <c r="DK2761" s="4" t="s">
        <v>241</v>
      </c>
      <c r="DL2761" s="4" t="s">
        <v>241</v>
      </c>
      <c r="DP2761" s="4" t="s">
        <v>241</v>
      </c>
      <c r="DQ2761" s="4" t="s">
        <v>241</v>
      </c>
      <c r="DR2761" s="4" t="s">
        <v>241</v>
      </c>
      <c r="DS2761" s="4" t="s">
        <v>241</v>
      </c>
      <c r="DV2761" s="4" t="s">
        <v>426</v>
      </c>
      <c r="DW2761" s="4" t="s">
        <v>2365</v>
      </c>
      <c r="HO2761" s="4" t="s">
        <v>267</v>
      </c>
    </row>
    <row r="2762" spans="1:223" ht="19.5" customHeight="1" x14ac:dyDescent="0.4">
      <c r="A2762" s="4">
        <v>1</v>
      </c>
      <c r="B2762" s="4" t="s">
        <v>239</v>
      </c>
      <c r="C2762" s="4">
        <v>4465</v>
      </c>
      <c r="D2762" s="4">
        <v>1</v>
      </c>
      <c r="E2762" s="4">
        <v>1</v>
      </c>
      <c r="F2762" s="4" t="s">
        <v>268</v>
      </c>
      <c r="G2762" s="4" t="s">
        <v>241</v>
      </c>
      <c r="H2762" s="4" t="s">
        <v>241</v>
      </c>
      <c r="I2762" s="4" t="s">
        <v>424</v>
      </c>
      <c r="J2762" s="4" t="s">
        <v>274</v>
      </c>
      <c r="K2762" s="4" t="s">
        <v>251</v>
      </c>
      <c r="L2762" s="4" t="s">
        <v>423</v>
      </c>
      <c r="M2762" s="5" t="s">
        <v>3386</v>
      </c>
      <c r="N2762" s="6">
        <f>825</f>
        <v>825</v>
      </c>
      <c r="O2762" s="4" t="s">
        <v>265</v>
      </c>
      <c r="P2762" s="6">
        <f>1</f>
        <v>1</v>
      </c>
      <c r="Q2762" s="6">
        <f>0</f>
        <v>0</v>
      </c>
      <c r="S2762" s="6">
        <f>0</f>
        <v>0</v>
      </c>
      <c r="T2762" s="6">
        <f>1</f>
        <v>1</v>
      </c>
      <c r="U2762" s="5" t="s">
        <v>245</v>
      </c>
      <c r="V2762" s="4" t="s">
        <v>270</v>
      </c>
      <c r="W2762" s="4" t="s">
        <v>271</v>
      </c>
      <c r="X2762" s="4" t="s">
        <v>273</v>
      </c>
      <c r="Y2762" s="4" t="s">
        <v>241</v>
      </c>
      <c r="AB2762" s="4" t="s">
        <v>241</v>
      </c>
      <c r="AD2762" s="5" t="s">
        <v>241</v>
      </c>
      <c r="AG2762" s="5" t="s">
        <v>246</v>
      </c>
      <c r="AH2762" s="4" t="s">
        <v>241</v>
      </c>
      <c r="AI2762" s="4" t="s">
        <v>247</v>
      </c>
      <c r="AJ2762" s="4" t="s">
        <v>248</v>
      </c>
      <c r="AZ2762" s="4" t="s">
        <v>249</v>
      </c>
      <c r="BA2762" s="4" t="s">
        <v>241</v>
      </c>
      <c r="BB2762" s="4" t="s">
        <v>250</v>
      </c>
      <c r="BC2762" s="4" t="s">
        <v>241</v>
      </c>
      <c r="BD2762" s="4" t="s">
        <v>252</v>
      </c>
      <c r="BE2762" s="4" t="s">
        <v>241</v>
      </c>
      <c r="BI2762" s="4" t="s">
        <v>253</v>
      </c>
      <c r="BJ2762" s="5" t="s">
        <v>246</v>
      </c>
      <c r="BK2762" s="4" t="s">
        <v>254</v>
      </c>
      <c r="BL2762" s="4" t="s">
        <v>255</v>
      </c>
      <c r="BM2762" s="4" t="s">
        <v>241</v>
      </c>
      <c r="BN2762" s="6">
        <f>0</f>
        <v>0</v>
      </c>
      <c r="BO2762" s="6">
        <f>0</f>
        <v>0</v>
      </c>
      <c r="BP2762" s="4" t="s">
        <v>256</v>
      </c>
      <c r="BQ2762" s="4" t="s">
        <v>257</v>
      </c>
      <c r="CE2762" s="4" t="s">
        <v>241</v>
      </c>
      <c r="CF2762" s="4" t="s">
        <v>241</v>
      </c>
      <c r="CJ2762" s="4" t="s">
        <v>276</v>
      </c>
      <c r="CK2762" s="4" t="s">
        <v>259</v>
      </c>
      <c r="CL2762" s="4" t="s">
        <v>241</v>
      </c>
      <c r="CO2762" s="5" t="s">
        <v>260</v>
      </c>
      <c r="CP2762" s="4" t="s">
        <v>241</v>
      </c>
      <c r="CQ2762" s="4" t="s">
        <v>261</v>
      </c>
      <c r="CR2762" s="4" t="s">
        <v>241</v>
      </c>
      <c r="CS2762" s="4" t="s">
        <v>241</v>
      </c>
      <c r="CT2762" s="4">
        <v>0</v>
      </c>
      <c r="CU2762" s="4" t="s">
        <v>262</v>
      </c>
      <c r="CV2762" s="4" t="s">
        <v>263</v>
      </c>
      <c r="CW2762" s="4" t="s">
        <v>263</v>
      </c>
      <c r="CX2762" s="4" t="s">
        <v>264</v>
      </c>
      <c r="DA2762" s="6">
        <f>1</f>
        <v>1</v>
      </c>
      <c r="DC2762" s="4" t="s">
        <v>325</v>
      </c>
      <c r="DD2762" s="4" t="s">
        <v>241</v>
      </c>
      <c r="DF2762" s="4" t="s">
        <v>325</v>
      </c>
      <c r="DG2762" s="6">
        <f>825</f>
        <v>825</v>
      </c>
      <c r="DI2762" s="4" t="s">
        <v>241</v>
      </c>
      <c r="DJ2762" s="4" t="s">
        <v>241</v>
      </c>
      <c r="DK2762" s="4" t="s">
        <v>241</v>
      </c>
      <c r="DL2762" s="4" t="s">
        <v>241</v>
      </c>
      <c r="DP2762" s="4" t="s">
        <v>241</v>
      </c>
      <c r="DQ2762" s="4" t="s">
        <v>241</v>
      </c>
      <c r="DR2762" s="4" t="s">
        <v>241</v>
      </c>
      <c r="DS2762" s="4" t="s">
        <v>241</v>
      </c>
      <c r="DV2762" s="4" t="s">
        <v>426</v>
      </c>
      <c r="DW2762" s="4" t="s">
        <v>2363</v>
      </c>
      <c r="HO2762" s="4" t="s">
        <v>267</v>
      </c>
    </row>
    <row r="2763" spans="1:223" ht="19.5" customHeight="1" x14ac:dyDescent="0.4">
      <c r="A2763" s="4">
        <v>1</v>
      </c>
      <c r="B2763" s="4" t="s">
        <v>239</v>
      </c>
      <c r="C2763" s="4">
        <v>4466</v>
      </c>
      <c r="D2763" s="4">
        <v>1</v>
      </c>
      <c r="E2763" s="4">
        <v>1</v>
      </c>
      <c r="F2763" s="4" t="s">
        <v>268</v>
      </c>
      <c r="G2763" s="4" t="s">
        <v>241</v>
      </c>
      <c r="H2763" s="4" t="s">
        <v>241</v>
      </c>
      <c r="I2763" s="4" t="s">
        <v>424</v>
      </c>
      <c r="J2763" s="4" t="s">
        <v>274</v>
      </c>
      <c r="K2763" s="4" t="s">
        <v>251</v>
      </c>
      <c r="L2763" s="4" t="s">
        <v>423</v>
      </c>
      <c r="M2763" s="5" t="s">
        <v>3391</v>
      </c>
      <c r="N2763" s="6">
        <f>503</f>
        <v>503</v>
      </c>
      <c r="O2763" s="4" t="s">
        <v>265</v>
      </c>
      <c r="P2763" s="6">
        <f>1</f>
        <v>1</v>
      </c>
      <c r="Q2763" s="6">
        <f>0</f>
        <v>0</v>
      </c>
      <c r="S2763" s="6">
        <f>0</f>
        <v>0</v>
      </c>
      <c r="T2763" s="6">
        <f>1</f>
        <v>1</v>
      </c>
      <c r="U2763" s="5" t="s">
        <v>245</v>
      </c>
      <c r="V2763" s="4" t="s">
        <v>270</v>
      </c>
      <c r="W2763" s="4" t="s">
        <v>271</v>
      </c>
      <c r="X2763" s="4" t="s">
        <v>273</v>
      </c>
      <c r="Y2763" s="4" t="s">
        <v>241</v>
      </c>
      <c r="AB2763" s="4" t="s">
        <v>241</v>
      </c>
      <c r="AD2763" s="5" t="s">
        <v>241</v>
      </c>
      <c r="AG2763" s="5" t="s">
        <v>246</v>
      </c>
      <c r="AH2763" s="4" t="s">
        <v>241</v>
      </c>
      <c r="AI2763" s="4" t="s">
        <v>247</v>
      </c>
      <c r="AJ2763" s="4" t="s">
        <v>248</v>
      </c>
      <c r="AZ2763" s="4" t="s">
        <v>249</v>
      </c>
      <c r="BA2763" s="4" t="s">
        <v>241</v>
      </c>
      <c r="BB2763" s="4" t="s">
        <v>250</v>
      </c>
      <c r="BC2763" s="4" t="s">
        <v>241</v>
      </c>
      <c r="BD2763" s="4" t="s">
        <v>252</v>
      </c>
      <c r="BE2763" s="4" t="s">
        <v>241</v>
      </c>
      <c r="BI2763" s="4" t="s">
        <v>253</v>
      </c>
      <c r="BJ2763" s="5" t="s">
        <v>246</v>
      </c>
      <c r="BK2763" s="4" t="s">
        <v>254</v>
      </c>
      <c r="BL2763" s="4" t="s">
        <v>255</v>
      </c>
      <c r="BM2763" s="4" t="s">
        <v>241</v>
      </c>
      <c r="BN2763" s="6">
        <f>0</f>
        <v>0</v>
      </c>
      <c r="BO2763" s="6">
        <f>0</f>
        <v>0</v>
      </c>
      <c r="BP2763" s="4" t="s">
        <v>256</v>
      </c>
      <c r="BQ2763" s="4" t="s">
        <v>257</v>
      </c>
      <c r="CE2763" s="4" t="s">
        <v>241</v>
      </c>
      <c r="CF2763" s="4" t="s">
        <v>241</v>
      </c>
      <c r="CJ2763" s="4" t="s">
        <v>276</v>
      </c>
      <c r="CK2763" s="4" t="s">
        <v>259</v>
      </c>
      <c r="CL2763" s="4" t="s">
        <v>241</v>
      </c>
      <c r="CO2763" s="5" t="s">
        <v>260</v>
      </c>
      <c r="CP2763" s="4" t="s">
        <v>241</v>
      </c>
      <c r="CQ2763" s="4" t="s">
        <v>261</v>
      </c>
      <c r="CR2763" s="4" t="s">
        <v>241</v>
      </c>
      <c r="CS2763" s="4" t="s">
        <v>241</v>
      </c>
      <c r="CT2763" s="4">
        <v>0</v>
      </c>
      <c r="CU2763" s="4" t="s">
        <v>262</v>
      </c>
      <c r="CV2763" s="4" t="s">
        <v>263</v>
      </c>
      <c r="CW2763" s="4" t="s">
        <v>263</v>
      </c>
      <c r="CX2763" s="4" t="s">
        <v>264</v>
      </c>
      <c r="DA2763" s="6">
        <f>1</f>
        <v>1</v>
      </c>
      <c r="DC2763" s="4" t="s">
        <v>325</v>
      </c>
      <c r="DD2763" s="4" t="s">
        <v>241</v>
      </c>
      <c r="DF2763" s="4" t="s">
        <v>325</v>
      </c>
      <c r="DG2763" s="6">
        <f>503</f>
        <v>503</v>
      </c>
      <c r="DI2763" s="4" t="s">
        <v>241</v>
      </c>
      <c r="DJ2763" s="4" t="s">
        <v>241</v>
      </c>
      <c r="DK2763" s="4" t="s">
        <v>241</v>
      </c>
      <c r="DL2763" s="4" t="s">
        <v>241</v>
      </c>
      <c r="DP2763" s="4" t="s">
        <v>241</v>
      </c>
      <c r="DQ2763" s="4" t="s">
        <v>241</v>
      </c>
      <c r="DR2763" s="4" t="s">
        <v>241</v>
      </c>
      <c r="DS2763" s="4" t="s">
        <v>241</v>
      </c>
      <c r="DV2763" s="4" t="s">
        <v>426</v>
      </c>
      <c r="DW2763" s="4" t="s">
        <v>2359</v>
      </c>
      <c r="HO2763" s="4" t="s">
        <v>267</v>
      </c>
    </row>
    <row r="2764" spans="1:223" ht="19.5" customHeight="1" x14ac:dyDescent="0.4">
      <c r="A2764" s="4">
        <v>1</v>
      </c>
      <c r="B2764" s="4" t="s">
        <v>239</v>
      </c>
      <c r="C2764" s="4">
        <v>4467</v>
      </c>
      <c r="D2764" s="4">
        <v>1</v>
      </c>
      <c r="E2764" s="4">
        <v>1</v>
      </c>
      <c r="F2764" s="4" t="s">
        <v>268</v>
      </c>
      <c r="G2764" s="4" t="s">
        <v>241</v>
      </c>
      <c r="H2764" s="4" t="s">
        <v>241</v>
      </c>
      <c r="I2764" s="4" t="s">
        <v>424</v>
      </c>
      <c r="J2764" s="4" t="s">
        <v>274</v>
      </c>
      <c r="K2764" s="4" t="s">
        <v>251</v>
      </c>
      <c r="L2764" s="4" t="s">
        <v>423</v>
      </c>
      <c r="M2764" s="5" t="s">
        <v>4665</v>
      </c>
      <c r="N2764" s="6">
        <f>1661</f>
        <v>1661</v>
      </c>
      <c r="O2764" s="4" t="s">
        <v>265</v>
      </c>
      <c r="P2764" s="6">
        <f>1</f>
        <v>1</v>
      </c>
      <c r="Q2764" s="6">
        <f>0</f>
        <v>0</v>
      </c>
      <c r="S2764" s="6">
        <f>0</f>
        <v>0</v>
      </c>
      <c r="T2764" s="6">
        <f>1</f>
        <v>1</v>
      </c>
      <c r="U2764" s="5" t="s">
        <v>245</v>
      </c>
      <c r="V2764" s="4" t="s">
        <v>270</v>
      </c>
      <c r="W2764" s="4" t="s">
        <v>271</v>
      </c>
      <c r="X2764" s="4" t="s">
        <v>273</v>
      </c>
      <c r="Y2764" s="4" t="s">
        <v>241</v>
      </c>
      <c r="AB2764" s="4" t="s">
        <v>241</v>
      </c>
      <c r="AD2764" s="5" t="s">
        <v>241</v>
      </c>
      <c r="AG2764" s="5" t="s">
        <v>246</v>
      </c>
      <c r="AH2764" s="4" t="s">
        <v>241</v>
      </c>
      <c r="AI2764" s="4" t="s">
        <v>247</v>
      </c>
      <c r="AJ2764" s="4" t="s">
        <v>248</v>
      </c>
      <c r="AZ2764" s="4" t="s">
        <v>249</v>
      </c>
      <c r="BA2764" s="4" t="s">
        <v>241</v>
      </c>
      <c r="BB2764" s="4" t="s">
        <v>250</v>
      </c>
      <c r="BC2764" s="4" t="s">
        <v>241</v>
      </c>
      <c r="BD2764" s="4" t="s">
        <v>252</v>
      </c>
      <c r="BE2764" s="4" t="s">
        <v>241</v>
      </c>
      <c r="BI2764" s="4" t="s">
        <v>253</v>
      </c>
      <c r="BJ2764" s="5" t="s">
        <v>246</v>
      </c>
      <c r="BK2764" s="4" t="s">
        <v>254</v>
      </c>
      <c r="BL2764" s="4" t="s">
        <v>255</v>
      </c>
      <c r="BM2764" s="4" t="s">
        <v>241</v>
      </c>
      <c r="BN2764" s="6">
        <f>0</f>
        <v>0</v>
      </c>
      <c r="BO2764" s="6">
        <f>0</f>
        <v>0</v>
      </c>
      <c r="BP2764" s="4" t="s">
        <v>256</v>
      </c>
      <c r="BQ2764" s="4" t="s">
        <v>257</v>
      </c>
      <c r="CE2764" s="4" t="s">
        <v>241</v>
      </c>
      <c r="CF2764" s="4" t="s">
        <v>241</v>
      </c>
      <c r="CJ2764" s="4" t="s">
        <v>276</v>
      </c>
      <c r="CK2764" s="4" t="s">
        <v>259</v>
      </c>
      <c r="CL2764" s="4" t="s">
        <v>241</v>
      </c>
      <c r="CO2764" s="5" t="s">
        <v>260</v>
      </c>
      <c r="CP2764" s="4" t="s">
        <v>241</v>
      </c>
      <c r="CQ2764" s="4" t="s">
        <v>261</v>
      </c>
      <c r="CR2764" s="4" t="s">
        <v>241</v>
      </c>
      <c r="CS2764" s="4" t="s">
        <v>241</v>
      </c>
      <c r="CT2764" s="4">
        <v>0</v>
      </c>
      <c r="CU2764" s="4" t="s">
        <v>262</v>
      </c>
      <c r="CV2764" s="4" t="s">
        <v>263</v>
      </c>
      <c r="CW2764" s="4" t="s">
        <v>263</v>
      </c>
      <c r="CX2764" s="4" t="s">
        <v>264</v>
      </c>
      <c r="DA2764" s="6">
        <f>1</f>
        <v>1</v>
      </c>
      <c r="DC2764" s="4" t="s">
        <v>325</v>
      </c>
      <c r="DD2764" s="4" t="s">
        <v>241</v>
      </c>
      <c r="DF2764" s="4" t="s">
        <v>325</v>
      </c>
      <c r="DG2764" s="6">
        <f>1661</f>
        <v>1661</v>
      </c>
      <c r="DI2764" s="4" t="s">
        <v>241</v>
      </c>
      <c r="DJ2764" s="4" t="s">
        <v>241</v>
      </c>
      <c r="DK2764" s="4" t="s">
        <v>241</v>
      </c>
      <c r="DL2764" s="4" t="s">
        <v>241</v>
      </c>
      <c r="DP2764" s="4" t="s">
        <v>241</v>
      </c>
      <c r="DQ2764" s="4" t="s">
        <v>241</v>
      </c>
      <c r="DR2764" s="4" t="s">
        <v>241</v>
      </c>
      <c r="DS2764" s="4" t="s">
        <v>241</v>
      </c>
      <c r="DV2764" s="4" t="s">
        <v>426</v>
      </c>
      <c r="DW2764" s="4" t="s">
        <v>2357</v>
      </c>
      <c r="HO2764" s="4" t="s">
        <v>267</v>
      </c>
    </row>
    <row r="2765" spans="1:223" ht="19.5" customHeight="1" x14ac:dyDescent="0.4">
      <c r="A2765" s="4">
        <v>1</v>
      </c>
      <c r="B2765" s="4" t="s">
        <v>239</v>
      </c>
      <c r="C2765" s="4">
        <v>4468</v>
      </c>
      <c r="D2765" s="4">
        <v>1</v>
      </c>
      <c r="E2765" s="4">
        <v>1</v>
      </c>
      <c r="F2765" s="4" t="s">
        <v>268</v>
      </c>
      <c r="G2765" s="4" t="s">
        <v>241</v>
      </c>
      <c r="H2765" s="4" t="s">
        <v>241</v>
      </c>
      <c r="I2765" s="4" t="s">
        <v>424</v>
      </c>
      <c r="J2765" s="4" t="s">
        <v>274</v>
      </c>
      <c r="K2765" s="4" t="s">
        <v>251</v>
      </c>
      <c r="L2765" s="4" t="s">
        <v>423</v>
      </c>
      <c r="M2765" s="5" t="s">
        <v>3396</v>
      </c>
      <c r="N2765" s="6">
        <f>720</f>
        <v>720</v>
      </c>
      <c r="O2765" s="4" t="s">
        <v>265</v>
      </c>
      <c r="P2765" s="6">
        <f>1</f>
        <v>1</v>
      </c>
      <c r="Q2765" s="6">
        <f>0</f>
        <v>0</v>
      </c>
      <c r="S2765" s="6">
        <f>0</f>
        <v>0</v>
      </c>
      <c r="T2765" s="6">
        <f>1</f>
        <v>1</v>
      </c>
      <c r="U2765" s="5" t="s">
        <v>245</v>
      </c>
      <c r="V2765" s="4" t="s">
        <v>270</v>
      </c>
      <c r="W2765" s="4" t="s">
        <v>271</v>
      </c>
      <c r="X2765" s="4" t="s">
        <v>273</v>
      </c>
      <c r="Y2765" s="4" t="s">
        <v>241</v>
      </c>
      <c r="AB2765" s="4" t="s">
        <v>241</v>
      </c>
      <c r="AD2765" s="5" t="s">
        <v>241</v>
      </c>
      <c r="AG2765" s="5" t="s">
        <v>246</v>
      </c>
      <c r="AH2765" s="4" t="s">
        <v>241</v>
      </c>
      <c r="AI2765" s="4" t="s">
        <v>247</v>
      </c>
      <c r="AJ2765" s="4" t="s">
        <v>248</v>
      </c>
      <c r="AZ2765" s="4" t="s">
        <v>249</v>
      </c>
      <c r="BA2765" s="4" t="s">
        <v>241</v>
      </c>
      <c r="BB2765" s="4" t="s">
        <v>250</v>
      </c>
      <c r="BC2765" s="4" t="s">
        <v>241</v>
      </c>
      <c r="BD2765" s="4" t="s">
        <v>252</v>
      </c>
      <c r="BE2765" s="4" t="s">
        <v>241</v>
      </c>
      <c r="BI2765" s="4" t="s">
        <v>253</v>
      </c>
      <c r="BJ2765" s="5" t="s">
        <v>246</v>
      </c>
      <c r="BK2765" s="4" t="s">
        <v>254</v>
      </c>
      <c r="BL2765" s="4" t="s">
        <v>255</v>
      </c>
      <c r="BM2765" s="4" t="s">
        <v>241</v>
      </c>
      <c r="BN2765" s="6">
        <f>0</f>
        <v>0</v>
      </c>
      <c r="BO2765" s="6">
        <f>0</f>
        <v>0</v>
      </c>
      <c r="BP2765" s="4" t="s">
        <v>256</v>
      </c>
      <c r="BQ2765" s="4" t="s">
        <v>257</v>
      </c>
      <c r="CE2765" s="4" t="s">
        <v>241</v>
      </c>
      <c r="CF2765" s="4" t="s">
        <v>241</v>
      </c>
      <c r="CJ2765" s="4" t="s">
        <v>276</v>
      </c>
      <c r="CK2765" s="4" t="s">
        <v>259</v>
      </c>
      <c r="CL2765" s="4" t="s">
        <v>241</v>
      </c>
      <c r="CO2765" s="5" t="s">
        <v>260</v>
      </c>
      <c r="CP2765" s="4" t="s">
        <v>241</v>
      </c>
      <c r="CQ2765" s="4" t="s">
        <v>261</v>
      </c>
      <c r="CR2765" s="4" t="s">
        <v>241</v>
      </c>
      <c r="CS2765" s="4" t="s">
        <v>241</v>
      </c>
      <c r="CT2765" s="4">
        <v>0</v>
      </c>
      <c r="CU2765" s="4" t="s">
        <v>262</v>
      </c>
      <c r="CV2765" s="4" t="s">
        <v>263</v>
      </c>
      <c r="CW2765" s="4" t="s">
        <v>263</v>
      </c>
      <c r="CX2765" s="4" t="s">
        <v>264</v>
      </c>
      <c r="DA2765" s="6">
        <f>1</f>
        <v>1</v>
      </c>
      <c r="DC2765" s="4" t="s">
        <v>325</v>
      </c>
      <c r="DD2765" s="4" t="s">
        <v>241</v>
      </c>
      <c r="DF2765" s="4" t="s">
        <v>325</v>
      </c>
      <c r="DG2765" s="6">
        <f>720</f>
        <v>720</v>
      </c>
      <c r="DI2765" s="4" t="s">
        <v>241</v>
      </c>
      <c r="DJ2765" s="4" t="s">
        <v>241</v>
      </c>
      <c r="DK2765" s="4" t="s">
        <v>241</v>
      </c>
      <c r="DL2765" s="4" t="s">
        <v>241</v>
      </c>
      <c r="DP2765" s="4" t="s">
        <v>241</v>
      </c>
      <c r="DQ2765" s="4" t="s">
        <v>241</v>
      </c>
      <c r="DR2765" s="4" t="s">
        <v>241</v>
      </c>
      <c r="DS2765" s="4" t="s">
        <v>241</v>
      </c>
      <c r="DV2765" s="4" t="s">
        <v>426</v>
      </c>
      <c r="DW2765" s="4" t="s">
        <v>2355</v>
      </c>
      <c r="HO2765" s="4" t="s">
        <v>267</v>
      </c>
    </row>
    <row r="2766" spans="1:223" ht="19.5" customHeight="1" x14ac:dyDescent="0.4">
      <c r="A2766" s="4">
        <v>1</v>
      </c>
      <c r="B2766" s="4" t="s">
        <v>239</v>
      </c>
      <c r="C2766" s="4">
        <v>4469</v>
      </c>
      <c r="D2766" s="4">
        <v>1</v>
      </c>
      <c r="E2766" s="4">
        <v>1</v>
      </c>
      <c r="F2766" s="4" t="s">
        <v>268</v>
      </c>
      <c r="G2766" s="4" t="s">
        <v>241</v>
      </c>
      <c r="H2766" s="4" t="s">
        <v>241</v>
      </c>
      <c r="I2766" s="4" t="s">
        <v>424</v>
      </c>
      <c r="J2766" s="4" t="s">
        <v>274</v>
      </c>
      <c r="K2766" s="4" t="s">
        <v>251</v>
      </c>
      <c r="L2766" s="4" t="s">
        <v>423</v>
      </c>
      <c r="M2766" s="5" t="s">
        <v>3401</v>
      </c>
      <c r="N2766" s="6">
        <f>382</f>
        <v>382</v>
      </c>
      <c r="O2766" s="4" t="s">
        <v>265</v>
      </c>
      <c r="P2766" s="6">
        <f>1</f>
        <v>1</v>
      </c>
      <c r="Q2766" s="6">
        <f>0</f>
        <v>0</v>
      </c>
      <c r="S2766" s="6">
        <f>0</f>
        <v>0</v>
      </c>
      <c r="T2766" s="6">
        <f>1</f>
        <v>1</v>
      </c>
      <c r="U2766" s="5" t="s">
        <v>245</v>
      </c>
      <c r="V2766" s="4" t="s">
        <v>270</v>
      </c>
      <c r="W2766" s="4" t="s">
        <v>271</v>
      </c>
      <c r="X2766" s="4" t="s">
        <v>273</v>
      </c>
      <c r="Y2766" s="4" t="s">
        <v>241</v>
      </c>
      <c r="AB2766" s="4" t="s">
        <v>241</v>
      </c>
      <c r="AD2766" s="5" t="s">
        <v>241</v>
      </c>
      <c r="AG2766" s="5" t="s">
        <v>246</v>
      </c>
      <c r="AH2766" s="4" t="s">
        <v>241</v>
      </c>
      <c r="AI2766" s="4" t="s">
        <v>247</v>
      </c>
      <c r="AJ2766" s="4" t="s">
        <v>248</v>
      </c>
      <c r="AZ2766" s="4" t="s">
        <v>249</v>
      </c>
      <c r="BA2766" s="4" t="s">
        <v>241</v>
      </c>
      <c r="BB2766" s="4" t="s">
        <v>250</v>
      </c>
      <c r="BC2766" s="4" t="s">
        <v>241</v>
      </c>
      <c r="BD2766" s="4" t="s">
        <v>252</v>
      </c>
      <c r="BE2766" s="4" t="s">
        <v>241</v>
      </c>
      <c r="BI2766" s="4" t="s">
        <v>253</v>
      </c>
      <c r="BJ2766" s="5" t="s">
        <v>246</v>
      </c>
      <c r="BK2766" s="4" t="s">
        <v>254</v>
      </c>
      <c r="BL2766" s="4" t="s">
        <v>255</v>
      </c>
      <c r="BM2766" s="4" t="s">
        <v>241</v>
      </c>
      <c r="BN2766" s="6">
        <f>0</f>
        <v>0</v>
      </c>
      <c r="BO2766" s="6">
        <f>0</f>
        <v>0</v>
      </c>
      <c r="BP2766" s="4" t="s">
        <v>256</v>
      </c>
      <c r="BQ2766" s="4" t="s">
        <v>257</v>
      </c>
      <c r="CE2766" s="4" t="s">
        <v>241</v>
      </c>
      <c r="CF2766" s="4" t="s">
        <v>241</v>
      </c>
      <c r="CJ2766" s="4" t="s">
        <v>276</v>
      </c>
      <c r="CK2766" s="4" t="s">
        <v>259</v>
      </c>
      <c r="CL2766" s="4" t="s">
        <v>241</v>
      </c>
      <c r="CO2766" s="5" t="s">
        <v>260</v>
      </c>
      <c r="CP2766" s="4" t="s">
        <v>241</v>
      </c>
      <c r="CQ2766" s="4" t="s">
        <v>261</v>
      </c>
      <c r="CR2766" s="4" t="s">
        <v>241</v>
      </c>
      <c r="CS2766" s="4" t="s">
        <v>241</v>
      </c>
      <c r="CT2766" s="4">
        <v>0</v>
      </c>
      <c r="CU2766" s="4" t="s">
        <v>262</v>
      </c>
      <c r="CV2766" s="4" t="s">
        <v>263</v>
      </c>
      <c r="CW2766" s="4" t="s">
        <v>263</v>
      </c>
      <c r="CX2766" s="4" t="s">
        <v>264</v>
      </c>
      <c r="DA2766" s="6">
        <f>1</f>
        <v>1</v>
      </c>
      <c r="DC2766" s="4" t="s">
        <v>325</v>
      </c>
      <c r="DD2766" s="4" t="s">
        <v>241</v>
      </c>
      <c r="DF2766" s="4" t="s">
        <v>325</v>
      </c>
      <c r="DG2766" s="6">
        <f>382</f>
        <v>382</v>
      </c>
      <c r="DI2766" s="4" t="s">
        <v>241</v>
      </c>
      <c r="DJ2766" s="4" t="s">
        <v>241</v>
      </c>
      <c r="DK2766" s="4" t="s">
        <v>241</v>
      </c>
      <c r="DL2766" s="4" t="s">
        <v>241</v>
      </c>
      <c r="DP2766" s="4" t="s">
        <v>241</v>
      </c>
      <c r="DQ2766" s="4" t="s">
        <v>241</v>
      </c>
      <c r="DR2766" s="4" t="s">
        <v>241</v>
      </c>
      <c r="DS2766" s="4" t="s">
        <v>241</v>
      </c>
      <c r="DV2766" s="4" t="s">
        <v>426</v>
      </c>
      <c r="DW2766" s="4" t="s">
        <v>2353</v>
      </c>
      <c r="HO2766" s="4" t="s">
        <v>267</v>
      </c>
    </row>
    <row r="2767" spans="1:223" ht="19.5" customHeight="1" x14ac:dyDescent="0.4">
      <c r="A2767" s="4">
        <v>1</v>
      </c>
      <c r="B2767" s="4" t="s">
        <v>239</v>
      </c>
      <c r="C2767" s="4">
        <v>4470</v>
      </c>
      <c r="D2767" s="4">
        <v>1</v>
      </c>
      <c r="E2767" s="4">
        <v>1</v>
      </c>
      <c r="F2767" s="4" t="s">
        <v>268</v>
      </c>
      <c r="G2767" s="4" t="s">
        <v>241</v>
      </c>
      <c r="H2767" s="4" t="s">
        <v>241</v>
      </c>
      <c r="I2767" s="4" t="s">
        <v>424</v>
      </c>
      <c r="J2767" s="4" t="s">
        <v>274</v>
      </c>
      <c r="K2767" s="4" t="s">
        <v>251</v>
      </c>
      <c r="L2767" s="4" t="s">
        <v>423</v>
      </c>
      <c r="M2767" s="5" t="s">
        <v>3410</v>
      </c>
      <c r="N2767" s="6">
        <f>132</f>
        <v>132</v>
      </c>
      <c r="O2767" s="4" t="s">
        <v>265</v>
      </c>
      <c r="P2767" s="6">
        <f>1</f>
        <v>1</v>
      </c>
      <c r="Q2767" s="6">
        <f>0</f>
        <v>0</v>
      </c>
      <c r="S2767" s="6">
        <f>0</f>
        <v>0</v>
      </c>
      <c r="T2767" s="6">
        <f>1</f>
        <v>1</v>
      </c>
      <c r="U2767" s="5" t="s">
        <v>245</v>
      </c>
      <c r="V2767" s="4" t="s">
        <v>270</v>
      </c>
      <c r="W2767" s="4" t="s">
        <v>271</v>
      </c>
      <c r="X2767" s="4" t="s">
        <v>273</v>
      </c>
      <c r="Y2767" s="4" t="s">
        <v>241</v>
      </c>
      <c r="AB2767" s="4" t="s">
        <v>241</v>
      </c>
      <c r="AD2767" s="5" t="s">
        <v>241</v>
      </c>
      <c r="AG2767" s="5" t="s">
        <v>246</v>
      </c>
      <c r="AH2767" s="4" t="s">
        <v>241</v>
      </c>
      <c r="AI2767" s="4" t="s">
        <v>247</v>
      </c>
      <c r="AJ2767" s="4" t="s">
        <v>248</v>
      </c>
      <c r="AZ2767" s="4" t="s">
        <v>249</v>
      </c>
      <c r="BA2767" s="4" t="s">
        <v>241</v>
      </c>
      <c r="BB2767" s="4" t="s">
        <v>250</v>
      </c>
      <c r="BC2767" s="4" t="s">
        <v>241</v>
      </c>
      <c r="BD2767" s="4" t="s">
        <v>252</v>
      </c>
      <c r="BE2767" s="4" t="s">
        <v>241</v>
      </c>
      <c r="BI2767" s="4" t="s">
        <v>253</v>
      </c>
      <c r="BJ2767" s="5" t="s">
        <v>246</v>
      </c>
      <c r="BK2767" s="4" t="s">
        <v>254</v>
      </c>
      <c r="BL2767" s="4" t="s">
        <v>255</v>
      </c>
      <c r="BM2767" s="4" t="s">
        <v>241</v>
      </c>
      <c r="BN2767" s="6">
        <f>0</f>
        <v>0</v>
      </c>
      <c r="BO2767" s="6">
        <f>0</f>
        <v>0</v>
      </c>
      <c r="BP2767" s="4" t="s">
        <v>256</v>
      </c>
      <c r="BQ2767" s="4" t="s">
        <v>257</v>
      </c>
      <c r="CE2767" s="4" t="s">
        <v>241</v>
      </c>
      <c r="CF2767" s="4" t="s">
        <v>241</v>
      </c>
      <c r="CJ2767" s="4" t="s">
        <v>276</v>
      </c>
      <c r="CK2767" s="4" t="s">
        <v>259</v>
      </c>
      <c r="CL2767" s="4" t="s">
        <v>241</v>
      </c>
      <c r="CO2767" s="5" t="s">
        <v>260</v>
      </c>
      <c r="CP2767" s="4" t="s">
        <v>241</v>
      </c>
      <c r="CQ2767" s="4" t="s">
        <v>261</v>
      </c>
      <c r="CR2767" s="4" t="s">
        <v>241</v>
      </c>
      <c r="CS2767" s="4" t="s">
        <v>241</v>
      </c>
      <c r="CT2767" s="4">
        <v>0</v>
      </c>
      <c r="CU2767" s="4" t="s">
        <v>262</v>
      </c>
      <c r="CV2767" s="4" t="s">
        <v>263</v>
      </c>
      <c r="CW2767" s="4" t="s">
        <v>263</v>
      </c>
      <c r="CX2767" s="4" t="s">
        <v>264</v>
      </c>
      <c r="DA2767" s="6">
        <f>1</f>
        <v>1</v>
      </c>
      <c r="DC2767" s="4" t="s">
        <v>325</v>
      </c>
      <c r="DD2767" s="4" t="s">
        <v>241</v>
      </c>
      <c r="DF2767" s="4" t="s">
        <v>325</v>
      </c>
      <c r="DG2767" s="6">
        <f>132</f>
        <v>132</v>
      </c>
      <c r="DI2767" s="4" t="s">
        <v>241</v>
      </c>
      <c r="DJ2767" s="4" t="s">
        <v>241</v>
      </c>
      <c r="DK2767" s="4" t="s">
        <v>241</v>
      </c>
      <c r="DL2767" s="4" t="s">
        <v>241</v>
      </c>
      <c r="DP2767" s="4" t="s">
        <v>241</v>
      </c>
      <c r="DQ2767" s="4" t="s">
        <v>241</v>
      </c>
      <c r="DR2767" s="4" t="s">
        <v>241</v>
      </c>
      <c r="DS2767" s="4" t="s">
        <v>241</v>
      </c>
      <c r="DV2767" s="4" t="s">
        <v>426</v>
      </c>
      <c r="DW2767" s="4" t="s">
        <v>2351</v>
      </c>
      <c r="HO2767" s="4" t="s">
        <v>267</v>
      </c>
    </row>
    <row r="2768" spans="1:223" ht="19.5" customHeight="1" x14ac:dyDescent="0.4">
      <c r="A2768" s="4">
        <v>1</v>
      </c>
      <c r="B2768" s="4" t="s">
        <v>239</v>
      </c>
      <c r="C2768" s="4">
        <v>4471</v>
      </c>
      <c r="D2768" s="4">
        <v>1</v>
      </c>
      <c r="E2768" s="4">
        <v>1</v>
      </c>
      <c r="F2768" s="4" t="s">
        <v>268</v>
      </c>
      <c r="G2768" s="4" t="s">
        <v>241</v>
      </c>
      <c r="H2768" s="4" t="s">
        <v>241</v>
      </c>
      <c r="I2768" s="4" t="s">
        <v>424</v>
      </c>
      <c r="J2768" s="4" t="s">
        <v>274</v>
      </c>
      <c r="K2768" s="4" t="s">
        <v>251</v>
      </c>
      <c r="L2768" s="4" t="s">
        <v>423</v>
      </c>
      <c r="M2768" s="5" t="s">
        <v>3413</v>
      </c>
      <c r="N2768" s="6">
        <f>1591</f>
        <v>1591</v>
      </c>
      <c r="O2768" s="4" t="s">
        <v>265</v>
      </c>
      <c r="P2768" s="6">
        <f>1</f>
        <v>1</v>
      </c>
      <c r="Q2768" s="6">
        <f>0</f>
        <v>0</v>
      </c>
      <c r="S2768" s="6">
        <f>0</f>
        <v>0</v>
      </c>
      <c r="T2768" s="6">
        <f>1</f>
        <v>1</v>
      </c>
      <c r="U2768" s="5" t="s">
        <v>245</v>
      </c>
      <c r="V2768" s="4" t="s">
        <v>270</v>
      </c>
      <c r="W2768" s="4" t="s">
        <v>271</v>
      </c>
      <c r="X2768" s="4" t="s">
        <v>273</v>
      </c>
      <c r="Y2768" s="4" t="s">
        <v>241</v>
      </c>
      <c r="AB2768" s="4" t="s">
        <v>241</v>
      </c>
      <c r="AD2768" s="5" t="s">
        <v>241</v>
      </c>
      <c r="AG2768" s="5" t="s">
        <v>246</v>
      </c>
      <c r="AH2768" s="4" t="s">
        <v>241</v>
      </c>
      <c r="AI2768" s="4" t="s">
        <v>247</v>
      </c>
      <c r="AJ2768" s="4" t="s">
        <v>248</v>
      </c>
      <c r="AZ2768" s="4" t="s">
        <v>249</v>
      </c>
      <c r="BA2768" s="4" t="s">
        <v>241</v>
      </c>
      <c r="BB2768" s="4" t="s">
        <v>250</v>
      </c>
      <c r="BC2768" s="4" t="s">
        <v>241</v>
      </c>
      <c r="BD2768" s="4" t="s">
        <v>252</v>
      </c>
      <c r="BE2768" s="4" t="s">
        <v>241</v>
      </c>
      <c r="BI2768" s="4" t="s">
        <v>253</v>
      </c>
      <c r="BJ2768" s="5" t="s">
        <v>246</v>
      </c>
      <c r="BK2768" s="4" t="s">
        <v>254</v>
      </c>
      <c r="BL2768" s="4" t="s">
        <v>255</v>
      </c>
      <c r="BM2768" s="4" t="s">
        <v>241</v>
      </c>
      <c r="BN2768" s="6">
        <f>0</f>
        <v>0</v>
      </c>
      <c r="BO2768" s="6">
        <f>0</f>
        <v>0</v>
      </c>
      <c r="BP2768" s="4" t="s">
        <v>256</v>
      </c>
      <c r="BQ2768" s="4" t="s">
        <v>257</v>
      </c>
      <c r="CE2768" s="4" t="s">
        <v>241</v>
      </c>
      <c r="CF2768" s="4" t="s">
        <v>241</v>
      </c>
      <c r="CJ2768" s="4" t="s">
        <v>276</v>
      </c>
      <c r="CK2768" s="4" t="s">
        <v>259</v>
      </c>
      <c r="CL2768" s="4" t="s">
        <v>241</v>
      </c>
      <c r="CO2768" s="5" t="s">
        <v>260</v>
      </c>
      <c r="CP2768" s="4" t="s">
        <v>241</v>
      </c>
      <c r="CQ2768" s="4" t="s">
        <v>261</v>
      </c>
      <c r="CR2768" s="4" t="s">
        <v>241</v>
      </c>
      <c r="CS2768" s="4" t="s">
        <v>241</v>
      </c>
      <c r="CT2768" s="4">
        <v>0</v>
      </c>
      <c r="CU2768" s="4" t="s">
        <v>262</v>
      </c>
      <c r="CV2768" s="4" t="s">
        <v>263</v>
      </c>
      <c r="CW2768" s="4" t="s">
        <v>263</v>
      </c>
      <c r="CX2768" s="4" t="s">
        <v>264</v>
      </c>
      <c r="DA2768" s="6">
        <f>1</f>
        <v>1</v>
      </c>
      <c r="DC2768" s="4" t="s">
        <v>325</v>
      </c>
      <c r="DD2768" s="4" t="s">
        <v>241</v>
      </c>
      <c r="DF2768" s="4" t="s">
        <v>325</v>
      </c>
      <c r="DG2768" s="6">
        <f>1591</f>
        <v>1591</v>
      </c>
      <c r="DI2768" s="4" t="s">
        <v>241</v>
      </c>
      <c r="DJ2768" s="4" t="s">
        <v>241</v>
      </c>
      <c r="DK2768" s="4" t="s">
        <v>241</v>
      </c>
      <c r="DL2768" s="4" t="s">
        <v>241</v>
      </c>
      <c r="DP2768" s="4" t="s">
        <v>241</v>
      </c>
      <c r="DQ2768" s="4" t="s">
        <v>241</v>
      </c>
      <c r="DR2768" s="4" t="s">
        <v>241</v>
      </c>
      <c r="DS2768" s="4" t="s">
        <v>241</v>
      </c>
      <c r="DV2768" s="4" t="s">
        <v>426</v>
      </c>
      <c r="DW2768" s="4" t="s">
        <v>2349</v>
      </c>
      <c r="HO2768" s="4" t="s">
        <v>267</v>
      </c>
    </row>
    <row r="2769" spans="1:223" ht="19.5" customHeight="1" x14ac:dyDescent="0.4">
      <c r="A2769" s="4">
        <v>1</v>
      </c>
      <c r="B2769" s="4" t="s">
        <v>239</v>
      </c>
      <c r="C2769" s="4">
        <v>4472</v>
      </c>
      <c r="D2769" s="4">
        <v>1</v>
      </c>
      <c r="E2769" s="4">
        <v>1</v>
      </c>
      <c r="F2769" s="4" t="s">
        <v>268</v>
      </c>
      <c r="G2769" s="4" t="s">
        <v>241</v>
      </c>
      <c r="H2769" s="4" t="s">
        <v>241</v>
      </c>
      <c r="I2769" s="4" t="s">
        <v>424</v>
      </c>
      <c r="J2769" s="4" t="s">
        <v>274</v>
      </c>
      <c r="K2769" s="4" t="s">
        <v>251</v>
      </c>
      <c r="L2769" s="4" t="s">
        <v>423</v>
      </c>
      <c r="M2769" s="5" t="s">
        <v>3416</v>
      </c>
      <c r="N2769" s="6">
        <f>1266</f>
        <v>1266</v>
      </c>
      <c r="O2769" s="4" t="s">
        <v>265</v>
      </c>
      <c r="P2769" s="6">
        <f>1</f>
        <v>1</v>
      </c>
      <c r="Q2769" s="6">
        <f>0</f>
        <v>0</v>
      </c>
      <c r="S2769" s="6">
        <f>0</f>
        <v>0</v>
      </c>
      <c r="T2769" s="6">
        <f>1</f>
        <v>1</v>
      </c>
      <c r="U2769" s="5" t="s">
        <v>245</v>
      </c>
      <c r="V2769" s="4" t="s">
        <v>270</v>
      </c>
      <c r="W2769" s="4" t="s">
        <v>271</v>
      </c>
      <c r="X2769" s="4" t="s">
        <v>273</v>
      </c>
      <c r="Y2769" s="4" t="s">
        <v>241</v>
      </c>
      <c r="AB2769" s="4" t="s">
        <v>241</v>
      </c>
      <c r="AD2769" s="5" t="s">
        <v>241</v>
      </c>
      <c r="AG2769" s="5" t="s">
        <v>246</v>
      </c>
      <c r="AH2769" s="4" t="s">
        <v>241</v>
      </c>
      <c r="AI2769" s="4" t="s">
        <v>247</v>
      </c>
      <c r="AJ2769" s="4" t="s">
        <v>248</v>
      </c>
      <c r="AZ2769" s="4" t="s">
        <v>249</v>
      </c>
      <c r="BA2769" s="4" t="s">
        <v>241</v>
      </c>
      <c r="BB2769" s="4" t="s">
        <v>250</v>
      </c>
      <c r="BC2769" s="4" t="s">
        <v>241</v>
      </c>
      <c r="BD2769" s="4" t="s">
        <v>252</v>
      </c>
      <c r="BE2769" s="4" t="s">
        <v>241</v>
      </c>
      <c r="BI2769" s="4" t="s">
        <v>253</v>
      </c>
      <c r="BJ2769" s="5" t="s">
        <v>246</v>
      </c>
      <c r="BK2769" s="4" t="s">
        <v>254</v>
      </c>
      <c r="BL2769" s="4" t="s">
        <v>255</v>
      </c>
      <c r="BM2769" s="4" t="s">
        <v>241</v>
      </c>
      <c r="BN2769" s="6">
        <f>0</f>
        <v>0</v>
      </c>
      <c r="BO2769" s="6">
        <f>0</f>
        <v>0</v>
      </c>
      <c r="BP2769" s="4" t="s">
        <v>256</v>
      </c>
      <c r="BQ2769" s="4" t="s">
        <v>257</v>
      </c>
      <c r="CE2769" s="4" t="s">
        <v>241</v>
      </c>
      <c r="CF2769" s="4" t="s">
        <v>241</v>
      </c>
      <c r="CJ2769" s="4" t="s">
        <v>276</v>
      </c>
      <c r="CK2769" s="4" t="s">
        <v>259</v>
      </c>
      <c r="CL2769" s="4" t="s">
        <v>241</v>
      </c>
      <c r="CO2769" s="5" t="s">
        <v>260</v>
      </c>
      <c r="CP2769" s="4" t="s">
        <v>241</v>
      </c>
      <c r="CQ2769" s="4" t="s">
        <v>261</v>
      </c>
      <c r="CR2769" s="4" t="s">
        <v>241</v>
      </c>
      <c r="CS2769" s="4" t="s">
        <v>241</v>
      </c>
      <c r="CT2769" s="4">
        <v>0</v>
      </c>
      <c r="CU2769" s="4" t="s">
        <v>262</v>
      </c>
      <c r="CV2769" s="4" t="s">
        <v>263</v>
      </c>
      <c r="CW2769" s="4" t="s">
        <v>263</v>
      </c>
      <c r="CX2769" s="4" t="s">
        <v>264</v>
      </c>
      <c r="DA2769" s="6">
        <f>1</f>
        <v>1</v>
      </c>
      <c r="DC2769" s="4" t="s">
        <v>325</v>
      </c>
      <c r="DD2769" s="4" t="s">
        <v>241</v>
      </c>
      <c r="DF2769" s="4" t="s">
        <v>325</v>
      </c>
      <c r="DG2769" s="6">
        <f>1266</f>
        <v>1266</v>
      </c>
      <c r="DI2769" s="4" t="s">
        <v>241</v>
      </c>
      <c r="DJ2769" s="4" t="s">
        <v>241</v>
      </c>
      <c r="DK2769" s="4" t="s">
        <v>241</v>
      </c>
      <c r="DL2769" s="4" t="s">
        <v>241</v>
      </c>
      <c r="DP2769" s="4" t="s">
        <v>241</v>
      </c>
      <c r="DQ2769" s="4" t="s">
        <v>241</v>
      </c>
      <c r="DR2769" s="4" t="s">
        <v>241</v>
      </c>
      <c r="DS2769" s="4" t="s">
        <v>241</v>
      </c>
      <c r="DV2769" s="4" t="s">
        <v>426</v>
      </c>
      <c r="DW2769" s="4" t="s">
        <v>2347</v>
      </c>
      <c r="HO2769" s="4" t="s">
        <v>267</v>
      </c>
    </row>
    <row r="2770" spans="1:223" ht="19.5" customHeight="1" x14ac:dyDescent="0.4">
      <c r="A2770" s="4">
        <v>1</v>
      </c>
      <c r="B2770" s="4" t="s">
        <v>239</v>
      </c>
      <c r="C2770" s="4">
        <v>4473</v>
      </c>
      <c r="D2770" s="4">
        <v>1</v>
      </c>
      <c r="E2770" s="4">
        <v>1</v>
      </c>
      <c r="F2770" s="4" t="s">
        <v>268</v>
      </c>
      <c r="G2770" s="4" t="s">
        <v>241</v>
      </c>
      <c r="H2770" s="4" t="s">
        <v>241</v>
      </c>
      <c r="I2770" s="4" t="s">
        <v>424</v>
      </c>
      <c r="J2770" s="4" t="s">
        <v>274</v>
      </c>
      <c r="K2770" s="4" t="s">
        <v>251</v>
      </c>
      <c r="L2770" s="4" t="s">
        <v>423</v>
      </c>
      <c r="M2770" s="5" t="s">
        <v>3422</v>
      </c>
      <c r="N2770" s="6">
        <f>690</f>
        <v>690</v>
      </c>
      <c r="O2770" s="4" t="s">
        <v>265</v>
      </c>
      <c r="P2770" s="6">
        <f>1</f>
        <v>1</v>
      </c>
      <c r="Q2770" s="6">
        <f>0</f>
        <v>0</v>
      </c>
      <c r="S2770" s="6">
        <f>0</f>
        <v>0</v>
      </c>
      <c r="T2770" s="6">
        <f>1</f>
        <v>1</v>
      </c>
      <c r="U2770" s="5" t="s">
        <v>245</v>
      </c>
      <c r="V2770" s="4" t="s">
        <v>270</v>
      </c>
      <c r="W2770" s="4" t="s">
        <v>271</v>
      </c>
      <c r="X2770" s="4" t="s">
        <v>273</v>
      </c>
      <c r="Y2770" s="4" t="s">
        <v>241</v>
      </c>
      <c r="AB2770" s="4" t="s">
        <v>241</v>
      </c>
      <c r="AD2770" s="5" t="s">
        <v>241</v>
      </c>
      <c r="AG2770" s="5" t="s">
        <v>246</v>
      </c>
      <c r="AH2770" s="4" t="s">
        <v>241</v>
      </c>
      <c r="AI2770" s="4" t="s">
        <v>247</v>
      </c>
      <c r="AJ2770" s="4" t="s">
        <v>248</v>
      </c>
      <c r="AZ2770" s="4" t="s">
        <v>249</v>
      </c>
      <c r="BA2770" s="4" t="s">
        <v>241</v>
      </c>
      <c r="BB2770" s="4" t="s">
        <v>250</v>
      </c>
      <c r="BC2770" s="4" t="s">
        <v>241</v>
      </c>
      <c r="BD2770" s="4" t="s">
        <v>252</v>
      </c>
      <c r="BE2770" s="4" t="s">
        <v>241</v>
      </c>
      <c r="BI2770" s="4" t="s">
        <v>253</v>
      </c>
      <c r="BJ2770" s="5" t="s">
        <v>246</v>
      </c>
      <c r="BK2770" s="4" t="s">
        <v>254</v>
      </c>
      <c r="BL2770" s="4" t="s">
        <v>255</v>
      </c>
      <c r="BM2770" s="4" t="s">
        <v>241</v>
      </c>
      <c r="BN2770" s="6">
        <f>0</f>
        <v>0</v>
      </c>
      <c r="BO2770" s="6">
        <f>0</f>
        <v>0</v>
      </c>
      <c r="BP2770" s="4" t="s">
        <v>256</v>
      </c>
      <c r="BQ2770" s="4" t="s">
        <v>257</v>
      </c>
      <c r="CE2770" s="4" t="s">
        <v>241</v>
      </c>
      <c r="CF2770" s="4" t="s">
        <v>241</v>
      </c>
      <c r="CJ2770" s="4" t="s">
        <v>276</v>
      </c>
      <c r="CK2770" s="4" t="s">
        <v>259</v>
      </c>
      <c r="CL2770" s="4" t="s">
        <v>241</v>
      </c>
      <c r="CO2770" s="5" t="s">
        <v>260</v>
      </c>
      <c r="CP2770" s="4" t="s">
        <v>241</v>
      </c>
      <c r="CQ2770" s="4" t="s">
        <v>261</v>
      </c>
      <c r="CR2770" s="4" t="s">
        <v>241</v>
      </c>
      <c r="CS2770" s="4" t="s">
        <v>241</v>
      </c>
      <c r="CT2770" s="4">
        <v>0</v>
      </c>
      <c r="CU2770" s="4" t="s">
        <v>262</v>
      </c>
      <c r="CV2770" s="4" t="s">
        <v>263</v>
      </c>
      <c r="CW2770" s="4" t="s">
        <v>263</v>
      </c>
      <c r="CX2770" s="4" t="s">
        <v>264</v>
      </c>
      <c r="DA2770" s="6">
        <f>1</f>
        <v>1</v>
      </c>
      <c r="DC2770" s="4" t="s">
        <v>325</v>
      </c>
      <c r="DD2770" s="4" t="s">
        <v>241</v>
      </c>
      <c r="DF2770" s="4" t="s">
        <v>325</v>
      </c>
      <c r="DG2770" s="6">
        <f>690</f>
        <v>690</v>
      </c>
      <c r="DI2770" s="4" t="s">
        <v>241</v>
      </c>
      <c r="DJ2770" s="4" t="s">
        <v>241</v>
      </c>
      <c r="DK2770" s="4" t="s">
        <v>241</v>
      </c>
      <c r="DL2770" s="4" t="s">
        <v>241</v>
      </c>
      <c r="DP2770" s="4" t="s">
        <v>241</v>
      </c>
      <c r="DQ2770" s="4" t="s">
        <v>241</v>
      </c>
      <c r="DR2770" s="4" t="s">
        <v>241</v>
      </c>
      <c r="DS2770" s="4" t="s">
        <v>241</v>
      </c>
      <c r="DV2770" s="4" t="s">
        <v>426</v>
      </c>
      <c r="DW2770" s="4" t="s">
        <v>2345</v>
      </c>
      <c r="HO2770" s="4" t="s">
        <v>267</v>
      </c>
    </row>
    <row r="2771" spans="1:223" ht="19.5" customHeight="1" x14ac:dyDescent="0.4">
      <c r="A2771" s="4">
        <v>1</v>
      </c>
      <c r="B2771" s="4" t="s">
        <v>239</v>
      </c>
      <c r="C2771" s="4">
        <v>4474</v>
      </c>
      <c r="D2771" s="4">
        <v>1</v>
      </c>
      <c r="E2771" s="4">
        <v>1</v>
      </c>
      <c r="F2771" s="4" t="s">
        <v>268</v>
      </c>
      <c r="G2771" s="4" t="s">
        <v>241</v>
      </c>
      <c r="H2771" s="4" t="s">
        <v>241</v>
      </c>
      <c r="I2771" s="4" t="s">
        <v>424</v>
      </c>
      <c r="J2771" s="4" t="s">
        <v>274</v>
      </c>
      <c r="K2771" s="4" t="s">
        <v>251</v>
      </c>
      <c r="L2771" s="4" t="s">
        <v>423</v>
      </c>
      <c r="M2771" s="5" t="s">
        <v>3429</v>
      </c>
      <c r="N2771" s="6">
        <f>324</f>
        <v>324</v>
      </c>
      <c r="O2771" s="4" t="s">
        <v>265</v>
      </c>
      <c r="P2771" s="6">
        <f>1</f>
        <v>1</v>
      </c>
      <c r="Q2771" s="6">
        <f>0</f>
        <v>0</v>
      </c>
      <c r="S2771" s="6">
        <f>0</f>
        <v>0</v>
      </c>
      <c r="T2771" s="6">
        <f>1</f>
        <v>1</v>
      </c>
      <c r="U2771" s="5" t="s">
        <v>245</v>
      </c>
      <c r="V2771" s="4" t="s">
        <v>270</v>
      </c>
      <c r="W2771" s="4" t="s">
        <v>271</v>
      </c>
      <c r="X2771" s="4" t="s">
        <v>273</v>
      </c>
      <c r="Y2771" s="4" t="s">
        <v>241</v>
      </c>
      <c r="AB2771" s="4" t="s">
        <v>241</v>
      </c>
      <c r="AD2771" s="5" t="s">
        <v>241</v>
      </c>
      <c r="AG2771" s="5" t="s">
        <v>246</v>
      </c>
      <c r="AH2771" s="4" t="s">
        <v>241</v>
      </c>
      <c r="AI2771" s="4" t="s">
        <v>247</v>
      </c>
      <c r="AJ2771" s="4" t="s">
        <v>248</v>
      </c>
      <c r="AZ2771" s="4" t="s">
        <v>249</v>
      </c>
      <c r="BA2771" s="4" t="s">
        <v>241</v>
      </c>
      <c r="BB2771" s="4" t="s">
        <v>250</v>
      </c>
      <c r="BC2771" s="4" t="s">
        <v>241</v>
      </c>
      <c r="BD2771" s="4" t="s">
        <v>252</v>
      </c>
      <c r="BE2771" s="4" t="s">
        <v>241</v>
      </c>
      <c r="BI2771" s="4" t="s">
        <v>253</v>
      </c>
      <c r="BJ2771" s="5" t="s">
        <v>246</v>
      </c>
      <c r="BK2771" s="4" t="s">
        <v>254</v>
      </c>
      <c r="BL2771" s="4" t="s">
        <v>255</v>
      </c>
      <c r="BM2771" s="4" t="s">
        <v>241</v>
      </c>
      <c r="BN2771" s="6">
        <f>0</f>
        <v>0</v>
      </c>
      <c r="BO2771" s="6">
        <f>0</f>
        <v>0</v>
      </c>
      <c r="BP2771" s="4" t="s">
        <v>256</v>
      </c>
      <c r="BQ2771" s="4" t="s">
        <v>257</v>
      </c>
      <c r="CE2771" s="4" t="s">
        <v>241</v>
      </c>
      <c r="CF2771" s="4" t="s">
        <v>241</v>
      </c>
      <c r="CJ2771" s="4" t="s">
        <v>276</v>
      </c>
      <c r="CK2771" s="4" t="s">
        <v>259</v>
      </c>
      <c r="CL2771" s="4" t="s">
        <v>241</v>
      </c>
      <c r="CO2771" s="5" t="s">
        <v>260</v>
      </c>
      <c r="CP2771" s="4" t="s">
        <v>241</v>
      </c>
      <c r="CQ2771" s="4" t="s">
        <v>261</v>
      </c>
      <c r="CR2771" s="4" t="s">
        <v>241</v>
      </c>
      <c r="CS2771" s="4" t="s">
        <v>241</v>
      </c>
      <c r="CT2771" s="4">
        <v>0</v>
      </c>
      <c r="CU2771" s="4" t="s">
        <v>262</v>
      </c>
      <c r="CV2771" s="4" t="s">
        <v>263</v>
      </c>
      <c r="CW2771" s="4" t="s">
        <v>263</v>
      </c>
      <c r="CX2771" s="4" t="s">
        <v>264</v>
      </c>
      <c r="DA2771" s="6">
        <f>1</f>
        <v>1</v>
      </c>
      <c r="DC2771" s="4" t="s">
        <v>325</v>
      </c>
      <c r="DD2771" s="4" t="s">
        <v>241</v>
      </c>
      <c r="DF2771" s="4" t="s">
        <v>325</v>
      </c>
      <c r="DG2771" s="6">
        <f>324</f>
        <v>324</v>
      </c>
      <c r="DI2771" s="4" t="s">
        <v>241</v>
      </c>
      <c r="DJ2771" s="4" t="s">
        <v>241</v>
      </c>
      <c r="DK2771" s="4" t="s">
        <v>241</v>
      </c>
      <c r="DL2771" s="4" t="s">
        <v>241</v>
      </c>
      <c r="DP2771" s="4" t="s">
        <v>241</v>
      </c>
      <c r="DQ2771" s="4" t="s">
        <v>241</v>
      </c>
      <c r="DR2771" s="4" t="s">
        <v>241</v>
      </c>
      <c r="DS2771" s="4" t="s">
        <v>241</v>
      </c>
      <c r="DV2771" s="4" t="s">
        <v>426</v>
      </c>
      <c r="DW2771" s="4" t="s">
        <v>2343</v>
      </c>
      <c r="HO2771" s="4" t="s">
        <v>267</v>
      </c>
    </row>
    <row r="2772" spans="1:223" ht="19.5" customHeight="1" x14ac:dyDescent="0.4">
      <c r="A2772" s="4">
        <v>1</v>
      </c>
      <c r="B2772" s="4" t="s">
        <v>239</v>
      </c>
      <c r="C2772" s="4">
        <v>4475</v>
      </c>
      <c r="D2772" s="4">
        <v>1</v>
      </c>
      <c r="E2772" s="4">
        <v>1</v>
      </c>
      <c r="F2772" s="4" t="s">
        <v>268</v>
      </c>
      <c r="G2772" s="4" t="s">
        <v>241</v>
      </c>
      <c r="H2772" s="4" t="s">
        <v>241</v>
      </c>
      <c r="I2772" s="4" t="s">
        <v>424</v>
      </c>
      <c r="J2772" s="4" t="s">
        <v>274</v>
      </c>
      <c r="K2772" s="4" t="s">
        <v>251</v>
      </c>
      <c r="L2772" s="4" t="s">
        <v>423</v>
      </c>
      <c r="M2772" s="5" t="s">
        <v>3435</v>
      </c>
      <c r="N2772" s="6">
        <f>257</f>
        <v>257</v>
      </c>
      <c r="O2772" s="4" t="s">
        <v>265</v>
      </c>
      <c r="P2772" s="6">
        <f>1</f>
        <v>1</v>
      </c>
      <c r="Q2772" s="6">
        <f>0</f>
        <v>0</v>
      </c>
      <c r="S2772" s="6">
        <f>0</f>
        <v>0</v>
      </c>
      <c r="T2772" s="6">
        <f>1</f>
        <v>1</v>
      </c>
      <c r="U2772" s="5" t="s">
        <v>245</v>
      </c>
      <c r="V2772" s="4" t="s">
        <v>270</v>
      </c>
      <c r="W2772" s="4" t="s">
        <v>271</v>
      </c>
      <c r="X2772" s="4" t="s">
        <v>273</v>
      </c>
      <c r="Y2772" s="4" t="s">
        <v>241</v>
      </c>
      <c r="AB2772" s="4" t="s">
        <v>241</v>
      </c>
      <c r="AD2772" s="5" t="s">
        <v>241</v>
      </c>
      <c r="AG2772" s="5" t="s">
        <v>246</v>
      </c>
      <c r="AH2772" s="4" t="s">
        <v>241</v>
      </c>
      <c r="AI2772" s="4" t="s">
        <v>247</v>
      </c>
      <c r="AJ2772" s="4" t="s">
        <v>248</v>
      </c>
      <c r="AZ2772" s="4" t="s">
        <v>249</v>
      </c>
      <c r="BA2772" s="4" t="s">
        <v>241</v>
      </c>
      <c r="BB2772" s="4" t="s">
        <v>250</v>
      </c>
      <c r="BC2772" s="4" t="s">
        <v>241</v>
      </c>
      <c r="BD2772" s="4" t="s">
        <v>252</v>
      </c>
      <c r="BE2772" s="4" t="s">
        <v>241</v>
      </c>
      <c r="BI2772" s="4" t="s">
        <v>253</v>
      </c>
      <c r="BJ2772" s="5" t="s">
        <v>246</v>
      </c>
      <c r="BK2772" s="4" t="s">
        <v>254</v>
      </c>
      <c r="BL2772" s="4" t="s">
        <v>255</v>
      </c>
      <c r="BM2772" s="4" t="s">
        <v>241</v>
      </c>
      <c r="BN2772" s="6">
        <f>0</f>
        <v>0</v>
      </c>
      <c r="BO2772" s="6">
        <f>0</f>
        <v>0</v>
      </c>
      <c r="BP2772" s="4" t="s">
        <v>256</v>
      </c>
      <c r="BQ2772" s="4" t="s">
        <v>257</v>
      </c>
      <c r="CE2772" s="4" t="s">
        <v>241</v>
      </c>
      <c r="CF2772" s="4" t="s">
        <v>241</v>
      </c>
      <c r="CJ2772" s="4" t="s">
        <v>276</v>
      </c>
      <c r="CK2772" s="4" t="s">
        <v>259</v>
      </c>
      <c r="CL2772" s="4" t="s">
        <v>241</v>
      </c>
      <c r="CO2772" s="5" t="s">
        <v>260</v>
      </c>
      <c r="CP2772" s="4" t="s">
        <v>241</v>
      </c>
      <c r="CQ2772" s="4" t="s">
        <v>261</v>
      </c>
      <c r="CR2772" s="4" t="s">
        <v>241</v>
      </c>
      <c r="CS2772" s="4" t="s">
        <v>241</v>
      </c>
      <c r="CT2772" s="4">
        <v>0</v>
      </c>
      <c r="CU2772" s="4" t="s">
        <v>262</v>
      </c>
      <c r="CV2772" s="4" t="s">
        <v>263</v>
      </c>
      <c r="CW2772" s="4" t="s">
        <v>263</v>
      </c>
      <c r="CX2772" s="4" t="s">
        <v>264</v>
      </c>
      <c r="DA2772" s="6">
        <f>1</f>
        <v>1</v>
      </c>
      <c r="DC2772" s="4" t="s">
        <v>325</v>
      </c>
      <c r="DD2772" s="4" t="s">
        <v>241</v>
      </c>
      <c r="DF2772" s="4" t="s">
        <v>325</v>
      </c>
      <c r="DG2772" s="6">
        <f>257</f>
        <v>257</v>
      </c>
      <c r="DI2772" s="4" t="s">
        <v>241</v>
      </c>
      <c r="DJ2772" s="4" t="s">
        <v>241</v>
      </c>
      <c r="DK2772" s="4" t="s">
        <v>241</v>
      </c>
      <c r="DL2772" s="4" t="s">
        <v>241</v>
      </c>
      <c r="DP2772" s="4" t="s">
        <v>241</v>
      </c>
      <c r="DQ2772" s="4" t="s">
        <v>241</v>
      </c>
      <c r="DR2772" s="4" t="s">
        <v>241</v>
      </c>
      <c r="DS2772" s="4" t="s">
        <v>241</v>
      </c>
      <c r="DV2772" s="4" t="s">
        <v>426</v>
      </c>
      <c r="DW2772" s="4" t="s">
        <v>2341</v>
      </c>
      <c r="HO2772" s="4" t="s">
        <v>267</v>
      </c>
    </row>
    <row r="2773" spans="1:223" ht="19.5" customHeight="1" x14ac:dyDescent="0.4">
      <c r="A2773" s="4">
        <v>1</v>
      </c>
      <c r="B2773" s="4" t="s">
        <v>239</v>
      </c>
      <c r="C2773" s="4">
        <v>4476</v>
      </c>
      <c r="D2773" s="4">
        <v>1</v>
      </c>
      <c r="E2773" s="4">
        <v>1</v>
      </c>
      <c r="F2773" s="4" t="s">
        <v>268</v>
      </c>
      <c r="G2773" s="4" t="s">
        <v>241</v>
      </c>
      <c r="H2773" s="4" t="s">
        <v>241</v>
      </c>
      <c r="I2773" s="4" t="s">
        <v>424</v>
      </c>
      <c r="J2773" s="4" t="s">
        <v>274</v>
      </c>
      <c r="K2773" s="4" t="s">
        <v>251</v>
      </c>
      <c r="L2773" s="4" t="s">
        <v>423</v>
      </c>
      <c r="M2773" s="5" t="s">
        <v>3447</v>
      </c>
      <c r="N2773" s="6">
        <f>52</f>
        <v>52</v>
      </c>
      <c r="O2773" s="4" t="s">
        <v>265</v>
      </c>
      <c r="P2773" s="6">
        <f>1</f>
        <v>1</v>
      </c>
      <c r="Q2773" s="6">
        <f>0</f>
        <v>0</v>
      </c>
      <c r="S2773" s="6">
        <f>0</f>
        <v>0</v>
      </c>
      <c r="T2773" s="6">
        <f>1</f>
        <v>1</v>
      </c>
      <c r="U2773" s="5" t="s">
        <v>245</v>
      </c>
      <c r="V2773" s="4" t="s">
        <v>270</v>
      </c>
      <c r="W2773" s="4" t="s">
        <v>271</v>
      </c>
      <c r="X2773" s="4" t="s">
        <v>273</v>
      </c>
      <c r="Y2773" s="4" t="s">
        <v>241</v>
      </c>
      <c r="AB2773" s="4" t="s">
        <v>241</v>
      </c>
      <c r="AD2773" s="5" t="s">
        <v>241</v>
      </c>
      <c r="AG2773" s="5" t="s">
        <v>246</v>
      </c>
      <c r="AH2773" s="4" t="s">
        <v>241</v>
      </c>
      <c r="AI2773" s="4" t="s">
        <v>247</v>
      </c>
      <c r="AJ2773" s="4" t="s">
        <v>248</v>
      </c>
      <c r="AZ2773" s="4" t="s">
        <v>249</v>
      </c>
      <c r="BA2773" s="4" t="s">
        <v>241</v>
      </c>
      <c r="BB2773" s="4" t="s">
        <v>250</v>
      </c>
      <c r="BC2773" s="4" t="s">
        <v>241</v>
      </c>
      <c r="BD2773" s="4" t="s">
        <v>252</v>
      </c>
      <c r="BE2773" s="4" t="s">
        <v>241</v>
      </c>
      <c r="BI2773" s="4" t="s">
        <v>253</v>
      </c>
      <c r="BJ2773" s="5" t="s">
        <v>246</v>
      </c>
      <c r="BK2773" s="4" t="s">
        <v>254</v>
      </c>
      <c r="BL2773" s="4" t="s">
        <v>255</v>
      </c>
      <c r="BM2773" s="4" t="s">
        <v>241</v>
      </c>
      <c r="BN2773" s="6">
        <f>0</f>
        <v>0</v>
      </c>
      <c r="BO2773" s="6">
        <f>0</f>
        <v>0</v>
      </c>
      <c r="BP2773" s="4" t="s">
        <v>256</v>
      </c>
      <c r="BQ2773" s="4" t="s">
        <v>257</v>
      </c>
      <c r="CE2773" s="4" t="s">
        <v>241</v>
      </c>
      <c r="CF2773" s="4" t="s">
        <v>241</v>
      </c>
      <c r="CJ2773" s="4" t="s">
        <v>276</v>
      </c>
      <c r="CK2773" s="4" t="s">
        <v>259</v>
      </c>
      <c r="CL2773" s="4" t="s">
        <v>241</v>
      </c>
      <c r="CO2773" s="5" t="s">
        <v>260</v>
      </c>
      <c r="CP2773" s="4" t="s">
        <v>241</v>
      </c>
      <c r="CQ2773" s="4" t="s">
        <v>261</v>
      </c>
      <c r="CR2773" s="4" t="s">
        <v>241</v>
      </c>
      <c r="CS2773" s="4" t="s">
        <v>241</v>
      </c>
      <c r="CT2773" s="4">
        <v>0</v>
      </c>
      <c r="CU2773" s="4" t="s">
        <v>262</v>
      </c>
      <c r="CV2773" s="4" t="s">
        <v>263</v>
      </c>
      <c r="CW2773" s="4" t="s">
        <v>263</v>
      </c>
      <c r="CX2773" s="4" t="s">
        <v>264</v>
      </c>
      <c r="DA2773" s="6">
        <f>1</f>
        <v>1</v>
      </c>
      <c r="DC2773" s="4" t="s">
        <v>325</v>
      </c>
      <c r="DD2773" s="4" t="s">
        <v>241</v>
      </c>
      <c r="DF2773" s="4" t="s">
        <v>325</v>
      </c>
      <c r="DG2773" s="6">
        <f>52</f>
        <v>52</v>
      </c>
      <c r="DI2773" s="4" t="s">
        <v>241</v>
      </c>
      <c r="DJ2773" s="4" t="s">
        <v>241</v>
      </c>
      <c r="DK2773" s="4" t="s">
        <v>241</v>
      </c>
      <c r="DL2773" s="4" t="s">
        <v>241</v>
      </c>
      <c r="DP2773" s="4" t="s">
        <v>241</v>
      </c>
      <c r="DQ2773" s="4" t="s">
        <v>241</v>
      </c>
      <c r="DR2773" s="4" t="s">
        <v>241</v>
      </c>
      <c r="DS2773" s="4" t="s">
        <v>241</v>
      </c>
      <c r="DV2773" s="4" t="s">
        <v>426</v>
      </c>
      <c r="DW2773" s="4" t="s">
        <v>2339</v>
      </c>
      <c r="HO2773" s="4" t="s">
        <v>267</v>
      </c>
    </row>
    <row r="2774" spans="1:223" ht="19.5" customHeight="1" x14ac:dyDescent="0.4">
      <c r="A2774" s="4">
        <v>1</v>
      </c>
      <c r="B2774" s="4" t="s">
        <v>239</v>
      </c>
      <c r="C2774" s="4">
        <v>4477</v>
      </c>
      <c r="D2774" s="4">
        <v>1</v>
      </c>
      <c r="E2774" s="4">
        <v>1</v>
      </c>
      <c r="F2774" s="4" t="s">
        <v>268</v>
      </c>
      <c r="G2774" s="4" t="s">
        <v>241</v>
      </c>
      <c r="H2774" s="4" t="s">
        <v>241</v>
      </c>
      <c r="I2774" s="4" t="s">
        <v>424</v>
      </c>
      <c r="J2774" s="4" t="s">
        <v>274</v>
      </c>
      <c r="K2774" s="4" t="s">
        <v>251</v>
      </c>
      <c r="L2774" s="4" t="s">
        <v>423</v>
      </c>
      <c r="M2774" s="5" t="s">
        <v>3455</v>
      </c>
      <c r="N2774" s="6">
        <f>232</f>
        <v>232</v>
      </c>
      <c r="O2774" s="4" t="s">
        <v>265</v>
      </c>
      <c r="P2774" s="6">
        <f>1</f>
        <v>1</v>
      </c>
      <c r="Q2774" s="6">
        <f>0</f>
        <v>0</v>
      </c>
      <c r="S2774" s="6">
        <f>0</f>
        <v>0</v>
      </c>
      <c r="T2774" s="6">
        <f>1</f>
        <v>1</v>
      </c>
      <c r="U2774" s="5" t="s">
        <v>245</v>
      </c>
      <c r="V2774" s="4" t="s">
        <v>270</v>
      </c>
      <c r="W2774" s="4" t="s">
        <v>271</v>
      </c>
      <c r="X2774" s="4" t="s">
        <v>273</v>
      </c>
      <c r="Y2774" s="4" t="s">
        <v>241</v>
      </c>
      <c r="AB2774" s="4" t="s">
        <v>241</v>
      </c>
      <c r="AD2774" s="5" t="s">
        <v>241</v>
      </c>
      <c r="AG2774" s="5" t="s">
        <v>246</v>
      </c>
      <c r="AH2774" s="4" t="s">
        <v>241</v>
      </c>
      <c r="AI2774" s="4" t="s">
        <v>247</v>
      </c>
      <c r="AJ2774" s="4" t="s">
        <v>248</v>
      </c>
      <c r="AZ2774" s="4" t="s">
        <v>249</v>
      </c>
      <c r="BA2774" s="4" t="s">
        <v>241</v>
      </c>
      <c r="BB2774" s="4" t="s">
        <v>250</v>
      </c>
      <c r="BC2774" s="4" t="s">
        <v>241</v>
      </c>
      <c r="BD2774" s="4" t="s">
        <v>252</v>
      </c>
      <c r="BE2774" s="4" t="s">
        <v>241</v>
      </c>
      <c r="BI2774" s="4" t="s">
        <v>253</v>
      </c>
      <c r="BJ2774" s="5" t="s">
        <v>246</v>
      </c>
      <c r="BK2774" s="4" t="s">
        <v>254</v>
      </c>
      <c r="BL2774" s="4" t="s">
        <v>255</v>
      </c>
      <c r="BM2774" s="4" t="s">
        <v>241</v>
      </c>
      <c r="BN2774" s="6">
        <f>0</f>
        <v>0</v>
      </c>
      <c r="BO2774" s="6">
        <f>0</f>
        <v>0</v>
      </c>
      <c r="BP2774" s="4" t="s">
        <v>256</v>
      </c>
      <c r="BQ2774" s="4" t="s">
        <v>257</v>
      </c>
      <c r="CE2774" s="4" t="s">
        <v>241</v>
      </c>
      <c r="CF2774" s="4" t="s">
        <v>241</v>
      </c>
      <c r="CJ2774" s="4" t="s">
        <v>276</v>
      </c>
      <c r="CK2774" s="4" t="s">
        <v>259</v>
      </c>
      <c r="CL2774" s="4" t="s">
        <v>241</v>
      </c>
      <c r="CO2774" s="5" t="s">
        <v>260</v>
      </c>
      <c r="CP2774" s="4" t="s">
        <v>241</v>
      </c>
      <c r="CQ2774" s="4" t="s">
        <v>261</v>
      </c>
      <c r="CR2774" s="4" t="s">
        <v>241</v>
      </c>
      <c r="CS2774" s="4" t="s">
        <v>241</v>
      </c>
      <c r="CT2774" s="4">
        <v>0</v>
      </c>
      <c r="CU2774" s="4" t="s">
        <v>262</v>
      </c>
      <c r="CV2774" s="4" t="s">
        <v>263</v>
      </c>
      <c r="CW2774" s="4" t="s">
        <v>263</v>
      </c>
      <c r="CX2774" s="4" t="s">
        <v>264</v>
      </c>
      <c r="DA2774" s="6">
        <f>1</f>
        <v>1</v>
      </c>
      <c r="DC2774" s="4" t="s">
        <v>325</v>
      </c>
      <c r="DD2774" s="4" t="s">
        <v>241</v>
      </c>
      <c r="DF2774" s="4" t="s">
        <v>325</v>
      </c>
      <c r="DG2774" s="6">
        <f>232</f>
        <v>232</v>
      </c>
      <c r="DI2774" s="4" t="s">
        <v>241</v>
      </c>
      <c r="DJ2774" s="4" t="s">
        <v>241</v>
      </c>
      <c r="DK2774" s="4" t="s">
        <v>241</v>
      </c>
      <c r="DL2774" s="4" t="s">
        <v>241</v>
      </c>
      <c r="DP2774" s="4" t="s">
        <v>241</v>
      </c>
      <c r="DQ2774" s="4" t="s">
        <v>241</v>
      </c>
      <c r="DR2774" s="4" t="s">
        <v>241</v>
      </c>
      <c r="DS2774" s="4" t="s">
        <v>241</v>
      </c>
      <c r="DV2774" s="4" t="s">
        <v>426</v>
      </c>
      <c r="DW2774" s="4" t="s">
        <v>2337</v>
      </c>
      <c r="HO2774" s="4" t="s">
        <v>267</v>
      </c>
    </row>
    <row r="2775" spans="1:223" ht="19.5" customHeight="1" x14ac:dyDescent="0.4">
      <c r="A2775" s="4">
        <v>1</v>
      </c>
      <c r="B2775" s="4" t="s">
        <v>239</v>
      </c>
      <c r="C2775" s="4">
        <v>4478</v>
      </c>
      <c r="D2775" s="4">
        <v>1</v>
      </c>
      <c r="E2775" s="4">
        <v>1</v>
      </c>
      <c r="F2775" s="4" t="s">
        <v>268</v>
      </c>
      <c r="G2775" s="4" t="s">
        <v>241</v>
      </c>
      <c r="H2775" s="4" t="s">
        <v>241</v>
      </c>
      <c r="I2775" s="4" t="s">
        <v>424</v>
      </c>
      <c r="J2775" s="4" t="s">
        <v>274</v>
      </c>
      <c r="K2775" s="4" t="s">
        <v>251</v>
      </c>
      <c r="L2775" s="4" t="s">
        <v>423</v>
      </c>
      <c r="M2775" s="5" t="s">
        <v>3464</v>
      </c>
      <c r="N2775" s="6">
        <f>167</f>
        <v>167</v>
      </c>
      <c r="O2775" s="4" t="s">
        <v>265</v>
      </c>
      <c r="P2775" s="6">
        <f>1</f>
        <v>1</v>
      </c>
      <c r="Q2775" s="6">
        <f>0</f>
        <v>0</v>
      </c>
      <c r="S2775" s="6">
        <f>0</f>
        <v>0</v>
      </c>
      <c r="T2775" s="6">
        <f>1</f>
        <v>1</v>
      </c>
      <c r="U2775" s="5" t="s">
        <v>245</v>
      </c>
      <c r="V2775" s="4" t="s">
        <v>270</v>
      </c>
      <c r="W2775" s="4" t="s">
        <v>271</v>
      </c>
      <c r="X2775" s="4" t="s">
        <v>273</v>
      </c>
      <c r="Y2775" s="4" t="s">
        <v>241</v>
      </c>
      <c r="AB2775" s="4" t="s">
        <v>241</v>
      </c>
      <c r="AD2775" s="5" t="s">
        <v>241</v>
      </c>
      <c r="AG2775" s="5" t="s">
        <v>246</v>
      </c>
      <c r="AH2775" s="4" t="s">
        <v>241</v>
      </c>
      <c r="AI2775" s="4" t="s">
        <v>247</v>
      </c>
      <c r="AJ2775" s="4" t="s">
        <v>248</v>
      </c>
      <c r="AZ2775" s="4" t="s">
        <v>249</v>
      </c>
      <c r="BA2775" s="4" t="s">
        <v>241</v>
      </c>
      <c r="BB2775" s="4" t="s">
        <v>250</v>
      </c>
      <c r="BC2775" s="4" t="s">
        <v>241</v>
      </c>
      <c r="BD2775" s="4" t="s">
        <v>252</v>
      </c>
      <c r="BE2775" s="4" t="s">
        <v>241</v>
      </c>
      <c r="BI2775" s="4" t="s">
        <v>253</v>
      </c>
      <c r="BJ2775" s="5" t="s">
        <v>246</v>
      </c>
      <c r="BK2775" s="4" t="s">
        <v>254</v>
      </c>
      <c r="BL2775" s="4" t="s">
        <v>255</v>
      </c>
      <c r="BM2775" s="4" t="s">
        <v>241</v>
      </c>
      <c r="BN2775" s="6">
        <f>0</f>
        <v>0</v>
      </c>
      <c r="BO2775" s="6">
        <f>0</f>
        <v>0</v>
      </c>
      <c r="BP2775" s="4" t="s">
        <v>256</v>
      </c>
      <c r="BQ2775" s="4" t="s">
        <v>257</v>
      </c>
      <c r="CE2775" s="4" t="s">
        <v>241</v>
      </c>
      <c r="CF2775" s="4" t="s">
        <v>241</v>
      </c>
      <c r="CJ2775" s="4" t="s">
        <v>276</v>
      </c>
      <c r="CK2775" s="4" t="s">
        <v>259</v>
      </c>
      <c r="CL2775" s="4" t="s">
        <v>241</v>
      </c>
      <c r="CO2775" s="5" t="s">
        <v>260</v>
      </c>
      <c r="CP2775" s="4" t="s">
        <v>241</v>
      </c>
      <c r="CQ2775" s="4" t="s">
        <v>261</v>
      </c>
      <c r="CR2775" s="4" t="s">
        <v>241</v>
      </c>
      <c r="CS2775" s="4" t="s">
        <v>241</v>
      </c>
      <c r="CT2775" s="4">
        <v>0</v>
      </c>
      <c r="CU2775" s="4" t="s">
        <v>262</v>
      </c>
      <c r="CV2775" s="4" t="s">
        <v>263</v>
      </c>
      <c r="CW2775" s="4" t="s">
        <v>263</v>
      </c>
      <c r="CX2775" s="4" t="s">
        <v>264</v>
      </c>
      <c r="DA2775" s="6">
        <f>1</f>
        <v>1</v>
      </c>
      <c r="DC2775" s="4" t="s">
        <v>325</v>
      </c>
      <c r="DD2775" s="4" t="s">
        <v>241</v>
      </c>
      <c r="DF2775" s="4" t="s">
        <v>325</v>
      </c>
      <c r="DG2775" s="6">
        <f>167</f>
        <v>167</v>
      </c>
      <c r="DI2775" s="4" t="s">
        <v>241</v>
      </c>
      <c r="DJ2775" s="4" t="s">
        <v>241</v>
      </c>
      <c r="DK2775" s="4" t="s">
        <v>241</v>
      </c>
      <c r="DL2775" s="4" t="s">
        <v>241</v>
      </c>
      <c r="DP2775" s="4" t="s">
        <v>241</v>
      </c>
      <c r="DQ2775" s="4" t="s">
        <v>241</v>
      </c>
      <c r="DR2775" s="4" t="s">
        <v>241</v>
      </c>
      <c r="DS2775" s="4" t="s">
        <v>241</v>
      </c>
      <c r="DV2775" s="4" t="s">
        <v>426</v>
      </c>
      <c r="DW2775" s="4" t="s">
        <v>2333</v>
      </c>
      <c r="HO2775" s="4" t="s">
        <v>267</v>
      </c>
    </row>
    <row r="2776" spans="1:223" ht="19.5" customHeight="1" x14ac:dyDescent="0.4">
      <c r="A2776" s="4">
        <v>1</v>
      </c>
      <c r="B2776" s="4" t="s">
        <v>239</v>
      </c>
      <c r="C2776" s="4">
        <v>4479</v>
      </c>
      <c r="D2776" s="4">
        <v>1</v>
      </c>
      <c r="E2776" s="4">
        <v>1</v>
      </c>
      <c r="F2776" s="4" t="s">
        <v>268</v>
      </c>
      <c r="G2776" s="4" t="s">
        <v>241</v>
      </c>
      <c r="H2776" s="4" t="s">
        <v>241</v>
      </c>
      <c r="I2776" s="4" t="s">
        <v>424</v>
      </c>
      <c r="J2776" s="4" t="s">
        <v>274</v>
      </c>
      <c r="K2776" s="4" t="s">
        <v>251</v>
      </c>
      <c r="L2776" s="4" t="s">
        <v>423</v>
      </c>
      <c r="M2776" s="5" t="s">
        <v>3469</v>
      </c>
      <c r="N2776" s="6">
        <f>1056</f>
        <v>1056</v>
      </c>
      <c r="O2776" s="4" t="s">
        <v>265</v>
      </c>
      <c r="P2776" s="6">
        <f>1</f>
        <v>1</v>
      </c>
      <c r="Q2776" s="6">
        <f>0</f>
        <v>0</v>
      </c>
      <c r="S2776" s="6">
        <f>0</f>
        <v>0</v>
      </c>
      <c r="T2776" s="6">
        <f>1</f>
        <v>1</v>
      </c>
      <c r="U2776" s="5" t="s">
        <v>245</v>
      </c>
      <c r="V2776" s="4" t="s">
        <v>270</v>
      </c>
      <c r="W2776" s="4" t="s">
        <v>271</v>
      </c>
      <c r="X2776" s="4" t="s">
        <v>273</v>
      </c>
      <c r="Y2776" s="4" t="s">
        <v>241</v>
      </c>
      <c r="AB2776" s="4" t="s">
        <v>241</v>
      </c>
      <c r="AD2776" s="5" t="s">
        <v>241</v>
      </c>
      <c r="AG2776" s="5" t="s">
        <v>246</v>
      </c>
      <c r="AH2776" s="4" t="s">
        <v>241</v>
      </c>
      <c r="AI2776" s="4" t="s">
        <v>247</v>
      </c>
      <c r="AJ2776" s="4" t="s">
        <v>248</v>
      </c>
      <c r="AZ2776" s="4" t="s">
        <v>249</v>
      </c>
      <c r="BA2776" s="4" t="s">
        <v>241</v>
      </c>
      <c r="BB2776" s="4" t="s">
        <v>250</v>
      </c>
      <c r="BC2776" s="4" t="s">
        <v>241</v>
      </c>
      <c r="BD2776" s="4" t="s">
        <v>252</v>
      </c>
      <c r="BE2776" s="4" t="s">
        <v>241</v>
      </c>
      <c r="BI2776" s="4" t="s">
        <v>253</v>
      </c>
      <c r="BJ2776" s="5" t="s">
        <v>246</v>
      </c>
      <c r="BK2776" s="4" t="s">
        <v>254</v>
      </c>
      <c r="BL2776" s="4" t="s">
        <v>255</v>
      </c>
      <c r="BM2776" s="4" t="s">
        <v>241</v>
      </c>
      <c r="BN2776" s="6">
        <f>0</f>
        <v>0</v>
      </c>
      <c r="BO2776" s="6">
        <f>0</f>
        <v>0</v>
      </c>
      <c r="BP2776" s="4" t="s">
        <v>256</v>
      </c>
      <c r="BQ2776" s="4" t="s">
        <v>257</v>
      </c>
      <c r="CE2776" s="4" t="s">
        <v>241</v>
      </c>
      <c r="CF2776" s="4" t="s">
        <v>241</v>
      </c>
      <c r="CJ2776" s="4" t="s">
        <v>276</v>
      </c>
      <c r="CK2776" s="4" t="s">
        <v>259</v>
      </c>
      <c r="CL2776" s="4" t="s">
        <v>241</v>
      </c>
      <c r="CO2776" s="5" t="s">
        <v>260</v>
      </c>
      <c r="CP2776" s="4" t="s">
        <v>241</v>
      </c>
      <c r="CQ2776" s="4" t="s">
        <v>261</v>
      </c>
      <c r="CR2776" s="4" t="s">
        <v>241</v>
      </c>
      <c r="CS2776" s="4" t="s">
        <v>241</v>
      </c>
      <c r="CT2776" s="4">
        <v>0</v>
      </c>
      <c r="CU2776" s="4" t="s">
        <v>262</v>
      </c>
      <c r="CV2776" s="4" t="s">
        <v>263</v>
      </c>
      <c r="CW2776" s="4" t="s">
        <v>263</v>
      </c>
      <c r="CX2776" s="4" t="s">
        <v>264</v>
      </c>
      <c r="DA2776" s="6">
        <f>1</f>
        <v>1</v>
      </c>
      <c r="DC2776" s="4" t="s">
        <v>325</v>
      </c>
      <c r="DD2776" s="4" t="s">
        <v>241</v>
      </c>
      <c r="DF2776" s="4" t="s">
        <v>325</v>
      </c>
      <c r="DG2776" s="6">
        <f>1056</f>
        <v>1056</v>
      </c>
      <c r="DI2776" s="4" t="s">
        <v>241</v>
      </c>
      <c r="DJ2776" s="4" t="s">
        <v>241</v>
      </c>
      <c r="DK2776" s="4" t="s">
        <v>241</v>
      </c>
      <c r="DL2776" s="4" t="s">
        <v>241</v>
      </c>
      <c r="DP2776" s="4" t="s">
        <v>241</v>
      </c>
      <c r="DQ2776" s="4" t="s">
        <v>241</v>
      </c>
      <c r="DR2776" s="4" t="s">
        <v>241</v>
      </c>
      <c r="DS2776" s="4" t="s">
        <v>241</v>
      </c>
      <c r="DV2776" s="4" t="s">
        <v>426</v>
      </c>
      <c r="DW2776" s="4" t="s">
        <v>2331</v>
      </c>
      <c r="HO2776" s="4" t="s">
        <v>267</v>
      </c>
    </row>
    <row r="2777" spans="1:223" ht="19.5" customHeight="1" x14ac:dyDescent="0.4">
      <c r="A2777" s="4">
        <v>1</v>
      </c>
      <c r="B2777" s="4" t="s">
        <v>239</v>
      </c>
      <c r="C2777" s="4">
        <v>4480</v>
      </c>
      <c r="D2777" s="4">
        <v>1</v>
      </c>
      <c r="E2777" s="4">
        <v>1</v>
      </c>
      <c r="F2777" s="4" t="s">
        <v>268</v>
      </c>
      <c r="G2777" s="4" t="s">
        <v>241</v>
      </c>
      <c r="H2777" s="4" t="s">
        <v>241</v>
      </c>
      <c r="I2777" s="4" t="s">
        <v>424</v>
      </c>
      <c r="J2777" s="4" t="s">
        <v>274</v>
      </c>
      <c r="K2777" s="4" t="s">
        <v>251</v>
      </c>
      <c r="L2777" s="4" t="s">
        <v>423</v>
      </c>
      <c r="M2777" s="5" t="s">
        <v>3474</v>
      </c>
      <c r="N2777" s="6">
        <f>1008</f>
        <v>1008</v>
      </c>
      <c r="O2777" s="4" t="s">
        <v>265</v>
      </c>
      <c r="P2777" s="6">
        <f>1</f>
        <v>1</v>
      </c>
      <c r="Q2777" s="6">
        <f>0</f>
        <v>0</v>
      </c>
      <c r="S2777" s="6">
        <f>0</f>
        <v>0</v>
      </c>
      <c r="T2777" s="6">
        <f>1</f>
        <v>1</v>
      </c>
      <c r="U2777" s="5" t="s">
        <v>245</v>
      </c>
      <c r="V2777" s="4" t="s">
        <v>270</v>
      </c>
      <c r="W2777" s="4" t="s">
        <v>271</v>
      </c>
      <c r="X2777" s="4" t="s">
        <v>273</v>
      </c>
      <c r="Y2777" s="4" t="s">
        <v>241</v>
      </c>
      <c r="AB2777" s="4" t="s">
        <v>241</v>
      </c>
      <c r="AD2777" s="5" t="s">
        <v>241</v>
      </c>
      <c r="AG2777" s="5" t="s">
        <v>246</v>
      </c>
      <c r="AH2777" s="4" t="s">
        <v>241</v>
      </c>
      <c r="AI2777" s="4" t="s">
        <v>247</v>
      </c>
      <c r="AJ2777" s="4" t="s">
        <v>248</v>
      </c>
      <c r="AZ2777" s="4" t="s">
        <v>249</v>
      </c>
      <c r="BA2777" s="4" t="s">
        <v>241</v>
      </c>
      <c r="BB2777" s="4" t="s">
        <v>250</v>
      </c>
      <c r="BC2777" s="4" t="s">
        <v>241</v>
      </c>
      <c r="BD2777" s="4" t="s">
        <v>252</v>
      </c>
      <c r="BE2777" s="4" t="s">
        <v>241</v>
      </c>
      <c r="BI2777" s="4" t="s">
        <v>253</v>
      </c>
      <c r="BJ2777" s="5" t="s">
        <v>246</v>
      </c>
      <c r="BK2777" s="4" t="s">
        <v>254</v>
      </c>
      <c r="BL2777" s="4" t="s">
        <v>255</v>
      </c>
      <c r="BM2777" s="4" t="s">
        <v>241</v>
      </c>
      <c r="BN2777" s="6">
        <f>0</f>
        <v>0</v>
      </c>
      <c r="BO2777" s="6">
        <f>0</f>
        <v>0</v>
      </c>
      <c r="BP2777" s="4" t="s">
        <v>256</v>
      </c>
      <c r="BQ2777" s="4" t="s">
        <v>257</v>
      </c>
      <c r="CE2777" s="4" t="s">
        <v>241</v>
      </c>
      <c r="CF2777" s="4" t="s">
        <v>241</v>
      </c>
      <c r="CJ2777" s="4" t="s">
        <v>276</v>
      </c>
      <c r="CK2777" s="4" t="s">
        <v>259</v>
      </c>
      <c r="CL2777" s="4" t="s">
        <v>241</v>
      </c>
      <c r="CO2777" s="5" t="s">
        <v>260</v>
      </c>
      <c r="CP2777" s="4" t="s">
        <v>241</v>
      </c>
      <c r="CQ2777" s="4" t="s">
        <v>261</v>
      </c>
      <c r="CR2777" s="4" t="s">
        <v>241</v>
      </c>
      <c r="CS2777" s="4" t="s">
        <v>241</v>
      </c>
      <c r="CT2777" s="4">
        <v>0</v>
      </c>
      <c r="CU2777" s="4" t="s">
        <v>262</v>
      </c>
      <c r="CV2777" s="4" t="s">
        <v>263</v>
      </c>
      <c r="CW2777" s="4" t="s">
        <v>263</v>
      </c>
      <c r="CX2777" s="4" t="s">
        <v>264</v>
      </c>
      <c r="DA2777" s="6">
        <f>1</f>
        <v>1</v>
      </c>
      <c r="DC2777" s="4" t="s">
        <v>325</v>
      </c>
      <c r="DD2777" s="4" t="s">
        <v>241</v>
      </c>
      <c r="DF2777" s="4" t="s">
        <v>325</v>
      </c>
      <c r="DG2777" s="6">
        <f>1008</f>
        <v>1008</v>
      </c>
      <c r="DI2777" s="4" t="s">
        <v>241</v>
      </c>
      <c r="DJ2777" s="4" t="s">
        <v>241</v>
      </c>
      <c r="DK2777" s="4" t="s">
        <v>241</v>
      </c>
      <c r="DL2777" s="4" t="s">
        <v>241</v>
      </c>
      <c r="DP2777" s="4" t="s">
        <v>241</v>
      </c>
      <c r="DQ2777" s="4" t="s">
        <v>241</v>
      </c>
      <c r="DR2777" s="4" t="s">
        <v>241</v>
      </c>
      <c r="DS2777" s="4" t="s">
        <v>241</v>
      </c>
      <c r="DV2777" s="4" t="s">
        <v>426</v>
      </c>
      <c r="DW2777" s="4" t="s">
        <v>2329</v>
      </c>
      <c r="HO2777" s="4" t="s">
        <v>267</v>
      </c>
    </row>
    <row r="2778" spans="1:223" ht="19.5" customHeight="1" x14ac:dyDescent="0.4">
      <c r="A2778" s="4">
        <v>1</v>
      </c>
      <c r="B2778" s="4" t="s">
        <v>239</v>
      </c>
      <c r="C2778" s="4">
        <v>4481</v>
      </c>
      <c r="D2778" s="4">
        <v>1</v>
      </c>
      <c r="E2778" s="4">
        <v>1</v>
      </c>
      <c r="F2778" s="4" t="s">
        <v>268</v>
      </c>
      <c r="G2778" s="4" t="s">
        <v>241</v>
      </c>
      <c r="H2778" s="4" t="s">
        <v>241</v>
      </c>
      <c r="I2778" s="4" t="s">
        <v>424</v>
      </c>
      <c r="J2778" s="4" t="s">
        <v>274</v>
      </c>
      <c r="K2778" s="4" t="s">
        <v>251</v>
      </c>
      <c r="L2778" s="4" t="s">
        <v>423</v>
      </c>
      <c r="M2778" s="5" t="s">
        <v>3483</v>
      </c>
      <c r="N2778" s="6">
        <f>750</f>
        <v>750</v>
      </c>
      <c r="O2778" s="4" t="s">
        <v>265</v>
      </c>
      <c r="P2778" s="6">
        <f>1</f>
        <v>1</v>
      </c>
      <c r="Q2778" s="6">
        <f>0</f>
        <v>0</v>
      </c>
      <c r="S2778" s="6">
        <f>0</f>
        <v>0</v>
      </c>
      <c r="T2778" s="6">
        <f>1</f>
        <v>1</v>
      </c>
      <c r="U2778" s="5" t="s">
        <v>245</v>
      </c>
      <c r="V2778" s="4" t="s">
        <v>270</v>
      </c>
      <c r="W2778" s="4" t="s">
        <v>271</v>
      </c>
      <c r="X2778" s="4" t="s">
        <v>273</v>
      </c>
      <c r="Y2778" s="4" t="s">
        <v>241</v>
      </c>
      <c r="AB2778" s="4" t="s">
        <v>241</v>
      </c>
      <c r="AD2778" s="5" t="s">
        <v>241</v>
      </c>
      <c r="AG2778" s="5" t="s">
        <v>246</v>
      </c>
      <c r="AH2778" s="4" t="s">
        <v>241</v>
      </c>
      <c r="AI2778" s="4" t="s">
        <v>247</v>
      </c>
      <c r="AJ2778" s="4" t="s">
        <v>248</v>
      </c>
      <c r="AZ2778" s="4" t="s">
        <v>249</v>
      </c>
      <c r="BA2778" s="4" t="s">
        <v>241</v>
      </c>
      <c r="BB2778" s="4" t="s">
        <v>250</v>
      </c>
      <c r="BC2778" s="4" t="s">
        <v>241</v>
      </c>
      <c r="BD2778" s="4" t="s">
        <v>252</v>
      </c>
      <c r="BE2778" s="4" t="s">
        <v>241</v>
      </c>
      <c r="BI2778" s="4" t="s">
        <v>253</v>
      </c>
      <c r="BJ2778" s="5" t="s">
        <v>246</v>
      </c>
      <c r="BK2778" s="4" t="s">
        <v>254</v>
      </c>
      <c r="BL2778" s="4" t="s">
        <v>255</v>
      </c>
      <c r="BM2778" s="4" t="s">
        <v>241</v>
      </c>
      <c r="BN2778" s="6">
        <f>0</f>
        <v>0</v>
      </c>
      <c r="BO2778" s="6">
        <f>0</f>
        <v>0</v>
      </c>
      <c r="BP2778" s="4" t="s">
        <v>256</v>
      </c>
      <c r="BQ2778" s="4" t="s">
        <v>257</v>
      </c>
      <c r="CE2778" s="4" t="s">
        <v>241</v>
      </c>
      <c r="CF2778" s="4" t="s">
        <v>241</v>
      </c>
      <c r="CJ2778" s="4" t="s">
        <v>276</v>
      </c>
      <c r="CK2778" s="4" t="s">
        <v>259</v>
      </c>
      <c r="CL2778" s="4" t="s">
        <v>241</v>
      </c>
      <c r="CO2778" s="5" t="s">
        <v>260</v>
      </c>
      <c r="CP2778" s="4" t="s">
        <v>241</v>
      </c>
      <c r="CQ2778" s="4" t="s">
        <v>261</v>
      </c>
      <c r="CR2778" s="4" t="s">
        <v>241</v>
      </c>
      <c r="CS2778" s="4" t="s">
        <v>241</v>
      </c>
      <c r="CT2778" s="4">
        <v>0</v>
      </c>
      <c r="CU2778" s="4" t="s">
        <v>262</v>
      </c>
      <c r="CV2778" s="4" t="s">
        <v>263</v>
      </c>
      <c r="CW2778" s="4" t="s">
        <v>263</v>
      </c>
      <c r="CX2778" s="4" t="s">
        <v>264</v>
      </c>
      <c r="DA2778" s="6">
        <f>1</f>
        <v>1</v>
      </c>
      <c r="DC2778" s="4" t="s">
        <v>325</v>
      </c>
      <c r="DD2778" s="4" t="s">
        <v>241</v>
      </c>
      <c r="DF2778" s="4" t="s">
        <v>325</v>
      </c>
      <c r="DG2778" s="6">
        <f>750</f>
        <v>750</v>
      </c>
      <c r="DI2778" s="4" t="s">
        <v>241</v>
      </c>
      <c r="DJ2778" s="4" t="s">
        <v>241</v>
      </c>
      <c r="DK2778" s="4" t="s">
        <v>241</v>
      </c>
      <c r="DL2778" s="4" t="s">
        <v>241</v>
      </c>
      <c r="DP2778" s="4" t="s">
        <v>241</v>
      </c>
      <c r="DQ2778" s="4" t="s">
        <v>241</v>
      </c>
      <c r="DR2778" s="4" t="s">
        <v>241</v>
      </c>
      <c r="DS2778" s="4" t="s">
        <v>241</v>
      </c>
      <c r="DV2778" s="4" t="s">
        <v>426</v>
      </c>
      <c r="DW2778" s="4" t="s">
        <v>2327</v>
      </c>
      <c r="HO2778" s="4" t="s">
        <v>267</v>
      </c>
    </row>
    <row r="2779" spans="1:223" ht="19.5" customHeight="1" x14ac:dyDescent="0.4">
      <c r="A2779" s="4">
        <v>1</v>
      </c>
      <c r="B2779" s="4" t="s">
        <v>239</v>
      </c>
      <c r="C2779" s="4">
        <v>4482</v>
      </c>
      <c r="D2779" s="4">
        <v>1</v>
      </c>
      <c r="E2779" s="4">
        <v>1</v>
      </c>
      <c r="F2779" s="4" t="s">
        <v>268</v>
      </c>
      <c r="G2779" s="4" t="s">
        <v>241</v>
      </c>
      <c r="H2779" s="4" t="s">
        <v>241</v>
      </c>
      <c r="I2779" s="4" t="s">
        <v>424</v>
      </c>
      <c r="J2779" s="4" t="s">
        <v>274</v>
      </c>
      <c r="K2779" s="4" t="s">
        <v>251</v>
      </c>
      <c r="L2779" s="4" t="s">
        <v>423</v>
      </c>
      <c r="M2779" s="5" t="s">
        <v>3488</v>
      </c>
      <c r="N2779" s="6">
        <f>1558</f>
        <v>1558</v>
      </c>
      <c r="O2779" s="4" t="s">
        <v>265</v>
      </c>
      <c r="P2779" s="6">
        <f>1</f>
        <v>1</v>
      </c>
      <c r="Q2779" s="6">
        <f>0</f>
        <v>0</v>
      </c>
      <c r="S2779" s="6">
        <f>0</f>
        <v>0</v>
      </c>
      <c r="T2779" s="6">
        <f>1</f>
        <v>1</v>
      </c>
      <c r="U2779" s="5" t="s">
        <v>245</v>
      </c>
      <c r="V2779" s="4" t="s">
        <v>270</v>
      </c>
      <c r="W2779" s="4" t="s">
        <v>271</v>
      </c>
      <c r="X2779" s="4" t="s">
        <v>273</v>
      </c>
      <c r="Y2779" s="4" t="s">
        <v>241</v>
      </c>
      <c r="AB2779" s="4" t="s">
        <v>241</v>
      </c>
      <c r="AD2779" s="5" t="s">
        <v>241</v>
      </c>
      <c r="AG2779" s="5" t="s">
        <v>246</v>
      </c>
      <c r="AH2779" s="4" t="s">
        <v>241</v>
      </c>
      <c r="AI2779" s="4" t="s">
        <v>247</v>
      </c>
      <c r="AJ2779" s="4" t="s">
        <v>248</v>
      </c>
      <c r="AZ2779" s="4" t="s">
        <v>249</v>
      </c>
      <c r="BA2779" s="4" t="s">
        <v>241</v>
      </c>
      <c r="BB2779" s="4" t="s">
        <v>250</v>
      </c>
      <c r="BC2779" s="4" t="s">
        <v>241</v>
      </c>
      <c r="BD2779" s="4" t="s">
        <v>252</v>
      </c>
      <c r="BE2779" s="4" t="s">
        <v>241</v>
      </c>
      <c r="BI2779" s="4" t="s">
        <v>253</v>
      </c>
      <c r="BJ2779" s="5" t="s">
        <v>246</v>
      </c>
      <c r="BK2779" s="4" t="s">
        <v>254</v>
      </c>
      <c r="BL2779" s="4" t="s">
        <v>255</v>
      </c>
      <c r="BM2779" s="4" t="s">
        <v>241</v>
      </c>
      <c r="BN2779" s="6">
        <f>0</f>
        <v>0</v>
      </c>
      <c r="BO2779" s="6">
        <f>0</f>
        <v>0</v>
      </c>
      <c r="BP2779" s="4" t="s">
        <v>256</v>
      </c>
      <c r="BQ2779" s="4" t="s">
        <v>257</v>
      </c>
      <c r="CE2779" s="4" t="s">
        <v>241</v>
      </c>
      <c r="CF2779" s="4" t="s">
        <v>241</v>
      </c>
      <c r="CJ2779" s="4" t="s">
        <v>276</v>
      </c>
      <c r="CK2779" s="4" t="s">
        <v>259</v>
      </c>
      <c r="CL2779" s="4" t="s">
        <v>241</v>
      </c>
      <c r="CO2779" s="5" t="s">
        <v>260</v>
      </c>
      <c r="CP2779" s="4" t="s">
        <v>241</v>
      </c>
      <c r="CQ2779" s="4" t="s">
        <v>261</v>
      </c>
      <c r="CR2779" s="4" t="s">
        <v>241</v>
      </c>
      <c r="CS2779" s="4" t="s">
        <v>241</v>
      </c>
      <c r="CT2779" s="4">
        <v>0</v>
      </c>
      <c r="CU2779" s="4" t="s">
        <v>262</v>
      </c>
      <c r="CV2779" s="4" t="s">
        <v>263</v>
      </c>
      <c r="CW2779" s="4" t="s">
        <v>263</v>
      </c>
      <c r="CX2779" s="4" t="s">
        <v>264</v>
      </c>
      <c r="DA2779" s="6">
        <f>1</f>
        <v>1</v>
      </c>
      <c r="DC2779" s="4" t="s">
        <v>325</v>
      </c>
      <c r="DD2779" s="4" t="s">
        <v>241</v>
      </c>
      <c r="DF2779" s="4" t="s">
        <v>325</v>
      </c>
      <c r="DG2779" s="6">
        <f>1558</f>
        <v>1558</v>
      </c>
      <c r="DI2779" s="4" t="s">
        <v>241</v>
      </c>
      <c r="DJ2779" s="4" t="s">
        <v>241</v>
      </c>
      <c r="DK2779" s="4" t="s">
        <v>241</v>
      </c>
      <c r="DL2779" s="4" t="s">
        <v>241</v>
      </c>
      <c r="DP2779" s="4" t="s">
        <v>241</v>
      </c>
      <c r="DQ2779" s="4" t="s">
        <v>241</v>
      </c>
      <c r="DR2779" s="4" t="s">
        <v>241</v>
      </c>
      <c r="DS2779" s="4" t="s">
        <v>241</v>
      </c>
      <c r="DV2779" s="4" t="s">
        <v>426</v>
      </c>
      <c r="DW2779" s="4" t="s">
        <v>2325</v>
      </c>
      <c r="HO2779" s="4" t="s">
        <v>267</v>
      </c>
    </row>
    <row r="2780" spans="1:223" ht="19.5" customHeight="1" x14ac:dyDescent="0.4">
      <c r="A2780" s="4">
        <v>1</v>
      </c>
      <c r="B2780" s="4" t="s">
        <v>239</v>
      </c>
      <c r="C2780" s="4">
        <v>4483</v>
      </c>
      <c r="D2780" s="4">
        <v>1</v>
      </c>
      <c r="E2780" s="4">
        <v>1</v>
      </c>
      <c r="F2780" s="4" t="s">
        <v>268</v>
      </c>
      <c r="G2780" s="4" t="s">
        <v>241</v>
      </c>
      <c r="H2780" s="4" t="s">
        <v>241</v>
      </c>
      <c r="I2780" s="4" t="s">
        <v>424</v>
      </c>
      <c r="J2780" s="4" t="s">
        <v>274</v>
      </c>
      <c r="K2780" s="4" t="s">
        <v>251</v>
      </c>
      <c r="L2780" s="4" t="s">
        <v>423</v>
      </c>
      <c r="M2780" s="5" t="s">
        <v>3505</v>
      </c>
      <c r="N2780" s="6">
        <f>1278</f>
        <v>1278</v>
      </c>
      <c r="O2780" s="4" t="s">
        <v>265</v>
      </c>
      <c r="P2780" s="6">
        <f>1</f>
        <v>1</v>
      </c>
      <c r="Q2780" s="6">
        <f>0</f>
        <v>0</v>
      </c>
      <c r="S2780" s="6">
        <f>0</f>
        <v>0</v>
      </c>
      <c r="T2780" s="6">
        <f>1</f>
        <v>1</v>
      </c>
      <c r="U2780" s="5" t="s">
        <v>245</v>
      </c>
      <c r="V2780" s="4" t="s">
        <v>270</v>
      </c>
      <c r="W2780" s="4" t="s">
        <v>271</v>
      </c>
      <c r="X2780" s="4" t="s">
        <v>273</v>
      </c>
      <c r="Y2780" s="4" t="s">
        <v>241</v>
      </c>
      <c r="AB2780" s="4" t="s">
        <v>241</v>
      </c>
      <c r="AD2780" s="5" t="s">
        <v>241</v>
      </c>
      <c r="AG2780" s="5" t="s">
        <v>246</v>
      </c>
      <c r="AH2780" s="4" t="s">
        <v>241</v>
      </c>
      <c r="AI2780" s="4" t="s">
        <v>247</v>
      </c>
      <c r="AJ2780" s="4" t="s">
        <v>248</v>
      </c>
      <c r="AZ2780" s="4" t="s">
        <v>249</v>
      </c>
      <c r="BA2780" s="4" t="s">
        <v>241</v>
      </c>
      <c r="BB2780" s="4" t="s">
        <v>250</v>
      </c>
      <c r="BC2780" s="4" t="s">
        <v>241</v>
      </c>
      <c r="BD2780" s="4" t="s">
        <v>252</v>
      </c>
      <c r="BE2780" s="4" t="s">
        <v>241</v>
      </c>
      <c r="BI2780" s="4" t="s">
        <v>253</v>
      </c>
      <c r="BJ2780" s="5" t="s">
        <v>246</v>
      </c>
      <c r="BK2780" s="4" t="s">
        <v>254</v>
      </c>
      <c r="BL2780" s="4" t="s">
        <v>255</v>
      </c>
      <c r="BM2780" s="4" t="s">
        <v>241</v>
      </c>
      <c r="BN2780" s="6">
        <f>0</f>
        <v>0</v>
      </c>
      <c r="BO2780" s="6">
        <f>0</f>
        <v>0</v>
      </c>
      <c r="BP2780" s="4" t="s">
        <v>256</v>
      </c>
      <c r="BQ2780" s="4" t="s">
        <v>257</v>
      </c>
      <c r="CE2780" s="4" t="s">
        <v>241</v>
      </c>
      <c r="CF2780" s="4" t="s">
        <v>241</v>
      </c>
      <c r="CJ2780" s="4" t="s">
        <v>276</v>
      </c>
      <c r="CK2780" s="4" t="s">
        <v>259</v>
      </c>
      <c r="CL2780" s="4" t="s">
        <v>241</v>
      </c>
      <c r="CO2780" s="5" t="s">
        <v>260</v>
      </c>
      <c r="CP2780" s="4" t="s">
        <v>241</v>
      </c>
      <c r="CQ2780" s="4" t="s">
        <v>261</v>
      </c>
      <c r="CR2780" s="4" t="s">
        <v>241</v>
      </c>
      <c r="CS2780" s="4" t="s">
        <v>241</v>
      </c>
      <c r="CT2780" s="4">
        <v>0</v>
      </c>
      <c r="CU2780" s="4" t="s">
        <v>262</v>
      </c>
      <c r="CV2780" s="4" t="s">
        <v>263</v>
      </c>
      <c r="CW2780" s="4" t="s">
        <v>263</v>
      </c>
      <c r="CX2780" s="4" t="s">
        <v>264</v>
      </c>
      <c r="DA2780" s="6">
        <f>1</f>
        <v>1</v>
      </c>
      <c r="DC2780" s="4" t="s">
        <v>325</v>
      </c>
      <c r="DD2780" s="4" t="s">
        <v>241</v>
      </c>
      <c r="DF2780" s="4" t="s">
        <v>325</v>
      </c>
      <c r="DG2780" s="6">
        <f>1278</f>
        <v>1278</v>
      </c>
      <c r="DI2780" s="4" t="s">
        <v>241</v>
      </c>
      <c r="DJ2780" s="4" t="s">
        <v>241</v>
      </c>
      <c r="DK2780" s="4" t="s">
        <v>241</v>
      </c>
      <c r="DL2780" s="4" t="s">
        <v>241</v>
      </c>
      <c r="DP2780" s="4" t="s">
        <v>241</v>
      </c>
      <c r="DQ2780" s="4" t="s">
        <v>241</v>
      </c>
      <c r="DR2780" s="4" t="s">
        <v>241</v>
      </c>
      <c r="DS2780" s="4" t="s">
        <v>241</v>
      </c>
      <c r="DV2780" s="4" t="s">
        <v>426</v>
      </c>
      <c r="DW2780" s="4" t="s">
        <v>2323</v>
      </c>
      <c r="HO2780" s="4" t="s">
        <v>267</v>
      </c>
    </row>
    <row r="2781" spans="1:223" ht="19.5" customHeight="1" x14ac:dyDescent="0.4">
      <c r="A2781" s="4">
        <v>1</v>
      </c>
      <c r="B2781" s="4" t="s">
        <v>239</v>
      </c>
      <c r="C2781" s="4">
        <v>4484</v>
      </c>
      <c r="D2781" s="4">
        <v>1</v>
      </c>
      <c r="E2781" s="4">
        <v>1</v>
      </c>
      <c r="F2781" s="4" t="s">
        <v>268</v>
      </c>
      <c r="G2781" s="4" t="s">
        <v>241</v>
      </c>
      <c r="H2781" s="4" t="s">
        <v>241</v>
      </c>
      <c r="I2781" s="4" t="s">
        <v>424</v>
      </c>
      <c r="J2781" s="4" t="s">
        <v>274</v>
      </c>
      <c r="K2781" s="4" t="s">
        <v>251</v>
      </c>
      <c r="L2781" s="4" t="s">
        <v>423</v>
      </c>
      <c r="M2781" s="5" t="s">
        <v>3520</v>
      </c>
      <c r="N2781" s="6">
        <f>1012</f>
        <v>1012</v>
      </c>
      <c r="O2781" s="4" t="s">
        <v>265</v>
      </c>
      <c r="P2781" s="6">
        <f>1</f>
        <v>1</v>
      </c>
      <c r="Q2781" s="6">
        <f>0</f>
        <v>0</v>
      </c>
      <c r="S2781" s="6">
        <f>0</f>
        <v>0</v>
      </c>
      <c r="T2781" s="6">
        <f>1</f>
        <v>1</v>
      </c>
      <c r="U2781" s="5" t="s">
        <v>245</v>
      </c>
      <c r="V2781" s="4" t="s">
        <v>270</v>
      </c>
      <c r="W2781" s="4" t="s">
        <v>271</v>
      </c>
      <c r="X2781" s="4" t="s">
        <v>273</v>
      </c>
      <c r="Y2781" s="4" t="s">
        <v>241</v>
      </c>
      <c r="AB2781" s="4" t="s">
        <v>241</v>
      </c>
      <c r="AD2781" s="5" t="s">
        <v>241</v>
      </c>
      <c r="AG2781" s="5" t="s">
        <v>246</v>
      </c>
      <c r="AH2781" s="4" t="s">
        <v>241</v>
      </c>
      <c r="AI2781" s="4" t="s">
        <v>247</v>
      </c>
      <c r="AJ2781" s="4" t="s">
        <v>248</v>
      </c>
      <c r="AZ2781" s="4" t="s">
        <v>249</v>
      </c>
      <c r="BA2781" s="4" t="s">
        <v>241</v>
      </c>
      <c r="BB2781" s="4" t="s">
        <v>250</v>
      </c>
      <c r="BC2781" s="4" t="s">
        <v>241</v>
      </c>
      <c r="BD2781" s="4" t="s">
        <v>252</v>
      </c>
      <c r="BE2781" s="4" t="s">
        <v>241</v>
      </c>
      <c r="BI2781" s="4" t="s">
        <v>253</v>
      </c>
      <c r="BJ2781" s="5" t="s">
        <v>246</v>
      </c>
      <c r="BK2781" s="4" t="s">
        <v>254</v>
      </c>
      <c r="BL2781" s="4" t="s">
        <v>255</v>
      </c>
      <c r="BM2781" s="4" t="s">
        <v>241</v>
      </c>
      <c r="BN2781" s="6">
        <f>0</f>
        <v>0</v>
      </c>
      <c r="BO2781" s="6">
        <f>0</f>
        <v>0</v>
      </c>
      <c r="BP2781" s="4" t="s">
        <v>256</v>
      </c>
      <c r="BQ2781" s="4" t="s">
        <v>257</v>
      </c>
      <c r="CE2781" s="4" t="s">
        <v>241</v>
      </c>
      <c r="CF2781" s="4" t="s">
        <v>241</v>
      </c>
      <c r="CJ2781" s="4" t="s">
        <v>276</v>
      </c>
      <c r="CK2781" s="4" t="s">
        <v>259</v>
      </c>
      <c r="CL2781" s="4" t="s">
        <v>241</v>
      </c>
      <c r="CO2781" s="5" t="s">
        <v>260</v>
      </c>
      <c r="CP2781" s="4" t="s">
        <v>241</v>
      </c>
      <c r="CQ2781" s="4" t="s">
        <v>261</v>
      </c>
      <c r="CR2781" s="4" t="s">
        <v>241</v>
      </c>
      <c r="CS2781" s="4" t="s">
        <v>241</v>
      </c>
      <c r="CT2781" s="4">
        <v>0</v>
      </c>
      <c r="CU2781" s="4" t="s">
        <v>262</v>
      </c>
      <c r="CV2781" s="4" t="s">
        <v>263</v>
      </c>
      <c r="CW2781" s="4" t="s">
        <v>263</v>
      </c>
      <c r="CX2781" s="4" t="s">
        <v>264</v>
      </c>
      <c r="DA2781" s="6">
        <f>1</f>
        <v>1</v>
      </c>
      <c r="DC2781" s="4" t="s">
        <v>325</v>
      </c>
      <c r="DD2781" s="4" t="s">
        <v>241</v>
      </c>
      <c r="DF2781" s="4" t="s">
        <v>325</v>
      </c>
      <c r="DG2781" s="6">
        <f>1012</f>
        <v>1012</v>
      </c>
      <c r="DI2781" s="4" t="s">
        <v>241</v>
      </c>
      <c r="DJ2781" s="4" t="s">
        <v>241</v>
      </c>
      <c r="DK2781" s="4" t="s">
        <v>241</v>
      </c>
      <c r="DL2781" s="4" t="s">
        <v>241</v>
      </c>
      <c r="DP2781" s="4" t="s">
        <v>241</v>
      </c>
      <c r="DQ2781" s="4" t="s">
        <v>241</v>
      </c>
      <c r="DR2781" s="4" t="s">
        <v>241</v>
      </c>
      <c r="DS2781" s="4" t="s">
        <v>241</v>
      </c>
      <c r="DV2781" s="4" t="s">
        <v>426</v>
      </c>
      <c r="DW2781" s="4" t="s">
        <v>2321</v>
      </c>
      <c r="HO2781" s="4" t="s">
        <v>267</v>
      </c>
    </row>
    <row r="2782" spans="1:223" ht="19.5" customHeight="1" x14ac:dyDescent="0.4">
      <c r="A2782" s="4">
        <v>1</v>
      </c>
      <c r="B2782" s="4" t="s">
        <v>239</v>
      </c>
      <c r="C2782" s="4">
        <v>4485</v>
      </c>
      <c r="D2782" s="4">
        <v>1</v>
      </c>
      <c r="E2782" s="4">
        <v>1</v>
      </c>
      <c r="F2782" s="4" t="s">
        <v>268</v>
      </c>
      <c r="G2782" s="4" t="s">
        <v>241</v>
      </c>
      <c r="H2782" s="4" t="s">
        <v>241</v>
      </c>
      <c r="I2782" s="4" t="s">
        <v>424</v>
      </c>
      <c r="J2782" s="4" t="s">
        <v>274</v>
      </c>
      <c r="K2782" s="4" t="s">
        <v>251</v>
      </c>
      <c r="L2782" s="4" t="s">
        <v>423</v>
      </c>
      <c r="M2782" s="5" t="s">
        <v>3535</v>
      </c>
      <c r="N2782" s="6">
        <f>417</f>
        <v>417</v>
      </c>
      <c r="O2782" s="4" t="s">
        <v>265</v>
      </c>
      <c r="P2782" s="6">
        <f>1</f>
        <v>1</v>
      </c>
      <c r="Q2782" s="6">
        <f>0</f>
        <v>0</v>
      </c>
      <c r="S2782" s="6">
        <f>0</f>
        <v>0</v>
      </c>
      <c r="T2782" s="6">
        <f>1</f>
        <v>1</v>
      </c>
      <c r="U2782" s="5" t="s">
        <v>245</v>
      </c>
      <c r="V2782" s="4" t="s">
        <v>270</v>
      </c>
      <c r="W2782" s="4" t="s">
        <v>271</v>
      </c>
      <c r="X2782" s="4" t="s">
        <v>273</v>
      </c>
      <c r="Y2782" s="4" t="s">
        <v>241</v>
      </c>
      <c r="AB2782" s="4" t="s">
        <v>241</v>
      </c>
      <c r="AD2782" s="5" t="s">
        <v>241</v>
      </c>
      <c r="AG2782" s="5" t="s">
        <v>246</v>
      </c>
      <c r="AH2782" s="4" t="s">
        <v>241</v>
      </c>
      <c r="AI2782" s="4" t="s">
        <v>247</v>
      </c>
      <c r="AJ2782" s="4" t="s">
        <v>248</v>
      </c>
      <c r="AZ2782" s="4" t="s">
        <v>249</v>
      </c>
      <c r="BA2782" s="4" t="s">
        <v>241</v>
      </c>
      <c r="BB2782" s="4" t="s">
        <v>250</v>
      </c>
      <c r="BC2782" s="4" t="s">
        <v>241</v>
      </c>
      <c r="BD2782" s="4" t="s">
        <v>252</v>
      </c>
      <c r="BE2782" s="4" t="s">
        <v>241</v>
      </c>
      <c r="BI2782" s="4" t="s">
        <v>253</v>
      </c>
      <c r="BJ2782" s="5" t="s">
        <v>246</v>
      </c>
      <c r="BK2782" s="4" t="s">
        <v>254</v>
      </c>
      <c r="BL2782" s="4" t="s">
        <v>255</v>
      </c>
      <c r="BM2782" s="4" t="s">
        <v>241</v>
      </c>
      <c r="BN2782" s="6">
        <f>0</f>
        <v>0</v>
      </c>
      <c r="BO2782" s="6">
        <f>0</f>
        <v>0</v>
      </c>
      <c r="BP2782" s="4" t="s">
        <v>256</v>
      </c>
      <c r="BQ2782" s="4" t="s">
        <v>257</v>
      </c>
      <c r="CE2782" s="4" t="s">
        <v>241</v>
      </c>
      <c r="CF2782" s="4" t="s">
        <v>241</v>
      </c>
      <c r="CJ2782" s="4" t="s">
        <v>276</v>
      </c>
      <c r="CK2782" s="4" t="s">
        <v>259</v>
      </c>
      <c r="CL2782" s="4" t="s">
        <v>241</v>
      </c>
      <c r="CO2782" s="5" t="s">
        <v>260</v>
      </c>
      <c r="CP2782" s="4" t="s">
        <v>241</v>
      </c>
      <c r="CQ2782" s="4" t="s">
        <v>261</v>
      </c>
      <c r="CR2782" s="4" t="s">
        <v>241</v>
      </c>
      <c r="CS2782" s="4" t="s">
        <v>241</v>
      </c>
      <c r="CT2782" s="4">
        <v>0</v>
      </c>
      <c r="CU2782" s="4" t="s">
        <v>262</v>
      </c>
      <c r="CV2782" s="4" t="s">
        <v>263</v>
      </c>
      <c r="CW2782" s="4" t="s">
        <v>263</v>
      </c>
      <c r="CX2782" s="4" t="s">
        <v>264</v>
      </c>
      <c r="DA2782" s="6">
        <f>1</f>
        <v>1</v>
      </c>
      <c r="DC2782" s="4" t="s">
        <v>325</v>
      </c>
      <c r="DD2782" s="4" t="s">
        <v>241</v>
      </c>
      <c r="DF2782" s="4" t="s">
        <v>325</v>
      </c>
      <c r="DG2782" s="6">
        <f>417</f>
        <v>417</v>
      </c>
      <c r="DI2782" s="4" t="s">
        <v>241</v>
      </c>
      <c r="DJ2782" s="4" t="s">
        <v>241</v>
      </c>
      <c r="DK2782" s="4" t="s">
        <v>241</v>
      </c>
      <c r="DL2782" s="4" t="s">
        <v>241</v>
      </c>
      <c r="DP2782" s="4" t="s">
        <v>241</v>
      </c>
      <c r="DQ2782" s="4" t="s">
        <v>241</v>
      </c>
      <c r="DR2782" s="4" t="s">
        <v>241</v>
      </c>
      <c r="DS2782" s="4" t="s">
        <v>241</v>
      </c>
      <c r="DV2782" s="4" t="s">
        <v>426</v>
      </c>
      <c r="DW2782" s="4" t="s">
        <v>2319</v>
      </c>
      <c r="HO2782" s="4" t="s">
        <v>267</v>
      </c>
    </row>
    <row r="2783" spans="1:223" ht="19.5" customHeight="1" x14ac:dyDescent="0.4">
      <c r="A2783" s="4">
        <v>1</v>
      </c>
      <c r="B2783" s="4" t="s">
        <v>239</v>
      </c>
      <c r="C2783" s="4">
        <v>4486</v>
      </c>
      <c r="D2783" s="4">
        <v>1</v>
      </c>
      <c r="E2783" s="4">
        <v>1</v>
      </c>
      <c r="F2783" s="4" t="s">
        <v>268</v>
      </c>
      <c r="G2783" s="4" t="s">
        <v>241</v>
      </c>
      <c r="H2783" s="4" t="s">
        <v>241</v>
      </c>
      <c r="I2783" s="4" t="s">
        <v>424</v>
      </c>
      <c r="J2783" s="4" t="s">
        <v>274</v>
      </c>
      <c r="K2783" s="4" t="s">
        <v>251</v>
      </c>
      <c r="L2783" s="4" t="s">
        <v>423</v>
      </c>
      <c r="M2783" s="5" t="s">
        <v>3555</v>
      </c>
      <c r="N2783" s="6">
        <f>1506</f>
        <v>1506</v>
      </c>
      <c r="O2783" s="4" t="s">
        <v>265</v>
      </c>
      <c r="P2783" s="6">
        <f>1</f>
        <v>1</v>
      </c>
      <c r="Q2783" s="6">
        <f>0</f>
        <v>0</v>
      </c>
      <c r="S2783" s="6">
        <f>0</f>
        <v>0</v>
      </c>
      <c r="T2783" s="6">
        <f>1</f>
        <v>1</v>
      </c>
      <c r="U2783" s="5" t="s">
        <v>245</v>
      </c>
      <c r="V2783" s="4" t="s">
        <v>270</v>
      </c>
      <c r="W2783" s="4" t="s">
        <v>271</v>
      </c>
      <c r="X2783" s="4" t="s">
        <v>273</v>
      </c>
      <c r="Y2783" s="4" t="s">
        <v>241</v>
      </c>
      <c r="AB2783" s="4" t="s">
        <v>241</v>
      </c>
      <c r="AD2783" s="5" t="s">
        <v>241</v>
      </c>
      <c r="AG2783" s="5" t="s">
        <v>246</v>
      </c>
      <c r="AH2783" s="4" t="s">
        <v>241</v>
      </c>
      <c r="AI2783" s="4" t="s">
        <v>247</v>
      </c>
      <c r="AJ2783" s="4" t="s">
        <v>248</v>
      </c>
      <c r="AZ2783" s="4" t="s">
        <v>249</v>
      </c>
      <c r="BA2783" s="4" t="s">
        <v>241</v>
      </c>
      <c r="BB2783" s="4" t="s">
        <v>250</v>
      </c>
      <c r="BC2783" s="4" t="s">
        <v>241</v>
      </c>
      <c r="BD2783" s="4" t="s">
        <v>252</v>
      </c>
      <c r="BE2783" s="4" t="s">
        <v>241</v>
      </c>
      <c r="BI2783" s="4" t="s">
        <v>253</v>
      </c>
      <c r="BJ2783" s="5" t="s">
        <v>246</v>
      </c>
      <c r="BK2783" s="4" t="s">
        <v>254</v>
      </c>
      <c r="BL2783" s="4" t="s">
        <v>255</v>
      </c>
      <c r="BM2783" s="4" t="s">
        <v>241</v>
      </c>
      <c r="BN2783" s="6">
        <f>0</f>
        <v>0</v>
      </c>
      <c r="BO2783" s="6">
        <f>0</f>
        <v>0</v>
      </c>
      <c r="BP2783" s="4" t="s">
        <v>256</v>
      </c>
      <c r="BQ2783" s="4" t="s">
        <v>257</v>
      </c>
      <c r="CE2783" s="4" t="s">
        <v>241</v>
      </c>
      <c r="CF2783" s="4" t="s">
        <v>241</v>
      </c>
      <c r="CJ2783" s="4" t="s">
        <v>276</v>
      </c>
      <c r="CK2783" s="4" t="s">
        <v>259</v>
      </c>
      <c r="CL2783" s="4" t="s">
        <v>241</v>
      </c>
      <c r="CO2783" s="5" t="s">
        <v>260</v>
      </c>
      <c r="CP2783" s="4" t="s">
        <v>241</v>
      </c>
      <c r="CQ2783" s="4" t="s">
        <v>261</v>
      </c>
      <c r="CR2783" s="4" t="s">
        <v>241</v>
      </c>
      <c r="CS2783" s="4" t="s">
        <v>241</v>
      </c>
      <c r="CT2783" s="4">
        <v>0</v>
      </c>
      <c r="CU2783" s="4" t="s">
        <v>262</v>
      </c>
      <c r="CV2783" s="4" t="s">
        <v>263</v>
      </c>
      <c r="CW2783" s="4" t="s">
        <v>263</v>
      </c>
      <c r="CX2783" s="4" t="s">
        <v>264</v>
      </c>
      <c r="DA2783" s="6">
        <f>1</f>
        <v>1</v>
      </c>
      <c r="DC2783" s="4" t="s">
        <v>325</v>
      </c>
      <c r="DD2783" s="4" t="s">
        <v>241</v>
      </c>
      <c r="DF2783" s="4" t="s">
        <v>325</v>
      </c>
      <c r="DG2783" s="6">
        <f>1506</f>
        <v>1506</v>
      </c>
      <c r="DI2783" s="4" t="s">
        <v>241</v>
      </c>
      <c r="DJ2783" s="4" t="s">
        <v>241</v>
      </c>
      <c r="DK2783" s="4" t="s">
        <v>241</v>
      </c>
      <c r="DL2783" s="4" t="s">
        <v>241</v>
      </c>
      <c r="DP2783" s="4" t="s">
        <v>241</v>
      </c>
      <c r="DQ2783" s="4" t="s">
        <v>241</v>
      </c>
      <c r="DR2783" s="4" t="s">
        <v>241</v>
      </c>
      <c r="DS2783" s="4" t="s">
        <v>241</v>
      </c>
      <c r="DV2783" s="4" t="s">
        <v>426</v>
      </c>
      <c r="DW2783" s="4" t="s">
        <v>2317</v>
      </c>
      <c r="HO2783" s="4" t="s">
        <v>267</v>
      </c>
    </row>
    <row r="2784" spans="1:223" ht="19.5" customHeight="1" x14ac:dyDescent="0.4">
      <c r="A2784" s="4">
        <v>1</v>
      </c>
      <c r="B2784" s="4" t="s">
        <v>239</v>
      </c>
      <c r="C2784" s="4">
        <v>4487</v>
      </c>
      <c r="D2784" s="4">
        <v>1</v>
      </c>
      <c r="E2784" s="4">
        <v>1</v>
      </c>
      <c r="F2784" s="4" t="s">
        <v>268</v>
      </c>
      <c r="G2784" s="4" t="s">
        <v>241</v>
      </c>
      <c r="H2784" s="4" t="s">
        <v>241</v>
      </c>
      <c r="I2784" s="4" t="s">
        <v>424</v>
      </c>
      <c r="J2784" s="4" t="s">
        <v>274</v>
      </c>
      <c r="K2784" s="4" t="s">
        <v>251</v>
      </c>
      <c r="L2784" s="4" t="s">
        <v>423</v>
      </c>
      <c r="M2784" s="5" t="s">
        <v>3574</v>
      </c>
      <c r="N2784" s="6">
        <f>1477</f>
        <v>1477</v>
      </c>
      <c r="O2784" s="4" t="s">
        <v>265</v>
      </c>
      <c r="P2784" s="6">
        <f>1</f>
        <v>1</v>
      </c>
      <c r="Q2784" s="6">
        <f>0</f>
        <v>0</v>
      </c>
      <c r="S2784" s="6">
        <f>0</f>
        <v>0</v>
      </c>
      <c r="T2784" s="6">
        <f>1</f>
        <v>1</v>
      </c>
      <c r="U2784" s="5" t="s">
        <v>245</v>
      </c>
      <c r="V2784" s="4" t="s">
        <v>270</v>
      </c>
      <c r="W2784" s="4" t="s">
        <v>271</v>
      </c>
      <c r="X2784" s="4" t="s">
        <v>273</v>
      </c>
      <c r="Y2784" s="4" t="s">
        <v>241</v>
      </c>
      <c r="AB2784" s="4" t="s">
        <v>241</v>
      </c>
      <c r="AD2784" s="5" t="s">
        <v>241</v>
      </c>
      <c r="AG2784" s="5" t="s">
        <v>246</v>
      </c>
      <c r="AH2784" s="4" t="s">
        <v>241</v>
      </c>
      <c r="AI2784" s="4" t="s">
        <v>247</v>
      </c>
      <c r="AJ2784" s="4" t="s">
        <v>248</v>
      </c>
      <c r="AZ2784" s="4" t="s">
        <v>249</v>
      </c>
      <c r="BA2784" s="4" t="s">
        <v>241</v>
      </c>
      <c r="BB2784" s="4" t="s">
        <v>250</v>
      </c>
      <c r="BC2784" s="4" t="s">
        <v>241</v>
      </c>
      <c r="BD2784" s="4" t="s">
        <v>252</v>
      </c>
      <c r="BE2784" s="4" t="s">
        <v>241</v>
      </c>
      <c r="BI2784" s="4" t="s">
        <v>253</v>
      </c>
      <c r="BJ2784" s="5" t="s">
        <v>246</v>
      </c>
      <c r="BK2784" s="4" t="s">
        <v>254</v>
      </c>
      <c r="BL2784" s="4" t="s">
        <v>255</v>
      </c>
      <c r="BM2784" s="4" t="s">
        <v>241</v>
      </c>
      <c r="BN2784" s="6">
        <f>0</f>
        <v>0</v>
      </c>
      <c r="BO2784" s="6">
        <f>0</f>
        <v>0</v>
      </c>
      <c r="BP2784" s="4" t="s">
        <v>256</v>
      </c>
      <c r="BQ2784" s="4" t="s">
        <v>257</v>
      </c>
      <c r="CE2784" s="4" t="s">
        <v>241</v>
      </c>
      <c r="CF2784" s="4" t="s">
        <v>241</v>
      </c>
      <c r="CJ2784" s="4" t="s">
        <v>276</v>
      </c>
      <c r="CK2784" s="4" t="s">
        <v>259</v>
      </c>
      <c r="CL2784" s="4" t="s">
        <v>241</v>
      </c>
      <c r="CO2784" s="5" t="s">
        <v>260</v>
      </c>
      <c r="CP2784" s="4" t="s">
        <v>241</v>
      </c>
      <c r="CQ2784" s="4" t="s">
        <v>261</v>
      </c>
      <c r="CR2784" s="4" t="s">
        <v>241</v>
      </c>
      <c r="CS2784" s="4" t="s">
        <v>241</v>
      </c>
      <c r="CT2784" s="4">
        <v>0</v>
      </c>
      <c r="CU2784" s="4" t="s">
        <v>262</v>
      </c>
      <c r="CV2784" s="4" t="s">
        <v>263</v>
      </c>
      <c r="CW2784" s="4" t="s">
        <v>263</v>
      </c>
      <c r="CX2784" s="4" t="s">
        <v>264</v>
      </c>
      <c r="DA2784" s="6">
        <f>1</f>
        <v>1</v>
      </c>
      <c r="DC2784" s="4" t="s">
        <v>325</v>
      </c>
      <c r="DD2784" s="4" t="s">
        <v>241</v>
      </c>
      <c r="DF2784" s="4" t="s">
        <v>325</v>
      </c>
      <c r="DG2784" s="6">
        <f>1477</f>
        <v>1477</v>
      </c>
      <c r="DI2784" s="4" t="s">
        <v>241</v>
      </c>
      <c r="DJ2784" s="4" t="s">
        <v>241</v>
      </c>
      <c r="DK2784" s="4" t="s">
        <v>241</v>
      </c>
      <c r="DL2784" s="4" t="s">
        <v>241</v>
      </c>
      <c r="DP2784" s="4" t="s">
        <v>241</v>
      </c>
      <c r="DQ2784" s="4" t="s">
        <v>241</v>
      </c>
      <c r="DR2784" s="4" t="s">
        <v>241</v>
      </c>
      <c r="DS2784" s="4" t="s">
        <v>241</v>
      </c>
      <c r="DV2784" s="4" t="s">
        <v>426</v>
      </c>
      <c r="DW2784" s="4" t="s">
        <v>2315</v>
      </c>
      <c r="HO2784" s="4" t="s">
        <v>267</v>
      </c>
    </row>
    <row r="2785" spans="1:223" ht="19.5" customHeight="1" x14ac:dyDescent="0.4">
      <c r="A2785" s="4">
        <v>1</v>
      </c>
      <c r="B2785" s="4" t="s">
        <v>239</v>
      </c>
      <c r="C2785" s="4">
        <v>4488</v>
      </c>
      <c r="D2785" s="4">
        <v>1</v>
      </c>
      <c r="E2785" s="4">
        <v>1</v>
      </c>
      <c r="F2785" s="4" t="s">
        <v>268</v>
      </c>
      <c r="G2785" s="4" t="s">
        <v>241</v>
      </c>
      <c r="H2785" s="4" t="s">
        <v>241</v>
      </c>
      <c r="I2785" s="4" t="s">
        <v>424</v>
      </c>
      <c r="J2785" s="4" t="s">
        <v>274</v>
      </c>
      <c r="K2785" s="4" t="s">
        <v>251</v>
      </c>
      <c r="L2785" s="4" t="s">
        <v>423</v>
      </c>
      <c r="M2785" s="5" t="s">
        <v>3590</v>
      </c>
      <c r="N2785" s="6">
        <f>216</f>
        <v>216</v>
      </c>
      <c r="O2785" s="4" t="s">
        <v>265</v>
      </c>
      <c r="P2785" s="6">
        <f>1</f>
        <v>1</v>
      </c>
      <c r="Q2785" s="6">
        <f>0</f>
        <v>0</v>
      </c>
      <c r="S2785" s="6">
        <f>0</f>
        <v>0</v>
      </c>
      <c r="T2785" s="6">
        <f>1</f>
        <v>1</v>
      </c>
      <c r="U2785" s="5" t="s">
        <v>245</v>
      </c>
      <c r="V2785" s="4" t="s">
        <v>270</v>
      </c>
      <c r="W2785" s="4" t="s">
        <v>271</v>
      </c>
      <c r="X2785" s="4" t="s">
        <v>273</v>
      </c>
      <c r="Y2785" s="4" t="s">
        <v>241</v>
      </c>
      <c r="AB2785" s="4" t="s">
        <v>241</v>
      </c>
      <c r="AD2785" s="5" t="s">
        <v>241</v>
      </c>
      <c r="AG2785" s="5" t="s">
        <v>246</v>
      </c>
      <c r="AH2785" s="4" t="s">
        <v>241</v>
      </c>
      <c r="AI2785" s="4" t="s">
        <v>247</v>
      </c>
      <c r="AJ2785" s="4" t="s">
        <v>248</v>
      </c>
      <c r="AZ2785" s="4" t="s">
        <v>249</v>
      </c>
      <c r="BA2785" s="4" t="s">
        <v>241</v>
      </c>
      <c r="BB2785" s="4" t="s">
        <v>250</v>
      </c>
      <c r="BC2785" s="4" t="s">
        <v>241</v>
      </c>
      <c r="BD2785" s="4" t="s">
        <v>252</v>
      </c>
      <c r="BE2785" s="4" t="s">
        <v>241</v>
      </c>
      <c r="BI2785" s="4" t="s">
        <v>253</v>
      </c>
      <c r="BJ2785" s="5" t="s">
        <v>246</v>
      </c>
      <c r="BK2785" s="4" t="s">
        <v>254</v>
      </c>
      <c r="BL2785" s="4" t="s">
        <v>255</v>
      </c>
      <c r="BM2785" s="4" t="s">
        <v>241</v>
      </c>
      <c r="BN2785" s="6">
        <f>0</f>
        <v>0</v>
      </c>
      <c r="BO2785" s="6">
        <f>0</f>
        <v>0</v>
      </c>
      <c r="BP2785" s="4" t="s">
        <v>256</v>
      </c>
      <c r="BQ2785" s="4" t="s">
        <v>257</v>
      </c>
      <c r="CE2785" s="4" t="s">
        <v>241</v>
      </c>
      <c r="CF2785" s="4" t="s">
        <v>241</v>
      </c>
      <c r="CJ2785" s="4" t="s">
        <v>276</v>
      </c>
      <c r="CK2785" s="4" t="s">
        <v>259</v>
      </c>
      <c r="CL2785" s="4" t="s">
        <v>241</v>
      </c>
      <c r="CO2785" s="5" t="s">
        <v>260</v>
      </c>
      <c r="CP2785" s="4" t="s">
        <v>241</v>
      </c>
      <c r="CQ2785" s="4" t="s">
        <v>261</v>
      </c>
      <c r="CR2785" s="4" t="s">
        <v>241</v>
      </c>
      <c r="CS2785" s="4" t="s">
        <v>241</v>
      </c>
      <c r="CT2785" s="4">
        <v>0</v>
      </c>
      <c r="CU2785" s="4" t="s">
        <v>262</v>
      </c>
      <c r="CV2785" s="4" t="s">
        <v>263</v>
      </c>
      <c r="CW2785" s="4" t="s">
        <v>263</v>
      </c>
      <c r="CX2785" s="4" t="s">
        <v>264</v>
      </c>
      <c r="DA2785" s="6">
        <f>1</f>
        <v>1</v>
      </c>
      <c r="DC2785" s="4" t="s">
        <v>325</v>
      </c>
      <c r="DD2785" s="4" t="s">
        <v>241</v>
      </c>
      <c r="DF2785" s="4" t="s">
        <v>325</v>
      </c>
      <c r="DG2785" s="6">
        <f>216</f>
        <v>216</v>
      </c>
      <c r="DI2785" s="4" t="s">
        <v>241</v>
      </c>
      <c r="DJ2785" s="4" t="s">
        <v>241</v>
      </c>
      <c r="DK2785" s="4" t="s">
        <v>241</v>
      </c>
      <c r="DL2785" s="4" t="s">
        <v>241</v>
      </c>
      <c r="DP2785" s="4" t="s">
        <v>241</v>
      </c>
      <c r="DQ2785" s="4" t="s">
        <v>241</v>
      </c>
      <c r="DR2785" s="4" t="s">
        <v>241</v>
      </c>
      <c r="DS2785" s="4" t="s">
        <v>241</v>
      </c>
      <c r="DV2785" s="4" t="s">
        <v>426</v>
      </c>
      <c r="DW2785" s="4" t="s">
        <v>2313</v>
      </c>
      <c r="HO2785" s="4" t="s">
        <v>267</v>
      </c>
    </row>
    <row r="2786" spans="1:223" ht="19.5" customHeight="1" x14ac:dyDescent="0.4">
      <c r="A2786" s="4">
        <v>1</v>
      </c>
      <c r="B2786" s="4" t="s">
        <v>239</v>
      </c>
      <c r="C2786" s="4">
        <v>4489</v>
      </c>
      <c r="D2786" s="4">
        <v>1</v>
      </c>
      <c r="E2786" s="4">
        <v>1</v>
      </c>
      <c r="F2786" s="4" t="s">
        <v>268</v>
      </c>
      <c r="G2786" s="4" t="s">
        <v>241</v>
      </c>
      <c r="H2786" s="4" t="s">
        <v>241</v>
      </c>
      <c r="I2786" s="4" t="s">
        <v>424</v>
      </c>
      <c r="J2786" s="4" t="s">
        <v>274</v>
      </c>
      <c r="K2786" s="4" t="s">
        <v>251</v>
      </c>
      <c r="L2786" s="4" t="s">
        <v>423</v>
      </c>
      <c r="M2786" s="5" t="s">
        <v>3594</v>
      </c>
      <c r="N2786" s="6">
        <f>293</f>
        <v>293</v>
      </c>
      <c r="O2786" s="4" t="s">
        <v>265</v>
      </c>
      <c r="P2786" s="6">
        <f>1</f>
        <v>1</v>
      </c>
      <c r="Q2786" s="6">
        <f>0</f>
        <v>0</v>
      </c>
      <c r="S2786" s="6">
        <f>0</f>
        <v>0</v>
      </c>
      <c r="T2786" s="6">
        <f>1</f>
        <v>1</v>
      </c>
      <c r="U2786" s="5" t="s">
        <v>245</v>
      </c>
      <c r="V2786" s="4" t="s">
        <v>270</v>
      </c>
      <c r="W2786" s="4" t="s">
        <v>271</v>
      </c>
      <c r="X2786" s="4" t="s">
        <v>273</v>
      </c>
      <c r="Y2786" s="4" t="s">
        <v>241</v>
      </c>
      <c r="AB2786" s="4" t="s">
        <v>241</v>
      </c>
      <c r="AD2786" s="5" t="s">
        <v>241</v>
      </c>
      <c r="AG2786" s="5" t="s">
        <v>246</v>
      </c>
      <c r="AH2786" s="4" t="s">
        <v>241</v>
      </c>
      <c r="AI2786" s="4" t="s">
        <v>247</v>
      </c>
      <c r="AJ2786" s="4" t="s">
        <v>248</v>
      </c>
      <c r="AZ2786" s="4" t="s">
        <v>249</v>
      </c>
      <c r="BA2786" s="4" t="s">
        <v>241</v>
      </c>
      <c r="BB2786" s="4" t="s">
        <v>250</v>
      </c>
      <c r="BC2786" s="4" t="s">
        <v>241</v>
      </c>
      <c r="BD2786" s="4" t="s">
        <v>252</v>
      </c>
      <c r="BE2786" s="4" t="s">
        <v>241</v>
      </c>
      <c r="BI2786" s="4" t="s">
        <v>253</v>
      </c>
      <c r="BJ2786" s="5" t="s">
        <v>246</v>
      </c>
      <c r="BK2786" s="4" t="s">
        <v>254</v>
      </c>
      <c r="BL2786" s="4" t="s">
        <v>255</v>
      </c>
      <c r="BM2786" s="4" t="s">
        <v>241</v>
      </c>
      <c r="BN2786" s="6">
        <f>0</f>
        <v>0</v>
      </c>
      <c r="BO2786" s="6">
        <f>0</f>
        <v>0</v>
      </c>
      <c r="BP2786" s="4" t="s">
        <v>256</v>
      </c>
      <c r="BQ2786" s="4" t="s">
        <v>257</v>
      </c>
      <c r="CE2786" s="4" t="s">
        <v>241</v>
      </c>
      <c r="CF2786" s="4" t="s">
        <v>241</v>
      </c>
      <c r="CJ2786" s="4" t="s">
        <v>276</v>
      </c>
      <c r="CK2786" s="4" t="s">
        <v>259</v>
      </c>
      <c r="CL2786" s="4" t="s">
        <v>241</v>
      </c>
      <c r="CO2786" s="5" t="s">
        <v>260</v>
      </c>
      <c r="CP2786" s="4" t="s">
        <v>241</v>
      </c>
      <c r="CQ2786" s="4" t="s">
        <v>261</v>
      </c>
      <c r="CR2786" s="4" t="s">
        <v>241</v>
      </c>
      <c r="CS2786" s="4" t="s">
        <v>241</v>
      </c>
      <c r="CT2786" s="4">
        <v>0</v>
      </c>
      <c r="CU2786" s="4" t="s">
        <v>262</v>
      </c>
      <c r="CV2786" s="4" t="s">
        <v>263</v>
      </c>
      <c r="CW2786" s="4" t="s">
        <v>263</v>
      </c>
      <c r="CX2786" s="4" t="s">
        <v>264</v>
      </c>
      <c r="DA2786" s="6">
        <f>1</f>
        <v>1</v>
      </c>
      <c r="DC2786" s="4" t="s">
        <v>325</v>
      </c>
      <c r="DD2786" s="4" t="s">
        <v>241</v>
      </c>
      <c r="DF2786" s="4" t="s">
        <v>325</v>
      </c>
      <c r="DG2786" s="6">
        <f>293</f>
        <v>293</v>
      </c>
      <c r="DI2786" s="4" t="s">
        <v>241</v>
      </c>
      <c r="DJ2786" s="4" t="s">
        <v>241</v>
      </c>
      <c r="DK2786" s="4" t="s">
        <v>241</v>
      </c>
      <c r="DL2786" s="4" t="s">
        <v>241</v>
      </c>
      <c r="DP2786" s="4" t="s">
        <v>241</v>
      </c>
      <c r="DQ2786" s="4" t="s">
        <v>241</v>
      </c>
      <c r="DR2786" s="4" t="s">
        <v>241</v>
      </c>
      <c r="DS2786" s="4" t="s">
        <v>241</v>
      </c>
      <c r="DV2786" s="4" t="s">
        <v>426</v>
      </c>
      <c r="DW2786" s="4" t="s">
        <v>2311</v>
      </c>
      <c r="HO2786" s="4" t="s">
        <v>267</v>
      </c>
    </row>
    <row r="2787" spans="1:223" ht="19.5" customHeight="1" x14ac:dyDescent="0.4">
      <c r="A2787" s="4">
        <v>1</v>
      </c>
      <c r="B2787" s="4" t="s">
        <v>239</v>
      </c>
      <c r="C2787" s="4">
        <v>4490</v>
      </c>
      <c r="D2787" s="4">
        <v>1</v>
      </c>
      <c r="E2787" s="4">
        <v>1</v>
      </c>
      <c r="F2787" s="4" t="s">
        <v>268</v>
      </c>
      <c r="G2787" s="4" t="s">
        <v>241</v>
      </c>
      <c r="H2787" s="4" t="s">
        <v>241</v>
      </c>
      <c r="I2787" s="4" t="s">
        <v>424</v>
      </c>
      <c r="J2787" s="4" t="s">
        <v>274</v>
      </c>
      <c r="K2787" s="4" t="s">
        <v>251</v>
      </c>
      <c r="L2787" s="4" t="s">
        <v>423</v>
      </c>
      <c r="M2787" s="5" t="s">
        <v>3602</v>
      </c>
      <c r="N2787" s="6">
        <f>142</f>
        <v>142</v>
      </c>
      <c r="O2787" s="4" t="s">
        <v>265</v>
      </c>
      <c r="P2787" s="6">
        <f>1</f>
        <v>1</v>
      </c>
      <c r="Q2787" s="6">
        <f>0</f>
        <v>0</v>
      </c>
      <c r="S2787" s="6">
        <f>0</f>
        <v>0</v>
      </c>
      <c r="T2787" s="6">
        <f>1</f>
        <v>1</v>
      </c>
      <c r="U2787" s="5" t="s">
        <v>245</v>
      </c>
      <c r="V2787" s="4" t="s">
        <v>270</v>
      </c>
      <c r="W2787" s="4" t="s">
        <v>271</v>
      </c>
      <c r="X2787" s="4" t="s">
        <v>273</v>
      </c>
      <c r="Y2787" s="4" t="s">
        <v>241</v>
      </c>
      <c r="AB2787" s="4" t="s">
        <v>241</v>
      </c>
      <c r="AD2787" s="5" t="s">
        <v>241</v>
      </c>
      <c r="AG2787" s="5" t="s">
        <v>246</v>
      </c>
      <c r="AH2787" s="4" t="s">
        <v>241</v>
      </c>
      <c r="AI2787" s="4" t="s">
        <v>247</v>
      </c>
      <c r="AJ2787" s="4" t="s">
        <v>248</v>
      </c>
      <c r="AZ2787" s="4" t="s">
        <v>249</v>
      </c>
      <c r="BA2787" s="4" t="s">
        <v>241</v>
      </c>
      <c r="BB2787" s="4" t="s">
        <v>250</v>
      </c>
      <c r="BC2787" s="4" t="s">
        <v>241</v>
      </c>
      <c r="BD2787" s="4" t="s">
        <v>252</v>
      </c>
      <c r="BE2787" s="4" t="s">
        <v>241</v>
      </c>
      <c r="BI2787" s="4" t="s">
        <v>253</v>
      </c>
      <c r="BJ2787" s="5" t="s">
        <v>246</v>
      </c>
      <c r="BK2787" s="4" t="s">
        <v>254</v>
      </c>
      <c r="BL2787" s="4" t="s">
        <v>255</v>
      </c>
      <c r="BM2787" s="4" t="s">
        <v>241</v>
      </c>
      <c r="BN2787" s="6">
        <f>0</f>
        <v>0</v>
      </c>
      <c r="BO2787" s="6">
        <f>0</f>
        <v>0</v>
      </c>
      <c r="BP2787" s="4" t="s">
        <v>256</v>
      </c>
      <c r="BQ2787" s="4" t="s">
        <v>257</v>
      </c>
      <c r="CE2787" s="4" t="s">
        <v>241</v>
      </c>
      <c r="CF2787" s="4" t="s">
        <v>241</v>
      </c>
      <c r="CJ2787" s="4" t="s">
        <v>276</v>
      </c>
      <c r="CK2787" s="4" t="s">
        <v>259</v>
      </c>
      <c r="CL2787" s="4" t="s">
        <v>241</v>
      </c>
      <c r="CO2787" s="5" t="s">
        <v>260</v>
      </c>
      <c r="CP2787" s="4" t="s">
        <v>241</v>
      </c>
      <c r="CQ2787" s="4" t="s">
        <v>261</v>
      </c>
      <c r="CR2787" s="4" t="s">
        <v>241</v>
      </c>
      <c r="CS2787" s="4" t="s">
        <v>241</v>
      </c>
      <c r="CT2787" s="4">
        <v>0</v>
      </c>
      <c r="CU2787" s="4" t="s">
        <v>262</v>
      </c>
      <c r="CV2787" s="4" t="s">
        <v>263</v>
      </c>
      <c r="CW2787" s="4" t="s">
        <v>263</v>
      </c>
      <c r="CX2787" s="4" t="s">
        <v>264</v>
      </c>
      <c r="DA2787" s="6">
        <f>1</f>
        <v>1</v>
      </c>
      <c r="DC2787" s="4" t="s">
        <v>325</v>
      </c>
      <c r="DD2787" s="4" t="s">
        <v>241</v>
      </c>
      <c r="DF2787" s="4" t="s">
        <v>325</v>
      </c>
      <c r="DG2787" s="6">
        <f>142</f>
        <v>142</v>
      </c>
      <c r="DI2787" s="4" t="s">
        <v>241</v>
      </c>
      <c r="DJ2787" s="4" t="s">
        <v>241</v>
      </c>
      <c r="DK2787" s="4" t="s">
        <v>241</v>
      </c>
      <c r="DL2787" s="4" t="s">
        <v>241</v>
      </c>
      <c r="DP2787" s="4" t="s">
        <v>241</v>
      </c>
      <c r="DQ2787" s="4" t="s">
        <v>241</v>
      </c>
      <c r="DR2787" s="4" t="s">
        <v>241</v>
      </c>
      <c r="DS2787" s="4" t="s">
        <v>241</v>
      </c>
      <c r="DV2787" s="4" t="s">
        <v>426</v>
      </c>
      <c r="DW2787" s="4" t="s">
        <v>2309</v>
      </c>
      <c r="HO2787" s="4" t="s">
        <v>267</v>
      </c>
    </row>
    <row r="2788" spans="1:223" ht="19.5" customHeight="1" x14ac:dyDescent="0.4">
      <c r="A2788" s="4">
        <v>1</v>
      </c>
      <c r="B2788" s="4" t="s">
        <v>239</v>
      </c>
      <c r="C2788" s="4">
        <v>4491</v>
      </c>
      <c r="D2788" s="4">
        <v>1</v>
      </c>
      <c r="E2788" s="4">
        <v>1</v>
      </c>
      <c r="F2788" s="4" t="s">
        <v>268</v>
      </c>
      <c r="G2788" s="4" t="s">
        <v>241</v>
      </c>
      <c r="H2788" s="4" t="s">
        <v>241</v>
      </c>
      <c r="I2788" s="4" t="s">
        <v>424</v>
      </c>
      <c r="J2788" s="4" t="s">
        <v>274</v>
      </c>
      <c r="K2788" s="4" t="s">
        <v>251</v>
      </c>
      <c r="L2788" s="4" t="s">
        <v>423</v>
      </c>
      <c r="M2788" s="5" t="s">
        <v>3968</v>
      </c>
      <c r="N2788" s="6">
        <f>369</f>
        <v>369</v>
      </c>
      <c r="O2788" s="4" t="s">
        <v>265</v>
      </c>
      <c r="P2788" s="6">
        <f>1</f>
        <v>1</v>
      </c>
      <c r="Q2788" s="6">
        <f>0</f>
        <v>0</v>
      </c>
      <c r="S2788" s="6">
        <f>0</f>
        <v>0</v>
      </c>
      <c r="T2788" s="6">
        <f>1</f>
        <v>1</v>
      </c>
      <c r="U2788" s="5" t="s">
        <v>245</v>
      </c>
      <c r="V2788" s="4" t="s">
        <v>270</v>
      </c>
      <c r="W2788" s="4" t="s">
        <v>271</v>
      </c>
      <c r="X2788" s="4" t="s">
        <v>273</v>
      </c>
      <c r="Y2788" s="4" t="s">
        <v>241</v>
      </c>
      <c r="AB2788" s="4" t="s">
        <v>241</v>
      </c>
      <c r="AD2788" s="5" t="s">
        <v>241</v>
      </c>
      <c r="AG2788" s="5" t="s">
        <v>246</v>
      </c>
      <c r="AH2788" s="4" t="s">
        <v>241</v>
      </c>
      <c r="AI2788" s="4" t="s">
        <v>247</v>
      </c>
      <c r="AJ2788" s="4" t="s">
        <v>248</v>
      </c>
      <c r="AZ2788" s="4" t="s">
        <v>249</v>
      </c>
      <c r="BA2788" s="4" t="s">
        <v>241</v>
      </c>
      <c r="BB2788" s="4" t="s">
        <v>250</v>
      </c>
      <c r="BC2788" s="4" t="s">
        <v>241</v>
      </c>
      <c r="BD2788" s="4" t="s">
        <v>252</v>
      </c>
      <c r="BE2788" s="4" t="s">
        <v>241</v>
      </c>
      <c r="BI2788" s="4" t="s">
        <v>253</v>
      </c>
      <c r="BJ2788" s="5" t="s">
        <v>246</v>
      </c>
      <c r="BK2788" s="4" t="s">
        <v>254</v>
      </c>
      <c r="BL2788" s="4" t="s">
        <v>255</v>
      </c>
      <c r="BM2788" s="4" t="s">
        <v>241</v>
      </c>
      <c r="BN2788" s="6">
        <f>0</f>
        <v>0</v>
      </c>
      <c r="BO2788" s="6">
        <f>0</f>
        <v>0</v>
      </c>
      <c r="BP2788" s="4" t="s">
        <v>256</v>
      </c>
      <c r="BQ2788" s="4" t="s">
        <v>257</v>
      </c>
      <c r="CE2788" s="4" t="s">
        <v>241</v>
      </c>
      <c r="CF2788" s="4" t="s">
        <v>241</v>
      </c>
      <c r="CJ2788" s="4" t="s">
        <v>276</v>
      </c>
      <c r="CK2788" s="4" t="s">
        <v>259</v>
      </c>
      <c r="CL2788" s="4" t="s">
        <v>241</v>
      </c>
      <c r="CO2788" s="5" t="s">
        <v>260</v>
      </c>
      <c r="CP2788" s="4" t="s">
        <v>241</v>
      </c>
      <c r="CQ2788" s="4" t="s">
        <v>261</v>
      </c>
      <c r="CR2788" s="4" t="s">
        <v>241</v>
      </c>
      <c r="CS2788" s="4" t="s">
        <v>241</v>
      </c>
      <c r="CT2788" s="4">
        <v>0</v>
      </c>
      <c r="CU2788" s="4" t="s">
        <v>262</v>
      </c>
      <c r="CV2788" s="4" t="s">
        <v>263</v>
      </c>
      <c r="CW2788" s="4" t="s">
        <v>263</v>
      </c>
      <c r="CX2788" s="4" t="s">
        <v>264</v>
      </c>
      <c r="DA2788" s="6">
        <f>1</f>
        <v>1</v>
      </c>
      <c r="DC2788" s="4" t="s">
        <v>325</v>
      </c>
      <c r="DD2788" s="4" t="s">
        <v>241</v>
      </c>
      <c r="DF2788" s="4" t="s">
        <v>325</v>
      </c>
      <c r="DG2788" s="6">
        <f>369</f>
        <v>369</v>
      </c>
      <c r="DI2788" s="4" t="s">
        <v>241</v>
      </c>
      <c r="DJ2788" s="4" t="s">
        <v>241</v>
      </c>
      <c r="DK2788" s="4" t="s">
        <v>241</v>
      </c>
      <c r="DL2788" s="4" t="s">
        <v>241</v>
      </c>
      <c r="DP2788" s="4" t="s">
        <v>241</v>
      </c>
      <c r="DQ2788" s="4" t="s">
        <v>241</v>
      </c>
      <c r="DR2788" s="4" t="s">
        <v>241</v>
      </c>
      <c r="DS2788" s="4" t="s">
        <v>241</v>
      </c>
      <c r="DV2788" s="4" t="s">
        <v>426</v>
      </c>
      <c r="DW2788" s="4" t="s">
        <v>2307</v>
      </c>
      <c r="HO2788" s="4" t="s">
        <v>267</v>
      </c>
    </row>
    <row r="2789" spans="1:223" ht="19.5" customHeight="1" x14ac:dyDescent="0.4">
      <c r="A2789" s="4">
        <v>1</v>
      </c>
      <c r="B2789" s="4" t="s">
        <v>239</v>
      </c>
      <c r="C2789" s="4">
        <v>4492</v>
      </c>
      <c r="D2789" s="4">
        <v>1</v>
      </c>
      <c r="E2789" s="4">
        <v>1</v>
      </c>
      <c r="F2789" s="4" t="s">
        <v>268</v>
      </c>
      <c r="G2789" s="4" t="s">
        <v>241</v>
      </c>
      <c r="H2789" s="4" t="s">
        <v>241</v>
      </c>
      <c r="I2789" s="4" t="s">
        <v>424</v>
      </c>
      <c r="J2789" s="4" t="s">
        <v>274</v>
      </c>
      <c r="K2789" s="4" t="s">
        <v>251</v>
      </c>
      <c r="L2789" s="4" t="s">
        <v>423</v>
      </c>
      <c r="M2789" s="5" t="s">
        <v>655</v>
      </c>
      <c r="N2789" s="6">
        <f>53</f>
        <v>53</v>
      </c>
      <c r="O2789" s="4" t="s">
        <v>265</v>
      </c>
      <c r="P2789" s="6">
        <f>1</f>
        <v>1</v>
      </c>
      <c r="Q2789" s="6">
        <f>0</f>
        <v>0</v>
      </c>
      <c r="S2789" s="6">
        <f>0</f>
        <v>0</v>
      </c>
      <c r="T2789" s="6">
        <f>1</f>
        <v>1</v>
      </c>
      <c r="U2789" s="5" t="s">
        <v>245</v>
      </c>
      <c r="V2789" s="4" t="s">
        <v>270</v>
      </c>
      <c r="W2789" s="4" t="s">
        <v>271</v>
      </c>
      <c r="X2789" s="4" t="s">
        <v>273</v>
      </c>
      <c r="Y2789" s="4" t="s">
        <v>241</v>
      </c>
      <c r="AB2789" s="4" t="s">
        <v>241</v>
      </c>
      <c r="AD2789" s="5" t="s">
        <v>241</v>
      </c>
      <c r="AG2789" s="5" t="s">
        <v>246</v>
      </c>
      <c r="AH2789" s="4" t="s">
        <v>241</v>
      </c>
      <c r="AI2789" s="4" t="s">
        <v>247</v>
      </c>
      <c r="AJ2789" s="4" t="s">
        <v>248</v>
      </c>
      <c r="AZ2789" s="4" t="s">
        <v>249</v>
      </c>
      <c r="BA2789" s="4" t="s">
        <v>241</v>
      </c>
      <c r="BB2789" s="4" t="s">
        <v>250</v>
      </c>
      <c r="BC2789" s="4" t="s">
        <v>241</v>
      </c>
      <c r="BD2789" s="4" t="s">
        <v>252</v>
      </c>
      <c r="BE2789" s="4" t="s">
        <v>241</v>
      </c>
      <c r="BI2789" s="4" t="s">
        <v>253</v>
      </c>
      <c r="BJ2789" s="5" t="s">
        <v>246</v>
      </c>
      <c r="BK2789" s="4" t="s">
        <v>254</v>
      </c>
      <c r="BL2789" s="4" t="s">
        <v>255</v>
      </c>
      <c r="BM2789" s="4" t="s">
        <v>241</v>
      </c>
      <c r="BN2789" s="6">
        <f>0</f>
        <v>0</v>
      </c>
      <c r="BO2789" s="6">
        <f>0</f>
        <v>0</v>
      </c>
      <c r="BP2789" s="4" t="s">
        <v>256</v>
      </c>
      <c r="BQ2789" s="4" t="s">
        <v>257</v>
      </c>
      <c r="CE2789" s="4" t="s">
        <v>241</v>
      </c>
      <c r="CF2789" s="4" t="s">
        <v>241</v>
      </c>
      <c r="CJ2789" s="4" t="s">
        <v>276</v>
      </c>
      <c r="CK2789" s="4" t="s">
        <v>259</v>
      </c>
      <c r="CL2789" s="4" t="s">
        <v>241</v>
      </c>
      <c r="CO2789" s="5" t="s">
        <v>260</v>
      </c>
      <c r="CP2789" s="4" t="s">
        <v>241</v>
      </c>
      <c r="CQ2789" s="4" t="s">
        <v>261</v>
      </c>
      <c r="CR2789" s="4" t="s">
        <v>241</v>
      </c>
      <c r="CS2789" s="4" t="s">
        <v>241</v>
      </c>
      <c r="CT2789" s="4">
        <v>0</v>
      </c>
      <c r="CU2789" s="4" t="s">
        <v>262</v>
      </c>
      <c r="CV2789" s="4" t="s">
        <v>263</v>
      </c>
      <c r="CW2789" s="4" t="s">
        <v>263</v>
      </c>
      <c r="CX2789" s="4" t="s">
        <v>264</v>
      </c>
      <c r="DA2789" s="6">
        <f>1</f>
        <v>1</v>
      </c>
      <c r="DC2789" s="4" t="s">
        <v>325</v>
      </c>
      <c r="DD2789" s="4" t="s">
        <v>241</v>
      </c>
      <c r="DF2789" s="4" t="s">
        <v>325</v>
      </c>
      <c r="DG2789" s="6">
        <f>53</f>
        <v>53</v>
      </c>
      <c r="DI2789" s="4" t="s">
        <v>241</v>
      </c>
      <c r="DJ2789" s="4" t="s">
        <v>241</v>
      </c>
      <c r="DK2789" s="4" t="s">
        <v>241</v>
      </c>
      <c r="DL2789" s="4" t="s">
        <v>241</v>
      </c>
      <c r="DP2789" s="4" t="s">
        <v>241</v>
      </c>
      <c r="DQ2789" s="4" t="s">
        <v>241</v>
      </c>
      <c r="DR2789" s="4" t="s">
        <v>241</v>
      </c>
      <c r="DS2789" s="4" t="s">
        <v>241</v>
      </c>
      <c r="DV2789" s="4" t="s">
        <v>426</v>
      </c>
      <c r="DW2789" s="4" t="s">
        <v>656</v>
      </c>
      <c r="HO2789" s="4" t="s">
        <v>267</v>
      </c>
    </row>
    <row r="2790" spans="1:223" ht="19.5" customHeight="1" x14ac:dyDescent="0.4">
      <c r="A2790" s="4">
        <v>1</v>
      </c>
      <c r="B2790" s="4" t="s">
        <v>239</v>
      </c>
      <c r="C2790" s="4">
        <v>4493</v>
      </c>
      <c r="D2790" s="4">
        <v>1</v>
      </c>
      <c r="E2790" s="4">
        <v>1</v>
      </c>
      <c r="F2790" s="4" t="s">
        <v>268</v>
      </c>
      <c r="G2790" s="4" t="s">
        <v>241</v>
      </c>
      <c r="H2790" s="4" t="s">
        <v>241</v>
      </c>
      <c r="I2790" s="4" t="s">
        <v>424</v>
      </c>
      <c r="J2790" s="4" t="s">
        <v>274</v>
      </c>
      <c r="K2790" s="4" t="s">
        <v>251</v>
      </c>
      <c r="L2790" s="4" t="s">
        <v>423</v>
      </c>
      <c r="M2790" s="5" t="s">
        <v>4031</v>
      </c>
      <c r="N2790" s="6">
        <f>692</f>
        <v>692</v>
      </c>
      <c r="O2790" s="4" t="s">
        <v>265</v>
      </c>
      <c r="P2790" s="6">
        <f>1</f>
        <v>1</v>
      </c>
      <c r="Q2790" s="6">
        <f>0</f>
        <v>0</v>
      </c>
      <c r="S2790" s="6">
        <f>0</f>
        <v>0</v>
      </c>
      <c r="T2790" s="6">
        <f>1</f>
        <v>1</v>
      </c>
      <c r="U2790" s="5" t="s">
        <v>245</v>
      </c>
      <c r="V2790" s="4" t="s">
        <v>270</v>
      </c>
      <c r="W2790" s="4" t="s">
        <v>271</v>
      </c>
      <c r="X2790" s="4" t="s">
        <v>273</v>
      </c>
      <c r="Y2790" s="4" t="s">
        <v>241</v>
      </c>
      <c r="AB2790" s="4" t="s">
        <v>241</v>
      </c>
      <c r="AD2790" s="5" t="s">
        <v>241</v>
      </c>
      <c r="AG2790" s="5" t="s">
        <v>246</v>
      </c>
      <c r="AH2790" s="4" t="s">
        <v>241</v>
      </c>
      <c r="AI2790" s="4" t="s">
        <v>247</v>
      </c>
      <c r="AJ2790" s="4" t="s">
        <v>248</v>
      </c>
      <c r="AZ2790" s="4" t="s">
        <v>249</v>
      </c>
      <c r="BA2790" s="4" t="s">
        <v>241</v>
      </c>
      <c r="BB2790" s="4" t="s">
        <v>250</v>
      </c>
      <c r="BC2790" s="4" t="s">
        <v>241</v>
      </c>
      <c r="BD2790" s="4" t="s">
        <v>252</v>
      </c>
      <c r="BE2790" s="4" t="s">
        <v>241</v>
      </c>
      <c r="BI2790" s="4" t="s">
        <v>253</v>
      </c>
      <c r="BJ2790" s="5" t="s">
        <v>246</v>
      </c>
      <c r="BK2790" s="4" t="s">
        <v>254</v>
      </c>
      <c r="BL2790" s="4" t="s">
        <v>255</v>
      </c>
      <c r="BM2790" s="4" t="s">
        <v>241</v>
      </c>
      <c r="BN2790" s="6">
        <f>0</f>
        <v>0</v>
      </c>
      <c r="BO2790" s="6">
        <f>0</f>
        <v>0</v>
      </c>
      <c r="BP2790" s="4" t="s">
        <v>256</v>
      </c>
      <c r="BQ2790" s="4" t="s">
        <v>257</v>
      </c>
      <c r="CE2790" s="4" t="s">
        <v>241</v>
      </c>
      <c r="CF2790" s="4" t="s">
        <v>241</v>
      </c>
      <c r="CJ2790" s="4" t="s">
        <v>276</v>
      </c>
      <c r="CK2790" s="4" t="s">
        <v>259</v>
      </c>
      <c r="CL2790" s="4" t="s">
        <v>241</v>
      </c>
      <c r="CO2790" s="5" t="s">
        <v>260</v>
      </c>
      <c r="CP2790" s="4" t="s">
        <v>241</v>
      </c>
      <c r="CQ2790" s="4" t="s">
        <v>261</v>
      </c>
      <c r="CR2790" s="4" t="s">
        <v>241</v>
      </c>
      <c r="CS2790" s="4" t="s">
        <v>241</v>
      </c>
      <c r="CT2790" s="4">
        <v>0</v>
      </c>
      <c r="CU2790" s="4" t="s">
        <v>262</v>
      </c>
      <c r="CV2790" s="4" t="s">
        <v>263</v>
      </c>
      <c r="CW2790" s="4" t="s">
        <v>263</v>
      </c>
      <c r="CX2790" s="4" t="s">
        <v>264</v>
      </c>
      <c r="DA2790" s="6">
        <f>1</f>
        <v>1</v>
      </c>
      <c r="DC2790" s="4" t="s">
        <v>325</v>
      </c>
      <c r="DD2790" s="4" t="s">
        <v>241</v>
      </c>
      <c r="DF2790" s="4" t="s">
        <v>325</v>
      </c>
      <c r="DG2790" s="6">
        <f>692</f>
        <v>692</v>
      </c>
      <c r="DI2790" s="4" t="s">
        <v>241</v>
      </c>
      <c r="DJ2790" s="4" t="s">
        <v>241</v>
      </c>
      <c r="DK2790" s="4" t="s">
        <v>241</v>
      </c>
      <c r="DL2790" s="4" t="s">
        <v>241</v>
      </c>
      <c r="DP2790" s="4" t="s">
        <v>241</v>
      </c>
      <c r="DQ2790" s="4" t="s">
        <v>241</v>
      </c>
      <c r="DR2790" s="4" t="s">
        <v>241</v>
      </c>
      <c r="DS2790" s="4" t="s">
        <v>241</v>
      </c>
      <c r="DV2790" s="4" t="s">
        <v>426</v>
      </c>
      <c r="DW2790" s="4" t="s">
        <v>2304</v>
      </c>
      <c r="HO2790" s="4" t="s">
        <v>267</v>
      </c>
    </row>
    <row r="2791" spans="1:223" ht="19.5" customHeight="1" x14ac:dyDescent="0.4">
      <c r="A2791" s="4">
        <v>1</v>
      </c>
      <c r="B2791" s="4" t="s">
        <v>239</v>
      </c>
      <c r="C2791" s="4">
        <v>4494</v>
      </c>
      <c r="D2791" s="4">
        <v>1</v>
      </c>
      <c r="E2791" s="4">
        <v>1</v>
      </c>
      <c r="F2791" s="4" t="s">
        <v>268</v>
      </c>
      <c r="G2791" s="4" t="s">
        <v>241</v>
      </c>
      <c r="H2791" s="4" t="s">
        <v>241</v>
      </c>
      <c r="I2791" s="4" t="s">
        <v>424</v>
      </c>
      <c r="J2791" s="4" t="s">
        <v>274</v>
      </c>
      <c r="K2791" s="4" t="s">
        <v>251</v>
      </c>
      <c r="L2791" s="4" t="s">
        <v>423</v>
      </c>
      <c r="M2791" s="5" t="s">
        <v>3735</v>
      </c>
      <c r="N2791" s="6">
        <f>147</f>
        <v>147</v>
      </c>
      <c r="O2791" s="4" t="s">
        <v>265</v>
      </c>
      <c r="P2791" s="6">
        <f>1</f>
        <v>1</v>
      </c>
      <c r="Q2791" s="6">
        <f>0</f>
        <v>0</v>
      </c>
      <c r="S2791" s="6">
        <f>0</f>
        <v>0</v>
      </c>
      <c r="T2791" s="6">
        <f>1</f>
        <v>1</v>
      </c>
      <c r="U2791" s="5" t="s">
        <v>245</v>
      </c>
      <c r="V2791" s="4" t="s">
        <v>270</v>
      </c>
      <c r="W2791" s="4" t="s">
        <v>271</v>
      </c>
      <c r="X2791" s="4" t="s">
        <v>273</v>
      </c>
      <c r="Y2791" s="4" t="s">
        <v>241</v>
      </c>
      <c r="AB2791" s="4" t="s">
        <v>241</v>
      </c>
      <c r="AD2791" s="5" t="s">
        <v>241</v>
      </c>
      <c r="AG2791" s="5" t="s">
        <v>246</v>
      </c>
      <c r="AH2791" s="4" t="s">
        <v>241</v>
      </c>
      <c r="AI2791" s="4" t="s">
        <v>247</v>
      </c>
      <c r="AJ2791" s="4" t="s">
        <v>248</v>
      </c>
      <c r="AZ2791" s="4" t="s">
        <v>249</v>
      </c>
      <c r="BA2791" s="4" t="s">
        <v>241</v>
      </c>
      <c r="BB2791" s="4" t="s">
        <v>250</v>
      </c>
      <c r="BC2791" s="4" t="s">
        <v>241</v>
      </c>
      <c r="BD2791" s="4" t="s">
        <v>252</v>
      </c>
      <c r="BE2791" s="4" t="s">
        <v>241</v>
      </c>
      <c r="BI2791" s="4" t="s">
        <v>253</v>
      </c>
      <c r="BJ2791" s="5" t="s">
        <v>246</v>
      </c>
      <c r="BK2791" s="4" t="s">
        <v>254</v>
      </c>
      <c r="BL2791" s="4" t="s">
        <v>255</v>
      </c>
      <c r="BM2791" s="4" t="s">
        <v>241</v>
      </c>
      <c r="BN2791" s="6">
        <f>0</f>
        <v>0</v>
      </c>
      <c r="BO2791" s="6">
        <f>0</f>
        <v>0</v>
      </c>
      <c r="BP2791" s="4" t="s">
        <v>256</v>
      </c>
      <c r="BQ2791" s="4" t="s">
        <v>257</v>
      </c>
      <c r="CE2791" s="4" t="s">
        <v>241</v>
      </c>
      <c r="CF2791" s="4" t="s">
        <v>241</v>
      </c>
      <c r="CJ2791" s="4" t="s">
        <v>276</v>
      </c>
      <c r="CK2791" s="4" t="s">
        <v>259</v>
      </c>
      <c r="CL2791" s="4" t="s">
        <v>241</v>
      </c>
      <c r="CO2791" s="5" t="s">
        <v>260</v>
      </c>
      <c r="CP2791" s="4" t="s">
        <v>241</v>
      </c>
      <c r="CQ2791" s="4" t="s">
        <v>261</v>
      </c>
      <c r="CR2791" s="4" t="s">
        <v>241</v>
      </c>
      <c r="CS2791" s="4" t="s">
        <v>241</v>
      </c>
      <c r="CT2791" s="4">
        <v>0</v>
      </c>
      <c r="CU2791" s="4" t="s">
        <v>262</v>
      </c>
      <c r="CV2791" s="4" t="s">
        <v>263</v>
      </c>
      <c r="CW2791" s="4" t="s">
        <v>263</v>
      </c>
      <c r="CX2791" s="4" t="s">
        <v>264</v>
      </c>
      <c r="DA2791" s="6">
        <f>1</f>
        <v>1</v>
      </c>
      <c r="DC2791" s="4" t="s">
        <v>325</v>
      </c>
      <c r="DD2791" s="4" t="s">
        <v>241</v>
      </c>
      <c r="DF2791" s="4" t="s">
        <v>325</v>
      </c>
      <c r="DG2791" s="6">
        <f>147</f>
        <v>147</v>
      </c>
      <c r="DI2791" s="4" t="s">
        <v>241</v>
      </c>
      <c r="DJ2791" s="4" t="s">
        <v>241</v>
      </c>
      <c r="DK2791" s="4" t="s">
        <v>241</v>
      </c>
      <c r="DL2791" s="4" t="s">
        <v>241</v>
      </c>
      <c r="DP2791" s="4" t="s">
        <v>241</v>
      </c>
      <c r="DQ2791" s="4" t="s">
        <v>241</v>
      </c>
      <c r="DR2791" s="4" t="s">
        <v>241</v>
      </c>
      <c r="DS2791" s="4" t="s">
        <v>241</v>
      </c>
      <c r="DV2791" s="4" t="s">
        <v>426</v>
      </c>
      <c r="DW2791" s="4" t="s">
        <v>2302</v>
      </c>
      <c r="HO2791" s="4" t="s">
        <v>267</v>
      </c>
    </row>
    <row r="2792" spans="1:223" ht="19.5" customHeight="1" x14ac:dyDescent="0.4">
      <c r="A2792" s="4">
        <v>1</v>
      </c>
      <c r="B2792" s="4" t="s">
        <v>239</v>
      </c>
      <c r="C2792" s="4">
        <v>4495</v>
      </c>
      <c r="D2792" s="4">
        <v>1</v>
      </c>
      <c r="E2792" s="4">
        <v>1</v>
      </c>
      <c r="F2792" s="4" t="s">
        <v>268</v>
      </c>
      <c r="G2792" s="4" t="s">
        <v>241</v>
      </c>
      <c r="H2792" s="4" t="s">
        <v>241</v>
      </c>
      <c r="I2792" s="4" t="s">
        <v>424</v>
      </c>
      <c r="J2792" s="4" t="s">
        <v>274</v>
      </c>
      <c r="K2792" s="4" t="s">
        <v>251</v>
      </c>
      <c r="L2792" s="4" t="s">
        <v>423</v>
      </c>
      <c r="M2792" s="5" t="s">
        <v>3372</v>
      </c>
      <c r="N2792" s="6">
        <f>715</f>
        <v>715</v>
      </c>
      <c r="O2792" s="4" t="s">
        <v>265</v>
      </c>
      <c r="P2792" s="6">
        <f>1</f>
        <v>1</v>
      </c>
      <c r="Q2792" s="6">
        <f>0</f>
        <v>0</v>
      </c>
      <c r="S2792" s="6">
        <f>0</f>
        <v>0</v>
      </c>
      <c r="T2792" s="6">
        <f>1</f>
        <v>1</v>
      </c>
      <c r="U2792" s="5" t="s">
        <v>245</v>
      </c>
      <c r="V2792" s="4" t="s">
        <v>270</v>
      </c>
      <c r="W2792" s="4" t="s">
        <v>271</v>
      </c>
      <c r="X2792" s="4" t="s">
        <v>273</v>
      </c>
      <c r="Y2792" s="4" t="s">
        <v>241</v>
      </c>
      <c r="AB2792" s="4" t="s">
        <v>241</v>
      </c>
      <c r="AD2792" s="5" t="s">
        <v>241</v>
      </c>
      <c r="AG2792" s="5" t="s">
        <v>246</v>
      </c>
      <c r="AH2792" s="4" t="s">
        <v>241</v>
      </c>
      <c r="AI2792" s="4" t="s">
        <v>247</v>
      </c>
      <c r="AJ2792" s="4" t="s">
        <v>248</v>
      </c>
      <c r="AZ2792" s="4" t="s">
        <v>249</v>
      </c>
      <c r="BA2792" s="4" t="s">
        <v>241</v>
      </c>
      <c r="BB2792" s="4" t="s">
        <v>250</v>
      </c>
      <c r="BC2792" s="4" t="s">
        <v>241</v>
      </c>
      <c r="BD2792" s="4" t="s">
        <v>252</v>
      </c>
      <c r="BE2792" s="4" t="s">
        <v>241</v>
      </c>
      <c r="BI2792" s="4" t="s">
        <v>253</v>
      </c>
      <c r="BJ2792" s="5" t="s">
        <v>246</v>
      </c>
      <c r="BK2792" s="4" t="s">
        <v>254</v>
      </c>
      <c r="BL2792" s="4" t="s">
        <v>255</v>
      </c>
      <c r="BM2792" s="4" t="s">
        <v>241</v>
      </c>
      <c r="BN2792" s="6">
        <f>0</f>
        <v>0</v>
      </c>
      <c r="BO2792" s="6">
        <f>0</f>
        <v>0</v>
      </c>
      <c r="BP2792" s="4" t="s">
        <v>256</v>
      </c>
      <c r="BQ2792" s="4" t="s">
        <v>257</v>
      </c>
      <c r="CE2792" s="4" t="s">
        <v>241</v>
      </c>
      <c r="CF2792" s="4" t="s">
        <v>241</v>
      </c>
      <c r="CJ2792" s="4" t="s">
        <v>276</v>
      </c>
      <c r="CK2792" s="4" t="s">
        <v>259</v>
      </c>
      <c r="CL2792" s="4" t="s">
        <v>241</v>
      </c>
      <c r="CO2792" s="5" t="s">
        <v>260</v>
      </c>
      <c r="CP2792" s="4" t="s">
        <v>241</v>
      </c>
      <c r="CQ2792" s="4" t="s">
        <v>261</v>
      </c>
      <c r="CR2792" s="4" t="s">
        <v>241</v>
      </c>
      <c r="CS2792" s="4" t="s">
        <v>241</v>
      </c>
      <c r="CT2792" s="4">
        <v>0</v>
      </c>
      <c r="CU2792" s="4" t="s">
        <v>262</v>
      </c>
      <c r="CV2792" s="4" t="s">
        <v>263</v>
      </c>
      <c r="CW2792" s="4" t="s">
        <v>263</v>
      </c>
      <c r="CX2792" s="4" t="s">
        <v>264</v>
      </c>
      <c r="DA2792" s="6">
        <f>1</f>
        <v>1</v>
      </c>
      <c r="DC2792" s="4" t="s">
        <v>325</v>
      </c>
      <c r="DD2792" s="4" t="s">
        <v>241</v>
      </c>
      <c r="DF2792" s="4" t="s">
        <v>325</v>
      </c>
      <c r="DG2792" s="6">
        <f>715</f>
        <v>715</v>
      </c>
      <c r="DI2792" s="4" t="s">
        <v>241</v>
      </c>
      <c r="DJ2792" s="4" t="s">
        <v>241</v>
      </c>
      <c r="DK2792" s="4" t="s">
        <v>241</v>
      </c>
      <c r="DL2792" s="4" t="s">
        <v>241</v>
      </c>
      <c r="DP2792" s="4" t="s">
        <v>241</v>
      </c>
      <c r="DQ2792" s="4" t="s">
        <v>241</v>
      </c>
      <c r="DR2792" s="4" t="s">
        <v>241</v>
      </c>
      <c r="DS2792" s="4" t="s">
        <v>241</v>
      </c>
      <c r="DV2792" s="4" t="s">
        <v>426</v>
      </c>
      <c r="DW2792" s="4" t="s">
        <v>2298</v>
      </c>
      <c r="HO2792" s="4" t="s">
        <v>267</v>
      </c>
    </row>
    <row r="2793" spans="1:223" ht="19.5" customHeight="1" x14ac:dyDescent="0.4">
      <c r="A2793" s="4">
        <v>1</v>
      </c>
      <c r="B2793" s="4" t="s">
        <v>239</v>
      </c>
      <c r="C2793" s="4">
        <v>4496</v>
      </c>
      <c r="D2793" s="4">
        <v>1</v>
      </c>
      <c r="E2793" s="4">
        <v>1</v>
      </c>
      <c r="F2793" s="4" t="s">
        <v>268</v>
      </c>
      <c r="G2793" s="4" t="s">
        <v>241</v>
      </c>
      <c r="H2793" s="4" t="s">
        <v>241</v>
      </c>
      <c r="I2793" s="4" t="s">
        <v>424</v>
      </c>
      <c r="J2793" s="4" t="s">
        <v>274</v>
      </c>
      <c r="K2793" s="4" t="s">
        <v>251</v>
      </c>
      <c r="L2793" s="4" t="s">
        <v>423</v>
      </c>
      <c r="M2793" s="5" t="s">
        <v>546</v>
      </c>
      <c r="N2793" s="6">
        <f>61</f>
        <v>61</v>
      </c>
      <c r="O2793" s="4" t="s">
        <v>265</v>
      </c>
      <c r="P2793" s="6">
        <f>1</f>
        <v>1</v>
      </c>
      <c r="Q2793" s="6">
        <f>0</f>
        <v>0</v>
      </c>
      <c r="S2793" s="6">
        <f>0</f>
        <v>0</v>
      </c>
      <c r="T2793" s="6">
        <f>1</f>
        <v>1</v>
      </c>
      <c r="U2793" s="5" t="s">
        <v>245</v>
      </c>
      <c r="V2793" s="4" t="s">
        <v>270</v>
      </c>
      <c r="W2793" s="4" t="s">
        <v>271</v>
      </c>
      <c r="X2793" s="4" t="s">
        <v>273</v>
      </c>
      <c r="Y2793" s="4" t="s">
        <v>241</v>
      </c>
      <c r="AB2793" s="4" t="s">
        <v>241</v>
      </c>
      <c r="AD2793" s="5" t="s">
        <v>241</v>
      </c>
      <c r="AG2793" s="5" t="s">
        <v>246</v>
      </c>
      <c r="AH2793" s="4" t="s">
        <v>241</v>
      </c>
      <c r="AI2793" s="4" t="s">
        <v>247</v>
      </c>
      <c r="AJ2793" s="4" t="s">
        <v>248</v>
      </c>
      <c r="AZ2793" s="4" t="s">
        <v>249</v>
      </c>
      <c r="BA2793" s="4" t="s">
        <v>241</v>
      </c>
      <c r="BB2793" s="4" t="s">
        <v>250</v>
      </c>
      <c r="BC2793" s="4" t="s">
        <v>241</v>
      </c>
      <c r="BD2793" s="4" t="s">
        <v>252</v>
      </c>
      <c r="BE2793" s="4" t="s">
        <v>241</v>
      </c>
      <c r="BI2793" s="4" t="s">
        <v>253</v>
      </c>
      <c r="BJ2793" s="5" t="s">
        <v>246</v>
      </c>
      <c r="BK2793" s="4" t="s">
        <v>254</v>
      </c>
      <c r="BL2793" s="4" t="s">
        <v>255</v>
      </c>
      <c r="BM2793" s="4" t="s">
        <v>241</v>
      </c>
      <c r="BN2793" s="6">
        <f>0</f>
        <v>0</v>
      </c>
      <c r="BO2793" s="6">
        <f>0</f>
        <v>0</v>
      </c>
      <c r="BP2793" s="4" t="s">
        <v>256</v>
      </c>
      <c r="BQ2793" s="4" t="s">
        <v>257</v>
      </c>
      <c r="CE2793" s="4" t="s">
        <v>241</v>
      </c>
      <c r="CF2793" s="4" t="s">
        <v>241</v>
      </c>
      <c r="CJ2793" s="4" t="s">
        <v>276</v>
      </c>
      <c r="CK2793" s="4" t="s">
        <v>259</v>
      </c>
      <c r="CL2793" s="4" t="s">
        <v>241</v>
      </c>
      <c r="CO2793" s="5" t="s">
        <v>260</v>
      </c>
      <c r="CP2793" s="4" t="s">
        <v>241</v>
      </c>
      <c r="CQ2793" s="4" t="s">
        <v>261</v>
      </c>
      <c r="CR2793" s="4" t="s">
        <v>241</v>
      </c>
      <c r="CS2793" s="4" t="s">
        <v>241</v>
      </c>
      <c r="CT2793" s="4">
        <v>0</v>
      </c>
      <c r="CU2793" s="4" t="s">
        <v>262</v>
      </c>
      <c r="CV2793" s="4" t="s">
        <v>263</v>
      </c>
      <c r="CW2793" s="4" t="s">
        <v>263</v>
      </c>
      <c r="CX2793" s="4" t="s">
        <v>264</v>
      </c>
      <c r="DA2793" s="6">
        <f>1</f>
        <v>1</v>
      </c>
      <c r="DC2793" s="4" t="s">
        <v>325</v>
      </c>
      <c r="DD2793" s="4" t="s">
        <v>241</v>
      </c>
      <c r="DF2793" s="4" t="s">
        <v>325</v>
      </c>
      <c r="DG2793" s="6">
        <f>61</f>
        <v>61</v>
      </c>
      <c r="DI2793" s="4" t="s">
        <v>241</v>
      </c>
      <c r="DJ2793" s="4" t="s">
        <v>241</v>
      </c>
      <c r="DK2793" s="4" t="s">
        <v>241</v>
      </c>
      <c r="DL2793" s="4" t="s">
        <v>241</v>
      </c>
      <c r="DP2793" s="4" t="s">
        <v>241</v>
      </c>
      <c r="DQ2793" s="4" t="s">
        <v>241</v>
      </c>
      <c r="DR2793" s="4" t="s">
        <v>241</v>
      </c>
      <c r="DS2793" s="4" t="s">
        <v>241</v>
      </c>
      <c r="DV2793" s="4" t="s">
        <v>426</v>
      </c>
      <c r="DW2793" s="4" t="s">
        <v>547</v>
      </c>
      <c r="HO2793" s="4" t="s">
        <v>267</v>
      </c>
    </row>
    <row r="2794" spans="1:223" ht="19.5" customHeight="1" x14ac:dyDescent="0.4">
      <c r="A2794" s="4">
        <v>1</v>
      </c>
      <c r="B2794" s="4" t="s">
        <v>239</v>
      </c>
      <c r="C2794" s="4">
        <v>4497</v>
      </c>
      <c r="D2794" s="4">
        <v>1</v>
      </c>
      <c r="E2794" s="4">
        <v>1</v>
      </c>
      <c r="F2794" s="4" t="s">
        <v>268</v>
      </c>
      <c r="G2794" s="4" t="s">
        <v>241</v>
      </c>
      <c r="H2794" s="4" t="s">
        <v>241</v>
      </c>
      <c r="I2794" s="4" t="s">
        <v>424</v>
      </c>
      <c r="J2794" s="4" t="s">
        <v>274</v>
      </c>
      <c r="K2794" s="4" t="s">
        <v>251</v>
      </c>
      <c r="L2794" s="4" t="s">
        <v>423</v>
      </c>
      <c r="M2794" s="5" t="s">
        <v>4134</v>
      </c>
      <c r="N2794" s="6">
        <f>129</f>
        <v>129</v>
      </c>
      <c r="O2794" s="4" t="s">
        <v>265</v>
      </c>
      <c r="P2794" s="6">
        <f>1</f>
        <v>1</v>
      </c>
      <c r="Q2794" s="6">
        <f>0</f>
        <v>0</v>
      </c>
      <c r="S2794" s="6">
        <f>0</f>
        <v>0</v>
      </c>
      <c r="T2794" s="6">
        <f>1</f>
        <v>1</v>
      </c>
      <c r="U2794" s="5" t="s">
        <v>245</v>
      </c>
      <c r="V2794" s="4" t="s">
        <v>270</v>
      </c>
      <c r="W2794" s="4" t="s">
        <v>271</v>
      </c>
      <c r="X2794" s="4" t="s">
        <v>273</v>
      </c>
      <c r="Y2794" s="4" t="s">
        <v>241</v>
      </c>
      <c r="AB2794" s="4" t="s">
        <v>241</v>
      </c>
      <c r="AD2794" s="5" t="s">
        <v>241</v>
      </c>
      <c r="AG2794" s="5" t="s">
        <v>246</v>
      </c>
      <c r="AH2794" s="4" t="s">
        <v>241</v>
      </c>
      <c r="AI2794" s="4" t="s">
        <v>247</v>
      </c>
      <c r="AJ2794" s="4" t="s">
        <v>248</v>
      </c>
      <c r="AZ2794" s="4" t="s">
        <v>249</v>
      </c>
      <c r="BA2794" s="4" t="s">
        <v>241</v>
      </c>
      <c r="BB2794" s="4" t="s">
        <v>250</v>
      </c>
      <c r="BC2794" s="4" t="s">
        <v>241</v>
      </c>
      <c r="BD2794" s="4" t="s">
        <v>252</v>
      </c>
      <c r="BE2794" s="4" t="s">
        <v>241</v>
      </c>
      <c r="BI2794" s="4" t="s">
        <v>253</v>
      </c>
      <c r="BJ2794" s="5" t="s">
        <v>246</v>
      </c>
      <c r="BK2794" s="4" t="s">
        <v>254</v>
      </c>
      <c r="BL2794" s="4" t="s">
        <v>255</v>
      </c>
      <c r="BM2794" s="4" t="s">
        <v>241</v>
      </c>
      <c r="BN2794" s="6">
        <f>0</f>
        <v>0</v>
      </c>
      <c r="BO2794" s="6">
        <f>0</f>
        <v>0</v>
      </c>
      <c r="BP2794" s="4" t="s">
        <v>256</v>
      </c>
      <c r="BQ2794" s="4" t="s">
        <v>257</v>
      </c>
      <c r="CE2794" s="4" t="s">
        <v>241</v>
      </c>
      <c r="CF2794" s="4" t="s">
        <v>241</v>
      </c>
      <c r="CJ2794" s="4" t="s">
        <v>276</v>
      </c>
      <c r="CK2794" s="4" t="s">
        <v>259</v>
      </c>
      <c r="CL2794" s="4" t="s">
        <v>241</v>
      </c>
      <c r="CO2794" s="5" t="s">
        <v>260</v>
      </c>
      <c r="CP2794" s="4" t="s">
        <v>241</v>
      </c>
      <c r="CQ2794" s="4" t="s">
        <v>261</v>
      </c>
      <c r="CR2794" s="4" t="s">
        <v>241</v>
      </c>
      <c r="CS2794" s="4" t="s">
        <v>241</v>
      </c>
      <c r="CT2794" s="4">
        <v>0</v>
      </c>
      <c r="CU2794" s="4" t="s">
        <v>262</v>
      </c>
      <c r="CV2794" s="4" t="s">
        <v>263</v>
      </c>
      <c r="CW2794" s="4" t="s">
        <v>263</v>
      </c>
      <c r="CX2794" s="4" t="s">
        <v>264</v>
      </c>
      <c r="DA2794" s="6">
        <f>1</f>
        <v>1</v>
      </c>
      <c r="DC2794" s="4" t="s">
        <v>325</v>
      </c>
      <c r="DD2794" s="4" t="s">
        <v>241</v>
      </c>
      <c r="DF2794" s="4" t="s">
        <v>325</v>
      </c>
      <c r="DG2794" s="6">
        <f>129</f>
        <v>129</v>
      </c>
      <c r="DI2794" s="4" t="s">
        <v>241</v>
      </c>
      <c r="DJ2794" s="4" t="s">
        <v>241</v>
      </c>
      <c r="DK2794" s="4" t="s">
        <v>241</v>
      </c>
      <c r="DL2794" s="4" t="s">
        <v>241</v>
      </c>
      <c r="DP2794" s="4" t="s">
        <v>241</v>
      </c>
      <c r="DQ2794" s="4" t="s">
        <v>241</v>
      </c>
      <c r="DR2794" s="4" t="s">
        <v>241</v>
      </c>
      <c r="DS2794" s="4" t="s">
        <v>241</v>
      </c>
      <c r="DV2794" s="4" t="s">
        <v>426</v>
      </c>
      <c r="DW2794" s="4" t="s">
        <v>2295</v>
      </c>
      <c r="HO2794" s="4" t="s">
        <v>267</v>
      </c>
    </row>
    <row r="2795" spans="1:223" ht="19.5" customHeight="1" x14ac:dyDescent="0.4">
      <c r="A2795" s="4">
        <v>1</v>
      </c>
      <c r="B2795" s="4" t="s">
        <v>239</v>
      </c>
      <c r="C2795" s="4">
        <v>4498</v>
      </c>
      <c r="D2795" s="4">
        <v>1</v>
      </c>
      <c r="E2795" s="4">
        <v>1</v>
      </c>
      <c r="F2795" s="4" t="s">
        <v>268</v>
      </c>
      <c r="G2795" s="4" t="s">
        <v>241</v>
      </c>
      <c r="H2795" s="4" t="s">
        <v>241</v>
      </c>
      <c r="I2795" s="4" t="s">
        <v>424</v>
      </c>
      <c r="J2795" s="4" t="s">
        <v>274</v>
      </c>
      <c r="K2795" s="4" t="s">
        <v>251</v>
      </c>
      <c r="L2795" s="4" t="s">
        <v>423</v>
      </c>
      <c r="M2795" s="5" t="s">
        <v>3911</v>
      </c>
      <c r="N2795" s="6">
        <f>239</f>
        <v>239</v>
      </c>
      <c r="O2795" s="4" t="s">
        <v>265</v>
      </c>
      <c r="P2795" s="6">
        <f>1</f>
        <v>1</v>
      </c>
      <c r="Q2795" s="6">
        <f>0</f>
        <v>0</v>
      </c>
      <c r="S2795" s="6">
        <f>0</f>
        <v>0</v>
      </c>
      <c r="T2795" s="6">
        <f>1</f>
        <v>1</v>
      </c>
      <c r="U2795" s="5" t="s">
        <v>245</v>
      </c>
      <c r="V2795" s="4" t="s">
        <v>270</v>
      </c>
      <c r="W2795" s="4" t="s">
        <v>271</v>
      </c>
      <c r="X2795" s="4" t="s">
        <v>273</v>
      </c>
      <c r="Y2795" s="4" t="s">
        <v>241</v>
      </c>
      <c r="AB2795" s="4" t="s">
        <v>241</v>
      </c>
      <c r="AD2795" s="5" t="s">
        <v>241</v>
      </c>
      <c r="AG2795" s="5" t="s">
        <v>246</v>
      </c>
      <c r="AH2795" s="4" t="s">
        <v>241</v>
      </c>
      <c r="AI2795" s="4" t="s">
        <v>247</v>
      </c>
      <c r="AJ2795" s="4" t="s">
        <v>248</v>
      </c>
      <c r="AZ2795" s="4" t="s">
        <v>249</v>
      </c>
      <c r="BA2795" s="4" t="s">
        <v>241</v>
      </c>
      <c r="BB2795" s="4" t="s">
        <v>250</v>
      </c>
      <c r="BC2795" s="4" t="s">
        <v>241</v>
      </c>
      <c r="BD2795" s="4" t="s">
        <v>252</v>
      </c>
      <c r="BE2795" s="4" t="s">
        <v>241</v>
      </c>
      <c r="BI2795" s="4" t="s">
        <v>253</v>
      </c>
      <c r="BJ2795" s="5" t="s">
        <v>246</v>
      </c>
      <c r="BK2795" s="4" t="s">
        <v>254</v>
      </c>
      <c r="BL2795" s="4" t="s">
        <v>255</v>
      </c>
      <c r="BM2795" s="4" t="s">
        <v>241</v>
      </c>
      <c r="BN2795" s="6">
        <f>0</f>
        <v>0</v>
      </c>
      <c r="BO2795" s="6">
        <f>0</f>
        <v>0</v>
      </c>
      <c r="BP2795" s="4" t="s">
        <v>256</v>
      </c>
      <c r="BQ2795" s="4" t="s">
        <v>257</v>
      </c>
      <c r="CE2795" s="4" t="s">
        <v>241</v>
      </c>
      <c r="CF2795" s="4" t="s">
        <v>241</v>
      </c>
      <c r="CJ2795" s="4" t="s">
        <v>276</v>
      </c>
      <c r="CK2795" s="4" t="s">
        <v>259</v>
      </c>
      <c r="CL2795" s="4" t="s">
        <v>241</v>
      </c>
      <c r="CO2795" s="5" t="s">
        <v>260</v>
      </c>
      <c r="CP2795" s="4" t="s">
        <v>241</v>
      </c>
      <c r="CQ2795" s="4" t="s">
        <v>261</v>
      </c>
      <c r="CR2795" s="4" t="s">
        <v>241</v>
      </c>
      <c r="CS2795" s="4" t="s">
        <v>241</v>
      </c>
      <c r="CT2795" s="4">
        <v>0</v>
      </c>
      <c r="CU2795" s="4" t="s">
        <v>262</v>
      </c>
      <c r="CV2795" s="4" t="s">
        <v>263</v>
      </c>
      <c r="CW2795" s="4" t="s">
        <v>263</v>
      </c>
      <c r="CX2795" s="4" t="s">
        <v>264</v>
      </c>
      <c r="DA2795" s="6">
        <f>1</f>
        <v>1</v>
      </c>
      <c r="DC2795" s="4" t="s">
        <v>325</v>
      </c>
      <c r="DD2795" s="4" t="s">
        <v>241</v>
      </c>
      <c r="DF2795" s="4" t="s">
        <v>325</v>
      </c>
      <c r="DG2795" s="6">
        <f>239</f>
        <v>239</v>
      </c>
      <c r="DI2795" s="4" t="s">
        <v>241</v>
      </c>
      <c r="DJ2795" s="4" t="s">
        <v>241</v>
      </c>
      <c r="DK2795" s="4" t="s">
        <v>241</v>
      </c>
      <c r="DL2795" s="4" t="s">
        <v>241</v>
      </c>
      <c r="DP2795" s="4" t="s">
        <v>241</v>
      </c>
      <c r="DQ2795" s="4" t="s">
        <v>241</v>
      </c>
      <c r="DR2795" s="4" t="s">
        <v>241</v>
      </c>
      <c r="DS2795" s="4" t="s">
        <v>241</v>
      </c>
      <c r="DV2795" s="4" t="s">
        <v>426</v>
      </c>
      <c r="DW2795" s="4" t="s">
        <v>2293</v>
      </c>
      <c r="HO2795" s="4" t="s">
        <v>267</v>
      </c>
    </row>
    <row r="2796" spans="1:223" ht="19.5" customHeight="1" x14ac:dyDescent="0.4">
      <c r="A2796" s="4">
        <v>1</v>
      </c>
      <c r="B2796" s="4" t="s">
        <v>239</v>
      </c>
      <c r="C2796" s="4">
        <v>4499</v>
      </c>
      <c r="D2796" s="4">
        <v>1</v>
      </c>
      <c r="E2796" s="4">
        <v>1</v>
      </c>
      <c r="F2796" s="4" t="s">
        <v>268</v>
      </c>
      <c r="G2796" s="4" t="s">
        <v>241</v>
      </c>
      <c r="H2796" s="4" t="s">
        <v>241</v>
      </c>
      <c r="I2796" s="4" t="s">
        <v>424</v>
      </c>
      <c r="J2796" s="4" t="s">
        <v>274</v>
      </c>
      <c r="K2796" s="4" t="s">
        <v>251</v>
      </c>
      <c r="L2796" s="4" t="s">
        <v>423</v>
      </c>
      <c r="M2796" s="5" t="s">
        <v>3730</v>
      </c>
      <c r="N2796" s="6">
        <f>1091</f>
        <v>1091</v>
      </c>
      <c r="O2796" s="4" t="s">
        <v>265</v>
      </c>
      <c r="P2796" s="6">
        <f>1</f>
        <v>1</v>
      </c>
      <c r="Q2796" s="6">
        <f>0</f>
        <v>0</v>
      </c>
      <c r="S2796" s="6">
        <f>0</f>
        <v>0</v>
      </c>
      <c r="T2796" s="6">
        <f>1</f>
        <v>1</v>
      </c>
      <c r="U2796" s="5" t="s">
        <v>245</v>
      </c>
      <c r="V2796" s="4" t="s">
        <v>270</v>
      </c>
      <c r="W2796" s="4" t="s">
        <v>271</v>
      </c>
      <c r="X2796" s="4" t="s">
        <v>273</v>
      </c>
      <c r="Y2796" s="4" t="s">
        <v>241</v>
      </c>
      <c r="AB2796" s="4" t="s">
        <v>241</v>
      </c>
      <c r="AD2796" s="5" t="s">
        <v>241</v>
      </c>
      <c r="AG2796" s="5" t="s">
        <v>246</v>
      </c>
      <c r="AH2796" s="4" t="s">
        <v>241</v>
      </c>
      <c r="AI2796" s="4" t="s">
        <v>247</v>
      </c>
      <c r="AJ2796" s="4" t="s">
        <v>248</v>
      </c>
      <c r="AZ2796" s="4" t="s">
        <v>249</v>
      </c>
      <c r="BA2796" s="4" t="s">
        <v>241</v>
      </c>
      <c r="BB2796" s="4" t="s">
        <v>250</v>
      </c>
      <c r="BC2796" s="4" t="s">
        <v>241</v>
      </c>
      <c r="BD2796" s="4" t="s">
        <v>252</v>
      </c>
      <c r="BE2796" s="4" t="s">
        <v>241</v>
      </c>
      <c r="BI2796" s="4" t="s">
        <v>253</v>
      </c>
      <c r="BJ2796" s="5" t="s">
        <v>246</v>
      </c>
      <c r="BK2796" s="4" t="s">
        <v>254</v>
      </c>
      <c r="BL2796" s="4" t="s">
        <v>255</v>
      </c>
      <c r="BM2796" s="4" t="s">
        <v>241</v>
      </c>
      <c r="BN2796" s="6">
        <f>0</f>
        <v>0</v>
      </c>
      <c r="BO2796" s="6">
        <f>0</f>
        <v>0</v>
      </c>
      <c r="BP2796" s="4" t="s">
        <v>256</v>
      </c>
      <c r="BQ2796" s="4" t="s">
        <v>257</v>
      </c>
      <c r="CE2796" s="4" t="s">
        <v>241</v>
      </c>
      <c r="CF2796" s="4" t="s">
        <v>241</v>
      </c>
      <c r="CJ2796" s="4" t="s">
        <v>276</v>
      </c>
      <c r="CK2796" s="4" t="s">
        <v>259</v>
      </c>
      <c r="CL2796" s="4" t="s">
        <v>241</v>
      </c>
      <c r="CO2796" s="5" t="s">
        <v>260</v>
      </c>
      <c r="CP2796" s="4" t="s">
        <v>241</v>
      </c>
      <c r="CQ2796" s="4" t="s">
        <v>261</v>
      </c>
      <c r="CR2796" s="4" t="s">
        <v>241</v>
      </c>
      <c r="CS2796" s="4" t="s">
        <v>241</v>
      </c>
      <c r="CT2796" s="4">
        <v>0</v>
      </c>
      <c r="CU2796" s="4" t="s">
        <v>262</v>
      </c>
      <c r="CV2796" s="4" t="s">
        <v>263</v>
      </c>
      <c r="CW2796" s="4" t="s">
        <v>263</v>
      </c>
      <c r="CX2796" s="4" t="s">
        <v>264</v>
      </c>
      <c r="DA2796" s="6">
        <f>1</f>
        <v>1</v>
      </c>
      <c r="DC2796" s="4" t="s">
        <v>325</v>
      </c>
      <c r="DD2796" s="4" t="s">
        <v>241</v>
      </c>
      <c r="DF2796" s="4" t="s">
        <v>325</v>
      </c>
      <c r="DG2796" s="6">
        <f>1091</f>
        <v>1091</v>
      </c>
      <c r="DI2796" s="4" t="s">
        <v>241</v>
      </c>
      <c r="DJ2796" s="4" t="s">
        <v>241</v>
      </c>
      <c r="DK2796" s="4" t="s">
        <v>241</v>
      </c>
      <c r="DL2796" s="4" t="s">
        <v>241</v>
      </c>
      <c r="DP2796" s="4" t="s">
        <v>241</v>
      </c>
      <c r="DQ2796" s="4" t="s">
        <v>241</v>
      </c>
      <c r="DR2796" s="4" t="s">
        <v>241</v>
      </c>
      <c r="DS2796" s="4" t="s">
        <v>241</v>
      </c>
      <c r="DV2796" s="4" t="s">
        <v>426</v>
      </c>
      <c r="DW2796" s="4" t="s">
        <v>2291</v>
      </c>
      <c r="HO2796" s="4" t="s">
        <v>267</v>
      </c>
    </row>
    <row r="2797" spans="1:223" ht="19.5" customHeight="1" x14ac:dyDescent="0.4">
      <c r="A2797" s="4">
        <v>1</v>
      </c>
      <c r="B2797" s="4" t="s">
        <v>239</v>
      </c>
      <c r="C2797" s="4">
        <v>4500</v>
      </c>
      <c r="D2797" s="4">
        <v>1</v>
      </c>
      <c r="E2797" s="4">
        <v>1</v>
      </c>
      <c r="F2797" s="4" t="s">
        <v>268</v>
      </c>
      <c r="G2797" s="4" t="s">
        <v>241</v>
      </c>
      <c r="H2797" s="4" t="s">
        <v>241</v>
      </c>
      <c r="I2797" s="4" t="s">
        <v>424</v>
      </c>
      <c r="J2797" s="4" t="s">
        <v>274</v>
      </c>
      <c r="K2797" s="4" t="s">
        <v>251</v>
      </c>
      <c r="L2797" s="4" t="s">
        <v>423</v>
      </c>
      <c r="M2797" s="5" t="s">
        <v>3620</v>
      </c>
      <c r="N2797" s="6">
        <f>1528</f>
        <v>1528</v>
      </c>
      <c r="O2797" s="4" t="s">
        <v>265</v>
      </c>
      <c r="P2797" s="6">
        <f>1</f>
        <v>1</v>
      </c>
      <c r="Q2797" s="6">
        <f>0</f>
        <v>0</v>
      </c>
      <c r="S2797" s="6">
        <f>0</f>
        <v>0</v>
      </c>
      <c r="T2797" s="6">
        <f>1</f>
        <v>1</v>
      </c>
      <c r="U2797" s="5" t="s">
        <v>245</v>
      </c>
      <c r="V2797" s="4" t="s">
        <v>270</v>
      </c>
      <c r="W2797" s="4" t="s">
        <v>271</v>
      </c>
      <c r="X2797" s="4" t="s">
        <v>273</v>
      </c>
      <c r="Y2797" s="4" t="s">
        <v>241</v>
      </c>
      <c r="AB2797" s="4" t="s">
        <v>241</v>
      </c>
      <c r="AD2797" s="5" t="s">
        <v>241</v>
      </c>
      <c r="AG2797" s="5" t="s">
        <v>246</v>
      </c>
      <c r="AH2797" s="4" t="s">
        <v>241</v>
      </c>
      <c r="AI2797" s="4" t="s">
        <v>247</v>
      </c>
      <c r="AJ2797" s="4" t="s">
        <v>248</v>
      </c>
      <c r="AZ2797" s="4" t="s">
        <v>249</v>
      </c>
      <c r="BA2797" s="4" t="s">
        <v>241</v>
      </c>
      <c r="BB2797" s="4" t="s">
        <v>250</v>
      </c>
      <c r="BC2797" s="4" t="s">
        <v>241</v>
      </c>
      <c r="BD2797" s="4" t="s">
        <v>252</v>
      </c>
      <c r="BE2797" s="4" t="s">
        <v>241</v>
      </c>
      <c r="BI2797" s="4" t="s">
        <v>253</v>
      </c>
      <c r="BJ2797" s="5" t="s">
        <v>246</v>
      </c>
      <c r="BK2797" s="4" t="s">
        <v>254</v>
      </c>
      <c r="BL2797" s="4" t="s">
        <v>255</v>
      </c>
      <c r="BM2797" s="4" t="s">
        <v>241</v>
      </c>
      <c r="BN2797" s="6">
        <f>0</f>
        <v>0</v>
      </c>
      <c r="BO2797" s="6">
        <f>0</f>
        <v>0</v>
      </c>
      <c r="BP2797" s="4" t="s">
        <v>256</v>
      </c>
      <c r="BQ2797" s="4" t="s">
        <v>257</v>
      </c>
      <c r="CE2797" s="4" t="s">
        <v>241</v>
      </c>
      <c r="CF2797" s="4" t="s">
        <v>241</v>
      </c>
      <c r="CJ2797" s="4" t="s">
        <v>276</v>
      </c>
      <c r="CK2797" s="4" t="s">
        <v>259</v>
      </c>
      <c r="CL2797" s="4" t="s">
        <v>241</v>
      </c>
      <c r="CO2797" s="5" t="s">
        <v>260</v>
      </c>
      <c r="CP2797" s="4" t="s">
        <v>241</v>
      </c>
      <c r="CQ2797" s="4" t="s">
        <v>261</v>
      </c>
      <c r="CR2797" s="4" t="s">
        <v>241</v>
      </c>
      <c r="CS2797" s="4" t="s">
        <v>241</v>
      </c>
      <c r="CT2797" s="4">
        <v>0</v>
      </c>
      <c r="CU2797" s="4" t="s">
        <v>262</v>
      </c>
      <c r="CV2797" s="4" t="s">
        <v>263</v>
      </c>
      <c r="CW2797" s="4" t="s">
        <v>263</v>
      </c>
      <c r="CX2797" s="4" t="s">
        <v>264</v>
      </c>
      <c r="DA2797" s="6">
        <f>1</f>
        <v>1</v>
      </c>
      <c r="DC2797" s="4" t="s">
        <v>325</v>
      </c>
      <c r="DD2797" s="4" t="s">
        <v>241</v>
      </c>
      <c r="DF2797" s="4" t="s">
        <v>325</v>
      </c>
      <c r="DG2797" s="6">
        <f>1528</f>
        <v>1528</v>
      </c>
      <c r="DI2797" s="4" t="s">
        <v>241</v>
      </c>
      <c r="DJ2797" s="4" t="s">
        <v>241</v>
      </c>
      <c r="DK2797" s="4" t="s">
        <v>241</v>
      </c>
      <c r="DL2797" s="4" t="s">
        <v>241</v>
      </c>
      <c r="DP2797" s="4" t="s">
        <v>241</v>
      </c>
      <c r="DQ2797" s="4" t="s">
        <v>241</v>
      </c>
      <c r="DR2797" s="4" t="s">
        <v>241</v>
      </c>
      <c r="DS2797" s="4" t="s">
        <v>241</v>
      </c>
      <c r="DV2797" s="4" t="s">
        <v>426</v>
      </c>
      <c r="DW2797" s="4" t="s">
        <v>2289</v>
      </c>
      <c r="HO2797" s="4" t="s">
        <v>267</v>
      </c>
    </row>
    <row r="2798" spans="1:223" ht="19.5" customHeight="1" x14ac:dyDescent="0.4">
      <c r="A2798" s="4">
        <v>1</v>
      </c>
      <c r="B2798" s="4" t="s">
        <v>239</v>
      </c>
      <c r="C2798" s="4">
        <v>4501</v>
      </c>
      <c r="D2798" s="4">
        <v>1</v>
      </c>
      <c r="E2798" s="4">
        <v>1</v>
      </c>
      <c r="F2798" s="4" t="s">
        <v>268</v>
      </c>
      <c r="G2798" s="4" t="s">
        <v>241</v>
      </c>
      <c r="H2798" s="4" t="s">
        <v>241</v>
      </c>
      <c r="I2798" s="4" t="s">
        <v>424</v>
      </c>
      <c r="J2798" s="4" t="s">
        <v>274</v>
      </c>
      <c r="K2798" s="4" t="s">
        <v>251</v>
      </c>
      <c r="L2798" s="4" t="s">
        <v>423</v>
      </c>
      <c r="M2798" s="5" t="s">
        <v>3379</v>
      </c>
      <c r="N2798" s="6">
        <f>688</f>
        <v>688</v>
      </c>
      <c r="O2798" s="4" t="s">
        <v>265</v>
      </c>
      <c r="P2798" s="6">
        <f>1</f>
        <v>1</v>
      </c>
      <c r="Q2798" s="6">
        <f>0</f>
        <v>0</v>
      </c>
      <c r="S2798" s="6">
        <f>0</f>
        <v>0</v>
      </c>
      <c r="T2798" s="6">
        <f>1</f>
        <v>1</v>
      </c>
      <c r="U2798" s="5" t="s">
        <v>245</v>
      </c>
      <c r="V2798" s="4" t="s">
        <v>270</v>
      </c>
      <c r="W2798" s="4" t="s">
        <v>271</v>
      </c>
      <c r="X2798" s="4" t="s">
        <v>273</v>
      </c>
      <c r="Y2798" s="4" t="s">
        <v>241</v>
      </c>
      <c r="AB2798" s="4" t="s">
        <v>241</v>
      </c>
      <c r="AD2798" s="5" t="s">
        <v>241</v>
      </c>
      <c r="AG2798" s="5" t="s">
        <v>246</v>
      </c>
      <c r="AH2798" s="4" t="s">
        <v>241</v>
      </c>
      <c r="AI2798" s="4" t="s">
        <v>247</v>
      </c>
      <c r="AJ2798" s="4" t="s">
        <v>248</v>
      </c>
      <c r="AZ2798" s="4" t="s">
        <v>249</v>
      </c>
      <c r="BA2798" s="4" t="s">
        <v>241</v>
      </c>
      <c r="BB2798" s="4" t="s">
        <v>250</v>
      </c>
      <c r="BC2798" s="4" t="s">
        <v>241</v>
      </c>
      <c r="BD2798" s="4" t="s">
        <v>252</v>
      </c>
      <c r="BE2798" s="4" t="s">
        <v>241</v>
      </c>
      <c r="BI2798" s="4" t="s">
        <v>253</v>
      </c>
      <c r="BJ2798" s="5" t="s">
        <v>246</v>
      </c>
      <c r="BK2798" s="4" t="s">
        <v>254</v>
      </c>
      <c r="BL2798" s="4" t="s">
        <v>255</v>
      </c>
      <c r="BM2798" s="4" t="s">
        <v>241</v>
      </c>
      <c r="BN2798" s="6">
        <f>0</f>
        <v>0</v>
      </c>
      <c r="BO2798" s="6">
        <f>0</f>
        <v>0</v>
      </c>
      <c r="BP2798" s="4" t="s">
        <v>256</v>
      </c>
      <c r="BQ2798" s="4" t="s">
        <v>257</v>
      </c>
      <c r="CE2798" s="4" t="s">
        <v>241</v>
      </c>
      <c r="CF2798" s="4" t="s">
        <v>241</v>
      </c>
      <c r="CJ2798" s="4" t="s">
        <v>276</v>
      </c>
      <c r="CK2798" s="4" t="s">
        <v>259</v>
      </c>
      <c r="CL2798" s="4" t="s">
        <v>241</v>
      </c>
      <c r="CO2798" s="5" t="s">
        <v>260</v>
      </c>
      <c r="CP2798" s="4" t="s">
        <v>241</v>
      </c>
      <c r="CQ2798" s="4" t="s">
        <v>261</v>
      </c>
      <c r="CR2798" s="4" t="s">
        <v>241</v>
      </c>
      <c r="CS2798" s="4" t="s">
        <v>241</v>
      </c>
      <c r="CT2798" s="4">
        <v>0</v>
      </c>
      <c r="CU2798" s="4" t="s">
        <v>262</v>
      </c>
      <c r="CV2798" s="4" t="s">
        <v>263</v>
      </c>
      <c r="CW2798" s="4" t="s">
        <v>263</v>
      </c>
      <c r="CX2798" s="4" t="s">
        <v>264</v>
      </c>
      <c r="DA2798" s="6">
        <f>1</f>
        <v>1</v>
      </c>
      <c r="DC2798" s="4" t="s">
        <v>325</v>
      </c>
      <c r="DD2798" s="4" t="s">
        <v>241</v>
      </c>
      <c r="DF2798" s="4" t="s">
        <v>325</v>
      </c>
      <c r="DG2798" s="6">
        <f>688</f>
        <v>688</v>
      </c>
      <c r="DI2798" s="4" t="s">
        <v>241</v>
      </c>
      <c r="DJ2798" s="4" t="s">
        <v>241</v>
      </c>
      <c r="DK2798" s="4" t="s">
        <v>241</v>
      </c>
      <c r="DL2798" s="4" t="s">
        <v>241</v>
      </c>
      <c r="DP2798" s="4" t="s">
        <v>241</v>
      </c>
      <c r="DQ2798" s="4" t="s">
        <v>241</v>
      </c>
      <c r="DR2798" s="4" t="s">
        <v>241</v>
      </c>
      <c r="DS2798" s="4" t="s">
        <v>241</v>
      </c>
      <c r="DV2798" s="4" t="s">
        <v>426</v>
      </c>
      <c r="DW2798" s="4" t="s">
        <v>2287</v>
      </c>
      <c r="HO2798" s="4" t="s">
        <v>267</v>
      </c>
    </row>
    <row r="2799" spans="1:223" ht="19.5" customHeight="1" x14ac:dyDescent="0.4">
      <c r="A2799" s="4">
        <v>1</v>
      </c>
      <c r="B2799" s="4" t="s">
        <v>239</v>
      </c>
      <c r="C2799" s="4">
        <v>4502</v>
      </c>
      <c r="D2799" s="4">
        <v>1</v>
      </c>
      <c r="E2799" s="4">
        <v>1</v>
      </c>
      <c r="F2799" s="4" t="s">
        <v>268</v>
      </c>
      <c r="G2799" s="4" t="s">
        <v>241</v>
      </c>
      <c r="H2799" s="4" t="s">
        <v>241</v>
      </c>
      <c r="I2799" s="4" t="s">
        <v>424</v>
      </c>
      <c r="J2799" s="4" t="s">
        <v>274</v>
      </c>
      <c r="K2799" s="4" t="s">
        <v>251</v>
      </c>
      <c r="L2799" s="4" t="s">
        <v>423</v>
      </c>
      <c r="M2799" s="5" t="s">
        <v>3248</v>
      </c>
      <c r="N2799" s="6">
        <f>332</f>
        <v>332</v>
      </c>
      <c r="O2799" s="4" t="s">
        <v>265</v>
      </c>
      <c r="P2799" s="6">
        <f>1</f>
        <v>1</v>
      </c>
      <c r="Q2799" s="6">
        <f>0</f>
        <v>0</v>
      </c>
      <c r="S2799" s="6">
        <f>0</f>
        <v>0</v>
      </c>
      <c r="T2799" s="6">
        <f>1</f>
        <v>1</v>
      </c>
      <c r="U2799" s="5" t="s">
        <v>245</v>
      </c>
      <c r="V2799" s="4" t="s">
        <v>270</v>
      </c>
      <c r="W2799" s="4" t="s">
        <v>271</v>
      </c>
      <c r="X2799" s="4" t="s">
        <v>273</v>
      </c>
      <c r="Y2799" s="4" t="s">
        <v>241</v>
      </c>
      <c r="AB2799" s="4" t="s">
        <v>241</v>
      </c>
      <c r="AD2799" s="5" t="s">
        <v>241</v>
      </c>
      <c r="AG2799" s="5" t="s">
        <v>246</v>
      </c>
      <c r="AH2799" s="4" t="s">
        <v>241</v>
      </c>
      <c r="AI2799" s="4" t="s">
        <v>247</v>
      </c>
      <c r="AJ2799" s="4" t="s">
        <v>248</v>
      </c>
      <c r="AZ2799" s="4" t="s">
        <v>249</v>
      </c>
      <c r="BA2799" s="4" t="s">
        <v>241</v>
      </c>
      <c r="BB2799" s="4" t="s">
        <v>250</v>
      </c>
      <c r="BC2799" s="4" t="s">
        <v>241</v>
      </c>
      <c r="BD2799" s="4" t="s">
        <v>252</v>
      </c>
      <c r="BE2799" s="4" t="s">
        <v>241</v>
      </c>
      <c r="BI2799" s="4" t="s">
        <v>253</v>
      </c>
      <c r="BJ2799" s="5" t="s">
        <v>246</v>
      </c>
      <c r="BK2799" s="4" t="s">
        <v>254</v>
      </c>
      <c r="BL2799" s="4" t="s">
        <v>255</v>
      </c>
      <c r="BM2799" s="4" t="s">
        <v>241</v>
      </c>
      <c r="BN2799" s="6">
        <f>0</f>
        <v>0</v>
      </c>
      <c r="BO2799" s="6">
        <f>0</f>
        <v>0</v>
      </c>
      <c r="BP2799" s="4" t="s">
        <v>256</v>
      </c>
      <c r="BQ2799" s="4" t="s">
        <v>257</v>
      </c>
      <c r="CE2799" s="4" t="s">
        <v>241</v>
      </c>
      <c r="CF2799" s="4" t="s">
        <v>241</v>
      </c>
      <c r="CJ2799" s="4" t="s">
        <v>276</v>
      </c>
      <c r="CK2799" s="4" t="s">
        <v>259</v>
      </c>
      <c r="CL2799" s="4" t="s">
        <v>241</v>
      </c>
      <c r="CO2799" s="5" t="s">
        <v>260</v>
      </c>
      <c r="CP2799" s="4" t="s">
        <v>241</v>
      </c>
      <c r="CQ2799" s="4" t="s">
        <v>261</v>
      </c>
      <c r="CR2799" s="4" t="s">
        <v>241</v>
      </c>
      <c r="CS2799" s="4" t="s">
        <v>241</v>
      </c>
      <c r="CT2799" s="4">
        <v>0</v>
      </c>
      <c r="CU2799" s="4" t="s">
        <v>262</v>
      </c>
      <c r="CV2799" s="4" t="s">
        <v>263</v>
      </c>
      <c r="CW2799" s="4" t="s">
        <v>263</v>
      </c>
      <c r="CX2799" s="4" t="s">
        <v>264</v>
      </c>
      <c r="DA2799" s="6">
        <f>1</f>
        <v>1</v>
      </c>
      <c r="DC2799" s="4" t="s">
        <v>325</v>
      </c>
      <c r="DD2799" s="4" t="s">
        <v>241</v>
      </c>
      <c r="DF2799" s="4" t="s">
        <v>325</v>
      </c>
      <c r="DG2799" s="6">
        <f>332</f>
        <v>332</v>
      </c>
      <c r="DI2799" s="4" t="s">
        <v>241</v>
      </c>
      <c r="DJ2799" s="4" t="s">
        <v>241</v>
      </c>
      <c r="DK2799" s="4" t="s">
        <v>241</v>
      </c>
      <c r="DL2799" s="4" t="s">
        <v>241</v>
      </c>
      <c r="DP2799" s="4" t="s">
        <v>241</v>
      </c>
      <c r="DQ2799" s="4" t="s">
        <v>241</v>
      </c>
      <c r="DR2799" s="4" t="s">
        <v>241</v>
      </c>
      <c r="DS2799" s="4" t="s">
        <v>241</v>
      </c>
      <c r="DV2799" s="4" t="s">
        <v>426</v>
      </c>
      <c r="DW2799" s="4" t="s">
        <v>2285</v>
      </c>
      <c r="HO2799" s="4" t="s">
        <v>267</v>
      </c>
    </row>
    <row r="2800" spans="1:223" ht="19.5" customHeight="1" x14ac:dyDescent="0.4">
      <c r="A2800" s="4">
        <v>1</v>
      </c>
      <c r="B2800" s="4" t="s">
        <v>239</v>
      </c>
      <c r="C2800" s="4">
        <v>4503</v>
      </c>
      <c r="D2800" s="4">
        <v>1</v>
      </c>
      <c r="E2800" s="4">
        <v>1</v>
      </c>
      <c r="F2800" s="4" t="s">
        <v>268</v>
      </c>
      <c r="G2800" s="4" t="s">
        <v>241</v>
      </c>
      <c r="H2800" s="4" t="s">
        <v>241</v>
      </c>
      <c r="I2800" s="4" t="s">
        <v>424</v>
      </c>
      <c r="J2800" s="4" t="s">
        <v>274</v>
      </c>
      <c r="K2800" s="4" t="s">
        <v>251</v>
      </c>
      <c r="L2800" s="4" t="s">
        <v>423</v>
      </c>
      <c r="M2800" s="5" t="s">
        <v>761</v>
      </c>
      <c r="N2800" s="6">
        <f>99</f>
        <v>99</v>
      </c>
      <c r="O2800" s="4" t="s">
        <v>265</v>
      </c>
      <c r="P2800" s="6">
        <f>1</f>
        <v>1</v>
      </c>
      <c r="Q2800" s="6">
        <f>0</f>
        <v>0</v>
      </c>
      <c r="S2800" s="6">
        <f>0</f>
        <v>0</v>
      </c>
      <c r="T2800" s="6">
        <f>1</f>
        <v>1</v>
      </c>
      <c r="U2800" s="5" t="s">
        <v>245</v>
      </c>
      <c r="V2800" s="4" t="s">
        <v>270</v>
      </c>
      <c r="W2800" s="4" t="s">
        <v>271</v>
      </c>
      <c r="X2800" s="4" t="s">
        <v>273</v>
      </c>
      <c r="Y2800" s="4" t="s">
        <v>241</v>
      </c>
      <c r="AB2800" s="4" t="s">
        <v>241</v>
      </c>
      <c r="AD2800" s="5" t="s">
        <v>241</v>
      </c>
      <c r="AG2800" s="5" t="s">
        <v>246</v>
      </c>
      <c r="AH2800" s="4" t="s">
        <v>241</v>
      </c>
      <c r="AI2800" s="4" t="s">
        <v>247</v>
      </c>
      <c r="AJ2800" s="4" t="s">
        <v>248</v>
      </c>
      <c r="AZ2800" s="4" t="s">
        <v>249</v>
      </c>
      <c r="BA2800" s="4" t="s">
        <v>241</v>
      </c>
      <c r="BB2800" s="4" t="s">
        <v>250</v>
      </c>
      <c r="BC2800" s="4" t="s">
        <v>241</v>
      </c>
      <c r="BD2800" s="4" t="s">
        <v>252</v>
      </c>
      <c r="BE2800" s="4" t="s">
        <v>241</v>
      </c>
      <c r="BI2800" s="4" t="s">
        <v>253</v>
      </c>
      <c r="BJ2800" s="5" t="s">
        <v>246</v>
      </c>
      <c r="BK2800" s="4" t="s">
        <v>254</v>
      </c>
      <c r="BL2800" s="4" t="s">
        <v>255</v>
      </c>
      <c r="BM2800" s="4" t="s">
        <v>241</v>
      </c>
      <c r="BN2800" s="6">
        <f>0</f>
        <v>0</v>
      </c>
      <c r="BO2800" s="6">
        <f>0</f>
        <v>0</v>
      </c>
      <c r="BP2800" s="4" t="s">
        <v>256</v>
      </c>
      <c r="BQ2800" s="4" t="s">
        <v>257</v>
      </c>
      <c r="CE2800" s="4" t="s">
        <v>241</v>
      </c>
      <c r="CF2800" s="4" t="s">
        <v>241</v>
      </c>
      <c r="CJ2800" s="4" t="s">
        <v>276</v>
      </c>
      <c r="CK2800" s="4" t="s">
        <v>259</v>
      </c>
      <c r="CL2800" s="4" t="s">
        <v>241</v>
      </c>
      <c r="CO2800" s="5" t="s">
        <v>260</v>
      </c>
      <c r="CP2800" s="4" t="s">
        <v>241</v>
      </c>
      <c r="CQ2800" s="4" t="s">
        <v>261</v>
      </c>
      <c r="CR2800" s="4" t="s">
        <v>241</v>
      </c>
      <c r="CS2800" s="4" t="s">
        <v>241</v>
      </c>
      <c r="CT2800" s="4">
        <v>0</v>
      </c>
      <c r="CU2800" s="4" t="s">
        <v>262</v>
      </c>
      <c r="CV2800" s="4" t="s">
        <v>263</v>
      </c>
      <c r="CW2800" s="4" t="s">
        <v>263</v>
      </c>
      <c r="CX2800" s="4" t="s">
        <v>264</v>
      </c>
      <c r="DA2800" s="6">
        <f>1</f>
        <v>1</v>
      </c>
      <c r="DC2800" s="4" t="s">
        <v>325</v>
      </c>
      <c r="DD2800" s="4" t="s">
        <v>241</v>
      </c>
      <c r="DF2800" s="4" t="s">
        <v>325</v>
      </c>
      <c r="DG2800" s="6">
        <f>99</f>
        <v>99</v>
      </c>
      <c r="DI2800" s="4" t="s">
        <v>241</v>
      </c>
      <c r="DJ2800" s="4" t="s">
        <v>241</v>
      </c>
      <c r="DK2800" s="4" t="s">
        <v>241</v>
      </c>
      <c r="DL2800" s="4" t="s">
        <v>241</v>
      </c>
      <c r="DP2800" s="4" t="s">
        <v>241</v>
      </c>
      <c r="DQ2800" s="4" t="s">
        <v>241</v>
      </c>
      <c r="DR2800" s="4" t="s">
        <v>241</v>
      </c>
      <c r="DS2800" s="4" t="s">
        <v>241</v>
      </c>
      <c r="DV2800" s="4" t="s">
        <v>426</v>
      </c>
      <c r="DW2800" s="4" t="s">
        <v>762</v>
      </c>
      <c r="HO2800" s="4" t="s">
        <v>267</v>
      </c>
    </row>
    <row r="2801" spans="1:223" ht="19.5" customHeight="1" x14ac:dyDescent="0.4">
      <c r="A2801" s="4">
        <v>1</v>
      </c>
      <c r="B2801" s="4" t="s">
        <v>239</v>
      </c>
      <c r="C2801" s="4">
        <v>4504</v>
      </c>
      <c r="D2801" s="4">
        <v>1</v>
      </c>
      <c r="E2801" s="4">
        <v>1</v>
      </c>
      <c r="F2801" s="4" t="s">
        <v>268</v>
      </c>
      <c r="G2801" s="4" t="s">
        <v>241</v>
      </c>
      <c r="H2801" s="4" t="s">
        <v>241</v>
      </c>
      <c r="I2801" s="4" t="s">
        <v>424</v>
      </c>
      <c r="J2801" s="4" t="s">
        <v>274</v>
      </c>
      <c r="K2801" s="4" t="s">
        <v>251</v>
      </c>
      <c r="L2801" s="4" t="s">
        <v>423</v>
      </c>
      <c r="M2801" s="5" t="s">
        <v>649</v>
      </c>
      <c r="N2801" s="6">
        <f>98</f>
        <v>98</v>
      </c>
      <c r="O2801" s="4" t="s">
        <v>265</v>
      </c>
      <c r="P2801" s="6">
        <f>1</f>
        <v>1</v>
      </c>
      <c r="Q2801" s="6">
        <f>0</f>
        <v>0</v>
      </c>
      <c r="S2801" s="6">
        <f>0</f>
        <v>0</v>
      </c>
      <c r="T2801" s="6">
        <f>1</f>
        <v>1</v>
      </c>
      <c r="U2801" s="5" t="s">
        <v>245</v>
      </c>
      <c r="V2801" s="4" t="s">
        <v>270</v>
      </c>
      <c r="W2801" s="4" t="s">
        <v>271</v>
      </c>
      <c r="X2801" s="4" t="s">
        <v>273</v>
      </c>
      <c r="Y2801" s="4" t="s">
        <v>241</v>
      </c>
      <c r="AB2801" s="4" t="s">
        <v>241</v>
      </c>
      <c r="AD2801" s="5" t="s">
        <v>241</v>
      </c>
      <c r="AG2801" s="5" t="s">
        <v>246</v>
      </c>
      <c r="AH2801" s="4" t="s">
        <v>241</v>
      </c>
      <c r="AI2801" s="4" t="s">
        <v>247</v>
      </c>
      <c r="AJ2801" s="4" t="s">
        <v>248</v>
      </c>
      <c r="AZ2801" s="4" t="s">
        <v>249</v>
      </c>
      <c r="BA2801" s="4" t="s">
        <v>241</v>
      </c>
      <c r="BB2801" s="4" t="s">
        <v>250</v>
      </c>
      <c r="BC2801" s="4" t="s">
        <v>241</v>
      </c>
      <c r="BD2801" s="4" t="s">
        <v>252</v>
      </c>
      <c r="BE2801" s="4" t="s">
        <v>241</v>
      </c>
      <c r="BI2801" s="4" t="s">
        <v>253</v>
      </c>
      <c r="BJ2801" s="5" t="s">
        <v>246</v>
      </c>
      <c r="BK2801" s="4" t="s">
        <v>254</v>
      </c>
      <c r="BL2801" s="4" t="s">
        <v>255</v>
      </c>
      <c r="BM2801" s="4" t="s">
        <v>241</v>
      </c>
      <c r="BN2801" s="6">
        <f>0</f>
        <v>0</v>
      </c>
      <c r="BO2801" s="6">
        <f>0</f>
        <v>0</v>
      </c>
      <c r="BP2801" s="4" t="s">
        <v>256</v>
      </c>
      <c r="BQ2801" s="4" t="s">
        <v>257</v>
      </c>
      <c r="CE2801" s="4" t="s">
        <v>241</v>
      </c>
      <c r="CF2801" s="4" t="s">
        <v>241</v>
      </c>
      <c r="CJ2801" s="4" t="s">
        <v>276</v>
      </c>
      <c r="CK2801" s="4" t="s">
        <v>259</v>
      </c>
      <c r="CL2801" s="4" t="s">
        <v>241</v>
      </c>
      <c r="CO2801" s="5" t="s">
        <v>260</v>
      </c>
      <c r="CP2801" s="4" t="s">
        <v>241</v>
      </c>
      <c r="CQ2801" s="4" t="s">
        <v>261</v>
      </c>
      <c r="CR2801" s="4" t="s">
        <v>241</v>
      </c>
      <c r="CS2801" s="4" t="s">
        <v>241</v>
      </c>
      <c r="CT2801" s="4">
        <v>0</v>
      </c>
      <c r="CU2801" s="4" t="s">
        <v>262</v>
      </c>
      <c r="CV2801" s="4" t="s">
        <v>263</v>
      </c>
      <c r="CW2801" s="4" t="s">
        <v>263</v>
      </c>
      <c r="CX2801" s="4" t="s">
        <v>264</v>
      </c>
      <c r="DA2801" s="6">
        <f>1</f>
        <v>1</v>
      </c>
      <c r="DC2801" s="4" t="s">
        <v>325</v>
      </c>
      <c r="DD2801" s="4" t="s">
        <v>241</v>
      </c>
      <c r="DF2801" s="4" t="s">
        <v>325</v>
      </c>
      <c r="DG2801" s="6">
        <f>98</f>
        <v>98</v>
      </c>
      <c r="DI2801" s="4" t="s">
        <v>241</v>
      </c>
      <c r="DJ2801" s="4" t="s">
        <v>241</v>
      </c>
      <c r="DK2801" s="4" t="s">
        <v>241</v>
      </c>
      <c r="DL2801" s="4" t="s">
        <v>241</v>
      </c>
      <c r="DP2801" s="4" t="s">
        <v>241</v>
      </c>
      <c r="DQ2801" s="4" t="s">
        <v>241</v>
      </c>
      <c r="DR2801" s="4" t="s">
        <v>241</v>
      </c>
      <c r="DS2801" s="4" t="s">
        <v>241</v>
      </c>
      <c r="DV2801" s="4" t="s">
        <v>426</v>
      </c>
      <c r="DW2801" s="4" t="s">
        <v>650</v>
      </c>
      <c r="HO2801" s="4" t="s">
        <v>267</v>
      </c>
    </row>
    <row r="2802" spans="1:223" ht="19.5" customHeight="1" x14ac:dyDescent="0.4">
      <c r="A2802" s="4">
        <v>1</v>
      </c>
      <c r="B2802" s="4" t="s">
        <v>239</v>
      </c>
      <c r="C2802" s="4">
        <v>4505</v>
      </c>
      <c r="D2802" s="4">
        <v>1</v>
      </c>
      <c r="E2802" s="4">
        <v>1</v>
      </c>
      <c r="F2802" s="4" t="s">
        <v>268</v>
      </c>
      <c r="G2802" s="4" t="s">
        <v>241</v>
      </c>
      <c r="H2802" s="4" t="s">
        <v>241</v>
      </c>
      <c r="I2802" s="4" t="s">
        <v>424</v>
      </c>
      <c r="J2802" s="4" t="s">
        <v>274</v>
      </c>
      <c r="K2802" s="4" t="s">
        <v>251</v>
      </c>
      <c r="L2802" s="4" t="s">
        <v>423</v>
      </c>
      <c r="M2802" s="5" t="s">
        <v>4212</v>
      </c>
      <c r="N2802" s="6">
        <f>906</f>
        <v>906</v>
      </c>
      <c r="O2802" s="4" t="s">
        <v>265</v>
      </c>
      <c r="P2802" s="6">
        <f>1</f>
        <v>1</v>
      </c>
      <c r="Q2802" s="6">
        <f>0</f>
        <v>0</v>
      </c>
      <c r="S2802" s="6">
        <f>0</f>
        <v>0</v>
      </c>
      <c r="T2802" s="6">
        <f>1</f>
        <v>1</v>
      </c>
      <c r="U2802" s="5" t="s">
        <v>245</v>
      </c>
      <c r="V2802" s="4" t="s">
        <v>270</v>
      </c>
      <c r="W2802" s="4" t="s">
        <v>271</v>
      </c>
      <c r="X2802" s="4" t="s">
        <v>273</v>
      </c>
      <c r="Y2802" s="4" t="s">
        <v>241</v>
      </c>
      <c r="AB2802" s="4" t="s">
        <v>241</v>
      </c>
      <c r="AD2802" s="5" t="s">
        <v>241</v>
      </c>
      <c r="AG2802" s="5" t="s">
        <v>246</v>
      </c>
      <c r="AH2802" s="4" t="s">
        <v>241</v>
      </c>
      <c r="AI2802" s="4" t="s">
        <v>247</v>
      </c>
      <c r="AJ2802" s="4" t="s">
        <v>248</v>
      </c>
      <c r="AZ2802" s="4" t="s">
        <v>249</v>
      </c>
      <c r="BA2802" s="4" t="s">
        <v>241</v>
      </c>
      <c r="BB2802" s="4" t="s">
        <v>250</v>
      </c>
      <c r="BC2802" s="4" t="s">
        <v>241</v>
      </c>
      <c r="BD2802" s="4" t="s">
        <v>252</v>
      </c>
      <c r="BE2802" s="4" t="s">
        <v>241</v>
      </c>
      <c r="BI2802" s="4" t="s">
        <v>253</v>
      </c>
      <c r="BJ2802" s="5" t="s">
        <v>246</v>
      </c>
      <c r="BK2802" s="4" t="s">
        <v>254</v>
      </c>
      <c r="BL2802" s="4" t="s">
        <v>255</v>
      </c>
      <c r="BM2802" s="4" t="s">
        <v>241</v>
      </c>
      <c r="BN2802" s="6">
        <f>0</f>
        <v>0</v>
      </c>
      <c r="BO2802" s="6">
        <f>0</f>
        <v>0</v>
      </c>
      <c r="BP2802" s="4" t="s">
        <v>256</v>
      </c>
      <c r="BQ2802" s="4" t="s">
        <v>257</v>
      </c>
      <c r="CE2802" s="4" t="s">
        <v>241</v>
      </c>
      <c r="CF2802" s="4" t="s">
        <v>241</v>
      </c>
      <c r="CJ2802" s="4" t="s">
        <v>276</v>
      </c>
      <c r="CK2802" s="4" t="s">
        <v>259</v>
      </c>
      <c r="CL2802" s="4" t="s">
        <v>241</v>
      </c>
      <c r="CO2802" s="5" t="s">
        <v>260</v>
      </c>
      <c r="CP2802" s="4" t="s">
        <v>241</v>
      </c>
      <c r="CQ2802" s="4" t="s">
        <v>261</v>
      </c>
      <c r="CR2802" s="4" t="s">
        <v>241</v>
      </c>
      <c r="CS2802" s="4" t="s">
        <v>241</v>
      </c>
      <c r="CT2802" s="4">
        <v>0</v>
      </c>
      <c r="CU2802" s="4" t="s">
        <v>262</v>
      </c>
      <c r="CV2802" s="4" t="s">
        <v>263</v>
      </c>
      <c r="CW2802" s="4" t="s">
        <v>263</v>
      </c>
      <c r="CX2802" s="4" t="s">
        <v>264</v>
      </c>
      <c r="DA2802" s="6">
        <f>1</f>
        <v>1</v>
      </c>
      <c r="DC2802" s="4" t="s">
        <v>325</v>
      </c>
      <c r="DD2802" s="4" t="s">
        <v>241</v>
      </c>
      <c r="DF2802" s="4" t="s">
        <v>325</v>
      </c>
      <c r="DG2802" s="6">
        <f>906</f>
        <v>906</v>
      </c>
      <c r="DI2802" s="4" t="s">
        <v>241</v>
      </c>
      <c r="DJ2802" s="4" t="s">
        <v>241</v>
      </c>
      <c r="DK2802" s="4" t="s">
        <v>241</v>
      </c>
      <c r="DL2802" s="4" t="s">
        <v>241</v>
      </c>
      <c r="DP2802" s="4" t="s">
        <v>241</v>
      </c>
      <c r="DQ2802" s="4" t="s">
        <v>241</v>
      </c>
      <c r="DR2802" s="4" t="s">
        <v>241</v>
      </c>
      <c r="DS2802" s="4" t="s">
        <v>241</v>
      </c>
      <c r="DV2802" s="4" t="s">
        <v>426</v>
      </c>
      <c r="DW2802" s="4" t="s">
        <v>2281</v>
      </c>
      <c r="HO2802" s="4" t="s">
        <v>267</v>
      </c>
    </row>
    <row r="2803" spans="1:223" ht="19.5" customHeight="1" x14ac:dyDescent="0.4">
      <c r="A2803" s="4">
        <v>1</v>
      </c>
      <c r="B2803" s="4" t="s">
        <v>239</v>
      </c>
      <c r="C2803" s="4">
        <v>4506</v>
      </c>
      <c r="D2803" s="4">
        <v>1</v>
      </c>
      <c r="E2803" s="4">
        <v>1</v>
      </c>
      <c r="F2803" s="4" t="s">
        <v>268</v>
      </c>
      <c r="G2803" s="4" t="s">
        <v>241</v>
      </c>
      <c r="H2803" s="4" t="s">
        <v>241</v>
      </c>
      <c r="I2803" s="4" t="s">
        <v>424</v>
      </c>
      <c r="J2803" s="4" t="s">
        <v>274</v>
      </c>
      <c r="K2803" s="4" t="s">
        <v>251</v>
      </c>
      <c r="L2803" s="4" t="s">
        <v>423</v>
      </c>
      <c r="M2803" s="5" t="s">
        <v>4013</v>
      </c>
      <c r="N2803" s="6">
        <f>296</f>
        <v>296</v>
      </c>
      <c r="O2803" s="4" t="s">
        <v>265</v>
      </c>
      <c r="P2803" s="6">
        <f>1</f>
        <v>1</v>
      </c>
      <c r="Q2803" s="6">
        <f>0</f>
        <v>0</v>
      </c>
      <c r="S2803" s="6">
        <f>0</f>
        <v>0</v>
      </c>
      <c r="T2803" s="6">
        <f>1</f>
        <v>1</v>
      </c>
      <c r="U2803" s="5" t="s">
        <v>245</v>
      </c>
      <c r="V2803" s="4" t="s">
        <v>270</v>
      </c>
      <c r="W2803" s="4" t="s">
        <v>271</v>
      </c>
      <c r="X2803" s="4" t="s">
        <v>273</v>
      </c>
      <c r="Y2803" s="4" t="s">
        <v>241</v>
      </c>
      <c r="AB2803" s="4" t="s">
        <v>241</v>
      </c>
      <c r="AD2803" s="5" t="s">
        <v>241</v>
      </c>
      <c r="AG2803" s="5" t="s">
        <v>246</v>
      </c>
      <c r="AH2803" s="4" t="s">
        <v>241</v>
      </c>
      <c r="AI2803" s="4" t="s">
        <v>247</v>
      </c>
      <c r="AJ2803" s="4" t="s">
        <v>248</v>
      </c>
      <c r="AZ2803" s="4" t="s">
        <v>249</v>
      </c>
      <c r="BA2803" s="4" t="s">
        <v>241</v>
      </c>
      <c r="BB2803" s="4" t="s">
        <v>250</v>
      </c>
      <c r="BC2803" s="4" t="s">
        <v>241</v>
      </c>
      <c r="BD2803" s="4" t="s">
        <v>252</v>
      </c>
      <c r="BE2803" s="4" t="s">
        <v>241</v>
      </c>
      <c r="BI2803" s="4" t="s">
        <v>253</v>
      </c>
      <c r="BJ2803" s="5" t="s">
        <v>246</v>
      </c>
      <c r="BK2803" s="4" t="s">
        <v>254</v>
      </c>
      <c r="BL2803" s="4" t="s">
        <v>255</v>
      </c>
      <c r="BM2803" s="4" t="s">
        <v>241</v>
      </c>
      <c r="BN2803" s="6">
        <f>0</f>
        <v>0</v>
      </c>
      <c r="BO2803" s="6">
        <f>0</f>
        <v>0</v>
      </c>
      <c r="BP2803" s="4" t="s">
        <v>256</v>
      </c>
      <c r="BQ2803" s="4" t="s">
        <v>257</v>
      </c>
      <c r="CE2803" s="4" t="s">
        <v>241</v>
      </c>
      <c r="CF2803" s="4" t="s">
        <v>241</v>
      </c>
      <c r="CJ2803" s="4" t="s">
        <v>276</v>
      </c>
      <c r="CK2803" s="4" t="s">
        <v>259</v>
      </c>
      <c r="CL2803" s="4" t="s">
        <v>241</v>
      </c>
      <c r="CO2803" s="5" t="s">
        <v>260</v>
      </c>
      <c r="CP2803" s="4" t="s">
        <v>241</v>
      </c>
      <c r="CQ2803" s="4" t="s">
        <v>261</v>
      </c>
      <c r="CR2803" s="4" t="s">
        <v>241</v>
      </c>
      <c r="CS2803" s="4" t="s">
        <v>241</v>
      </c>
      <c r="CT2803" s="4">
        <v>0</v>
      </c>
      <c r="CU2803" s="4" t="s">
        <v>262</v>
      </c>
      <c r="CV2803" s="4" t="s">
        <v>263</v>
      </c>
      <c r="CW2803" s="4" t="s">
        <v>263</v>
      </c>
      <c r="CX2803" s="4" t="s">
        <v>264</v>
      </c>
      <c r="DA2803" s="6">
        <f>1</f>
        <v>1</v>
      </c>
      <c r="DC2803" s="4" t="s">
        <v>325</v>
      </c>
      <c r="DD2803" s="4" t="s">
        <v>241</v>
      </c>
      <c r="DF2803" s="4" t="s">
        <v>325</v>
      </c>
      <c r="DG2803" s="6">
        <f>296</f>
        <v>296</v>
      </c>
      <c r="DI2803" s="4" t="s">
        <v>241</v>
      </c>
      <c r="DJ2803" s="4" t="s">
        <v>241</v>
      </c>
      <c r="DK2803" s="4" t="s">
        <v>241</v>
      </c>
      <c r="DL2803" s="4" t="s">
        <v>241</v>
      </c>
      <c r="DP2803" s="4" t="s">
        <v>241</v>
      </c>
      <c r="DQ2803" s="4" t="s">
        <v>241</v>
      </c>
      <c r="DR2803" s="4" t="s">
        <v>241</v>
      </c>
      <c r="DS2803" s="4" t="s">
        <v>241</v>
      </c>
      <c r="DV2803" s="4" t="s">
        <v>426</v>
      </c>
      <c r="DW2803" s="4" t="s">
        <v>2279</v>
      </c>
      <c r="HO2803" s="4" t="s">
        <v>267</v>
      </c>
    </row>
    <row r="2804" spans="1:223" ht="19.5" customHeight="1" x14ac:dyDescent="0.4">
      <c r="A2804" s="4">
        <v>1</v>
      </c>
      <c r="B2804" s="4" t="s">
        <v>239</v>
      </c>
      <c r="C2804" s="4">
        <v>4507</v>
      </c>
      <c r="D2804" s="4">
        <v>1</v>
      </c>
      <c r="E2804" s="4">
        <v>1</v>
      </c>
      <c r="F2804" s="4" t="s">
        <v>268</v>
      </c>
      <c r="G2804" s="4" t="s">
        <v>241</v>
      </c>
      <c r="H2804" s="4" t="s">
        <v>241</v>
      </c>
      <c r="I2804" s="4" t="s">
        <v>424</v>
      </c>
      <c r="J2804" s="4" t="s">
        <v>274</v>
      </c>
      <c r="K2804" s="4" t="s">
        <v>251</v>
      </c>
      <c r="L2804" s="4" t="s">
        <v>423</v>
      </c>
      <c r="M2804" s="5" t="s">
        <v>3907</v>
      </c>
      <c r="N2804" s="6">
        <f>105</f>
        <v>105</v>
      </c>
      <c r="O2804" s="4" t="s">
        <v>265</v>
      </c>
      <c r="P2804" s="6">
        <f>1</f>
        <v>1</v>
      </c>
      <c r="Q2804" s="6">
        <f>0</f>
        <v>0</v>
      </c>
      <c r="S2804" s="6">
        <f>0</f>
        <v>0</v>
      </c>
      <c r="T2804" s="6">
        <f>1</f>
        <v>1</v>
      </c>
      <c r="U2804" s="5" t="s">
        <v>245</v>
      </c>
      <c r="V2804" s="4" t="s">
        <v>270</v>
      </c>
      <c r="W2804" s="4" t="s">
        <v>271</v>
      </c>
      <c r="X2804" s="4" t="s">
        <v>273</v>
      </c>
      <c r="Y2804" s="4" t="s">
        <v>241</v>
      </c>
      <c r="AB2804" s="4" t="s">
        <v>241</v>
      </c>
      <c r="AD2804" s="5" t="s">
        <v>241</v>
      </c>
      <c r="AG2804" s="5" t="s">
        <v>246</v>
      </c>
      <c r="AH2804" s="4" t="s">
        <v>241</v>
      </c>
      <c r="AI2804" s="4" t="s">
        <v>247</v>
      </c>
      <c r="AJ2804" s="4" t="s">
        <v>248</v>
      </c>
      <c r="AZ2804" s="4" t="s">
        <v>249</v>
      </c>
      <c r="BA2804" s="4" t="s">
        <v>241</v>
      </c>
      <c r="BB2804" s="4" t="s">
        <v>250</v>
      </c>
      <c r="BC2804" s="4" t="s">
        <v>241</v>
      </c>
      <c r="BD2804" s="4" t="s">
        <v>252</v>
      </c>
      <c r="BE2804" s="4" t="s">
        <v>241</v>
      </c>
      <c r="BI2804" s="4" t="s">
        <v>253</v>
      </c>
      <c r="BJ2804" s="5" t="s">
        <v>246</v>
      </c>
      <c r="BK2804" s="4" t="s">
        <v>254</v>
      </c>
      <c r="BL2804" s="4" t="s">
        <v>255</v>
      </c>
      <c r="BM2804" s="4" t="s">
        <v>241</v>
      </c>
      <c r="BN2804" s="6">
        <f>0</f>
        <v>0</v>
      </c>
      <c r="BO2804" s="6">
        <f>0</f>
        <v>0</v>
      </c>
      <c r="BP2804" s="4" t="s">
        <v>256</v>
      </c>
      <c r="BQ2804" s="4" t="s">
        <v>257</v>
      </c>
      <c r="CE2804" s="4" t="s">
        <v>241</v>
      </c>
      <c r="CF2804" s="4" t="s">
        <v>241</v>
      </c>
      <c r="CJ2804" s="4" t="s">
        <v>276</v>
      </c>
      <c r="CK2804" s="4" t="s">
        <v>259</v>
      </c>
      <c r="CL2804" s="4" t="s">
        <v>241</v>
      </c>
      <c r="CO2804" s="5" t="s">
        <v>260</v>
      </c>
      <c r="CP2804" s="4" t="s">
        <v>241</v>
      </c>
      <c r="CQ2804" s="4" t="s">
        <v>261</v>
      </c>
      <c r="CR2804" s="4" t="s">
        <v>241</v>
      </c>
      <c r="CS2804" s="4" t="s">
        <v>241</v>
      </c>
      <c r="CT2804" s="4">
        <v>0</v>
      </c>
      <c r="CU2804" s="4" t="s">
        <v>262</v>
      </c>
      <c r="CV2804" s="4" t="s">
        <v>263</v>
      </c>
      <c r="CW2804" s="4" t="s">
        <v>263</v>
      </c>
      <c r="CX2804" s="4" t="s">
        <v>264</v>
      </c>
      <c r="DA2804" s="6">
        <f>1</f>
        <v>1</v>
      </c>
      <c r="DC2804" s="4" t="s">
        <v>325</v>
      </c>
      <c r="DD2804" s="4" t="s">
        <v>241</v>
      </c>
      <c r="DF2804" s="4" t="s">
        <v>325</v>
      </c>
      <c r="DG2804" s="6">
        <f>105</f>
        <v>105</v>
      </c>
      <c r="DI2804" s="4" t="s">
        <v>241</v>
      </c>
      <c r="DJ2804" s="4" t="s">
        <v>241</v>
      </c>
      <c r="DK2804" s="4" t="s">
        <v>241</v>
      </c>
      <c r="DL2804" s="4" t="s">
        <v>241</v>
      </c>
      <c r="DP2804" s="4" t="s">
        <v>241</v>
      </c>
      <c r="DQ2804" s="4" t="s">
        <v>241</v>
      </c>
      <c r="DR2804" s="4" t="s">
        <v>241</v>
      </c>
      <c r="DS2804" s="4" t="s">
        <v>241</v>
      </c>
      <c r="DV2804" s="4" t="s">
        <v>426</v>
      </c>
      <c r="DW2804" s="4" t="s">
        <v>2277</v>
      </c>
      <c r="HO2804" s="4" t="s">
        <v>267</v>
      </c>
    </row>
    <row r="2805" spans="1:223" ht="19.5" customHeight="1" x14ac:dyDescent="0.4">
      <c r="A2805" s="4">
        <v>1</v>
      </c>
      <c r="B2805" s="4" t="s">
        <v>239</v>
      </c>
      <c r="C2805" s="4">
        <v>4508</v>
      </c>
      <c r="D2805" s="4">
        <v>1</v>
      </c>
      <c r="E2805" s="4">
        <v>1</v>
      </c>
      <c r="F2805" s="4" t="s">
        <v>268</v>
      </c>
      <c r="G2805" s="4" t="s">
        <v>241</v>
      </c>
      <c r="H2805" s="4" t="s">
        <v>241</v>
      </c>
      <c r="I2805" s="4" t="s">
        <v>424</v>
      </c>
      <c r="J2805" s="4" t="s">
        <v>274</v>
      </c>
      <c r="K2805" s="4" t="s">
        <v>251</v>
      </c>
      <c r="L2805" s="4" t="s">
        <v>423</v>
      </c>
      <c r="M2805" s="5" t="s">
        <v>3792</v>
      </c>
      <c r="N2805" s="6">
        <f>3728</f>
        <v>3728</v>
      </c>
      <c r="O2805" s="4" t="s">
        <v>265</v>
      </c>
      <c r="P2805" s="6">
        <f>1</f>
        <v>1</v>
      </c>
      <c r="Q2805" s="6">
        <f>0</f>
        <v>0</v>
      </c>
      <c r="S2805" s="6">
        <f>0</f>
        <v>0</v>
      </c>
      <c r="T2805" s="6">
        <f>1</f>
        <v>1</v>
      </c>
      <c r="U2805" s="5" t="s">
        <v>245</v>
      </c>
      <c r="V2805" s="4" t="s">
        <v>270</v>
      </c>
      <c r="W2805" s="4" t="s">
        <v>271</v>
      </c>
      <c r="X2805" s="4" t="s">
        <v>273</v>
      </c>
      <c r="Y2805" s="4" t="s">
        <v>241</v>
      </c>
      <c r="AB2805" s="4" t="s">
        <v>241</v>
      </c>
      <c r="AD2805" s="5" t="s">
        <v>241</v>
      </c>
      <c r="AG2805" s="5" t="s">
        <v>246</v>
      </c>
      <c r="AH2805" s="4" t="s">
        <v>241</v>
      </c>
      <c r="AI2805" s="4" t="s">
        <v>247</v>
      </c>
      <c r="AJ2805" s="4" t="s">
        <v>248</v>
      </c>
      <c r="AZ2805" s="4" t="s">
        <v>249</v>
      </c>
      <c r="BA2805" s="4" t="s">
        <v>241</v>
      </c>
      <c r="BB2805" s="4" t="s">
        <v>250</v>
      </c>
      <c r="BC2805" s="4" t="s">
        <v>241</v>
      </c>
      <c r="BD2805" s="4" t="s">
        <v>252</v>
      </c>
      <c r="BE2805" s="4" t="s">
        <v>241</v>
      </c>
      <c r="BI2805" s="4" t="s">
        <v>253</v>
      </c>
      <c r="BJ2805" s="5" t="s">
        <v>246</v>
      </c>
      <c r="BK2805" s="4" t="s">
        <v>254</v>
      </c>
      <c r="BL2805" s="4" t="s">
        <v>255</v>
      </c>
      <c r="BM2805" s="4" t="s">
        <v>241</v>
      </c>
      <c r="BN2805" s="6">
        <f>0</f>
        <v>0</v>
      </c>
      <c r="BO2805" s="6">
        <f>0</f>
        <v>0</v>
      </c>
      <c r="BP2805" s="4" t="s">
        <v>256</v>
      </c>
      <c r="BQ2805" s="4" t="s">
        <v>257</v>
      </c>
      <c r="CE2805" s="4" t="s">
        <v>241</v>
      </c>
      <c r="CF2805" s="4" t="s">
        <v>241</v>
      </c>
      <c r="CJ2805" s="4" t="s">
        <v>276</v>
      </c>
      <c r="CK2805" s="4" t="s">
        <v>259</v>
      </c>
      <c r="CL2805" s="4" t="s">
        <v>241</v>
      </c>
      <c r="CO2805" s="5" t="s">
        <v>260</v>
      </c>
      <c r="CP2805" s="4" t="s">
        <v>241</v>
      </c>
      <c r="CQ2805" s="4" t="s">
        <v>261</v>
      </c>
      <c r="CR2805" s="4" t="s">
        <v>241</v>
      </c>
      <c r="CS2805" s="4" t="s">
        <v>241</v>
      </c>
      <c r="CT2805" s="4">
        <v>0</v>
      </c>
      <c r="CU2805" s="4" t="s">
        <v>262</v>
      </c>
      <c r="CV2805" s="4" t="s">
        <v>263</v>
      </c>
      <c r="CW2805" s="4" t="s">
        <v>263</v>
      </c>
      <c r="CX2805" s="4" t="s">
        <v>264</v>
      </c>
      <c r="DA2805" s="6">
        <f>1</f>
        <v>1</v>
      </c>
      <c r="DC2805" s="4" t="s">
        <v>325</v>
      </c>
      <c r="DD2805" s="4" t="s">
        <v>241</v>
      </c>
      <c r="DF2805" s="4" t="s">
        <v>325</v>
      </c>
      <c r="DG2805" s="6">
        <f>3728</f>
        <v>3728</v>
      </c>
      <c r="DI2805" s="4" t="s">
        <v>241</v>
      </c>
      <c r="DJ2805" s="4" t="s">
        <v>241</v>
      </c>
      <c r="DK2805" s="4" t="s">
        <v>241</v>
      </c>
      <c r="DL2805" s="4" t="s">
        <v>241</v>
      </c>
      <c r="DP2805" s="4" t="s">
        <v>241</v>
      </c>
      <c r="DQ2805" s="4" t="s">
        <v>241</v>
      </c>
      <c r="DR2805" s="4" t="s">
        <v>241</v>
      </c>
      <c r="DS2805" s="4" t="s">
        <v>241</v>
      </c>
      <c r="DV2805" s="4" t="s">
        <v>426</v>
      </c>
      <c r="DW2805" s="4" t="s">
        <v>2275</v>
      </c>
      <c r="HO2805" s="4" t="s">
        <v>267</v>
      </c>
    </row>
    <row r="2806" spans="1:223" ht="19.5" customHeight="1" x14ac:dyDescent="0.4">
      <c r="A2806" s="4">
        <v>1</v>
      </c>
      <c r="B2806" s="4" t="s">
        <v>239</v>
      </c>
      <c r="C2806" s="4">
        <v>4509</v>
      </c>
      <c r="D2806" s="4">
        <v>1</v>
      </c>
      <c r="E2806" s="4">
        <v>1</v>
      </c>
      <c r="F2806" s="4" t="s">
        <v>268</v>
      </c>
      <c r="G2806" s="4" t="s">
        <v>241</v>
      </c>
      <c r="H2806" s="4" t="s">
        <v>241</v>
      </c>
      <c r="I2806" s="4" t="s">
        <v>424</v>
      </c>
      <c r="J2806" s="4" t="s">
        <v>274</v>
      </c>
      <c r="K2806" s="4" t="s">
        <v>251</v>
      </c>
      <c r="L2806" s="4" t="s">
        <v>423</v>
      </c>
      <c r="M2806" s="5" t="s">
        <v>3726</v>
      </c>
      <c r="N2806" s="6">
        <f>1058</f>
        <v>1058</v>
      </c>
      <c r="O2806" s="4" t="s">
        <v>265</v>
      </c>
      <c r="P2806" s="6">
        <f>1</f>
        <v>1</v>
      </c>
      <c r="Q2806" s="6">
        <f>0</f>
        <v>0</v>
      </c>
      <c r="S2806" s="6">
        <f>0</f>
        <v>0</v>
      </c>
      <c r="T2806" s="6">
        <f>1</f>
        <v>1</v>
      </c>
      <c r="U2806" s="5" t="s">
        <v>245</v>
      </c>
      <c r="V2806" s="4" t="s">
        <v>270</v>
      </c>
      <c r="W2806" s="4" t="s">
        <v>271</v>
      </c>
      <c r="X2806" s="4" t="s">
        <v>273</v>
      </c>
      <c r="Y2806" s="4" t="s">
        <v>241</v>
      </c>
      <c r="AB2806" s="4" t="s">
        <v>241</v>
      </c>
      <c r="AD2806" s="5" t="s">
        <v>241</v>
      </c>
      <c r="AG2806" s="5" t="s">
        <v>246</v>
      </c>
      <c r="AH2806" s="4" t="s">
        <v>241</v>
      </c>
      <c r="AI2806" s="4" t="s">
        <v>247</v>
      </c>
      <c r="AJ2806" s="4" t="s">
        <v>248</v>
      </c>
      <c r="AZ2806" s="4" t="s">
        <v>249</v>
      </c>
      <c r="BA2806" s="4" t="s">
        <v>241</v>
      </c>
      <c r="BB2806" s="4" t="s">
        <v>250</v>
      </c>
      <c r="BC2806" s="4" t="s">
        <v>241</v>
      </c>
      <c r="BD2806" s="4" t="s">
        <v>252</v>
      </c>
      <c r="BE2806" s="4" t="s">
        <v>241</v>
      </c>
      <c r="BI2806" s="4" t="s">
        <v>253</v>
      </c>
      <c r="BJ2806" s="5" t="s">
        <v>246</v>
      </c>
      <c r="BK2806" s="4" t="s">
        <v>254</v>
      </c>
      <c r="BL2806" s="4" t="s">
        <v>255</v>
      </c>
      <c r="BM2806" s="4" t="s">
        <v>241</v>
      </c>
      <c r="BN2806" s="6">
        <f>0</f>
        <v>0</v>
      </c>
      <c r="BO2806" s="6">
        <f>0</f>
        <v>0</v>
      </c>
      <c r="BP2806" s="4" t="s">
        <v>256</v>
      </c>
      <c r="BQ2806" s="4" t="s">
        <v>257</v>
      </c>
      <c r="CE2806" s="4" t="s">
        <v>241</v>
      </c>
      <c r="CF2806" s="4" t="s">
        <v>241</v>
      </c>
      <c r="CJ2806" s="4" t="s">
        <v>276</v>
      </c>
      <c r="CK2806" s="4" t="s">
        <v>259</v>
      </c>
      <c r="CL2806" s="4" t="s">
        <v>241</v>
      </c>
      <c r="CO2806" s="5" t="s">
        <v>260</v>
      </c>
      <c r="CP2806" s="4" t="s">
        <v>241</v>
      </c>
      <c r="CQ2806" s="4" t="s">
        <v>261</v>
      </c>
      <c r="CR2806" s="4" t="s">
        <v>241</v>
      </c>
      <c r="CS2806" s="4" t="s">
        <v>241</v>
      </c>
      <c r="CT2806" s="4">
        <v>0</v>
      </c>
      <c r="CU2806" s="4" t="s">
        <v>262</v>
      </c>
      <c r="CV2806" s="4" t="s">
        <v>263</v>
      </c>
      <c r="CW2806" s="4" t="s">
        <v>263</v>
      </c>
      <c r="CX2806" s="4" t="s">
        <v>264</v>
      </c>
      <c r="DA2806" s="6">
        <f>1</f>
        <v>1</v>
      </c>
      <c r="DC2806" s="4" t="s">
        <v>325</v>
      </c>
      <c r="DD2806" s="4" t="s">
        <v>241</v>
      </c>
      <c r="DF2806" s="4" t="s">
        <v>325</v>
      </c>
      <c r="DG2806" s="6">
        <f>1058</f>
        <v>1058</v>
      </c>
      <c r="DI2806" s="4" t="s">
        <v>241</v>
      </c>
      <c r="DJ2806" s="4" t="s">
        <v>241</v>
      </c>
      <c r="DK2806" s="4" t="s">
        <v>241</v>
      </c>
      <c r="DL2806" s="4" t="s">
        <v>241</v>
      </c>
      <c r="DP2806" s="4" t="s">
        <v>241</v>
      </c>
      <c r="DQ2806" s="4" t="s">
        <v>241</v>
      </c>
      <c r="DR2806" s="4" t="s">
        <v>241</v>
      </c>
      <c r="DS2806" s="4" t="s">
        <v>241</v>
      </c>
      <c r="DV2806" s="4" t="s">
        <v>426</v>
      </c>
      <c r="DW2806" s="4" t="s">
        <v>2273</v>
      </c>
      <c r="HO2806" s="4" t="s">
        <v>267</v>
      </c>
    </row>
    <row r="2807" spans="1:223" ht="19.5" customHeight="1" x14ac:dyDescent="0.4">
      <c r="A2807" s="4">
        <v>1</v>
      </c>
      <c r="B2807" s="4" t="s">
        <v>239</v>
      </c>
      <c r="C2807" s="4">
        <v>4510</v>
      </c>
      <c r="D2807" s="4">
        <v>1</v>
      </c>
      <c r="E2807" s="4">
        <v>1</v>
      </c>
      <c r="F2807" s="4" t="s">
        <v>268</v>
      </c>
      <c r="G2807" s="4" t="s">
        <v>241</v>
      </c>
      <c r="H2807" s="4" t="s">
        <v>241</v>
      </c>
      <c r="I2807" s="4" t="s">
        <v>424</v>
      </c>
      <c r="J2807" s="4" t="s">
        <v>274</v>
      </c>
      <c r="K2807" s="4" t="s">
        <v>251</v>
      </c>
      <c r="L2807" s="4" t="s">
        <v>423</v>
      </c>
      <c r="M2807" s="5" t="s">
        <v>3673</v>
      </c>
      <c r="N2807" s="6">
        <f>75</f>
        <v>75</v>
      </c>
      <c r="O2807" s="4" t="s">
        <v>265</v>
      </c>
      <c r="P2807" s="6">
        <f>1</f>
        <v>1</v>
      </c>
      <c r="Q2807" s="6">
        <f>0</f>
        <v>0</v>
      </c>
      <c r="S2807" s="6">
        <f>0</f>
        <v>0</v>
      </c>
      <c r="T2807" s="6">
        <f>1</f>
        <v>1</v>
      </c>
      <c r="U2807" s="5" t="s">
        <v>245</v>
      </c>
      <c r="V2807" s="4" t="s">
        <v>270</v>
      </c>
      <c r="W2807" s="4" t="s">
        <v>271</v>
      </c>
      <c r="X2807" s="4" t="s">
        <v>273</v>
      </c>
      <c r="Y2807" s="4" t="s">
        <v>241</v>
      </c>
      <c r="AB2807" s="4" t="s">
        <v>241</v>
      </c>
      <c r="AD2807" s="5" t="s">
        <v>241</v>
      </c>
      <c r="AG2807" s="5" t="s">
        <v>246</v>
      </c>
      <c r="AH2807" s="4" t="s">
        <v>241</v>
      </c>
      <c r="AI2807" s="4" t="s">
        <v>247</v>
      </c>
      <c r="AJ2807" s="4" t="s">
        <v>248</v>
      </c>
      <c r="AZ2807" s="4" t="s">
        <v>249</v>
      </c>
      <c r="BA2807" s="4" t="s">
        <v>241</v>
      </c>
      <c r="BB2807" s="4" t="s">
        <v>250</v>
      </c>
      <c r="BC2807" s="4" t="s">
        <v>241</v>
      </c>
      <c r="BD2807" s="4" t="s">
        <v>252</v>
      </c>
      <c r="BE2807" s="4" t="s">
        <v>241</v>
      </c>
      <c r="BI2807" s="4" t="s">
        <v>253</v>
      </c>
      <c r="BJ2807" s="5" t="s">
        <v>246</v>
      </c>
      <c r="BK2807" s="4" t="s">
        <v>254</v>
      </c>
      <c r="BL2807" s="4" t="s">
        <v>255</v>
      </c>
      <c r="BM2807" s="4" t="s">
        <v>241</v>
      </c>
      <c r="BN2807" s="6">
        <f>0</f>
        <v>0</v>
      </c>
      <c r="BO2807" s="6">
        <f>0</f>
        <v>0</v>
      </c>
      <c r="BP2807" s="4" t="s">
        <v>256</v>
      </c>
      <c r="BQ2807" s="4" t="s">
        <v>257</v>
      </c>
      <c r="CE2807" s="4" t="s">
        <v>241</v>
      </c>
      <c r="CF2807" s="4" t="s">
        <v>241</v>
      </c>
      <c r="CJ2807" s="4" t="s">
        <v>276</v>
      </c>
      <c r="CK2807" s="4" t="s">
        <v>259</v>
      </c>
      <c r="CL2807" s="4" t="s">
        <v>241</v>
      </c>
      <c r="CO2807" s="5" t="s">
        <v>260</v>
      </c>
      <c r="CP2807" s="4" t="s">
        <v>241</v>
      </c>
      <c r="CQ2807" s="4" t="s">
        <v>261</v>
      </c>
      <c r="CR2807" s="4" t="s">
        <v>241</v>
      </c>
      <c r="CS2807" s="4" t="s">
        <v>241</v>
      </c>
      <c r="CT2807" s="4">
        <v>0</v>
      </c>
      <c r="CU2807" s="4" t="s">
        <v>262</v>
      </c>
      <c r="CV2807" s="4" t="s">
        <v>263</v>
      </c>
      <c r="CW2807" s="4" t="s">
        <v>263</v>
      </c>
      <c r="CX2807" s="4" t="s">
        <v>264</v>
      </c>
      <c r="DA2807" s="6">
        <f>1</f>
        <v>1</v>
      </c>
      <c r="DC2807" s="4" t="s">
        <v>325</v>
      </c>
      <c r="DD2807" s="4" t="s">
        <v>241</v>
      </c>
      <c r="DF2807" s="4" t="s">
        <v>325</v>
      </c>
      <c r="DG2807" s="6">
        <f>75</f>
        <v>75</v>
      </c>
      <c r="DI2807" s="4" t="s">
        <v>241</v>
      </c>
      <c r="DJ2807" s="4" t="s">
        <v>241</v>
      </c>
      <c r="DK2807" s="4" t="s">
        <v>241</v>
      </c>
      <c r="DL2807" s="4" t="s">
        <v>241</v>
      </c>
      <c r="DP2807" s="4" t="s">
        <v>241</v>
      </c>
      <c r="DQ2807" s="4" t="s">
        <v>241</v>
      </c>
      <c r="DR2807" s="4" t="s">
        <v>241</v>
      </c>
      <c r="DS2807" s="4" t="s">
        <v>241</v>
      </c>
      <c r="DV2807" s="4" t="s">
        <v>426</v>
      </c>
      <c r="DW2807" s="4" t="s">
        <v>2271</v>
      </c>
      <c r="HO2807" s="4" t="s">
        <v>267</v>
      </c>
    </row>
    <row r="2808" spans="1:223" ht="19.5" customHeight="1" x14ac:dyDescent="0.4">
      <c r="A2808" s="4">
        <v>1</v>
      </c>
      <c r="B2808" s="4" t="s">
        <v>239</v>
      </c>
      <c r="C2808" s="4">
        <v>4511</v>
      </c>
      <c r="D2808" s="4">
        <v>1</v>
      </c>
      <c r="E2808" s="4">
        <v>1</v>
      </c>
      <c r="F2808" s="4" t="s">
        <v>268</v>
      </c>
      <c r="G2808" s="4" t="s">
        <v>241</v>
      </c>
      <c r="H2808" s="4" t="s">
        <v>241</v>
      </c>
      <c r="I2808" s="4" t="s">
        <v>424</v>
      </c>
      <c r="J2808" s="4" t="s">
        <v>274</v>
      </c>
      <c r="K2808" s="4" t="s">
        <v>251</v>
      </c>
      <c r="L2808" s="4" t="s">
        <v>423</v>
      </c>
      <c r="M2808" s="5" t="s">
        <v>3617</v>
      </c>
      <c r="N2808" s="6">
        <f>126</f>
        <v>126</v>
      </c>
      <c r="O2808" s="4" t="s">
        <v>265</v>
      </c>
      <c r="P2808" s="6">
        <f>1</f>
        <v>1</v>
      </c>
      <c r="Q2808" s="6">
        <f>0</f>
        <v>0</v>
      </c>
      <c r="S2808" s="6">
        <f>0</f>
        <v>0</v>
      </c>
      <c r="T2808" s="6">
        <f>1</f>
        <v>1</v>
      </c>
      <c r="U2808" s="5" t="s">
        <v>245</v>
      </c>
      <c r="V2808" s="4" t="s">
        <v>270</v>
      </c>
      <c r="W2808" s="4" t="s">
        <v>271</v>
      </c>
      <c r="X2808" s="4" t="s">
        <v>273</v>
      </c>
      <c r="Y2808" s="4" t="s">
        <v>241</v>
      </c>
      <c r="AB2808" s="4" t="s">
        <v>241</v>
      </c>
      <c r="AD2808" s="5" t="s">
        <v>241</v>
      </c>
      <c r="AG2808" s="5" t="s">
        <v>246</v>
      </c>
      <c r="AH2808" s="4" t="s">
        <v>241</v>
      </c>
      <c r="AI2808" s="4" t="s">
        <v>247</v>
      </c>
      <c r="AJ2808" s="4" t="s">
        <v>248</v>
      </c>
      <c r="AZ2808" s="4" t="s">
        <v>249</v>
      </c>
      <c r="BA2808" s="4" t="s">
        <v>241</v>
      </c>
      <c r="BB2808" s="4" t="s">
        <v>250</v>
      </c>
      <c r="BC2808" s="4" t="s">
        <v>241</v>
      </c>
      <c r="BD2808" s="4" t="s">
        <v>252</v>
      </c>
      <c r="BE2808" s="4" t="s">
        <v>241</v>
      </c>
      <c r="BI2808" s="4" t="s">
        <v>253</v>
      </c>
      <c r="BJ2808" s="5" t="s">
        <v>246</v>
      </c>
      <c r="BK2808" s="4" t="s">
        <v>254</v>
      </c>
      <c r="BL2808" s="4" t="s">
        <v>255</v>
      </c>
      <c r="BM2808" s="4" t="s">
        <v>241</v>
      </c>
      <c r="BN2808" s="6">
        <f>0</f>
        <v>0</v>
      </c>
      <c r="BO2808" s="6">
        <f>0</f>
        <v>0</v>
      </c>
      <c r="BP2808" s="4" t="s">
        <v>256</v>
      </c>
      <c r="BQ2808" s="4" t="s">
        <v>257</v>
      </c>
      <c r="CE2808" s="4" t="s">
        <v>241</v>
      </c>
      <c r="CF2808" s="4" t="s">
        <v>241</v>
      </c>
      <c r="CJ2808" s="4" t="s">
        <v>276</v>
      </c>
      <c r="CK2808" s="4" t="s">
        <v>259</v>
      </c>
      <c r="CL2808" s="4" t="s">
        <v>241</v>
      </c>
      <c r="CO2808" s="5" t="s">
        <v>260</v>
      </c>
      <c r="CP2808" s="4" t="s">
        <v>241</v>
      </c>
      <c r="CQ2808" s="4" t="s">
        <v>261</v>
      </c>
      <c r="CR2808" s="4" t="s">
        <v>241</v>
      </c>
      <c r="CS2808" s="4" t="s">
        <v>241</v>
      </c>
      <c r="CT2808" s="4">
        <v>0</v>
      </c>
      <c r="CU2808" s="4" t="s">
        <v>262</v>
      </c>
      <c r="CV2808" s="4" t="s">
        <v>263</v>
      </c>
      <c r="CW2808" s="4" t="s">
        <v>263</v>
      </c>
      <c r="CX2808" s="4" t="s">
        <v>264</v>
      </c>
      <c r="DA2808" s="6">
        <f>1</f>
        <v>1</v>
      </c>
      <c r="DC2808" s="4" t="s">
        <v>325</v>
      </c>
      <c r="DD2808" s="4" t="s">
        <v>241</v>
      </c>
      <c r="DF2808" s="4" t="s">
        <v>325</v>
      </c>
      <c r="DG2808" s="6">
        <f>126</f>
        <v>126</v>
      </c>
      <c r="DI2808" s="4" t="s">
        <v>241</v>
      </c>
      <c r="DJ2808" s="4" t="s">
        <v>241</v>
      </c>
      <c r="DK2808" s="4" t="s">
        <v>241</v>
      </c>
      <c r="DL2808" s="4" t="s">
        <v>241</v>
      </c>
      <c r="DP2808" s="4" t="s">
        <v>241</v>
      </c>
      <c r="DQ2808" s="4" t="s">
        <v>241</v>
      </c>
      <c r="DR2808" s="4" t="s">
        <v>241</v>
      </c>
      <c r="DS2808" s="4" t="s">
        <v>241</v>
      </c>
      <c r="DV2808" s="4" t="s">
        <v>426</v>
      </c>
      <c r="DW2808" s="4" t="s">
        <v>2269</v>
      </c>
      <c r="HO2808" s="4" t="s">
        <v>267</v>
      </c>
    </row>
    <row r="2809" spans="1:223" ht="19.5" customHeight="1" x14ac:dyDescent="0.4">
      <c r="A2809" s="4">
        <v>1</v>
      </c>
      <c r="B2809" s="4" t="s">
        <v>239</v>
      </c>
      <c r="C2809" s="4">
        <v>4512</v>
      </c>
      <c r="D2809" s="4">
        <v>1</v>
      </c>
      <c r="E2809" s="4">
        <v>1</v>
      </c>
      <c r="F2809" s="4" t="s">
        <v>268</v>
      </c>
      <c r="G2809" s="4" t="s">
        <v>241</v>
      </c>
      <c r="H2809" s="4" t="s">
        <v>241</v>
      </c>
      <c r="I2809" s="4" t="s">
        <v>424</v>
      </c>
      <c r="J2809" s="4" t="s">
        <v>274</v>
      </c>
      <c r="K2809" s="4" t="s">
        <v>251</v>
      </c>
      <c r="L2809" s="4" t="s">
        <v>423</v>
      </c>
      <c r="M2809" s="5" t="s">
        <v>3480</v>
      </c>
      <c r="N2809" s="6">
        <f>2146</f>
        <v>2146</v>
      </c>
      <c r="O2809" s="4" t="s">
        <v>265</v>
      </c>
      <c r="P2809" s="6">
        <f>1</f>
        <v>1</v>
      </c>
      <c r="Q2809" s="6">
        <f>0</f>
        <v>0</v>
      </c>
      <c r="S2809" s="6">
        <f>0</f>
        <v>0</v>
      </c>
      <c r="T2809" s="6">
        <f>1</f>
        <v>1</v>
      </c>
      <c r="U2809" s="5" t="s">
        <v>245</v>
      </c>
      <c r="V2809" s="4" t="s">
        <v>270</v>
      </c>
      <c r="W2809" s="4" t="s">
        <v>271</v>
      </c>
      <c r="X2809" s="4" t="s">
        <v>273</v>
      </c>
      <c r="Y2809" s="4" t="s">
        <v>241</v>
      </c>
      <c r="AB2809" s="4" t="s">
        <v>241</v>
      </c>
      <c r="AD2809" s="5" t="s">
        <v>241</v>
      </c>
      <c r="AG2809" s="5" t="s">
        <v>246</v>
      </c>
      <c r="AH2809" s="4" t="s">
        <v>241</v>
      </c>
      <c r="AI2809" s="4" t="s">
        <v>247</v>
      </c>
      <c r="AJ2809" s="4" t="s">
        <v>248</v>
      </c>
      <c r="AZ2809" s="4" t="s">
        <v>249</v>
      </c>
      <c r="BA2809" s="4" t="s">
        <v>241</v>
      </c>
      <c r="BB2809" s="4" t="s">
        <v>250</v>
      </c>
      <c r="BC2809" s="4" t="s">
        <v>241</v>
      </c>
      <c r="BD2809" s="4" t="s">
        <v>252</v>
      </c>
      <c r="BE2809" s="4" t="s">
        <v>241</v>
      </c>
      <c r="BI2809" s="4" t="s">
        <v>253</v>
      </c>
      <c r="BJ2809" s="5" t="s">
        <v>246</v>
      </c>
      <c r="BK2809" s="4" t="s">
        <v>254</v>
      </c>
      <c r="BL2809" s="4" t="s">
        <v>255</v>
      </c>
      <c r="BM2809" s="4" t="s">
        <v>241</v>
      </c>
      <c r="BN2809" s="6">
        <f>0</f>
        <v>0</v>
      </c>
      <c r="BO2809" s="6">
        <f>0</f>
        <v>0</v>
      </c>
      <c r="BP2809" s="4" t="s">
        <v>256</v>
      </c>
      <c r="BQ2809" s="4" t="s">
        <v>257</v>
      </c>
      <c r="CE2809" s="4" t="s">
        <v>241</v>
      </c>
      <c r="CF2809" s="4" t="s">
        <v>241</v>
      </c>
      <c r="CJ2809" s="4" t="s">
        <v>276</v>
      </c>
      <c r="CK2809" s="4" t="s">
        <v>259</v>
      </c>
      <c r="CL2809" s="4" t="s">
        <v>241</v>
      </c>
      <c r="CO2809" s="5" t="s">
        <v>260</v>
      </c>
      <c r="CP2809" s="4" t="s">
        <v>241</v>
      </c>
      <c r="CQ2809" s="4" t="s">
        <v>261</v>
      </c>
      <c r="CR2809" s="4" t="s">
        <v>241</v>
      </c>
      <c r="CS2809" s="4" t="s">
        <v>241</v>
      </c>
      <c r="CT2809" s="4">
        <v>0</v>
      </c>
      <c r="CU2809" s="4" t="s">
        <v>262</v>
      </c>
      <c r="CV2809" s="4" t="s">
        <v>263</v>
      </c>
      <c r="CW2809" s="4" t="s">
        <v>263</v>
      </c>
      <c r="CX2809" s="4" t="s">
        <v>264</v>
      </c>
      <c r="DA2809" s="6">
        <f>1</f>
        <v>1</v>
      </c>
      <c r="DC2809" s="4" t="s">
        <v>325</v>
      </c>
      <c r="DD2809" s="4" t="s">
        <v>241</v>
      </c>
      <c r="DF2809" s="4" t="s">
        <v>325</v>
      </c>
      <c r="DG2809" s="6">
        <f>2146</f>
        <v>2146</v>
      </c>
      <c r="DI2809" s="4" t="s">
        <v>241</v>
      </c>
      <c r="DJ2809" s="4" t="s">
        <v>241</v>
      </c>
      <c r="DK2809" s="4" t="s">
        <v>241</v>
      </c>
      <c r="DL2809" s="4" t="s">
        <v>241</v>
      </c>
      <c r="DP2809" s="4" t="s">
        <v>241</v>
      </c>
      <c r="DQ2809" s="4" t="s">
        <v>241</v>
      </c>
      <c r="DR2809" s="4" t="s">
        <v>241</v>
      </c>
      <c r="DS2809" s="4" t="s">
        <v>241</v>
      </c>
      <c r="DV2809" s="4" t="s">
        <v>426</v>
      </c>
      <c r="DW2809" s="4" t="s">
        <v>2267</v>
      </c>
      <c r="HO2809" s="4" t="s">
        <v>267</v>
      </c>
    </row>
    <row r="2810" spans="1:223" ht="19.5" customHeight="1" x14ac:dyDescent="0.4">
      <c r="A2810" s="4">
        <v>1</v>
      </c>
      <c r="B2810" s="4" t="s">
        <v>239</v>
      </c>
      <c r="C2810" s="4">
        <v>4513</v>
      </c>
      <c r="D2810" s="4">
        <v>1</v>
      </c>
      <c r="E2810" s="4">
        <v>1</v>
      </c>
      <c r="F2810" s="4" t="s">
        <v>268</v>
      </c>
      <c r="G2810" s="4" t="s">
        <v>241</v>
      </c>
      <c r="H2810" s="4" t="s">
        <v>241</v>
      </c>
      <c r="I2810" s="4" t="s">
        <v>424</v>
      </c>
      <c r="J2810" s="4" t="s">
        <v>274</v>
      </c>
      <c r="K2810" s="4" t="s">
        <v>251</v>
      </c>
      <c r="L2810" s="4" t="s">
        <v>423</v>
      </c>
      <c r="M2810" s="5" t="s">
        <v>3388</v>
      </c>
      <c r="N2810" s="6">
        <f>2084</f>
        <v>2084</v>
      </c>
      <c r="O2810" s="4" t="s">
        <v>265</v>
      </c>
      <c r="P2810" s="6">
        <f>1</f>
        <v>1</v>
      </c>
      <c r="Q2810" s="6">
        <f>0</f>
        <v>0</v>
      </c>
      <c r="S2810" s="6">
        <f>0</f>
        <v>0</v>
      </c>
      <c r="T2810" s="6">
        <f>1</f>
        <v>1</v>
      </c>
      <c r="U2810" s="5" t="s">
        <v>245</v>
      </c>
      <c r="V2810" s="4" t="s">
        <v>270</v>
      </c>
      <c r="W2810" s="4" t="s">
        <v>271</v>
      </c>
      <c r="X2810" s="4" t="s">
        <v>273</v>
      </c>
      <c r="Y2810" s="4" t="s">
        <v>241</v>
      </c>
      <c r="AB2810" s="4" t="s">
        <v>241</v>
      </c>
      <c r="AD2810" s="5" t="s">
        <v>241</v>
      </c>
      <c r="AG2810" s="5" t="s">
        <v>246</v>
      </c>
      <c r="AH2810" s="4" t="s">
        <v>241</v>
      </c>
      <c r="AI2810" s="4" t="s">
        <v>247</v>
      </c>
      <c r="AJ2810" s="4" t="s">
        <v>248</v>
      </c>
      <c r="AZ2810" s="4" t="s">
        <v>249</v>
      </c>
      <c r="BA2810" s="4" t="s">
        <v>241</v>
      </c>
      <c r="BB2810" s="4" t="s">
        <v>250</v>
      </c>
      <c r="BC2810" s="4" t="s">
        <v>241</v>
      </c>
      <c r="BD2810" s="4" t="s">
        <v>252</v>
      </c>
      <c r="BE2810" s="4" t="s">
        <v>241</v>
      </c>
      <c r="BI2810" s="4" t="s">
        <v>253</v>
      </c>
      <c r="BJ2810" s="5" t="s">
        <v>246</v>
      </c>
      <c r="BK2810" s="4" t="s">
        <v>254</v>
      </c>
      <c r="BL2810" s="4" t="s">
        <v>255</v>
      </c>
      <c r="BM2810" s="4" t="s">
        <v>241</v>
      </c>
      <c r="BN2810" s="6">
        <f>0</f>
        <v>0</v>
      </c>
      <c r="BO2810" s="6">
        <f>0</f>
        <v>0</v>
      </c>
      <c r="BP2810" s="4" t="s">
        <v>256</v>
      </c>
      <c r="BQ2810" s="4" t="s">
        <v>257</v>
      </c>
      <c r="CE2810" s="4" t="s">
        <v>241</v>
      </c>
      <c r="CF2810" s="4" t="s">
        <v>241</v>
      </c>
      <c r="CJ2810" s="4" t="s">
        <v>276</v>
      </c>
      <c r="CK2810" s="4" t="s">
        <v>259</v>
      </c>
      <c r="CL2810" s="4" t="s">
        <v>241</v>
      </c>
      <c r="CO2810" s="5" t="s">
        <v>260</v>
      </c>
      <c r="CP2810" s="4" t="s">
        <v>241</v>
      </c>
      <c r="CQ2810" s="4" t="s">
        <v>261</v>
      </c>
      <c r="CR2810" s="4" t="s">
        <v>241</v>
      </c>
      <c r="CS2810" s="4" t="s">
        <v>241</v>
      </c>
      <c r="CT2810" s="4">
        <v>0</v>
      </c>
      <c r="CU2810" s="4" t="s">
        <v>262</v>
      </c>
      <c r="CV2810" s="4" t="s">
        <v>263</v>
      </c>
      <c r="CW2810" s="4" t="s">
        <v>263</v>
      </c>
      <c r="CX2810" s="4" t="s">
        <v>264</v>
      </c>
      <c r="DA2810" s="6">
        <f>1</f>
        <v>1</v>
      </c>
      <c r="DC2810" s="4" t="s">
        <v>325</v>
      </c>
      <c r="DD2810" s="4" t="s">
        <v>241</v>
      </c>
      <c r="DF2810" s="4" t="s">
        <v>325</v>
      </c>
      <c r="DG2810" s="6">
        <f>2084</f>
        <v>2084</v>
      </c>
      <c r="DI2810" s="4" t="s">
        <v>241</v>
      </c>
      <c r="DJ2810" s="4" t="s">
        <v>241</v>
      </c>
      <c r="DK2810" s="4" t="s">
        <v>241</v>
      </c>
      <c r="DL2810" s="4" t="s">
        <v>241</v>
      </c>
      <c r="DP2810" s="4" t="s">
        <v>241</v>
      </c>
      <c r="DQ2810" s="4" t="s">
        <v>241</v>
      </c>
      <c r="DR2810" s="4" t="s">
        <v>241</v>
      </c>
      <c r="DS2810" s="4" t="s">
        <v>241</v>
      </c>
      <c r="DV2810" s="4" t="s">
        <v>426</v>
      </c>
      <c r="DW2810" s="4" t="s">
        <v>2265</v>
      </c>
      <c r="HO2810" s="4" t="s">
        <v>267</v>
      </c>
    </row>
    <row r="2811" spans="1:223" ht="19.5" customHeight="1" x14ac:dyDescent="0.4">
      <c r="A2811" s="4">
        <v>1</v>
      </c>
      <c r="B2811" s="4" t="s">
        <v>239</v>
      </c>
      <c r="C2811" s="4">
        <v>4514</v>
      </c>
      <c r="D2811" s="4">
        <v>1</v>
      </c>
      <c r="E2811" s="4">
        <v>1</v>
      </c>
      <c r="F2811" s="4" t="s">
        <v>268</v>
      </c>
      <c r="G2811" s="4" t="s">
        <v>241</v>
      </c>
      <c r="H2811" s="4" t="s">
        <v>241</v>
      </c>
      <c r="I2811" s="4" t="s">
        <v>424</v>
      </c>
      <c r="J2811" s="4" t="s">
        <v>274</v>
      </c>
      <c r="K2811" s="4" t="s">
        <v>251</v>
      </c>
      <c r="L2811" s="4" t="s">
        <v>423</v>
      </c>
      <c r="M2811" s="5" t="s">
        <v>3312</v>
      </c>
      <c r="N2811" s="6">
        <f>1174</f>
        <v>1174</v>
      </c>
      <c r="O2811" s="4" t="s">
        <v>265</v>
      </c>
      <c r="P2811" s="6">
        <f>1</f>
        <v>1</v>
      </c>
      <c r="Q2811" s="6">
        <f>0</f>
        <v>0</v>
      </c>
      <c r="S2811" s="6">
        <f>0</f>
        <v>0</v>
      </c>
      <c r="T2811" s="6">
        <f>1</f>
        <v>1</v>
      </c>
      <c r="U2811" s="5" t="s">
        <v>245</v>
      </c>
      <c r="V2811" s="4" t="s">
        <v>270</v>
      </c>
      <c r="W2811" s="4" t="s">
        <v>271</v>
      </c>
      <c r="X2811" s="4" t="s">
        <v>273</v>
      </c>
      <c r="Y2811" s="4" t="s">
        <v>241</v>
      </c>
      <c r="AB2811" s="4" t="s">
        <v>241</v>
      </c>
      <c r="AD2811" s="5" t="s">
        <v>241</v>
      </c>
      <c r="AG2811" s="5" t="s">
        <v>246</v>
      </c>
      <c r="AH2811" s="4" t="s">
        <v>241</v>
      </c>
      <c r="AI2811" s="4" t="s">
        <v>247</v>
      </c>
      <c r="AJ2811" s="4" t="s">
        <v>248</v>
      </c>
      <c r="AZ2811" s="4" t="s">
        <v>249</v>
      </c>
      <c r="BA2811" s="4" t="s">
        <v>241</v>
      </c>
      <c r="BB2811" s="4" t="s">
        <v>250</v>
      </c>
      <c r="BC2811" s="4" t="s">
        <v>241</v>
      </c>
      <c r="BD2811" s="4" t="s">
        <v>252</v>
      </c>
      <c r="BE2811" s="4" t="s">
        <v>241</v>
      </c>
      <c r="BI2811" s="4" t="s">
        <v>253</v>
      </c>
      <c r="BJ2811" s="5" t="s">
        <v>246</v>
      </c>
      <c r="BK2811" s="4" t="s">
        <v>254</v>
      </c>
      <c r="BL2811" s="4" t="s">
        <v>255</v>
      </c>
      <c r="BM2811" s="4" t="s">
        <v>241</v>
      </c>
      <c r="BN2811" s="6">
        <f>0</f>
        <v>0</v>
      </c>
      <c r="BO2811" s="6">
        <f>0</f>
        <v>0</v>
      </c>
      <c r="BP2811" s="4" t="s">
        <v>256</v>
      </c>
      <c r="BQ2811" s="4" t="s">
        <v>257</v>
      </c>
      <c r="CE2811" s="4" t="s">
        <v>241</v>
      </c>
      <c r="CF2811" s="4" t="s">
        <v>241</v>
      </c>
      <c r="CJ2811" s="4" t="s">
        <v>276</v>
      </c>
      <c r="CK2811" s="4" t="s">
        <v>259</v>
      </c>
      <c r="CL2811" s="4" t="s">
        <v>241</v>
      </c>
      <c r="CO2811" s="5" t="s">
        <v>260</v>
      </c>
      <c r="CP2811" s="4" t="s">
        <v>241</v>
      </c>
      <c r="CQ2811" s="4" t="s">
        <v>261</v>
      </c>
      <c r="CR2811" s="4" t="s">
        <v>241</v>
      </c>
      <c r="CS2811" s="4" t="s">
        <v>241</v>
      </c>
      <c r="CT2811" s="4">
        <v>0</v>
      </c>
      <c r="CU2811" s="4" t="s">
        <v>262</v>
      </c>
      <c r="CV2811" s="4" t="s">
        <v>263</v>
      </c>
      <c r="CW2811" s="4" t="s">
        <v>263</v>
      </c>
      <c r="CX2811" s="4" t="s">
        <v>264</v>
      </c>
      <c r="DA2811" s="6">
        <f>1</f>
        <v>1</v>
      </c>
      <c r="DC2811" s="4" t="s">
        <v>325</v>
      </c>
      <c r="DD2811" s="4" t="s">
        <v>241</v>
      </c>
      <c r="DF2811" s="4" t="s">
        <v>325</v>
      </c>
      <c r="DG2811" s="6">
        <f>1174</f>
        <v>1174</v>
      </c>
      <c r="DI2811" s="4" t="s">
        <v>241</v>
      </c>
      <c r="DJ2811" s="4" t="s">
        <v>241</v>
      </c>
      <c r="DK2811" s="4" t="s">
        <v>241</v>
      </c>
      <c r="DL2811" s="4" t="s">
        <v>241</v>
      </c>
      <c r="DP2811" s="4" t="s">
        <v>241</v>
      </c>
      <c r="DQ2811" s="4" t="s">
        <v>241</v>
      </c>
      <c r="DR2811" s="4" t="s">
        <v>241</v>
      </c>
      <c r="DS2811" s="4" t="s">
        <v>241</v>
      </c>
      <c r="DV2811" s="4" t="s">
        <v>426</v>
      </c>
      <c r="DW2811" s="4" t="s">
        <v>2263</v>
      </c>
      <c r="HO2811" s="4" t="s">
        <v>267</v>
      </c>
    </row>
    <row r="2812" spans="1:223" ht="19.5" customHeight="1" x14ac:dyDescent="0.4">
      <c r="A2812" s="4">
        <v>1</v>
      </c>
      <c r="B2812" s="4" t="s">
        <v>239</v>
      </c>
      <c r="C2812" s="4">
        <v>4515</v>
      </c>
      <c r="D2812" s="4">
        <v>1</v>
      </c>
      <c r="E2812" s="4">
        <v>1</v>
      </c>
      <c r="F2812" s="4" t="s">
        <v>268</v>
      </c>
      <c r="G2812" s="4" t="s">
        <v>241</v>
      </c>
      <c r="H2812" s="4" t="s">
        <v>241</v>
      </c>
      <c r="I2812" s="4" t="s">
        <v>424</v>
      </c>
      <c r="J2812" s="4" t="s">
        <v>274</v>
      </c>
      <c r="K2812" s="4" t="s">
        <v>251</v>
      </c>
      <c r="L2812" s="4" t="s">
        <v>423</v>
      </c>
      <c r="M2812" s="5" t="s">
        <v>3250</v>
      </c>
      <c r="N2812" s="6">
        <f>152</f>
        <v>152</v>
      </c>
      <c r="O2812" s="4" t="s">
        <v>265</v>
      </c>
      <c r="P2812" s="6">
        <f>1</f>
        <v>1</v>
      </c>
      <c r="Q2812" s="6">
        <f>0</f>
        <v>0</v>
      </c>
      <c r="S2812" s="6">
        <f>0</f>
        <v>0</v>
      </c>
      <c r="T2812" s="6">
        <f>1</f>
        <v>1</v>
      </c>
      <c r="U2812" s="5" t="s">
        <v>245</v>
      </c>
      <c r="V2812" s="4" t="s">
        <v>270</v>
      </c>
      <c r="W2812" s="4" t="s">
        <v>271</v>
      </c>
      <c r="X2812" s="4" t="s">
        <v>273</v>
      </c>
      <c r="Y2812" s="4" t="s">
        <v>241</v>
      </c>
      <c r="AB2812" s="4" t="s">
        <v>241</v>
      </c>
      <c r="AD2812" s="5" t="s">
        <v>241</v>
      </c>
      <c r="AG2812" s="5" t="s">
        <v>246</v>
      </c>
      <c r="AH2812" s="4" t="s">
        <v>241</v>
      </c>
      <c r="AI2812" s="4" t="s">
        <v>247</v>
      </c>
      <c r="AJ2812" s="4" t="s">
        <v>248</v>
      </c>
      <c r="AZ2812" s="4" t="s">
        <v>249</v>
      </c>
      <c r="BA2812" s="4" t="s">
        <v>241</v>
      </c>
      <c r="BB2812" s="4" t="s">
        <v>250</v>
      </c>
      <c r="BC2812" s="4" t="s">
        <v>241</v>
      </c>
      <c r="BD2812" s="4" t="s">
        <v>252</v>
      </c>
      <c r="BE2812" s="4" t="s">
        <v>241</v>
      </c>
      <c r="BI2812" s="4" t="s">
        <v>253</v>
      </c>
      <c r="BJ2812" s="5" t="s">
        <v>246</v>
      </c>
      <c r="BK2812" s="4" t="s">
        <v>254</v>
      </c>
      <c r="BL2812" s="4" t="s">
        <v>255</v>
      </c>
      <c r="BM2812" s="4" t="s">
        <v>241</v>
      </c>
      <c r="BN2812" s="6">
        <f>0</f>
        <v>0</v>
      </c>
      <c r="BO2812" s="6">
        <f>0</f>
        <v>0</v>
      </c>
      <c r="BP2812" s="4" t="s">
        <v>256</v>
      </c>
      <c r="BQ2812" s="4" t="s">
        <v>257</v>
      </c>
      <c r="CE2812" s="4" t="s">
        <v>241</v>
      </c>
      <c r="CF2812" s="4" t="s">
        <v>241</v>
      </c>
      <c r="CJ2812" s="4" t="s">
        <v>276</v>
      </c>
      <c r="CK2812" s="4" t="s">
        <v>259</v>
      </c>
      <c r="CL2812" s="4" t="s">
        <v>241</v>
      </c>
      <c r="CO2812" s="5" t="s">
        <v>260</v>
      </c>
      <c r="CP2812" s="4" t="s">
        <v>241</v>
      </c>
      <c r="CQ2812" s="4" t="s">
        <v>261</v>
      </c>
      <c r="CR2812" s="4" t="s">
        <v>241</v>
      </c>
      <c r="CS2812" s="4" t="s">
        <v>241</v>
      </c>
      <c r="CT2812" s="4">
        <v>0</v>
      </c>
      <c r="CU2812" s="4" t="s">
        <v>262</v>
      </c>
      <c r="CV2812" s="4" t="s">
        <v>263</v>
      </c>
      <c r="CW2812" s="4" t="s">
        <v>263</v>
      </c>
      <c r="CX2812" s="4" t="s">
        <v>264</v>
      </c>
      <c r="DA2812" s="6">
        <f>1</f>
        <v>1</v>
      </c>
      <c r="DC2812" s="4" t="s">
        <v>325</v>
      </c>
      <c r="DD2812" s="4" t="s">
        <v>241</v>
      </c>
      <c r="DF2812" s="4" t="s">
        <v>325</v>
      </c>
      <c r="DG2812" s="6">
        <f>152</f>
        <v>152</v>
      </c>
      <c r="DI2812" s="4" t="s">
        <v>241</v>
      </c>
      <c r="DJ2812" s="4" t="s">
        <v>241</v>
      </c>
      <c r="DK2812" s="4" t="s">
        <v>241</v>
      </c>
      <c r="DL2812" s="4" t="s">
        <v>241</v>
      </c>
      <c r="DP2812" s="4" t="s">
        <v>241</v>
      </c>
      <c r="DQ2812" s="4" t="s">
        <v>241</v>
      </c>
      <c r="DR2812" s="4" t="s">
        <v>241</v>
      </c>
      <c r="DS2812" s="4" t="s">
        <v>241</v>
      </c>
      <c r="DV2812" s="4" t="s">
        <v>426</v>
      </c>
      <c r="DW2812" s="4" t="s">
        <v>2261</v>
      </c>
      <c r="HO2812" s="4" t="s">
        <v>267</v>
      </c>
    </row>
    <row r="2813" spans="1:223" ht="19.5" customHeight="1" x14ac:dyDescent="0.4">
      <c r="A2813" s="4">
        <v>1</v>
      </c>
      <c r="B2813" s="4" t="s">
        <v>239</v>
      </c>
      <c r="C2813" s="4">
        <v>4516</v>
      </c>
      <c r="D2813" s="4">
        <v>1</v>
      </c>
      <c r="E2813" s="4">
        <v>1</v>
      </c>
      <c r="F2813" s="4" t="s">
        <v>268</v>
      </c>
      <c r="G2813" s="4" t="s">
        <v>241</v>
      </c>
      <c r="H2813" s="4" t="s">
        <v>241</v>
      </c>
      <c r="I2813" s="4" t="s">
        <v>424</v>
      </c>
      <c r="J2813" s="4" t="s">
        <v>274</v>
      </c>
      <c r="K2813" s="4" t="s">
        <v>251</v>
      </c>
      <c r="L2813" s="4" t="s">
        <v>423</v>
      </c>
      <c r="M2813" s="5" t="s">
        <v>963</v>
      </c>
      <c r="N2813" s="6">
        <f>89</f>
        <v>89</v>
      </c>
      <c r="O2813" s="4" t="s">
        <v>265</v>
      </c>
      <c r="P2813" s="6">
        <f>1</f>
        <v>1</v>
      </c>
      <c r="Q2813" s="6">
        <f>0</f>
        <v>0</v>
      </c>
      <c r="S2813" s="6">
        <f>0</f>
        <v>0</v>
      </c>
      <c r="T2813" s="6">
        <f>1</f>
        <v>1</v>
      </c>
      <c r="U2813" s="5" t="s">
        <v>245</v>
      </c>
      <c r="V2813" s="4" t="s">
        <v>270</v>
      </c>
      <c r="W2813" s="4" t="s">
        <v>271</v>
      </c>
      <c r="X2813" s="4" t="s">
        <v>273</v>
      </c>
      <c r="Y2813" s="4" t="s">
        <v>241</v>
      </c>
      <c r="AB2813" s="4" t="s">
        <v>241</v>
      </c>
      <c r="AD2813" s="5" t="s">
        <v>241</v>
      </c>
      <c r="AG2813" s="5" t="s">
        <v>246</v>
      </c>
      <c r="AH2813" s="4" t="s">
        <v>241</v>
      </c>
      <c r="AI2813" s="4" t="s">
        <v>247</v>
      </c>
      <c r="AJ2813" s="4" t="s">
        <v>248</v>
      </c>
      <c r="AZ2813" s="4" t="s">
        <v>249</v>
      </c>
      <c r="BA2813" s="4" t="s">
        <v>241</v>
      </c>
      <c r="BB2813" s="4" t="s">
        <v>250</v>
      </c>
      <c r="BC2813" s="4" t="s">
        <v>241</v>
      </c>
      <c r="BD2813" s="4" t="s">
        <v>252</v>
      </c>
      <c r="BE2813" s="4" t="s">
        <v>241</v>
      </c>
      <c r="BI2813" s="4" t="s">
        <v>253</v>
      </c>
      <c r="BJ2813" s="5" t="s">
        <v>246</v>
      </c>
      <c r="BK2813" s="4" t="s">
        <v>254</v>
      </c>
      <c r="BL2813" s="4" t="s">
        <v>255</v>
      </c>
      <c r="BM2813" s="4" t="s">
        <v>241</v>
      </c>
      <c r="BN2813" s="6">
        <f>0</f>
        <v>0</v>
      </c>
      <c r="BO2813" s="6">
        <f>0</f>
        <v>0</v>
      </c>
      <c r="BP2813" s="4" t="s">
        <v>256</v>
      </c>
      <c r="BQ2813" s="4" t="s">
        <v>257</v>
      </c>
      <c r="CE2813" s="4" t="s">
        <v>241</v>
      </c>
      <c r="CF2813" s="4" t="s">
        <v>241</v>
      </c>
      <c r="CJ2813" s="4" t="s">
        <v>276</v>
      </c>
      <c r="CK2813" s="4" t="s">
        <v>259</v>
      </c>
      <c r="CL2813" s="4" t="s">
        <v>241</v>
      </c>
      <c r="CO2813" s="5" t="s">
        <v>260</v>
      </c>
      <c r="CP2813" s="4" t="s">
        <v>241</v>
      </c>
      <c r="CQ2813" s="4" t="s">
        <v>261</v>
      </c>
      <c r="CR2813" s="4" t="s">
        <v>241</v>
      </c>
      <c r="CS2813" s="4" t="s">
        <v>241</v>
      </c>
      <c r="CT2813" s="4">
        <v>0</v>
      </c>
      <c r="CU2813" s="4" t="s">
        <v>262</v>
      </c>
      <c r="CV2813" s="4" t="s">
        <v>263</v>
      </c>
      <c r="CW2813" s="4" t="s">
        <v>263</v>
      </c>
      <c r="CX2813" s="4" t="s">
        <v>264</v>
      </c>
      <c r="DA2813" s="6">
        <f>1</f>
        <v>1</v>
      </c>
      <c r="DC2813" s="4" t="s">
        <v>325</v>
      </c>
      <c r="DD2813" s="4" t="s">
        <v>241</v>
      </c>
      <c r="DF2813" s="4" t="s">
        <v>325</v>
      </c>
      <c r="DG2813" s="6">
        <f>89</f>
        <v>89</v>
      </c>
      <c r="DI2813" s="4" t="s">
        <v>241</v>
      </c>
      <c r="DJ2813" s="4" t="s">
        <v>241</v>
      </c>
      <c r="DK2813" s="4" t="s">
        <v>241</v>
      </c>
      <c r="DL2813" s="4" t="s">
        <v>241</v>
      </c>
      <c r="DP2813" s="4" t="s">
        <v>241</v>
      </c>
      <c r="DQ2813" s="4" t="s">
        <v>241</v>
      </c>
      <c r="DR2813" s="4" t="s">
        <v>241</v>
      </c>
      <c r="DS2813" s="4" t="s">
        <v>241</v>
      </c>
      <c r="DV2813" s="4" t="s">
        <v>426</v>
      </c>
      <c r="DW2813" s="4" t="s">
        <v>964</v>
      </c>
      <c r="HO2813" s="4" t="s">
        <v>267</v>
      </c>
    </row>
    <row r="2814" spans="1:223" ht="19.5" customHeight="1" x14ac:dyDescent="0.4">
      <c r="A2814" s="4">
        <v>1</v>
      </c>
      <c r="B2814" s="4" t="s">
        <v>239</v>
      </c>
      <c r="C2814" s="4">
        <v>4517</v>
      </c>
      <c r="D2814" s="4">
        <v>1</v>
      </c>
      <c r="E2814" s="4">
        <v>1</v>
      </c>
      <c r="F2814" s="4" t="s">
        <v>268</v>
      </c>
      <c r="G2814" s="4" t="s">
        <v>241</v>
      </c>
      <c r="H2814" s="4" t="s">
        <v>241</v>
      </c>
      <c r="I2814" s="4" t="s">
        <v>424</v>
      </c>
      <c r="J2814" s="4" t="s">
        <v>274</v>
      </c>
      <c r="K2814" s="4" t="s">
        <v>251</v>
      </c>
      <c r="L2814" s="4" t="s">
        <v>423</v>
      </c>
      <c r="M2814" s="5" t="s">
        <v>825</v>
      </c>
      <c r="N2814" s="6">
        <f>3638</f>
        <v>3638</v>
      </c>
      <c r="O2814" s="4" t="s">
        <v>265</v>
      </c>
      <c r="P2814" s="6">
        <f>1</f>
        <v>1</v>
      </c>
      <c r="Q2814" s="6">
        <f>0</f>
        <v>0</v>
      </c>
      <c r="S2814" s="6">
        <f>0</f>
        <v>0</v>
      </c>
      <c r="T2814" s="6">
        <f>1</f>
        <v>1</v>
      </c>
      <c r="U2814" s="5" t="s">
        <v>245</v>
      </c>
      <c r="V2814" s="4" t="s">
        <v>270</v>
      </c>
      <c r="W2814" s="4" t="s">
        <v>271</v>
      </c>
      <c r="X2814" s="4" t="s">
        <v>273</v>
      </c>
      <c r="Y2814" s="4" t="s">
        <v>241</v>
      </c>
      <c r="AB2814" s="4" t="s">
        <v>241</v>
      </c>
      <c r="AD2814" s="5" t="s">
        <v>241</v>
      </c>
      <c r="AG2814" s="5" t="s">
        <v>246</v>
      </c>
      <c r="AH2814" s="4" t="s">
        <v>241</v>
      </c>
      <c r="AI2814" s="4" t="s">
        <v>247</v>
      </c>
      <c r="AJ2814" s="4" t="s">
        <v>248</v>
      </c>
      <c r="AZ2814" s="4" t="s">
        <v>249</v>
      </c>
      <c r="BA2814" s="4" t="s">
        <v>241</v>
      </c>
      <c r="BB2814" s="4" t="s">
        <v>250</v>
      </c>
      <c r="BC2814" s="4" t="s">
        <v>241</v>
      </c>
      <c r="BD2814" s="4" t="s">
        <v>252</v>
      </c>
      <c r="BE2814" s="4" t="s">
        <v>241</v>
      </c>
      <c r="BI2814" s="4" t="s">
        <v>253</v>
      </c>
      <c r="BJ2814" s="5" t="s">
        <v>246</v>
      </c>
      <c r="BK2814" s="4" t="s">
        <v>254</v>
      </c>
      <c r="BL2814" s="4" t="s">
        <v>255</v>
      </c>
      <c r="BM2814" s="4" t="s">
        <v>241</v>
      </c>
      <c r="BN2814" s="6">
        <f>0</f>
        <v>0</v>
      </c>
      <c r="BO2814" s="6">
        <f>0</f>
        <v>0</v>
      </c>
      <c r="BP2814" s="4" t="s">
        <v>256</v>
      </c>
      <c r="BQ2814" s="4" t="s">
        <v>257</v>
      </c>
      <c r="CE2814" s="4" t="s">
        <v>241</v>
      </c>
      <c r="CF2814" s="4" t="s">
        <v>241</v>
      </c>
      <c r="CJ2814" s="4" t="s">
        <v>276</v>
      </c>
      <c r="CK2814" s="4" t="s">
        <v>259</v>
      </c>
      <c r="CL2814" s="4" t="s">
        <v>241</v>
      </c>
      <c r="CO2814" s="5" t="s">
        <v>260</v>
      </c>
      <c r="CP2814" s="4" t="s">
        <v>241</v>
      </c>
      <c r="CQ2814" s="4" t="s">
        <v>261</v>
      </c>
      <c r="CR2814" s="4" t="s">
        <v>241</v>
      </c>
      <c r="CS2814" s="4" t="s">
        <v>241</v>
      </c>
      <c r="CT2814" s="4">
        <v>0</v>
      </c>
      <c r="CU2814" s="4" t="s">
        <v>262</v>
      </c>
      <c r="CV2814" s="4" t="s">
        <v>263</v>
      </c>
      <c r="CW2814" s="4" t="s">
        <v>263</v>
      </c>
      <c r="CX2814" s="4" t="s">
        <v>264</v>
      </c>
      <c r="DA2814" s="6">
        <f>1</f>
        <v>1</v>
      </c>
      <c r="DC2814" s="4" t="s">
        <v>325</v>
      </c>
      <c r="DD2814" s="4" t="s">
        <v>241</v>
      </c>
      <c r="DF2814" s="4" t="s">
        <v>325</v>
      </c>
      <c r="DG2814" s="6">
        <f>3638</f>
        <v>3638</v>
      </c>
      <c r="DI2814" s="4" t="s">
        <v>241</v>
      </c>
      <c r="DJ2814" s="4" t="s">
        <v>241</v>
      </c>
      <c r="DK2814" s="4" t="s">
        <v>241</v>
      </c>
      <c r="DL2814" s="4" t="s">
        <v>241</v>
      </c>
      <c r="DP2814" s="4" t="s">
        <v>241</v>
      </c>
      <c r="DQ2814" s="4" t="s">
        <v>241</v>
      </c>
      <c r="DR2814" s="4" t="s">
        <v>241</v>
      </c>
      <c r="DS2814" s="4" t="s">
        <v>241</v>
      </c>
      <c r="DV2814" s="4" t="s">
        <v>426</v>
      </c>
      <c r="DW2814" s="4" t="s">
        <v>826</v>
      </c>
      <c r="HO2814" s="4" t="s">
        <v>267</v>
      </c>
    </row>
    <row r="2815" spans="1:223" ht="19.5" customHeight="1" x14ac:dyDescent="0.4">
      <c r="A2815" s="4">
        <v>1</v>
      </c>
      <c r="B2815" s="4" t="s">
        <v>239</v>
      </c>
      <c r="C2815" s="4">
        <v>4518</v>
      </c>
      <c r="D2815" s="4">
        <v>1</v>
      </c>
      <c r="E2815" s="4">
        <v>1</v>
      </c>
      <c r="F2815" s="4" t="s">
        <v>268</v>
      </c>
      <c r="G2815" s="4" t="s">
        <v>241</v>
      </c>
      <c r="H2815" s="4" t="s">
        <v>241</v>
      </c>
      <c r="I2815" s="4" t="s">
        <v>424</v>
      </c>
      <c r="J2815" s="4" t="s">
        <v>274</v>
      </c>
      <c r="K2815" s="4" t="s">
        <v>251</v>
      </c>
      <c r="L2815" s="4" t="s">
        <v>423</v>
      </c>
      <c r="M2815" s="5" t="s">
        <v>755</v>
      </c>
      <c r="N2815" s="6">
        <f>3691</f>
        <v>3691</v>
      </c>
      <c r="O2815" s="4" t="s">
        <v>265</v>
      </c>
      <c r="P2815" s="6">
        <f>1</f>
        <v>1</v>
      </c>
      <c r="Q2815" s="6">
        <f>0</f>
        <v>0</v>
      </c>
      <c r="S2815" s="6">
        <f>0</f>
        <v>0</v>
      </c>
      <c r="T2815" s="6">
        <f>1</f>
        <v>1</v>
      </c>
      <c r="U2815" s="5" t="s">
        <v>245</v>
      </c>
      <c r="V2815" s="4" t="s">
        <v>270</v>
      </c>
      <c r="W2815" s="4" t="s">
        <v>271</v>
      </c>
      <c r="X2815" s="4" t="s">
        <v>273</v>
      </c>
      <c r="Y2815" s="4" t="s">
        <v>241</v>
      </c>
      <c r="AB2815" s="4" t="s">
        <v>241</v>
      </c>
      <c r="AD2815" s="5" t="s">
        <v>241</v>
      </c>
      <c r="AG2815" s="5" t="s">
        <v>246</v>
      </c>
      <c r="AH2815" s="4" t="s">
        <v>241</v>
      </c>
      <c r="AI2815" s="4" t="s">
        <v>247</v>
      </c>
      <c r="AJ2815" s="4" t="s">
        <v>248</v>
      </c>
      <c r="AZ2815" s="4" t="s">
        <v>249</v>
      </c>
      <c r="BA2815" s="4" t="s">
        <v>241</v>
      </c>
      <c r="BB2815" s="4" t="s">
        <v>250</v>
      </c>
      <c r="BC2815" s="4" t="s">
        <v>241</v>
      </c>
      <c r="BD2815" s="4" t="s">
        <v>252</v>
      </c>
      <c r="BE2815" s="4" t="s">
        <v>241</v>
      </c>
      <c r="BI2815" s="4" t="s">
        <v>253</v>
      </c>
      <c r="BJ2815" s="5" t="s">
        <v>246</v>
      </c>
      <c r="BK2815" s="4" t="s">
        <v>254</v>
      </c>
      <c r="BL2815" s="4" t="s">
        <v>255</v>
      </c>
      <c r="BM2815" s="4" t="s">
        <v>241</v>
      </c>
      <c r="BN2815" s="6">
        <f>0</f>
        <v>0</v>
      </c>
      <c r="BO2815" s="6">
        <f>0</f>
        <v>0</v>
      </c>
      <c r="BP2815" s="4" t="s">
        <v>256</v>
      </c>
      <c r="BQ2815" s="4" t="s">
        <v>257</v>
      </c>
      <c r="CE2815" s="4" t="s">
        <v>241</v>
      </c>
      <c r="CF2815" s="4" t="s">
        <v>241</v>
      </c>
      <c r="CJ2815" s="4" t="s">
        <v>276</v>
      </c>
      <c r="CK2815" s="4" t="s">
        <v>259</v>
      </c>
      <c r="CL2815" s="4" t="s">
        <v>241</v>
      </c>
      <c r="CO2815" s="5" t="s">
        <v>260</v>
      </c>
      <c r="CP2815" s="4" t="s">
        <v>241</v>
      </c>
      <c r="CQ2815" s="4" t="s">
        <v>261</v>
      </c>
      <c r="CR2815" s="4" t="s">
        <v>241</v>
      </c>
      <c r="CS2815" s="4" t="s">
        <v>241</v>
      </c>
      <c r="CT2815" s="4">
        <v>0</v>
      </c>
      <c r="CU2815" s="4" t="s">
        <v>262</v>
      </c>
      <c r="CV2815" s="4" t="s">
        <v>263</v>
      </c>
      <c r="CW2815" s="4" t="s">
        <v>263</v>
      </c>
      <c r="CX2815" s="4" t="s">
        <v>264</v>
      </c>
      <c r="DA2815" s="6">
        <f>1</f>
        <v>1</v>
      </c>
      <c r="DC2815" s="4" t="s">
        <v>325</v>
      </c>
      <c r="DD2815" s="4" t="s">
        <v>241</v>
      </c>
      <c r="DF2815" s="4" t="s">
        <v>325</v>
      </c>
      <c r="DG2815" s="6">
        <f>3691</f>
        <v>3691</v>
      </c>
      <c r="DI2815" s="4" t="s">
        <v>241</v>
      </c>
      <c r="DJ2815" s="4" t="s">
        <v>241</v>
      </c>
      <c r="DK2815" s="4" t="s">
        <v>241</v>
      </c>
      <c r="DL2815" s="4" t="s">
        <v>241</v>
      </c>
      <c r="DP2815" s="4" t="s">
        <v>241</v>
      </c>
      <c r="DQ2815" s="4" t="s">
        <v>241</v>
      </c>
      <c r="DR2815" s="4" t="s">
        <v>241</v>
      </c>
      <c r="DS2815" s="4" t="s">
        <v>241</v>
      </c>
      <c r="DV2815" s="4" t="s">
        <v>426</v>
      </c>
      <c r="DW2815" s="4" t="s">
        <v>756</v>
      </c>
      <c r="HO2815" s="4" t="s">
        <v>267</v>
      </c>
    </row>
    <row r="2816" spans="1:223" ht="19.5" customHeight="1" x14ac:dyDescent="0.4">
      <c r="A2816" s="4">
        <v>1</v>
      </c>
      <c r="B2816" s="4" t="s">
        <v>239</v>
      </c>
      <c r="C2816" s="4">
        <v>4519</v>
      </c>
      <c r="D2816" s="4">
        <v>1</v>
      </c>
      <c r="E2816" s="4">
        <v>1</v>
      </c>
      <c r="F2816" s="4" t="s">
        <v>268</v>
      </c>
      <c r="G2816" s="4" t="s">
        <v>241</v>
      </c>
      <c r="H2816" s="4" t="s">
        <v>241</v>
      </c>
      <c r="I2816" s="4" t="s">
        <v>424</v>
      </c>
      <c r="J2816" s="4" t="s">
        <v>274</v>
      </c>
      <c r="K2816" s="4" t="s">
        <v>251</v>
      </c>
      <c r="L2816" s="4" t="s">
        <v>423</v>
      </c>
      <c r="M2816" s="5" t="s">
        <v>4348</v>
      </c>
      <c r="N2816" s="6">
        <f>1167</f>
        <v>1167</v>
      </c>
      <c r="O2816" s="4" t="s">
        <v>265</v>
      </c>
      <c r="P2816" s="6">
        <f>1</f>
        <v>1</v>
      </c>
      <c r="Q2816" s="6">
        <f>0</f>
        <v>0</v>
      </c>
      <c r="S2816" s="6">
        <f>0</f>
        <v>0</v>
      </c>
      <c r="T2816" s="6">
        <f>1</f>
        <v>1</v>
      </c>
      <c r="U2816" s="5" t="s">
        <v>245</v>
      </c>
      <c r="V2816" s="4" t="s">
        <v>270</v>
      </c>
      <c r="W2816" s="4" t="s">
        <v>271</v>
      </c>
      <c r="X2816" s="4" t="s">
        <v>273</v>
      </c>
      <c r="Y2816" s="4" t="s">
        <v>241</v>
      </c>
      <c r="AB2816" s="4" t="s">
        <v>241</v>
      </c>
      <c r="AD2816" s="5" t="s">
        <v>241</v>
      </c>
      <c r="AG2816" s="5" t="s">
        <v>246</v>
      </c>
      <c r="AH2816" s="4" t="s">
        <v>241</v>
      </c>
      <c r="AI2816" s="4" t="s">
        <v>247</v>
      </c>
      <c r="AJ2816" s="4" t="s">
        <v>248</v>
      </c>
      <c r="AZ2816" s="4" t="s">
        <v>249</v>
      </c>
      <c r="BA2816" s="4" t="s">
        <v>241</v>
      </c>
      <c r="BB2816" s="4" t="s">
        <v>250</v>
      </c>
      <c r="BC2816" s="4" t="s">
        <v>241</v>
      </c>
      <c r="BD2816" s="4" t="s">
        <v>252</v>
      </c>
      <c r="BE2816" s="4" t="s">
        <v>241</v>
      </c>
      <c r="BI2816" s="4" t="s">
        <v>253</v>
      </c>
      <c r="BJ2816" s="5" t="s">
        <v>246</v>
      </c>
      <c r="BK2816" s="4" t="s">
        <v>254</v>
      </c>
      <c r="BL2816" s="4" t="s">
        <v>255</v>
      </c>
      <c r="BM2816" s="4" t="s">
        <v>241</v>
      </c>
      <c r="BN2816" s="6">
        <f>0</f>
        <v>0</v>
      </c>
      <c r="BO2816" s="6">
        <f>0</f>
        <v>0</v>
      </c>
      <c r="BP2816" s="4" t="s">
        <v>256</v>
      </c>
      <c r="BQ2816" s="4" t="s">
        <v>257</v>
      </c>
      <c r="CE2816" s="4" t="s">
        <v>241</v>
      </c>
      <c r="CF2816" s="4" t="s">
        <v>241</v>
      </c>
      <c r="CJ2816" s="4" t="s">
        <v>276</v>
      </c>
      <c r="CK2816" s="4" t="s">
        <v>259</v>
      </c>
      <c r="CL2816" s="4" t="s">
        <v>241</v>
      </c>
      <c r="CO2816" s="5" t="s">
        <v>260</v>
      </c>
      <c r="CP2816" s="4" t="s">
        <v>241</v>
      </c>
      <c r="CQ2816" s="4" t="s">
        <v>261</v>
      </c>
      <c r="CR2816" s="4" t="s">
        <v>241</v>
      </c>
      <c r="CS2816" s="4" t="s">
        <v>241</v>
      </c>
      <c r="CT2816" s="4">
        <v>0</v>
      </c>
      <c r="CU2816" s="4" t="s">
        <v>262</v>
      </c>
      <c r="CV2816" s="4" t="s">
        <v>263</v>
      </c>
      <c r="CW2816" s="4" t="s">
        <v>263</v>
      </c>
      <c r="CX2816" s="4" t="s">
        <v>264</v>
      </c>
      <c r="DA2816" s="6">
        <f>1</f>
        <v>1</v>
      </c>
      <c r="DC2816" s="4" t="s">
        <v>325</v>
      </c>
      <c r="DD2816" s="4" t="s">
        <v>241</v>
      </c>
      <c r="DF2816" s="4" t="s">
        <v>325</v>
      </c>
      <c r="DG2816" s="6">
        <f>1167</f>
        <v>1167</v>
      </c>
      <c r="DI2816" s="4" t="s">
        <v>241</v>
      </c>
      <c r="DJ2816" s="4" t="s">
        <v>241</v>
      </c>
      <c r="DK2816" s="4" t="s">
        <v>241</v>
      </c>
      <c r="DL2816" s="4" t="s">
        <v>241</v>
      </c>
      <c r="DP2816" s="4" t="s">
        <v>241</v>
      </c>
      <c r="DQ2816" s="4" t="s">
        <v>241</v>
      </c>
      <c r="DR2816" s="4" t="s">
        <v>241</v>
      </c>
      <c r="DS2816" s="4" t="s">
        <v>241</v>
      </c>
      <c r="DV2816" s="4" t="s">
        <v>426</v>
      </c>
      <c r="DW2816" s="4" t="s">
        <v>2255</v>
      </c>
      <c r="HO2816" s="4" t="s">
        <v>267</v>
      </c>
    </row>
    <row r="2817" spans="1:223" ht="19.5" customHeight="1" x14ac:dyDescent="0.4">
      <c r="A2817" s="4">
        <v>1</v>
      </c>
      <c r="B2817" s="4" t="s">
        <v>239</v>
      </c>
      <c r="C2817" s="4">
        <v>4520</v>
      </c>
      <c r="D2817" s="4">
        <v>1</v>
      </c>
      <c r="E2817" s="4">
        <v>1</v>
      </c>
      <c r="F2817" s="4" t="s">
        <v>268</v>
      </c>
      <c r="G2817" s="4" t="s">
        <v>241</v>
      </c>
      <c r="H2817" s="4" t="s">
        <v>241</v>
      </c>
      <c r="I2817" s="4" t="s">
        <v>424</v>
      </c>
      <c r="J2817" s="4" t="s">
        <v>274</v>
      </c>
      <c r="K2817" s="4" t="s">
        <v>251</v>
      </c>
      <c r="L2817" s="4" t="s">
        <v>423</v>
      </c>
      <c r="M2817" s="5" t="s">
        <v>544</v>
      </c>
      <c r="N2817" s="6">
        <f>1865</f>
        <v>1865</v>
      </c>
      <c r="O2817" s="4" t="s">
        <v>265</v>
      </c>
      <c r="P2817" s="6">
        <f>1</f>
        <v>1</v>
      </c>
      <c r="Q2817" s="6">
        <f>0</f>
        <v>0</v>
      </c>
      <c r="S2817" s="6">
        <f>0</f>
        <v>0</v>
      </c>
      <c r="T2817" s="6">
        <f>1</f>
        <v>1</v>
      </c>
      <c r="U2817" s="5" t="s">
        <v>245</v>
      </c>
      <c r="V2817" s="4" t="s">
        <v>270</v>
      </c>
      <c r="W2817" s="4" t="s">
        <v>271</v>
      </c>
      <c r="X2817" s="4" t="s">
        <v>273</v>
      </c>
      <c r="Y2817" s="4" t="s">
        <v>241</v>
      </c>
      <c r="AB2817" s="4" t="s">
        <v>241</v>
      </c>
      <c r="AD2817" s="5" t="s">
        <v>241</v>
      </c>
      <c r="AG2817" s="5" t="s">
        <v>246</v>
      </c>
      <c r="AH2817" s="4" t="s">
        <v>241</v>
      </c>
      <c r="AI2817" s="4" t="s">
        <v>247</v>
      </c>
      <c r="AJ2817" s="4" t="s">
        <v>248</v>
      </c>
      <c r="AZ2817" s="4" t="s">
        <v>249</v>
      </c>
      <c r="BA2817" s="4" t="s">
        <v>241</v>
      </c>
      <c r="BB2817" s="4" t="s">
        <v>250</v>
      </c>
      <c r="BC2817" s="4" t="s">
        <v>241</v>
      </c>
      <c r="BD2817" s="4" t="s">
        <v>252</v>
      </c>
      <c r="BE2817" s="4" t="s">
        <v>241</v>
      </c>
      <c r="BI2817" s="4" t="s">
        <v>253</v>
      </c>
      <c r="BJ2817" s="5" t="s">
        <v>246</v>
      </c>
      <c r="BK2817" s="4" t="s">
        <v>254</v>
      </c>
      <c r="BL2817" s="4" t="s">
        <v>255</v>
      </c>
      <c r="BM2817" s="4" t="s">
        <v>241</v>
      </c>
      <c r="BN2817" s="6">
        <f>0</f>
        <v>0</v>
      </c>
      <c r="BO2817" s="6">
        <f>0</f>
        <v>0</v>
      </c>
      <c r="BP2817" s="4" t="s">
        <v>256</v>
      </c>
      <c r="BQ2817" s="4" t="s">
        <v>257</v>
      </c>
      <c r="CE2817" s="4" t="s">
        <v>241</v>
      </c>
      <c r="CF2817" s="4" t="s">
        <v>241</v>
      </c>
      <c r="CJ2817" s="4" t="s">
        <v>276</v>
      </c>
      <c r="CK2817" s="4" t="s">
        <v>259</v>
      </c>
      <c r="CL2817" s="4" t="s">
        <v>241</v>
      </c>
      <c r="CO2817" s="5" t="s">
        <v>260</v>
      </c>
      <c r="CP2817" s="4" t="s">
        <v>241</v>
      </c>
      <c r="CQ2817" s="4" t="s">
        <v>261</v>
      </c>
      <c r="CR2817" s="4" t="s">
        <v>241</v>
      </c>
      <c r="CS2817" s="4" t="s">
        <v>241</v>
      </c>
      <c r="CT2817" s="4">
        <v>0</v>
      </c>
      <c r="CU2817" s="4" t="s">
        <v>262</v>
      </c>
      <c r="CV2817" s="4" t="s">
        <v>263</v>
      </c>
      <c r="CW2817" s="4" t="s">
        <v>263</v>
      </c>
      <c r="CX2817" s="4" t="s">
        <v>264</v>
      </c>
      <c r="DA2817" s="6">
        <f>1</f>
        <v>1</v>
      </c>
      <c r="DC2817" s="4" t="s">
        <v>325</v>
      </c>
      <c r="DD2817" s="4" t="s">
        <v>241</v>
      </c>
      <c r="DF2817" s="4" t="s">
        <v>325</v>
      </c>
      <c r="DG2817" s="6">
        <f>1865</f>
        <v>1865</v>
      </c>
      <c r="DI2817" s="4" t="s">
        <v>241</v>
      </c>
      <c r="DJ2817" s="4" t="s">
        <v>241</v>
      </c>
      <c r="DK2817" s="4" t="s">
        <v>241</v>
      </c>
      <c r="DL2817" s="4" t="s">
        <v>241</v>
      </c>
      <c r="DP2817" s="4" t="s">
        <v>241</v>
      </c>
      <c r="DQ2817" s="4" t="s">
        <v>241</v>
      </c>
      <c r="DR2817" s="4" t="s">
        <v>241</v>
      </c>
      <c r="DS2817" s="4" t="s">
        <v>241</v>
      </c>
      <c r="DV2817" s="4" t="s">
        <v>426</v>
      </c>
      <c r="DW2817" s="4" t="s">
        <v>545</v>
      </c>
      <c r="HO2817" s="4" t="s">
        <v>267</v>
      </c>
    </row>
    <row r="2818" spans="1:223" ht="19.5" customHeight="1" x14ac:dyDescent="0.4">
      <c r="A2818" s="4">
        <v>1</v>
      </c>
      <c r="B2818" s="4" t="s">
        <v>239</v>
      </c>
      <c r="C2818" s="4">
        <v>4521</v>
      </c>
      <c r="D2818" s="4">
        <v>1</v>
      </c>
      <c r="E2818" s="4">
        <v>1</v>
      </c>
      <c r="F2818" s="4" t="s">
        <v>268</v>
      </c>
      <c r="G2818" s="4" t="s">
        <v>241</v>
      </c>
      <c r="H2818" s="4" t="s">
        <v>241</v>
      </c>
      <c r="I2818" s="4" t="s">
        <v>424</v>
      </c>
      <c r="J2818" s="4" t="s">
        <v>274</v>
      </c>
      <c r="K2818" s="4" t="s">
        <v>251</v>
      </c>
      <c r="L2818" s="4" t="s">
        <v>423</v>
      </c>
      <c r="M2818" s="5" t="s">
        <v>4182</v>
      </c>
      <c r="N2818" s="6">
        <f>336</f>
        <v>336</v>
      </c>
      <c r="O2818" s="4" t="s">
        <v>265</v>
      </c>
      <c r="P2818" s="6">
        <f>1</f>
        <v>1</v>
      </c>
      <c r="Q2818" s="6">
        <f>0</f>
        <v>0</v>
      </c>
      <c r="S2818" s="6">
        <f>0</f>
        <v>0</v>
      </c>
      <c r="T2818" s="6">
        <f>1</f>
        <v>1</v>
      </c>
      <c r="U2818" s="5" t="s">
        <v>245</v>
      </c>
      <c r="V2818" s="4" t="s">
        <v>270</v>
      </c>
      <c r="W2818" s="4" t="s">
        <v>271</v>
      </c>
      <c r="X2818" s="4" t="s">
        <v>273</v>
      </c>
      <c r="Y2818" s="4" t="s">
        <v>241</v>
      </c>
      <c r="AB2818" s="4" t="s">
        <v>241</v>
      </c>
      <c r="AD2818" s="5" t="s">
        <v>241</v>
      </c>
      <c r="AG2818" s="5" t="s">
        <v>246</v>
      </c>
      <c r="AH2818" s="4" t="s">
        <v>241</v>
      </c>
      <c r="AI2818" s="4" t="s">
        <v>247</v>
      </c>
      <c r="AJ2818" s="4" t="s">
        <v>248</v>
      </c>
      <c r="AZ2818" s="4" t="s">
        <v>249</v>
      </c>
      <c r="BA2818" s="4" t="s">
        <v>241</v>
      </c>
      <c r="BB2818" s="4" t="s">
        <v>250</v>
      </c>
      <c r="BC2818" s="4" t="s">
        <v>241</v>
      </c>
      <c r="BD2818" s="4" t="s">
        <v>252</v>
      </c>
      <c r="BE2818" s="4" t="s">
        <v>241</v>
      </c>
      <c r="BI2818" s="4" t="s">
        <v>253</v>
      </c>
      <c r="BJ2818" s="5" t="s">
        <v>246</v>
      </c>
      <c r="BK2818" s="4" t="s">
        <v>254</v>
      </c>
      <c r="BL2818" s="4" t="s">
        <v>255</v>
      </c>
      <c r="BM2818" s="4" t="s">
        <v>241</v>
      </c>
      <c r="BN2818" s="6">
        <f>0</f>
        <v>0</v>
      </c>
      <c r="BO2818" s="6">
        <f>0</f>
        <v>0</v>
      </c>
      <c r="BP2818" s="4" t="s">
        <v>256</v>
      </c>
      <c r="BQ2818" s="4" t="s">
        <v>257</v>
      </c>
      <c r="CE2818" s="4" t="s">
        <v>241</v>
      </c>
      <c r="CF2818" s="4" t="s">
        <v>241</v>
      </c>
      <c r="CJ2818" s="4" t="s">
        <v>276</v>
      </c>
      <c r="CK2818" s="4" t="s">
        <v>259</v>
      </c>
      <c r="CL2818" s="4" t="s">
        <v>241</v>
      </c>
      <c r="CO2818" s="5" t="s">
        <v>260</v>
      </c>
      <c r="CP2818" s="4" t="s">
        <v>241</v>
      </c>
      <c r="CQ2818" s="4" t="s">
        <v>261</v>
      </c>
      <c r="CR2818" s="4" t="s">
        <v>241</v>
      </c>
      <c r="CS2818" s="4" t="s">
        <v>241</v>
      </c>
      <c r="CT2818" s="4">
        <v>0</v>
      </c>
      <c r="CU2818" s="4" t="s">
        <v>262</v>
      </c>
      <c r="CV2818" s="4" t="s">
        <v>263</v>
      </c>
      <c r="CW2818" s="4" t="s">
        <v>263</v>
      </c>
      <c r="CX2818" s="4" t="s">
        <v>264</v>
      </c>
      <c r="DA2818" s="6">
        <f>1</f>
        <v>1</v>
      </c>
      <c r="DC2818" s="4" t="s">
        <v>325</v>
      </c>
      <c r="DD2818" s="4" t="s">
        <v>241</v>
      </c>
      <c r="DF2818" s="4" t="s">
        <v>325</v>
      </c>
      <c r="DG2818" s="6">
        <f>336</f>
        <v>336</v>
      </c>
      <c r="DI2818" s="4" t="s">
        <v>241</v>
      </c>
      <c r="DJ2818" s="4" t="s">
        <v>241</v>
      </c>
      <c r="DK2818" s="4" t="s">
        <v>241</v>
      </c>
      <c r="DL2818" s="4" t="s">
        <v>241</v>
      </c>
      <c r="DP2818" s="4" t="s">
        <v>241</v>
      </c>
      <c r="DQ2818" s="4" t="s">
        <v>241</v>
      </c>
      <c r="DR2818" s="4" t="s">
        <v>241</v>
      </c>
      <c r="DS2818" s="4" t="s">
        <v>241</v>
      </c>
      <c r="DV2818" s="4" t="s">
        <v>426</v>
      </c>
      <c r="DW2818" s="4" t="s">
        <v>2252</v>
      </c>
      <c r="HO2818" s="4" t="s">
        <v>267</v>
      </c>
    </row>
    <row r="2819" spans="1:223" ht="19.5" customHeight="1" x14ac:dyDescent="0.4">
      <c r="A2819" s="4">
        <v>1</v>
      </c>
      <c r="B2819" s="4" t="s">
        <v>239</v>
      </c>
      <c r="C2819" s="4">
        <v>4522</v>
      </c>
      <c r="D2819" s="4">
        <v>1</v>
      </c>
      <c r="E2819" s="4">
        <v>1</v>
      </c>
      <c r="F2819" s="4" t="s">
        <v>268</v>
      </c>
      <c r="G2819" s="4" t="s">
        <v>241</v>
      </c>
      <c r="H2819" s="4" t="s">
        <v>241</v>
      </c>
      <c r="I2819" s="4" t="s">
        <v>424</v>
      </c>
      <c r="J2819" s="4" t="s">
        <v>274</v>
      </c>
      <c r="K2819" s="4" t="s">
        <v>251</v>
      </c>
      <c r="L2819" s="4" t="s">
        <v>423</v>
      </c>
      <c r="M2819" s="5" t="s">
        <v>4107</v>
      </c>
      <c r="N2819" s="6">
        <f>1847</f>
        <v>1847</v>
      </c>
      <c r="O2819" s="4" t="s">
        <v>265</v>
      </c>
      <c r="P2819" s="6">
        <f>1</f>
        <v>1</v>
      </c>
      <c r="Q2819" s="6">
        <f>0</f>
        <v>0</v>
      </c>
      <c r="S2819" s="6">
        <f>0</f>
        <v>0</v>
      </c>
      <c r="T2819" s="6">
        <f>1</f>
        <v>1</v>
      </c>
      <c r="U2819" s="5" t="s">
        <v>245</v>
      </c>
      <c r="V2819" s="4" t="s">
        <v>270</v>
      </c>
      <c r="W2819" s="4" t="s">
        <v>271</v>
      </c>
      <c r="X2819" s="4" t="s">
        <v>273</v>
      </c>
      <c r="Y2819" s="4" t="s">
        <v>241</v>
      </c>
      <c r="AB2819" s="4" t="s">
        <v>241</v>
      </c>
      <c r="AD2819" s="5" t="s">
        <v>241</v>
      </c>
      <c r="AG2819" s="5" t="s">
        <v>246</v>
      </c>
      <c r="AH2819" s="4" t="s">
        <v>241</v>
      </c>
      <c r="AI2819" s="4" t="s">
        <v>247</v>
      </c>
      <c r="AJ2819" s="4" t="s">
        <v>248</v>
      </c>
      <c r="AZ2819" s="4" t="s">
        <v>249</v>
      </c>
      <c r="BA2819" s="4" t="s">
        <v>241</v>
      </c>
      <c r="BB2819" s="4" t="s">
        <v>250</v>
      </c>
      <c r="BC2819" s="4" t="s">
        <v>241</v>
      </c>
      <c r="BD2819" s="4" t="s">
        <v>252</v>
      </c>
      <c r="BE2819" s="4" t="s">
        <v>241</v>
      </c>
      <c r="BI2819" s="4" t="s">
        <v>253</v>
      </c>
      <c r="BJ2819" s="5" t="s">
        <v>246</v>
      </c>
      <c r="BK2819" s="4" t="s">
        <v>254</v>
      </c>
      <c r="BL2819" s="4" t="s">
        <v>255</v>
      </c>
      <c r="BM2819" s="4" t="s">
        <v>241</v>
      </c>
      <c r="BN2819" s="6">
        <f>0</f>
        <v>0</v>
      </c>
      <c r="BO2819" s="6">
        <f>0</f>
        <v>0</v>
      </c>
      <c r="BP2819" s="4" t="s">
        <v>256</v>
      </c>
      <c r="BQ2819" s="4" t="s">
        <v>257</v>
      </c>
      <c r="CE2819" s="4" t="s">
        <v>241</v>
      </c>
      <c r="CF2819" s="4" t="s">
        <v>241</v>
      </c>
      <c r="CJ2819" s="4" t="s">
        <v>276</v>
      </c>
      <c r="CK2819" s="4" t="s">
        <v>259</v>
      </c>
      <c r="CL2819" s="4" t="s">
        <v>241</v>
      </c>
      <c r="CO2819" s="5" t="s">
        <v>260</v>
      </c>
      <c r="CP2819" s="4" t="s">
        <v>241</v>
      </c>
      <c r="CQ2819" s="4" t="s">
        <v>261</v>
      </c>
      <c r="CR2819" s="4" t="s">
        <v>241</v>
      </c>
      <c r="CS2819" s="4" t="s">
        <v>241</v>
      </c>
      <c r="CT2819" s="4">
        <v>0</v>
      </c>
      <c r="CU2819" s="4" t="s">
        <v>262</v>
      </c>
      <c r="CV2819" s="4" t="s">
        <v>263</v>
      </c>
      <c r="CW2819" s="4" t="s">
        <v>263</v>
      </c>
      <c r="CX2819" s="4" t="s">
        <v>264</v>
      </c>
      <c r="DA2819" s="6">
        <f>1</f>
        <v>1</v>
      </c>
      <c r="DC2819" s="4" t="s">
        <v>325</v>
      </c>
      <c r="DD2819" s="4" t="s">
        <v>241</v>
      </c>
      <c r="DF2819" s="4" t="s">
        <v>325</v>
      </c>
      <c r="DG2819" s="6">
        <f>1847</f>
        <v>1847</v>
      </c>
      <c r="DI2819" s="4" t="s">
        <v>241</v>
      </c>
      <c r="DJ2819" s="4" t="s">
        <v>241</v>
      </c>
      <c r="DK2819" s="4" t="s">
        <v>241</v>
      </c>
      <c r="DL2819" s="4" t="s">
        <v>241</v>
      </c>
      <c r="DP2819" s="4" t="s">
        <v>241</v>
      </c>
      <c r="DQ2819" s="4" t="s">
        <v>241</v>
      </c>
      <c r="DR2819" s="4" t="s">
        <v>241</v>
      </c>
      <c r="DS2819" s="4" t="s">
        <v>241</v>
      </c>
      <c r="DV2819" s="4" t="s">
        <v>426</v>
      </c>
      <c r="DW2819" s="4" t="s">
        <v>2248</v>
      </c>
      <c r="HO2819" s="4" t="s">
        <v>267</v>
      </c>
    </row>
    <row r="2820" spans="1:223" ht="19.5" customHeight="1" x14ac:dyDescent="0.4">
      <c r="A2820" s="4">
        <v>1</v>
      </c>
      <c r="B2820" s="4" t="s">
        <v>239</v>
      </c>
      <c r="C2820" s="4">
        <v>4523</v>
      </c>
      <c r="D2820" s="4">
        <v>1</v>
      </c>
      <c r="E2820" s="4">
        <v>1</v>
      </c>
      <c r="F2820" s="4" t="s">
        <v>268</v>
      </c>
      <c r="G2820" s="4" t="s">
        <v>241</v>
      </c>
      <c r="H2820" s="4" t="s">
        <v>241</v>
      </c>
      <c r="I2820" s="4" t="s">
        <v>424</v>
      </c>
      <c r="J2820" s="4" t="s">
        <v>274</v>
      </c>
      <c r="K2820" s="4" t="s">
        <v>251</v>
      </c>
      <c r="L2820" s="4" t="s">
        <v>423</v>
      </c>
      <c r="M2820" s="5" t="s">
        <v>4047</v>
      </c>
      <c r="N2820" s="6">
        <f>28</f>
        <v>28</v>
      </c>
      <c r="O2820" s="4" t="s">
        <v>265</v>
      </c>
      <c r="P2820" s="6">
        <f>1</f>
        <v>1</v>
      </c>
      <c r="Q2820" s="6">
        <f>0</f>
        <v>0</v>
      </c>
      <c r="S2820" s="6">
        <f>0</f>
        <v>0</v>
      </c>
      <c r="T2820" s="6">
        <f>1</f>
        <v>1</v>
      </c>
      <c r="U2820" s="5" t="s">
        <v>245</v>
      </c>
      <c r="V2820" s="4" t="s">
        <v>270</v>
      </c>
      <c r="W2820" s="4" t="s">
        <v>271</v>
      </c>
      <c r="X2820" s="4" t="s">
        <v>273</v>
      </c>
      <c r="Y2820" s="4" t="s">
        <v>241</v>
      </c>
      <c r="AB2820" s="4" t="s">
        <v>241</v>
      </c>
      <c r="AD2820" s="5" t="s">
        <v>241</v>
      </c>
      <c r="AG2820" s="5" t="s">
        <v>246</v>
      </c>
      <c r="AH2820" s="4" t="s">
        <v>241</v>
      </c>
      <c r="AI2820" s="4" t="s">
        <v>247</v>
      </c>
      <c r="AJ2820" s="4" t="s">
        <v>248</v>
      </c>
      <c r="AZ2820" s="4" t="s">
        <v>249</v>
      </c>
      <c r="BA2820" s="4" t="s">
        <v>241</v>
      </c>
      <c r="BB2820" s="4" t="s">
        <v>250</v>
      </c>
      <c r="BC2820" s="4" t="s">
        <v>241</v>
      </c>
      <c r="BD2820" s="4" t="s">
        <v>252</v>
      </c>
      <c r="BE2820" s="4" t="s">
        <v>241</v>
      </c>
      <c r="BI2820" s="4" t="s">
        <v>253</v>
      </c>
      <c r="BJ2820" s="5" t="s">
        <v>246</v>
      </c>
      <c r="BK2820" s="4" t="s">
        <v>254</v>
      </c>
      <c r="BL2820" s="4" t="s">
        <v>255</v>
      </c>
      <c r="BM2820" s="4" t="s">
        <v>241</v>
      </c>
      <c r="BN2820" s="6">
        <f>0</f>
        <v>0</v>
      </c>
      <c r="BO2820" s="6">
        <f>0</f>
        <v>0</v>
      </c>
      <c r="BP2820" s="4" t="s">
        <v>256</v>
      </c>
      <c r="BQ2820" s="4" t="s">
        <v>257</v>
      </c>
      <c r="CE2820" s="4" t="s">
        <v>241</v>
      </c>
      <c r="CF2820" s="4" t="s">
        <v>241</v>
      </c>
      <c r="CJ2820" s="4" t="s">
        <v>276</v>
      </c>
      <c r="CK2820" s="4" t="s">
        <v>259</v>
      </c>
      <c r="CL2820" s="4" t="s">
        <v>241</v>
      </c>
      <c r="CO2820" s="5" t="s">
        <v>260</v>
      </c>
      <c r="CP2820" s="4" t="s">
        <v>241</v>
      </c>
      <c r="CQ2820" s="4" t="s">
        <v>261</v>
      </c>
      <c r="CR2820" s="4" t="s">
        <v>241</v>
      </c>
      <c r="CS2820" s="4" t="s">
        <v>241</v>
      </c>
      <c r="CT2820" s="4">
        <v>0</v>
      </c>
      <c r="CU2820" s="4" t="s">
        <v>262</v>
      </c>
      <c r="CV2820" s="4" t="s">
        <v>263</v>
      </c>
      <c r="CW2820" s="4" t="s">
        <v>263</v>
      </c>
      <c r="CX2820" s="4" t="s">
        <v>264</v>
      </c>
      <c r="DA2820" s="6">
        <f>1</f>
        <v>1</v>
      </c>
      <c r="DC2820" s="4" t="s">
        <v>325</v>
      </c>
      <c r="DD2820" s="4" t="s">
        <v>241</v>
      </c>
      <c r="DF2820" s="4" t="s">
        <v>325</v>
      </c>
      <c r="DG2820" s="6">
        <f>28</f>
        <v>28</v>
      </c>
      <c r="DI2820" s="4" t="s">
        <v>241</v>
      </c>
      <c r="DJ2820" s="4" t="s">
        <v>241</v>
      </c>
      <c r="DK2820" s="4" t="s">
        <v>241</v>
      </c>
      <c r="DL2820" s="4" t="s">
        <v>241</v>
      </c>
      <c r="DP2820" s="4" t="s">
        <v>241</v>
      </c>
      <c r="DQ2820" s="4" t="s">
        <v>241</v>
      </c>
      <c r="DR2820" s="4" t="s">
        <v>241</v>
      </c>
      <c r="DS2820" s="4" t="s">
        <v>241</v>
      </c>
      <c r="DV2820" s="4" t="s">
        <v>426</v>
      </c>
      <c r="DW2820" s="4" t="s">
        <v>2246</v>
      </c>
      <c r="HO2820" s="4" t="s">
        <v>267</v>
      </c>
    </row>
    <row r="2821" spans="1:223" ht="19.5" customHeight="1" x14ac:dyDescent="0.4">
      <c r="A2821" s="4">
        <v>1</v>
      </c>
      <c r="B2821" s="4" t="s">
        <v>239</v>
      </c>
      <c r="C2821" s="4">
        <v>4524</v>
      </c>
      <c r="D2821" s="4">
        <v>1</v>
      </c>
      <c r="E2821" s="4">
        <v>1</v>
      </c>
      <c r="F2821" s="4" t="s">
        <v>268</v>
      </c>
      <c r="G2821" s="4" t="s">
        <v>241</v>
      </c>
      <c r="H2821" s="4" t="s">
        <v>241</v>
      </c>
      <c r="I2821" s="4" t="s">
        <v>424</v>
      </c>
      <c r="J2821" s="4" t="s">
        <v>274</v>
      </c>
      <c r="K2821" s="4" t="s">
        <v>251</v>
      </c>
      <c r="L2821" s="4" t="s">
        <v>423</v>
      </c>
      <c r="M2821" s="5" t="s">
        <v>3982</v>
      </c>
      <c r="N2821" s="6">
        <f>250</f>
        <v>250</v>
      </c>
      <c r="O2821" s="4" t="s">
        <v>265</v>
      </c>
      <c r="P2821" s="6">
        <f>1</f>
        <v>1</v>
      </c>
      <c r="Q2821" s="6">
        <f>0</f>
        <v>0</v>
      </c>
      <c r="S2821" s="6">
        <f>0</f>
        <v>0</v>
      </c>
      <c r="T2821" s="6">
        <f>1</f>
        <v>1</v>
      </c>
      <c r="U2821" s="5" t="s">
        <v>245</v>
      </c>
      <c r="V2821" s="4" t="s">
        <v>270</v>
      </c>
      <c r="W2821" s="4" t="s">
        <v>271</v>
      </c>
      <c r="X2821" s="4" t="s">
        <v>273</v>
      </c>
      <c r="Y2821" s="4" t="s">
        <v>241</v>
      </c>
      <c r="AB2821" s="4" t="s">
        <v>241</v>
      </c>
      <c r="AD2821" s="5" t="s">
        <v>241</v>
      </c>
      <c r="AG2821" s="5" t="s">
        <v>246</v>
      </c>
      <c r="AH2821" s="4" t="s">
        <v>241</v>
      </c>
      <c r="AI2821" s="4" t="s">
        <v>247</v>
      </c>
      <c r="AJ2821" s="4" t="s">
        <v>248</v>
      </c>
      <c r="AZ2821" s="4" t="s">
        <v>249</v>
      </c>
      <c r="BA2821" s="4" t="s">
        <v>241</v>
      </c>
      <c r="BB2821" s="4" t="s">
        <v>250</v>
      </c>
      <c r="BC2821" s="4" t="s">
        <v>241</v>
      </c>
      <c r="BD2821" s="4" t="s">
        <v>252</v>
      </c>
      <c r="BE2821" s="4" t="s">
        <v>241</v>
      </c>
      <c r="BI2821" s="4" t="s">
        <v>253</v>
      </c>
      <c r="BJ2821" s="5" t="s">
        <v>246</v>
      </c>
      <c r="BK2821" s="4" t="s">
        <v>254</v>
      </c>
      <c r="BL2821" s="4" t="s">
        <v>255</v>
      </c>
      <c r="BM2821" s="4" t="s">
        <v>241</v>
      </c>
      <c r="BN2821" s="6">
        <f>0</f>
        <v>0</v>
      </c>
      <c r="BO2821" s="6">
        <f>0</f>
        <v>0</v>
      </c>
      <c r="BP2821" s="4" t="s">
        <v>256</v>
      </c>
      <c r="BQ2821" s="4" t="s">
        <v>257</v>
      </c>
      <c r="CE2821" s="4" t="s">
        <v>241</v>
      </c>
      <c r="CF2821" s="4" t="s">
        <v>241</v>
      </c>
      <c r="CJ2821" s="4" t="s">
        <v>276</v>
      </c>
      <c r="CK2821" s="4" t="s">
        <v>259</v>
      </c>
      <c r="CL2821" s="4" t="s">
        <v>241</v>
      </c>
      <c r="CO2821" s="5" t="s">
        <v>260</v>
      </c>
      <c r="CP2821" s="4" t="s">
        <v>241</v>
      </c>
      <c r="CQ2821" s="4" t="s">
        <v>261</v>
      </c>
      <c r="CR2821" s="4" t="s">
        <v>241</v>
      </c>
      <c r="CS2821" s="4" t="s">
        <v>241</v>
      </c>
      <c r="CT2821" s="4">
        <v>0</v>
      </c>
      <c r="CU2821" s="4" t="s">
        <v>262</v>
      </c>
      <c r="CV2821" s="4" t="s">
        <v>263</v>
      </c>
      <c r="CW2821" s="4" t="s">
        <v>263</v>
      </c>
      <c r="CX2821" s="4" t="s">
        <v>264</v>
      </c>
      <c r="DA2821" s="6">
        <f>1</f>
        <v>1</v>
      </c>
      <c r="DC2821" s="4" t="s">
        <v>325</v>
      </c>
      <c r="DD2821" s="4" t="s">
        <v>241</v>
      </c>
      <c r="DF2821" s="4" t="s">
        <v>325</v>
      </c>
      <c r="DG2821" s="6">
        <f>250</f>
        <v>250</v>
      </c>
      <c r="DI2821" s="4" t="s">
        <v>241</v>
      </c>
      <c r="DJ2821" s="4" t="s">
        <v>241</v>
      </c>
      <c r="DK2821" s="4" t="s">
        <v>241</v>
      </c>
      <c r="DL2821" s="4" t="s">
        <v>241</v>
      </c>
      <c r="DP2821" s="4" t="s">
        <v>241</v>
      </c>
      <c r="DQ2821" s="4" t="s">
        <v>241</v>
      </c>
      <c r="DR2821" s="4" t="s">
        <v>241</v>
      </c>
      <c r="DS2821" s="4" t="s">
        <v>241</v>
      </c>
      <c r="DV2821" s="4" t="s">
        <v>426</v>
      </c>
      <c r="DW2821" s="4" t="s">
        <v>2244</v>
      </c>
      <c r="HO2821" s="4" t="s">
        <v>267</v>
      </c>
    </row>
    <row r="2822" spans="1:223" ht="19.5" customHeight="1" x14ac:dyDescent="0.4">
      <c r="A2822" s="4">
        <v>1</v>
      </c>
      <c r="B2822" s="4" t="s">
        <v>239</v>
      </c>
      <c r="C2822" s="4">
        <v>4525</v>
      </c>
      <c r="D2822" s="4">
        <v>1</v>
      </c>
      <c r="E2822" s="4">
        <v>1</v>
      </c>
      <c r="F2822" s="4" t="s">
        <v>268</v>
      </c>
      <c r="G2822" s="4" t="s">
        <v>241</v>
      </c>
      <c r="H2822" s="4" t="s">
        <v>241</v>
      </c>
      <c r="I2822" s="4" t="s">
        <v>424</v>
      </c>
      <c r="J2822" s="4" t="s">
        <v>274</v>
      </c>
      <c r="K2822" s="4" t="s">
        <v>251</v>
      </c>
      <c r="L2822" s="4" t="s">
        <v>423</v>
      </c>
      <c r="M2822" s="5" t="s">
        <v>3931</v>
      </c>
      <c r="N2822" s="6">
        <f>635</f>
        <v>635</v>
      </c>
      <c r="O2822" s="4" t="s">
        <v>265</v>
      </c>
      <c r="P2822" s="6">
        <f>1</f>
        <v>1</v>
      </c>
      <c r="Q2822" s="6">
        <f>0</f>
        <v>0</v>
      </c>
      <c r="S2822" s="6">
        <f>0</f>
        <v>0</v>
      </c>
      <c r="T2822" s="6">
        <f>1</f>
        <v>1</v>
      </c>
      <c r="U2822" s="5" t="s">
        <v>245</v>
      </c>
      <c r="V2822" s="4" t="s">
        <v>270</v>
      </c>
      <c r="W2822" s="4" t="s">
        <v>271</v>
      </c>
      <c r="X2822" s="4" t="s">
        <v>273</v>
      </c>
      <c r="Y2822" s="4" t="s">
        <v>241</v>
      </c>
      <c r="AB2822" s="4" t="s">
        <v>241</v>
      </c>
      <c r="AD2822" s="5" t="s">
        <v>241</v>
      </c>
      <c r="AG2822" s="5" t="s">
        <v>246</v>
      </c>
      <c r="AH2822" s="4" t="s">
        <v>241</v>
      </c>
      <c r="AI2822" s="4" t="s">
        <v>247</v>
      </c>
      <c r="AJ2822" s="4" t="s">
        <v>248</v>
      </c>
      <c r="AZ2822" s="4" t="s">
        <v>249</v>
      </c>
      <c r="BA2822" s="4" t="s">
        <v>241</v>
      </c>
      <c r="BB2822" s="4" t="s">
        <v>250</v>
      </c>
      <c r="BC2822" s="4" t="s">
        <v>241</v>
      </c>
      <c r="BD2822" s="4" t="s">
        <v>252</v>
      </c>
      <c r="BE2822" s="4" t="s">
        <v>241</v>
      </c>
      <c r="BI2822" s="4" t="s">
        <v>253</v>
      </c>
      <c r="BJ2822" s="5" t="s">
        <v>246</v>
      </c>
      <c r="BK2822" s="4" t="s">
        <v>254</v>
      </c>
      <c r="BL2822" s="4" t="s">
        <v>255</v>
      </c>
      <c r="BM2822" s="4" t="s">
        <v>241</v>
      </c>
      <c r="BN2822" s="6">
        <f>0</f>
        <v>0</v>
      </c>
      <c r="BO2822" s="6">
        <f>0</f>
        <v>0</v>
      </c>
      <c r="BP2822" s="4" t="s">
        <v>256</v>
      </c>
      <c r="BQ2822" s="4" t="s">
        <v>257</v>
      </c>
      <c r="CE2822" s="4" t="s">
        <v>241</v>
      </c>
      <c r="CF2822" s="4" t="s">
        <v>241</v>
      </c>
      <c r="CJ2822" s="4" t="s">
        <v>276</v>
      </c>
      <c r="CK2822" s="4" t="s">
        <v>259</v>
      </c>
      <c r="CL2822" s="4" t="s">
        <v>241</v>
      </c>
      <c r="CO2822" s="5" t="s">
        <v>260</v>
      </c>
      <c r="CP2822" s="4" t="s">
        <v>241</v>
      </c>
      <c r="CQ2822" s="4" t="s">
        <v>261</v>
      </c>
      <c r="CR2822" s="4" t="s">
        <v>241</v>
      </c>
      <c r="CS2822" s="4" t="s">
        <v>241</v>
      </c>
      <c r="CT2822" s="4">
        <v>0</v>
      </c>
      <c r="CU2822" s="4" t="s">
        <v>262</v>
      </c>
      <c r="CV2822" s="4" t="s">
        <v>263</v>
      </c>
      <c r="CW2822" s="4" t="s">
        <v>263</v>
      </c>
      <c r="CX2822" s="4" t="s">
        <v>264</v>
      </c>
      <c r="DA2822" s="6">
        <f>1</f>
        <v>1</v>
      </c>
      <c r="DC2822" s="4" t="s">
        <v>325</v>
      </c>
      <c r="DD2822" s="4" t="s">
        <v>241</v>
      </c>
      <c r="DF2822" s="4" t="s">
        <v>325</v>
      </c>
      <c r="DG2822" s="6">
        <f>635</f>
        <v>635</v>
      </c>
      <c r="DI2822" s="4" t="s">
        <v>241</v>
      </c>
      <c r="DJ2822" s="4" t="s">
        <v>241</v>
      </c>
      <c r="DK2822" s="4" t="s">
        <v>241</v>
      </c>
      <c r="DL2822" s="4" t="s">
        <v>241</v>
      </c>
      <c r="DP2822" s="4" t="s">
        <v>241</v>
      </c>
      <c r="DQ2822" s="4" t="s">
        <v>241</v>
      </c>
      <c r="DR2822" s="4" t="s">
        <v>241</v>
      </c>
      <c r="DS2822" s="4" t="s">
        <v>241</v>
      </c>
      <c r="DV2822" s="4" t="s">
        <v>426</v>
      </c>
      <c r="DW2822" s="4" t="s">
        <v>2242</v>
      </c>
      <c r="HO2822" s="4" t="s">
        <v>267</v>
      </c>
    </row>
    <row r="2823" spans="1:223" ht="19.5" customHeight="1" x14ac:dyDescent="0.4">
      <c r="A2823" s="4">
        <v>1</v>
      </c>
      <c r="B2823" s="4" t="s">
        <v>239</v>
      </c>
      <c r="C2823" s="4">
        <v>4526</v>
      </c>
      <c r="D2823" s="4">
        <v>1</v>
      </c>
      <c r="E2823" s="4">
        <v>1</v>
      </c>
      <c r="F2823" s="4" t="s">
        <v>268</v>
      </c>
      <c r="G2823" s="4" t="s">
        <v>241</v>
      </c>
      <c r="H2823" s="4" t="s">
        <v>241</v>
      </c>
      <c r="I2823" s="4" t="s">
        <v>424</v>
      </c>
      <c r="J2823" s="4" t="s">
        <v>274</v>
      </c>
      <c r="K2823" s="4" t="s">
        <v>251</v>
      </c>
      <c r="L2823" s="4" t="s">
        <v>423</v>
      </c>
      <c r="M2823" s="5" t="s">
        <v>3874</v>
      </c>
      <c r="N2823" s="6">
        <f>1869</f>
        <v>1869</v>
      </c>
      <c r="O2823" s="4" t="s">
        <v>265</v>
      </c>
      <c r="P2823" s="6">
        <f>1</f>
        <v>1</v>
      </c>
      <c r="Q2823" s="6">
        <f>0</f>
        <v>0</v>
      </c>
      <c r="S2823" s="6">
        <f>0</f>
        <v>0</v>
      </c>
      <c r="T2823" s="6">
        <f>1</f>
        <v>1</v>
      </c>
      <c r="U2823" s="5" t="s">
        <v>245</v>
      </c>
      <c r="V2823" s="4" t="s">
        <v>270</v>
      </c>
      <c r="W2823" s="4" t="s">
        <v>271</v>
      </c>
      <c r="X2823" s="4" t="s">
        <v>273</v>
      </c>
      <c r="Y2823" s="4" t="s">
        <v>241</v>
      </c>
      <c r="AB2823" s="4" t="s">
        <v>241</v>
      </c>
      <c r="AD2823" s="5" t="s">
        <v>241</v>
      </c>
      <c r="AG2823" s="5" t="s">
        <v>246</v>
      </c>
      <c r="AH2823" s="4" t="s">
        <v>241</v>
      </c>
      <c r="AI2823" s="4" t="s">
        <v>247</v>
      </c>
      <c r="AJ2823" s="4" t="s">
        <v>248</v>
      </c>
      <c r="AZ2823" s="4" t="s">
        <v>249</v>
      </c>
      <c r="BA2823" s="4" t="s">
        <v>241</v>
      </c>
      <c r="BB2823" s="4" t="s">
        <v>250</v>
      </c>
      <c r="BC2823" s="4" t="s">
        <v>241</v>
      </c>
      <c r="BD2823" s="4" t="s">
        <v>252</v>
      </c>
      <c r="BE2823" s="4" t="s">
        <v>241</v>
      </c>
      <c r="BI2823" s="4" t="s">
        <v>253</v>
      </c>
      <c r="BJ2823" s="5" t="s">
        <v>246</v>
      </c>
      <c r="BK2823" s="4" t="s">
        <v>254</v>
      </c>
      <c r="BL2823" s="4" t="s">
        <v>255</v>
      </c>
      <c r="BM2823" s="4" t="s">
        <v>241</v>
      </c>
      <c r="BN2823" s="6">
        <f>0</f>
        <v>0</v>
      </c>
      <c r="BO2823" s="6">
        <f>0</f>
        <v>0</v>
      </c>
      <c r="BP2823" s="4" t="s">
        <v>256</v>
      </c>
      <c r="BQ2823" s="4" t="s">
        <v>257</v>
      </c>
      <c r="CE2823" s="4" t="s">
        <v>241</v>
      </c>
      <c r="CF2823" s="4" t="s">
        <v>241</v>
      </c>
      <c r="CJ2823" s="4" t="s">
        <v>276</v>
      </c>
      <c r="CK2823" s="4" t="s">
        <v>259</v>
      </c>
      <c r="CL2823" s="4" t="s">
        <v>241</v>
      </c>
      <c r="CO2823" s="5" t="s">
        <v>260</v>
      </c>
      <c r="CP2823" s="4" t="s">
        <v>241</v>
      </c>
      <c r="CQ2823" s="4" t="s">
        <v>261</v>
      </c>
      <c r="CR2823" s="4" t="s">
        <v>241</v>
      </c>
      <c r="CS2823" s="4" t="s">
        <v>241</v>
      </c>
      <c r="CT2823" s="4">
        <v>0</v>
      </c>
      <c r="CU2823" s="4" t="s">
        <v>262</v>
      </c>
      <c r="CV2823" s="4" t="s">
        <v>263</v>
      </c>
      <c r="CW2823" s="4" t="s">
        <v>263</v>
      </c>
      <c r="CX2823" s="4" t="s">
        <v>264</v>
      </c>
      <c r="DA2823" s="6">
        <f>1</f>
        <v>1</v>
      </c>
      <c r="DC2823" s="4" t="s">
        <v>325</v>
      </c>
      <c r="DD2823" s="4" t="s">
        <v>241</v>
      </c>
      <c r="DF2823" s="4" t="s">
        <v>325</v>
      </c>
      <c r="DG2823" s="6">
        <f>1869</f>
        <v>1869</v>
      </c>
      <c r="DI2823" s="4" t="s">
        <v>241</v>
      </c>
      <c r="DJ2823" s="4" t="s">
        <v>241</v>
      </c>
      <c r="DK2823" s="4" t="s">
        <v>241</v>
      </c>
      <c r="DL2823" s="4" t="s">
        <v>241</v>
      </c>
      <c r="DP2823" s="4" t="s">
        <v>241</v>
      </c>
      <c r="DQ2823" s="4" t="s">
        <v>241</v>
      </c>
      <c r="DR2823" s="4" t="s">
        <v>241</v>
      </c>
      <c r="DS2823" s="4" t="s">
        <v>241</v>
      </c>
      <c r="DV2823" s="4" t="s">
        <v>426</v>
      </c>
      <c r="DW2823" s="4" t="s">
        <v>2240</v>
      </c>
      <c r="HO2823" s="4" t="s">
        <v>267</v>
      </c>
    </row>
    <row r="2824" spans="1:223" ht="19.5" customHeight="1" x14ac:dyDescent="0.4">
      <c r="A2824" s="4">
        <v>1</v>
      </c>
      <c r="B2824" s="4" t="s">
        <v>239</v>
      </c>
      <c r="C2824" s="4">
        <v>4527</v>
      </c>
      <c r="D2824" s="4">
        <v>1</v>
      </c>
      <c r="E2824" s="4">
        <v>1</v>
      </c>
      <c r="F2824" s="4" t="s">
        <v>268</v>
      </c>
      <c r="G2824" s="4" t="s">
        <v>241</v>
      </c>
      <c r="H2824" s="4" t="s">
        <v>241</v>
      </c>
      <c r="I2824" s="4" t="s">
        <v>424</v>
      </c>
      <c r="J2824" s="4" t="s">
        <v>274</v>
      </c>
      <c r="K2824" s="4" t="s">
        <v>251</v>
      </c>
      <c r="L2824" s="4" t="s">
        <v>423</v>
      </c>
      <c r="M2824" s="5" t="s">
        <v>3791</v>
      </c>
      <c r="N2824" s="6">
        <f>1333</f>
        <v>1333</v>
      </c>
      <c r="O2824" s="4" t="s">
        <v>265</v>
      </c>
      <c r="P2824" s="6">
        <f>1</f>
        <v>1</v>
      </c>
      <c r="Q2824" s="6">
        <f>0</f>
        <v>0</v>
      </c>
      <c r="S2824" s="6">
        <f>0</f>
        <v>0</v>
      </c>
      <c r="T2824" s="6">
        <f>1</f>
        <v>1</v>
      </c>
      <c r="U2824" s="5" t="s">
        <v>245</v>
      </c>
      <c r="V2824" s="4" t="s">
        <v>270</v>
      </c>
      <c r="W2824" s="4" t="s">
        <v>271</v>
      </c>
      <c r="X2824" s="4" t="s">
        <v>273</v>
      </c>
      <c r="Y2824" s="4" t="s">
        <v>241</v>
      </c>
      <c r="AB2824" s="4" t="s">
        <v>241</v>
      </c>
      <c r="AD2824" s="5" t="s">
        <v>241</v>
      </c>
      <c r="AG2824" s="5" t="s">
        <v>246</v>
      </c>
      <c r="AH2824" s="4" t="s">
        <v>241</v>
      </c>
      <c r="AI2824" s="4" t="s">
        <v>247</v>
      </c>
      <c r="AJ2824" s="4" t="s">
        <v>248</v>
      </c>
      <c r="AZ2824" s="4" t="s">
        <v>249</v>
      </c>
      <c r="BA2824" s="4" t="s">
        <v>241</v>
      </c>
      <c r="BB2824" s="4" t="s">
        <v>250</v>
      </c>
      <c r="BC2824" s="4" t="s">
        <v>241</v>
      </c>
      <c r="BD2824" s="4" t="s">
        <v>252</v>
      </c>
      <c r="BE2824" s="4" t="s">
        <v>241</v>
      </c>
      <c r="BI2824" s="4" t="s">
        <v>253</v>
      </c>
      <c r="BJ2824" s="5" t="s">
        <v>246</v>
      </c>
      <c r="BK2824" s="4" t="s">
        <v>254</v>
      </c>
      <c r="BL2824" s="4" t="s">
        <v>255</v>
      </c>
      <c r="BM2824" s="4" t="s">
        <v>241</v>
      </c>
      <c r="BN2824" s="6">
        <f>0</f>
        <v>0</v>
      </c>
      <c r="BO2824" s="6">
        <f>0</f>
        <v>0</v>
      </c>
      <c r="BP2824" s="4" t="s">
        <v>256</v>
      </c>
      <c r="BQ2824" s="4" t="s">
        <v>257</v>
      </c>
      <c r="CE2824" s="4" t="s">
        <v>241</v>
      </c>
      <c r="CF2824" s="4" t="s">
        <v>241</v>
      </c>
      <c r="CJ2824" s="4" t="s">
        <v>276</v>
      </c>
      <c r="CK2824" s="4" t="s">
        <v>259</v>
      </c>
      <c r="CL2824" s="4" t="s">
        <v>241</v>
      </c>
      <c r="CO2824" s="5" t="s">
        <v>260</v>
      </c>
      <c r="CP2824" s="4" t="s">
        <v>241</v>
      </c>
      <c r="CQ2824" s="4" t="s">
        <v>261</v>
      </c>
      <c r="CR2824" s="4" t="s">
        <v>241</v>
      </c>
      <c r="CS2824" s="4" t="s">
        <v>241</v>
      </c>
      <c r="CT2824" s="4">
        <v>0</v>
      </c>
      <c r="CU2824" s="4" t="s">
        <v>262</v>
      </c>
      <c r="CV2824" s="4" t="s">
        <v>263</v>
      </c>
      <c r="CW2824" s="4" t="s">
        <v>263</v>
      </c>
      <c r="CX2824" s="4" t="s">
        <v>264</v>
      </c>
      <c r="DA2824" s="6">
        <f>1</f>
        <v>1</v>
      </c>
      <c r="DC2824" s="4" t="s">
        <v>325</v>
      </c>
      <c r="DD2824" s="4" t="s">
        <v>241</v>
      </c>
      <c r="DF2824" s="4" t="s">
        <v>325</v>
      </c>
      <c r="DG2824" s="6">
        <f>1333</f>
        <v>1333</v>
      </c>
      <c r="DI2824" s="4" t="s">
        <v>241</v>
      </c>
      <c r="DJ2824" s="4" t="s">
        <v>241</v>
      </c>
      <c r="DK2824" s="4" t="s">
        <v>241</v>
      </c>
      <c r="DL2824" s="4" t="s">
        <v>241</v>
      </c>
      <c r="DP2824" s="4" t="s">
        <v>241</v>
      </c>
      <c r="DQ2824" s="4" t="s">
        <v>241</v>
      </c>
      <c r="DR2824" s="4" t="s">
        <v>241</v>
      </c>
      <c r="DS2824" s="4" t="s">
        <v>241</v>
      </c>
      <c r="DV2824" s="4" t="s">
        <v>426</v>
      </c>
      <c r="DW2824" s="4" t="s">
        <v>2238</v>
      </c>
      <c r="HO2824" s="4" t="s">
        <v>267</v>
      </c>
    </row>
    <row r="2825" spans="1:223" ht="19.5" customHeight="1" x14ac:dyDescent="0.4">
      <c r="A2825" s="4">
        <v>1</v>
      </c>
      <c r="B2825" s="4" t="s">
        <v>239</v>
      </c>
      <c r="C2825" s="4">
        <v>4528</v>
      </c>
      <c r="D2825" s="4">
        <v>1</v>
      </c>
      <c r="E2825" s="4">
        <v>1</v>
      </c>
      <c r="F2825" s="4" t="s">
        <v>268</v>
      </c>
      <c r="G2825" s="4" t="s">
        <v>241</v>
      </c>
      <c r="H2825" s="4" t="s">
        <v>241</v>
      </c>
      <c r="I2825" s="4" t="s">
        <v>424</v>
      </c>
      <c r="J2825" s="4" t="s">
        <v>274</v>
      </c>
      <c r="K2825" s="4" t="s">
        <v>251</v>
      </c>
      <c r="L2825" s="4" t="s">
        <v>423</v>
      </c>
      <c r="M2825" s="5" t="s">
        <v>3773</v>
      </c>
      <c r="N2825" s="6">
        <f>529</f>
        <v>529</v>
      </c>
      <c r="O2825" s="4" t="s">
        <v>265</v>
      </c>
      <c r="P2825" s="6">
        <f>1</f>
        <v>1</v>
      </c>
      <c r="Q2825" s="6">
        <f>0</f>
        <v>0</v>
      </c>
      <c r="S2825" s="6">
        <f>0</f>
        <v>0</v>
      </c>
      <c r="T2825" s="6">
        <f>1</f>
        <v>1</v>
      </c>
      <c r="U2825" s="5" t="s">
        <v>245</v>
      </c>
      <c r="V2825" s="4" t="s">
        <v>270</v>
      </c>
      <c r="W2825" s="4" t="s">
        <v>271</v>
      </c>
      <c r="X2825" s="4" t="s">
        <v>273</v>
      </c>
      <c r="Y2825" s="4" t="s">
        <v>241</v>
      </c>
      <c r="AB2825" s="4" t="s">
        <v>241</v>
      </c>
      <c r="AD2825" s="5" t="s">
        <v>241</v>
      </c>
      <c r="AG2825" s="5" t="s">
        <v>246</v>
      </c>
      <c r="AH2825" s="4" t="s">
        <v>241</v>
      </c>
      <c r="AI2825" s="4" t="s">
        <v>247</v>
      </c>
      <c r="AJ2825" s="4" t="s">
        <v>248</v>
      </c>
      <c r="AZ2825" s="4" t="s">
        <v>249</v>
      </c>
      <c r="BA2825" s="4" t="s">
        <v>241</v>
      </c>
      <c r="BB2825" s="4" t="s">
        <v>250</v>
      </c>
      <c r="BC2825" s="4" t="s">
        <v>241</v>
      </c>
      <c r="BD2825" s="4" t="s">
        <v>252</v>
      </c>
      <c r="BE2825" s="4" t="s">
        <v>241</v>
      </c>
      <c r="BI2825" s="4" t="s">
        <v>253</v>
      </c>
      <c r="BJ2825" s="5" t="s">
        <v>246</v>
      </c>
      <c r="BK2825" s="4" t="s">
        <v>254</v>
      </c>
      <c r="BL2825" s="4" t="s">
        <v>255</v>
      </c>
      <c r="BM2825" s="4" t="s">
        <v>241</v>
      </c>
      <c r="BN2825" s="6">
        <f>0</f>
        <v>0</v>
      </c>
      <c r="BO2825" s="6">
        <f>0</f>
        <v>0</v>
      </c>
      <c r="BP2825" s="4" t="s">
        <v>256</v>
      </c>
      <c r="BQ2825" s="4" t="s">
        <v>257</v>
      </c>
      <c r="CE2825" s="4" t="s">
        <v>241</v>
      </c>
      <c r="CF2825" s="4" t="s">
        <v>241</v>
      </c>
      <c r="CJ2825" s="4" t="s">
        <v>276</v>
      </c>
      <c r="CK2825" s="4" t="s">
        <v>259</v>
      </c>
      <c r="CL2825" s="4" t="s">
        <v>241</v>
      </c>
      <c r="CO2825" s="5" t="s">
        <v>260</v>
      </c>
      <c r="CP2825" s="4" t="s">
        <v>241</v>
      </c>
      <c r="CQ2825" s="4" t="s">
        <v>261</v>
      </c>
      <c r="CR2825" s="4" t="s">
        <v>241</v>
      </c>
      <c r="CS2825" s="4" t="s">
        <v>241</v>
      </c>
      <c r="CT2825" s="4">
        <v>0</v>
      </c>
      <c r="CU2825" s="4" t="s">
        <v>262</v>
      </c>
      <c r="CV2825" s="4" t="s">
        <v>263</v>
      </c>
      <c r="CW2825" s="4" t="s">
        <v>263</v>
      </c>
      <c r="CX2825" s="4" t="s">
        <v>264</v>
      </c>
      <c r="DA2825" s="6">
        <f>1</f>
        <v>1</v>
      </c>
      <c r="DC2825" s="4" t="s">
        <v>325</v>
      </c>
      <c r="DD2825" s="4" t="s">
        <v>241</v>
      </c>
      <c r="DF2825" s="4" t="s">
        <v>325</v>
      </c>
      <c r="DG2825" s="6">
        <f>529</f>
        <v>529</v>
      </c>
      <c r="DI2825" s="4" t="s">
        <v>241</v>
      </c>
      <c r="DJ2825" s="4" t="s">
        <v>241</v>
      </c>
      <c r="DK2825" s="4" t="s">
        <v>241</v>
      </c>
      <c r="DL2825" s="4" t="s">
        <v>241</v>
      </c>
      <c r="DP2825" s="4" t="s">
        <v>241</v>
      </c>
      <c r="DQ2825" s="4" t="s">
        <v>241</v>
      </c>
      <c r="DR2825" s="4" t="s">
        <v>241</v>
      </c>
      <c r="DS2825" s="4" t="s">
        <v>241</v>
      </c>
      <c r="DV2825" s="4" t="s">
        <v>426</v>
      </c>
      <c r="DW2825" s="4" t="s">
        <v>2236</v>
      </c>
      <c r="HO2825" s="4" t="s">
        <v>267</v>
      </c>
    </row>
    <row r="2826" spans="1:223" ht="19.5" customHeight="1" x14ac:dyDescent="0.4">
      <c r="A2826" s="4">
        <v>1</v>
      </c>
      <c r="B2826" s="4" t="s">
        <v>239</v>
      </c>
      <c r="C2826" s="4">
        <v>4529</v>
      </c>
      <c r="D2826" s="4">
        <v>1</v>
      </c>
      <c r="E2826" s="4">
        <v>1</v>
      </c>
      <c r="F2826" s="4" t="s">
        <v>268</v>
      </c>
      <c r="G2826" s="4" t="s">
        <v>241</v>
      </c>
      <c r="H2826" s="4" t="s">
        <v>241</v>
      </c>
      <c r="I2826" s="4" t="s">
        <v>424</v>
      </c>
      <c r="J2826" s="4" t="s">
        <v>274</v>
      </c>
      <c r="K2826" s="4" t="s">
        <v>251</v>
      </c>
      <c r="L2826" s="4" t="s">
        <v>423</v>
      </c>
      <c r="M2826" s="5" t="s">
        <v>3734</v>
      </c>
      <c r="N2826" s="6">
        <f>1641</f>
        <v>1641</v>
      </c>
      <c r="O2826" s="4" t="s">
        <v>265</v>
      </c>
      <c r="P2826" s="6">
        <f>1</f>
        <v>1</v>
      </c>
      <c r="Q2826" s="6">
        <f>0</f>
        <v>0</v>
      </c>
      <c r="S2826" s="6">
        <f>0</f>
        <v>0</v>
      </c>
      <c r="T2826" s="6">
        <f>1</f>
        <v>1</v>
      </c>
      <c r="U2826" s="5" t="s">
        <v>245</v>
      </c>
      <c r="V2826" s="4" t="s">
        <v>270</v>
      </c>
      <c r="W2826" s="4" t="s">
        <v>271</v>
      </c>
      <c r="X2826" s="4" t="s">
        <v>273</v>
      </c>
      <c r="Y2826" s="4" t="s">
        <v>241</v>
      </c>
      <c r="AB2826" s="4" t="s">
        <v>241</v>
      </c>
      <c r="AD2826" s="5" t="s">
        <v>241</v>
      </c>
      <c r="AG2826" s="5" t="s">
        <v>246</v>
      </c>
      <c r="AH2826" s="4" t="s">
        <v>241</v>
      </c>
      <c r="AI2826" s="4" t="s">
        <v>247</v>
      </c>
      <c r="AJ2826" s="4" t="s">
        <v>248</v>
      </c>
      <c r="AZ2826" s="4" t="s">
        <v>249</v>
      </c>
      <c r="BA2826" s="4" t="s">
        <v>241</v>
      </c>
      <c r="BB2826" s="4" t="s">
        <v>250</v>
      </c>
      <c r="BC2826" s="4" t="s">
        <v>241</v>
      </c>
      <c r="BD2826" s="4" t="s">
        <v>252</v>
      </c>
      <c r="BE2826" s="4" t="s">
        <v>241</v>
      </c>
      <c r="BI2826" s="4" t="s">
        <v>253</v>
      </c>
      <c r="BJ2826" s="5" t="s">
        <v>246</v>
      </c>
      <c r="BK2826" s="4" t="s">
        <v>254</v>
      </c>
      <c r="BL2826" s="4" t="s">
        <v>255</v>
      </c>
      <c r="BM2826" s="4" t="s">
        <v>241</v>
      </c>
      <c r="BN2826" s="6">
        <f>0</f>
        <v>0</v>
      </c>
      <c r="BO2826" s="6">
        <f>0</f>
        <v>0</v>
      </c>
      <c r="BP2826" s="4" t="s">
        <v>256</v>
      </c>
      <c r="BQ2826" s="4" t="s">
        <v>257</v>
      </c>
      <c r="CE2826" s="4" t="s">
        <v>241</v>
      </c>
      <c r="CF2826" s="4" t="s">
        <v>241</v>
      </c>
      <c r="CJ2826" s="4" t="s">
        <v>276</v>
      </c>
      <c r="CK2826" s="4" t="s">
        <v>259</v>
      </c>
      <c r="CL2826" s="4" t="s">
        <v>241</v>
      </c>
      <c r="CO2826" s="5" t="s">
        <v>260</v>
      </c>
      <c r="CP2826" s="4" t="s">
        <v>241</v>
      </c>
      <c r="CQ2826" s="4" t="s">
        <v>261</v>
      </c>
      <c r="CR2826" s="4" t="s">
        <v>241</v>
      </c>
      <c r="CS2826" s="4" t="s">
        <v>241</v>
      </c>
      <c r="CT2826" s="4">
        <v>0</v>
      </c>
      <c r="CU2826" s="4" t="s">
        <v>262</v>
      </c>
      <c r="CV2826" s="4" t="s">
        <v>263</v>
      </c>
      <c r="CW2826" s="4" t="s">
        <v>263</v>
      </c>
      <c r="CX2826" s="4" t="s">
        <v>264</v>
      </c>
      <c r="DA2826" s="6">
        <f>1</f>
        <v>1</v>
      </c>
      <c r="DC2826" s="4" t="s">
        <v>325</v>
      </c>
      <c r="DD2826" s="4" t="s">
        <v>241</v>
      </c>
      <c r="DF2826" s="4" t="s">
        <v>325</v>
      </c>
      <c r="DG2826" s="6">
        <f>1641</f>
        <v>1641</v>
      </c>
      <c r="DI2826" s="4" t="s">
        <v>241</v>
      </c>
      <c r="DJ2826" s="4" t="s">
        <v>241</v>
      </c>
      <c r="DK2826" s="4" t="s">
        <v>241</v>
      </c>
      <c r="DL2826" s="4" t="s">
        <v>241</v>
      </c>
      <c r="DP2826" s="4" t="s">
        <v>241</v>
      </c>
      <c r="DQ2826" s="4" t="s">
        <v>241</v>
      </c>
      <c r="DR2826" s="4" t="s">
        <v>241</v>
      </c>
      <c r="DS2826" s="4" t="s">
        <v>241</v>
      </c>
      <c r="DV2826" s="4" t="s">
        <v>426</v>
      </c>
      <c r="DW2826" s="4" t="s">
        <v>2234</v>
      </c>
      <c r="HO2826" s="4" t="s">
        <v>267</v>
      </c>
    </row>
    <row r="2827" spans="1:223" ht="19.5" customHeight="1" x14ac:dyDescent="0.4">
      <c r="A2827" s="4">
        <v>1</v>
      </c>
      <c r="B2827" s="4" t="s">
        <v>239</v>
      </c>
      <c r="C2827" s="4">
        <v>4530</v>
      </c>
      <c r="D2827" s="4">
        <v>1</v>
      </c>
      <c r="E2827" s="4">
        <v>1</v>
      </c>
      <c r="F2827" s="4" t="s">
        <v>268</v>
      </c>
      <c r="G2827" s="4" t="s">
        <v>241</v>
      </c>
      <c r="H2827" s="4" t="s">
        <v>241</v>
      </c>
      <c r="I2827" s="4" t="s">
        <v>424</v>
      </c>
      <c r="J2827" s="4" t="s">
        <v>274</v>
      </c>
      <c r="K2827" s="4" t="s">
        <v>251</v>
      </c>
      <c r="L2827" s="4" t="s">
        <v>423</v>
      </c>
      <c r="M2827" s="5" t="s">
        <v>3694</v>
      </c>
      <c r="N2827" s="6">
        <f>177</f>
        <v>177</v>
      </c>
      <c r="O2827" s="4" t="s">
        <v>265</v>
      </c>
      <c r="P2827" s="6">
        <f>1</f>
        <v>1</v>
      </c>
      <c r="Q2827" s="6">
        <f>0</f>
        <v>0</v>
      </c>
      <c r="S2827" s="6">
        <f>0</f>
        <v>0</v>
      </c>
      <c r="T2827" s="6">
        <f>1</f>
        <v>1</v>
      </c>
      <c r="U2827" s="5" t="s">
        <v>245</v>
      </c>
      <c r="V2827" s="4" t="s">
        <v>270</v>
      </c>
      <c r="W2827" s="4" t="s">
        <v>271</v>
      </c>
      <c r="X2827" s="4" t="s">
        <v>273</v>
      </c>
      <c r="Y2827" s="4" t="s">
        <v>241</v>
      </c>
      <c r="AB2827" s="4" t="s">
        <v>241</v>
      </c>
      <c r="AD2827" s="5" t="s">
        <v>241</v>
      </c>
      <c r="AG2827" s="5" t="s">
        <v>246</v>
      </c>
      <c r="AH2827" s="4" t="s">
        <v>241</v>
      </c>
      <c r="AI2827" s="4" t="s">
        <v>247</v>
      </c>
      <c r="AJ2827" s="4" t="s">
        <v>248</v>
      </c>
      <c r="AZ2827" s="4" t="s">
        <v>249</v>
      </c>
      <c r="BA2827" s="4" t="s">
        <v>241</v>
      </c>
      <c r="BB2827" s="4" t="s">
        <v>250</v>
      </c>
      <c r="BC2827" s="4" t="s">
        <v>241</v>
      </c>
      <c r="BD2827" s="4" t="s">
        <v>252</v>
      </c>
      <c r="BE2827" s="4" t="s">
        <v>241</v>
      </c>
      <c r="BI2827" s="4" t="s">
        <v>253</v>
      </c>
      <c r="BJ2827" s="5" t="s">
        <v>246</v>
      </c>
      <c r="BK2827" s="4" t="s">
        <v>254</v>
      </c>
      <c r="BL2827" s="4" t="s">
        <v>255</v>
      </c>
      <c r="BM2827" s="4" t="s">
        <v>241</v>
      </c>
      <c r="BN2827" s="6">
        <f>0</f>
        <v>0</v>
      </c>
      <c r="BO2827" s="6">
        <f>0</f>
        <v>0</v>
      </c>
      <c r="BP2827" s="4" t="s">
        <v>256</v>
      </c>
      <c r="BQ2827" s="4" t="s">
        <v>257</v>
      </c>
      <c r="CE2827" s="4" t="s">
        <v>241</v>
      </c>
      <c r="CF2827" s="4" t="s">
        <v>241</v>
      </c>
      <c r="CJ2827" s="4" t="s">
        <v>276</v>
      </c>
      <c r="CK2827" s="4" t="s">
        <v>259</v>
      </c>
      <c r="CL2827" s="4" t="s">
        <v>241</v>
      </c>
      <c r="CO2827" s="5" t="s">
        <v>260</v>
      </c>
      <c r="CP2827" s="4" t="s">
        <v>241</v>
      </c>
      <c r="CQ2827" s="4" t="s">
        <v>261</v>
      </c>
      <c r="CR2827" s="4" t="s">
        <v>241</v>
      </c>
      <c r="CS2827" s="4" t="s">
        <v>241</v>
      </c>
      <c r="CT2827" s="4">
        <v>0</v>
      </c>
      <c r="CU2827" s="4" t="s">
        <v>262</v>
      </c>
      <c r="CV2827" s="4" t="s">
        <v>263</v>
      </c>
      <c r="CW2827" s="4" t="s">
        <v>263</v>
      </c>
      <c r="CX2827" s="4" t="s">
        <v>264</v>
      </c>
      <c r="DA2827" s="6">
        <f>1</f>
        <v>1</v>
      </c>
      <c r="DC2827" s="4" t="s">
        <v>325</v>
      </c>
      <c r="DD2827" s="4" t="s">
        <v>241</v>
      </c>
      <c r="DF2827" s="4" t="s">
        <v>325</v>
      </c>
      <c r="DG2827" s="6">
        <f>177</f>
        <v>177</v>
      </c>
      <c r="DI2827" s="4" t="s">
        <v>241</v>
      </c>
      <c r="DJ2827" s="4" t="s">
        <v>241</v>
      </c>
      <c r="DK2827" s="4" t="s">
        <v>241</v>
      </c>
      <c r="DL2827" s="4" t="s">
        <v>241</v>
      </c>
      <c r="DP2827" s="4" t="s">
        <v>241</v>
      </c>
      <c r="DQ2827" s="4" t="s">
        <v>241</v>
      </c>
      <c r="DR2827" s="4" t="s">
        <v>241</v>
      </c>
      <c r="DS2827" s="4" t="s">
        <v>241</v>
      </c>
      <c r="DV2827" s="4" t="s">
        <v>426</v>
      </c>
      <c r="DW2827" s="4" t="s">
        <v>2232</v>
      </c>
      <c r="HO2827" s="4" t="s">
        <v>267</v>
      </c>
    </row>
    <row r="2828" spans="1:223" ht="19.5" customHeight="1" x14ac:dyDescent="0.4">
      <c r="A2828" s="4">
        <v>1</v>
      </c>
      <c r="B2828" s="4" t="s">
        <v>239</v>
      </c>
      <c r="C2828" s="4">
        <v>4531</v>
      </c>
      <c r="D2828" s="4">
        <v>1</v>
      </c>
      <c r="E2828" s="4">
        <v>1</v>
      </c>
      <c r="F2828" s="4" t="s">
        <v>268</v>
      </c>
      <c r="G2828" s="4" t="s">
        <v>241</v>
      </c>
      <c r="H2828" s="4" t="s">
        <v>241</v>
      </c>
      <c r="I2828" s="4" t="s">
        <v>424</v>
      </c>
      <c r="J2828" s="4" t="s">
        <v>274</v>
      </c>
      <c r="K2828" s="4" t="s">
        <v>251</v>
      </c>
      <c r="L2828" s="4" t="s">
        <v>423</v>
      </c>
      <c r="M2828" s="5" t="s">
        <v>3669</v>
      </c>
      <c r="N2828" s="6">
        <f>120</f>
        <v>120</v>
      </c>
      <c r="O2828" s="4" t="s">
        <v>265</v>
      </c>
      <c r="P2828" s="6">
        <f>1</f>
        <v>1</v>
      </c>
      <c r="Q2828" s="6">
        <f>0</f>
        <v>0</v>
      </c>
      <c r="S2828" s="6">
        <f>0</f>
        <v>0</v>
      </c>
      <c r="T2828" s="6">
        <f>1</f>
        <v>1</v>
      </c>
      <c r="U2828" s="5" t="s">
        <v>245</v>
      </c>
      <c r="V2828" s="4" t="s">
        <v>270</v>
      </c>
      <c r="W2828" s="4" t="s">
        <v>271</v>
      </c>
      <c r="X2828" s="4" t="s">
        <v>273</v>
      </c>
      <c r="Y2828" s="4" t="s">
        <v>241</v>
      </c>
      <c r="AB2828" s="4" t="s">
        <v>241</v>
      </c>
      <c r="AD2828" s="5" t="s">
        <v>241</v>
      </c>
      <c r="AG2828" s="5" t="s">
        <v>246</v>
      </c>
      <c r="AH2828" s="4" t="s">
        <v>241</v>
      </c>
      <c r="AI2828" s="4" t="s">
        <v>247</v>
      </c>
      <c r="AJ2828" s="4" t="s">
        <v>248</v>
      </c>
      <c r="AZ2828" s="4" t="s">
        <v>249</v>
      </c>
      <c r="BA2828" s="4" t="s">
        <v>241</v>
      </c>
      <c r="BB2828" s="4" t="s">
        <v>250</v>
      </c>
      <c r="BC2828" s="4" t="s">
        <v>241</v>
      </c>
      <c r="BD2828" s="4" t="s">
        <v>252</v>
      </c>
      <c r="BE2828" s="4" t="s">
        <v>241</v>
      </c>
      <c r="BI2828" s="4" t="s">
        <v>253</v>
      </c>
      <c r="BJ2828" s="5" t="s">
        <v>246</v>
      </c>
      <c r="BK2828" s="4" t="s">
        <v>254</v>
      </c>
      <c r="BL2828" s="4" t="s">
        <v>255</v>
      </c>
      <c r="BM2828" s="4" t="s">
        <v>241</v>
      </c>
      <c r="BN2828" s="6">
        <f>0</f>
        <v>0</v>
      </c>
      <c r="BO2828" s="6">
        <f>0</f>
        <v>0</v>
      </c>
      <c r="BP2828" s="4" t="s">
        <v>256</v>
      </c>
      <c r="BQ2828" s="4" t="s">
        <v>257</v>
      </c>
      <c r="CE2828" s="4" t="s">
        <v>241</v>
      </c>
      <c r="CF2828" s="4" t="s">
        <v>241</v>
      </c>
      <c r="CJ2828" s="4" t="s">
        <v>276</v>
      </c>
      <c r="CK2828" s="4" t="s">
        <v>259</v>
      </c>
      <c r="CL2828" s="4" t="s">
        <v>241</v>
      </c>
      <c r="CO2828" s="5" t="s">
        <v>260</v>
      </c>
      <c r="CP2828" s="4" t="s">
        <v>241</v>
      </c>
      <c r="CQ2828" s="4" t="s">
        <v>261</v>
      </c>
      <c r="CR2828" s="4" t="s">
        <v>241</v>
      </c>
      <c r="CS2828" s="4" t="s">
        <v>241</v>
      </c>
      <c r="CT2828" s="4">
        <v>0</v>
      </c>
      <c r="CU2828" s="4" t="s">
        <v>262</v>
      </c>
      <c r="CV2828" s="4" t="s">
        <v>263</v>
      </c>
      <c r="CW2828" s="4" t="s">
        <v>263</v>
      </c>
      <c r="CX2828" s="4" t="s">
        <v>264</v>
      </c>
      <c r="DA2828" s="6">
        <f>1</f>
        <v>1</v>
      </c>
      <c r="DC2828" s="4" t="s">
        <v>325</v>
      </c>
      <c r="DD2828" s="4" t="s">
        <v>241</v>
      </c>
      <c r="DF2828" s="4" t="s">
        <v>325</v>
      </c>
      <c r="DG2828" s="6">
        <f>120</f>
        <v>120</v>
      </c>
      <c r="DI2828" s="4" t="s">
        <v>241</v>
      </c>
      <c r="DJ2828" s="4" t="s">
        <v>241</v>
      </c>
      <c r="DK2828" s="4" t="s">
        <v>241</v>
      </c>
      <c r="DL2828" s="4" t="s">
        <v>241</v>
      </c>
      <c r="DP2828" s="4" t="s">
        <v>241</v>
      </c>
      <c r="DQ2828" s="4" t="s">
        <v>241</v>
      </c>
      <c r="DR2828" s="4" t="s">
        <v>241</v>
      </c>
      <c r="DS2828" s="4" t="s">
        <v>241</v>
      </c>
      <c r="DV2828" s="4" t="s">
        <v>426</v>
      </c>
      <c r="DW2828" s="4" t="s">
        <v>2230</v>
      </c>
      <c r="HO2828" s="4" t="s">
        <v>267</v>
      </c>
    </row>
    <row r="2829" spans="1:223" ht="19.5" customHeight="1" x14ac:dyDescent="0.4">
      <c r="A2829" s="4">
        <v>1</v>
      </c>
      <c r="B2829" s="4" t="s">
        <v>239</v>
      </c>
      <c r="C2829" s="4">
        <v>4532</v>
      </c>
      <c r="D2829" s="4">
        <v>1</v>
      </c>
      <c r="E2829" s="4">
        <v>1</v>
      </c>
      <c r="F2829" s="4" t="s">
        <v>268</v>
      </c>
      <c r="G2829" s="4" t="s">
        <v>241</v>
      </c>
      <c r="H2829" s="4" t="s">
        <v>241</v>
      </c>
      <c r="I2829" s="4" t="s">
        <v>424</v>
      </c>
      <c r="J2829" s="4" t="s">
        <v>274</v>
      </c>
      <c r="K2829" s="4" t="s">
        <v>251</v>
      </c>
      <c r="L2829" s="4" t="s">
        <v>423</v>
      </c>
      <c r="M2829" s="5" t="s">
        <v>3646</v>
      </c>
      <c r="N2829" s="6">
        <f>1243</f>
        <v>1243</v>
      </c>
      <c r="O2829" s="4" t="s">
        <v>265</v>
      </c>
      <c r="P2829" s="6">
        <f>1</f>
        <v>1</v>
      </c>
      <c r="Q2829" s="6">
        <f>0</f>
        <v>0</v>
      </c>
      <c r="S2829" s="6">
        <f>0</f>
        <v>0</v>
      </c>
      <c r="T2829" s="6">
        <f>1</f>
        <v>1</v>
      </c>
      <c r="U2829" s="5" t="s">
        <v>245</v>
      </c>
      <c r="V2829" s="4" t="s">
        <v>270</v>
      </c>
      <c r="W2829" s="4" t="s">
        <v>271</v>
      </c>
      <c r="X2829" s="4" t="s">
        <v>273</v>
      </c>
      <c r="Y2829" s="4" t="s">
        <v>241</v>
      </c>
      <c r="AB2829" s="4" t="s">
        <v>241</v>
      </c>
      <c r="AD2829" s="5" t="s">
        <v>241</v>
      </c>
      <c r="AG2829" s="5" t="s">
        <v>246</v>
      </c>
      <c r="AH2829" s="4" t="s">
        <v>241</v>
      </c>
      <c r="AI2829" s="4" t="s">
        <v>247</v>
      </c>
      <c r="AJ2829" s="4" t="s">
        <v>248</v>
      </c>
      <c r="AZ2829" s="4" t="s">
        <v>249</v>
      </c>
      <c r="BA2829" s="4" t="s">
        <v>241</v>
      </c>
      <c r="BB2829" s="4" t="s">
        <v>250</v>
      </c>
      <c r="BC2829" s="4" t="s">
        <v>241</v>
      </c>
      <c r="BD2829" s="4" t="s">
        <v>252</v>
      </c>
      <c r="BE2829" s="4" t="s">
        <v>241</v>
      </c>
      <c r="BI2829" s="4" t="s">
        <v>253</v>
      </c>
      <c r="BJ2829" s="5" t="s">
        <v>246</v>
      </c>
      <c r="BK2829" s="4" t="s">
        <v>254</v>
      </c>
      <c r="BL2829" s="4" t="s">
        <v>255</v>
      </c>
      <c r="BM2829" s="4" t="s">
        <v>241</v>
      </c>
      <c r="BN2829" s="6">
        <f>0</f>
        <v>0</v>
      </c>
      <c r="BO2829" s="6">
        <f>0</f>
        <v>0</v>
      </c>
      <c r="BP2829" s="4" t="s">
        <v>256</v>
      </c>
      <c r="BQ2829" s="4" t="s">
        <v>257</v>
      </c>
      <c r="CE2829" s="4" t="s">
        <v>241</v>
      </c>
      <c r="CF2829" s="4" t="s">
        <v>241</v>
      </c>
      <c r="CJ2829" s="4" t="s">
        <v>276</v>
      </c>
      <c r="CK2829" s="4" t="s">
        <v>259</v>
      </c>
      <c r="CL2829" s="4" t="s">
        <v>241</v>
      </c>
      <c r="CO2829" s="5" t="s">
        <v>260</v>
      </c>
      <c r="CP2829" s="4" t="s">
        <v>241</v>
      </c>
      <c r="CQ2829" s="4" t="s">
        <v>261</v>
      </c>
      <c r="CR2829" s="4" t="s">
        <v>241</v>
      </c>
      <c r="CS2829" s="4" t="s">
        <v>241</v>
      </c>
      <c r="CT2829" s="4">
        <v>0</v>
      </c>
      <c r="CU2829" s="4" t="s">
        <v>262</v>
      </c>
      <c r="CV2829" s="4" t="s">
        <v>263</v>
      </c>
      <c r="CW2829" s="4" t="s">
        <v>263</v>
      </c>
      <c r="CX2829" s="4" t="s">
        <v>264</v>
      </c>
      <c r="DA2829" s="6">
        <f>1</f>
        <v>1</v>
      </c>
      <c r="DC2829" s="4" t="s">
        <v>325</v>
      </c>
      <c r="DD2829" s="4" t="s">
        <v>241</v>
      </c>
      <c r="DF2829" s="4" t="s">
        <v>325</v>
      </c>
      <c r="DG2829" s="6">
        <f>1243</f>
        <v>1243</v>
      </c>
      <c r="DI2829" s="4" t="s">
        <v>241</v>
      </c>
      <c r="DJ2829" s="4" t="s">
        <v>241</v>
      </c>
      <c r="DK2829" s="4" t="s">
        <v>241</v>
      </c>
      <c r="DL2829" s="4" t="s">
        <v>241</v>
      </c>
      <c r="DP2829" s="4" t="s">
        <v>241</v>
      </c>
      <c r="DQ2829" s="4" t="s">
        <v>241</v>
      </c>
      <c r="DR2829" s="4" t="s">
        <v>241</v>
      </c>
      <c r="DS2829" s="4" t="s">
        <v>241</v>
      </c>
      <c r="DV2829" s="4" t="s">
        <v>426</v>
      </c>
      <c r="DW2829" s="4" t="s">
        <v>2228</v>
      </c>
      <c r="HO2829" s="4" t="s">
        <v>267</v>
      </c>
    </row>
    <row r="2830" spans="1:223" ht="19.5" customHeight="1" x14ac:dyDescent="0.4">
      <c r="A2830" s="4">
        <v>1</v>
      </c>
      <c r="B2830" s="4" t="s">
        <v>239</v>
      </c>
      <c r="C2830" s="4">
        <v>4533</v>
      </c>
      <c r="D2830" s="4">
        <v>1</v>
      </c>
      <c r="E2830" s="4">
        <v>1</v>
      </c>
      <c r="F2830" s="4" t="s">
        <v>268</v>
      </c>
      <c r="G2830" s="4" t="s">
        <v>241</v>
      </c>
      <c r="H2830" s="4" t="s">
        <v>241</v>
      </c>
      <c r="I2830" s="4" t="s">
        <v>424</v>
      </c>
      <c r="J2830" s="4" t="s">
        <v>274</v>
      </c>
      <c r="K2830" s="4" t="s">
        <v>251</v>
      </c>
      <c r="L2830" s="4" t="s">
        <v>423</v>
      </c>
      <c r="M2830" s="5" t="s">
        <v>3624</v>
      </c>
      <c r="N2830" s="6">
        <f>1308</f>
        <v>1308</v>
      </c>
      <c r="O2830" s="4" t="s">
        <v>265</v>
      </c>
      <c r="P2830" s="6">
        <f>1</f>
        <v>1</v>
      </c>
      <c r="Q2830" s="6">
        <f>0</f>
        <v>0</v>
      </c>
      <c r="S2830" s="6">
        <f>0</f>
        <v>0</v>
      </c>
      <c r="T2830" s="6">
        <f>1</f>
        <v>1</v>
      </c>
      <c r="U2830" s="5" t="s">
        <v>245</v>
      </c>
      <c r="V2830" s="4" t="s">
        <v>270</v>
      </c>
      <c r="W2830" s="4" t="s">
        <v>271</v>
      </c>
      <c r="X2830" s="4" t="s">
        <v>273</v>
      </c>
      <c r="Y2830" s="4" t="s">
        <v>241</v>
      </c>
      <c r="AB2830" s="4" t="s">
        <v>241</v>
      </c>
      <c r="AD2830" s="5" t="s">
        <v>241</v>
      </c>
      <c r="AG2830" s="5" t="s">
        <v>246</v>
      </c>
      <c r="AH2830" s="4" t="s">
        <v>241</v>
      </c>
      <c r="AI2830" s="4" t="s">
        <v>247</v>
      </c>
      <c r="AJ2830" s="4" t="s">
        <v>248</v>
      </c>
      <c r="AZ2830" s="4" t="s">
        <v>249</v>
      </c>
      <c r="BA2830" s="4" t="s">
        <v>241</v>
      </c>
      <c r="BB2830" s="4" t="s">
        <v>250</v>
      </c>
      <c r="BC2830" s="4" t="s">
        <v>241</v>
      </c>
      <c r="BD2830" s="4" t="s">
        <v>252</v>
      </c>
      <c r="BE2830" s="4" t="s">
        <v>241</v>
      </c>
      <c r="BI2830" s="4" t="s">
        <v>253</v>
      </c>
      <c r="BJ2830" s="5" t="s">
        <v>246</v>
      </c>
      <c r="BK2830" s="4" t="s">
        <v>254</v>
      </c>
      <c r="BL2830" s="4" t="s">
        <v>255</v>
      </c>
      <c r="BM2830" s="4" t="s">
        <v>241</v>
      </c>
      <c r="BN2830" s="6">
        <f>0</f>
        <v>0</v>
      </c>
      <c r="BO2830" s="6">
        <f>0</f>
        <v>0</v>
      </c>
      <c r="BP2830" s="4" t="s">
        <v>256</v>
      </c>
      <c r="BQ2830" s="4" t="s">
        <v>257</v>
      </c>
      <c r="CE2830" s="4" t="s">
        <v>241</v>
      </c>
      <c r="CF2830" s="4" t="s">
        <v>241</v>
      </c>
      <c r="CJ2830" s="4" t="s">
        <v>276</v>
      </c>
      <c r="CK2830" s="4" t="s">
        <v>259</v>
      </c>
      <c r="CL2830" s="4" t="s">
        <v>241</v>
      </c>
      <c r="CO2830" s="5" t="s">
        <v>260</v>
      </c>
      <c r="CP2830" s="4" t="s">
        <v>241</v>
      </c>
      <c r="CQ2830" s="4" t="s">
        <v>261</v>
      </c>
      <c r="CR2830" s="4" t="s">
        <v>241</v>
      </c>
      <c r="CS2830" s="4" t="s">
        <v>241</v>
      </c>
      <c r="CT2830" s="4">
        <v>0</v>
      </c>
      <c r="CU2830" s="4" t="s">
        <v>262</v>
      </c>
      <c r="CV2830" s="4" t="s">
        <v>263</v>
      </c>
      <c r="CW2830" s="4" t="s">
        <v>263</v>
      </c>
      <c r="CX2830" s="4" t="s">
        <v>264</v>
      </c>
      <c r="DA2830" s="6">
        <f>1</f>
        <v>1</v>
      </c>
      <c r="DC2830" s="4" t="s">
        <v>325</v>
      </c>
      <c r="DD2830" s="4" t="s">
        <v>241</v>
      </c>
      <c r="DF2830" s="4" t="s">
        <v>325</v>
      </c>
      <c r="DG2830" s="6">
        <f>1308</f>
        <v>1308</v>
      </c>
      <c r="DI2830" s="4" t="s">
        <v>241</v>
      </c>
      <c r="DJ2830" s="4" t="s">
        <v>241</v>
      </c>
      <c r="DK2830" s="4" t="s">
        <v>241</v>
      </c>
      <c r="DL2830" s="4" t="s">
        <v>241</v>
      </c>
      <c r="DP2830" s="4" t="s">
        <v>241</v>
      </c>
      <c r="DQ2830" s="4" t="s">
        <v>241</v>
      </c>
      <c r="DR2830" s="4" t="s">
        <v>241</v>
      </c>
      <c r="DS2830" s="4" t="s">
        <v>241</v>
      </c>
      <c r="DV2830" s="4" t="s">
        <v>426</v>
      </c>
      <c r="DW2830" s="4" t="s">
        <v>2226</v>
      </c>
      <c r="HO2830" s="4" t="s">
        <v>267</v>
      </c>
    </row>
    <row r="2831" spans="1:223" ht="19.5" customHeight="1" x14ac:dyDescent="0.4">
      <c r="A2831" s="4">
        <v>1</v>
      </c>
      <c r="B2831" s="4" t="s">
        <v>239</v>
      </c>
      <c r="C2831" s="4">
        <v>4534</v>
      </c>
      <c r="D2831" s="4">
        <v>1</v>
      </c>
      <c r="E2831" s="4">
        <v>1</v>
      </c>
      <c r="F2831" s="4" t="s">
        <v>268</v>
      </c>
      <c r="G2831" s="4" t="s">
        <v>241</v>
      </c>
      <c r="H2831" s="4" t="s">
        <v>241</v>
      </c>
      <c r="I2831" s="4" t="s">
        <v>424</v>
      </c>
      <c r="J2831" s="4" t="s">
        <v>274</v>
      </c>
      <c r="K2831" s="4" t="s">
        <v>251</v>
      </c>
      <c r="L2831" s="4" t="s">
        <v>423</v>
      </c>
      <c r="M2831" s="5" t="s">
        <v>3591</v>
      </c>
      <c r="N2831" s="6">
        <f>1871</f>
        <v>1871</v>
      </c>
      <c r="O2831" s="4" t="s">
        <v>265</v>
      </c>
      <c r="P2831" s="6">
        <f>1</f>
        <v>1</v>
      </c>
      <c r="Q2831" s="6">
        <f>0</f>
        <v>0</v>
      </c>
      <c r="S2831" s="6">
        <f>0</f>
        <v>0</v>
      </c>
      <c r="T2831" s="6">
        <f>1</f>
        <v>1</v>
      </c>
      <c r="U2831" s="5" t="s">
        <v>245</v>
      </c>
      <c r="V2831" s="4" t="s">
        <v>270</v>
      </c>
      <c r="W2831" s="4" t="s">
        <v>271</v>
      </c>
      <c r="X2831" s="4" t="s">
        <v>273</v>
      </c>
      <c r="Y2831" s="4" t="s">
        <v>241</v>
      </c>
      <c r="AB2831" s="4" t="s">
        <v>241</v>
      </c>
      <c r="AD2831" s="5" t="s">
        <v>241</v>
      </c>
      <c r="AG2831" s="5" t="s">
        <v>246</v>
      </c>
      <c r="AH2831" s="4" t="s">
        <v>241</v>
      </c>
      <c r="AI2831" s="4" t="s">
        <v>247</v>
      </c>
      <c r="AJ2831" s="4" t="s">
        <v>248</v>
      </c>
      <c r="AZ2831" s="4" t="s">
        <v>249</v>
      </c>
      <c r="BA2831" s="4" t="s">
        <v>241</v>
      </c>
      <c r="BB2831" s="4" t="s">
        <v>250</v>
      </c>
      <c r="BC2831" s="4" t="s">
        <v>241</v>
      </c>
      <c r="BD2831" s="4" t="s">
        <v>252</v>
      </c>
      <c r="BE2831" s="4" t="s">
        <v>241</v>
      </c>
      <c r="BI2831" s="4" t="s">
        <v>253</v>
      </c>
      <c r="BJ2831" s="5" t="s">
        <v>246</v>
      </c>
      <c r="BK2831" s="4" t="s">
        <v>254</v>
      </c>
      <c r="BL2831" s="4" t="s">
        <v>255</v>
      </c>
      <c r="BM2831" s="4" t="s">
        <v>241</v>
      </c>
      <c r="BN2831" s="6">
        <f>0</f>
        <v>0</v>
      </c>
      <c r="BO2831" s="6">
        <f>0</f>
        <v>0</v>
      </c>
      <c r="BP2831" s="4" t="s">
        <v>256</v>
      </c>
      <c r="BQ2831" s="4" t="s">
        <v>257</v>
      </c>
      <c r="CE2831" s="4" t="s">
        <v>241</v>
      </c>
      <c r="CF2831" s="4" t="s">
        <v>241</v>
      </c>
      <c r="CJ2831" s="4" t="s">
        <v>276</v>
      </c>
      <c r="CK2831" s="4" t="s">
        <v>259</v>
      </c>
      <c r="CL2831" s="4" t="s">
        <v>241</v>
      </c>
      <c r="CO2831" s="5" t="s">
        <v>260</v>
      </c>
      <c r="CP2831" s="4" t="s">
        <v>241</v>
      </c>
      <c r="CQ2831" s="4" t="s">
        <v>261</v>
      </c>
      <c r="CR2831" s="4" t="s">
        <v>241</v>
      </c>
      <c r="CS2831" s="4" t="s">
        <v>241</v>
      </c>
      <c r="CT2831" s="4">
        <v>0</v>
      </c>
      <c r="CU2831" s="4" t="s">
        <v>262</v>
      </c>
      <c r="CV2831" s="4" t="s">
        <v>263</v>
      </c>
      <c r="CW2831" s="4" t="s">
        <v>263</v>
      </c>
      <c r="CX2831" s="4" t="s">
        <v>264</v>
      </c>
      <c r="DA2831" s="6">
        <f>1</f>
        <v>1</v>
      </c>
      <c r="DC2831" s="4" t="s">
        <v>325</v>
      </c>
      <c r="DD2831" s="4" t="s">
        <v>241</v>
      </c>
      <c r="DF2831" s="4" t="s">
        <v>325</v>
      </c>
      <c r="DG2831" s="6">
        <f>1871</f>
        <v>1871</v>
      </c>
      <c r="DI2831" s="4" t="s">
        <v>241</v>
      </c>
      <c r="DJ2831" s="4" t="s">
        <v>241</v>
      </c>
      <c r="DK2831" s="4" t="s">
        <v>241</v>
      </c>
      <c r="DL2831" s="4" t="s">
        <v>241</v>
      </c>
      <c r="DP2831" s="4" t="s">
        <v>241</v>
      </c>
      <c r="DQ2831" s="4" t="s">
        <v>241</v>
      </c>
      <c r="DR2831" s="4" t="s">
        <v>241</v>
      </c>
      <c r="DS2831" s="4" t="s">
        <v>241</v>
      </c>
      <c r="DV2831" s="4" t="s">
        <v>426</v>
      </c>
      <c r="DW2831" s="4" t="s">
        <v>2224</v>
      </c>
      <c r="HO2831" s="4" t="s">
        <v>267</v>
      </c>
    </row>
    <row r="2832" spans="1:223" ht="19.5" customHeight="1" x14ac:dyDescent="0.4">
      <c r="A2832" s="4">
        <v>1</v>
      </c>
      <c r="B2832" s="4" t="s">
        <v>239</v>
      </c>
      <c r="C2832" s="4">
        <v>4535</v>
      </c>
      <c r="D2832" s="4">
        <v>1</v>
      </c>
      <c r="E2832" s="4">
        <v>1</v>
      </c>
      <c r="F2832" s="4" t="s">
        <v>268</v>
      </c>
      <c r="G2832" s="4" t="s">
        <v>241</v>
      </c>
      <c r="H2832" s="4" t="s">
        <v>241</v>
      </c>
      <c r="I2832" s="4" t="s">
        <v>424</v>
      </c>
      <c r="J2832" s="4" t="s">
        <v>274</v>
      </c>
      <c r="K2832" s="4" t="s">
        <v>251</v>
      </c>
      <c r="L2832" s="4" t="s">
        <v>423</v>
      </c>
      <c r="M2832" s="5" t="s">
        <v>3479</v>
      </c>
      <c r="N2832" s="6">
        <f>884</f>
        <v>884</v>
      </c>
      <c r="O2832" s="4" t="s">
        <v>265</v>
      </c>
      <c r="P2832" s="6">
        <f>1</f>
        <v>1</v>
      </c>
      <c r="Q2832" s="6">
        <f>0</f>
        <v>0</v>
      </c>
      <c r="S2832" s="6">
        <f>0</f>
        <v>0</v>
      </c>
      <c r="T2832" s="6">
        <f>1</f>
        <v>1</v>
      </c>
      <c r="U2832" s="5" t="s">
        <v>245</v>
      </c>
      <c r="V2832" s="4" t="s">
        <v>270</v>
      </c>
      <c r="W2832" s="4" t="s">
        <v>271</v>
      </c>
      <c r="X2832" s="4" t="s">
        <v>273</v>
      </c>
      <c r="Y2832" s="4" t="s">
        <v>241</v>
      </c>
      <c r="AB2832" s="4" t="s">
        <v>241</v>
      </c>
      <c r="AD2832" s="5" t="s">
        <v>241</v>
      </c>
      <c r="AG2832" s="5" t="s">
        <v>246</v>
      </c>
      <c r="AH2832" s="4" t="s">
        <v>241</v>
      </c>
      <c r="AI2832" s="4" t="s">
        <v>247</v>
      </c>
      <c r="AJ2832" s="4" t="s">
        <v>248</v>
      </c>
      <c r="AZ2832" s="4" t="s">
        <v>249</v>
      </c>
      <c r="BA2832" s="4" t="s">
        <v>241</v>
      </c>
      <c r="BB2832" s="4" t="s">
        <v>250</v>
      </c>
      <c r="BC2832" s="4" t="s">
        <v>241</v>
      </c>
      <c r="BD2832" s="4" t="s">
        <v>252</v>
      </c>
      <c r="BE2832" s="4" t="s">
        <v>241</v>
      </c>
      <c r="BI2832" s="4" t="s">
        <v>253</v>
      </c>
      <c r="BJ2832" s="5" t="s">
        <v>246</v>
      </c>
      <c r="BK2832" s="4" t="s">
        <v>254</v>
      </c>
      <c r="BL2832" s="4" t="s">
        <v>255</v>
      </c>
      <c r="BM2832" s="4" t="s">
        <v>241</v>
      </c>
      <c r="BN2832" s="6">
        <f>0</f>
        <v>0</v>
      </c>
      <c r="BO2832" s="6">
        <f>0</f>
        <v>0</v>
      </c>
      <c r="BP2832" s="4" t="s">
        <v>256</v>
      </c>
      <c r="BQ2832" s="4" t="s">
        <v>257</v>
      </c>
      <c r="CE2832" s="4" t="s">
        <v>241</v>
      </c>
      <c r="CF2832" s="4" t="s">
        <v>241</v>
      </c>
      <c r="CJ2832" s="4" t="s">
        <v>276</v>
      </c>
      <c r="CK2832" s="4" t="s">
        <v>259</v>
      </c>
      <c r="CL2832" s="4" t="s">
        <v>241</v>
      </c>
      <c r="CO2832" s="5" t="s">
        <v>260</v>
      </c>
      <c r="CP2832" s="4" t="s">
        <v>241</v>
      </c>
      <c r="CQ2832" s="4" t="s">
        <v>261</v>
      </c>
      <c r="CR2832" s="4" t="s">
        <v>241</v>
      </c>
      <c r="CS2832" s="4" t="s">
        <v>241</v>
      </c>
      <c r="CT2832" s="4">
        <v>0</v>
      </c>
      <c r="CU2832" s="4" t="s">
        <v>262</v>
      </c>
      <c r="CV2832" s="4" t="s">
        <v>263</v>
      </c>
      <c r="CW2832" s="4" t="s">
        <v>263</v>
      </c>
      <c r="CX2832" s="4" t="s">
        <v>264</v>
      </c>
      <c r="DA2832" s="6">
        <f>1</f>
        <v>1</v>
      </c>
      <c r="DC2832" s="4" t="s">
        <v>325</v>
      </c>
      <c r="DD2832" s="4" t="s">
        <v>241</v>
      </c>
      <c r="DF2832" s="4" t="s">
        <v>325</v>
      </c>
      <c r="DG2832" s="6">
        <f>884</f>
        <v>884</v>
      </c>
      <c r="DI2832" s="4" t="s">
        <v>241</v>
      </c>
      <c r="DJ2832" s="4" t="s">
        <v>241</v>
      </c>
      <c r="DK2832" s="4" t="s">
        <v>241</v>
      </c>
      <c r="DL2832" s="4" t="s">
        <v>241</v>
      </c>
      <c r="DP2832" s="4" t="s">
        <v>241</v>
      </c>
      <c r="DQ2832" s="4" t="s">
        <v>241</v>
      </c>
      <c r="DR2832" s="4" t="s">
        <v>241</v>
      </c>
      <c r="DS2832" s="4" t="s">
        <v>241</v>
      </c>
      <c r="DV2832" s="4" t="s">
        <v>426</v>
      </c>
      <c r="DW2832" s="4" t="s">
        <v>2222</v>
      </c>
      <c r="HO2832" s="4" t="s">
        <v>267</v>
      </c>
    </row>
    <row r="2833" spans="1:223" ht="19.5" customHeight="1" x14ac:dyDescent="0.4">
      <c r="A2833" s="4">
        <v>1</v>
      </c>
      <c r="B2833" s="4" t="s">
        <v>239</v>
      </c>
      <c r="C2833" s="4">
        <v>4536</v>
      </c>
      <c r="D2833" s="4">
        <v>1</v>
      </c>
      <c r="E2833" s="4">
        <v>1</v>
      </c>
      <c r="F2833" s="4" t="s">
        <v>268</v>
      </c>
      <c r="G2833" s="4" t="s">
        <v>241</v>
      </c>
      <c r="H2833" s="4" t="s">
        <v>241</v>
      </c>
      <c r="I2833" s="4" t="s">
        <v>424</v>
      </c>
      <c r="J2833" s="4" t="s">
        <v>274</v>
      </c>
      <c r="K2833" s="4" t="s">
        <v>251</v>
      </c>
      <c r="L2833" s="4" t="s">
        <v>423</v>
      </c>
      <c r="M2833" s="5" t="s">
        <v>3423</v>
      </c>
      <c r="N2833" s="6">
        <f>1878</f>
        <v>1878</v>
      </c>
      <c r="O2833" s="4" t="s">
        <v>265</v>
      </c>
      <c r="P2833" s="6">
        <f>1</f>
        <v>1</v>
      </c>
      <c r="Q2833" s="6">
        <f>0</f>
        <v>0</v>
      </c>
      <c r="S2833" s="6">
        <f>0</f>
        <v>0</v>
      </c>
      <c r="T2833" s="6">
        <f>1</f>
        <v>1</v>
      </c>
      <c r="U2833" s="5" t="s">
        <v>245</v>
      </c>
      <c r="V2833" s="4" t="s">
        <v>270</v>
      </c>
      <c r="W2833" s="4" t="s">
        <v>271</v>
      </c>
      <c r="X2833" s="4" t="s">
        <v>273</v>
      </c>
      <c r="Y2833" s="4" t="s">
        <v>241</v>
      </c>
      <c r="AB2833" s="4" t="s">
        <v>241</v>
      </c>
      <c r="AD2833" s="5" t="s">
        <v>241</v>
      </c>
      <c r="AG2833" s="5" t="s">
        <v>246</v>
      </c>
      <c r="AH2833" s="4" t="s">
        <v>241</v>
      </c>
      <c r="AI2833" s="4" t="s">
        <v>247</v>
      </c>
      <c r="AJ2833" s="4" t="s">
        <v>248</v>
      </c>
      <c r="AZ2833" s="4" t="s">
        <v>249</v>
      </c>
      <c r="BA2833" s="4" t="s">
        <v>241</v>
      </c>
      <c r="BB2833" s="4" t="s">
        <v>250</v>
      </c>
      <c r="BC2833" s="4" t="s">
        <v>241</v>
      </c>
      <c r="BD2833" s="4" t="s">
        <v>252</v>
      </c>
      <c r="BE2833" s="4" t="s">
        <v>241</v>
      </c>
      <c r="BI2833" s="4" t="s">
        <v>253</v>
      </c>
      <c r="BJ2833" s="5" t="s">
        <v>246</v>
      </c>
      <c r="BK2833" s="4" t="s">
        <v>254</v>
      </c>
      <c r="BL2833" s="4" t="s">
        <v>255</v>
      </c>
      <c r="BM2833" s="4" t="s">
        <v>241</v>
      </c>
      <c r="BN2833" s="6">
        <f>0</f>
        <v>0</v>
      </c>
      <c r="BO2833" s="6">
        <f>0</f>
        <v>0</v>
      </c>
      <c r="BP2833" s="4" t="s">
        <v>256</v>
      </c>
      <c r="BQ2833" s="4" t="s">
        <v>257</v>
      </c>
      <c r="CE2833" s="4" t="s">
        <v>241</v>
      </c>
      <c r="CF2833" s="4" t="s">
        <v>241</v>
      </c>
      <c r="CJ2833" s="4" t="s">
        <v>276</v>
      </c>
      <c r="CK2833" s="4" t="s">
        <v>259</v>
      </c>
      <c r="CL2833" s="4" t="s">
        <v>241</v>
      </c>
      <c r="CO2833" s="5" t="s">
        <v>260</v>
      </c>
      <c r="CP2833" s="4" t="s">
        <v>241</v>
      </c>
      <c r="CQ2833" s="4" t="s">
        <v>261</v>
      </c>
      <c r="CR2833" s="4" t="s">
        <v>241</v>
      </c>
      <c r="CS2833" s="4" t="s">
        <v>241</v>
      </c>
      <c r="CT2833" s="4">
        <v>0</v>
      </c>
      <c r="CU2833" s="4" t="s">
        <v>262</v>
      </c>
      <c r="CV2833" s="4" t="s">
        <v>263</v>
      </c>
      <c r="CW2833" s="4" t="s">
        <v>263</v>
      </c>
      <c r="CX2833" s="4" t="s">
        <v>264</v>
      </c>
      <c r="DA2833" s="6">
        <f>1</f>
        <v>1</v>
      </c>
      <c r="DC2833" s="4" t="s">
        <v>325</v>
      </c>
      <c r="DD2833" s="4" t="s">
        <v>241</v>
      </c>
      <c r="DF2833" s="4" t="s">
        <v>325</v>
      </c>
      <c r="DG2833" s="6">
        <f>1878</f>
        <v>1878</v>
      </c>
      <c r="DI2833" s="4" t="s">
        <v>241</v>
      </c>
      <c r="DJ2833" s="4" t="s">
        <v>241</v>
      </c>
      <c r="DK2833" s="4" t="s">
        <v>241</v>
      </c>
      <c r="DL2833" s="4" t="s">
        <v>241</v>
      </c>
      <c r="DP2833" s="4" t="s">
        <v>241</v>
      </c>
      <c r="DQ2833" s="4" t="s">
        <v>241</v>
      </c>
      <c r="DR2833" s="4" t="s">
        <v>241</v>
      </c>
      <c r="DS2833" s="4" t="s">
        <v>241</v>
      </c>
      <c r="DV2833" s="4" t="s">
        <v>426</v>
      </c>
      <c r="DW2833" s="4" t="s">
        <v>2219</v>
      </c>
      <c r="HO2833" s="4" t="s">
        <v>267</v>
      </c>
    </row>
    <row r="2834" spans="1:223" ht="19.5" customHeight="1" x14ac:dyDescent="0.4">
      <c r="A2834" s="4">
        <v>1</v>
      </c>
      <c r="B2834" s="4" t="s">
        <v>239</v>
      </c>
      <c r="C2834" s="4">
        <v>4537</v>
      </c>
      <c r="D2834" s="4">
        <v>1</v>
      </c>
      <c r="E2834" s="4">
        <v>1</v>
      </c>
      <c r="F2834" s="4" t="s">
        <v>268</v>
      </c>
      <c r="G2834" s="4" t="s">
        <v>241</v>
      </c>
      <c r="H2834" s="4" t="s">
        <v>241</v>
      </c>
      <c r="I2834" s="4" t="s">
        <v>424</v>
      </c>
      <c r="J2834" s="4" t="s">
        <v>274</v>
      </c>
      <c r="K2834" s="4" t="s">
        <v>251</v>
      </c>
      <c r="L2834" s="4" t="s">
        <v>423</v>
      </c>
      <c r="M2834" s="5" t="s">
        <v>3382</v>
      </c>
      <c r="N2834" s="6">
        <f>1842</f>
        <v>1842</v>
      </c>
      <c r="O2834" s="4" t="s">
        <v>265</v>
      </c>
      <c r="P2834" s="6">
        <f>1</f>
        <v>1</v>
      </c>
      <c r="Q2834" s="6">
        <f>0</f>
        <v>0</v>
      </c>
      <c r="S2834" s="6">
        <f>0</f>
        <v>0</v>
      </c>
      <c r="T2834" s="6">
        <f>1</f>
        <v>1</v>
      </c>
      <c r="U2834" s="5" t="s">
        <v>245</v>
      </c>
      <c r="V2834" s="4" t="s">
        <v>270</v>
      </c>
      <c r="W2834" s="4" t="s">
        <v>271</v>
      </c>
      <c r="X2834" s="4" t="s">
        <v>273</v>
      </c>
      <c r="Y2834" s="4" t="s">
        <v>241</v>
      </c>
      <c r="AB2834" s="4" t="s">
        <v>241</v>
      </c>
      <c r="AD2834" s="5" t="s">
        <v>241</v>
      </c>
      <c r="AG2834" s="5" t="s">
        <v>246</v>
      </c>
      <c r="AH2834" s="4" t="s">
        <v>241</v>
      </c>
      <c r="AI2834" s="4" t="s">
        <v>247</v>
      </c>
      <c r="AJ2834" s="4" t="s">
        <v>248</v>
      </c>
      <c r="AZ2834" s="4" t="s">
        <v>249</v>
      </c>
      <c r="BA2834" s="4" t="s">
        <v>241</v>
      </c>
      <c r="BB2834" s="4" t="s">
        <v>250</v>
      </c>
      <c r="BC2834" s="4" t="s">
        <v>241</v>
      </c>
      <c r="BD2834" s="4" t="s">
        <v>252</v>
      </c>
      <c r="BE2834" s="4" t="s">
        <v>241</v>
      </c>
      <c r="BI2834" s="4" t="s">
        <v>253</v>
      </c>
      <c r="BJ2834" s="5" t="s">
        <v>246</v>
      </c>
      <c r="BK2834" s="4" t="s">
        <v>254</v>
      </c>
      <c r="BL2834" s="4" t="s">
        <v>255</v>
      </c>
      <c r="BM2834" s="4" t="s">
        <v>241</v>
      </c>
      <c r="BN2834" s="6">
        <f>0</f>
        <v>0</v>
      </c>
      <c r="BO2834" s="6">
        <f>0</f>
        <v>0</v>
      </c>
      <c r="BP2834" s="4" t="s">
        <v>256</v>
      </c>
      <c r="BQ2834" s="4" t="s">
        <v>257</v>
      </c>
      <c r="CE2834" s="4" t="s">
        <v>241</v>
      </c>
      <c r="CF2834" s="4" t="s">
        <v>241</v>
      </c>
      <c r="CJ2834" s="4" t="s">
        <v>276</v>
      </c>
      <c r="CK2834" s="4" t="s">
        <v>259</v>
      </c>
      <c r="CL2834" s="4" t="s">
        <v>241</v>
      </c>
      <c r="CO2834" s="5" t="s">
        <v>260</v>
      </c>
      <c r="CP2834" s="4" t="s">
        <v>241</v>
      </c>
      <c r="CQ2834" s="4" t="s">
        <v>261</v>
      </c>
      <c r="CR2834" s="4" t="s">
        <v>241</v>
      </c>
      <c r="CS2834" s="4" t="s">
        <v>241</v>
      </c>
      <c r="CT2834" s="4">
        <v>0</v>
      </c>
      <c r="CU2834" s="4" t="s">
        <v>262</v>
      </c>
      <c r="CV2834" s="4" t="s">
        <v>263</v>
      </c>
      <c r="CW2834" s="4" t="s">
        <v>263</v>
      </c>
      <c r="CX2834" s="4" t="s">
        <v>264</v>
      </c>
      <c r="DA2834" s="6">
        <f>1</f>
        <v>1</v>
      </c>
      <c r="DC2834" s="4" t="s">
        <v>325</v>
      </c>
      <c r="DD2834" s="4" t="s">
        <v>241</v>
      </c>
      <c r="DF2834" s="4" t="s">
        <v>325</v>
      </c>
      <c r="DG2834" s="6">
        <f>1842</f>
        <v>1842</v>
      </c>
      <c r="DI2834" s="4" t="s">
        <v>241</v>
      </c>
      <c r="DJ2834" s="4" t="s">
        <v>241</v>
      </c>
      <c r="DK2834" s="4" t="s">
        <v>241</v>
      </c>
      <c r="DL2834" s="4" t="s">
        <v>241</v>
      </c>
      <c r="DP2834" s="4" t="s">
        <v>241</v>
      </c>
      <c r="DQ2834" s="4" t="s">
        <v>241</v>
      </c>
      <c r="DR2834" s="4" t="s">
        <v>241</v>
      </c>
      <c r="DS2834" s="4" t="s">
        <v>241</v>
      </c>
      <c r="DV2834" s="4" t="s">
        <v>426</v>
      </c>
      <c r="DW2834" s="4" t="s">
        <v>2217</v>
      </c>
      <c r="HO2834" s="4" t="s">
        <v>267</v>
      </c>
    </row>
    <row r="2835" spans="1:223" ht="19.5" customHeight="1" x14ac:dyDescent="0.4">
      <c r="A2835" s="4">
        <v>1</v>
      </c>
      <c r="B2835" s="4" t="s">
        <v>239</v>
      </c>
      <c r="C2835" s="4">
        <v>4538</v>
      </c>
      <c r="D2835" s="4">
        <v>1</v>
      </c>
      <c r="E2835" s="4">
        <v>1</v>
      </c>
      <c r="F2835" s="4" t="s">
        <v>268</v>
      </c>
      <c r="G2835" s="4" t="s">
        <v>241</v>
      </c>
      <c r="H2835" s="4" t="s">
        <v>241</v>
      </c>
      <c r="I2835" s="4" t="s">
        <v>424</v>
      </c>
      <c r="J2835" s="4" t="s">
        <v>274</v>
      </c>
      <c r="K2835" s="4" t="s">
        <v>251</v>
      </c>
      <c r="L2835" s="4" t="s">
        <v>423</v>
      </c>
      <c r="M2835" s="5" t="s">
        <v>3349</v>
      </c>
      <c r="N2835" s="6">
        <f>626</f>
        <v>626</v>
      </c>
      <c r="O2835" s="4" t="s">
        <v>265</v>
      </c>
      <c r="P2835" s="6">
        <f>1</f>
        <v>1</v>
      </c>
      <c r="Q2835" s="6">
        <f>0</f>
        <v>0</v>
      </c>
      <c r="S2835" s="6">
        <f>0</f>
        <v>0</v>
      </c>
      <c r="T2835" s="6">
        <f>1</f>
        <v>1</v>
      </c>
      <c r="U2835" s="5" t="s">
        <v>245</v>
      </c>
      <c r="V2835" s="4" t="s">
        <v>270</v>
      </c>
      <c r="W2835" s="4" t="s">
        <v>271</v>
      </c>
      <c r="X2835" s="4" t="s">
        <v>273</v>
      </c>
      <c r="Y2835" s="4" t="s">
        <v>241</v>
      </c>
      <c r="AB2835" s="4" t="s">
        <v>241</v>
      </c>
      <c r="AD2835" s="5" t="s">
        <v>241</v>
      </c>
      <c r="AG2835" s="5" t="s">
        <v>246</v>
      </c>
      <c r="AH2835" s="4" t="s">
        <v>241</v>
      </c>
      <c r="AI2835" s="4" t="s">
        <v>247</v>
      </c>
      <c r="AJ2835" s="4" t="s">
        <v>248</v>
      </c>
      <c r="AZ2835" s="4" t="s">
        <v>249</v>
      </c>
      <c r="BA2835" s="4" t="s">
        <v>241</v>
      </c>
      <c r="BB2835" s="4" t="s">
        <v>250</v>
      </c>
      <c r="BC2835" s="4" t="s">
        <v>241</v>
      </c>
      <c r="BD2835" s="4" t="s">
        <v>252</v>
      </c>
      <c r="BE2835" s="4" t="s">
        <v>241</v>
      </c>
      <c r="BI2835" s="4" t="s">
        <v>253</v>
      </c>
      <c r="BJ2835" s="5" t="s">
        <v>246</v>
      </c>
      <c r="BK2835" s="4" t="s">
        <v>254</v>
      </c>
      <c r="BL2835" s="4" t="s">
        <v>255</v>
      </c>
      <c r="BM2835" s="4" t="s">
        <v>241</v>
      </c>
      <c r="BN2835" s="6">
        <f>0</f>
        <v>0</v>
      </c>
      <c r="BO2835" s="6">
        <f>0</f>
        <v>0</v>
      </c>
      <c r="BP2835" s="4" t="s">
        <v>256</v>
      </c>
      <c r="BQ2835" s="4" t="s">
        <v>257</v>
      </c>
      <c r="CE2835" s="4" t="s">
        <v>241</v>
      </c>
      <c r="CF2835" s="4" t="s">
        <v>241</v>
      </c>
      <c r="CJ2835" s="4" t="s">
        <v>276</v>
      </c>
      <c r="CK2835" s="4" t="s">
        <v>259</v>
      </c>
      <c r="CL2835" s="4" t="s">
        <v>241</v>
      </c>
      <c r="CO2835" s="5" t="s">
        <v>260</v>
      </c>
      <c r="CP2835" s="4" t="s">
        <v>241</v>
      </c>
      <c r="CQ2835" s="4" t="s">
        <v>261</v>
      </c>
      <c r="CR2835" s="4" t="s">
        <v>241</v>
      </c>
      <c r="CS2835" s="4" t="s">
        <v>241</v>
      </c>
      <c r="CT2835" s="4">
        <v>0</v>
      </c>
      <c r="CU2835" s="4" t="s">
        <v>262</v>
      </c>
      <c r="CV2835" s="4" t="s">
        <v>263</v>
      </c>
      <c r="CW2835" s="4" t="s">
        <v>263</v>
      </c>
      <c r="CX2835" s="4" t="s">
        <v>264</v>
      </c>
      <c r="DA2835" s="6">
        <f>1</f>
        <v>1</v>
      </c>
      <c r="DC2835" s="4" t="s">
        <v>325</v>
      </c>
      <c r="DD2835" s="4" t="s">
        <v>241</v>
      </c>
      <c r="DF2835" s="4" t="s">
        <v>325</v>
      </c>
      <c r="DG2835" s="6">
        <f>626</f>
        <v>626</v>
      </c>
      <c r="DI2835" s="4" t="s">
        <v>241</v>
      </c>
      <c r="DJ2835" s="4" t="s">
        <v>241</v>
      </c>
      <c r="DK2835" s="4" t="s">
        <v>241</v>
      </c>
      <c r="DL2835" s="4" t="s">
        <v>241</v>
      </c>
      <c r="DP2835" s="4" t="s">
        <v>241</v>
      </c>
      <c r="DQ2835" s="4" t="s">
        <v>241</v>
      </c>
      <c r="DR2835" s="4" t="s">
        <v>241</v>
      </c>
      <c r="DS2835" s="4" t="s">
        <v>241</v>
      </c>
      <c r="DV2835" s="4" t="s">
        <v>426</v>
      </c>
      <c r="DW2835" s="4" t="s">
        <v>2215</v>
      </c>
      <c r="HO2835" s="4" t="s">
        <v>267</v>
      </c>
    </row>
    <row r="2836" spans="1:223" ht="19.5" customHeight="1" x14ac:dyDescent="0.4">
      <c r="A2836" s="4">
        <v>1</v>
      </c>
      <c r="B2836" s="4" t="s">
        <v>239</v>
      </c>
      <c r="C2836" s="4">
        <v>4539</v>
      </c>
      <c r="D2836" s="4">
        <v>1</v>
      </c>
      <c r="E2836" s="4">
        <v>1</v>
      </c>
      <c r="F2836" s="4" t="s">
        <v>268</v>
      </c>
      <c r="G2836" s="4" t="s">
        <v>241</v>
      </c>
      <c r="H2836" s="4" t="s">
        <v>241</v>
      </c>
      <c r="I2836" s="4" t="s">
        <v>424</v>
      </c>
      <c r="J2836" s="4" t="s">
        <v>274</v>
      </c>
      <c r="K2836" s="4" t="s">
        <v>251</v>
      </c>
      <c r="L2836" s="4" t="s">
        <v>423</v>
      </c>
      <c r="M2836" s="5" t="s">
        <v>3316</v>
      </c>
      <c r="N2836" s="6">
        <f>1902</f>
        <v>1902</v>
      </c>
      <c r="O2836" s="4" t="s">
        <v>265</v>
      </c>
      <c r="P2836" s="6">
        <f>1</f>
        <v>1</v>
      </c>
      <c r="Q2836" s="6">
        <f>0</f>
        <v>0</v>
      </c>
      <c r="S2836" s="6">
        <f>0</f>
        <v>0</v>
      </c>
      <c r="T2836" s="6">
        <f>1</f>
        <v>1</v>
      </c>
      <c r="U2836" s="5" t="s">
        <v>245</v>
      </c>
      <c r="V2836" s="4" t="s">
        <v>270</v>
      </c>
      <c r="W2836" s="4" t="s">
        <v>271</v>
      </c>
      <c r="X2836" s="4" t="s">
        <v>273</v>
      </c>
      <c r="Y2836" s="4" t="s">
        <v>241</v>
      </c>
      <c r="AB2836" s="4" t="s">
        <v>241</v>
      </c>
      <c r="AD2836" s="5" t="s">
        <v>241</v>
      </c>
      <c r="AG2836" s="5" t="s">
        <v>246</v>
      </c>
      <c r="AH2836" s="4" t="s">
        <v>241</v>
      </c>
      <c r="AI2836" s="4" t="s">
        <v>247</v>
      </c>
      <c r="AJ2836" s="4" t="s">
        <v>248</v>
      </c>
      <c r="AZ2836" s="4" t="s">
        <v>249</v>
      </c>
      <c r="BA2836" s="4" t="s">
        <v>241</v>
      </c>
      <c r="BB2836" s="4" t="s">
        <v>250</v>
      </c>
      <c r="BC2836" s="4" t="s">
        <v>241</v>
      </c>
      <c r="BD2836" s="4" t="s">
        <v>252</v>
      </c>
      <c r="BE2836" s="4" t="s">
        <v>241</v>
      </c>
      <c r="BI2836" s="4" t="s">
        <v>253</v>
      </c>
      <c r="BJ2836" s="5" t="s">
        <v>246</v>
      </c>
      <c r="BK2836" s="4" t="s">
        <v>254</v>
      </c>
      <c r="BL2836" s="4" t="s">
        <v>255</v>
      </c>
      <c r="BM2836" s="4" t="s">
        <v>241</v>
      </c>
      <c r="BN2836" s="6">
        <f>0</f>
        <v>0</v>
      </c>
      <c r="BO2836" s="6">
        <f>0</f>
        <v>0</v>
      </c>
      <c r="BP2836" s="4" t="s">
        <v>256</v>
      </c>
      <c r="BQ2836" s="4" t="s">
        <v>257</v>
      </c>
      <c r="CE2836" s="4" t="s">
        <v>241</v>
      </c>
      <c r="CF2836" s="4" t="s">
        <v>241</v>
      </c>
      <c r="CJ2836" s="4" t="s">
        <v>276</v>
      </c>
      <c r="CK2836" s="4" t="s">
        <v>259</v>
      </c>
      <c r="CL2836" s="4" t="s">
        <v>241</v>
      </c>
      <c r="CO2836" s="5" t="s">
        <v>260</v>
      </c>
      <c r="CP2836" s="4" t="s">
        <v>241</v>
      </c>
      <c r="CQ2836" s="4" t="s">
        <v>261</v>
      </c>
      <c r="CR2836" s="4" t="s">
        <v>241</v>
      </c>
      <c r="CS2836" s="4" t="s">
        <v>241</v>
      </c>
      <c r="CT2836" s="4">
        <v>0</v>
      </c>
      <c r="CU2836" s="4" t="s">
        <v>262</v>
      </c>
      <c r="CV2836" s="4" t="s">
        <v>263</v>
      </c>
      <c r="CW2836" s="4" t="s">
        <v>263</v>
      </c>
      <c r="CX2836" s="4" t="s">
        <v>264</v>
      </c>
      <c r="DA2836" s="6">
        <f>1</f>
        <v>1</v>
      </c>
      <c r="DC2836" s="4" t="s">
        <v>325</v>
      </c>
      <c r="DD2836" s="4" t="s">
        <v>241</v>
      </c>
      <c r="DF2836" s="4" t="s">
        <v>325</v>
      </c>
      <c r="DG2836" s="6">
        <f>1902</f>
        <v>1902</v>
      </c>
      <c r="DI2836" s="4" t="s">
        <v>241</v>
      </c>
      <c r="DJ2836" s="4" t="s">
        <v>241</v>
      </c>
      <c r="DK2836" s="4" t="s">
        <v>241</v>
      </c>
      <c r="DL2836" s="4" t="s">
        <v>241</v>
      </c>
      <c r="DP2836" s="4" t="s">
        <v>241</v>
      </c>
      <c r="DQ2836" s="4" t="s">
        <v>241</v>
      </c>
      <c r="DR2836" s="4" t="s">
        <v>241</v>
      </c>
      <c r="DS2836" s="4" t="s">
        <v>241</v>
      </c>
      <c r="DV2836" s="4" t="s">
        <v>426</v>
      </c>
      <c r="DW2836" s="4" t="s">
        <v>2213</v>
      </c>
      <c r="HO2836" s="4" t="s">
        <v>267</v>
      </c>
    </row>
    <row r="2837" spans="1:223" ht="19.5" customHeight="1" x14ac:dyDescent="0.4">
      <c r="A2837" s="4">
        <v>1</v>
      </c>
      <c r="B2837" s="4" t="s">
        <v>239</v>
      </c>
      <c r="C2837" s="4">
        <v>4540</v>
      </c>
      <c r="D2837" s="4">
        <v>1</v>
      </c>
      <c r="E2837" s="4">
        <v>1</v>
      </c>
      <c r="F2837" s="4" t="s">
        <v>268</v>
      </c>
      <c r="G2837" s="4" t="s">
        <v>241</v>
      </c>
      <c r="H2837" s="4" t="s">
        <v>241</v>
      </c>
      <c r="I2837" s="4" t="s">
        <v>424</v>
      </c>
      <c r="J2837" s="4" t="s">
        <v>274</v>
      </c>
      <c r="K2837" s="4" t="s">
        <v>251</v>
      </c>
      <c r="L2837" s="4" t="s">
        <v>423</v>
      </c>
      <c r="M2837" s="5" t="s">
        <v>3286</v>
      </c>
      <c r="N2837" s="6">
        <f>1643</f>
        <v>1643</v>
      </c>
      <c r="O2837" s="4" t="s">
        <v>265</v>
      </c>
      <c r="P2837" s="6">
        <f>1</f>
        <v>1</v>
      </c>
      <c r="Q2837" s="6">
        <f>0</f>
        <v>0</v>
      </c>
      <c r="S2837" s="6">
        <f>0</f>
        <v>0</v>
      </c>
      <c r="T2837" s="6">
        <f>1</f>
        <v>1</v>
      </c>
      <c r="U2837" s="5" t="s">
        <v>245</v>
      </c>
      <c r="V2837" s="4" t="s">
        <v>270</v>
      </c>
      <c r="W2837" s="4" t="s">
        <v>271</v>
      </c>
      <c r="X2837" s="4" t="s">
        <v>273</v>
      </c>
      <c r="Y2837" s="4" t="s">
        <v>241</v>
      </c>
      <c r="AB2837" s="4" t="s">
        <v>241</v>
      </c>
      <c r="AD2837" s="5" t="s">
        <v>241</v>
      </c>
      <c r="AG2837" s="5" t="s">
        <v>246</v>
      </c>
      <c r="AH2837" s="4" t="s">
        <v>241</v>
      </c>
      <c r="AI2837" s="4" t="s">
        <v>247</v>
      </c>
      <c r="AJ2837" s="4" t="s">
        <v>248</v>
      </c>
      <c r="AZ2837" s="4" t="s">
        <v>249</v>
      </c>
      <c r="BA2837" s="4" t="s">
        <v>241</v>
      </c>
      <c r="BB2837" s="4" t="s">
        <v>250</v>
      </c>
      <c r="BC2837" s="4" t="s">
        <v>241</v>
      </c>
      <c r="BD2837" s="4" t="s">
        <v>252</v>
      </c>
      <c r="BE2837" s="4" t="s">
        <v>241</v>
      </c>
      <c r="BI2837" s="4" t="s">
        <v>253</v>
      </c>
      <c r="BJ2837" s="5" t="s">
        <v>246</v>
      </c>
      <c r="BK2837" s="4" t="s">
        <v>254</v>
      </c>
      <c r="BL2837" s="4" t="s">
        <v>255</v>
      </c>
      <c r="BM2837" s="4" t="s">
        <v>241</v>
      </c>
      <c r="BN2837" s="6">
        <f>0</f>
        <v>0</v>
      </c>
      <c r="BO2837" s="6">
        <f>0</f>
        <v>0</v>
      </c>
      <c r="BP2837" s="4" t="s">
        <v>256</v>
      </c>
      <c r="BQ2837" s="4" t="s">
        <v>257</v>
      </c>
      <c r="CE2837" s="4" t="s">
        <v>241</v>
      </c>
      <c r="CF2837" s="4" t="s">
        <v>241</v>
      </c>
      <c r="CJ2837" s="4" t="s">
        <v>276</v>
      </c>
      <c r="CK2837" s="4" t="s">
        <v>259</v>
      </c>
      <c r="CL2837" s="4" t="s">
        <v>241</v>
      </c>
      <c r="CO2837" s="5" t="s">
        <v>260</v>
      </c>
      <c r="CP2837" s="4" t="s">
        <v>241</v>
      </c>
      <c r="CQ2837" s="4" t="s">
        <v>261</v>
      </c>
      <c r="CR2837" s="4" t="s">
        <v>241</v>
      </c>
      <c r="CS2837" s="4" t="s">
        <v>241</v>
      </c>
      <c r="CT2837" s="4">
        <v>0</v>
      </c>
      <c r="CU2837" s="4" t="s">
        <v>262</v>
      </c>
      <c r="CV2837" s="4" t="s">
        <v>263</v>
      </c>
      <c r="CW2837" s="4" t="s">
        <v>263</v>
      </c>
      <c r="CX2837" s="4" t="s">
        <v>264</v>
      </c>
      <c r="DA2837" s="6">
        <f>1</f>
        <v>1</v>
      </c>
      <c r="DC2837" s="4" t="s">
        <v>325</v>
      </c>
      <c r="DD2837" s="4" t="s">
        <v>241</v>
      </c>
      <c r="DF2837" s="4" t="s">
        <v>325</v>
      </c>
      <c r="DG2837" s="6">
        <f>1643</f>
        <v>1643</v>
      </c>
      <c r="DI2837" s="4" t="s">
        <v>241</v>
      </c>
      <c r="DJ2837" s="4" t="s">
        <v>241</v>
      </c>
      <c r="DK2837" s="4" t="s">
        <v>241</v>
      </c>
      <c r="DL2837" s="4" t="s">
        <v>241</v>
      </c>
      <c r="DP2837" s="4" t="s">
        <v>241</v>
      </c>
      <c r="DQ2837" s="4" t="s">
        <v>241</v>
      </c>
      <c r="DR2837" s="4" t="s">
        <v>241</v>
      </c>
      <c r="DS2837" s="4" t="s">
        <v>241</v>
      </c>
      <c r="DV2837" s="4" t="s">
        <v>426</v>
      </c>
      <c r="DW2837" s="4" t="s">
        <v>2211</v>
      </c>
      <c r="HO2837" s="4" t="s">
        <v>267</v>
      </c>
    </row>
    <row r="2838" spans="1:223" ht="19.5" customHeight="1" x14ac:dyDescent="0.4">
      <c r="A2838" s="4">
        <v>1</v>
      </c>
      <c r="B2838" s="4" t="s">
        <v>239</v>
      </c>
      <c r="C2838" s="4">
        <v>4541</v>
      </c>
      <c r="D2838" s="4">
        <v>1</v>
      </c>
      <c r="E2838" s="4">
        <v>1</v>
      </c>
      <c r="F2838" s="4" t="s">
        <v>268</v>
      </c>
      <c r="G2838" s="4" t="s">
        <v>241</v>
      </c>
      <c r="H2838" s="4" t="s">
        <v>241</v>
      </c>
      <c r="I2838" s="4" t="s">
        <v>424</v>
      </c>
      <c r="J2838" s="4" t="s">
        <v>274</v>
      </c>
      <c r="K2838" s="4" t="s">
        <v>251</v>
      </c>
      <c r="L2838" s="4" t="s">
        <v>423</v>
      </c>
      <c r="M2838" s="5" t="s">
        <v>3254</v>
      </c>
      <c r="N2838" s="6">
        <f>1510</f>
        <v>1510</v>
      </c>
      <c r="O2838" s="4" t="s">
        <v>265</v>
      </c>
      <c r="P2838" s="6">
        <f>1</f>
        <v>1</v>
      </c>
      <c r="Q2838" s="6">
        <f>0</f>
        <v>0</v>
      </c>
      <c r="S2838" s="6">
        <f>0</f>
        <v>0</v>
      </c>
      <c r="T2838" s="6">
        <f>1</f>
        <v>1</v>
      </c>
      <c r="U2838" s="5" t="s">
        <v>245</v>
      </c>
      <c r="V2838" s="4" t="s">
        <v>270</v>
      </c>
      <c r="W2838" s="4" t="s">
        <v>271</v>
      </c>
      <c r="X2838" s="4" t="s">
        <v>273</v>
      </c>
      <c r="Y2838" s="4" t="s">
        <v>241</v>
      </c>
      <c r="AB2838" s="4" t="s">
        <v>241</v>
      </c>
      <c r="AD2838" s="5" t="s">
        <v>241</v>
      </c>
      <c r="AG2838" s="5" t="s">
        <v>246</v>
      </c>
      <c r="AH2838" s="4" t="s">
        <v>241</v>
      </c>
      <c r="AI2838" s="4" t="s">
        <v>247</v>
      </c>
      <c r="AJ2838" s="4" t="s">
        <v>248</v>
      </c>
      <c r="AZ2838" s="4" t="s">
        <v>249</v>
      </c>
      <c r="BA2838" s="4" t="s">
        <v>241</v>
      </c>
      <c r="BB2838" s="4" t="s">
        <v>250</v>
      </c>
      <c r="BC2838" s="4" t="s">
        <v>241</v>
      </c>
      <c r="BD2838" s="4" t="s">
        <v>252</v>
      </c>
      <c r="BE2838" s="4" t="s">
        <v>241</v>
      </c>
      <c r="BI2838" s="4" t="s">
        <v>253</v>
      </c>
      <c r="BJ2838" s="5" t="s">
        <v>246</v>
      </c>
      <c r="BK2838" s="4" t="s">
        <v>254</v>
      </c>
      <c r="BL2838" s="4" t="s">
        <v>255</v>
      </c>
      <c r="BM2838" s="4" t="s">
        <v>241</v>
      </c>
      <c r="BN2838" s="6">
        <f>0</f>
        <v>0</v>
      </c>
      <c r="BO2838" s="6">
        <f>0</f>
        <v>0</v>
      </c>
      <c r="BP2838" s="4" t="s">
        <v>256</v>
      </c>
      <c r="BQ2838" s="4" t="s">
        <v>257</v>
      </c>
      <c r="CE2838" s="4" t="s">
        <v>241</v>
      </c>
      <c r="CF2838" s="4" t="s">
        <v>241</v>
      </c>
      <c r="CJ2838" s="4" t="s">
        <v>276</v>
      </c>
      <c r="CK2838" s="4" t="s">
        <v>259</v>
      </c>
      <c r="CL2838" s="4" t="s">
        <v>241</v>
      </c>
      <c r="CO2838" s="5" t="s">
        <v>260</v>
      </c>
      <c r="CP2838" s="4" t="s">
        <v>241</v>
      </c>
      <c r="CQ2838" s="4" t="s">
        <v>261</v>
      </c>
      <c r="CR2838" s="4" t="s">
        <v>241</v>
      </c>
      <c r="CS2838" s="4" t="s">
        <v>241</v>
      </c>
      <c r="CT2838" s="4">
        <v>0</v>
      </c>
      <c r="CU2838" s="4" t="s">
        <v>262</v>
      </c>
      <c r="CV2838" s="4" t="s">
        <v>263</v>
      </c>
      <c r="CW2838" s="4" t="s">
        <v>263</v>
      </c>
      <c r="CX2838" s="4" t="s">
        <v>264</v>
      </c>
      <c r="DA2838" s="6">
        <f>1</f>
        <v>1</v>
      </c>
      <c r="DC2838" s="4" t="s">
        <v>325</v>
      </c>
      <c r="DD2838" s="4" t="s">
        <v>241</v>
      </c>
      <c r="DF2838" s="4" t="s">
        <v>325</v>
      </c>
      <c r="DG2838" s="6">
        <f>1510</f>
        <v>1510</v>
      </c>
      <c r="DI2838" s="4" t="s">
        <v>241</v>
      </c>
      <c r="DJ2838" s="4" t="s">
        <v>241</v>
      </c>
      <c r="DK2838" s="4" t="s">
        <v>241</v>
      </c>
      <c r="DL2838" s="4" t="s">
        <v>241</v>
      </c>
      <c r="DP2838" s="4" t="s">
        <v>241</v>
      </c>
      <c r="DQ2838" s="4" t="s">
        <v>241</v>
      </c>
      <c r="DR2838" s="4" t="s">
        <v>241</v>
      </c>
      <c r="DS2838" s="4" t="s">
        <v>241</v>
      </c>
      <c r="DV2838" s="4" t="s">
        <v>426</v>
      </c>
      <c r="DW2838" s="4" t="s">
        <v>2209</v>
      </c>
      <c r="HO2838" s="4" t="s">
        <v>267</v>
      </c>
    </row>
    <row r="2839" spans="1:223" ht="19.5" customHeight="1" x14ac:dyDescent="0.4">
      <c r="A2839" s="4">
        <v>1</v>
      </c>
      <c r="B2839" s="4" t="s">
        <v>239</v>
      </c>
      <c r="C2839" s="4">
        <v>4542</v>
      </c>
      <c r="D2839" s="4">
        <v>1</v>
      </c>
      <c r="E2839" s="4">
        <v>1</v>
      </c>
      <c r="F2839" s="4" t="s">
        <v>268</v>
      </c>
      <c r="G2839" s="4" t="s">
        <v>241</v>
      </c>
      <c r="H2839" s="4" t="s">
        <v>241</v>
      </c>
      <c r="I2839" s="4" t="s">
        <v>424</v>
      </c>
      <c r="J2839" s="4" t="s">
        <v>274</v>
      </c>
      <c r="K2839" s="4" t="s">
        <v>251</v>
      </c>
      <c r="L2839" s="4" t="s">
        <v>423</v>
      </c>
      <c r="M2839" s="5" t="s">
        <v>3222</v>
      </c>
      <c r="N2839" s="6">
        <f>979</f>
        <v>979</v>
      </c>
      <c r="O2839" s="4" t="s">
        <v>265</v>
      </c>
      <c r="P2839" s="6">
        <f>1</f>
        <v>1</v>
      </c>
      <c r="Q2839" s="6">
        <f>0</f>
        <v>0</v>
      </c>
      <c r="S2839" s="6">
        <f>0</f>
        <v>0</v>
      </c>
      <c r="T2839" s="6">
        <f>1</f>
        <v>1</v>
      </c>
      <c r="U2839" s="5" t="s">
        <v>245</v>
      </c>
      <c r="V2839" s="4" t="s">
        <v>270</v>
      </c>
      <c r="W2839" s="4" t="s">
        <v>271</v>
      </c>
      <c r="X2839" s="4" t="s">
        <v>273</v>
      </c>
      <c r="Y2839" s="4" t="s">
        <v>241</v>
      </c>
      <c r="AB2839" s="4" t="s">
        <v>241</v>
      </c>
      <c r="AD2839" s="5" t="s">
        <v>241</v>
      </c>
      <c r="AG2839" s="5" t="s">
        <v>246</v>
      </c>
      <c r="AH2839" s="4" t="s">
        <v>241</v>
      </c>
      <c r="AI2839" s="4" t="s">
        <v>247</v>
      </c>
      <c r="AJ2839" s="4" t="s">
        <v>248</v>
      </c>
      <c r="AZ2839" s="4" t="s">
        <v>249</v>
      </c>
      <c r="BA2839" s="4" t="s">
        <v>241</v>
      </c>
      <c r="BB2839" s="4" t="s">
        <v>250</v>
      </c>
      <c r="BC2839" s="4" t="s">
        <v>241</v>
      </c>
      <c r="BD2839" s="4" t="s">
        <v>252</v>
      </c>
      <c r="BE2839" s="4" t="s">
        <v>241</v>
      </c>
      <c r="BI2839" s="4" t="s">
        <v>253</v>
      </c>
      <c r="BJ2839" s="5" t="s">
        <v>246</v>
      </c>
      <c r="BK2839" s="4" t="s">
        <v>254</v>
      </c>
      <c r="BL2839" s="4" t="s">
        <v>255</v>
      </c>
      <c r="BM2839" s="4" t="s">
        <v>241</v>
      </c>
      <c r="BN2839" s="6">
        <f>0</f>
        <v>0</v>
      </c>
      <c r="BO2839" s="6">
        <f>0</f>
        <v>0</v>
      </c>
      <c r="BP2839" s="4" t="s">
        <v>256</v>
      </c>
      <c r="BQ2839" s="4" t="s">
        <v>257</v>
      </c>
      <c r="CE2839" s="4" t="s">
        <v>241</v>
      </c>
      <c r="CF2839" s="4" t="s">
        <v>241</v>
      </c>
      <c r="CJ2839" s="4" t="s">
        <v>276</v>
      </c>
      <c r="CK2839" s="4" t="s">
        <v>259</v>
      </c>
      <c r="CL2839" s="4" t="s">
        <v>241</v>
      </c>
      <c r="CO2839" s="5" t="s">
        <v>260</v>
      </c>
      <c r="CP2839" s="4" t="s">
        <v>241</v>
      </c>
      <c r="CQ2839" s="4" t="s">
        <v>261</v>
      </c>
      <c r="CR2839" s="4" t="s">
        <v>241</v>
      </c>
      <c r="CS2839" s="4" t="s">
        <v>241</v>
      </c>
      <c r="CT2839" s="4">
        <v>0</v>
      </c>
      <c r="CU2839" s="4" t="s">
        <v>262</v>
      </c>
      <c r="CV2839" s="4" t="s">
        <v>263</v>
      </c>
      <c r="CW2839" s="4" t="s">
        <v>263</v>
      </c>
      <c r="CX2839" s="4" t="s">
        <v>264</v>
      </c>
      <c r="DA2839" s="6">
        <f>1</f>
        <v>1</v>
      </c>
      <c r="DC2839" s="4" t="s">
        <v>325</v>
      </c>
      <c r="DD2839" s="4" t="s">
        <v>241</v>
      </c>
      <c r="DF2839" s="4" t="s">
        <v>325</v>
      </c>
      <c r="DG2839" s="6">
        <f>979</f>
        <v>979</v>
      </c>
      <c r="DI2839" s="4" t="s">
        <v>241</v>
      </c>
      <c r="DJ2839" s="4" t="s">
        <v>241</v>
      </c>
      <c r="DK2839" s="4" t="s">
        <v>241</v>
      </c>
      <c r="DL2839" s="4" t="s">
        <v>241</v>
      </c>
      <c r="DP2839" s="4" t="s">
        <v>241</v>
      </c>
      <c r="DQ2839" s="4" t="s">
        <v>241</v>
      </c>
      <c r="DR2839" s="4" t="s">
        <v>241</v>
      </c>
      <c r="DS2839" s="4" t="s">
        <v>241</v>
      </c>
      <c r="DV2839" s="4" t="s">
        <v>426</v>
      </c>
      <c r="DW2839" s="4" t="s">
        <v>2207</v>
      </c>
      <c r="HO2839" s="4" t="s">
        <v>267</v>
      </c>
    </row>
    <row r="2840" spans="1:223" ht="19.5" customHeight="1" x14ac:dyDescent="0.4">
      <c r="A2840" s="4">
        <v>1</v>
      </c>
      <c r="B2840" s="4" t="s">
        <v>239</v>
      </c>
      <c r="C2840" s="4">
        <v>4543</v>
      </c>
      <c r="D2840" s="4">
        <v>1</v>
      </c>
      <c r="E2840" s="4">
        <v>1</v>
      </c>
      <c r="F2840" s="4" t="s">
        <v>268</v>
      </c>
      <c r="G2840" s="4" t="s">
        <v>241</v>
      </c>
      <c r="H2840" s="4" t="s">
        <v>241</v>
      </c>
      <c r="I2840" s="4" t="s">
        <v>424</v>
      </c>
      <c r="J2840" s="4" t="s">
        <v>274</v>
      </c>
      <c r="K2840" s="4" t="s">
        <v>251</v>
      </c>
      <c r="L2840" s="4" t="s">
        <v>423</v>
      </c>
      <c r="M2840" s="5" t="s">
        <v>3191</v>
      </c>
      <c r="N2840" s="6">
        <f>41</f>
        <v>41</v>
      </c>
      <c r="O2840" s="4" t="s">
        <v>265</v>
      </c>
      <c r="P2840" s="6">
        <f>1</f>
        <v>1</v>
      </c>
      <c r="Q2840" s="6">
        <f>0</f>
        <v>0</v>
      </c>
      <c r="S2840" s="6">
        <f>0</f>
        <v>0</v>
      </c>
      <c r="T2840" s="6">
        <f>1</f>
        <v>1</v>
      </c>
      <c r="U2840" s="5" t="s">
        <v>245</v>
      </c>
      <c r="V2840" s="4" t="s">
        <v>270</v>
      </c>
      <c r="W2840" s="4" t="s">
        <v>271</v>
      </c>
      <c r="X2840" s="4" t="s">
        <v>273</v>
      </c>
      <c r="Y2840" s="4" t="s">
        <v>241</v>
      </c>
      <c r="AB2840" s="4" t="s">
        <v>241</v>
      </c>
      <c r="AD2840" s="5" t="s">
        <v>241</v>
      </c>
      <c r="AG2840" s="5" t="s">
        <v>246</v>
      </c>
      <c r="AH2840" s="4" t="s">
        <v>241</v>
      </c>
      <c r="AI2840" s="4" t="s">
        <v>247</v>
      </c>
      <c r="AJ2840" s="4" t="s">
        <v>248</v>
      </c>
      <c r="AZ2840" s="4" t="s">
        <v>249</v>
      </c>
      <c r="BA2840" s="4" t="s">
        <v>241</v>
      </c>
      <c r="BB2840" s="4" t="s">
        <v>250</v>
      </c>
      <c r="BC2840" s="4" t="s">
        <v>241</v>
      </c>
      <c r="BD2840" s="4" t="s">
        <v>252</v>
      </c>
      <c r="BE2840" s="4" t="s">
        <v>241</v>
      </c>
      <c r="BI2840" s="4" t="s">
        <v>253</v>
      </c>
      <c r="BJ2840" s="5" t="s">
        <v>246</v>
      </c>
      <c r="BK2840" s="4" t="s">
        <v>254</v>
      </c>
      <c r="BL2840" s="4" t="s">
        <v>255</v>
      </c>
      <c r="BM2840" s="4" t="s">
        <v>241</v>
      </c>
      <c r="BN2840" s="6">
        <f>0</f>
        <v>0</v>
      </c>
      <c r="BO2840" s="6">
        <f>0</f>
        <v>0</v>
      </c>
      <c r="BP2840" s="4" t="s">
        <v>256</v>
      </c>
      <c r="BQ2840" s="4" t="s">
        <v>257</v>
      </c>
      <c r="CE2840" s="4" t="s">
        <v>241</v>
      </c>
      <c r="CF2840" s="4" t="s">
        <v>241</v>
      </c>
      <c r="CJ2840" s="4" t="s">
        <v>276</v>
      </c>
      <c r="CK2840" s="4" t="s">
        <v>259</v>
      </c>
      <c r="CL2840" s="4" t="s">
        <v>241</v>
      </c>
      <c r="CO2840" s="5" t="s">
        <v>260</v>
      </c>
      <c r="CP2840" s="4" t="s">
        <v>241</v>
      </c>
      <c r="CQ2840" s="4" t="s">
        <v>261</v>
      </c>
      <c r="CR2840" s="4" t="s">
        <v>241</v>
      </c>
      <c r="CS2840" s="4" t="s">
        <v>241</v>
      </c>
      <c r="CT2840" s="4">
        <v>0</v>
      </c>
      <c r="CU2840" s="4" t="s">
        <v>262</v>
      </c>
      <c r="CV2840" s="4" t="s">
        <v>263</v>
      </c>
      <c r="CW2840" s="4" t="s">
        <v>263</v>
      </c>
      <c r="CX2840" s="4" t="s">
        <v>264</v>
      </c>
      <c r="DA2840" s="6">
        <f>1</f>
        <v>1</v>
      </c>
      <c r="DC2840" s="4" t="s">
        <v>325</v>
      </c>
      <c r="DD2840" s="4" t="s">
        <v>241</v>
      </c>
      <c r="DF2840" s="4" t="s">
        <v>325</v>
      </c>
      <c r="DG2840" s="6">
        <f>41</f>
        <v>41</v>
      </c>
      <c r="DI2840" s="4" t="s">
        <v>241</v>
      </c>
      <c r="DJ2840" s="4" t="s">
        <v>241</v>
      </c>
      <c r="DK2840" s="4" t="s">
        <v>241</v>
      </c>
      <c r="DL2840" s="4" t="s">
        <v>241</v>
      </c>
      <c r="DP2840" s="4" t="s">
        <v>241</v>
      </c>
      <c r="DQ2840" s="4" t="s">
        <v>241</v>
      </c>
      <c r="DR2840" s="4" t="s">
        <v>241</v>
      </c>
      <c r="DS2840" s="4" t="s">
        <v>241</v>
      </c>
      <c r="DV2840" s="4" t="s">
        <v>426</v>
      </c>
      <c r="DW2840" s="4" t="s">
        <v>2205</v>
      </c>
      <c r="HO2840" s="4" t="s">
        <v>267</v>
      </c>
    </row>
    <row r="2841" spans="1:223" ht="19.5" customHeight="1" x14ac:dyDescent="0.4">
      <c r="A2841" s="4">
        <v>1</v>
      </c>
      <c r="B2841" s="4" t="s">
        <v>239</v>
      </c>
      <c r="C2841" s="4">
        <v>4544</v>
      </c>
      <c r="D2841" s="4">
        <v>1</v>
      </c>
      <c r="E2841" s="4">
        <v>1</v>
      </c>
      <c r="F2841" s="4" t="s">
        <v>268</v>
      </c>
      <c r="G2841" s="4" t="s">
        <v>241</v>
      </c>
      <c r="H2841" s="4" t="s">
        <v>241</v>
      </c>
      <c r="I2841" s="4" t="s">
        <v>424</v>
      </c>
      <c r="J2841" s="4" t="s">
        <v>274</v>
      </c>
      <c r="K2841" s="4" t="s">
        <v>251</v>
      </c>
      <c r="L2841" s="4" t="s">
        <v>423</v>
      </c>
      <c r="M2841" s="5" t="s">
        <v>919</v>
      </c>
      <c r="N2841" s="6">
        <f>978</f>
        <v>978</v>
      </c>
      <c r="O2841" s="4" t="s">
        <v>265</v>
      </c>
      <c r="P2841" s="6">
        <f>1</f>
        <v>1</v>
      </c>
      <c r="Q2841" s="6">
        <f>0</f>
        <v>0</v>
      </c>
      <c r="S2841" s="6">
        <f>0</f>
        <v>0</v>
      </c>
      <c r="T2841" s="6">
        <f>1</f>
        <v>1</v>
      </c>
      <c r="U2841" s="5" t="s">
        <v>245</v>
      </c>
      <c r="V2841" s="4" t="s">
        <v>270</v>
      </c>
      <c r="W2841" s="4" t="s">
        <v>271</v>
      </c>
      <c r="X2841" s="4" t="s">
        <v>273</v>
      </c>
      <c r="Y2841" s="4" t="s">
        <v>241</v>
      </c>
      <c r="AB2841" s="4" t="s">
        <v>241</v>
      </c>
      <c r="AD2841" s="5" t="s">
        <v>241</v>
      </c>
      <c r="AG2841" s="5" t="s">
        <v>246</v>
      </c>
      <c r="AH2841" s="4" t="s">
        <v>241</v>
      </c>
      <c r="AI2841" s="4" t="s">
        <v>247</v>
      </c>
      <c r="AJ2841" s="4" t="s">
        <v>248</v>
      </c>
      <c r="AZ2841" s="4" t="s">
        <v>249</v>
      </c>
      <c r="BA2841" s="4" t="s">
        <v>241</v>
      </c>
      <c r="BB2841" s="4" t="s">
        <v>250</v>
      </c>
      <c r="BC2841" s="4" t="s">
        <v>241</v>
      </c>
      <c r="BD2841" s="4" t="s">
        <v>252</v>
      </c>
      <c r="BE2841" s="4" t="s">
        <v>241</v>
      </c>
      <c r="BI2841" s="4" t="s">
        <v>253</v>
      </c>
      <c r="BJ2841" s="5" t="s">
        <v>246</v>
      </c>
      <c r="BK2841" s="4" t="s">
        <v>254</v>
      </c>
      <c r="BL2841" s="4" t="s">
        <v>255</v>
      </c>
      <c r="BM2841" s="4" t="s">
        <v>241</v>
      </c>
      <c r="BN2841" s="6">
        <f>0</f>
        <v>0</v>
      </c>
      <c r="BO2841" s="6">
        <f>0</f>
        <v>0</v>
      </c>
      <c r="BP2841" s="4" t="s">
        <v>256</v>
      </c>
      <c r="BQ2841" s="4" t="s">
        <v>257</v>
      </c>
      <c r="CE2841" s="4" t="s">
        <v>241</v>
      </c>
      <c r="CF2841" s="4" t="s">
        <v>241</v>
      </c>
      <c r="CJ2841" s="4" t="s">
        <v>276</v>
      </c>
      <c r="CK2841" s="4" t="s">
        <v>259</v>
      </c>
      <c r="CL2841" s="4" t="s">
        <v>241</v>
      </c>
      <c r="CO2841" s="5" t="s">
        <v>260</v>
      </c>
      <c r="CP2841" s="4" t="s">
        <v>241</v>
      </c>
      <c r="CQ2841" s="4" t="s">
        <v>261</v>
      </c>
      <c r="CR2841" s="4" t="s">
        <v>241</v>
      </c>
      <c r="CS2841" s="4" t="s">
        <v>241</v>
      </c>
      <c r="CT2841" s="4">
        <v>0</v>
      </c>
      <c r="CU2841" s="4" t="s">
        <v>262</v>
      </c>
      <c r="CV2841" s="4" t="s">
        <v>263</v>
      </c>
      <c r="CW2841" s="4" t="s">
        <v>263</v>
      </c>
      <c r="CX2841" s="4" t="s">
        <v>264</v>
      </c>
      <c r="DA2841" s="6">
        <f>1</f>
        <v>1</v>
      </c>
      <c r="DC2841" s="4" t="s">
        <v>325</v>
      </c>
      <c r="DD2841" s="4" t="s">
        <v>241</v>
      </c>
      <c r="DF2841" s="4" t="s">
        <v>325</v>
      </c>
      <c r="DG2841" s="6">
        <f>978</f>
        <v>978</v>
      </c>
      <c r="DI2841" s="4" t="s">
        <v>241</v>
      </c>
      <c r="DJ2841" s="4" t="s">
        <v>241</v>
      </c>
      <c r="DK2841" s="4" t="s">
        <v>241</v>
      </c>
      <c r="DL2841" s="4" t="s">
        <v>241</v>
      </c>
      <c r="DP2841" s="4" t="s">
        <v>241</v>
      </c>
      <c r="DQ2841" s="4" t="s">
        <v>241</v>
      </c>
      <c r="DR2841" s="4" t="s">
        <v>241</v>
      </c>
      <c r="DS2841" s="4" t="s">
        <v>241</v>
      </c>
      <c r="DV2841" s="4" t="s">
        <v>426</v>
      </c>
      <c r="DW2841" s="4" t="s">
        <v>920</v>
      </c>
      <c r="HO2841" s="4" t="s">
        <v>267</v>
      </c>
    </row>
    <row r="2842" spans="1:223" ht="19.5" customHeight="1" x14ac:dyDescent="0.4">
      <c r="A2842" s="4">
        <v>1</v>
      </c>
      <c r="B2842" s="4" t="s">
        <v>239</v>
      </c>
      <c r="C2842" s="4">
        <v>4545</v>
      </c>
      <c r="D2842" s="4">
        <v>1</v>
      </c>
      <c r="E2842" s="4">
        <v>1</v>
      </c>
      <c r="F2842" s="4" t="s">
        <v>268</v>
      </c>
      <c r="G2842" s="4" t="s">
        <v>241</v>
      </c>
      <c r="H2842" s="4" t="s">
        <v>241</v>
      </c>
      <c r="I2842" s="4" t="s">
        <v>424</v>
      </c>
      <c r="J2842" s="4" t="s">
        <v>274</v>
      </c>
      <c r="K2842" s="4" t="s">
        <v>251</v>
      </c>
      <c r="L2842" s="4" t="s">
        <v>423</v>
      </c>
      <c r="M2842" s="5" t="s">
        <v>3225</v>
      </c>
      <c r="N2842" s="6">
        <f>1402</f>
        <v>1402</v>
      </c>
      <c r="O2842" s="4" t="s">
        <v>265</v>
      </c>
      <c r="P2842" s="6">
        <f>1</f>
        <v>1</v>
      </c>
      <c r="Q2842" s="6">
        <f>0</f>
        <v>0</v>
      </c>
      <c r="S2842" s="6">
        <f>0</f>
        <v>0</v>
      </c>
      <c r="T2842" s="6">
        <f>1</f>
        <v>1</v>
      </c>
      <c r="U2842" s="5" t="s">
        <v>245</v>
      </c>
      <c r="V2842" s="4" t="s">
        <v>270</v>
      </c>
      <c r="W2842" s="4" t="s">
        <v>271</v>
      </c>
      <c r="X2842" s="4" t="s">
        <v>273</v>
      </c>
      <c r="Y2842" s="4" t="s">
        <v>241</v>
      </c>
      <c r="AB2842" s="4" t="s">
        <v>241</v>
      </c>
      <c r="AD2842" s="5" t="s">
        <v>241</v>
      </c>
      <c r="AG2842" s="5" t="s">
        <v>246</v>
      </c>
      <c r="AH2842" s="4" t="s">
        <v>241</v>
      </c>
      <c r="AI2842" s="4" t="s">
        <v>247</v>
      </c>
      <c r="AJ2842" s="4" t="s">
        <v>248</v>
      </c>
      <c r="AZ2842" s="4" t="s">
        <v>249</v>
      </c>
      <c r="BA2842" s="4" t="s">
        <v>241</v>
      </c>
      <c r="BB2842" s="4" t="s">
        <v>250</v>
      </c>
      <c r="BC2842" s="4" t="s">
        <v>241</v>
      </c>
      <c r="BD2842" s="4" t="s">
        <v>252</v>
      </c>
      <c r="BE2842" s="4" t="s">
        <v>241</v>
      </c>
      <c r="BI2842" s="4" t="s">
        <v>253</v>
      </c>
      <c r="BJ2842" s="5" t="s">
        <v>246</v>
      </c>
      <c r="BK2842" s="4" t="s">
        <v>254</v>
      </c>
      <c r="BL2842" s="4" t="s">
        <v>255</v>
      </c>
      <c r="BM2842" s="4" t="s">
        <v>241</v>
      </c>
      <c r="BN2842" s="6">
        <f>0</f>
        <v>0</v>
      </c>
      <c r="BO2842" s="6">
        <f>0</f>
        <v>0</v>
      </c>
      <c r="BP2842" s="4" t="s">
        <v>256</v>
      </c>
      <c r="BQ2842" s="4" t="s">
        <v>257</v>
      </c>
      <c r="CE2842" s="4" t="s">
        <v>241</v>
      </c>
      <c r="CF2842" s="4" t="s">
        <v>241</v>
      </c>
      <c r="CJ2842" s="4" t="s">
        <v>276</v>
      </c>
      <c r="CK2842" s="4" t="s">
        <v>259</v>
      </c>
      <c r="CL2842" s="4" t="s">
        <v>241</v>
      </c>
      <c r="CO2842" s="5" t="s">
        <v>260</v>
      </c>
      <c r="CP2842" s="4" t="s">
        <v>241</v>
      </c>
      <c r="CQ2842" s="4" t="s">
        <v>261</v>
      </c>
      <c r="CR2842" s="4" t="s">
        <v>241</v>
      </c>
      <c r="CS2842" s="4" t="s">
        <v>241</v>
      </c>
      <c r="CT2842" s="4">
        <v>0</v>
      </c>
      <c r="CU2842" s="4" t="s">
        <v>262</v>
      </c>
      <c r="CV2842" s="4" t="s">
        <v>263</v>
      </c>
      <c r="CW2842" s="4" t="s">
        <v>263</v>
      </c>
      <c r="CX2842" s="4" t="s">
        <v>264</v>
      </c>
      <c r="DA2842" s="6">
        <f>1</f>
        <v>1</v>
      </c>
      <c r="DC2842" s="4" t="s">
        <v>325</v>
      </c>
      <c r="DD2842" s="4" t="s">
        <v>241</v>
      </c>
      <c r="DF2842" s="4" t="s">
        <v>325</v>
      </c>
      <c r="DG2842" s="6">
        <f>1402</f>
        <v>1402</v>
      </c>
      <c r="DI2842" s="4" t="s">
        <v>241</v>
      </c>
      <c r="DJ2842" s="4" t="s">
        <v>241</v>
      </c>
      <c r="DK2842" s="4" t="s">
        <v>241</v>
      </c>
      <c r="DL2842" s="4" t="s">
        <v>241</v>
      </c>
      <c r="DP2842" s="4" t="s">
        <v>241</v>
      </c>
      <c r="DQ2842" s="4" t="s">
        <v>241</v>
      </c>
      <c r="DR2842" s="4" t="s">
        <v>241</v>
      </c>
      <c r="DS2842" s="4" t="s">
        <v>241</v>
      </c>
      <c r="DV2842" s="4" t="s">
        <v>426</v>
      </c>
      <c r="DW2842" s="4" t="s">
        <v>2202</v>
      </c>
      <c r="HO2842" s="4" t="s">
        <v>267</v>
      </c>
    </row>
    <row r="2843" spans="1:223" ht="19.5" customHeight="1" x14ac:dyDescent="0.4">
      <c r="A2843" s="4">
        <v>1</v>
      </c>
      <c r="B2843" s="4" t="s">
        <v>239</v>
      </c>
      <c r="C2843" s="4">
        <v>4546</v>
      </c>
      <c r="D2843" s="4">
        <v>1</v>
      </c>
      <c r="E2843" s="4">
        <v>1</v>
      </c>
      <c r="F2843" s="4" t="s">
        <v>268</v>
      </c>
      <c r="G2843" s="4" t="s">
        <v>241</v>
      </c>
      <c r="H2843" s="4" t="s">
        <v>241</v>
      </c>
      <c r="I2843" s="4" t="s">
        <v>424</v>
      </c>
      <c r="J2843" s="4" t="s">
        <v>274</v>
      </c>
      <c r="K2843" s="4" t="s">
        <v>251</v>
      </c>
      <c r="L2843" s="4" t="s">
        <v>423</v>
      </c>
      <c r="M2843" s="5" t="s">
        <v>831</v>
      </c>
      <c r="N2843" s="6">
        <f>1533</f>
        <v>1533</v>
      </c>
      <c r="O2843" s="4" t="s">
        <v>265</v>
      </c>
      <c r="P2843" s="6">
        <f>1</f>
        <v>1</v>
      </c>
      <c r="Q2843" s="6">
        <f>0</f>
        <v>0</v>
      </c>
      <c r="S2843" s="6">
        <f>0</f>
        <v>0</v>
      </c>
      <c r="T2843" s="6">
        <f>1</f>
        <v>1</v>
      </c>
      <c r="U2843" s="5" t="s">
        <v>245</v>
      </c>
      <c r="V2843" s="4" t="s">
        <v>270</v>
      </c>
      <c r="W2843" s="4" t="s">
        <v>271</v>
      </c>
      <c r="X2843" s="4" t="s">
        <v>273</v>
      </c>
      <c r="Y2843" s="4" t="s">
        <v>241</v>
      </c>
      <c r="AB2843" s="4" t="s">
        <v>241</v>
      </c>
      <c r="AD2843" s="5" t="s">
        <v>241</v>
      </c>
      <c r="AG2843" s="5" t="s">
        <v>246</v>
      </c>
      <c r="AH2843" s="4" t="s">
        <v>241</v>
      </c>
      <c r="AI2843" s="4" t="s">
        <v>247</v>
      </c>
      <c r="AJ2843" s="4" t="s">
        <v>248</v>
      </c>
      <c r="AZ2843" s="4" t="s">
        <v>249</v>
      </c>
      <c r="BA2843" s="4" t="s">
        <v>241</v>
      </c>
      <c r="BB2843" s="4" t="s">
        <v>250</v>
      </c>
      <c r="BC2843" s="4" t="s">
        <v>241</v>
      </c>
      <c r="BD2843" s="4" t="s">
        <v>252</v>
      </c>
      <c r="BE2843" s="4" t="s">
        <v>241</v>
      </c>
      <c r="BI2843" s="4" t="s">
        <v>253</v>
      </c>
      <c r="BJ2843" s="5" t="s">
        <v>246</v>
      </c>
      <c r="BK2843" s="4" t="s">
        <v>254</v>
      </c>
      <c r="BL2843" s="4" t="s">
        <v>255</v>
      </c>
      <c r="BM2843" s="4" t="s">
        <v>241</v>
      </c>
      <c r="BN2843" s="6">
        <f>0</f>
        <v>0</v>
      </c>
      <c r="BO2843" s="6">
        <f>0</f>
        <v>0</v>
      </c>
      <c r="BP2843" s="4" t="s">
        <v>256</v>
      </c>
      <c r="BQ2843" s="4" t="s">
        <v>257</v>
      </c>
      <c r="CE2843" s="4" t="s">
        <v>241</v>
      </c>
      <c r="CF2843" s="4" t="s">
        <v>241</v>
      </c>
      <c r="CJ2843" s="4" t="s">
        <v>276</v>
      </c>
      <c r="CK2843" s="4" t="s">
        <v>259</v>
      </c>
      <c r="CL2843" s="4" t="s">
        <v>241</v>
      </c>
      <c r="CO2843" s="5" t="s">
        <v>260</v>
      </c>
      <c r="CP2843" s="4" t="s">
        <v>241</v>
      </c>
      <c r="CQ2843" s="4" t="s">
        <v>261</v>
      </c>
      <c r="CR2843" s="4" t="s">
        <v>241</v>
      </c>
      <c r="CS2843" s="4" t="s">
        <v>241</v>
      </c>
      <c r="CT2843" s="4">
        <v>0</v>
      </c>
      <c r="CU2843" s="4" t="s">
        <v>262</v>
      </c>
      <c r="CV2843" s="4" t="s">
        <v>263</v>
      </c>
      <c r="CW2843" s="4" t="s">
        <v>263</v>
      </c>
      <c r="CX2843" s="4" t="s">
        <v>264</v>
      </c>
      <c r="DA2843" s="6">
        <f>1</f>
        <v>1</v>
      </c>
      <c r="DC2843" s="4" t="s">
        <v>325</v>
      </c>
      <c r="DD2843" s="4" t="s">
        <v>241</v>
      </c>
      <c r="DF2843" s="4" t="s">
        <v>325</v>
      </c>
      <c r="DG2843" s="6">
        <f>1533</f>
        <v>1533</v>
      </c>
      <c r="DI2843" s="4" t="s">
        <v>241</v>
      </c>
      <c r="DJ2843" s="4" t="s">
        <v>241</v>
      </c>
      <c r="DK2843" s="4" t="s">
        <v>241</v>
      </c>
      <c r="DL2843" s="4" t="s">
        <v>241</v>
      </c>
      <c r="DP2843" s="4" t="s">
        <v>241</v>
      </c>
      <c r="DQ2843" s="4" t="s">
        <v>241</v>
      </c>
      <c r="DR2843" s="4" t="s">
        <v>241</v>
      </c>
      <c r="DS2843" s="4" t="s">
        <v>241</v>
      </c>
      <c r="DV2843" s="4" t="s">
        <v>426</v>
      </c>
      <c r="DW2843" s="4" t="s">
        <v>832</v>
      </c>
      <c r="HO2843" s="4" t="s">
        <v>267</v>
      </c>
    </row>
    <row r="2844" spans="1:223" ht="19.5" customHeight="1" x14ac:dyDescent="0.4">
      <c r="A2844" s="4">
        <v>1</v>
      </c>
      <c r="B2844" s="4" t="s">
        <v>239</v>
      </c>
      <c r="C2844" s="4">
        <v>4547</v>
      </c>
      <c r="D2844" s="4">
        <v>1</v>
      </c>
      <c r="E2844" s="4">
        <v>1</v>
      </c>
      <c r="F2844" s="4" t="s">
        <v>268</v>
      </c>
      <c r="G2844" s="4" t="s">
        <v>241</v>
      </c>
      <c r="H2844" s="4" t="s">
        <v>241</v>
      </c>
      <c r="I2844" s="4" t="s">
        <v>424</v>
      </c>
      <c r="J2844" s="4" t="s">
        <v>274</v>
      </c>
      <c r="K2844" s="4" t="s">
        <v>251</v>
      </c>
      <c r="L2844" s="4" t="s">
        <v>423</v>
      </c>
      <c r="M2844" s="5" t="s">
        <v>771</v>
      </c>
      <c r="N2844" s="6">
        <f>1465</f>
        <v>1465</v>
      </c>
      <c r="O2844" s="4" t="s">
        <v>265</v>
      </c>
      <c r="P2844" s="6">
        <f>1</f>
        <v>1</v>
      </c>
      <c r="Q2844" s="6">
        <f>0</f>
        <v>0</v>
      </c>
      <c r="S2844" s="6">
        <f>0</f>
        <v>0</v>
      </c>
      <c r="T2844" s="6">
        <f>1</f>
        <v>1</v>
      </c>
      <c r="U2844" s="5" t="s">
        <v>245</v>
      </c>
      <c r="V2844" s="4" t="s">
        <v>270</v>
      </c>
      <c r="W2844" s="4" t="s">
        <v>271</v>
      </c>
      <c r="X2844" s="4" t="s">
        <v>273</v>
      </c>
      <c r="Y2844" s="4" t="s">
        <v>241</v>
      </c>
      <c r="AB2844" s="4" t="s">
        <v>241</v>
      </c>
      <c r="AD2844" s="5" t="s">
        <v>241</v>
      </c>
      <c r="AG2844" s="5" t="s">
        <v>246</v>
      </c>
      <c r="AH2844" s="4" t="s">
        <v>241</v>
      </c>
      <c r="AI2844" s="4" t="s">
        <v>247</v>
      </c>
      <c r="AJ2844" s="4" t="s">
        <v>248</v>
      </c>
      <c r="AZ2844" s="4" t="s">
        <v>249</v>
      </c>
      <c r="BA2844" s="4" t="s">
        <v>241</v>
      </c>
      <c r="BB2844" s="4" t="s">
        <v>250</v>
      </c>
      <c r="BC2844" s="4" t="s">
        <v>241</v>
      </c>
      <c r="BD2844" s="4" t="s">
        <v>252</v>
      </c>
      <c r="BE2844" s="4" t="s">
        <v>241</v>
      </c>
      <c r="BI2844" s="4" t="s">
        <v>253</v>
      </c>
      <c r="BJ2844" s="5" t="s">
        <v>246</v>
      </c>
      <c r="BK2844" s="4" t="s">
        <v>254</v>
      </c>
      <c r="BL2844" s="4" t="s">
        <v>255</v>
      </c>
      <c r="BM2844" s="4" t="s">
        <v>241</v>
      </c>
      <c r="BN2844" s="6">
        <f>0</f>
        <v>0</v>
      </c>
      <c r="BO2844" s="6">
        <f>0</f>
        <v>0</v>
      </c>
      <c r="BP2844" s="4" t="s">
        <v>256</v>
      </c>
      <c r="BQ2844" s="4" t="s">
        <v>257</v>
      </c>
      <c r="CE2844" s="4" t="s">
        <v>241</v>
      </c>
      <c r="CF2844" s="4" t="s">
        <v>241</v>
      </c>
      <c r="CJ2844" s="4" t="s">
        <v>276</v>
      </c>
      <c r="CK2844" s="4" t="s">
        <v>259</v>
      </c>
      <c r="CL2844" s="4" t="s">
        <v>241</v>
      </c>
      <c r="CO2844" s="5" t="s">
        <v>260</v>
      </c>
      <c r="CP2844" s="4" t="s">
        <v>241</v>
      </c>
      <c r="CQ2844" s="4" t="s">
        <v>261</v>
      </c>
      <c r="CR2844" s="4" t="s">
        <v>241</v>
      </c>
      <c r="CS2844" s="4" t="s">
        <v>241</v>
      </c>
      <c r="CT2844" s="4">
        <v>0</v>
      </c>
      <c r="CU2844" s="4" t="s">
        <v>262</v>
      </c>
      <c r="CV2844" s="4" t="s">
        <v>263</v>
      </c>
      <c r="CW2844" s="4" t="s">
        <v>263</v>
      </c>
      <c r="CX2844" s="4" t="s">
        <v>264</v>
      </c>
      <c r="DA2844" s="6">
        <f>1</f>
        <v>1</v>
      </c>
      <c r="DC2844" s="4" t="s">
        <v>325</v>
      </c>
      <c r="DD2844" s="4" t="s">
        <v>241</v>
      </c>
      <c r="DF2844" s="4" t="s">
        <v>325</v>
      </c>
      <c r="DG2844" s="6">
        <f>1465</f>
        <v>1465</v>
      </c>
      <c r="DI2844" s="4" t="s">
        <v>241</v>
      </c>
      <c r="DJ2844" s="4" t="s">
        <v>241</v>
      </c>
      <c r="DK2844" s="4" t="s">
        <v>241</v>
      </c>
      <c r="DL2844" s="4" t="s">
        <v>241</v>
      </c>
      <c r="DP2844" s="4" t="s">
        <v>241</v>
      </c>
      <c r="DQ2844" s="4" t="s">
        <v>241</v>
      </c>
      <c r="DR2844" s="4" t="s">
        <v>241</v>
      </c>
      <c r="DS2844" s="4" t="s">
        <v>241</v>
      </c>
      <c r="DV2844" s="4" t="s">
        <v>426</v>
      </c>
      <c r="DW2844" s="4" t="s">
        <v>772</v>
      </c>
      <c r="HO2844" s="4" t="s">
        <v>267</v>
      </c>
    </row>
    <row r="2845" spans="1:223" ht="19.5" customHeight="1" x14ac:dyDescent="0.4">
      <c r="A2845" s="4">
        <v>1</v>
      </c>
      <c r="B2845" s="4" t="s">
        <v>239</v>
      </c>
      <c r="C2845" s="4">
        <v>4548</v>
      </c>
      <c r="D2845" s="4">
        <v>1</v>
      </c>
      <c r="E2845" s="4">
        <v>1</v>
      </c>
      <c r="F2845" s="4" t="s">
        <v>268</v>
      </c>
      <c r="G2845" s="4" t="s">
        <v>241</v>
      </c>
      <c r="H2845" s="4" t="s">
        <v>241</v>
      </c>
      <c r="I2845" s="4" t="s">
        <v>424</v>
      </c>
      <c r="J2845" s="4" t="s">
        <v>274</v>
      </c>
      <c r="K2845" s="4" t="s">
        <v>251</v>
      </c>
      <c r="L2845" s="4" t="s">
        <v>423</v>
      </c>
      <c r="M2845" s="5" t="s">
        <v>695</v>
      </c>
      <c r="N2845" s="6">
        <f>4056</f>
        <v>4056</v>
      </c>
      <c r="O2845" s="4" t="s">
        <v>265</v>
      </c>
      <c r="P2845" s="6">
        <f>1</f>
        <v>1</v>
      </c>
      <c r="Q2845" s="6">
        <f>0</f>
        <v>0</v>
      </c>
      <c r="S2845" s="6">
        <f>0</f>
        <v>0</v>
      </c>
      <c r="T2845" s="6">
        <f>1</f>
        <v>1</v>
      </c>
      <c r="U2845" s="5" t="s">
        <v>245</v>
      </c>
      <c r="V2845" s="4" t="s">
        <v>270</v>
      </c>
      <c r="W2845" s="4" t="s">
        <v>271</v>
      </c>
      <c r="X2845" s="4" t="s">
        <v>273</v>
      </c>
      <c r="Y2845" s="4" t="s">
        <v>241</v>
      </c>
      <c r="AB2845" s="4" t="s">
        <v>241</v>
      </c>
      <c r="AD2845" s="5" t="s">
        <v>241</v>
      </c>
      <c r="AG2845" s="5" t="s">
        <v>246</v>
      </c>
      <c r="AH2845" s="4" t="s">
        <v>241</v>
      </c>
      <c r="AI2845" s="4" t="s">
        <v>247</v>
      </c>
      <c r="AJ2845" s="4" t="s">
        <v>248</v>
      </c>
      <c r="AZ2845" s="4" t="s">
        <v>249</v>
      </c>
      <c r="BA2845" s="4" t="s">
        <v>241</v>
      </c>
      <c r="BB2845" s="4" t="s">
        <v>250</v>
      </c>
      <c r="BC2845" s="4" t="s">
        <v>241</v>
      </c>
      <c r="BD2845" s="4" t="s">
        <v>252</v>
      </c>
      <c r="BE2845" s="4" t="s">
        <v>241</v>
      </c>
      <c r="BI2845" s="4" t="s">
        <v>253</v>
      </c>
      <c r="BJ2845" s="5" t="s">
        <v>246</v>
      </c>
      <c r="BK2845" s="4" t="s">
        <v>254</v>
      </c>
      <c r="BL2845" s="4" t="s">
        <v>255</v>
      </c>
      <c r="BM2845" s="4" t="s">
        <v>241</v>
      </c>
      <c r="BN2845" s="6">
        <f>0</f>
        <v>0</v>
      </c>
      <c r="BO2845" s="6">
        <f>0</f>
        <v>0</v>
      </c>
      <c r="BP2845" s="4" t="s">
        <v>256</v>
      </c>
      <c r="BQ2845" s="4" t="s">
        <v>257</v>
      </c>
      <c r="CE2845" s="4" t="s">
        <v>241</v>
      </c>
      <c r="CF2845" s="4" t="s">
        <v>241</v>
      </c>
      <c r="CJ2845" s="4" t="s">
        <v>276</v>
      </c>
      <c r="CK2845" s="4" t="s">
        <v>259</v>
      </c>
      <c r="CL2845" s="4" t="s">
        <v>241</v>
      </c>
      <c r="CO2845" s="5" t="s">
        <v>260</v>
      </c>
      <c r="CP2845" s="4" t="s">
        <v>241</v>
      </c>
      <c r="CQ2845" s="4" t="s">
        <v>261</v>
      </c>
      <c r="CR2845" s="4" t="s">
        <v>241</v>
      </c>
      <c r="CS2845" s="4" t="s">
        <v>241</v>
      </c>
      <c r="CT2845" s="4">
        <v>0</v>
      </c>
      <c r="CU2845" s="4" t="s">
        <v>262</v>
      </c>
      <c r="CV2845" s="4" t="s">
        <v>263</v>
      </c>
      <c r="CW2845" s="4" t="s">
        <v>263</v>
      </c>
      <c r="CX2845" s="4" t="s">
        <v>264</v>
      </c>
      <c r="DA2845" s="6">
        <f>1</f>
        <v>1</v>
      </c>
      <c r="DC2845" s="4" t="s">
        <v>325</v>
      </c>
      <c r="DD2845" s="4" t="s">
        <v>241</v>
      </c>
      <c r="DF2845" s="4" t="s">
        <v>325</v>
      </c>
      <c r="DG2845" s="6">
        <f>4056</f>
        <v>4056</v>
      </c>
      <c r="DI2845" s="4" t="s">
        <v>241</v>
      </c>
      <c r="DJ2845" s="4" t="s">
        <v>241</v>
      </c>
      <c r="DK2845" s="4" t="s">
        <v>241</v>
      </c>
      <c r="DL2845" s="4" t="s">
        <v>241</v>
      </c>
      <c r="DP2845" s="4" t="s">
        <v>241</v>
      </c>
      <c r="DQ2845" s="4" t="s">
        <v>241</v>
      </c>
      <c r="DR2845" s="4" t="s">
        <v>241</v>
      </c>
      <c r="DS2845" s="4" t="s">
        <v>241</v>
      </c>
      <c r="DV2845" s="4" t="s">
        <v>426</v>
      </c>
      <c r="DW2845" s="4" t="s">
        <v>696</v>
      </c>
      <c r="HO2845" s="4" t="s">
        <v>267</v>
      </c>
    </row>
    <row r="2846" spans="1:223" ht="19.5" customHeight="1" x14ac:dyDescent="0.4">
      <c r="A2846" s="4">
        <v>1</v>
      </c>
      <c r="B2846" s="4" t="s">
        <v>239</v>
      </c>
      <c r="C2846" s="4">
        <v>4549</v>
      </c>
      <c r="D2846" s="4">
        <v>1</v>
      </c>
      <c r="E2846" s="4">
        <v>1</v>
      </c>
      <c r="F2846" s="4" t="s">
        <v>268</v>
      </c>
      <c r="G2846" s="4" t="s">
        <v>241</v>
      </c>
      <c r="H2846" s="4" t="s">
        <v>241</v>
      </c>
      <c r="I2846" s="4" t="s">
        <v>424</v>
      </c>
      <c r="J2846" s="4" t="s">
        <v>274</v>
      </c>
      <c r="K2846" s="4" t="s">
        <v>251</v>
      </c>
      <c r="L2846" s="4" t="s">
        <v>423</v>
      </c>
      <c r="M2846" s="5" t="s">
        <v>645</v>
      </c>
      <c r="N2846" s="6">
        <f>2555</f>
        <v>2555</v>
      </c>
      <c r="O2846" s="4" t="s">
        <v>265</v>
      </c>
      <c r="P2846" s="6">
        <f>1</f>
        <v>1</v>
      </c>
      <c r="Q2846" s="6">
        <f>0</f>
        <v>0</v>
      </c>
      <c r="S2846" s="6">
        <f>0</f>
        <v>0</v>
      </c>
      <c r="T2846" s="6">
        <f>1</f>
        <v>1</v>
      </c>
      <c r="U2846" s="5" t="s">
        <v>245</v>
      </c>
      <c r="V2846" s="4" t="s">
        <v>270</v>
      </c>
      <c r="W2846" s="4" t="s">
        <v>271</v>
      </c>
      <c r="X2846" s="4" t="s">
        <v>273</v>
      </c>
      <c r="Y2846" s="4" t="s">
        <v>241</v>
      </c>
      <c r="AB2846" s="4" t="s">
        <v>241</v>
      </c>
      <c r="AD2846" s="5" t="s">
        <v>241</v>
      </c>
      <c r="AG2846" s="5" t="s">
        <v>246</v>
      </c>
      <c r="AH2846" s="4" t="s">
        <v>241</v>
      </c>
      <c r="AI2846" s="4" t="s">
        <v>247</v>
      </c>
      <c r="AJ2846" s="4" t="s">
        <v>248</v>
      </c>
      <c r="AZ2846" s="4" t="s">
        <v>249</v>
      </c>
      <c r="BA2846" s="4" t="s">
        <v>241</v>
      </c>
      <c r="BB2846" s="4" t="s">
        <v>250</v>
      </c>
      <c r="BC2846" s="4" t="s">
        <v>241</v>
      </c>
      <c r="BD2846" s="4" t="s">
        <v>252</v>
      </c>
      <c r="BE2846" s="4" t="s">
        <v>241</v>
      </c>
      <c r="BI2846" s="4" t="s">
        <v>253</v>
      </c>
      <c r="BJ2846" s="5" t="s">
        <v>246</v>
      </c>
      <c r="BK2846" s="4" t="s">
        <v>254</v>
      </c>
      <c r="BL2846" s="4" t="s">
        <v>255</v>
      </c>
      <c r="BM2846" s="4" t="s">
        <v>241</v>
      </c>
      <c r="BN2846" s="6">
        <f>0</f>
        <v>0</v>
      </c>
      <c r="BO2846" s="6">
        <f>0</f>
        <v>0</v>
      </c>
      <c r="BP2846" s="4" t="s">
        <v>256</v>
      </c>
      <c r="BQ2846" s="4" t="s">
        <v>257</v>
      </c>
      <c r="CE2846" s="4" t="s">
        <v>241</v>
      </c>
      <c r="CF2846" s="4" t="s">
        <v>241</v>
      </c>
      <c r="CJ2846" s="4" t="s">
        <v>276</v>
      </c>
      <c r="CK2846" s="4" t="s">
        <v>259</v>
      </c>
      <c r="CL2846" s="4" t="s">
        <v>241</v>
      </c>
      <c r="CO2846" s="5" t="s">
        <v>260</v>
      </c>
      <c r="CP2846" s="4" t="s">
        <v>241</v>
      </c>
      <c r="CQ2846" s="4" t="s">
        <v>261</v>
      </c>
      <c r="CR2846" s="4" t="s">
        <v>241</v>
      </c>
      <c r="CS2846" s="4" t="s">
        <v>241</v>
      </c>
      <c r="CT2846" s="4">
        <v>0</v>
      </c>
      <c r="CU2846" s="4" t="s">
        <v>262</v>
      </c>
      <c r="CV2846" s="4" t="s">
        <v>263</v>
      </c>
      <c r="CW2846" s="4" t="s">
        <v>263</v>
      </c>
      <c r="CX2846" s="4" t="s">
        <v>264</v>
      </c>
      <c r="DA2846" s="6">
        <f>1</f>
        <v>1</v>
      </c>
      <c r="DC2846" s="4" t="s">
        <v>325</v>
      </c>
      <c r="DD2846" s="4" t="s">
        <v>241</v>
      </c>
      <c r="DF2846" s="4" t="s">
        <v>325</v>
      </c>
      <c r="DG2846" s="6">
        <f>2555</f>
        <v>2555</v>
      </c>
      <c r="DI2846" s="4" t="s">
        <v>241</v>
      </c>
      <c r="DJ2846" s="4" t="s">
        <v>241</v>
      </c>
      <c r="DK2846" s="4" t="s">
        <v>241</v>
      </c>
      <c r="DL2846" s="4" t="s">
        <v>241</v>
      </c>
      <c r="DP2846" s="4" t="s">
        <v>241</v>
      </c>
      <c r="DQ2846" s="4" t="s">
        <v>241</v>
      </c>
      <c r="DR2846" s="4" t="s">
        <v>241</v>
      </c>
      <c r="DS2846" s="4" t="s">
        <v>241</v>
      </c>
      <c r="DV2846" s="4" t="s">
        <v>426</v>
      </c>
      <c r="DW2846" s="4" t="s">
        <v>646</v>
      </c>
      <c r="HO2846" s="4" t="s">
        <v>267</v>
      </c>
    </row>
    <row r="2847" spans="1:223" ht="19.5" customHeight="1" x14ac:dyDescent="0.4">
      <c r="A2847" s="4">
        <v>1</v>
      </c>
      <c r="B2847" s="4" t="s">
        <v>239</v>
      </c>
      <c r="C2847" s="4">
        <v>4550</v>
      </c>
      <c r="D2847" s="4">
        <v>1</v>
      </c>
      <c r="E2847" s="4">
        <v>1</v>
      </c>
      <c r="F2847" s="4" t="s">
        <v>268</v>
      </c>
      <c r="G2847" s="4" t="s">
        <v>241</v>
      </c>
      <c r="H2847" s="4" t="s">
        <v>241</v>
      </c>
      <c r="I2847" s="4" t="s">
        <v>424</v>
      </c>
      <c r="J2847" s="4" t="s">
        <v>274</v>
      </c>
      <c r="K2847" s="4" t="s">
        <v>251</v>
      </c>
      <c r="L2847" s="4" t="s">
        <v>423</v>
      </c>
      <c r="M2847" s="5" t="s">
        <v>530</v>
      </c>
      <c r="N2847" s="6">
        <f>164</f>
        <v>164</v>
      </c>
      <c r="O2847" s="4" t="s">
        <v>265</v>
      </c>
      <c r="P2847" s="6">
        <f>1</f>
        <v>1</v>
      </c>
      <c r="Q2847" s="6">
        <f>0</f>
        <v>0</v>
      </c>
      <c r="S2847" s="6">
        <f>0</f>
        <v>0</v>
      </c>
      <c r="T2847" s="6">
        <f>1</f>
        <v>1</v>
      </c>
      <c r="U2847" s="5" t="s">
        <v>245</v>
      </c>
      <c r="V2847" s="4" t="s">
        <v>270</v>
      </c>
      <c r="W2847" s="4" t="s">
        <v>271</v>
      </c>
      <c r="X2847" s="4" t="s">
        <v>273</v>
      </c>
      <c r="Y2847" s="4" t="s">
        <v>241</v>
      </c>
      <c r="AB2847" s="4" t="s">
        <v>241</v>
      </c>
      <c r="AD2847" s="5" t="s">
        <v>241</v>
      </c>
      <c r="AG2847" s="5" t="s">
        <v>246</v>
      </c>
      <c r="AH2847" s="4" t="s">
        <v>241</v>
      </c>
      <c r="AI2847" s="4" t="s">
        <v>247</v>
      </c>
      <c r="AJ2847" s="4" t="s">
        <v>248</v>
      </c>
      <c r="AZ2847" s="4" t="s">
        <v>249</v>
      </c>
      <c r="BA2847" s="4" t="s">
        <v>241</v>
      </c>
      <c r="BB2847" s="4" t="s">
        <v>250</v>
      </c>
      <c r="BC2847" s="4" t="s">
        <v>241</v>
      </c>
      <c r="BD2847" s="4" t="s">
        <v>252</v>
      </c>
      <c r="BE2847" s="4" t="s">
        <v>241</v>
      </c>
      <c r="BI2847" s="4" t="s">
        <v>253</v>
      </c>
      <c r="BJ2847" s="5" t="s">
        <v>246</v>
      </c>
      <c r="BK2847" s="4" t="s">
        <v>254</v>
      </c>
      <c r="BL2847" s="4" t="s">
        <v>255</v>
      </c>
      <c r="BM2847" s="4" t="s">
        <v>241</v>
      </c>
      <c r="BN2847" s="6">
        <f>0</f>
        <v>0</v>
      </c>
      <c r="BO2847" s="6">
        <f>0</f>
        <v>0</v>
      </c>
      <c r="BP2847" s="4" t="s">
        <v>256</v>
      </c>
      <c r="BQ2847" s="4" t="s">
        <v>257</v>
      </c>
      <c r="CE2847" s="4" t="s">
        <v>241</v>
      </c>
      <c r="CF2847" s="4" t="s">
        <v>241</v>
      </c>
      <c r="CJ2847" s="4" t="s">
        <v>276</v>
      </c>
      <c r="CK2847" s="4" t="s">
        <v>259</v>
      </c>
      <c r="CL2847" s="4" t="s">
        <v>241</v>
      </c>
      <c r="CO2847" s="5" t="s">
        <v>260</v>
      </c>
      <c r="CP2847" s="4" t="s">
        <v>241</v>
      </c>
      <c r="CQ2847" s="4" t="s">
        <v>261</v>
      </c>
      <c r="CR2847" s="4" t="s">
        <v>241</v>
      </c>
      <c r="CS2847" s="4" t="s">
        <v>241</v>
      </c>
      <c r="CT2847" s="4">
        <v>0</v>
      </c>
      <c r="CU2847" s="4" t="s">
        <v>262</v>
      </c>
      <c r="CV2847" s="4" t="s">
        <v>263</v>
      </c>
      <c r="CW2847" s="4" t="s">
        <v>263</v>
      </c>
      <c r="CX2847" s="4" t="s">
        <v>264</v>
      </c>
      <c r="DA2847" s="6">
        <f>1</f>
        <v>1</v>
      </c>
      <c r="DC2847" s="4" t="s">
        <v>325</v>
      </c>
      <c r="DD2847" s="4" t="s">
        <v>241</v>
      </c>
      <c r="DF2847" s="4" t="s">
        <v>325</v>
      </c>
      <c r="DG2847" s="6">
        <f>164</f>
        <v>164</v>
      </c>
      <c r="DI2847" s="4" t="s">
        <v>241</v>
      </c>
      <c r="DJ2847" s="4" t="s">
        <v>241</v>
      </c>
      <c r="DK2847" s="4" t="s">
        <v>241</v>
      </c>
      <c r="DL2847" s="4" t="s">
        <v>241</v>
      </c>
      <c r="DP2847" s="4" t="s">
        <v>241</v>
      </c>
      <c r="DQ2847" s="4" t="s">
        <v>241</v>
      </c>
      <c r="DR2847" s="4" t="s">
        <v>241</v>
      </c>
      <c r="DS2847" s="4" t="s">
        <v>241</v>
      </c>
      <c r="DV2847" s="4" t="s">
        <v>426</v>
      </c>
      <c r="DW2847" s="4" t="s">
        <v>531</v>
      </c>
      <c r="HO2847" s="4" t="s">
        <v>267</v>
      </c>
    </row>
    <row r="2848" spans="1:223" ht="19.5" customHeight="1" x14ac:dyDescent="0.4">
      <c r="A2848" s="4">
        <v>1</v>
      </c>
      <c r="B2848" s="4" t="s">
        <v>239</v>
      </c>
      <c r="C2848" s="4">
        <v>4551</v>
      </c>
      <c r="D2848" s="4">
        <v>1</v>
      </c>
      <c r="E2848" s="4">
        <v>1</v>
      </c>
      <c r="F2848" s="4" t="s">
        <v>268</v>
      </c>
      <c r="G2848" s="4" t="s">
        <v>241</v>
      </c>
      <c r="H2848" s="4" t="s">
        <v>241</v>
      </c>
      <c r="I2848" s="4" t="s">
        <v>424</v>
      </c>
      <c r="J2848" s="4" t="s">
        <v>274</v>
      </c>
      <c r="K2848" s="4" t="s">
        <v>251</v>
      </c>
      <c r="L2848" s="4" t="s">
        <v>423</v>
      </c>
      <c r="M2848" s="5" t="s">
        <v>510</v>
      </c>
      <c r="N2848" s="6">
        <f>1029</f>
        <v>1029</v>
      </c>
      <c r="O2848" s="4" t="s">
        <v>265</v>
      </c>
      <c r="P2848" s="6">
        <f>1</f>
        <v>1</v>
      </c>
      <c r="Q2848" s="6">
        <f>0</f>
        <v>0</v>
      </c>
      <c r="S2848" s="6">
        <f>0</f>
        <v>0</v>
      </c>
      <c r="T2848" s="6">
        <f>1</f>
        <v>1</v>
      </c>
      <c r="U2848" s="5" t="s">
        <v>245</v>
      </c>
      <c r="V2848" s="4" t="s">
        <v>270</v>
      </c>
      <c r="W2848" s="4" t="s">
        <v>271</v>
      </c>
      <c r="X2848" s="4" t="s">
        <v>273</v>
      </c>
      <c r="Y2848" s="4" t="s">
        <v>241</v>
      </c>
      <c r="AB2848" s="4" t="s">
        <v>241</v>
      </c>
      <c r="AD2848" s="5" t="s">
        <v>241</v>
      </c>
      <c r="AG2848" s="5" t="s">
        <v>246</v>
      </c>
      <c r="AH2848" s="4" t="s">
        <v>241</v>
      </c>
      <c r="AI2848" s="4" t="s">
        <v>247</v>
      </c>
      <c r="AJ2848" s="4" t="s">
        <v>248</v>
      </c>
      <c r="AZ2848" s="4" t="s">
        <v>249</v>
      </c>
      <c r="BA2848" s="4" t="s">
        <v>241</v>
      </c>
      <c r="BB2848" s="4" t="s">
        <v>250</v>
      </c>
      <c r="BC2848" s="4" t="s">
        <v>241</v>
      </c>
      <c r="BD2848" s="4" t="s">
        <v>252</v>
      </c>
      <c r="BE2848" s="4" t="s">
        <v>241</v>
      </c>
      <c r="BI2848" s="4" t="s">
        <v>253</v>
      </c>
      <c r="BJ2848" s="5" t="s">
        <v>246</v>
      </c>
      <c r="BK2848" s="4" t="s">
        <v>254</v>
      </c>
      <c r="BL2848" s="4" t="s">
        <v>255</v>
      </c>
      <c r="BM2848" s="4" t="s">
        <v>241</v>
      </c>
      <c r="BN2848" s="6">
        <f>0</f>
        <v>0</v>
      </c>
      <c r="BO2848" s="6">
        <f>0</f>
        <v>0</v>
      </c>
      <c r="BP2848" s="4" t="s">
        <v>256</v>
      </c>
      <c r="BQ2848" s="4" t="s">
        <v>257</v>
      </c>
      <c r="CE2848" s="4" t="s">
        <v>241</v>
      </c>
      <c r="CF2848" s="4" t="s">
        <v>241</v>
      </c>
      <c r="CJ2848" s="4" t="s">
        <v>276</v>
      </c>
      <c r="CK2848" s="4" t="s">
        <v>259</v>
      </c>
      <c r="CL2848" s="4" t="s">
        <v>241</v>
      </c>
      <c r="CO2848" s="5" t="s">
        <v>260</v>
      </c>
      <c r="CP2848" s="4" t="s">
        <v>241</v>
      </c>
      <c r="CQ2848" s="4" t="s">
        <v>261</v>
      </c>
      <c r="CR2848" s="4" t="s">
        <v>241</v>
      </c>
      <c r="CS2848" s="4" t="s">
        <v>241</v>
      </c>
      <c r="CT2848" s="4">
        <v>0</v>
      </c>
      <c r="CU2848" s="4" t="s">
        <v>262</v>
      </c>
      <c r="CV2848" s="4" t="s">
        <v>263</v>
      </c>
      <c r="CW2848" s="4" t="s">
        <v>263</v>
      </c>
      <c r="CX2848" s="4" t="s">
        <v>264</v>
      </c>
      <c r="DA2848" s="6">
        <f>1</f>
        <v>1</v>
      </c>
      <c r="DC2848" s="4" t="s">
        <v>325</v>
      </c>
      <c r="DD2848" s="4" t="s">
        <v>241</v>
      </c>
      <c r="DF2848" s="4" t="s">
        <v>325</v>
      </c>
      <c r="DG2848" s="6">
        <f>1029</f>
        <v>1029</v>
      </c>
      <c r="DI2848" s="4" t="s">
        <v>241</v>
      </c>
      <c r="DJ2848" s="4" t="s">
        <v>241</v>
      </c>
      <c r="DK2848" s="4" t="s">
        <v>241</v>
      </c>
      <c r="DL2848" s="4" t="s">
        <v>241</v>
      </c>
      <c r="DP2848" s="4" t="s">
        <v>241</v>
      </c>
      <c r="DQ2848" s="4" t="s">
        <v>241</v>
      </c>
      <c r="DR2848" s="4" t="s">
        <v>241</v>
      </c>
      <c r="DS2848" s="4" t="s">
        <v>241</v>
      </c>
      <c r="DV2848" s="4" t="s">
        <v>426</v>
      </c>
      <c r="DW2848" s="4" t="s">
        <v>511</v>
      </c>
      <c r="HO2848" s="4" t="s">
        <v>267</v>
      </c>
    </row>
    <row r="2849" spans="1:223" ht="19.5" customHeight="1" x14ac:dyDescent="0.4">
      <c r="A2849" s="4">
        <v>1</v>
      </c>
      <c r="B2849" s="4" t="s">
        <v>239</v>
      </c>
      <c r="C2849" s="4">
        <v>4552</v>
      </c>
      <c r="D2849" s="4">
        <v>1</v>
      </c>
      <c r="E2849" s="4">
        <v>1</v>
      </c>
      <c r="F2849" s="4" t="s">
        <v>268</v>
      </c>
      <c r="G2849" s="4" t="s">
        <v>241</v>
      </c>
      <c r="H2849" s="4" t="s">
        <v>241</v>
      </c>
      <c r="I2849" s="4" t="s">
        <v>424</v>
      </c>
      <c r="J2849" s="4" t="s">
        <v>274</v>
      </c>
      <c r="K2849" s="4" t="s">
        <v>251</v>
      </c>
      <c r="L2849" s="4" t="s">
        <v>423</v>
      </c>
      <c r="M2849" s="5" t="s">
        <v>483</v>
      </c>
      <c r="N2849" s="6">
        <f>1372</f>
        <v>1372</v>
      </c>
      <c r="O2849" s="4" t="s">
        <v>265</v>
      </c>
      <c r="P2849" s="6">
        <f>1</f>
        <v>1</v>
      </c>
      <c r="Q2849" s="6">
        <f>0</f>
        <v>0</v>
      </c>
      <c r="S2849" s="6">
        <f>0</f>
        <v>0</v>
      </c>
      <c r="T2849" s="6">
        <f>1</f>
        <v>1</v>
      </c>
      <c r="U2849" s="5" t="s">
        <v>245</v>
      </c>
      <c r="V2849" s="4" t="s">
        <v>270</v>
      </c>
      <c r="W2849" s="4" t="s">
        <v>271</v>
      </c>
      <c r="X2849" s="4" t="s">
        <v>273</v>
      </c>
      <c r="Y2849" s="4" t="s">
        <v>241</v>
      </c>
      <c r="AB2849" s="4" t="s">
        <v>241</v>
      </c>
      <c r="AD2849" s="5" t="s">
        <v>241</v>
      </c>
      <c r="AG2849" s="5" t="s">
        <v>246</v>
      </c>
      <c r="AH2849" s="4" t="s">
        <v>241</v>
      </c>
      <c r="AI2849" s="4" t="s">
        <v>247</v>
      </c>
      <c r="AJ2849" s="4" t="s">
        <v>248</v>
      </c>
      <c r="AZ2849" s="4" t="s">
        <v>249</v>
      </c>
      <c r="BA2849" s="4" t="s">
        <v>241</v>
      </c>
      <c r="BB2849" s="4" t="s">
        <v>250</v>
      </c>
      <c r="BC2849" s="4" t="s">
        <v>241</v>
      </c>
      <c r="BD2849" s="4" t="s">
        <v>252</v>
      </c>
      <c r="BE2849" s="4" t="s">
        <v>241</v>
      </c>
      <c r="BI2849" s="4" t="s">
        <v>253</v>
      </c>
      <c r="BJ2849" s="5" t="s">
        <v>246</v>
      </c>
      <c r="BK2849" s="4" t="s">
        <v>254</v>
      </c>
      <c r="BL2849" s="4" t="s">
        <v>255</v>
      </c>
      <c r="BM2849" s="4" t="s">
        <v>241</v>
      </c>
      <c r="BN2849" s="6">
        <f>0</f>
        <v>0</v>
      </c>
      <c r="BO2849" s="6">
        <f>0</f>
        <v>0</v>
      </c>
      <c r="BP2849" s="4" t="s">
        <v>256</v>
      </c>
      <c r="BQ2849" s="4" t="s">
        <v>257</v>
      </c>
      <c r="CE2849" s="4" t="s">
        <v>241</v>
      </c>
      <c r="CF2849" s="4" t="s">
        <v>241</v>
      </c>
      <c r="CJ2849" s="4" t="s">
        <v>276</v>
      </c>
      <c r="CK2849" s="4" t="s">
        <v>259</v>
      </c>
      <c r="CL2849" s="4" t="s">
        <v>241</v>
      </c>
      <c r="CO2849" s="5" t="s">
        <v>260</v>
      </c>
      <c r="CP2849" s="4" t="s">
        <v>241</v>
      </c>
      <c r="CQ2849" s="4" t="s">
        <v>261</v>
      </c>
      <c r="CR2849" s="4" t="s">
        <v>241</v>
      </c>
      <c r="CS2849" s="4" t="s">
        <v>241</v>
      </c>
      <c r="CT2849" s="4">
        <v>0</v>
      </c>
      <c r="CU2849" s="4" t="s">
        <v>262</v>
      </c>
      <c r="CV2849" s="4" t="s">
        <v>263</v>
      </c>
      <c r="CW2849" s="4" t="s">
        <v>263</v>
      </c>
      <c r="CX2849" s="4" t="s">
        <v>264</v>
      </c>
      <c r="DA2849" s="6">
        <f>1</f>
        <v>1</v>
      </c>
      <c r="DC2849" s="4" t="s">
        <v>325</v>
      </c>
      <c r="DD2849" s="4" t="s">
        <v>241</v>
      </c>
      <c r="DF2849" s="4" t="s">
        <v>325</v>
      </c>
      <c r="DG2849" s="6">
        <f>1372</f>
        <v>1372</v>
      </c>
      <c r="DI2849" s="4" t="s">
        <v>241</v>
      </c>
      <c r="DJ2849" s="4" t="s">
        <v>241</v>
      </c>
      <c r="DK2849" s="4" t="s">
        <v>241</v>
      </c>
      <c r="DL2849" s="4" t="s">
        <v>241</v>
      </c>
      <c r="DP2849" s="4" t="s">
        <v>241</v>
      </c>
      <c r="DQ2849" s="4" t="s">
        <v>241</v>
      </c>
      <c r="DR2849" s="4" t="s">
        <v>241</v>
      </c>
      <c r="DS2849" s="4" t="s">
        <v>241</v>
      </c>
      <c r="DV2849" s="4" t="s">
        <v>426</v>
      </c>
      <c r="DW2849" s="4" t="s">
        <v>484</v>
      </c>
      <c r="HO2849" s="4" t="s">
        <v>267</v>
      </c>
    </row>
    <row r="2850" spans="1:223" ht="19.5" customHeight="1" x14ac:dyDescent="0.4">
      <c r="A2850" s="4">
        <v>1</v>
      </c>
      <c r="B2850" s="4" t="s">
        <v>239</v>
      </c>
      <c r="C2850" s="4">
        <v>4553</v>
      </c>
      <c r="D2850" s="4">
        <v>1</v>
      </c>
      <c r="E2850" s="4">
        <v>1</v>
      </c>
      <c r="F2850" s="4" t="s">
        <v>268</v>
      </c>
      <c r="G2850" s="4" t="s">
        <v>241</v>
      </c>
      <c r="H2850" s="4" t="s">
        <v>241</v>
      </c>
      <c r="I2850" s="4" t="s">
        <v>424</v>
      </c>
      <c r="J2850" s="4" t="s">
        <v>274</v>
      </c>
      <c r="K2850" s="4" t="s">
        <v>251</v>
      </c>
      <c r="L2850" s="4" t="s">
        <v>423</v>
      </c>
      <c r="M2850" s="5" t="s">
        <v>4167</v>
      </c>
      <c r="N2850" s="6">
        <f>2556</f>
        <v>2556</v>
      </c>
      <c r="O2850" s="4" t="s">
        <v>265</v>
      </c>
      <c r="P2850" s="6">
        <f>1</f>
        <v>1</v>
      </c>
      <c r="Q2850" s="6">
        <f>0</f>
        <v>0</v>
      </c>
      <c r="S2850" s="6">
        <f>0</f>
        <v>0</v>
      </c>
      <c r="T2850" s="6">
        <f>1</f>
        <v>1</v>
      </c>
      <c r="U2850" s="5" t="s">
        <v>245</v>
      </c>
      <c r="V2850" s="4" t="s">
        <v>270</v>
      </c>
      <c r="W2850" s="4" t="s">
        <v>271</v>
      </c>
      <c r="X2850" s="4" t="s">
        <v>273</v>
      </c>
      <c r="Y2850" s="4" t="s">
        <v>241</v>
      </c>
      <c r="AB2850" s="4" t="s">
        <v>241</v>
      </c>
      <c r="AD2850" s="5" t="s">
        <v>241</v>
      </c>
      <c r="AG2850" s="5" t="s">
        <v>246</v>
      </c>
      <c r="AH2850" s="4" t="s">
        <v>241</v>
      </c>
      <c r="AI2850" s="4" t="s">
        <v>247</v>
      </c>
      <c r="AJ2850" s="4" t="s">
        <v>248</v>
      </c>
      <c r="AZ2850" s="4" t="s">
        <v>249</v>
      </c>
      <c r="BA2850" s="4" t="s">
        <v>241</v>
      </c>
      <c r="BB2850" s="4" t="s">
        <v>250</v>
      </c>
      <c r="BC2850" s="4" t="s">
        <v>241</v>
      </c>
      <c r="BD2850" s="4" t="s">
        <v>252</v>
      </c>
      <c r="BE2850" s="4" t="s">
        <v>241</v>
      </c>
      <c r="BI2850" s="4" t="s">
        <v>253</v>
      </c>
      <c r="BJ2850" s="5" t="s">
        <v>246</v>
      </c>
      <c r="BK2850" s="4" t="s">
        <v>254</v>
      </c>
      <c r="BL2850" s="4" t="s">
        <v>255</v>
      </c>
      <c r="BM2850" s="4" t="s">
        <v>241</v>
      </c>
      <c r="BN2850" s="6">
        <f>0</f>
        <v>0</v>
      </c>
      <c r="BO2850" s="6">
        <f>0</f>
        <v>0</v>
      </c>
      <c r="BP2850" s="4" t="s">
        <v>256</v>
      </c>
      <c r="BQ2850" s="4" t="s">
        <v>257</v>
      </c>
      <c r="CE2850" s="4" t="s">
        <v>241</v>
      </c>
      <c r="CF2850" s="4" t="s">
        <v>241</v>
      </c>
      <c r="CJ2850" s="4" t="s">
        <v>276</v>
      </c>
      <c r="CK2850" s="4" t="s">
        <v>259</v>
      </c>
      <c r="CL2850" s="4" t="s">
        <v>241</v>
      </c>
      <c r="CO2850" s="5" t="s">
        <v>260</v>
      </c>
      <c r="CP2850" s="4" t="s">
        <v>241</v>
      </c>
      <c r="CQ2850" s="4" t="s">
        <v>261</v>
      </c>
      <c r="CR2850" s="4" t="s">
        <v>241</v>
      </c>
      <c r="CS2850" s="4" t="s">
        <v>241</v>
      </c>
      <c r="CT2850" s="4">
        <v>0</v>
      </c>
      <c r="CU2850" s="4" t="s">
        <v>262</v>
      </c>
      <c r="CV2850" s="4" t="s">
        <v>263</v>
      </c>
      <c r="CW2850" s="4" t="s">
        <v>263</v>
      </c>
      <c r="CX2850" s="4" t="s">
        <v>264</v>
      </c>
      <c r="DA2850" s="6">
        <f>1</f>
        <v>1</v>
      </c>
      <c r="DC2850" s="4" t="s">
        <v>325</v>
      </c>
      <c r="DD2850" s="4" t="s">
        <v>241</v>
      </c>
      <c r="DF2850" s="4" t="s">
        <v>325</v>
      </c>
      <c r="DG2850" s="6">
        <f>2556</f>
        <v>2556</v>
      </c>
      <c r="DI2850" s="4" t="s">
        <v>241</v>
      </c>
      <c r="DJ2850" s="4" t="s">
        <v>241</v>
      </c>
      <c r="DK2850" s="4" t="s">
        <v>241</v>
      </c>
      <c r="DL2850" s="4" t="s">
        <v>241</v>
      </c>
      <c r="DP2850" s="4" t="s">
        <v>241</v>
      </c>
      <c r="DQ2850" s="4" t="s">
        <v>241</v>
      </c>
      <c r="DR2850" s="4" t="s">
        <v>241</v>
      </c>
      <c r="DS2850" s="4" t="s">
        <v>241</v>
      </c>
      <c r="DV2850" s="4" t="s">
        <v>426</v>
      </c>
      <c r="DW2850" s="4" t="s">
        <v>2190</v>
      </c>
      <c r="HO2850" s="4" t="s">
        <v>267</v>
      </c>
    </row>
    <row r="2851" spans="1:223" ht="19.5" customHeight="1" x14ac:dyDescent="0.4">
      <c r="A2851" s="4">
        <v>1</v>
      </c>
      <c r="B2851" s="4" t="s">
        <v>239</v>
      </c>
      <c r="C2851" s="4">
        <v>4554</v>
      </c>
      <c r="D2851" s="4">
        <v>1</v>
      </c>
      <c r="E2851" s="4">
        <v>1</v>
      </c>
      <c r="F2851" s="4" t="s">
        <v>268</v>
      </c>
      <c r="G2851" s="4" t="s">
        <v>241</v>
      </c>
      <c r="H2851" s="4" t="s">
        <v>241</v>
      </c>
      <c r="I2851" s="4" t="s">
        <v>424</v>
      </c>
      <c r="J2851" s="4" t="s">
        <v>274</v>
      </c>
      <c r="K2851" s="4" t="s">
        <v>251</v>
      </c>
      <c r="L2851" s="4" t="s">
        <v>423</v>
      </c>
      <c r="M2851" s="5" t="s">
        <v>4125</v>
      </c>
      <c r="N2851" s="6">
        <f>3399</f>
        <v>3399</v>
      </c>
      <c r="O2851" s="4" t="s">
        <v>265</v>
      </c>
      <c r="P2851" s="6">
        <f>1</f>
        <v>1</v>
      </c>
      <c r="Q2851" s="6">
        <f>0</f>
        <v>0</v>
      </c>
      <c r="S2851" s="6">
        <f>0</f>
        <v>0</v>
      </c>
      <c r="T2851" s="6">
        <f>1</f>
        <v>1</v>
      </c>
      <c r="U2851" s="5" t="s">
        <v>245</v>
      </c>
      <c r="V2851" s="4" t="s">
        <v>270</v>
      </c>
      <c r="W2851" s="4" t="s">
        <v>271</v>
      </c>
      <c r="X2851" s="4" t="s">
        <v>273</v>
      </c>
      <c r="Y2851" s="4" t="s">
        <v>241</v>
      </c>
      <c r="AB2851" s="4" t="s">
        <v>241</v>
      </c>
      <c r="AD2851" s="5" t="s">
        <v>241</v>
      </c>
      <c r="AG2851" s="5" t="s">
        <v>246</v>
      </c>
      <c r="AH2851" s="4" t="s">
        <v>241</v>
      </c>
      <c r="AI2851" s="4" t="s">
        <v>247</v>
      </c>
      <c r="AJ2851" s="4" t="s">
        <v>248</v>
      </c>
      <c r="AZ2851" s="4" t="s">
        <v>249</v>
      </c>
      <c r="BA2851" s="4" t="s">
        <v>241</v>
      </c>
      <c r="BB2851" s="4" t="s">
        <v>250</v>
      </c>
      <c r="BC2851" s="4" t="s">
        <v>241</v>
      </c>
      <c r="BD2851" s="4" t="s">
        <v>252</v>
      </c>
      <c r="BE2851" s="4" t="s">
        <v>241</v>
      </c>
      <c r="BI2851" s="4" t="s">
        <v>253</v>
      </c>
      <c r="BJ2851" s="5" t="s">
        <v>246</v>
      </c>
      <c r="BK2851" s="4" t="s">
        <v>254</v>
      </c>
      <c r="BL2851" s="4" t="s">
        <v>255</v>
      </c>
      <c r="BM2851" s="4" t="s">
        <v>241</v>
      </c>
      <c r="BN2851" s="6">
        <f>0</f>
        <v>0</v>
      </c>
      <c r="BO2851" s="6">
        <f>0</f>
        <v>0</v>
      </c>
      <c r="BP2851" s="4" t="s">
        <v>256</v>
      </c>
      <c r="BQ2851" s="4" t="s">
        <v>257</v>
      </c>
      <c r="CE2851" s="4" t="s">
        <v>241</v>
      </c>
      <c r="CF2851" s="4" t="s">
        <v>241</v>
      </c>
      <c r="CJ2851" s="4" t="s">
        <v>276</v>
      </c>
      <c r="CK2851" s="4" t="s">
        <v>259</v>
      </c>
      <c r="CL2851" s="4" t="s">
        <v>241</v>
      </c>
      <c r="CO2851" s="5" t="s">
        <v>260</v>
      </c>
      <c r="CP2851" s="4" t="s">
        <v>241</v>
      </c>
      <c r="CQ2851" s="4" t="s">
        <v>261</v>
      </c>
      <c r="CR2851" s="4" t="s">
        <v>241</v>
      </c>
      <c r="CS2851" s="4" t="s">
        <v>241</v>
      </c>
      <c r="CT2851" s="4">
        <v>0</v>
      </c>
      <c r="CU2851" s="4" t="s">
        <v>262</v>
      </c>
      <c r="CV2851" s="4" t="s">
        <v>263</v>
      </c>
      <c r="CW2851" s="4" t="s">
        <v>263</v>
      </c>
      <c r="CX2851" s="4" t="s">
        <v>264</v>
      </c>
      <c r="DA2851" s="6">
        <f>1</f>
        <v>1</v>
      </c>
      <c r="DC2851" s="4" t="s">
        <v>325</v>
      </c>
      <c r="DD2851" s="4" t="s">
        <v>241</v>
      </c>
      <c r="DF2851" s="4" t="s">
        <v>325</v>
      </c>
      <c r="DG2851" s="6">
        <f>3399</f>
        <v>3399</v>
      </c>
      <c r="DI2851" s="4" t="s">
        <v>241</v>
      </c>
      <c r="DJ2851" s="4" t="s">
        <v>241</v>
      </c>
      <c r="DK2851" s="4" t="s">
        <v>241</v>
      </c>
      <c r="DL2851" s="4" t="s">
        <v>241</v>
      </c>
      <c r="DP2851" s="4" t="s">
        <v>241</v>
      </c>
      <c r="DQ2851" s="4" t="s">
        <v>241</v>
      </c>
      <c r="DR2851" s="4" t="s">
        <v>241</v>
      </c>
      <c r="DS2851" s="4" t="s">
        <v>241</v>
      </c>
      <c r="DV2851" s="4" t="s">
        <v>426</v>
      </c>
      <c r="DW2851" s="4" t="s">
        <v>2188</v>
      </c>
      <c r="HO2851" s="4" t="s">
        <v>267</v>
      </c>
    </row>
    <row r="2852" spans="1:223" ht="19.5" customHeight="1" x14ac:dyDescent="0.4">
      <c r="A2852" s="4">
        <v>1</v>
      </c>
      <c r="B2852" s="4" t="s">
        <v>239</v>
      </c>
      <c r="C2852" s="4">
        <v>4555</v>
      </c>
      <c r="D2852" s="4">
        <v>1</v>
      </c>
      <c r="E2852" s="4">
        <v>1</v>
      </c>
      <c r="F2852" s="4" t="s">
        <v>268</v>
      </c>
      <c r="G2852" s="4" t="s">
        <v>241</v>
      </c>
      <c r="H2852" s="4" t="s">
        <v>241</v>
      </c>
      <c r="I2852" s="4" t="s">
        <v>424</v>
      </c>
      <c r="J2852" s="4" t="s">
        <v>274</v>
      </c>
      <c r="K2852" s="4" t="s">
        <v>251</v>
      </c>
      <c r="L2852" s="4" t="s">
        <v>423</v>
      </c>
      <c r="M2852" s="5" t="s">
        <v>4106</v>
      </c>
      <c r="N2852" s="6">
        <f>156</f>
        <v>156</v>
      </c>
      <c r="O2852" s="4" t="s">
        <v>265</v>
      </c>
      <c r="P2852" s="6">
        <f>1</f>
        <v>1</v>
      </c>
      <c r="Q2852" s="6">
        <f>0</f>
        <v>0</v>
      </c>
      <c r="S2852" s="6">
        <f>0</f>
        <v>0</v>
      </c>
      <c r="T2852" s="6">
        <f>1</f>
        <v>1</v>
      </c>
      <c r="U2852" s="5" t="s">
        <v>245</v>
      </c>
      <c r="V2852" s="4" t="s">
        <v>270</v>
      </c>
      <c r="W2852" s="4" t="s">
        <v>271</v>
      </c>
      <c r="X2852" s="4" t="s">
        <v>273</v>
      </c>
      <c r="Y2852" s="4" t="s">
        <v>241</v>
      </c>
      <c r="AB2852" s="4" t="s">
        <v>241</v>
      </c>
      <c r="AD2852" s="5" t="s">
        <v>241</v>
      </c>
      <c r="AG2852" s="5" t="s">
        <v>246</v>
      </c>
      <c r="AH2852" s="4" t="s">
        <v>241</v>
      </c>
      <c r="AI2852" s="4" t="s">
        <v>247</v>
      </c>
      <c r="AJ2852" s="4" t="s">
        <v>248</v>
      </c>
      <c r="AZ2852" s="4" t="s">
        <v>249</v>
      </c>
      <c r="BA2852" s="4" t="s">
        <v>241</v>
      </c>
      <c r="BB2852" s="4" t="s">
        <v>250</v>
      </c>
      <c r="BC2852" s="4" t="s">
        <v>241</v>
      </c>
      <c r="BD2852" s="4" t="s">
        <v>252</v>
      </c>
      <c r="BE2852" s="4" t="s">
        <v>241</v>
      </c>
      <c r="BI2852" s="4" t="s">
        <v>253</v>
      </c>
      <c r="BJ2852" s="5" t="s">
        <v>246</v>
      </c>
      <c r="BK2852" s="4" t="s">
        <v>254</v>
      </c>
      <c r="BL2852" s="4" t="s">
        <v>255</v>
      </c>
      <c r="BM2852" s="4" t="s">
        <v>241</v>
      </c>
      <c r="BN2852" s="6">
        <f>0</f>
        <v>0</v>
      </c>
      <c r="BO2852" s="6">
        <f>0</f>
        <v>0</v>
      </c>
      <c r="BP2852" s="4" t="s">
        <v>256</v>
      </c>
      <c r="BQ2852" s="4" t="s">
        <v>257</v>
      </c>
      <c r="CE2852" s="4" t="s">
        <v>241</v>
      </c>
      <c r="CF2852" s="4" t="s">
        <v>241</v>
      </c>
      <c r="CJ2852" s="4" t="s">
        <v>276</v>
      </c>
      <c r="CK2852" s="4" t="s">
        <v>259</v>
      </c>
      <c r="CL2852" s="4" t="s">
        <v>241</v>
      </c>
      <c r="CO2852" s="5" t="s">
        <v>260</v>
      </c>
      <c r="CP2852" s="4" t="s">
        <v>241</v>
      </c>
      <c r="CQ2852" s="4" t="s">
        <v>261</v>
      </c>
      <c r="CR2852" s="4" t="s">
        <v>241</v>
      </c>
      <c r="CS2852" s="4" t="s">
        <v>241</v>
      </c>
      <c r="CT2852" s="4">
        <v>0</v>
      </c>
      <c r="CU2852" s="4" t="s">
        <v>262</v>
      </c>
      <c r="CV2852" s="4" t="s">
        <v>263</v>
      </c>
      <c r="CW2852" s="4" t="s">
        <v>263</v>
      </c>
      <c r="CX2852" s="4" t="s">
        <v>264</v>
      </c>
      <c r="DA2852" s="6">
        <f>1</f>
        <v>1</v>
      </c>
      <c r="DC2852" s="4" t="s">
        <v>325</v>
      </c>
      <c r="DD2852" s="4" t="s">
        <v>241</v>
      </c>
      <c r="DF2852" s="4" t="s">
        <v>325</v>
      </c>
      <c r="DG2852" s="6">
        <f>156</f>
        <v>156</v>
      </c>
      <c r="DI2852" s="4" t="s">
        <v>241</v>
      </c>
      <c r="DJ2852" s="4" t="s">
        <v>241</v>
      </c>
      <c r="DK2852" s="4" t="s">
        <v>241</v>
      </c>
      <c r="DL2852" s="4" t="s">
        <v>241</v>
      </c>
      <c r="DP2852" s="4" t="s">
        <v>241</v>
      </c>
      <c r="DQ2852" s="4" t="s">
        <v>241</v>
      </c>
      <c r="DR2852" s="4" t="s">
        <v>241</v>
      </c>
      <c r="DS2852" s="4" t="s">
        <v>241</v>
      </c>
      <c r="DV2852" s="4" t="s">
        <v>426</v>
      </c>
      <c r="DW2852" s="4" t="s">
        <v>2186</v>
      </c>
      <c r="HO2852" s="4" t="s">
        <v>267</v>
      </c>
    </row>
    <row r="2853" spans="1:223" ht="19.5" customHeight="1" x14ac:dyDescent="0.4">
      <c r="A2853" s="4">
        <v>1</v>
      </c>
      <c r="B2853" s="4" t="s">
        <v>239</v>
      </c>
      <c r="C2853" s="4">
        <v>4556</v>
      </c>
      <c r="D2853" s="4">
        <v>1</v>
      </c>
      <c r="E2853" s="4">
        <v>1</v>
      </c>
      <c r="F2853" s="4" t="s">
        <v>268</v>
      </c>
      <c r="G2853" s="4" t="s">
        <v>241</v>
      </c>
      <c r="H2853" s="4" t="s">
        <v>241</v>
      </c>
      <c r="I2853" s="4" t="s">
        <v>424</v>
      </c>
      <c r="J2853" s="4" t="s">
        <v>274</v>
      </c>
      <c r="K2853" s="4" t="s">
        <v>251</v>
      </c>
      <c r="L2853" s="4" t="s">
        <v>423</v>
      </c>
      <c r="M2853" s="5" t="s">
        <v>4076</v>
      </c>
      <c r="N2853" s="6">
        <f>174</f>
        <v>174</v>
      </c>
      <c r="O2853" s="4" t="s">
        <v>265</v>
      </c>
      <c r="P2853" s="6">
        <f>1</f>
        <v>1</v>
      </c>
      <c r="Q2853" s="6">
        <f>0</f>
        <v>0</v>
      </c>
      <c r="S2853" s="6">
        <f>0</f>
        <v>0</v>
      </c>
      <c r="T2853" s="6">
        <f>1</f>
        <v>1</v>
      </c>
      <c r="U2853" s="5" t="s">
        <v>245</v>
      </c>
      <c r="V2853" s="4" t="s">
        <v>270</v>
      </c>
      <c r="W2853" s="4" t="s">
        <v>271</v>
      </c>
      <c r="X2853" s="4" t="s">
        <v>273</v>
      </c>
      <c r="Y2853" s="4" t="s">
        <v>241</v>
      </c>
      <c r="AB2853" s="4" t="s">
        <v>241</v>
      </c>
      <c r="AD2853" s="5" t="s">
        <v>241</v>
      </c>
      <c r="AG2853" s="5" t="s">
        <v>246</v>
      </c>
      <c r="AH2853" s="4" t="s">
        <v>241</v>
      </c>
      <c r="AI2853" s="4" t="s">
        <v>247</v>
      </c>
      <c r="AJ2853" s="4" t="s">
        <v>248</v>
      </c>
      <c r="AZ2853" s="4" t="s">
        <v>249</v>
      </c>
      <c r="BA2853" s="4" t="s">
        <v>241</v>
      </c>
      <c r="BB2853" s="4" t="s">
        <v>250</v>
      </c>
      <c r="BC2853" s="4" t="s">
        <v>241</v>
      </c>
      <c r="BD2853" s="4" t="s">
        <v>252</v>
      </c>
      <c r="BE2853" s="4" t="s">
        <v>241</v>
      </c>
      <c r="BI2853" s="4" t="s">
        <v>253</v>
      </c>
      <c r="BJ2853" s="5" t="s">
        <v>246</v>
      </c>
      <c r="BK2853" s="4" t="s">
        <v>254</v>
      </c>
      <c r="BL2853" s="4" t="s">
        <v>255</v>
      </c>
      <c r="BM2853" s="4" t="s">
        <v>241</v>
      </c>
      <c r="BN2853" s="6">
        <f>0</f>
        <v>0</v>
      </c>
      <c r="BO2853" s="6">
        <f>0</f>
        <v>0</v>
      </c>
      <c r="BP2853" s="4" t="s">
        <v>256</v>
      </c>
      <c r="BQ2853" s="4" t="s">
        <v>257</v>
      </c>
      <c r="CE2853" s="4" t="s">
        <v>241</v>
      </c>
      <c r="CF2853" s="4" t="s">
        <v>241</v>
      </c>
      <c r="CJ2853" s="4" t="s">
        <v>276</v>
      </c>
      <c r="CK2853" s="4" t="s">
        <v>259</v>
      </c>
      <c r="CL2853" s="4" t="s">
        <v>241</v>
      </c>
      <c r="CO2853" s="5" t="s">
        <v>260</v>
      </c>
      <c r="CP2853" s="4" t="s">
        <v>241</v>
      </c>
      <c r="CQ2853" s="4" t="s">
        <v>261</v>
      </c>
      <c r="CR2853" s="4" t="s">
        <v>241</v>
      </c>
      <c r="CS2853" s="4" t="s">
        <v>241</v>
      </c>
      <c r="CT2853" s="4">
        <v>0</v>
      </c>
      <c r="CU2853" s="4" t="s">
        <v>262</v>
      </c>
      <c r="CV2853" s="4" t="s">
        <v>263</v>
      </c>
      <c r="CW2853" s="4" t="s">
        <v>263</v>
      </c>
      <c r="CX2853" s="4" t="s">
        <v>264</v>
      </c>
      <c r="DA2853" s="6">
        <f>1</f>
        <v>1</v>
      </c>
      <c r="DC2853" s="4" t="s">
        <v>325</v>
      </c>
      <c r="DD2853" s="4" t="s">
        <v>241</v>
      </c>
      <c r="DF2853" s="4" t="s">
        <v>325</v>
      </c>
      <c r="DG2853" s="6">
        <f>174</f>
        <v>174</v>
      </c>
      <c r="DI2853" s="4" t="s">
        <v>241</v>
      </c>
      <c r="DJ2853" s="4" t="s">
        <v>241</v>
      </c>
      <c r="DK2853" s="4" t="s">
        <v>241</v>
      </c>
      <c r="DL2853" s="4" t="s">
        <v>241</v>
      </c>
      <c r="DP2853" s="4" t="s">
        <v>241</v>
      </c>
      <c r="DQ2853" s="4" t="s">
        <v>241</v>
      </c>
      <c r="DR2853" s="4" t="s">
        <v>241</v>
      </c>
      <c r="DS2853" s="4" t="s">
        <v>241</v>
      </c>
      <c r="DV2853" s="4" t="s">
        <v>426</v>
      </c>
      <c r="DW2853" s="4" t="s">
        <v>2184</v>
      </c>
      <c r="HO2853" s="4" t="s">
        <v>267</v>
      </c>
    </row>
    <row r="2854" spans="1:223" ht="19.5" customHeight="1" x14ac:dyDescent="0.4">
      <c r="A2854" s="4">
        <v>1</v>
      </c>
      <c r="B2854" s="4" t="s">
        <v>239</v>
      </c>
      <c r="C2854" s="4">
        <v>4557</v>
      </c>
      <c r="D2854" s="4">
        <v>1</v>
      </c>
      <c r="E2854" s="4">
        <v>1</v>
      </c>
      <c r="F2854" s="4" t="s">
        <v>268</v>
      </c>
      <c r="G2854" s="4" t="s">
        <v>241</v>
      </c>
      <c r="H2854" s="4" t="s">
        <v>241</v>
      </c>
      <c r="I2854" s="4" t="s">
        <v>424</v>
      </c>
      <c r="J2854" s="4" t="s">
        <v>274</v>
      </c>
      <c r="K2854" s="4" t="s">
        <v>251</v>
      </c>
      <c r="L2854" s="4" t="s">
        <v>423</v>
      </c>
      <c r="M2854" s="5" t="s">
        <v>4030</v>
      </c>
      <c r="N2854" s="6">
        <f>187</f>
        <v>187</v>
      </c>
      <c r="O2854" s="4" t="s">
        <v>265</v>
      </c>
      <c r="P2854" s="6">
        <f>1</f>
        <v>1</v>
      </c>
      <c r="Q2854" s="6">
        <f>0</f>
        <v>0</v>
      </c>
      <c r="S2854" s="6">
        <f>0</f>
        <v>0</v>
      </c>
      <c r="T2854" s="6">
        <f>1</f>
        <v>1</v>
      </c>
      <c r="U2854" s="5" t="s">
        <v>245</v>
      </c>
      <c r="V2854" s="4" t="s">
        <v>270</v>
      </c>
      <c r="W2854" s="4" t="s">
        <v>271</v>
      </c>
      <c r="X2854" s="4" t="s">
        <v>273</v>
      </c>
      <c r="Y2854" s="4" t="s">
        <v>241</v>
      </c>
      <c r="AB2854" s="4" t="s">
        <v>241</v>
      </c>
      <c r="AD2854" s="5" t="s">
        <v>241</v>
      </c>
      <c r="AG2854" s="5" t="s">
        <v>246</v>
      </c>
      <c r="AH2854" s="4" t="s">
        <v>241</v>
      </c>
      <c r="AI2854" s="4" t="s">
        <v>247</v>
      </c>
      <c r="AJ2854" s="4" t="s">
        <v>248</v>
      </c>
      <c r="AZ2854" s="4" t="s">
        <v>249</v>
      </c>
      <c r="BA2854" s="4" t="s">
        <v>241</v>
      </c>
      <c r="BB2854" s="4" t="s">
        <v>250</v>
      </c>
      <c r="BC2854" s="4" t="s">
        <v>241</v>
      </c>
      <c r="BD2854" s="4" t="s">
        <v>252</v>
      </c>
      <c r="BE2854" s="4" t="s">
        <v>241</v>
      </c>
      <c r="BI2854" s="4" t="s">
        <v>253</v>
      </c>
      <c r="BJ2854" s="5" t="s">
        <v>246</v>
      </c>
      <c r="BK2854" s="4" t="s">
        <v>254</v>
      </c>
      <c r="BL2854" s="4" t="s">
        <v>255</v>
      </c>
      <c r="BM2854" s="4" t="s">
        <v>241</v>
      </c>
      <c r="BN2854" s="6">
        <f>0</f>
        <v>0</v>
      </c>
      <c r="BO2854" s="6">
        <f>0</f>
        <v>0</v>
      </c>
      <c r="BP2854" s="4" t="s">
        <v>256</v>
      </c>
      <c r="BQ2854" s="4" t="s">
        <v>257</v>
      </c>
      <c r="CE2854" s="4" t="s">
        <v>241</v>
      </c>
      <c r="CF2854" s="4" t="s">
        <v>241</v>
      </c>
      <c r="CJ2854" s="4" t="s">
        <v>276</v>
      </c>
      <c r="CK2854" s="4" t="s">
        <v>259</v>
      </c>
      <c r="CL2854" s="4" t="s">
        <v>241</v>
      </c>
      <c r="CO2854" s="5" t="s">
        <v>260</v>
      </c>
      <c r="CP2854" s="4" t="s">
        <v>241</v>
      </c>
      <c r="CQ2854" s="4" t="s">
        <v>261</v>
      </c>
      <c r="CR2854" s="4" t="s">
        <v>241</v>
      </c>
      <c r="CS2854" s="4" t="s">
        <v>241</v>
      </c>
      <c r="CT2854" s="4">
        <v>0</v>
      </c>
      <c r="CU2854" s="4" t="s">
        <v>262</v>
      </c>
      <c r="CV2854" s="4" t="s">
        <v>263</v>
      </c>
      <c r="CW2854" s="4" t="s">
        <v>263</v>
      </c>
      <c r="CX2854" s="4" t="s">
        <v>264</v>
      </c>
      <c r="DA2854" s="6">
        <f>1</f>
        <v>1</v>
      </c>
      <c r="DC2854" s="4" t="s">
        <v>325</v>
      </c>
      <c r="DD2854" s="4" t="s">
        <v>241</v>
      </c>
      <c r="DF2854" s="4" t="s">
        <v>325</v>
      </c>
      <c r="DG2854" s="6">
        <f>187</f>
        <v>187</v>
      </c>
      <c r="DI2854" s="4" t="s">
        <v>241</v>
      </c>
      <c r="DJ2854" s="4" t="s">
        <v>241</v>
      </c>
      <c r="DK2854" s="4" t="s">
        <v>241</v>
      </c>
      <c r="DL2854" s="4" t="s">
        <v>241</v>
      </c>
      <c r="DP2854" s="4" t="s">
        <v>241</v>
      </c>
      <c r="DQ2854" s="4" t="s">
        <v>241</v>
      </c>
      <c r="DR2854" s="4" t="s">
        <v>241</v>
      </c>
      <c r="DS2854" s="4" t="s">
        <v>241</v>
      </c>
      <c r="DV2854" s="4" t="s">
        <v>426</v>
      </c>
      <c r="DW2854" s="4" t="s">
        <v>2182</v>
      </c>
      <c r="HO2854" s="4" t="s">
        <v>267</v>
      </c>
    </row>
    <row r="2855" spans="1:223" ht="19.5" customHeight="1" x14ac:dyDescent="0.4">
      <c r="A2855" s="4">
        <v>1</v>
      </c>
      <c r="B2855" s="4" t="s">
        <v>239</v>
      </c>
      <c r="C2855" s="4">
        <v>4558</v>
      </c>
      <c r="D2855" s="4">
        <v>1</v>
      </c>
      <c r="E2855" s="4">
        <v>1</v>
      </c>
      <c r="F2855" s="4" t="s">
        <v>268</v>
      </c>
      <c r="G2855" s="4" t="s">
        <v>241</v>
      </c>
      <c r="H2855" s="4" t="s">
        <v>241</v>
      </c>
      <c r="I2855" s="4" t="s">
        <v>424</v>
      </c>
      <c r="J2855" s="4" t="s">
        <v>274</v>
      </c>
      <c r="K2855" s="4" t="s">
        <v>251</v>
      </c>
      <c r="L2855" s="4" t="s">
        <v>423</v>
      </c>
      <c r="M2855" s="5" t="s">
        <v>3997</v>
      </c>
      <c r="N2855" s="6">
        <f>258</f>
        <v>258</v>
      </c>
      <c r="O2855" s="4" t="s">
        <v>265</v>
      </c>
      <c r="P2855" s="6">
        <f>1</f>
        <v>1</v>
      </c>
      <c r="Q2855" s="6">
        <f>0</f>
        <v>0</v>
      </c>
      <c r="S2855" s="6">
        <f>0</f>
        <v>0</v>
      </c>
      <c r="T2855" s="6">
        <f>1</f>
        <v>1</v>
      </c>
      <c r="U2855" s="5" t="s">
        <v>245</v>
      </c>
      <c r="V2855" s="4" t="s">
        <v>270</v>
      </c>
      <c r="W2855" s="4" t="s">
        <v>271</v>
      </c>
      <c r="X2855" s="4" t="s">
        <v>273</v>
      </c>
      <c r="Y2855" s="4" t="s">
        <v>241</v>
      </c>
      <c r="AB2855" s="4" t="s">
        <v>241</v>
      </c>
      <c r="AD2855" s="5" t="s">
        <v>241</v>
      </c>
      <c r="AG2855" s="5" t="s">
        <v>246</v>
      </c>
      <c r="AH2855" s="4" t="s">
        <v>241</v>
      </c>
      <c r="AI2855" s="4" t="s">
        <v>247</v>
      </c>
      <c r="AJ2855" s="4" t="s">
        <v>248</v>
      </c>
      <c r="AZ2855" s="4" t="s">
        <v>249</v>
      </c>
      <c r="BA2855" s="4" t="s">
        <v>241</v>
      </c>
      <c r="BB2855" s="4" t="s">
        <v>250</v>
      </c>
      <c r="BC2855" s="4" t="s">
        <v>241</v>
      </c>
      <c r="BD2855" s="4" t="s">
        <v>252</v>
      </c>
      <c r="BE2855" s="4" t="s">
        <v>241</v>
      </c>
      <c r="BI2855" s="4" t="s">
        <v>253</v>
      </c>
      <c r="BJ2855" s="5" t="s">
        <v>246</v>
      </c>
      <c r="BK2855" s="4" t="s">
        <v>254</v>
      </c>
      <c r="BL2855" s="4" t="s">
        <v>255</v>
      </c>
      <c r="BM2855" s="4" t="s">
        <v>241</v>
      </c>
      <c r="BN2855" s="6">
        <f>0</f>
        <v>0</v>
      </c>
      <c r="BO2855" s="6">
        <f>0</f>
        <v>0</v>
      </c>
      <c r="BP2855" s="4" t="s">
        <v>256</v>
      </c>
      <c r="BQ2855" s="4" t="s">
        <v>257</v>
      </c>
      <c r="CE2855" s="4" t="s">
        <v>241</v>
      </c>
      <c r="CF2855" s="4" t="s">
        <v>241</v>
      </c>
      <c r="CJ2855" s="4" t="s">
        <v>276</v>
      </c>
      <c r="CK2855" s="4" t="s">
        <v>259</v>
      </c>
      <c r="CL2855" s="4" t="s">
        <v>241</v>
      </c>
      <c r="CO2855" s="5" t="s">
        <v>260</v>
      </c>
      <c r="CP2855" s="4" t="s">
        <v>241</v>
      </c>
      <c r="CQ2855" s="4" t="s">
        <v>261</v>
      </c>
      <c r="CR2855" s="4" t="s">
        <v>241</v>
      </c>
      <c r="CS2855" s="4" t="s">
        <v>241</v>
      </c>
      <c r="CT2855" s="4">
        <v>0</v>
      </c>
      <c r="CU2855" s="4" t="s">
        <v>262</v>
      </c>
      <c r="CV2855" s="4" t="s">
        <v>263</v>
      </c>
      <c r="CW2855" s="4" t="s">
        <v>263</v>
      </c>
      <c r="CX2855" s="4" t="s">
        <v>264</v>
      </c>
      <c r="DA2855" s="6">
        <f>1</f>
        <v>1</v>
      </c>
      <c r="DC2855" s="4" t="s">
        <v>325</v>
      </c>
      <c r="DD2855" s="4" t="s">
        <v>241</v>
      </c>
      <c r="DF2855" s="4" t="s">
        <v>325</v>
      </c>
      <c r="DG2855" s="6">
        <f>258</f>
        <v>258</v>
      </c>
      <c r="DI2855" s="4" t="s">
        <v>241</v>
      </c>
      <c r="DJ2855" s="4" t="s">
        <v>241</v>
      </c>
      <c r="DK2855" s="4" t="s">
        <v>241</v>
      </c>
      <c r="DL2855" s="4" t="s">
        <v>241</v>
      </c>
      <c r="DP2855" s="4" t="s">
        <v>241</v>
      </c>
      <c r="DQ2855" s="4" t="s">
        <v>241</v>
      </c>
      <c r="DR2855" s="4" t="s">
        <v>241</v>
      </c>
      <c r="DS2855" s="4" t="s">
        <v>241</v>
      </c>
      <c r="DV2855" s="4" t="s">
        <v>426</v>
      </c>
      <c r="DW2855" s="4" t="s">
        <v>2180</v>
      </c>
      <c r="HO2855" s="4" t="s">
        <v>267</v>
      </c>
    </row>
    <row r="2856" spans="1:223" ht="19.5" customHeight="1" x14ac:dyDescent="0.4">
      <c r="A2856" s="4">
        <v>1</v>
      </c>
      <c r="B2856" s="4" t="s">
        <v>239</v>
      </c>
      <c r="C2856" s="4">
        <v>4559</v>
      </c>
      <c r="D2856" s="4">
        <v>1</v>
      </c>
      <c r="E2856" s="4">
        <v>1</v>
      </c>
      <c r="F2856" s="4" t="s">
        <v>268</v>
      </c>
      <c r="G2856" s="4" t="s">
        <v>241</v>
      </c>
      <c r="H2856" s="4" t="s">
        <v>241</v>
      </c>
      <c r="I2856" s="4" t="s">
        <v>424</v>
      </c>
      <c r="J2856" s="4" t="s">
        <v>274</v>
      </c>
      <c r="K2856" s="4" t="s">
        <v>251</v>
      </c>
      <c r="L2856" s="4" t="s">
        <v>423</v>
      </c>
      <c r="M2856" s="5" t="s">
        <v>3975</v>
      </c>
      <c r="N2856" s="6">
        <f>2644</f>
        <v>2644</v>
      </c>
      <c r="O2856" s="4" t="s">
        <v>265</v>
      </c>
      <c r="P2856" s="6">
        <f>1</f>
        <v>1</v>
      </c>
      <c r="Q2856" s="6">
        <f>0</f>
        <v>0</v>
      </c>
      <c r="S2856" s="6">
        <f>0</f>
        <v>0</v>
      </c>
      <c r="T2856" s="6">
        <f>1</f>
        <v>1</v>
      </c>
      <c r="U2856" s="5" t="s">
        <v>245</v>
      </c>
      <c r="V2856" s="4" t="s">
        <v>270</v>
      </c>
      <c r="W2856" s="4" t="s">
        <v>271</v>
      </c>
      <c r="X2856" s="4" t="s">
        <v>273</v>
      </c>
      <c r="Y2856" s="4" t="s">
        <v>241</v>
      </c>
      <c r="AB2856" s="4" t="s">
        <v>241</v>
      </c>
      <c r="AD2856" s="5" t="s">
        <v>241</v>
      </c>
      <c r="AG2856" s="5" t="s">
        <v>246</v>
      </c>
      <c r="AH2856" s="4" t="s">
        <v>241</v>
      </c>
      <c r="AI2856" s="4" t="s">
        <v>247</v>
      </c>
      <c r="AJ2856" s="4" t="s">
        <v>248</v>
      </c>
      <c r="AZ2856" s="4" t="s">
        <v>249</v>
      </c>
      <c r="BA2856" s="4" t="s">
        <v>241</v>
      </c>
      <c r="BB2856" s="4" t="s">
        <v>250</v>
      </c>
      <c r="BC2856" s="4" t="s">
        <v>241</v>
      </c>
      <c r="BD2856" s="4" t="s">
        <v>252</v>
      </c>
      <c r="BE2856" s="4" t="s">
        <v>241</v>
      </c>
      <c r="BI2856" s="4" t="s">
        <v>253</v>
      </c>
      <c r="BJ2856" s="5" t="s">
        <v>246</v>
      </c>
      <c r="BK2856" s="4" t="s">
        <v>254</v>
      </c>
      <c r="BL2856" s="4" t="s">
        <v>255</v>
      </c>
      <c r="BM2856" s="4" t="s">
        <v>241</v>
      </c>
      <c r="BN2856" s="6">
        <f>0</f>
        <v>0</v>
      </c>
      <c r="BO2856" s="6">
        <f>0</f>
        <v>0</v>
      </c>
      <c r="BP2856" s="4" t="s">
        <v>256</v>
      </c>
      <c r="BQ2856" s="4" t="s">
        <v>257</v>
      </c>
      <c r="CE2856" s="4" t="s">
        <v>241</v>
      </c>
      <c r="CF2856" s="4" t="s">
        <v>241</v>
      </c>
      <c r="CJ2856" s="4" t="s">
        <v>276</v>
      </c>
      <c r="CK2856" s="4" t="s">
        <v>259</v>
      </c>
      <c r="CL2856" s="4" t="s">
        <v>241</v>
      </c>
      <c r="CO2856" s="5" t="s">
        <v>260</v>
      </c>
      <c r="CP2856" s="4" t="s">
        <v>241</v>
      </c>
      <c r="CQ2856" s="4" t="s">
        <v>261</v>
      </c>
      <c r="CR2856" s="4" t="s">
        <v>241</v>
      </c>
      <c r="CS2856" s="4" t="s">
        <v>241</v>
      </c>
      <c r="CT2856" s="4">
        <v>0</v>
      </c>
      <c r="CU2856" s="4" t="s">
        <v>262</v>
      </c>
      <c r="CV2856" s="4" t="s">
        <v>263</v>
      </c>
      <c r="CW2856" s="4" t="s">
        <v>263</v>
      </c>
      <c r="CX2856" s="4" t="s">
        <v>264</v>
      </c>
      <c r="DA2856" s="6">
        <f>1</f>
        <v>1</v>
      </c>
      <c r="DC2856" s="4" t="s">
        <v>325</v>
      </c>
      <c r="DD2856" s="4" t="s">
        <v>241</v>
      </c>
      <c r="DF2856" s="4" t="s">
        <v>325</v>
      </c>
      <c r="DG2856" s="6">
        <f>2644</f>
        <v>2644</v>
      </c>
      <c r="DI2856" s="4" t="s">
        <v>241</v>
      </c>
      <c r="DJ2856" s="4" t="s">
        <v>241</v>
      </c>
      <c r="DK2856" s="4" t="s">
        <v>241</v>
      </c>
      <c r="DL2856" s="4" t="s">
        <v>241</v>
      </c>
      <c r="DP2856" s="4" t="s">
        <v>241</v>
      </c>
      <c r="DQ2856" s="4" t="s">
        <v>241</v>
      </c>
      <c r="DR2856" s="4" t="s">
        <v>241</v>
      </c>
      <c r="DS2856" s="4" t="s">
        <v>241</v>
      </c>
      <c r="DV2856" s="4" t="s">
        <v>426</v>
      </c>
      <c r="DW2856" s="4" t="s">
        <v>2178</v>
      </c>
      <c r="HO2856" s="4" t="s">
        <v>267</v>
      </c>
    </row>
    <row r="2857" spans="1:223" ht="19.5" customHeight="1" x14ac:dyDescent="0.4">
      <c r="A2857" s="4">
        <v>1</v>
      </c>
      <c r="B2857" s="4" t="s">
        <v>239</v>
      </c>
      <c r="C2857" s="4">
        <v>4560</v>
      </c>
      <c r="D2857" s="4">
        <v>1</v>
      </c>
      <c r="E2857" s="4">
        <v>1</v>
      </c>
      <c r="F2857" s="4" t="s">
        <v>268</v>
      </c>
      <c r="G2857" s="4" t="s">
        <v>241</v>
      </c>
      <c r="H2857" s="4" t="s">
        <v>241</v>
      </c>
      <c r="I2857" s="4" t="s">
        <v>424</v>
      </c>
      <c r="J2857" s="4" t="s">
        <v>274</v>
      </c>
      <c r="K2857" s="4" t="s">
        <v>251</v>
      </c>
      <c r="L2857" s="4" t="s">
        <v>423</v>
      </c>
      <c r="M2857" s="5" t="s">
        <v>3955</v>
      </c>
      <c r="N2857" s="6">
        <f>3163</f>
        <v>3163</v>
      </c>
      <c r="O2857" s="4" t="s">
        <v>265</v>
      </c>
      <c r="P2857" s="6">
        <f>1</f>
        <v>1</v>
      </c>
      <c r="Q2857" s="6">
        <f>0</f>
        <v>0</v>
      </c>
      <c r="S2857" s="6">
        <f>0</f>
        <v>0</v>
      </c>
      <c r="T2857" s="6">
        <f>1</f>
        <v>1</v>
      </c>
      <c r="U2857" s="5" t="s">
        <v>245</v>
      </c>
      <c r="V2857" s="4" t="s">
        <v>270</v>
      </c>
      <c r="W2857" s="4" t="s">
        <v>271</v>
      </c>
      <c r="X2857" s="4" t="s">
        <v>273</v>
      </c>
      <c r="Y2857" s="4" t="s">
        <v>241</v>
      </c>
      <c r="AB2857" s="4" t="s">
        <v>241</v>
      </c>
      <c r="AD2857" s="5" t="s">
        <v>241</v>
      </c>
      <c r="AG2857" s="5" t="s">
        <v>246</v>
      </c>
      <c r="AH2857" s="4" t="s">
        <v>241</v>
      </c>
      <c r="AI2857" s="4" t="s">
        <v>247</v>
      </c>
      <c r="AJ2857" s="4" t="s">
        <v>248</v>
      </c>
      <c r="AZ2857" s="4" t="s">
        <v>249</v>
      </c>
      <c r="BA2857" s="4" t="s">
        <v>241</v>
      </c>
      <c r="BB2857" s="4" t="s">
        <v>250</v>
      </c>
      <c r="BC2857" s="4" t="s">
        <v>241</v>
      </c>
      <c r="BD2857" s="4" t="s">
        <v>252</v>
      </c>
      <c r="BE2857" s="4" t="s">
        <v>241</v>
      </c>
      <c r="BI2857" s="4" t="s">
        <v>253</v>
      </c>
      <c r="BJ2857" s="5" t="s">
        <v>246</v>
      </c>
      <c r="BK2857" s="4" t="s">
        <v>254</v>
      </c>
      <c r="BL2857" s="4" t="s">
        <v>255</v>
      </c>
      <c r="BM2857" s="4" t="s">
        <v>241</v>
      </c>
      <c r="BN2857" s="6">
        <f>0</f>
        <v>0</v>
      </c>
      <c r="BO2857" s="6">
        <f>0</f>
        <v>0</v>
      </c>
      <c r="BP2857" s="4" t="s">
        <v>256</v>
      </c>
      <c r="BQ2857" s="4" t="s">
        <v>257</v>
      </c>
      <c r="CE2857" s="4" t="s">
        <v>241</v>
      </c>
      <c r="CF2857" s="4" t="s">
        <v>241</v>
      </c>
      <c r="CJ2857" s="4" t="s">
        <v>276</v>
      </c>
      <c r="CK2857" s="4" t="s">
        <v>259</v>
      </c>
      <c r="CL2857" s="4" t="s">
        <v>241</v>
      </c>
      <c r="CO2857" s="5" t="s">
        <v>260</v>
      </c>
      <c r="CP2857" s="4" t="s">
        <v>241</v>
      </c>
      <c r="CQ2857" s="4" t="s">
        <v>261</v>
      </c>
      <c r="CR2857" s="4" t="s">
        <v>241</v>
      </c>
      <c r="CS2857" s="4" t="s">
        <v>241</v>
      </c>
      <c r="CT2857" s="4">
        <v>0</v>
      </c>
      <c r="CU2857" s="4" t="s">
        <v>262</v>
      </c>
      <c r="CV2857" s="4" t="s">
        <v>263</v>
      </c>
      <c r="CW2857" s="4" t="s">
        <v>263</v>
      </c>
      <c r="CX2857" s="4" t="s">
        <v>264</v>
      </c>
      <c r="DA2857" s="6">
        <f>1</f>
        <v>1</v>
      </c>
      <c r="DC2857" s="4" t="s">
        <v>325</v>
      </c>
      <c r="DD2857" s="4" t="s">
        <v>241</v>
      </c>
      <c r="DF2857" s="4" t="s">
        <v>325</v>
      </c>
      <c r="DG2857" s="6">
        <f>3163</f>
        <v>3163</v>
      </c>
      <c r="DI2857" s="4" t="s">
        <v>241</v>
      </c>
      <c r="DJ2857" s="4" t="s">
        <v>241</v>
      </c>
      <c r="DK2857" s="4" t="s">
        <v>241</v>
      </c>
      <c r="DL2857" s="4" t="s">
        <v>241</v>
      </c>
      <c r="DP2857" s="4" t="s">
        <v>241</v>
      </c>
      <c r="DQ2857" s="4" t="s">
        <v>241</v>
      </c>
      <c r="DR2857" s="4" t="s">
        <v>241</v>
      </c>
      <c r="DS2857" s="4" t="s">
        <v>241</v>
      </c>
      <c r="DV2857" s="4" t="s">
        <v>426</v>
      </c>
      <c r="DW2857" s="4" t="s">
        <v>2176</v>
      </c>
      <c r="HO2857" s="4" t="s">
        <v>267</v>
      </c>
    </row>
    <row r="2858" spans="1:223" ht="19.5" customHeight="1" x14ac:dyDescent="0.4">
      <c r="A2858" s="4">
        <v>1</v>
      </c>
      <c r="B2858" s="4" t="s">
        <v>239</v>
      </c>
      <c r="C2858" s="4">
        <v>4561</v>
      </c>
      <c r="D2858" s="4">
        <v>1</v>
      </c>
      <c r="E2858" s="4">
        <v>1</v>
      </c>
      <c r="F2858" s="4" t="s">
        <v>268</v>
      </c>
      <c r="G2858" s="4" t="s">
        <v>241</v>
      </c>
      <c r="H2858" s="4" t="s">
        <v>241</v>
      </c>
      <c r="I2858" s="4" t="s">
        <v>424</v>
      </c>
      <c r="J2858" s="4" t="s">
        <v>274</v>
      </c>
      <c r="K2858" s="4" t="s">
        <v>251</v>
      </c>
      <c r="L2858" s="4" t="s">
        <v>423</v>
      </c>
      <c r="M2858" s="5" t="s">
        <v>3924</v>
      </c>
      <c r="N2858" s="6">
        <f>2473</f>
        <v>2473</v>
      </c>
      <c r="O2858" s="4" t="s">
        <v>265</v>
      </c>
      <c r="P2858" s="6">
        <f>1</f>
        <v>1</v>
      </c>
      <c r="Q2858" s="6">
        <f>0</f>
        <v>0</v>
      </c>
      <c r="S2858" s="6">
        <f>0</f>
        <v>0</v>
      </c>
      <c r="T2858" s="6">
        <f>1</f>
        <v>1</v>
      </c>
      <c r="U2858" s="5" t="s">
        <v>245</v>
      </c>
      <c r="V2858" s="4" t="s">
        <v>270</v>
      </c>
      <c r="W2858" s="4" t="s">
        <v>271</v>
      </c>
      <c r="X2858" s="4" t="s">
        <v>273</v>
      </c>
      <c r="Y2858" s="4" t="s">
        <v>241</v>
      </c>
      <c r="AB2858" s="4" t="s">
        <v>241</v>
      </c>
      <c r="AD2858" s="5" t="s">
        <v>241</v>
      </c>
      <c r="AG2858" s="5" t="s">
        <v>246</v>
      </c>
      <c r="AH2858" s="4" t="s">
        <v>241</v>
      </c>
      <c r="AI2858" s="4" t="s">
        <v>247</v>
      </c>
      <c r="AJ2858" s="4" t="s">
        <v>248</v>
      </c>
      <c r="AZ2858" s="4" t="s">
        <v>249</v>
      </c>
      <c r="BA2858" s="4" t="s">
        <v>241</v>
      </c>
      <c r="BB2858" s="4" t="s">
        <v>250</v>
      </c>
      <c r="BC2858" s="4" t="s">
        <v>241</v>
      </c>
      <c r="BD2858" s="4" t="s">
        <v>252</v>
      </c>
      <c r="BE2858" s="4" t="s">
        <v>241</v>
      </c>
      <c r="BI2858" s="4" t="s">
        <v>253</v>
      </c>
      <c r="BJ2858" s="5" t="s">
        <v>246</v>
      </c>
      <c r="BK2858" s="4" t="s">
        <v>254</v>
      </c>
      <c r="BL2858" s="4" t="s">
        <v>255</v>
      </c>
      <c r="BM2858" s="4" t="s">
        <v>241</v>
      </c>
      <c r="BN2858" s="6">
        <f>0</f>
        <v>0</v>
      </c>
      <c r="BO2858" s="6">
        <f>0</f>
        <v>0</v>
      </c>
      <c r="BP2858" s="4" t="s">
        <v>256</v>
      </c>
      <c r="BQ2858" s="4" t="s">
        <v>257</v>
      </c>
      <c r="CE2858" s="4" t="s">
        <v>241</v>
      </c>
      <c r="CF2858" s="4" t="s">
        <v>241</v>
      </c>
      <c r="CJ2858" s="4" t="s">
        <v>276</v>
      </c>
      <c r="CK2858" s="4" t="s">
        <v>259</v>
      </c>
      <c r="CL2858" s="4" t="s">
        <v>241</v>
      </c>
      <c r="CO2858" s="5" t="s">
        <v>260</v>
      </c>
      <c r="CP2858" s="4" t="s">
        <v>241</v>
      </c>
      <c r="CQ2858" s="4" t="s">
        <v>261</v>
      </c>
      <c r="CR2858" s="4" t="s">
        <v>241</v>
      </c>
      <c r="CS2858" s="4" t="s">
        <v>241</v>
      </c>
      <c r="CT2858" s="4">
        <v>0</v>
      </c>
      <c r="CU2858" s="4" t="s">
        <v>262</v>
      </c>
      <c r="CV2858" s="4" t="s">
        <v>263</v>
      </c>
      <c r="CW2858" s="4" t="s">
        <v>263</v>
      </c>
      <c r="CX2858" s="4" t="s">
        <v>264</v>
      </c>
      <c r="DA2858" s="6">
        <f>1</f>
        <v>1</v>
      </c>
      <c r="DC2858" s="4" t="s">
        <v>325</v>
      </c>
      <c r="DD2858" s="4" t="s">
        <v>241</v>
      </c>
      <c r="DF2858" s="4" t="s">
        <v>325</v>
      </c>
      <c r="DG2858" s="6">
        <f>2473</f>
        <v>2473</v>
      </c>
      <c r="DI2858" s="4" t="s">
        <v>241</v>
      </c>
      <c r="DJ2858" s="4" t="s">
        <v>241</v>
      </c>
      <c r="DK2858" s="4" t="s">
        <v>241</v>
      </c>
      <c r="DL2858" s="4" t="s">
        <v>241</v>
      </c>
      <c r="DP2858" s="4" t="s">
        <v>241</v>
      </c>
      <c r="DQ2858" s="4" t="s">
        <v>241</v>
      </c>
      <c r="DR2858" s="4" t="s">
        <v>241</v>
      </c>
      <c r="DS2858" s="4" t="s">
        <v>241</v>
      </c>
      <c r="DV2858" s="4" t="s">
        <v>426</v>
      </c>
      <c r="DW2858" s="4" t="s">
        <v>2172</v>
      </c>
      <c r="HO2858" s="4" t="s">
        <v>267</v>
      </c>
    </row>
    <row r="2859" spans="1:223" ht="19.5" customHeight="1" x14ac:dyDescent="0.4">
      <c r="A2859" s="4">
        <v>1</v>
      </c>
      <c r="B2859" s="4" t="s">
        <v>239</v>
      </c>
      <c r="C2859" s="4">
        <v>4562</v>
      </c>
      <c r="D2859" s="4">
        <v>1</v>
      </c>
      <c r="E2859" s="4">
        <v>1</v>
      </c>
      <c r="F2859" s="4" t="s">
        <v>268</v>
      </c>
      <c r="G2859" s="4" t="s">
        <v>241</v>
      </c>
      <c r="H2859" s="4" t="s">
        <v>241</v>
      </c>
      <c r="I2859" s="4" t="s">
        <v>424</v>
      </c>
      <c r="J2859" s="4" t="s">
        <v>274</v>
      </c>
      <c r="K2859" s="4" t="s">
        <v>251</v>
      </c>
      <c r="L2859" s="4" t="s">
        <v>423</v>
      </c>
      <c r="M2859" s="5" t="s">
        <v>3904</v>
      </c>
      <c r="N2859" s="6">
        <f>3178</f>
        <v>3178</v>
      </c>
      <c r="O2859" s="4" t="s">
        <v>265</v>
      </c>
      <c r="P2859" s="6">
        <f>1</f>
        <v>1</v>
      </c>
      <c r="Q2859" s="6">
        <f>0</f>
        <v>0</v>
      </c>
      <c r="S2859" s="6">
        <f>0</f>
        <v>0</v>
      </c>
      <c r="T2859" s="6">
        <f>1</f>
        <v>1</v>
      </c>
      <c r="U2859" s="5" t="s">
        <v>245</v>
      </c>
      <c r="V2859" s="4" t="s">
        <v>270</v>
      </c>
      <c r="W2859" s="4" t="s">
        <v>271</v>
      </c>
      <c r="X2859" s="4" t="s">
        <v>273</v>
      </c>
      <c r="Y2859" s="4" t="s">
        <v>241</v>
      </c>
      <c r="AB2859" s="4" t="s">
        <v>241</v>
      </c>
      <c r="AD2859" s="5" t="s">
        <v>241</v>
      </c>
      <c r="AG2859" s="5" t="s">
        <v>246</v>
      </c>
      <c r="AH2859" s="4" t="s">
        <v>241</v>
      </c>
      <c r="AI2859" s="4" t="s">
        <v>247</v>
      </c>
      <c r="AJ2859" s="4" t="s">
        <v>248</v>
      </c>
      <c r="AZ2859" s="4" t="s">
        <v>249</v>
      </c>
      <c r="BA2859" s="4" t="s">
        <v>241</v>
      </c>
      <c r="BB2859" s="4" t="s">
        <v>250</v>
      </c>
      <c r="BC2859" s="4" t="s">
        <v>241</v>
      </c>
      <c r="BD2859" s="4" t="s">
        <v>252</v>
      </c>
      <c r="BE2859" s="4" t="s">
        <v>241</v>
      </c>
      <c r="BI2859" s="4" t="s">
        <v>253</v>
      </c>
      <c r="BJ2859" s="5" t="s">
        <v>246</v>
      </c>
      <c r="BK2859" s="4" t="s">
        <v>254</v>
      </c>
      <c r="BL2859" s="4" t="s">
        <v>255</v>
      </c>
      <c r="BM2859" s="4" t="s">
        <v>241</v>
      </c>
      <c r="BN2859" s="6">
        <f>0</f>
        <v>0</v>
      </c>
      <c r="BO2859" s="6">
        <f>0</f>
        <v>0</v>
      </c>
      <c r="BP2859" s="4" t="s">
        <v>256</v>
      </c>
      <c r="BQ2859" s="4" t="s">
        <v>257</v>
      </c>
      <c r="CE2859" s="4" t="s">
        <v>241</v>
      </c>
      <c r="CF2859" s="4" t="s">
        <v>241</v>
      </c>
      <c r="CJ2859" s="4" t="s">
        <v>276</v>
      </c>
      <c r="CK2859" s="4" t="s">
        <v>259</v>
      </c>
      <c r="CL2859" s="4" t="s">
        <v>241</v>
      </c>
      <c r="CO2859" s="5" t="s">
        <v>260</v>
      </c>
      <c r="CP2859" s="4" t="s">
        <v>241</v>
      </c>
      <c r="CQ2859" s="4" t="s">
        <v>261</v>
      </c>
      <c r="CR2859" s="4" t="s">
        <v>241</v>
      </c>
      <c r="CS2859" s="4" t="s">
        <v>241</v>
      </c>
      <c r="CT2859" s="4">
        <v>0</v>
      </c>
      <c r="CU2859" s="4" t="s">
        <v>262</v>
      </c>
      <c r="CV2859" s="4" t="s">
        <v>263</v>
      </c>
      <c r="CW2859" s="4" t="s">
        <v>263</v>
      </c>
      <c r="CX2859" s="4" t="s">
        <v>264</v>
      </c>
      <c r="DA2859" s="6">
        <f>1</f>
        <v>1</v>
      </c>
      <c r="DC2859" s="4" t="s">
        <v>325</v>
      </c>
      <c r="DD2859" s="4" t="s">
        <v>241</v>
      </c>
      <c r="DF2859" s="4" t="s">
        <v>325</v>
      </c>
      <c r="DG2859" s="6">
        <f>3178</f>
        <v>3178</v>
      </c>
      <c r="DI2859" s="4" t="s">
        <v>241</v>
      </c>
      <c r="DJ2859" s="4" t="s">
        <v>241</v>
      </c>
      <c r="DK2859" s="4" t="s">
        <v>241</v>
      </c>
      <c r="DL2859" s="4" t="s">
        <v>241</v>
      </c>
      <c r="DP2859" s="4" t="s">
        <v>241</v>
      </c>
      <c r="DQ2859" s="4" t="s">
        <v>241</v>
      </c>
      <c r="DR2859" s="4" t="s">
        <v>241</v>
      </c>
      <c r="DS2859" s="4" t="s">
        <v>241</v>
      </c>
      <c r="DV2859" s="4" t="s">
        <v>426</v>
      </c>
      <c r="DW2859" s="4" t="s">
        <v>2170</v>
      </c>
      <c r="HO2859" s="4" t="s">
        <v>267</v>
      </c>
    </row>
    <row r="2860" spans="1:223" ht="19.5" customHeight="1" x14ac:dyDescent="0.4">
      <c r="A2860" s="4">
        <v>1</v>
      </c>
      <c r="B2860" s="4" t="s">
        <v>239</v>
      </c>
      <c r="C2860" s="4">
        <v>4563</v>
      </c>
      <c r="D2860" s="4">
        <v>1</v>
      </c>
      <c r="E2860" s="4">
        <v>1</v>
      </c>
      <c r="F2860" s="4" t="s">
        <v>268</v>
      </c>
      <c r="G2860" s="4" t="s">
        <v>241</v>
      </c>
      <c r="H2860" s="4" t="s">
        <v>241</v>
      </c>
      <c r="I2860" s="4" t="s">
        <v>424</v>
      </c>
      <c r="J2860" s="4" t="s">
        <v>274</v>
      </c>
      <c r="K2860" s="4" t="s">
        <v>251</v>
      </c>
      <c r="L2860" s="4" t="s">
        <v>423</v>
      </c>
      <c r="M2860" s="5" t="s">
        <v>3870</v>
      </c>
      <c r="N2860" s="6">
        <f>372</f>
        <v>372</v>
      </c>
      <c r="O2860" s="4" t="s">
        <v>265</v>
      </c>
      <c r="P2860" s="6">
        <f>1</f>
        <v>1</v>
      </c>
      <c r="Q2860" s="6">
        <f>0</f>
        <v>0</v>
      </c>
      <c r="S2860" s="6">
        <f>0</f>
        <v>0</v>
      </c>
      <c r="T2860" s="6">
        <f>1</f>
        <v>1</v>
      </c>
      <c r="U2860" s="5" t="s">
        <v>245</v>
      </c>
      <c r="V2860" s="4" t="s">
        <v>270</v>
      </c>
      <c r="W2860" s="4" t="s">
        <v>271</v>
      </c>
      <c r="X2860" s="4" t="s">
        <v>273</v>
      </c>
      <c r="Y2860" s="4" t="s">
        <v>241</v>
      </c>
      <c r="AB2860" s="4" t="s">
        <v>241</v>
      </c>
      <c r="AD2860" s="5" t="s">
        <v>241</v>
      </c>
      <c r="AG2860" s="5" t="s">
        <v>246</v>
      </c>
      <c r="AH2860" s="4" t="s">
        <v>241</v>
      </c>
      <c r="AI2860" s="4" t="s">
        <v>247</v>
      </c>
      <c r="AJ2860" s="4" t="s">
        <v>248</v>
      </c>
      <c r="AZ2860" s="4" t="s">
        <v>249</v>
      </c>
      <c r="BA2860" s="4" t="s">
        <v>241</v>
      </c>
      <c r="BB2860" s="4" t="s">
        <v>250</v>
      </c>
      <c r="BC2860" s="4" t="s">
        <v>241</v>
      </c>
      <c r="BD2860" s="4" t="s">
        <v>252</v>
      </c>
      <c r="BE2860" s="4" t="s">
        <v>241</v>
      </c>
      <c r="BI2860" s="4" t="s">
        <v>253</v>
      </c>
      <c r="BJ2860" s="5" t="s">
        <v>246</v>
      </c>
      <c r="BK2860" s="4" t="s">
        <v>254</v>
      </c>
      <c r="BL2860" s="4" t="s">
        <v>255</v>
      </c>
      <c r="BM2860" s="4" t="s">
        <v>241</v>
      </c>
      <c r="BN2860" s="6">
        <f>0</f>
        <v>0</v>
      </c>
      <c r="BO2860" s="6">
        <f>0</f>
        <v>0</v>
      </c>
      <c r="BP2860" s="4" t="s">
        <v>256</v>
      </c>
      <c r="BQ2860" s="4" t="s">
        <v>257</v>
      </c>
      <c r="CE2860" s="4" t="s">
        <v>241</v>
      </c>
      <c r="CF2860" s="4" t="s">
        <v>241</v>
      </c>
      <c r="CJ2860" s="4" t="s">
        <v>276</v>
      </c>
      <c r="CK2860" s="4" t="s">
        <v>259</v>
      </c>
      <c r="CL2860" s="4" t="s">
        <v>241</v>
      </c>
      <c r="CO2860" s="5" t="s">
        <v>260</v>
      </c>
      <c r="CP2860" s="4" t="s">
        <v>241</v>
      </c>
      <c r="CQ2860" s="4" t="s">
        <v>261</v>
      </c>
      <c r="CR2860" s="4" t="s">
        <v>241</v>
      </c>
      <c r="CS2860" s="4" t="s">
        <v>241</v>
      </c>
      <c r="CT2860" s="4">
        <v>0</v>
      </c>
      <c r="CU2860" s="4" t="s">
        <v>262</v>
      </c>
      <c r="CV2860" s="4" t="s">
        <v>263</v>
      </c>
      <c r="CW2860" s="4" t="s">
        <v>263</v>
      </c>
      <c r="CX2860" s="4" t="s">
        <v>264</v>
      </c>
      <c r="DA2860" s="6">
        <f>1</f>
        <v>1</v>
      </c>
      <c r="DC2860" s="4" t="s">
        <v>325</v>
      </c>
      <c r="DD2860" s="4" t="s">
        <v>241</v>
      </c>
      <c r="DF2860" s="4" t="s">
        <v>325</v>
      </c>
      <c r="DG2860" s="6">
        <f>372</f>
        <v>372</v>
      </c>
      <c r="DI2860" s="4" t="s">
        <v>241</v>
      </c>
      <c r="DJ2860" s="4" t="s">
        <v>241</v>
      </c>
      <c r="DK2860" s="4" t="s">
        <v>241</v>
      </c>
      <c r="DL2860" s="4" t="s">
        <v>241</v>
      </c>
      <c r="DP2860" s="4" t="s">
        <v>241</v>
      </c>
      <c r="DQ2860" s="4" t="s">
        <v>241</v>
      </c>
      <c r="DR2860" s="4" t="s">
        <v>241</v>
      </c>
      <c r="DS2860" s="4" t="s">
        <v>241</v>
      </c>
      <c r="DV2860" s="4" t="s">
        <v>426</v>
      </c>
      <c r="DW2860" s="4" t="s">
        <v>2168</v>
      </c>
      <c r="HO2860" s="4" t="s">
        <v>267</v>
      </c>
    </row>
    <row r="2861" spans="1:223" ht="19.5" customHeight="1" x14ac:dyDescent="0.4">
      <c r="A2861" s="4">
        <v>1</v>
      </c>
      <c r="B2861" s="4" t="s">
        <v>239</v>
      </c>
      <c r="C2861" s="4">
        <v>4564</v>
      </c>
      <c r="D2861" s="4">
        <v>1</v>
      </c>
      <c r="E2861" s="4">
        <v>1</v>
      </c>
      <c r="F2861" s="4" t="s">
        <v>268</v>
      </c>
      <c r="G2861" s="4" t="s">
        <v>241</v>
      </c>
      <c r="H2861" s="4" t="s">
        <v>241</v>
      </c>
      <c r="I2861" s="4" t="s">
        <v>424</v>
      </c>
      <c r="J2861" s="4" t="s">
        <v>274</v>
      </c>
      <c r="K2861" s="4" t="s">
        <v>251</v>
      </c>
      <c r="L2861" s="4" t="s">
        <v>423</v>
      </c>
      <c r="M2861" s="5" t="s">
        <v>3849</v>
      </c>
      <c r="N2861" s="6">
        <f>1267</f>
        <v>1267</v>
      </c>
      <c r="O2861" s="4" t="s">
        <v>265</v>
      </c>
      <c r="P2861" s="6">
        <f>1</f>
        <v>1</v>
      </c>
      <c r="Q2861" s="6">
        <f>0</f>
        <v>0</v>
      </c>
      <c r="S2861" s="6">
        <f>0</f>
        <v>0</v>
      </c>
      <c r="T2861" s="6">
        <f>1</f>
        <v>1</v>
      </c>
      <c r="U2861" s="5" t="s">
        <v>245</v>
      </c>
      <c r="V2861" s="4" t="s">
        <v>270</v>
      </c>
      <c r="W2861" s="4" t="s">
        <v>271</v>
      </c>
      <c r="X2861" s="4" t="s">
        <v>273</v>
      </c>
      <c r="Y2861" s="4" t="s">
        <v>241</v>
      </c>
      <c r="AB2861" s="4" t="s">
        <v>241</v>
      </c>
      <c r="AD2861" s="5" t="s">
        <v>241</v>
      </c>
      <c r="AG2861" s="5" t="s">
        <v>246</v>
      </c>
      <c r="AH2861" s="4" t="s">
        <v>241</v>
      </c>
      <c r="AI2861" s="4" t="s">
        <v>247</v>
      </c>
      <c r="AJ2861" s="4" t="s">
        <v>248</v>
      </c>
      <c r="AZ2861" s="4" t="s">
        <v>249</v>
      </c>
      <c r="BA2861" s="4" t="s">
        <v>241</v>
      </c>
      <c r="BB2861" s="4" t="s">
        <v>250</v>
      </c>
      <c r="BC2861" s="4" t="s">
        <v>241</v>
      </c>
      <c r="BD2861" s="4" t="s">
        <v>252</v>
      </c>
      <c r="BE2861" s="4" t="s">
        <v>241</v>
      </c>
      <c r="BI2861" s="4" t="s">
        <v>253</v>
      </c>
      <c r="BJ2861" s="5" t="s">
        <v>246</v>
      </c>
      <c r="BK2861" s="4" t="s">
        <v>254</v>
      </c>
      <c r="BL2861" s="4" t="s">
        <v>255</v>
      </c>
      <c r="BM2861" s="4" t="s">
        <v>241</v>
      </c>
      <c r="BN2861" s="6">
        <f>0</f>
        <v>0</v>
      </c>
      <c r="BO2861" s="6">
        <f>0</f>
        <v>0</v>
      </c>
      <c r="BP2861" s="4" t="s">
        <v>256</v>
      </c>
      <c r="BQ2861" s="4" t="s">
        <v>257</v>
      </c>
      <c r="CE2861" s="4" t="s">
        <v>241</v>
      </c>
      <c r="CF2861" s="4" t="s">
        <v>241</v>
      </c>
      <c r="CJ2861" s="4" t="s">
        <v>276</v>
      </c>
      <c r="CK2861" s="4" t="s">
        <v>259</v>
      </c>
      <c r="CL2861" s="4" t="s">
        <v>241</v>
      </c>
      <c r="CO2861" s="5" t="s">
        <v>260</v>
      </c>
      <c r="CP2861" s="4" t="s">
        <v>241</v>
      </c>
      <c r="CQ2861" s="4" t="s">
        <v>261</v>
      </c>
      <c r="CR2861" s="4" t="s">
        <v>241</v>
      </c>
      <c r="CS2861" s="4" t="s">
        <v>241</v>
      </c>
      <c r="CT2861" s="4">
        <v>0</v>
      </c>
      <c r="CU2861" s="4" t="s">
        <v>262</v>
      </c>
      <c r="CV2861" s="4" t="s">
        <v>263</v>
      </c>
      <c r="CW2861" s="4" t="s">
        <v>263</v>
      </c>
      <c r="CX2861" s="4" t="s">
        <v>264</v>
      </c>
      <c r="DA2861" s="6">
        <f>1</f>
        <v>1</v>
      </c>
      <c r="DC2861" s="4" t="s">
        <v>325</v>
      </c>
      <c r="DD2861" s="4" t="s">
        <v>241</v>
      </c>
      <c r="DF2861" s="4" t="s">
        <v>325</v>
      </c>
      <c r="DG2861" s="6">
        <f>1267</f>
        <v>1267</v>
      </c>
      <c r="DI2861" s="4" t="s">
        <v>241</v>
      </c>
      <c r="DJ2861" s="4" t="s">
        <v>241</v>
      </c>
      <c r="DK2861" s="4" t="s">
        <v>241</v>
      </c>
      <c r="DL2861" s="4" t="s">
        <v>241</v>
      </c>
      <c r="DP2861" s="4" t="s">
        <v>241</v>
      </c>
      <c r="DQ2861" s="4" t="s">
        <v>241</v>
      </c>
      <c r="DR2861" s="4" t="s">
        <v>241</v>
      </c>
      <c r="DS2861" s="4" t="s">
        <v>241</v>
      </c>
      <c r="DV2861" s="4" t="s">
        <v>426</v>
      </c>
      <c r="DW2861" s="4" t="s">
        <v>2166</v>
      </c>
      <c r="HO2861" s="4" t="s">
        <v>267</v>
      </c>
    </row>
    <row r="2862" spans="1:223" ht="19.5" customHeight="1" x14ac:dyDescent="0.4">
      <c r="A2862" s="4">
        <v>1</v>
      </c>
      <c r="B2862" s="4" t="s">
        <v>239</v>
      </c>
      <c r="C2862" s="4">
        <v>4565</v>
      </c>
      <c r="D2862" s="4">
        <v>1</v>
      </c>
      <c r="E2862" s="4">
        <v>1</v>
      </c>
      <c r="F2862" s="4" t="s">
        <v>268</v>
      </c>
      <c r="G2862" s="4" t="s">
        <v>241</v>
      </c>
      <c r="H2862" s="4" t="s">
        <v>241</v>
      </c>
      <c r="I2862" s="4" t="s">
        <v>424</v>
      </c>
      <c r="J2862" s="4" t="s">
        <v>274</v>
      </c>
      <c r="K2862" s="4" t="s">
        <v>251</v>
      </c>
      <c r="L2862" s="4" t="s">
        <v>423</v>
      </c>
      <c r="M2862" s="5" t="s">
        <v>3803</v>
      </c>
      <c r="N2862" s="6">
        <f>2504</f>
        <v>2504</v>
      </c>
      <c r="O2862" s="4" t="s">
        <v>265</v>
      </c>
      <c r="P2862" s="6">
        <f>1</f>
        <v>1</v>
      </c>
      <c r="Q2862" s="6">
        <f>0</f>
        <v>0</v>
      </c>
      <c r="S2862" s="6">
        <f>0</f>
        <v>0</v>
      </c>
      <c r="T2862" s="6">
        <f>1</f>
        <v>1</v>
      </c>
      <c r="U2862" s="5" t="s">
        <v>245</v>
      </c>
      <c r="V2862" s="4" t="s">
        <v>270</v>
      </c>
      <c r="W2862" s="4" t="s">
        <v>271</v>
      </c>
      <c r="X2862" s="4" t="s">
        <v>273</v>
      </c>
      <c r="Y2862" s="4" t="s">
        <v>241</v>
      </c>
      <c r="AB2862" s="4" t="s">
        <v>241</v>
      </c>
      <c r="AD2862" s="5" t="s">
        <v>241</v>
      </c>
      <c r="AG2862" s="5" t="s">
        <v>246</v>
      </c>
      <c r="AH2862" s="4" t="s">
        <v>241</v>
      </c>
      <c r="AI2862" s="4" t="s">
        <v>247</v>
      </c>
      <c r="AJ2862" s="4" t="s">
        <v>248</v>
      </c>
      <c r="AZ2862" s="4" t="s">
        <v>249</v>
      </c>
      <c r="BA2862" s="4" t="s">
        <v>241</v>
      </c>
      <c r="BB2862" s="4" t="s">
        <v>250</v>
      </c>
      <c r="BC2862" s="4" t="s">
        <v>241</v>
      </c>
      <c r="BD2862" s="4" t="s">
        <v>252</v>
      </c>
      <c r="BE2862" s="4" t="s">
        <v>241</v>
      </c>
      <c r="BI2862" s="4" t="s">
        <v>253</v>
      </c>
      <c r="BJ2862" s="5" t="s">
        <v>246</v>
      </c>
      <c r="BK2862" s="4" t="s">
        <v>254</v>
      </c>
      <c r="BL2862" s="4" t="s">
        <v>255</v>
      </c>
      <c r="BM2862" s="4" t="s">
        <v>241</v>
      </c>
      <c r="BN2862" s="6">
        <f>0</f>
        <v>0</v>
      </c>
      <c r="BO2862" s="6">
        <f>0</f>
        <v>0</v>
      </c>
      <c r="BP2862" s="4" t="s">
        <v>256</v>
      </c>
      <c r="BQ2862" s="4" t="s">
        <v>257</v>
      </c>
      <c r="CE2862" s="4" t="s">
        <v>241</v>
      </c>
      <c r="CF2862" s="4" t="s">
        <v>241</v>
      </c>
      <c r="CJ2862" s="4" t="s">
        <v>276</v>
      </c>
      <c r="CK2862" s="4" t="s">
        <v>259</v>
      </c>
      <c r="CL2862" s="4" t="s">
        <v>241</v>
      </c>
      <c r="CO2862" s="5" t="s">
        <v>260</v>
      </c>
      <c r="CP2862" s="4" t="s">
        <v>241</v>
      </c>
      <c r="CQ2862" s="4" t="s">
        <v>261</v>
      </c>
      <c r="CR2862" s="4" t="s">
        <v>241</v>
      </c>
      <c r="CS2862" s="4" t="s">
        <v>241</v>
      </c>
      <c r="CT2862" s="4">
        <v>0</v>
      </c>
      <c r="CU2862" s="4" t="s">
        <v>262</v>
      </c>
      <c r="CV2862" s="4" t="s">
        <v>263</v>
      </c>
      <c r="CW2862" s="4" t="s">
        <v>263</v>
      </c>
      <c r="CX2862" s="4" t="s">
        <v>264</v>
      </c>
      <c r="DA2862" s="6">
        <f>1</f>
        <v>1</v>
      </c>
      <c r="DC2862" s="4" t="s">
        <v>325</v>
      </c>
      <c r="DD2862" s="4" t="s">
        <v>241</v>
      </c>
      <c r="DF2862" s="4" t="s">
        <v>325</v>
      </c>
      <c r="DG2862" s="6">
        <f>2504</f>
        <v>2504</v>
      </c>
      <c r="DI2862" s="4" t="s">
        <v>241</v>
      </c>
      <c r="DJ2862" s="4" t="s">
        <v>241</v>
      </c>
      <c r="DK2862" s="4" t="s">
        <v>241</v>
      </c>
      <c r="DL2862" s="4" t="s">
        <v>241</v>
      </c>
      <c r="DP2862" s="4" t="s">
        <v>241</v>
      </c>
      <c r="DQ2862" s="4" t="s">
        <v>241</v>
      </c>
      <c r="DR2862" s="4" t="s">
        <v>241</v>
      </c>
      <c r="DS2862" s="4" t="s">
        <v>241</v>
      </c>
      <c r="DV2862" s="4" t="s">
        <v>426</v>
      </c>
      <c r="DW2862" s="4" t="s">
        <v>2164</v>
      </c>
      <c r="HO2862" s="4" t="s">
        <v>267</v>
      </c>
    </row>
    <row r="2863" spans="1:223" ht="19.5" customHeight="1" x14ac:dyDescent="0.4">
      <c r="A2863" s="4">
        <v>1</v>
      </c>
      <c r="B2863" s="4" t="s">
        <v>239</v>
      </c>
      <c r="C2863" s="4">
        <v>4566</v>
      </c>
      <c r="D2863" s="4">
        <v>1</v>
      </c>
      <c r="E2863" s="4">
        <v>1</v>
      </c>
      <c r="F2863" s="4" t="s">
        <v>268</v>
      </c>
      <c r="G2863" s="4" t="s">
        <v>241</v>
      </c>
      <c r="H2863" s="4" t="s">
        <v>241</v>
      </c>
      <c r="I2863" s="4" t="s">
        <v>424</v>
      </c>
      <c r="J2863" s="4" t="s">
        <v>274</v>
      </c>
      <c r="K2863" s="4" t="s">
        <v>251</v>
      </c>
      <c r="L2863" s="4" t="s">
        <v>423</v>
      </c>
      <c r="M2863" s="5" t="s">
        <v>3782</v>
      </c>
      <c r="N2863" s="6">
        <f>1256</f>
        <v>1256</v>
      </c>
      <c r="O2863" s="4" t="s">
        <v>265</v>
      </c>
      <c r="P2863" s="6">
        <f>1</f>
        <v>1</v>
      </c>
      <c r="Q2863" s="6">
        <f>0</f>
        <v>0</v>
      </c>
      <c r="S2863" s="6">
        <f>0</f>
        <v>0</v>
      </c>
      <c r="T2863" s="6">
        <f>1</f>
        <v>1</v>
      </c>
      <c r="U2863" s="5" t="s">
        <v>245</v>
      </c>
      <c r="V2863" s="4" t="s">
        <v>270</v>
      </c>
      <c r="W2863" s="4" t="s">
        <v>271</v>
      </c>
      <c r="X2863" s="4" t="s">
        <v>273</v>
      </c>
      <c r="Y2863" s="4" t="s">
        <v>241</v>
      </c>
      <c r="AB2863" s="4" t="s">
        <v>241</v>
      </c>
      <c r="AD2863" s="5" t="s">
        <v>241</v>
      </c>
      <c r="AG2863" s="5" t="s">
        <v>246</v>
      </c>
      <c r="AH2863" s="4" t="s">
        <v>241</v>
      </c>
      <c r="AI2863" s="4" t="s">
        <v>247</v>
      </c>
      <c r="AJ2863" s="4" t="s">
        <v>248</v>
      </c>
      <c r="AZ2863" s="4" t="s">
        <v>249</v>
      </c>
      <c r="BA2863" s="4" t="s">
        <v>241</v>
      </c>
      <c r="BB2863" s="4" t="s">
        <v>250</v>
      </c>
      <c r="BC2863" s="4" t="s">
        <v>241</v>
      </c>
      <c r="BD2863" s="4" t="s">
        <v>252</v>
      </c>
      <c r="BE2863" s="4" t="s">
        <v>241</v>
      </c>
      <c r="BI2863" s="4" t="s">
        <v>253</v>
      </c>
      <c r="BJ2863" s="5" t="s">
        <v>246</v>
      </c>
      <c r="BK2863" s="4" t="s">
        <v>254</v>
      </c>
      <c r="BL2863" s="4" t="s">
        <v>255</v>
      </c>
      <c r="BM2863" s="4" t="s">
        <v>241</v>
      </c>
      <c r="BN2863" s="6">
        <f>0</f>
        <v>0</v>
      </c>
      <c r="BO2863" s="6">
        <f>0</f>
        <v>0</v>
      </c>
      <c r="BP2863" s="4" t="s">
        <v>256</v>
      </c>
      <c r="BQ2863" s="4" t="s">
        <v>257</v>
      </c>
      <c r="CE2863" s="4" t="s">
        <v>241</v>
      </c>
      <c r="CF2863" s="4" t="s">
        <v>241</v>
      </c>
      <c r="CJ2863" s="4" t="s">
        <v>276</v>
      </c>
      <c r="CK2863" s="4" t="s">
        <v>259</v>
      </c>
      <c r="CL2863" s="4" t="s">
        <v>241</v>
      </c>
      <c r="CO2863" s="5" t="s">
        <v>260</v>
      </c>
      <c r="CP2863" s="4" t="s">
        <v>241</v>
      </c>
      <c r="CQ2863" s="4" t="s">
        <v>261</v>
      </c>
      <c r="CR2863" s="4" t="s">
        <v>241</v>
      </c>
      <c r="CS2863" s="4" t="s">
        <v>241</v>
      </c>
      <c r="CT2863" s="4">
        <v>0</v>
      </c>
      <c r="CU2863" s="4" t="s">
        <v>262</v>
      </c>
      <c r="CV2863" s="4" t="s">
        <v>263</v>
      </c>
      <c r="CW2863" s="4" t="s">
        <v>263</v>
      </c>
      <c r="CX2863" s="4" t="s">
        <v>264</v>
      </c>
      <c r="DA2863" s="6">
        <f>1</f>
        <v>1</v>
      </c>
      <c r="DC2863" s="4" t="s">
        <v>325</v>
      </c>
      <c r="DD2863" s="4" t="s">
        <v>241</v>
      </c>
      <c r="DF2863" s="4" t="s">
        <v>325</v>
      </c>
      <c r="DG2863" s="6">
        <f>1256</f>
        <v>1256</v>
      </c>
      <c r="DI2863" s="4" t="s">
        <v>241</v>
      </c>
      <c r="DJ2863" s="4" t="s">
        <v>241</v>
      </c>
      <c r="DK2863" s="4" t="s">
        <v>241</v>
      </c>
      <c r="DL2863" s="4" t="s">
        <v>241</v>
      </c>
      <c r="DP2863" s="4" t="s">
        <v>241</v>
      </c>
      <c r="DQ2863" s="4" t="s">
        <v>241</v>
      </c>
      <c r="DR2863" s="4" t="s">
        <v>241</v>
      </c>
      <c r="DS2863" s="4" t="s">
        <v>241</v>
      </c>
      <c r="DV2863" s="4" t="s">
        <v>426</v>
      </c>
      <c r="DW2863" s="4" t="s">
        <v>2162</v>
      </c>
      <c r="HO2863" s="4" t="s">
        <v>267</v>
      </c>
    </row>
    <row r="2864" spans="1:223" ht="19.5" customHeight="1" x14ac:dyDescent="0.4">
      <c r="A2864" s="4">
        <v>1</v>
      </c>
      <c r="B2864" s="4" t="s">
        <v>239</v>
      </c>
      <c r="C2864" s="4">
        <v>4567</v>
      </c>
      <c r="D2864" s="4">
        <v>1</v>
      </c>
      <c r="E2864" s="4">
        <v>1</v>
      </c>
      <c r="F2864" s="4" t="s">
        <v>268</v>
      </c>
      <c r="G2864" s="4" t="s">
        <v>241</v>
      </c>
      <c r="H2864" s="4" t="s">
        <v>241</v>
      </c>
      <c r="I2864" s="4" t="s">
        <v>424</v>
      </c>
      <c r="J2864" s="4" t="s">
        <v>274</v>
      </c>
      <c r="K2864" s="4" t="s">
        <v>251</v>
      </c>
      <c r="L2864" s="4" t="s">
        <v>423</v>
      </c>
      <c r="M2864" s="5" t="s">
        <v>3769</v>
      </c>
      <c r="N2864" s="6">
        <f>2301</f>
        <v>2301</v>
      </c>
      <c r="O2864" s="4" t="s">
        <v>265</v>
      </c>
      <c r="P2864" s="6">
        <f>1</f>
        <v>1</v>
      </c>
      <c r="Q2864" s="6">
        <f>0</f>
        <v>0</v>
      </c>
      <c r="S2864" s="6">
        <f>0</f>
        <v>0</v>
      </c>
      <c r="T2864" s="6">
        <f>1</f>
        <v>1</v>
      </c>
      <c r="U2864" s="5" t="s">
        <v>245</v>
      </c>
      <c r="V2864" s="4" t="s">
        <v>270</v>
      </c>
      <c r="W2864" s="4" t="s">
        <v>271</v>
      </c>
      <c r="X2864" s="4" t="s">
        <v>273</v>
      </c>
      <c r="Y2864" s="4" t="s">
        <v>241</v>
      </c>
      <c r="AB2864" s="4" t="s">
        <v>241</v>
      </c>
      <c r="AD2864" s="5" t="s">
        <v>241</v>
      </c>
      <c r="AG2864" s="5" t="s">
        <v>246</v>
      </c>
      <c r="AH2864" s="4" t="s">
        <v>241</v>
      </c>
      <c r="AI2864" s="4" t="s">
        <v>247</v>
      </c>
      <c r="AJ2864" s="4" t="s">
        <v>248</v>
      </c>
      <c r="AZ2864" s="4" t="s">
        <v>249</v>
      </c>
      <c r="BA2864" s="4" t="s">
        <v>241</v>
      </c>
      <c r="BB2864" s="4" t="s">
        <v>250</v>
      </c>
      <c r="BC2864" s="4" t="s">
        <v>241</v>
      </c>
      <c r="BD2864" s="4" t="s">
        <v>252</v>
      </c>
      <c r="BE2864" s="4" t="s">
        <v>241</v>
      </c>
      <c r="BI2864" s="4" t="s">
        <v>253</v>
      </c>
      <c r="BJ2864" s="5" t="s">
        <v>246</v>
      </c>
      <c r="BK2864" s="4" t="s">
        <v>254</v>
      </c>
      <c r="BL2864" s="4" t="s">
        <v>255</v>
      </c>
      <c r="BM2864" s="4" t="s">
        <v>241</v>
      </c>
      <c r="BN2864" s="6">
        <f>0</f>
        <v>0</v>
      </c>
      <c r="BO2864" s="6">
        <f>0</f>
        <v>0</v>
      </c>
      <c r="BP2864" s="4" t="s">
        <v>256</v>
      </c>
      <c r="BQ2864" s="4" t="s">
        <v>257</v>
      </c>
      <c r="CE2864" s="4" t="s">
        <v>241</v>
      </c>
      <c r="CF2864" s="4" t="s">
        <v>241</v>
      </c>
      <c r="CJ2864" s="4" t="s">
        <v>276</v>
      </c>
      <c r="CK2864" s="4" t="s">
        <v>259</v>
      </c>
      <c r="CL2864" s="4" t="s">
        <v>241</v>
      </c>
      <c r="CO2864" s="5" t="s">
        <v>260</v>
      </c>
      <c r="CP2864" s="4" t="s">
        <v>241</v>
      </c>
      <c r="CQ2864" s="4" t="s">
        <v>261</v>
      </c>
      <c r="CR2864" s="4" t="s">
        <v>241</v>
      </c>
      <c r="CS2864" s="4" t="s">
        <v>241</v>
      </c>
      <c r="CT2864" s="4">
        <v>0</v>
      </c>
      <c r="CU2864" s="4" t="s">
        <v>262</v>
      </c>
      <c r="CV2864" s="4" t="s">
        <v>263</v>
      </c>
      <c r="CW2864" s="4" t="s">
        <v>263</v>
      </c>
      <c r="CX2864" s="4" t="s">
        <v>264</v>
      </c>
      <c r="DA2864" s="6">
        <f>1</f>
        <v>1</v>
      </c>
      <c r="DC2864" s="4" t="s">
        <v>325</v>
      </c>
      <c r="DD2864" s="4" t="s">
        <v>241</v>
      </c>
      <c r="DF2864" s="4" t="s">
        <v>325</v>
      </c>
      <c r="DG2864" s="6">
        <f>2301</f>
        <v>2301</v>
      </c>
      <c r="DI2864" s="4" t="s">
        <v>241</v>
      </c>
      <c r="DJ2864" s="4" t="s">
        <v>241</v>
      </c>
      <c r="DK2864" s="4" t="s">
        <v>241</v>
      </c>
      <c r="DL2864" s="4" t="s">
        <v>241</v>
      </c>
      <c r="DP2864" s="4" t="s">
        <v>241</v>
      </c>
      <c r="DQ2864" s="4" t="s">
        <v>241</v>
      </c>
      <c r="DR2864" s="4" t="s">
        <v>241</v>
      </c>
      <c r="DS2864" s="4" t="s">
        <v>241</v>
      </c>
      <c r="DV2864" s="4" t="s">
        <v>426</v>
      </c>
      <c r="DW2864" s="4" t="s">
        <v>2160</v>
      </c>
      <c r="HO2864" s="4" t="s">
        <v>267</v>
      </c>
    </row>
    <row r="2865" spans="1:223" ht="19.5" customHeight="1" x14ac:dyDescent="0.4">
      <c r="A2865" s="4">
        <v>1</v>
      </c>
      <c r="B2865" s="4" t="s">
        <v>239</v>
      </c>
      <c r="C2865" s="4">
        <v>4568</v>
      </c>
      <c r="D2865" s="4">
        <v>1</v>
      </c>
      <c r="E2865" s="4">
        <v>1</v>
      </c>
      <c r="F2865" s="4" t="s">
        <v>268</v>
      </c>
      <c r="G2865" s="4" t="s">
        <v>241</v>
      </c>
      <c r="H2865" s="4" t="s">
        <v>241</v>
      </c>
      <c r="I2865" s="4" t="s">
        <v>424</v>
      </c>
      <c r="J2865" s="4" t="s">
        <v>274</v>
      </c>
      <c r="K2865" s="4" t="s">
        <v>251</v>
      </c>
      <c r="L2865" s="4" t="s">
        <v>423</v>
      </c>
      <c r="M2865" s="5" t="s">
        <v>3751</v>
      </c>
      <c r="N2865" s="6">
        <f>323</f>
        <v>323</v>
      </c>
      <c r="O2865" s="4" t="s">
        <v>265</v>
      </c>
      <c r="P2865" s="6">
        <f>1</f>
        <v>1</v>
      </c>
      <c r="Q2865" s="6">
        <f>0</f>
        <v>0</v>
      </c>
      <c r="S2865" s="6">
        <f>0</f>
        <v>0</v>
      </c>
      <c r="T2865" s="6">
        <f>1</f>
        <v>1</v>
      </c>
      <c r="U2865" s="5" t="s">
        <v>245</v>
      </c>
      <c r="V2865" s="4" t="s">
        <v>270</v>
      </c>
      <c r="W2865" s="4" t="s">
        <v>271</v>
      </c>
      <c r="X2865" s="4" t="s">
        <v>273</v>
      </c>
      <c r="Y2865" s="4" t="s">
        <v>241</v>
      </c>
      <c r="AB2865" s="4" t="s">
        <v>241</v>
      </c>
      <c r="AD2865" s="5" t="s">
        <v>241</v>
      </c>
      <c r="AG2865" s="5" t="s">
        <v>246</v>
      </c>
      <c r="AH2865" s="4" t="s">
        <v>241</v>
      </c>
      <c r="AI2865" s="4" t="s">
        <v>247</v>
      </c>
      <c r="AJ2865" s="4" t="s">
        <v>248</v>
      </c>
      <c r="AZ2865" s="4" t="s">
        <v>249</v>
      </c>
      <c r="BA2865" s="4" t="s">
        <v>241</v>
      </c>
      <c r="BB2865" s="4" t="s">
        <v>250</v>
      </c>
      <c r="BC2865" s="4" t="s">
        <v>241</v>
      </c>
      <c r="BD2865" s="4" t="s">
        <v>252</v>
      </c>
      <c r="BE2865" s="4" t="s">
        <v>241</v>
      </c>
      <c r="BI2865" s="4" t="s">
        <v>253</v>
      </c>
      <c r="BJ2865" s="5" t="s">
        <v>246</v>
      </c>
      <c r="BK2865" s="4" t="s">
        <v>254</v>
      </c>
      <c r="BL2865" s="4" t="s">
        <v>255</v>
      </c>
      <c r="BM2865" s="4" t="s">
        <v>241</v>
      </c>
      <c r="BN2865" s="6">
        <f>0</f>
        <v>0</v>
      </c>
      <c r="BO2865" s="6">
        <f>0</f>
        <v>0</v>
      </c>
      <c r="BP2865" s="4" t="s">
        <v>256</v>
      </c>
      <c r="BQ2865" s="4" t="s">
        <v>257</v>
      </c>
      <c r="CE2865" s="4" t="s">
        <v>241</v>
      </c>
      <c r="CF2865" s="4" t="s">
        <v>241</v>
      </c>
      <c r="CJ2865" s="4" t="s">
        <v>276</v>
      </c>
      <c r="CK2865" s="4" t="s">
        <v>259</v>
      </c>
      <c r="CL2865" s="4" t="s">
        <v>241</v>
      </c>
      <c r="CO2865" s="5" t="s">
        <v>260</v>
      </c>
      <c r="CP2865" s="4" t="s">
        <v>241</v>
      </c>
      <c r="CQ2865" s="4" t="s">
        <v>261</v>
      </c>
      <c r="CR2865" s="4" t="s">
        <v>241</v>
      </c>
      <c r="CS2865" s="4" t="s">
        <v>241</v>
      </c>
      <c r="CT2865" s="4">
        <v>0</v>
      </c>
      <c r="CU2865" s="4" t="s">
        <v>262</v>
      </c>
      <c r="CV2865" s="4" t="s">
        <v>263</v>
      </c>
      <c r="CW2865" s="4" t="s">
        <v>263</v>
      </c>
      <c r="CX2865" s="4" t="s">
        <v>264</v>
      </c>
      <c r="DA2865" s="6">
        <f>1</f>
        <v>1</v>
      </c>
      <c r="DC2865" s="4" t="s">
        <v>325</v>
      </c>
      <c r="DD2865" s="4" t="s">
        <v>241</v>
      </c>
      <c r="DF2865" s="4" t="s">
        <v>325</v>
      </c>
      <c r="DG2865" s="6">
        <f>323</f>
        <v>323</v>
      </c>
      <c r="DI2865" s="4" t="s">
        <v>241</v>
      </c>
      <c r="DJ2865" s="4" t="s">
        <v>241</v>
      </c>
      <c r="DK2865" s="4" t="s">
        <v>241</v>
      </c>
      <c r="DL2865" s="4" t="s">
        <v>241</v>
      </c>
      <c r="DP2865" s="4" t="s">
        <v>241</v>
      </c>
      <c r="DQ2865" s="4" t="s">
        <v>241</v>
      </c>
      <c r="DR2865" s="4" t="s">
        <v>241</v>
      </c>
      <c r="DS2865" s="4" t="s">
        <v>241</v>
      </c>
      <c r="DV2865" s="4" t="s">
        <v>426</v>
      </c>
      <c r="DW2865" s="4" t="s">
        <v>2158</v>
      </c>
      <c r="HO2865" s="4" t="s">
        <v>267</v>
      </c>
    </row>
    <row r="2866" spans="1:223" ht="19.5" customHeight="1" x14ac:dyDescent="0.4">
      <c r="A2866" s="4">
        <v>1</v>
      </c>
      <c r="B2866" s="4" t="s">
        <v>239</v>
      </c>
      <c r="C2866" s="4">
        <v>4569</v>
      </c>
      <c r="D2866" s="4">
        <v>1</v>
      </c>
      <c r="E2866" s="4">
        <v>1</v>
      </c>
      <c r="F2866" s="4" t="s">
        <v>268</v>
      </c>
      <c r="G2866" s="4" t="s">
        <v>241</v>
      </c>
      <c r="H2866" s="4" t="s">
        <v>241</v>
      </c>
      <c r="I2866" s="4" t="s">
        <v>424</v>
      </c>
      <c r="J2866" s="4" t="s">
        <v>274</v>
      </c>
      <c r="K2866" s="4" t="s">
        <v>251</v>
      </c>
      <c r="L2866" s="4" t="s">
        <v>423</v>
      </c>
      <c r="M2866" s="5" t="s">
        <v>3724</v>
      </c>
      <c r="N2866" s="6">
        <f>2452</f>
        <v>2452</v>
      </c>
      <c r="O2866" s="4" t="s">
        <v>265</v>
      </c>
      <c r="P2866" s="6">
        <f>1</f>
        <v>1</v>
      </c>
      <c r="Q2866" s="6">
        <f>0</f>
        <v>0</v>
      </c>
      <c r="S2866" s="6">
        <f>0</f>
        <v>0</v>
      </c>
      <c r="T2866" s="6">
        <f>1</f>
        <v>1</v>
      </c>
      <c r="U2866" s="5" t="s">
        <v>245</v>
      </c>
      <c r="V2866" s="4" t="s">
        <v>270</v>
      </c>
      <c r="W2866" s="4" t="s">
        <v>271</v>
      </c>
      <c r="X2866" s="4" t="s">
        <v>273</v>
      </c>
      <c r="Y2866" s="4" t="s">
        <v>241</v>
      </c>
      <c r="AB2866" s="4" t="s">
        <v>241</v>
      </c>
      <c r="AD2866" s="5" t="s">
        <v>241</v>
      </c>
      <c r="AG2866" s="5" t="s">
        <v>246</v>
      </c>
      <c r="AH2866" s="4" t="s">
        <v>241</v>
      </c>
      <c r="AI2866" s="4" t="s">
        <v>247</v>
      </c>
      <c r="AJ2866" s="4" t="s">
        <v>248</v>
      </c>
      <c r="AZ2866" s="4" t="s">
        <v>249</v>
      </c>
      <c r="BA2866" s="4" t="s">
        <v>241</v>
      </c>
      <c r="BB2866" s="4" t="s">
        <v>250</v>
      </c>
      <c r="BC2866" s="4" t="s">
        <v>241</v>
      </c>
      <c r="BD2866" s="4" t="s">
        <v>252</v>
      </c>
      <c r="BE2866" s="4" t="s">
        <v>241</v>
      </c>
      <c r="BI2866" s="4" t="s">
        <v>253</v>
      </c>
      <c r="BJ2866" s="5" t="s">
        <v>246</v>
      </c>
      <c r="BK2866" s="4" t="s">
        <v>254</v>
      </c>
      <c r="BL2866" s="4" t="s">
        <v>255</v>
      </c>
      <c r="BM2866" s="4" t="s">
        <v>241</v>
      </c>
      <c r="BN2866" s="6">
        <f>0</f>
        <v>0</v>
      </c>
      <c r="BO2866" s="6">
        <f>0</f>
        <v>0</v>
      </c>
      <c r="BP2866" s="4" t="s">
        <v>256</v>
      </c>
      <c r="BQ2866" s="4" t="s">
        <v>257</v>
      </c>
      <c r="CE2866" s="4" t="s">
        <v>241</v>
      </c>
      <c r="CF2866" s="4" t="s">
        <v>241</v>
      </c>
      <c r="CJ2866" s="4" t="s">
        <v>276</v>
      </c>
      <c r="CK2866" s="4" t="s">
        <v>259</v>
      </c>
      <c r="CL2866" s="4" t="s">
        <v>241</v>
      </c>
      <c r="CO2866" s="5" t="s">
        <v>260</v>
      </c>
      <c r="CP2866" s="4" t="s">
        <v>241</v>
      </c>
      <c r="CQ2866" s="4" t="s">
        <v>261</v>
      </c>
      <c r="CR2866" s="4" t="s">
        <v>241</v>
      </c>
      <c r="CS2866" s="4" t="s">
        <v>241</v>
      </c>
      <c r="CT2866" s="4">
        <v>0</v>
      </c>
      <c r="CU2866" s="4" t="s">
        <v>262</v>
      </c>
      <c r="CV2866" s="4" t="s">
        <v>263</v>
      </c>
      <c r="CW2866" s="4" t="s">
        <v>263</v>
      </c>
      <c r="CX2866" s="4" t="s">
        <v>264</v>
      </c>
      <c r="DA2866" s="6">
        <f>1</f>
        <v>1</v>
      </c>
      <c r="DC2866" s="4" t="s">
        <v>325</v>
      </c>
      <c r="DD2866" s="4" t="s">
        <v>241</v>
      </c>
      <c r="DF2866" s="4" t="s">
        <v>325</v>
      </c>
      <c r="DG2866" s="6">
        <f>2452</f>
        <v>2452</v>
      </c>
      <c r="DI2866" s="4" t="s">
        <v>241</v>
      </c>
      <c r="DJ2866" s="4" t="s">
        <v>241</v>
      </c>
      <c r="DK2866" s="4" t="s">
        <v>241</v>
      </c>
      <c r="DL2866" s="4" t="s">
        <v>241</v>
      </c>
      <c r="DP2866" s="4" t="s">
        <v>241</v>
      </c>
      <c r="DQ2866" s="4" t="s">
        <v>241</v>
      </c>
      <c r="DR2866" s="4" t="s">
        <v>241</v>
      </c>
      <c r="DS2866" s="4" t="s">
        <v>241</v>
      </c>
      <c r="DV2866" s="4" t="s">
        <v>426</v>
      </c>
      <c r="DW2866" s="4" t="s">
        <v>2335</v>
      </c>
      <c r="HO2866" s="4" t="s">
        <v>267</v>
      </c>
    </row>
    <row r="2867" spans="1:223" ht="19.5" customHeight="1" x14ac:dyDescent="0.4">
      <c r="A2867" s="4">
        <v>1</v>
      </c>
      <c r="B2867" s="4" t="s">
        <v>239</v>
      </c>
      <c r="C2867" s="4">
        <v>4570</v>
      </c>
      <c r="D2867" s="4">
        <v>1</v>
      </c>
      <c r="E2867" s="4">
        <v>1</v>
      </c>
      <c r="F2867" s="4" t="s">
        <v>268</v>
      </c>
      <c r="G2867" s="4" t="s">
        <v>241</v>
      </c>
      <c r="H2867" s="4" t="s">
        <v>241</v>
      </c>
      <c r="I2867" s="4" t="s">
        <v>424</v>
      </c>
      <c r="J2867" s="4" t="s">
        <v>274</v>
      </c>
      <c r="K2867" s="4" t="s">
        <v>251</v>
      </c>
      <c r="L2867" s="4" t="s">
        <v>423</v>
      </c>
      <c r="M2867" s="5" t="s">
        <v>3723</v>
      </c>
      <c r="N2867" s="6">
        <f>192</f>
        <v>192</v>
      </c>
      <c r="O2867" s="4" t="s">
        <v>265</v>
      </c>
      <c r="P2867" s="6">
        <f>1</f>
        <v>1</v>
      </c>
      <c r="Q2867" s="6">
        <f>0</f>
        <v>0</v>
      </c>
      <c r="S2867" s="6">
        <f>0</f>
        <v>0</v>
      </c>
      <c r="T2867" s="6">
        <f>1</f>
        <v>1</v>
      </c>
      <c r="U2867" s="5" t="s">
        <v>245</v>
      </c>
      <c r="V2867" s="4" t="s">
        <v>270</v>
      </c>
      <c r="W2867" s="4" t="s">
        <v>271</v>
      </c>
      <c r="X2867" s="4" t="s">
        <v>273</v>
      </c>
      <c r="Y2867" s="4" t="s">
        <v>241</v>
      </c>
      <c r="AB2867" s="4" t="s">
        <v>241</v>
      </c>
      <c r="AD2867" s="5" t="s">
        <v>241</v>
      </c>
      <c r="AG2867" s="5" t="s">
        <v>246</v>
      </c>
      <c r="AH2867" s="4" t="s">
        <v>241</v>
      </c>
      <c r="AI2867" s="4" t="s">
        <v>247</v>
      </c>
      <c r="AJ2867" s="4" t="s">
        <v>248</v>
      </c>
      <c r="AZ2867" s="4" t="s">
        <v>249</v>
      </c>
      <c r="BA2867" s="4" t="s">
        <v>241</v>
      </c>
      <c r="BB2867" s="4" t="s">
        <v>250</v>
      </c>
      <c r="BC2867" s="4" t="s">
        <v>241</v>
      </c>
      <c r="BD2867" s="4" t="s">
        <v>252</v>
      </c>
      <c r="BE2867" s="4" t="s">
        <v>241</v>
      </c>
      <c r="BI2867" s="4" t="s">
        <v>253</v>
      </c>
      <c r="BJ2867" s="5" t="s">
        <v>246</v>
      </c>
      <c r="BK2867" s="4" t="s">
        <v>254</v>
      </c>
      <c r="BL2867" s="4" t="s">
        <v>255</v>
      </c>
      <c r="BM2867" s="4" t="s">
        <v>241</v>
      </c>
      <c r="BN2867" s="6">
        <f>0</f>
        <v>0</v>
      </c>
      <c r="BO2867" s="6">
        <f>0</f>
        <v>0</v>
      </c>
      <c r="BP2867" s="4" t="s">
        <v>256</v>
      </c>
      <c r="BQ2867" s="4" t="s">
        <v>257</v>
      </c>
      <c r="CE2867" s="4" t="s">
        <v>241</v>
      </c>
      <c r="CF2867" s="4" t="s">
        <v>241</v>
      </c>
      <c r="CJ2867" s="4" t="s">
        <v>276</v>
      </c>
      <c r="CK2867" s="4" t="s">
        <v>259</v>
      </c>
      <c r="CL2867" s="4" t="s">
        <v>241</v>
      </c>
      <c r="CO2867" s="5" t="s">
        <v>260</v>
      </c>
      <c r="CP2867" s="4" t="s">
        <v>241</v>
      </c>
      <c r="CQ2867" s="4" t="s">
        <v>261</v>
      </c>
      <c r="CR2867" s="4" t="s">
        <v>241</v>
      </c>
      <c r="CS2867" s="4" t="s">
        <v>241</v>
      </c>
      <c r="CT2867" s="4">
        <v>0</v>
      </c>
      <c r="CU2867" s="4" t="s">
        <v>262</v>
      </c>
      <c r="CV2867" s="4" t="s">
        <v>263</v>
      </c>
      <c r="CW2867" s="4" t="s">
        <v>263</v>
      </c>
      <c r="CX2867" s="4" t="s">
        <v>264</v>
      </c>
      <c r="DA2867" s="6">
        <f>1</f>
        <v>1</v>
      </c>
      <c r="DC2867" s="4" t="s">
        <v>325</v>
      </c>
      <c r="DD2867" s="4" t="s">
        <v>241</v>
      </c>
      <c r="DF2867" s="4" t="s">
        <v>325</v>
      </c>
      <c r="DG2867" s="6">
        <f>192</f>
        <v>192</v>
      </c>
      <c r="DI2867" s="4" t="s">
        <v>241</v>
      </c>
      <c r="DJ2867" s="4" t="s">
        <v>241</v>
      </c>
      <c r="DK2867" s="4" t="s">
        <v>241</v>
      </c>
      <c r="DL2867" s="4" t="s">
        <v>241</v>
      </c>
      <c r="DP2867" s="4" t="s">
        <v>241</v>
      </c>
      <c r="DQ2867" s="4" t="s">
        <v>241</v>
      </c>
      <c r="DR2867" s="4" t="s">
        <v>241</v>
      </c>
      <c r="DS2867" s="4" t="s">
        <v>241</v>
      </c>
      <c r="DV2867" s="4" t="s">
        <v>426</v>
      </c>
      <c r="DW2867" s="4" t="s">
        <v>2152</v>
      </c>
      <c r="HO2867" s="4" t="s">
        <v>267</v>
      </c>
    </row>
    <row r="2868" spans="1:223" ht="19.5" customHeight="1" x14ac:dyDescent="0.4">
      <c r="A2868" s="4">
        <v>1</v>
      </c>
      <c r="B2868" s="4" t="s">
        <v>239</v>
      </c>
      <c r="C2868" s="4">
        <v>4571</v>
      </c>
      <c r="D2868" s="4">
        <v>1</v>
      </c>
      <c r="E2868" s="4">
        <v>1</v>
      </c>
      <c r="F2868" s="4" t="s">
        <v>268</v>
      </c>
      <c r="G2868" s="4" t="s">
        <v>241</v>
      </c>
      <c r="H2868" s="4" t="s">
        <v>241</v>
      </c>
      <c r="I2868" s="4" t="s">
        <v>424</v>
      </c>
      <c r="J2868" s="4" t="s">
        <v>274</v>
      </c>
      <c r="K2868" s="4" t="s">
        <v>251</v>
      </c>
      <c r="L2868" s="4" t="s">
        <v>423</v>
      </c>
      <c r="M2868" s="5" t="s">
        <v>3703</v>
      </c>
      <c r="N2868" s="6">
        <f>914</f>
        <v>914</v>
      </c>
      <c r="O2868" s="4" t="s">
        <v>265</v>
      </c>
      <c r="P2868" s="6">
        <f>1</f>
        <v>1</v>
      </c>
      <c r="Q2868" s="6">
        <f>0</f>
        <v>0</v>
      </c>
      <c r="S2868" s="6">
        <f>0</f>
        <v>0</v>
      </c>
      <c r="T2868" s="6">
        <f>1</f>
        <v>1</v>
      </c>
      <c r="U2868" s="5" t="s">
        <v>245</v>
      </c>
      <c r="V2868" s="4" t="s">
        <v>270</v>
      </c>
      <c r="W2868" s="4" t="s">
        <v>271</v>
      </c>
      <c r="X2868" s="4" t="s">
        <v>273</v>
      </c>
      <c r="Y2868" s="4" t="s">
        <v>241</v>
      </c>
      <c r="AB2868" s="4" t="s">
        <v>241</v>
      </c>
      <c r="AD2868" s="5" t="s">
        <v>241</v>
      </c>
      <c r="AG2868" s="5" t="s">
        <v>246</v>
      </c>
      <c r="AH2868" s="4" t="s">
        <v>241</v>
      </c>
      <c r="AI2868" s="4" t="s">
        <v>247</v>
      </c>
      <c r="AJ2868" s="4" t="s">
        <v>248</v>
      </c>
      <c r="AZ2868" s="4" t="s">
        <v>249</v>
      </c>
      <c r="BA2868" s="4" t="s">
        <v>241</v>
      </c>
      <c r="BB2868" s="4" t="s">
        <v>250</v>
      </c>
      <c r="BC2868" s="4" t="s">
        <v>241</v>
      </c>
      <c r="BD2868" s="4" t="s">
        <v>252</v>
      </c>
      <c r="BE2868" s="4" t="s">
        <v>241</v>
      </c>
      <c r="BI2868" s="4" t="s">
        <v>253</v>
      </c>
      <c r="BJ2868" s="5" t="s">
        <v>246</v>
      </c>
      <c r="BK2868" s="4" t="s">
        <v>254</v>
      </c>
      <c r="BL2868" s="4" t="s">
        <v>255</v>
      </c>
      <c r="BM2868" s="4" t="s">
        <v>241</v>
      </c>
      <c r="BN2868" s="6">
        <f>0</f>
        <v>0</v>
      </c>
      <c r="BO2868" s="6">
        <f>0</f>
        <v>0</v>
      </c>
      <c r="BP2868" s="4" t="s">
        <v>256</v>
      </c>
      <c r="BQ2868" s="4" t="s">
        <v>257</v>
      </c>
      <c r="CE2868" s="4" t="s">
        <v>241</v>
      </c>
      <c r="CF2868" s="4" t="s">
        <v>241</v>
      </c>
      <c r="CJ2868" s="4" t="s">
        <v>276</v>
      </c>
      <c r="CK2868" s="4" t="s">
        <v>259</v>
      </c>
      <c r="CL2868" s="4" t="s">
        <v>241</v>
      </c>
      <c r="CO2868" s="5" t="s">
        <v>260</v>
      </c>
      <c r="CP2868" s="4" t="s">
        <v>241</v>
      </c>
      <c r="CQ2868" s="4" t="s">
        <v>261</v>
      </c>
      <c r="CR2868" s="4" t="s">
        <v>241</v>
      </c>
      <c r="CS2868" s="4" t="s">
        <v>241</v>
      </c>
      <c r="CT2868" s="4">
        <v>0</v>
      </c>
      <c r="CU2868" s="4" t="s">
        <v>262</v>
      </c>
      <c r="CV2868" s="4" t="s">
        <v>263</v>
      </c>
      <c r="CW2868" s="4" t="s">
        <v>263</v>
      </c>
      <c r="CX2868" s="4" t="s">
        <v>264</v>
      </c>
      <c r="DA2868" s="6">
        <f>1</f>
        <v>1</v>
      </c>
      <c r="DC2868" s="4" t="s">
        <v>325</v>
      </c>
      <c r="DD2868" s="4" t="s">
        <v>241</v>
      </c>
      <c r="DF2868" s="4" t="s">
        <v>325</v>
      </c>
      <c r="DG2868" s="6">
        <f>914</f>
        <v>914</v>
      </c>
      <c r="DI2868" s="4" t="s">
        <v>241</v>
      </c>
      <c r="DJ2868" s="4" t="s">
        <v>241</v>
      </c>
      <c r="DK2868" s="4" t="s">
        <v>241</v>
      </c>
      <c r="DL2868" s="4" t="s">
        <v>241</v>
      </c>
      <c r="DP2868" s="4" t="s">
        <v>241</v>
      </c>
      <c r="DQ2868" s="4" t="s">
        <v>241</v>
      </c>
      <c r="DR2868" s="4" t="s">
        <v>241</v>
      </c>
      <c r="DS2868" s="4" t="s">
        <v>241</v>
      </c>
      <c r="DV2868" s="4" t="s">
        <v>426</v>
      </c>
      <c r="DW2868" s="4" t="s">
        <v>2150</v>
      </c>
      <c r="HO2868" s="4" t="s">
        <v>267</v>
      </c>
    </row>
    <row r="2869" spans="1:223" ht="19.5" customHeight="1" x14ac:dyDescent="0.4">
      <c r="A2869" s="4">
        <v>1</v>
      </c>
      <c r="B2869" s="4" t="s">
        <v>239</v>
      </c>
      <c r="C2869" s="4">
        <v>4572</v>
      </c>
      <c r="D2869" s="4">
        <v>1</v>
      </c>
      <c r="E2869" s="4">
        <v>1</v>
      </c>
      <c r="F2869" s="4" t="s">
        <v>268</v>
      </c>
      <c r="G2869" s="4" t="s">
        <v>241</v>
      </c>
      <c r="H2869" s="4" t="s">
        <v>241</v>
      </c>
      <c r="I2869" s="4" t="s">
        <v>424</v>
      </c>
      <c r="J2869" s="4" t="s">
        <v>274</v>
      </c>
      <c r="K2869" s="4" t="s">
        <v>251</v>
      </c>
      <c r="L2869" s="4" t="s">
        <v>423</v>
      </c>
      <c r="M2869" s="5" t="s">
        <v>3686</v>
      </c>
      <c r="N2869" s="6">
        <f>2560</f>
        <v>2560</v>
      </c>
      <c r="O2869" s="4" t="s">
        <v>265</v>
      </c>
      <c r="P2869" s="6">
        <f>1</f>
        <v>1</v>
      </c>
      <c r="Q2869" s="6">
        <f>0</f>
        <v>0</v>
      </c>
      <c r="S2869" s="6">
        <f>0</f>
        <v>0</v>
      </c>
      <c r="T2869" s="6">
        <f>1</f>
        <v>1</v>
      </c>
      <c r="U2869" s="5" t="s">
        <v>245</v>
      </c>
      <c r="V2869" s="4" t="s">
        <v>270</v>
      </c>
      <c r="W2869" s="4" t="s">
        <v>271</v>
      </c>
      <c r="X2869" s="4" t="s">
        <v>273</v>
      </c>
      <c r="Y2869" s="4" t="s">
        <v>241</v>
      </c>
      <c r="AB2869" s="4" t="s">
        <v>241</v>
      </c>
      <c r="AD2869" s="5" t="s">
        <v>241</v>
      </c>
      <c r="AG2869" s="5" t="s">
        <v>246</v>
      </c>
      <c r="AH2869" s="4" t="s">
        <v>241</v>
      </c>
      <c r="AI2869" s="4" t="s">
        <v>247</v>
      </c>
      <c r="AJ2869" s="4" t="s">
        <v>248</v>
      </c>
      <c r="AZ2869" s="4" t="s">
        <v>249</v>
      </c>
      <c r="BA2869" s="4" t="s">
        <v>241</v>
      </c>
      <c r="BB2869" s="4" t="s">
        <v>250</v>
      </c>
      <c r="BC2869" s="4" t="s">
        <v>241</v>
      </c>
      <c r="BD2869" s="4" t="s">
        <v>252</v>
      </c>
      <c r="BE2869" s="4" t="s">
        <v>241</v>
      </c>
      <c r="BI2869" s="4" t="s">
        <v>253</v>
      </c>
      <c r="BJ2869" s="5" t="s">
        <v>246</v>
      </c>
      <c r="BK2869" s="4" t="s">
        <v>254</v>
      </c>
      <c r="BL2869" s="4" t="s">
        <v>255</v>
      </c>
      <c r="BM2869" s="4" t="s">
        <v>241</v>
      </c>
      <c r="BN2869" s="6">
        <f>0</f>
        <v>0</v>
      </c>
      <c r="BO2869" s="6">
        <f>0</f>
        <v>0</v>
      </c>
      <c r="BP2869" s="4" t="s">
        <v>256</v>
      </c>
      <c r="BQ2869" s="4" t="s">
        <v>257</v>
      </c>
      <c r="CE2869" s="4" t="s">
        <v>241</v>
      </c>
      <c r="CF2869" s="4" t="s">
        <v>241</v>
      </c>
      <c r="CJ2869" s="4" t="s">
        <v>276</v>
      </c>
      <c r="CK2869" s="4" t="s">
        <v>259</v>
      </c>
      <c r="CL2869" s="4" t="s">
        <v>241</v>
      </c>
      <c r="CO2869" s="5" t="s">
        <v>260</v>
      </c>
      <c r="CP2869" s="4" t="s">
        <v>241</v>
      </c>
      <c r="CQ2869" s="4" t="s">
        <v>261</v>
      </c>
      <c r="CR2869" s="4" t="s">
        <v>241</v>
      </c>
      <c r="CS2869" s="4" t="s">
        <v>241</v>
      </c>
      <c r="CT2869" s="4">
        <v>0</v>
      </c>
      <c r="CU2869" s="4" t="s">
        <v>262</v>
      </c>
      <c r="CV2869" s="4" t="s">
        <v>263</v>
      </c>
      <c r="CW2869" s="4" t="s">
        <v>263</v>
      </c>
      <c r="CX2869" s="4" t="s">
        <v>264</v>
      </c>
      <c r="DA2869" s="6">
        <f>1</f>
        <v>1</v>
      </c>
      <c r="DC2869" s="4" t="s">
        <v>325</v>
      </c>
      <c r="DD2869" s="4" t="s">
        <v>241</v>
      </c>
      <c r="DF2869" s="4" t="s">
        <v>325</v>
      </c>
      <c r="DG2869" s="6">
        <f>2560</f>
        <v>2560</v>
      </c>
      <c r="DI2869" s="4" t="s">
        <v>241</v>
      </c>
      <c r="DJ2869" s="4" t="s">
        <v>241</v>
      </c>
      <c r="DK2869" s="4" t="s">
        <v>241</v>
      </c>
      <c r="DL2869" s="4" t="s">
        <v>241</v>
      </c>
      <c r="DP2869" s="4" t="s">
        <v>241</v>
      </c>
      <c r="DQ2869" s="4" t="s">
        <v>241</v>
      </c>
      <c r="DR2869" s="4" t="s">
        <v>241</v>
      </c>
      <c r="DS2869" s="4" t="s">
        <v>241</v>
      </c>
      <c r="DV2869" s="4" t="s">
        <v>426</v>
      </c>
      <c r="DW2869" s="4" t="s">
        <v>2148</v>
      </c>
      <c r="HO2869" s="4" t="s">
        <v>267</v>
      </c>
    </row>
    <row r="2870" spans="1:223" ht="19.5" customHeight="1" x14ac:dyDescent="0.4">
      <c r="A2870" s="4">
        <v>1</v>
      </c>
      <c r="B2870" s="4" t="s">
        <v>239</v>
      </c>
      <c r="C2870" s="4">
        <v>4573</v>
      </c>
      <c r="D2870" s="4">
        <v>1</v>
      </c>
      <c r="E2870" s="4">
        <v>1</v>
      </c>
      <c r="F2870" s="4" t="s">
        <v>268</v>
      </c>
      <c r="G2870" s="4" t="s">
        <v>241</v>
      </c>
      <c r="H2870" s="4" t="s">
        <v>241</v>
      </c>
      <c r="I2870" s="4" t="s">
        <v>424</v>
      </c>
      <c r="J2870" s="4" t="s">
        <v>274</v>
      </c>
      <c r="K2870" s="4" t="s">
        <v>251</v>
      </c>
      <c r="L2870" s="4" t="s">
        <v>423</v>
      </c>
      <c r="M2870" s="5" t="s">
        <v>3677</v>
      </c>
      <c r="N2870" s="6">
        <f>976</f>
        <v>976</v>
      </c>
      <c r="O2870" s="4" t="s">
        <v>265</v>
      </c>
      <c r="P2870" s="6">
        <f>1</f>
        <v>1</v>
      </c>
      <c r="Q2870" s="6">
        <f>0</f>
        <v>0</v>
      </c>
      <c r="S2870" s="6">
        <f>0</f>
        <v>0</v>
      </c>
      <c r="T2870" s="6">
        <f>1</f>
        <v>1</v>
      </c>
      <c r="U2870" s="5" t="s">
        <v>245</v>
      </c>
      <c r="V2870" s="4" t="s">
        <v>270</v>
      </c>
      <c r="W2870" s="4" t="s">
        <v>271</v>
      </c>
      <c r="X2870" s="4" t="s">
        <v>273</v>
      </c>
      <c r="Y2870" s="4" t="s">
        <v>241</v>
      </c>
      <c r="AB2870" s="4" t="s">
        <v>241</v>
      </c>
      <c r="AD2870" s="5" t="s">
        <v>241</v>
      </c>
      <c r="AG2870" s="5" t="s">
        <v>246</v>
      </c>
      <c r="AH2870" s="4" t="s">
        <v>241</v>
      </c>
      <c r="AI2870" s="4" t="s">
        <v>247</v>
      </c>
      <c r="AJ2870" s="4" t="s">
        <v>248</v>
      </c>
      <c r="AZ2870" s="4" t="s">
        <v>249</v>
      </c>
      <c r="BA2870" s="4" t="s">
        <v>241</v>
      </c>
      <c r="BB2870" s="4" t="s">
        <v>250</v>
      </c>
      <c r="BC2870" s="4" t="s">
        <v>241</v>
      </c>
      <c r="BD2870" s="4" t="s">
        <v>252</v>
      </c>
      <c r="BE2870" s="4" t="s">
        <v>241</v>
      </c>
      <c r="BI2870" s="4" t="s">
        <v>253</v>
      </c>
      <c r="BJ2870" s="5" t="s">
        <v>246</v>
      </c>
      <c r="BK2870" s="4" t="s">
        <v>254</v>
      </c>
      <c r="BL2870" s="4" t="s">
        <v>255</v>
      </c>
      <c r="BM2870" s="4" t="s">
        <v>241</v>
      </c>
      <c r="BN2870" s="6">
        <f>0</f>
        <v>0</v>
      </c>
      <c r="BO2870" s="6">
        <f>0</f>
        <v>0</v>
      </c>
      <c r="BP2870" s="4" t="s">
        <v>256</v>
      </c>
      <c r="BQ2870" s="4" t="s">
        <v>257</v>
      </c>
      <c r="CE2870" s="4" t="s">
        <v>241</v>
      </c>
      <c r="CF2870" s="4" t="s">
        <v>241</v>
      </c>
      <c r="CJ2870" s="4" t="s">
        <v>276</v>
      </c>
      <c r="CK2870" s="4" t="s">
        <v>259</v>
      </c>
      <c r="CL2870" s="4" t="s">
        <v>241</v>
      </c>
      <c r="CO2870" s="5" t="s">
        <v>260</v>
      </c>
      <c r="CP2870" s="4" t="s">
        <v>241</v>
      </c>
      <c r="CQ2870" s="4" t="s">
        <v>261</v>
      </c>
      <c r="CR2870" s="4" t="s">
        <v>241</v>
      </c>
      <c r="CS2870" s="4" t="s">
        <v>241</v>
      </c>
      <c r="CT2870" s="4">
        <v>0</v>
      </c>
      <c r="CU2870" s="4" t="s">
        <v>262</v>
      </c>
      <c r="CV2870" s="4" t="s">
        <v>263</v>
      </c>
      <c r="CW2870" s="4" t="s">
        <v>263</v>
      </c>
      <c r="CX2870" s="4" t="s">
        <v>264</v>
      </c>
      <c r="DA2870" s="6">
        <f>1</f>
        <v>1</v>
      </c>
      <c r="DC2870" s="4" t="s">
        <v>325</v>
      </c>
      <c r="DD2870" s="4" t="s">
        <v>241</v>
      </c>
      <c r="DF2870" s="4" t="s">
        <v>325</v>
      </c>
      <c r="DG2870" s="6">
        <f>976</f>
        <v>976</v>
      </c>
      <c r="DI2870" s="4" t="s">
        <v>241</v>
      </c>
      <c r="DJ2870" s="4" t="s">
        <v>241</v>
      </c>
      <c r="DK2870" s="4" t="s">
        <v>241</v>
      </c>
      <c r="DL2870" s="4" t="s">
        <v>241</v>
      </c>
      <c r="DP2870" s="4" t="s">
        <v>241</v>
      </c>
      <c r="DQ2870" s="4" t="s">
        <v>241</v>
      </c>
      <c r="DR2870" s="4" t="s">
        <v>241</v>
      </c>
      <c r="DS2870" s="4" t="s">
        <v>241</v>
      </c>
      <c r="DV2870" s="4" t="s">
        <v>426</v>
      </c>
      <c r="DW2870" s="4" t="s">
        <v>2146</v>
      </c>
      <c r="HO2870" s="4" t="s">
        <v>267</v>
      </c>
    </row>
    <row r="2871" spans="1:223" ht="19.5" customHeight="1" x14ac:dyDescent="0.4">
      <c r="A2871" s="4">
        <v>1</v>
      </c>
      <c r="B2871" s="4" t="s">
        <v>239</v>
      </c>
      <c r="C2871" s="4">
        <v>4574</v>
      </c>
      <c r="D2871" s="4">
        <v>1</v>
      </c>
      <c r="E2871" s="4">
        <v>1</v>
      </c>
      <c r="F2871" s="4" t="s">
        <v>268</v>
      </c>
      <c r="G2871" s="4" t="s">
        <v>241</v>
      </c>
      <c r="H2871" s="4" t="s">
        <v>241</v>
      </c>
      <c r="I2871" s="4" t="s">
        <v>424</v>
      </c>
      <c r="J2871" s="4" t="s">
        <v>274</v>
      </c>
      <c r="K2871" s="4" t="s">
        <v>251</v>
      </c>
      <c r="L2871" s="4" t="s">
        <v>423</v>
      </c>
      <c r="M2871" s="5" t="s">
        <v>3663</v>
      </c>
      <c r="N2871" s="6">
        <f>1369</f>
        <v>1369</v>
      </c>
      <c r="O2871" s="4" t="s">
        <v>265</v>
      </c>
      <c r="P2871" s="6">
        <f>1</f>
        <v>1</v>
      </c>
      <c r="Q2871" s="6">
        <f>0</f>
        <v>0</v>
      </c>
      <c r="S2871" s="6">
        <f>0</f>
        <v>0</v>
      </c>
      <c r="T2871" s="6">
        <f>1</f>
        <v>1</v>
      </c>
      <c r="U2871" s="5" t="s">
        <v>245</v>
      </c>
      <c r="V2871" s="4" t="s">
        <v>270</v>
      </c>
      <c r="W2871" s="4" t="s">
        <v>271</v>
      </c>
      <c r="X2871" s="4" t="s">
        <v>273</v>
      </c>
      <c r="Y2871" s="4" t="s">
        <v>241</v>
      </c>
      <c r="AB2871" s="4" t="s">
        <v>241</v>
      </c>
      <c r="AD2871" s="5" t="s">
        <v>241</v>
      </c>
      <c r="AG2871" s="5" t="s">
        <v>246</v>
      </c>
      <c r="AH2871" s="4" t="s">
        <v>241</v>
      </c>
      <c r="AI2871" s="4" t="s">
        <v>247</v>
      </c>
      <c r="AJ2871" s="4" t="s">
        <v>248</v>
      </c>
      <c r="AZ2871" s="4" t="s">
        <v>249</v>
      </c>
      <c r="BA2871" s="4" t="s">
        <v>241</v>
      </c>
      <c r="BB2871" s="4" t="s">
        <v>250</v>
      </c>
      <c r="BC2871" s="4" t="s">
        <v>241</v>
      </c>
      <c r="BD2871" s="4" t="s">
        <v>252</v>
      </c>
      <c r="BE2871" s="4" t="s">
        <v>241</v>
      </c>
      <c r="BI2871" s="4" t="s">
        <v>253</v>
      </c>
      <c r="BJ2871" s="5" t="s">
        <v>246</v>
      </c>
      <c r="BK2871" s="4" t="s">
        <v>254</v>
      </c>
      <c r="BL2871" s="4" t="s">
        <v>255</v>
      </c>
      <c r="BM2871" s="4" t="s">
        <v>241</v>
      </c>
      <c r="BN2871" s="6">
        <f>0</f>
        <v>0</v>
      </c>
      <c r="BO2871" s="6">
        <f>0</f>
        <v>0</v>
      </c>
      <c r="BP2871" s="4" t="s">
        <v>256</v>
      </c>
      <c r="BQ2871" s="4" t="s">
        <v>257</v>
      </c>
      <c r="CE2871" s="4" t="s">
        <v>241</v>
      </c>
      <c r="CF2871" s="4" t="s">
        <v>241</v>
      </c>
      <c r="CJ2871" s="4" t="s">
        <v>276</v>
      </c>
      <c r="CK2871" s="4" t="s">
        <v>259</v>
      </c>
      <c r="CL2871" s="4" t="s">
        <v>241</v>
      </c>
      <c r="CO2871" s="5" t="s">
        <v>260</v>
      </c>
      <c r="CP2871" s="4" t="s">
        <v>241</v>
      </c>
      <c r="CQ2871" s="4" t="s">
        <v>261</v>
      </c>
      <c r="CR2871" s="4" t="s">
        <v>241</v>
      </c>
      <c r="CS2871" s="4" t="s">
        <v>241</v>
      </c>
      <c r="CT2871" s="4">
        <v>0</v>
      </c>
      <c r="CU2871" s="4" t="s">
        <v>262</v>
      </c>
      <c r="CV2871" s="4" t="s">
        <v>263</v>
      </c>
      <c r="CW2871" s="4" t="s">
        <v>263</v>
      </c>
      <c r="CX2871" s="4" t="s">
        <v>264</v>
      </c>
      <c r="DA2871" s="6">
        <f>1</f>
        <v>1</v>
      </c>
      <c r="DC2871" s="4" t="s">
        <v>325</v>
      </c>
      <c r="DD2871" s="4" t="s">
        <v>241</v>
      </c>
      <c r="DF2871" s="4" t="s">
        <v>325</v>
      </c>
      <c r="DG2871" s="6">
        <f>1369</f>
        <v>1369</v>
      </c>
      <c r="DI2871" s="4" t="s">
        <v>241</v>
      </c>
      <c r="DJ2871" s="4" t="s">
        <v>241</v>
      </c>
      <c r="DK2871" s="4" t="s">
        <v>241</v>
      </c>
      <c r="DL2871" s="4" t="s">
        <v>241</v>
      </c>
      <c r="DP2871" s="4" t="s">
        <v>241</v>
      </c>
      <c r="DQ2871" s="4" t="s">
        <v>241</v>
      </c>
      <c r="DR2871" s="4" t="s">
        <v>241</v>
      </c>
      <c r="DS2871" s="4" t="s">
        <v>241</v>
      </c>
      <c r="DV2871" s="4" t="s">
        <v>426</v>
      </c>
      <c r="DW2871" s="4" t="s">
        <v>2142</v>
      </c>
      <c r="HO2871" s="4" t="s">
        <v>267</v>
      </c>
    </row>
    <row r="2872" spans="1:223" ht="19.5" customHeight="1" x14ac:dyDescent="0.4">
      <c r="A2872" s="4">
        <v>1</v>
      </c>
      <c r="B2872" s="4" t="s">
        <v>239</v>
      </c>
      <c r="C2872" s="4">
        <v>4575</v>
      </c>
      <c r="D2872" s="4">
        <v>1</v>
      </c>
      <c r="E2872" s="4">
        <v>1</v>
      </c>
      <c r="F2872" s="4" t="s">
        <v>268</v>
      </c>
      <c r="G2872" s="4" t="s">
        <v>241</v>
      </c>
      <c r="H2872" s="4" t="s">
        <v>241</v>
      </c>
      <c r="I2872" s="4" t="s">
        <v>424</v>
      </c>
      <c r="J2872" s="4" t="s">
        <v>274</v>
      </c>
      <c r="K2872" s="4" t="s">
        <v>251</v>
      </c>
      <c r="L2872" s="4" t="s">
        <v>423</v>
      </c>
      <c r="M2872" s="5" t="s">
        <v>3652</v>
      </c>
      <c r="N2872" s="6">
        <f>1394</f>
        <v>1394</v>
      </c>
      <c r="O2872" s="4" t="s">
        <v>265</v>
      </c>
      <c r="P2872" s="6">
        <f>1</f>
        <v>1</v>
      </c>
      <c r="Q2872" s="6">
        <f>0</f>
        <v>0</v>
      </c>
      <c r="S2872" s="6">
        <f>0</f>
        <v>0</v>
      </c>
      <c r="T2872" s="6">
        <f>1</f>
        <v>1</v>
      </c>
      <c r="U2872" s="5" t="s">
        <v>245</v>
      </c>
      <c r="V2872" s="4" t="s">
        <v>270</v>
      </c>
      <c r="W2872" s="4" t="s">
        <v>271</v>
      </c>
      <c r="X2872" s="4" t="s">
        <v>273</v>
      </c>
      <c r="Y2872" s="4" t="s">
        <v>241</v>
      </c>
      <c r="AB2872" s="4" t="s">
        <v>241</v>
      </c>
      <c r="AD2872" s="5" t="s">
        <v>241</v>
      </c>
      <c r="AG2872" s="5" t="s">
        <v>246</v>
      </c>
      <c r="AH2872" s="4" t="s">
        <v>241</v>
      </c>
      <c r="AI2872" s="4" t="s">
        <v>247</v>
      </c>
      <c r="AJ2872" s="4" t="s">
        <v>248</v>
      </c>
      <c r="AZ2872" s="4" t="s">
        <v>249</v>
      </c>
      <c r="BA2872" s="4" t="s">
        <v>241</v>
      </c>
      <c r="BB2872" s="4" t="s">
        <v>250</v>
      </c>
      <c r="BC2872" s="4" t="s">
        <v>241</v>
      </c>
      <c r="BD2872" s="4" t="s">
        <v>252</v>
      </c>
      <c r="BE2872" s="4" t="s">
        <v>241</v>
      </c>
      <c r="BI2872" s="4" t="s">
        <v>253</v>
      </c>
      <c r="BJ2872" s="5" t="s">
        <v>246</v>
      </c>
      <c r="BK2872" s="4" t="s">
        <v>254</v>
      </c>
      <c r="BL2872" s="4" t="s">
        <v>255</v>
      </c>
      <c r="BM2872" s="4" t="s">
        <v>241</v>
      </c>
      <c r="BN2872" s="6">
        <f>0</f>
        <v>0</v>
      </c>
      <c r="BO2872" s="6">
        <f>0</f>
        <v>0</v>
      </c>
      <c r="BP2872" s="4" t="s">
        <v>256</v>
      </c>
      <c r="BQ2872" s="4" t="s">
        <v>257</v>
      </c>
      <c r="CE2872" s="4" t="s">
        <v>241</v>
      </c>
      <c r="CF2872" s="4" t="s">
        <v>241</v>
      </c>
      <c r="CJ2872" s="4" t="s">
        <v>276</v>
      </c>
      <c r="CK2872" s="4" t="s">
        <v>259</v>
      </c>
      <c r="CL2872" s="4" t="s">
        <v>241</v>
      </c>
      <c r="CO2872" s="5" t="s">
        <v>260</v>
      </c>
      <c r="CP2872" s="4" t="s">
        <v>241</v>
      </c>
      <c r="CQ2872" s="4" t="s">
        <v>261</v>
      </c>
      <c r="CR2872" s="4" t="s">
        <v>241</v>
      </c>
      <c r="CS2872" s="4" t="s">
        <v>241</v>
      </c>
      <c r="CT2872" s="4">
        <v>0</v>
      </c>
      <c r="CU2872" s="4" t="s">
        <v>262</v>
      </c>
      <c r="CV2872" s="4" t="s">
        <v>263</v>
      </c>
      <c r="CW2872" s="4" t="s">
        <v>263</v>
      </c>
      <c r="CX2872" s="4" t="s">
        <v>264</v>
      </c>
      <c r="DA2872" s="6">
        <f>1</f>
        <v>1</v>
      </c>
      <c r="DC2872" s="4" t="s">
        <v>325</v>
      </c>
      <c r="DD2872" s="4" t="s">
        <v>241</v>
      </c>
      <c r="DF2872" s="4" t="s">
        <v>325</v>
      </c>
      <c r="DG2872" s="6">
        <f>1394</f>
        <v>1394</v>
      </c>
      <c r="DI2872" s="4" t="s">
        <v>241</v>
      </c>
      <c r="DJ2872" s="4" t="s">
        <v>241</v>
      </c>
      <c r="DK2872" s="4" t="s">
        <v>241</v>
      </c>
      <c r="DL2872" s="4" t="s">
        <v>241</v>
      </c>
      <c r="DP2872" s="4" t="s">
        <v>241</v>
      </c>
      <c r="DQ2872" s="4" t="s">
        <v>241</v>
      </c>
      <c r="DR2872" s="4" t="s">
        <v>241</v>
      </c>
      <c r="DS2872" s="4" t="s">
        <v>241</v>
      </c>
      <c r="DV2872" s="4" t="s">
        <v>426</v>
      </c>
      <c r="DW2872" s="4" t="s">
        <v>2138</v>
      </c>
      <c r="HO2872" s="4" t="s">
        <v>267</v>
      </c>
    </row>
    <row r="2873" spans="1:223" ht="19.5" customHeight="1" x14ac:dyDescent="0.4">
      <c r="A2873" s="4">
        <v>1</v>
      </c>
      <c r="B2873" s="4" t="s">
        <v>239</v>
      </c>
      <c r="C2873" s="4">
        <v>4576</v>
      </c>
      <c r="D2873" s="4">
        <v>1</v>
      </c>
      <c r="E2873" s="4">
        <v>1</v>
      </c>
      <c r="F2873" s="4" t="s">
        <v>268</v>
      </c>
      <c r="G2873" s="4" t="s">
        <v>241</v>
      </c>
      <c r="H2873" s="4" t="s">
        <v>241</v>
      </c>
      <c r="I2873" s="4" t="s">
        <v>424</v>
      </c>
      <c r="J2873" s="4" t="s">
        <v>274</v>
      </c>
      <c r="K2873" s="4" t="s">
        <v>251</v>
      </c>
      <c r="L2873" s="4" t="s">
        <v>423</v>
      </c>
      <c r="M2873" s="5" t="s">
        <v>3639</v>
      </c>
      <c r="N2873" s="6">
        <f>2252</f>
        <v>2252</v>
      </c>
      <c r="O2873" s="4" t="s">
        <v>265</v>
      </c>
      <c r="P2873" s="6">
        <f>1</f>
        <v>1</v>
      </c>
      <c r="Q2873" s="6">
        <f>0</f>
        <v>0</v>
      </c>
      <c r="S2873" s="6">
        <f>0</f>
        <v>0</v>
      </c>
      <c r="T2873" s="6">
        <f>1</f>
        <v>1</v>
      </c>
      <c r="U2873" s="5" t="s">
        <v>245</v>
      </c>
      <c r="V2873" s="4" t="s">
        <v>270</v>
      </c>
      <c r="W2873" s="4" t="s">
        <v>271</v>
      </c>
      <c r="X2873" s="4" t="s">
        <v>273</v>
      </c>
      <c r="Y2873" s="4" t="s">
        <v>241</v>
      </c>
      <c r="AB2873" s="4" t="s">
        <v>241</v>
      </c>
      <c r="AD2873" s="5" t="s">
        <v>241</v>
      </c>
      <c r="AG2873" s="5" t="s">
        <v>246</v>
      </c>
      <c r="AH2873" s="4" t="s">
        <v>241</v>
      </c>
      <c r="AI2873" s="4" t="s">
        <v>247</v>
      </c>
      <c r="AJ2873" s="4" t="s">
        <v>248</v>
      </c>
      <c r="AZ2873" s="4" t="s">
        <v>249</v>
      </c>
      <c r="BA2873" s="4" t="s">
        <v>241</v>
      </c>
      <c r="BB2873" s="4" t="s">
        <v>250</v>
      </c>
      <c r="BC2873" s="4" t="s">
        <v>241</v>
      </c>
      <c r="BD2873" s="4" t="s">
        <v>252</v>
      </c>
      <c r="BE2873" s="4" t="s">
        <v>241</v>
      </c>
      <c r="BI2873" s="4" t="s">
        <v>253</v>
      </c>
      <c r="BJ2873" s="5" t="s">
        <v>246</v>
      </c>
      <c r="BK2873" s="4" t="s">
        <v>254</v>
      </c>
      <c r="BL2873" s="4" t="s">
        <v>255</v>
      </c>
      <c r="BM2873" s="4" t="s">
        <v>241</v>
      </c>
      <c r="BN2873" s="6">
        <f>0</f>
        <v>0</v>
      </c>
      <c r="BO2873" s="6">
        <f>0</f>
        <v>0</v>
      </c>
      <c r="BP2873" s="4" t="s">
        <v>256</v>
      </c>
      <c r="BQ2873" s="4" t="s">
        <v>257</v>
      </c>
      <c r="CE2873" s="4" t="s">
        <v>241</v>
      </c>
      <c r="CF2873" s="4" t="s">
        <v>241</v>
      </c>
      <c r="CJ2873" s="4" t="s">
        <v>276</v>
      </c>
      <c r="CK2873" s="4" t="s">
        <v>259</v>
      </c>
      <c r="CL2873" s="4" t="s">
        <v>241</v>
      </c>
      <c r="CO2873" s="5" t="s">
        <v>260</v>
      </c>
      <c r="CP2873" s="4" t="s">
        <v>241</v>
      </c>
      <c r="CQ2873" s="4" t="s">
        <v>261</v>
      </c>
      <c r="CR2873" s="4" t="s">
        <v>241</v>
      </c>
      <c r="CS2873" s="4" t="s">
        <v>241</v>
      </c>
      <c r="CT2873" s="4">
        <v>0</v>
      </c>
      <c r="CU2873" s="4" t="s">
        <v>262</v>
      </c>
      <c r="CV2873" s="4" t="s">
        <v>263</v>
      </c>
      <c r="CW2873" s="4" t="s">
        <v>263</v>
      </c>
      <c r="CX2873" s="4" t="s">
        <v>264</v>
      </c>
      <c r="DA2873" s="6">
        <f>1</f>
        <v>1</v>
      </c>
      <c r="DC2873" s="4" t="s">
        <v>325</v>
      </c>
      <c r="DD2873" s="4" t="s">
        <v>241</v>
      </c>
      <c r="DF2873" s="4" t="s">
        <v>325</v>
      </c>
      <c r="DG2873" s="6">
        <f>2252</f>
        <v>2252</v>
      </c>
      <c r="DI2873" s="4" t="s">
        <v>241</v>
      </c>
      <c r="DJ2873" s="4" t="s">
        <v>241</v>
      </c>
      <c r="DK2873" s="4" t="s">
        <v>241</v>
      </c>
      <c r="DL2873" s="4" t="s">
        <v>241</v>
      </c>
      <c r="DP2873" s="4" t="s">
        <v>241</v>
      </c>
      <c r="DQ2873" s="4" t="s">
        <v>241</v>
      </c>
      <c r="DR2873" s="4" t="s">
        <v>241</v>
      </c>
      <c r="DS2873" s="4" t="s">
        <v>241</v>
      </c>
      <c r="DV2873" s="4" t="s">
        <v>426</v>
      </c>
      <c r="DW2873" s="4" t="s">
        <v>2134</v>
      </c>
      <c r="HO2873" s="4" t="s">
        <v>267</v>
      </c>
    </row>
    <row r="2874" spans="1:223" ht="19.5" customHeight="1" x14ac:dyDescent="0.4">
      <c r="A2874" s="4">
        <v>1</v>
      </c>
      <c r="B2874" s="4" t="s">
        <v>239</v>
      </c>
      <c r="C2874" s="4">
        <v>4577</v>
      </c>
      <c r="D2874" s="4">
        <v>1</v>
      </c>
      <c r="E2874" s="4">
        <v>1</v>
      </c>
      <c r="F2874" s="4" t="s">
        <v>268</v>
      </c>
      <c r="G2874" s="4" t="s">
        <v>241</v>
      </c>
      <c r="H2874" s="4" t="s">
        <v>241</v>
      </c>
      <c r="I2874" s="4" t="s">
        <v>424</v>
      </c>
      <c r="J2874" s="4" t="s">
        <v>274</v>
      </c>
      <c r="K2874" s="4" t="s">
        <v>251</v>
      </c>
      <c r="L2874" s="4" t="s">
        <v>423</v>
      </c>
      <c r="M2874" s="5" t="s">
        <v>3625</v>
      </c>
      <c r="N2874" s="6">
        <f>1827</f>
        <v>1827</v>
      </c>
      <c r="O2874" s="4" t="s">
        <v>265</v>
      </c>
      <c r="P2874" s="6">
        <f>1</f>
        <v>1</v>
      </c>
      <c r="Q2874" s="6">
        <f>0</f>
        <v>0</v>
      </c>
      <c r="S2874" s="6">
        <f>0</f>
        <v>0</v>
      </c>
      <c r="T2874" s="6">
        <f>1</f>
        <v>1</v>
      </c>
      <c r="U2874" s="5" t="s">
        <v>245</v>
      </c>
      <c r="V2874" s="4" t="s">
        <v>270</v>
      </c>
      <c r="W2874" s="4" t="s">
        <v>271</v>
      </c>
      <c r="X2874" s="4" t="s">
        <v>273</v>
      </c>
      <c r="Y2874" s="4" t="s">
        <v>241</v>
      </c>
      <c r="AB2874" s="4" t="s">
        <v>241</v>
      </c>
      <c r="AD2874" s="5" t="s">
        <v>241</v>
      </c>
      <c r="AG2874" s="5" t="s">
        <v>246</v>
      </c>
      <c r="AH2874" s="4" t="s">
        <v>241</v>
      </c>
      <c r="AI2874" s="4" t="s">
        <v>247</v>
      </c>
      <c r="AJ2874" s="4" t="s">
        <v>248</v>
      </c>
      <c r="AZ2874" s="4" t="s">
        <v>249</v>
      </c>
      <c r="BA2874" s="4" t="s">
        <v>241</v>
      </c>
      <c r="BB2874" s="4" t="s">
        <v>250</v>
      </c>
      <c r="BC2874" s="4" t="s">
        <v>241</v>
      </c>
      <c r="BD2874" s="4" t="s">
        <v>252</v>
      </c>
      <c r="BE2874" s="4" t="s">
        <v>241</v>
      </c>
      <c r="BI2874" s="4" t="s">
        <v>253</v>
      </c>
      <c r="BJ2874" s="5" t="s">
        <v>246</v>
      </c>
      <c r="BK2874" s="4" t="s">
        <v>254</v>
      </c>
      <c r="BL2874" s="4" t="s">
        <v>255</v>
      </c>
      <c r="BM2874" s="4" t="s">
        <v>241</v>
      </c>
      <c r="BN2874" s="6">
        <f>0</f>
        <v>0</v>
      </c>
      <c r="BO2874" s="6">
        <f>0</f>
        <v>0</v>
      </c>
      <c r="BP2874" s="4" t="s">
        <v>256</v>
      </c>
      <c r="BQ2874" s="4" t="s">
        <v>257</v>
      </c>
      <c r="CE2874" s="4" t="s">
        <v>241</v>
      </c>
      <c r="CF2874" s="4" t="s">
        <v>241</v>
      </c>
      <c r="CJ2874" s="4" t="s">
        <v>276</v>
      </c>
      <c r="CK2874" s="4" t="s">
        <v>259</v>
      </c>
      <c r="CL2874" s="4" t="s">
        <v>241</v>
      </c>
      <c r="CO2874" s="5" t="s">
        <v>260</v>
      </c>
      <c r="CP2874" s="4" t="s">
        <v>241</v>
      </c>
      <c r="CQ2874" s="4" t="s">
        <v>261</v>
      </c>
      <c r="CR2874" s="4" t="s">
        <v>241</v>
      </c>
      <c r="CS2874" s="4" t="s">
        <v>241</v>
      </c>
      <c r="CT2874" s="4">
        <v>0</v>
      </c>
      <c r="CU2874" s="4" t="s">
        <v>262</v>
      </c>
      <c r="CV2874" s="4" t="s">
        <v>263</v>
      </c>
      <c r="CW2874" s="4" t="s">
        <v>263</v>
      </c>
      <c r="CX2874" s="4" t="s">
        <v>264</v>
      </c>
      <c r="DA2874" s="6">
        <f>1</f>
        <v>1</v>
      </c>
      <c r="DC2874" s="4" t="s">
        <v>325</v>
      </c>
      <c r="DD2874" s="4" t="s">
        <v>241</v>
      </c>
      <c r="DF2874" s="4" t="s">
        <v>325</v>
      </c>
      <c r="DG2874" s="6">
        <f>1827</f>
        <v>1827</v>
      </c>
      <c r="DI2874" s="4" t="s">
        <v>241</v>
      </c>
      <c r="DJ2874" s="4" t="s">
        <v>241</v>
      </c>
      <c r="DK2874" s="4" t="s">
        <v>241</v>
      </c>
      <c r="DL2874" s="4" t="s">
        <v>241</v>
      </c>
      <c r="DP2874" s="4" t="s">
        <v>241</v>
      </c>
      <c r="DQ2874" s="4" t="s">
        <v>241</v>
      </c>
      <c r="DR2874" s="4" t="s">
        <v>241</v>
      </c>
      <c r="DS2874" s="4" t="s">
        <v>241</v>
      </c>
      <c r="DV2874" s="4" t="s">
        <v>426</v>
      </c>
      <c r="DW2874" s="4" t="s">
        <v>2132</v>
      </c>
      <c r="HO2874" s="4" t="s">
        <v>267</v>
      </c>
    </row>
    <row r="2875" spans="1:223" ht="19.5" customHeight="1" x14ac:dyDescent="0.4">
      <c r="A2875" s="4">
        <v>1</v>
      </c>
      <c r="B2875" s="4" t="s">
        <v>239</v>
      </c>
      <c r="C2875" s="4">
        <v>4578</v>
      </c>
      <c r="D2875" s="4">
        <v>1</v>
      </c>
      <c r="E2875" s="4">
        <v>1</v>
      </c>
      <c r="F2875" s="4" t="s">
        <v>268</v>
      </c>
      <c r="G2875" s="4" t="s">
        <v>241</v>
      </c>
      <c r="H2875" s="4" t="s">
        <v>241</v>
      </c>
      <c r="I2875" s="4" t="s">
        <v>424</v>
      </c>
      <c r="J2875" s="4" t="s">
        <v>274</v>
      </c>
      <c r="K2875" s="4" t="s">
        <v>251</v>
      </c>
      <c r="L2875" s="4" t="s">
        <v>423</v>
      </c>
      <c r="M2875" s="5" t="s">
        <v>3613</v>
      </c>
      <c r="N2875" s="6">
        <f>2738</f>
        <v>2738</v>
      </c>
      <c r="O2875" s="4" t="s">
        <v>265</v>
      </c>
      <c r="P2875" s="6">
        <f>1</f>
        <v>1</v>
      </c>
      <c r="Q2875" s="6">
        <f>0</f>
        <v>0</v>
      </c>
      <c r="S2875" s="6">
        <f>0</f>
        <v>0</v>
      </c>
      <c r="T2875" s="6">
        <f>1</f>
        <v>1</v>
      </c>
      <c r="U2875" s="5" t="s">
        <v>245</v>
      </c>
      <c r="V2875" s="4" t="s">
        <v>270</v>
      </c>
      <c r="W2875" s="4" t="s">
        <v>271</v>
      </c>
      <c r="X2875" s="4" t="s">
        <v>273</v>
      </c>
      <c r="Y2875" s="4" t="s">
        <v>241</v>
      </c>
      <c r="AB2875" s="4" t="s">
        <v>241</v>
      </c>
      <c r="AD2875" s="5" t="s">
        <v>241</v>
      </c>
      <c r="AG2875" s="5" t="s">
        <v>246</v>
      </c>
      <c r="AH2875" s="4" t="s">
        <v>241</v>
      </c>
      <c r="AI2875" s="4" t="s">
        <v>247</v>
      </c>
      <c r="AJ2875" s="4" t="s">
        <v>248</v>
      </c>
      <c r="AZ2875" s="4" t="s">
        <v>249</v>
      </c>
      <c r="BA2875" s="4" t="s">
        <v>241</v>
      </c>
      <c r="BB2875" s="4" t="s">
        <v>250</v>
      </c>
      <c r="BC2875" s="4" t="s">
        <v>241</v>
      </c>
      <c r="BD2875" s="4" t="s">
        <v>252</v>
      </c>
      <c r="BE2875" s="4" t="s">
        <v>241</v>
      </c>
      <c r="BI2875" s="4" t="s">
        <v>253</v>
      </c>
      <c r="BJ2875" s="5" t="s">
        <v>246</v>
      </c>
      <c r="BK2875" s="4" t="s">
        <v>254</v>
      </c>
      <c r="BL2875" s="4" t="s">
        <v>255</v>
      </c>
      <c r="BM2875" s="4" t="s">
        <v>241</v>
      </c>
      <c r="BN2875" s="6">
        <f>0</f>
        <v>0</v>
      </c>
      <c r="BO2875" s="6">
        <f>0</f>
        <v>0</v>
      </c>
      <c r="BP2875" s="4" t="s">
        <v>256</v>
      </c>
      <c r="BQ2875" s="4" t="s">
        <v>257</v>
      </c>
      <c r="CE2875" s="4" t="s">
        <v>241</v>
      </c>
      <c r="CF2875" s="4" t="s">
        <v>241</v>
      </c>
      <c r="CJ2875" s="4" t="s">
        <v>276</v>
      </c>
      <c r="CK2875" s="4" t="s">
        <v>259</v>
      </c>
      <c r="CL2875" s="4" t="s">
        <v>241</v>
      </c>
      <c r="CO2875" s="5" t="s">
        <v>260</v>
      </c>
      <c r="CP2875" s="4" t="s">
        <v>241</v>
      </c>
      <c r="CQ2875" s="4" t="s">
        <v>261</v>
      </c>
      <c r="CR2875" s="4" t="s">
        <v>241</v>
      </c>
      <c r="CS2875" s="4" t="s">
        <v>241</v>
      </c>
      <c r="CT2875" s="4">
        <v>0</v>
      </c>
      <c r="CU2875" s="4" t="s">
        <v>262</v>
      </c>
      <c r="CV2875" s="4" t="s">
        <v>263</v>
      </c>
      <c r="CW2875" s="4" t="s">
        <v>263</v>
      </c>
      <c r="CX2875" s="4" t="s">
        <v>264</v>
      </c>
      <c r="DA2875" s="6">
        <f>1</f>
        <v>1</v>
      </c>
      <c r="DC2875" s="4" t="s">
        <v>325</v>
      </c>
      <c r="DD2875" s="4" t="s">
        <v>241</v>
      </c>
      <c r="DF2875" s="4" t="s">
        <v>325</v>
      </c>
      <c r="DG2875" s="6">
        <f>2738</f>
        <v>2738</v>
      </c>
      <c r="DI2875" s="4" t="s">
        <v>241</v>
      </c>
      <c r="DJ2875" s="4" t="s">
        <v>241</v>
      </c>
      <c r="DK2875" s="4" t="s">
        <v>241</v>
      </c>
      <c r="DL2875" s="4" t="s">
        <v>241</v>
      </c>
      <c r="DP2875" s="4" t="s">
        <v>241</v>
      </c>
      <c r="DQ2875" s="4" t="s">
        <v>241</v>
      </c>
      <c r="DR2875" s="4" t="s">
        <v>241</v>
      </c>
      <c r="DS2875" s="4" t="s">
        <v>241</v>
      </c>
      <c r="DV2875" s="4" t="s">
        <v>426</v>
      </c>
      <c r="DW2875" s="4" t="s">
        <v>2128</v>
      </c>
      <c r="HO2875" s="4" t="s">
        <v>267</v>
      </c>
    </row>
    <row r="2876" spans="1:223" ht="19.5" customHeight="1" x14ac:dyDescent="0.4">
      <c r="A2876" s="4">
        <v>1</v>
      </c>
      <c r="B2876" s="4" t="s">
        <v>239</v>
      </c>
      <c r="C2876" s="4">
        <v>4579</v>
      </c>
      <c r="D2876" s="4">
        <v>1</v>
      </c>
      <c r="E2876" s="4">
        <v>1</v>
      </c>
      <c r="F2876" s="4" t="s">
        <v>268</v>
      </c>
      <c r="G2876" s="4" t="s">
        <v>241</v>
      </c>
      <c r="H2876" s="4" t="s">
        <v>241</v>
      </c>
      <c r="I2876" s="4" t="s">
        <v>424</v>
      </c>
      <c r="J2876" s="4" t="s">
        <v>274</v>
      </c>
      <c r="K2876" s="4" t="s">
        <v>251</v>
      </c>
      <c r="L2876" s="4" t="s">
        <v>423</v>
      </c>
      <c r="M2876" s="5" t="s">
        <v>3593</v>
      </c>
      <c r="N2876" s="6">
        <f>3020</f>
        <v>3020</v>
      </c>
      <c r="O2876" s="4" t="s">
        <v>265</v>
      </c>
      <c r="P2876" s="6">
        <f>1</f>
        <v>1</v>
      </c>
      <c r="Q2876" s="6">
        <f>0</f>
        <v>0</v>
      </c>
      <c r="S2876" s="6">
        <f>0</f>
        <v>0</v>
      </c>
      <c r="T2876" s="6">
        <f>1</f>
        <v>1</v>
      </c>
      <c r="U2876" s="5" t="s">
        <v>245</v>
      </c>
      <c r="V2876" s="4" t="s">
        <v>270</v>
      </c>
      <c r="W2876" s="4" t="s">
        <v>271</v>
      </c>
      <c r="X2876" s="4" t="s">
        <v>273</v>
      </c>
      <c r="Y2876" s="4" t="s">
        <v>241</v>
      </c>
      <c r="AB2876" s="4" t="s">
        <v>241</v>
      </c>
      <c r="AD2876" s="5" t="s">
        <v>241</v>
      </c>
      <c r="AG2876" s="5" t="s">
        <v>246</v>
      </c>
      <c r="AH2876" s="4" t="s">
        <v>241</v>
      </c>
      <c r="AI2876" s="4" t="s">
        <v>247</v>
      </c>
      <c r="AJ2876" s="4" t="s">
        <v>248</v>
      </c>
      <c r="AZ2876" s="4" t="s">
        <v>249</v>
      </c>
      <c r="BA2876" s="4" t="s">
        <v>241</v>
      </c>
      <c r="BB2876" s="4" t="s">
        <v>250</v>
      </c>
      <c r="BC2876" s="4" t="s">
        <v>241</v>
      </c>
      <c r="BD2876" s="4" t="s">
        <v>252</v>
      </c>
      <c r="BE2876" s="4" t="s">
        <v>241</v>
      </c>
      <c r="BI2876" s="4" t="s">
        <v>253</v>
      </c>
      <c r="BJ2876" s="5" t="s">
        <v>246</v>
      </c>
      <c r="BK2876" s="4" t="s">
        <v>254</v>
      </c>
      <c r="BL2876" s="4" t="s">
        <v>255</v>
      </c>
      <c r="BM2876" s="4" t="s">
        <v>241</v>
      </c>
      <c r="BN2876" s="6">
        <f>0</f>
        <v>0</v>
      </c>
      <c r="BO2876" s="6">
        <f>0</f>
        <v>0</v>
      </c>
      <c r="BP2876" s="4" t="s">
        <v>256</v>
      </c>
      <c r="BQ2876" s="4" t="s">
        <v>257</v>
      </c>
      <c r="CE2876" s="4" t="s">
        <v>241</v>
      </c>
      <c r="CF2876" s="4" t="s">
        <v>241</v>
      </c>
      <c r="CJ2876" s="4" t="s">
        <v>276</v>
      </c>
      <c r="CK2876" s="4" t="s">
        <v>259</v>
      </c>
      <c r="CL2876" s="4" t="s">
        <v>241</v>
      </c>
      <c r="CO2876" s="5" t="s">
        <v>260</v>
      </c>
      <c r="CP2876" s="4" t="s">
        <v>241</v>
      </c>
      <c r="CQ2876" s="4" t="s">
        <v>261</v>
      </c>
      <c r="CR2876" s="4" t="s">
        <v>241</v>
      </c>
      <c r="CS2876" s="4" t="s">
        <v>241</v>
      </c>
      <c r="CT2876" s="4">
        <v>0</v>
      </c>
      <c r="CU2876" s="4" t="s">
        <v>262</v>
      </c>
      <c r="CV2876" s="4" t="s">
        <v>263</v>
      </c>
      <c r="CW2876" s="4" t="s">
        <v>263</v>
      </c>
      <c r="CX2876" s="4" t="s">
        <v>264</v>
      </c>
      <c r="DA2876" s="6">
        <f>1</f>
        <v>1</v>
      </c>
      <c r="DC2876" s="4" t="s">
        <v>325</v>
      </c>
      <c r="DD2876" s="4" t="s">
        <v>241</v>
      </c>
      <c r="DF2876" s="4" t="s">
        <v>325</v>
      </c>
      <c r="DG2876" s="6">
        <f>3020</f>
        <v>3020</v>
      </c>
      <c r="DI2876" s="4" t="s">
        <v>241</v>
      </c>
      <c r="DJ2876" s="4" t="s">
        <v>241</v>
      </c>
      <c r="DK2876" s="4" t="s">
        <v>241</v>
      </c>
      <c r="DL2876" s="4" t="s">
        <v>241</v>
      </c>
      <c r="DP2876" s="4" t="s">
        <v>241</v>
      </c>
      <c r="DQ2876" s="4" t="s">
        <v>241</v>
      </c>
      <c r="DR2876" s="4" t="s">
        <v>241</v>
      </c>
      <c r="DS2876" s="4" t="s">
        <v>241</v>
      </c>
      <c r="DV2876" s="4" t="s">
        <v>426</v>
      </c>
      <c r="DW2876" s="4" t="s">
        <v>2122</v>
      </c>
      <c r="HO2876" s="4" t="s">
        <v>267</v>
      </c>
    </row>
    <row r="2877" spans="1:223" ht="19.5" customHeight="1" x14ac:dyDescent="0.4">
      <c r="A2877" s="4">
        <v>1</v>
      </c>
      <c r="B2877" s="4" t="s">
        <v>239</v>
      </c>
      <c r="C2877" s="4">
        <v>4580</v>
      </c>
      <c r="D2877" s="4">
        <v>1</v>
      </c>
      <c r="E2877" s="4">
        <v>1</v>
      </c>
      <c r="F2877" s="4" t="s">
        <v>268</v>
      </c>
      <c r="G2877" s="4" t="s">
        <v>241</v>
      </c>
      <c r="H2877" s="4" t="s">
        <v>241</v>
      </c>
      <c r="I2877" s="4" t="s">
        <v>424</v>
      </c>
      <c r="J2877" s="4" t="s">
        <v>274</v>
      </c>
      <c r="K2877" s="4" t="s">
        <v>251</v>
      </c>
      <c r="L2877" s="4" t="s">
        <v>423</v>
      </c>
      <c r="M2877" s="5" t="s">
        <v>3533</v>
      </c>
      <c r="N2877" s="6">
        <f>3085</f>
        <v>3085</v>
      </c>
      <c r="O2877" s="4" t="s">
        <v>265</v>
      </c>
      <c r="P2877" s="6">
        <f>1</f>
        <v>1</v>
      </c>
      <c r="Q2877" s="6">
        <f>0</f>
        <v>0</v>
      </c>
      <c r="S2877" s="6">
        <f>0</f>
        <v>0</v>
      </c>
      <c r="T2877" s="6">
        <f>1</f>
        <v>1</v>
      </c>
      <c r="U2877" s="5" t="s">
        <v>245</v>
      </c>
      <c r="V2877" s="4" t="s">
        <v>270</v>
      </c>
      <c r="W2877" s="4" t="s">
        <v>271</v>
      </c>
      <c r="X2877" s="4" t="s">
        <v>273</v>
      </c>
      <c r="Y2877" s="4" t="s">
        <v>241</v>
      </c>
      <c r="AB2877" s="4" t="s">
        <v>241</v>
      </c>
      <c r="AD2877" s="5" t="s">
        <v>241</v>
      </c>
      <c r="AG2877" s="5" t="s">
        <v>246</v>
      </c>
      <c r="AH2877" s="4" t="s">
        <v>241</v>
      </c>
      <c r="AI2877" s="4" t="s">
        <v>247</v>
      </c>
      <c r="AJ2877" s="4" t="s">
        <v>248</v>
      </c>
      <c r="AZ2877" s="4" t="s">
        <v>249</v>
      </c>
      <c r="BA2877" s="4" t="s">
        <v>241</v>
      </c>
      <c r="BB2877" s="4" t="s">
        <v>250</v>
      </c>
      <c r="BC2877" s="4" t="s">
        <v>241</v>
      </c>
      <c r="BD2877" s="4" t="s">
        <v>252</v>
      </c>
      <c r="BE2877" s="4" t="s">
        <v>241</v>
      </c>
      <c r="BI2877" s="4" t="s">
        <v>253</v>
      </c>
      <c r="BJ2877" s="5" t="s">
        <v>246</v>
      </c>
      <c r="BK2877" s="4" t="s">
        <v>254</v>
      </c>
      <c r="BL2877" s="4" t="s">
        <v>255</v>
      </c>
      <c r="BM2877" s="4" t="s">
        <v>241</v>
      </c>
      <c r="BN2877" s="6">
        <f>0</f>
        <v>0</v>
      </c>
      <c r="BO2877" s="6">
        <f>0</f>
        <v>0</v>
      </c>
      <c r="BP2877" s="4" t="s">
        <v>256</v>
      </c>
      <c r="BQ2877" s="4" t="s">
        <v>257</v>
      </c>
      <c r="CE2877" s="4" t="s">
        <v>241</v>
      </c>
      <c r="CF2877" s="4" t="s">
        <v>241</v>
      </c>
      <c r="CJ2877" s="4" t="s">
        <v>276</v>
      </c>
      <c r="CK2877" s="4" t="s">
        <v>259</v>
      </c>
      <c r="CL2877" s="4" t="s">
        <v>241</v>
      </c>
      <c r="CO2877" s="5" t="s">
        <v>260</v>
      </c>
      <c r="CP2877" s="4" t="s">
        <v>241</v>
      </c>
      <c r="CQ2877" s="4" t="s">
        <v>261</v>
      </c>
      <c r="CR2877" s="4" t="s">
        <v>241</v>
      </c>
      <c r="CS2877" s="4" t="s">
        <v>241</v>
      </c>
      <c r="CT2877" s="4">
        <v>0</v>
      </c>
      <c r="CU2877" s="4" t="s">
        <v>262</v>
      </c>
      <c r="CV2877" s="4" t="s">
        <v>263</v>
      </c>
      <c r="CW2877" s="4" t="s">
        <v>263</v>
      </c>
      <c r="CX2877" s="4" t="s">
        <v>264</v>
      </c>
      <c r="DA2877" s="6">
        <f>1</f>
        <v>1</v>
      </c>
      <c r="DC2877" s="4" t="s">
        <v>325</v>
      </c>
      <c r="DD2877" s="4" t="s">
        <v>241</v>
      </c>
      <c r="DF2877" s="4" t="s">
        <v>325</v>
      </c>
      <c r="DG2877" s="6">
        <f>3085</f>
        <v>3085</v>
      </c>
      <c r="DI2877" s="4" t="s">
        <v>241</v>
      </c>
      <c r="DJ2877" s="4" t="s">
        <v>241</v>
      </c>
      <c r="DK2877" s="4" t="s">
        <v>241</v>
      </c>
      <c r="DL2877" s="4" t="s">
        <v>241</v>
      </c>
      <c r="DP2877" s="4" t="s">
        <v>241</v>
      </c>
      <c r="DQ2877" s="4" t="s">
        <v>241</v>
      </c>
      <c r="DR2877" s="4" t="s">
        <v>241</v>
      </c>
      <c r="DS2877" s="4" t="s">
        <v>241</v>
      </c>
      <c r="DV2877" s="4" t="s">
        <v>426</v>
      </c>
      <c r="DW2877" s="4" t="s">
        <v>2120</v>
      </c>
      <c r="HO2877" s="4" t="s">
        <v>267</v>
      </c>
    </row>
    <row r="2878" spans="1:223" ht="19.5" customHeight="1" x14ac:dyDescent="0.4">
      <c r="A2878" s="4">
        <v>1</v>
      </c>
      <c r="B2878" s="4" t="s">
        <v>239</v>
      </c>
      <c r="C2878" s="4">
        <v>4581</v>
      </c>
      <c r="D2878" s="4">
        <v>1</v>
      </c>
      <c r="E2878" s="4">
        <v>1</v>
      </c>
      <c r="F2878" s="4" t="s">
        <v>268</v>
      </c>
      <c r="G2878" s="4" t="s">
        <v>241</v>
      </c>
      <c r="H2878" s="4" t="s">
        <v>241</v>
      </c>
      <c r="I2878" s="4" t="s">
        <v>424</v>
      </c>
      <c r="J2878" s="4" t="s">
        <v>274</v>
      </c>
      <c r="K2878" s="4" t="s">
        <v>251</v>
      </c>
      <c r="L2878" s="4" t="s">
        <v>423</v>
      </c>
      <c r="M2878" s="5" t="s">
        <v>3484</v>
      </c>
      <c r="N2878" s="6">
        <f>3316</f>
        <v>3316</v>
      </c>
      <c r="O2878" s="4" t="s">
        <v>265</v>
      </c>
      <c r="P2878" s="6">
        <f>1</f>
        <v>1</v>
      </c>
      <c r="Q2878" s="6">
        <f>0</f>
        <v>0</v>
      </c>
      <c r="S2878" s="6">
        <f>0</f>
        <v>0</v>
      </c>
      <c r="T2878" s="6">
        <f>1</f>
        <v>1</v>
      </c>
      <c r="U2878" s="5" t="s">
        <v>245</v>
      </c>
      <c r="V2878" s="4" t="s">
        <v>270</v>
      </c>
      <c r="W2878" s="4" t="s">
        <v>271</v>
      </c>
      <c r="X2878" s="4" t="s">
        <v>273</v>
      </c>
      <c r="Y2878" s="4" t="s">
        <v>241</v>
      </c>
      <c r="AB2878" s="4" t="s">
        <v>241</v>
      </c>
      <c r="AD2878" s="5" t="s">
        <v>241</v>
      </c>
      <c r="AG2878" s="5" t="s">
        <v>246</v>
      </c>
      <c r="AH2878" s="4" t="s">
        <v>241</v>
      </c>
      <c r="AI2878" s="4" t="s">
        <v>247</v>
      </c>
      <c r="AJ2878" s="4" t="s">
        <v>248</v>
      </c>
      <c r="AZ2878" s="4" t="s">
        <v>249</v>
      </c>
      <c r="BA2878" s="4" t="s">
        <v>241</v>
      </c>
      <c r="BB2878" s="4" t="s">
        <v>250</v>
      </c>
      <c r="BC2878" s="4" t="s">
        <v>241</v>
      </c>
      <c r="BD2878" s="4" t="s">
        <v>252</v>
      </c>
      <c r="BE2878" s="4" t="s">
        <v>241</v>
      </c>
      <c r="BI2878" s="4" t="s">
        <v>253</v>
      </c>
      <c r="BJ2878" s="5" t="s">
        <v>246</v>
      </c>
      <c r="BK2878" s="4" t="s">
        <v>254</v>
      </c>
      <c r="BL2878" s="4" t="s">
        <v>255</v>
      </c>
      <c r="BM2878" s="4" t="s">
        <v>241</v>
      </c>
      <c r="BN2878" s="6">
        <f>0</f>
        <v>0</v>
      </c>
      <c r="BO2878" s="6">
        <f>0</f>
        <v>0</v>
      </c>
      <c r="BP2878" s="4" t="s">
        <v>256</v>
      </c>
      <c r="BQ2878" s="4" t="s">
        <v>257</v>
      </c>
      <c r="CE2878" s="4" t="s">
        <v>241</v>
      </c>
      <c r="CF2878" s="4" t="s">
        <v>241</v>
      </c>
      <c r="CJ2878" s="4" t="s">
        <v>276</v>
      </c>
      <c r="CK2878" s="4" t="s">
        <v>259</v>
      </c>
      <c r="CL2878" s="4" t="s">
        <v>241</v>
      </c>
      <c r="CO2878" s="5" t="s">
        <v>260</v>
      </c>
      <c r="CP2878" s="4" t="s">
        <v>241</v>
      </c>
      <c r="CQ2878" s="4" t="s">
        <v>261</v>
      </c>
      <c r="CR2878" s="4" t="s">
        <v>241</v>
      </c>
      <c r="CS2878" s="4" t="s">
        <v>241</v>
      </c>
      <c r="CT2878" s="4">
        <v>0</v>
      </c>
      <c r="CU2878" s="4" t="s">
        <v>262</v>
      </c>
      <c r="CV2878" s="4" t="s">
        <v>263</v>
      </c>
      <c r="CW2878" s="4" t="s">
        <v>263</v>
      </c>
      <c r="CX2878" s="4" t="s">
        <v>264</v>
      </c>
      <c r="DA2878" s="6">
        <f>1</f>
        <v>1</v>
      </c>
      <c r="DC2878" s="4" t="s">
        <v>325</v>
      </c>
      <c r="DD2878" s="4" t="s">
        <v>241</v>
      </c>
      <c r="DF2878" s="4" t="s">
        <v>325</v>
      </c>
      <c r="DG2878" s="6">
        <f>3316</f>
        <v>3316</v>
      </c>
      <c r="DI2878" s="4" t="s">
        <v>241</v>
      </c>
      <c r="DJ2878" s="4" t="s">
        <v>241</v>
      </c>
      <c r="DK2878" s="4" t="s">
        <v>241</v>
      </c>
      <c r="DL2878" s="4" t="s">
        <v>241</v>
      </c>
      <c r="DP2878" s="4" t="s">
        <v>241</v>
      </c>
      <c r="DQ2878" s="4" t="s">
        <v>241</v>
      </c>
      <c r="DR2878" s="4" t="s">
        <v>241</v>
      </c>
      <c r="DS2878" s="4" t="s">
        <v>241</v>
      </c>
      <c r="DV2878" s="4" t="s">
        <v>426</v>
      </c>
      <c r="DW2878" s="4" t="s">
        <v>2118</v>
      </c>
      <c r="HO2878" s="4" t="s">
        <v>267</v>
      </c>
    </row>
    <row r="2879" spans="1:223" ht="19.5" customHeight="1" x14ac:dyDescent="0.4">
      <c r="A2879" s="4">
        <v>1</v>
      </c>
      <c r="B2879" s="4" t="s">
        <v>239</v>
      </c>
      <c r="C2879" s="4">
        <v>4582</v>
      </c>
      <c r="D2879" s="4">
        <v>1</v>
      </c>
      <c r="E2879" s="4">
        <v>1</v>
      </c>
      <c r="F2879" s="4" t="s">
        <v>268</v>
      </c>
      <c r="G2879" s="4" t="s">
        <v>241</v>
      </c>
      <c r="H2879" s="4" t="s">
        <v>241</v>
      </c>
      <c r="I2879" s="4" t="s">
        <v>424</v>
      </c>
      <c r="J2879" s="4" t="s">
        <v>274</v>
      </c>
      <c r="K2879" s="4" t="s">
        <v>251</v>
      </c>
      <c r="L2879" s="4" t="s">
        <v>423</v>
      </c>
      <c r="M2879" s="5" t="s">
        <v>3449</v>
      </c>
      <c r="N2879" s="6">
        <f>80</f>
        <v>80</v>
      </c>
      <c r="O2879" s="4" t="s">
        <v>265</v>
      </c>
      <c r="P2879" s="6">
        <f>1</f>
        <v>1</v>
      </c>
      <c r="Q2879" s="6">
        <f>0</f>
        <v>0</v>
      </c>
      <c r="S2879" s="6">
        <f>0</f>
        <v>0</v>
      </c>
      <c r="T2879" s="6">
        <f>1</f>
        <v>1</v>
      </c>
      <c r="U2879" s="5" t="s">
        <v>245</v>
      </c>
      <c r="V2879" s="4" t="s">
        <v>270</v>
      </c>
      <c r="W2879" s="4" t="s">
        <v>271</v>
      </c>
      <c r="X2879" s="4" t="s">
        <v>273</v>
      </c>
      <c r="Y2879" s="4" t="s">
        <v>241</v>
      </c>
      <c r="AB2879" s="4" t="s">
        <v>241</v>
      </c>
      <c r="AD2879" s="5" t="s">
        <v>241</v>
      </c>
      <c r="AG2879" s="5" t="s">
        <v>246</v>
      </c>
      <c r="AH2879" s="4" t="s">
        <v>241</v>
      </c>
      <c r="AI2879" s="4" t="s">
        <v>247</v>
      </c>
      <c r="AJ2879" s="4" t="s">
        <v>248</v>
      </c>
      <c r="AZ2879" s="4" t="s">
        <v>249</v>
      </c>
      <c r="BA2879" s="4" t="s">
        <v>241</v>
      </c>
      <c r="BB2879" s="4" t="s">
        <v>250</v>
      </c>
      <c r="BC2879" s="4" t="s">
        <v>241</v>
      </c>
      <c r="BD2879" s="4" t="s">
        <v>252</v>
      </c>
      <c r="BE2879" s="4" t="s">
        <v>241</v>
      </c>
      <c r="BI2879" s="4" t="s">
        <v>253</v>
      </c>
      <c r="BJ2879" s="5" t="s">
        <v>246</v>
      </c>
      <c r="BK2879" s="4" t="s">
        <v>254</v>
      </c>
      <c r="BL2879" s="4" t="s">
        <v>255</v>
      </c>
      <c r="BM2879" s="4" t="s">
        <v>241</v>
      </c>
      <c r="BN2879" s="6">
        <f>0</f>
        <v>0</v>
      </c>
      <c r="BO2879" s="6">
        <f>0</f>
        <v>0</v>
      </c>
      <c r="BP2879" s="4" t="s">
        <v>256</v>
      </c>
      <c r="BQ2879" s="4" t="s">
        <v>257</v>
      </c>
      <c r="CE2879" s="4" t="s">
        <v>241</v>
      </c>
      <c r="CF2879" s="4" t="s">
        <v>241</v>
      </c>
      <c r="CJ2879" s="4" t="s">
        <v>276</v>
      </c>
      <c r="CK2879" s="4" t="s">
        <v>259</v>
      </c>
      <c r="CL2879" s="4" t="s">
        <v>241</v>
      </c>
      <c r="CO2879" s="5" t="s">
        <v>260</v>
      </c>
      <c r="CP2879" s="4" t="s">
        <v>241</v>
      </c>
      <c r="CQ2879" s="4" t="s">
        <v>261</v>
      </c>
      <c r="CR2879" s="4" t="s">
        <v>241</v>
      </c>
      <c r="CS2879" s="4" t="s">
        <v>241</v>
      </c>
      <c r="CT2879" s="4">
        <v>0</v>
      </c>
      <c r="CU2879" s="4" t="s">
        <v>262</v>
      </c>
      <c r="CV2879" s="4" t="s">
        <v>263</v>
      </c>
      <c r="CW2879" s="4" t="s">
        <v>263</v>
      </c>
      <c r="CX2879" s="4" t="s">
        <v>264</v>
      </c>
      <c r="DA2879" s="6">
        <f>1</f>
        <v>1</v>
      </c>
      <c r="DC2879" s="4" t="s">
        <v>325</v>
      </c>
      <c r="DD2879" s="4" t="s">
        <v>241</v>
      </c>
      <c r="DF2879" s="4" t="s">
        <v>325</v>
      </c>
      <c r="DG2879" s="6">
        <f>80</f>
        <v>80</v>
      </c>
      <c r="DI2879" s="4" t="s">
        <v>241</v>
      </c>
      <c r="DJ2879" s="4" t="s">
        <v>241</v>
      </c>
      <c r="DK2879" s="4" t="s">
        <v>241</v>
      </c>
      <c r="DL2879" s="4" t="s">
        <v>241</v>
      </c>
      <c r="DP2879" s="4" t="s">
        <v>241</v>
      </c>
      <c r="DQ2879" s="4" t="s">
        <v>241</v>
      </c>
      <c r="DR2879" s="4" t="s">
        <v>241</v>
      </c>
      <c r="DS2879" s="4" t="s">
        <v>241</v>
      </c>
      <c r="DV2879" s="4" t="s">
        <v>426</v>
      </c>
      <c r="DW2879" s="4" t="s">
        <v>2116</v>
      </c>
      <c r="HO2879" s="4" t="s">
        <v>267</v>
      </c>
    </row>
    <row r="2880" spans="1:223" ht="19.5" customHeight="1" x14ac:dyDescent="0.4">
      <c r="A2880" s="4">
        <v>1</v>
      </c>
      <c r="B2880" s="4" t="s">
        <v>239</v>
      </c>
      <c r="C2880" s="4">
        <v>4583</v>
      </c>
      <c r="D2880" s="4">
        <v>1</v>
      </c>
      <c r="E2880" s="4">
        <v>1</v>
      </c>
      <c r="F2880" s="4" t="s">
        <v>268</v>
      </c>
      <c r="G2880" s="4" t="s">
        <v>241</v>
      </c>
      <c r="H2880" s="4" t="s">
        <v>241</v>
      </c>
      <c r="I2880" s="4" t="s">
        <v>424</v>
      </c>
      <c r="J2880" s="4" t="s">
        <v>274</v>
      </c>
      <c r="K2880" s="4" t="s">
        <v>251</v>
      </c>
      <c r="L2880" s="4" t="s">
        <v>423</v>
      </c>
      <c r="M2880" s="5" t="s">
        <v>3420</v>
      </c>
      <c r="N2880" s="6">
        <f>12</f>
        <v>12</v>
      </c>
      <c r="O2880" s="4" t="s">
        <v>265</v>
      </c>
      <c r="P2880" s="6">
        <f>1</f>
        <v>1</v>
      </c>
      <c r="Q2880" s="6">
        <f>0</f>
        <v>0</v>
      </c>
      <c r="S2880" s="6">
        <f>0</f>
        <v>0</v>
      </c>
      <c r="T2880" s="6">
        <f>1</f>
        <v>1</v>
      </c>
      <c r="U2880" s="5" t="s">
        <v>245</v>
      </c>
      <c r="V2880" s="4" t="s">
        <v>270</v>
      </c>
      <c r="W2880" s="4" t="s">
        <v>271</v>
      </c>
      <c r="X2880" s="4" t="s">
        <v>273</v>
      </c>
      <c r="Y2880" s="4" t="s">
        <v>241</v>
      </c>
      <c r="AB2880" s="4" t="s">
        <v>241</v>
      </c>
      <c r="AD2880" s="5" t="s">
        <v>241</v>
      </c>
      <c r="AG2880" s="5" t="s">
        <v>246</v>
      </c>
      <c r="AH2880" s="4" t="s">
        <v>241</v>
      </c>
      <c r="AI2880" s="4" t="s">
        <v>247</v>
      </c>
      <c r="AJ2880" s="4" t="s">
        <v>248</v>
      </c>
      <c r="AZ2880" s="4" t="s">
        <v>249</v>
      </c>
      <c r="BA2880" s="4" t="s">
        <v>241</v>
      </c>
      <c r="BB2880" s="4" t="s">
        <v>250</v>
      </c>
      <c r="BC2880" s="4" t="s">
        <v>241</v>
      </c>
      <c r="BD2880" s="4" t="s">
        <v>252</v>
      </c>
      <c r="BE2880" s="4" t="s">
        <v>241</v>
      </c>
      <c r="BI2880" s="4" t="s">
        <v>253</v>
      </c>
      <c r="BJ2880" s="5" t="s">
        <v>246</v>
      </c>
      <c r="BK2880" s="4" t="s">
        <v>254</v>
      </c>
      <c r="BL2880" s="4" t="s">
        <v>255</v>
      </c>
      <c r="BM2880" s="4" t="s">
        <v>241</v>
      </c>
      <c r="BN2880" s="6">
        <f>0</f>
        <v>0</v>
      </c>
      <c r="BO2880" s="6">
        <f>0</f>
        <v>0</v>
      </c>
      <c r="BP2880" s="4" t="s">
        <v>256</v>
      </c>
      <c r="BQ2880" s="4" t="s">
        <v>257</v>
      </c>
      <c r="CE2880" s="4" t="s">
        <v>241</v>
      </c>
      <c r="CF2880" s="4" t="s">
        <v>241</v>
      </c>
      <c r="CJ2880" s="4" t="s">
        <v>276</v>
      </c>
      <c r="CK2880" s="4" t="s">
        <v>259</v>
      </c>
      <c r="CL2880" s="4" t="s">
        <v>241</v>
      </c>
      <c r="CO2880" s="5" t="s">
        <v>260</v>
      </c>
      <c r="CP2880" s="4" t="s">
        <v>241</v>
      </c>
      <c r="CQ2880" s="4" t="s">
        <v>261</v>
      </c>
      <c r="CR2880" s="4" t="s">
        <v>241</v>
      </c>
      <c r="CS2880" s="4" t="s">
        <v>241</v>
      </c>
      <c r="CT2880" s="4">
        <v>0</v>
      </c>
      <c r="CU2880" s="4" t="s">
        <v>262</v>
      </c>
      <c r="CV2880" s="4" t="s">
        <v>263</v>
      </c>
      <c r="CW2880" s="4" t="s">
        <v>263</v>
      </c>
      <c r="CX2880" s="4" t="s">
        <v>264</v>
      </c>
      <c r="DA2880" s="6">
        <f>1</f>
        <v>1</v>
      </c>
      <c r="DC2880" s="4" t="s">
        <v>325</v>
      </c>
      <c r="DD2880" s="4" t="s">
        <v>241</v>
      </c>
      <c r="DF2880" s="4" t="s">
        <v>325</v>
      </c>
      <c r="DG2880" s="6">
        <f>12</f>
        <v>12</v>
      </c>
      <c r="DI2880" s="4" t="s">
        <v>241</v>
      </c>
      <c r="DJ2880" s="4" t="s">
        <v>241</v>
      </c>
      <c r="DK2880" s="4" t="s">
        <v>241</v>
      </c>
      <c r="DL2880" s="4" t="s">
        <v>241</v>
      </c>
      <c r="DP2880" s="4" t="s">
        <v>241</v>
      </c>
      <c r="DQ2880" s="4" t="s">
        <v>241</v>
      </c>
      <c r="DR2880" s="4" t="s">
        <v>241</v>
      </c>
      <c r="DS2880" s="4" t="s">
        <v>241</v>
      </c>
      <c r="DV2880" s="4" t="s">
        <v>426</v>
      </c>
      <c r="DW2880" s="4" t="s">
        <v>2114</v>
      </c>
      <c r="HO2880" s="4" t="s">
        <v>267</v>
      </c>
    </row>
    <row r="2881" spans="1:223" ht="19.5" customHeight="1" x14ac:dyDescent="0.4">
      <c r="A2881" s="4">
        <v>1</v>
      </c>
      <c r="B2881" s="4" t="s">
        <v>239</v>
      </c>
      <c r="C2881" s="4">
        <v>4584</v>
      </c>
      <c r="D2881" s="4">
        <v>1</v>
      </c>
      <c r="E2881" s="4">
        <v>1</v>
      </c>
      <c r="F2881" s="4" t="s">
        <v>268</v>
      </c>
      <c r="G2881" s="4" t="s">
        <v>241</v>
      </c>
      <c r="H2881" s="4" t="s">
        <v>241</v>
      </c>
      <c r="I2881" s="4" t="s">
        <v>424</v>
      </c>
      <c r="J2881" s="4" t="s">
        <v>274</v>
      </c>
      <c r="K2881" s="4" t="s">
        <v>251</v>
      </c>
      <c r="L2881" s="4" t="s">
        <v>423</v>
      </c>
      <c r="M2881" s="5" t="s">
        <v>3400</v>
      </c>
      <c r="N2881" s="6">
        <f>3331</f>
        <v>3331</v>
      </c>
      <c r="O2881" s="4" t="s">
        <v>265</v>
      </c>
      <c r="P2881" s="6">
        <f>1</f>
        <v>1</v>
      </c>
      <c r="Q2881" s="6">
        <f>0</f>
        <v>0</v>
      </c>
      <c r="S2881" s="6">
        <f>0</f>
        <v>0</v>
      </c>
      <c r="T2881" s="6">
        <f>1</f>
        <v>1</v>
      </c>
      <c r="U2881" s="5" t="s">
        <v>245</v>
      </c>
      <c r="V2881" s="4" t="s">
        <v>270</v>
      </c>
      <c r="W2881" s="4" t="s">
        <v>271</v>
      </c>
      <c r="X2881" s="4" t="s">
        <v>273</v>
      </c>
      <c r="Y2881" s="4" t="s">
        <v>241</v>
      </c>
      <c r="AB2881" s="4" t="s">
        <v>241</v>
      </c>
      <c r="AD2881" s="5" t="s">
        <v>241</v>
      </c>
      <c r="AG2881" s="5" t="s">
        <v>246</v>
      </c>
      <c r="AH2881" s="4" t="s">
        <v>241</v>
      </c>
      <c r="AI2881" s="4" t="s">
        <v>247</v>
      </c>
      <c r="AJ2881" s="4" t="s">
        <v>248</v>
      </c>
      <c r="AZ2881" s="4" t="s">
        <v>249</v>
      </c>
      <c r="BA2881" s="4" t="s">
        <v>241</v>
      </c>
      <c r="BB2881" s="4" t="s">
        <v>250</v>
      </c>
      <c r="BC2881" s="4" t="s">
        <v>241</v>
      </c>
      <c r="BD2881" s="4" t="s">
        <v>252</v>
      </c>
      <c r="BE2881" s="4" t="s">
        <v>241</v>
      </c>
      <c r="BI2881" s="4" t="s">
        <v>253</v>
      </c>
      <c r="BJ2881" s="5" t="s">
        <v>246</v>
      </c>
      <c r="BK2881" s="4" t="s">
        <v>254</v>
      </c>
      <c r="BL2881" s="4" t="s">
        <v>255</v>
      </c>
      <c r="BM2881" s="4" t="s">
        <v>241</v>
      </c>
      <c r="BN2881" s="6">
        <f>0</f>
        <v>0</v>
      </c>
      <c r="BO2881" s="6">
        <f>0</f>
        <v>0</v>
      </c>
      <c r="BP2881" s="4" t="s">
        <v>256</v>
      </c>
      <c r="BQ2881" s="4" t="s">
        <v>257</v>
      </c>
      <c r="CE2881" s="4" t="s">
        <v>241</v>
      </c>
      <c r="CF2881" s="4" t="s">
        <v>241</v>
      </c>
      <c r="CJ2881" s="4" t="s">
        <v>276</v>
      </c>
      <c r="CK2881" s="4" t="s">
        <v>259</v>
      </c>
      <c r="CL2881" s="4" t="s">
        <v>241</v>
      </c>
      <c r="CO2881" s="5" t="s">
        <v>260</v>
      </c>
      <c r="CP2881" s="4" t="s">
        <v>241</v>
      </c>
      <c r="CQ2881" s="4" t="s">
        <v>261</v>
      </c>
      <c r="CR2881" s="4" t="s">
        <v>241</v>
      </c>
      <c r="CS2881" s="4" t="s">
        <v>241</v>
      </c>
      <c r="CT2881" s="4">
        <v>0</v>
      </c>
      <c r="CU2881" s="4" t="s">
        <v>262</v>
      </c>
      <c r="CV2881" s="4" t="s">
        <v>263</v>
      </c>
      <c r="CW2881" s="4" t="s">
        <v>263</v>
      </c>
      <c r="CX2881" s="4" t="s">
        <v>264</v>
      </c>
      <c r="DA2881" s="6">
        <f>1</f>
        <v>1</v>
      </c>
      <c r="DC2881" s="4" t="s">
        <v>325</v>
      </c>
      <c r="DD2881" s="4" t="s">
        <v>241</v>
      </c>
      <c r="DF2881" s="4" t="s">
        <v>325</v>
      </c>
      <c r="DG2881" s="6">
        <f>3331</f>
        <v>3331</v>
      </c>
      <c r="DI2881" s="4" t="s">
        <v>241</v>
      </c>
      <c r="DJ2881" s="4" t="s">
        <v>241</v>
      </c>
      <c r="DK2881" s="4" t="s">
        <v>241</v>
      </c>
      <c r="DL2881" s="4" t="s">
        <v>241</v>
      </c>
      <c r="DP2881" s="4" t="s">
        <v>241</v>
      </c>
      <c r="DQ2881" s="4" t="s">
        <v>241</v>
      </c>
      <c r="DR2881" s="4" t="s">
        <v>241</v>
      </c>
      <c r="DS2881" s="4" t="s">
        <v>241</v>
      </c>
      <c r="DV2881" s="4" t="s">
        <v>426</v>
      </c>
      <c r="DW2881" s="4" t="s">
        <v>2112</v>
      </c>
      <c r="HO2881" s="4" t="s">
        <v>267</v>
      </c>
    </row>
    <row r="2882" spans="1:223" ht="19.5" customHeight="1" x14ac:dyDescent="0.4">
      <c r="A2882" s="4">
        <v>1</v>
      </c>
      <c r="B2882" s="4" t="s">
        <v>239</v>
      </c>
      <c r="C2882" s="4">
        <v>4585</v>
      </c>
      <c r="D2882" s="4">
        <v>1</v>
      </c>
      <c r="E2882" s="4">
        <v>1</v>
      </c>
      <c r="F2882" s="4" t="s">
        <v>268</v>
      </c>
      <c r="G2882" s="4" t="s">
        <v>241</v>
      </c>
      <c r="H2882" s="4" t="s">
        <v>241</v>
      </c>
      <c r="I2882" s="4" t="s">
        <v>424</v>
      </c>
      <c r="J2882" s="4" t="s">
        <v>274</v>
      </c>
      <c r="K2882" s="4" t="s">
        <v>251</v>
      </c>
      <c r="L2882" s="4" t="s">
        <v>423</v>
      </c>
      <c r="M2882" s="5" t="s">
        <v>3387</v>
      </c>
      <c r="N2882" s="6">
        <f>2627</f>
        <v>2627</v>
      </c>
      <c r="O2882" s="4" t="s">
        <v>265</v>
      </c>
      <c r="P2882" s="6">
        <f>1</f>
        <v>1</v>
      </c>
      <c r="Q2882" s="6">
        <f>0</f>
        <v>0</v>
      </c>
      <c r="S2882" s="6">
        <f>0</f>
        <v>0</v>
      </c>
      <c r="T2882" s="6">
        <f>1</f>
        <v>1</v>
      </c>
      <c r="U2882" s="5" t="s">
        <v>245</v>
      </c>
      <c r="V2882" s="4" t="s">
        <v>270</v>
      </c>
      <c r="W2882" s="4" t="s">
        <v>271</v>
      </c>
      <c r="X2882" s="4" t="s">
        <v>273</v>
      </c>
      <c r="Y2882" s="4" t="s">
        <v>241</v>
      </c>
      <c r="AB2882" s="4" t="s">
        <v>241</v>
      </c>
      <c r="AD2882" s="5" t="s">
        <v>241</v>
      </c>
      <c r="AG2882" s="5" t="s">
        <v>246</v>
      </c>
      <c r="AH2882" s="4" t="s">
        <v>241</v>
      </c>
      <c r="AI2882" s="4" t="s">
        <v>247</v>
      </c>
      <c r="AJ2882" s="4" t="s">
        <v>248</v>
      </c>
      <c r="AZ2882" s="4" t="s">
        <v>249</v>
      </c>
      <c r="BA2882" s="4" t="s">
        <v>241</v>
      </c>
      <c r="BB2882" s="4" t="s">
        <v>250</v>
      </c>
      <c r="BC2882" s="4" t="s">
        <v>241</v>
      </c>
      <c r="BD2882" s="4" t="s">
        <v>252</v>
      </c>
      <c r="BE2882" s="4" t="s">
        <v>241</v>
      </c>
      <c r="BI2882" s="4" t="s">
        <v>253</v>
      </c>
      <c r="BJ2882" s="5" t="s">
        <v>246</v>
      </c>
      <c r="BK2882" s="4" t="s">
        <v>254</v>
      </c>
      <c r="BL2882" s="4" t="s">
        <v>255</v>
      </c>
      <c r="BM2882" s="4" t="s">
        <v>241</v>
      </c>
      <c r="BN2882" s="6">
        <f>0</f>
        <v>0</v>
      </c>
      <c r="BO2882" s="6">
        <f>0</f>
        <v>0</v>
      </c>
      <c r="BP2882" s="4" t="s">
        <v>256</v>
      </c>
      <c r="BQ2882" s="4" t="s">
        <v>257</v>
      </c>
      <c r="CE2882" s="4" t="s">
        <v>241</v>
      </c>
      <c r="CF2882" s="4" t="s">
        <v>241</v>
      </c>
      <c r="CJ2882" s="4" t="s">
        <v>276</v>
      </c>
      <c r="CK2882" s="4" t="s">
        <v>259</v>
      </c>
      <c r="CL2882" s="4" t="s">
        <v>241</v>
      </c>
      <c r="CO2882" s="5" t="s">
        <v>260</v>
      </c>
      <c r="CP2882" s="4" t="s">
        <v>241</v>
      </c>
      <c r="CQ2882" s="4" t="s">
        <v>261</v>
      </c>
      <c r="CR2882" s="4" t="s">
        <v>241</v>
      </c>
      <c r="CS2882" s="4" t="s">
        <v>241</v>
      </c>
      <c r="CT2882" s="4">
        <v>0</v>
      </c>
      <c r="CU2882" s="4" t="s">
        <v>262</v>
      </c>
      <c r="CV2882" s="4" t="s">
        <v>263</v>
      </c>
      <c r="CW2882" s="4" t="s">
        <v>263</v>
      </c>
      <c r="CX2882" s="4" t="s">
        <v>264</v>
      </c>
      <c r="DA2882" s="6">
        <f>1</f>
        <v>1</v>
      </c>
      <c r="DC2882" s="4" t="s">
        <v>325</v>
      </c>
      <c r="DD2882" s="4" t="s">
        <v>241</v>
      </c>
      <c r="DF2882" s="4" t="s">
        <v>325</v>
      </c>
      <c r="DG2882" s="6">
        <f>2627</f>
        <v>2627</v>
      </c>
      <c r="DI2882" s="4" t="s">
        <v>241</v>
      </c>
      <c r="DJ2882" s="4" t="s">
        <v>241</v>
      </c>
      <c r="DK2882" s="4" t="s">
        <v>241</v>
      </c>
      <c r="DL2882" s="4" t="s">
        <v>241</v>
      </c>
      <c r="DP2882" s="4" t="s">
        <v>241</v>
      </c>
      <c r="DQ2882" s="4" t="s">
        <v>241</v>
      </c>
      <c r="DR2882" s="4" t="s">
        <v>241</v>
      </c>
      <c r="DS2882" s="4" t="s">
        <v>241</v>
      </c>
      <c r="DV2882" s="4" t="s">
        <v>426</v>
      </c>
      <c r="DW2882" s="4" t="s">
        <v>2110</v>
      </c>
      <c r="HO2882" s="4" t="s">
        <v>267</v>
      </c>
    </row>
    <row r="2883" spans="1:223" ht="19.5" customHeight="1" x14ac:dyDescent="0.4">
      <c r="A2883" s="4">
        <v>1</v>
      </c>
      <c r="B2883" s="4" t="s">
        <v>239</v>
      </c>
      <c r="C2883" s="4">
        <v>4586</v>
      </c>
      <c r="D2883" s="4">
        <v>1</v>
      </c>
      <c r="E2883" s="4">
        <v>1</v>
      </c>
      <c r="F2883" s="4" t="s">
        <v>268</v>
      </c>
      <c r="G2883" s="4" t="s">
        <v>241</v>
      </c>
      <c r="H2883" s="4" t="s">
        <v>241</v>
      </c>
      <c r="I2883" s="4" t="s">
        <v>424</v>
      </c>
      <c r="J2883" s="4" t="s">
        <v>274</v>
      </c>
      <c r="K2883" s="4" t="s">
        <v>251</v>
      </c>
      <c r="L2883" s="4" t="s">
        <v>423</v>
      </c>
      <c r="M2883" s="5" t="s">
        <v>3368</v>
      </c>
      <c r="N2883" s="6">
        <f>70</f>
        <v>70</v>
      </c>
      <c r="O2883" s="4" t="s">
        <v>265</v>
      </c>
      <c r="P2883" s="6">
        <f>1</f>
        <v>1</v>
      </c>
      <c r="Q2883" s="6">
        <f>0</f>
        <v>0</v>
      </c>
      <c r="S2883" s="6">
        <f>0</f>
        <v>0</v>
      </c>
      <c r="T2883" s="6">
        <f>1</f>
        <v>1</v>
      </c>
      <c r="U2883" s="5" t="s">
        <v>245</v>
      </c>
      <c r="V2883" s="4" t="s">
        <v>270</v>
      </c>
      <c r="W2883" s="4" t="s">
        <v>271</v>
      </c>
      <c r="X2883" s="4" t="s">
        <v>273</v>
      </c>
      <c r="Y2883" s="4" t="s">
        <v>241</v>
      </c>
      <c r="AB2883" s="4" t="s">
        <v>241</v>
      </c>
      <c r="AD2883" s="5" t="s">
        <v>241</v>
      </c>
      <c r="AG2883" s="5" t="s">
        <v>246</v>
      </c>
      <c r="AH2883" s="4" t="s">
        <v>241</v>
      </c>
      <c r="AI2883" s="4" t="s">
        <v>247</v>
      </c>
      <c r="AJ2883" s="4" t="s">
        <v>248</v>
      </c>
      <c r="AZ2883" s="4" t="s">
        <v>249</v>
      </c>
      <c r="BA2883" s="4" t="s">
        <v>241</v>
      </c>
      <c r="BB2883" s="4" t="s">
        <v>250</v>
      </c>
      <c r="BC2883" s="4" t="s">
        <v>241</v>
      </c>
      <c r="BD2883" s="4" t="s">
        <v>252</v>
      </c>
      <c r="BE2883" s="4" t="s">
        <v>241</v>
      </c>
      <c r="BI2883" s="4" t="s">
        <v>253</v>
      </c>
      <c r="BJ2883" s="5" t="s">
        <v>246</v>
      </c>
      <c r="BK2883" s="4" t="s">
        <v>254</v>
      </c>
      <c r="BL2883" s="4" t="s">
        <v>255</v>
      </c>
      <c r="BM2883" s="4" t="s">
        <v>241</v>
      </c>
      <c r="BN2883" s="6">
        <f>0</f>
        <v>0</v>
      </c>
      <c r="BO2883" s="6">
        <f>0</f>
        <v>0</v>
      </c>
      <c r="BP2883" s="4" t="s">
        <v>256</v>
      </c>
      <c r="BQ2883" s="4" t="s">
        <v>257</v>
      </c>
      <c r="CE2883" s="4" t="s">
        <v>241</v>
      </c>
      <c r="CF2883" s="4" t="s">
        <v>241</v>
      </c>
      <c r="CJ2883" s="4" t="s">
        <v>276</v>
      </c>
      <c r="CK2883" s="4" t="s">
        <v>259</v>
      </c>
      <c r="CL2883" s="4" t="s">
        <v>241</v>
      </c>
      <c r="CO2883" s="5" t="s">
        <v>260</v>
      </c>
      <c r="CP2883" s="4" t="s">
        <v>241</v>
      </c>
      <c r="CQ2883" s="4" t="s">
        <v>261</v>
      </c>
      <c r="CR2883" s="4" t="s">
        <v>241</v>
      </c>
      <c r="CS2883" s="4" t="s">
        <v>241</v>
      </c>
      <c r="CT2883" s="4">
        <v>0</v>
      </c>
      <c r="CU2883" s="4" t="s">
        <v>262</v>
      </c>
      <c r="CV2883" s="4" t="s">
        <v>263</v>
      </c>
      <c r="CW2883" s="4" t="s">
        <v>263</v>
      </c>
      <c r="CX2883" s="4" t="s">
        <v>264</v>
      </c>
      <c r="DA2883" s="6">
        <f>1</f>
        <v>1</v>
      </c>
      <c r="DC2883" s="4" t="s">
        <v>325</v>
      </c>
      <c r="DD2883" s="4" t="s">
        <v>241</v>
      </c>
      <c r="DF2883" s="4" t="s">
        <v>325</v>
      </c>
      <c r="DG2883" s="6">
        <f>70</f>
        <v>70</v>
      </c>
      <c r="DI2883" s="4" t="s">
        <v>241</v>
      </c>
      <c r="DJ2883" s="4" t="s">
        <v>241</v>
      </c>
      <c r="DK2883" s="4" t="s">
        <v>241</v>
      </c>
      <c r="DL2883" s="4" t="s">
        <v>241</v>
      </c>
      <c r="DP2883" s="4" t="s">
        <v>241</v>
      </c>
      <c r="DQ2883" s="4" t="s">
        <v>241</v>
      </c>
      <c r="DR2883" s="4" t="s">
        <v>241</v>
      </c>
      <c r="DS2883" s="4" t="s">
        <v>241</v>
      </c>
      <c r="DV2883" s="4" t="s">
        <v>426</v>
      </c>
      <c r="DW2883" s="4" t="s">
        <v>2108</v>
      </c>
      <c r="HO2883" s="4" t="s">
        <v>267</v>
      </c>
    </row>
    <row r="2884" spans="1:223" ht="19.5" customHeight="1" x14ac:dyDescent="0.4">
      <c r="A2884" s="4">
        <v>1</v>
      </c>
      <c r="B2884" s="4" t="s">
        <v>239</v>
      </c>
      <c r="C2884" s="4">
        <v>4587</v>
      </c>
      <c r="D2884" s="4">
        <v>1</v>
      </c>
      <c r="E2884" s="4">
        <v>1</v>
      </c>
      <c r="F2884" s="4" t="s">
        <v>268</v>
      </c>
      <c r="G2884" s="4" t="s">
        <v>241</v>
      </c>
      <c r="H2884" s="4" t="s">
        <v>241</v>
      </c>
      <c r="I2884" s="4" t="s">
        <v>424</v>
      </c>
      <c r="J2884" s="4" t="s">
        <v>274</v>
      </c>
      <c r="K2884" s="4" t="s">
        <v>251</v>
      </c>
      <c r="L2884" s="4" t="s">
        <v>423</v>
      </c>
      <c r="M2884" s="5" t="s">
        <v>3353</v>
      </c>
      <c r="N2884" s="6">
        <f>230</f>
        <v>230</v>
      </c>
      <c r="O2884" s="4" t="s">
        <v>265</v>
      </c>
      <c r="P2884" s="6">
        <f>1</f>
        <v>1</v>
      </c>
      <c r="Q2884" s="6">
        <f>0</f>
        <v>0</v>
      </c>
      <c r="S2884" s="6">
        <f>0</f>
        <v>0</v>
      </c>
      <c r="T2884" s="6">
        <f>1</f>
        <v>1</v>
      </c>
      <c r="U2884" s="5" t="s">
        <v>245</v>
      </c>
      <c r="V2884" s="4" t="s">
        <v>270</v>
      </c>
      <c r="W2884" s="4" t="s">
        <v>271</v>
      </c>
      <c r="X2884" s="4" t="s">
        <v>273</v>
      </c>
      <c r="Y2884" s="4" t="s">
        <v>241</v>
      </c>
      <c r="AB2884" s="4" t="s">
        <v>241</v>
      </c>
      <c r="AD2884" s="5" t="s">
        <v>241</v>
      </c>
      <c r="AG2884" s="5" t="s">
        <v>246</v>
      </c>
      <c r="AH2884" s="4" t="s">
        <v>241</v>
      </c>
      <c r="AI2884" s="4" t="s">
        <v>247</v>
      </c>
      <c r="AJ2884" s="4" t="s">
        <v>248</v>
      </c>
      <c r="AZ2884" s="4" t="s">
        <v>249</v>
      </c>
      <c r="BA2884" s="4" t="s">
        <v>241</v>
      </c>
      <c r="BB2884" s="4" t="s">
        <v>250</v>
      </c>
      <c r="BC2884" s="4" t="s">
        <v>241</v>
      </c>
      <c r="BD2884" s="4" t="s">
        <v>252</v>
      </c>
      <c r="BE2884" s="4" t="s">
        <v>241</v>
      </c>
      <c r="BI2884" s="4" t="s">
        <v>253</v>
      </c>
      <c r="BJ2884" s="5" t="s">
        <v>246</v>
      </c>
      <c r="BK2884" s="4" t="s">
        <v>254</v>
      </c>
      <c r="BL2884" s="4" t="s">
        <v>255</v>
      </c>
      <c r="BM2884" s="4" t="s">
        <v>241</v>
      </c>
      <c r="BN2884" s="6">
        <f>0</f>
        <v>0</v>
      </c>
      <c r="BO2884" s="6">
        <f>0</f>
        <v>0</v>
      </c>
      <c r="BP2884" s="4" t="s">
        <v>256</v>
      </c>
      <c r="BQ2884" s="4" t="s">
        <v>257</v>
      </c>
      <c r="CE2884" s="4" t="s">
        <v>241</v>
      </c>
      <c r="CF2884" s="4" t="s">
        <v>241</v>
      </c>
      <c r="CJ2884" s="4" t="s">
        <v>276</v>
      </c>
      <c r="CK2884" s="4" t="s">
        <v>259</v>
      </c>
      <c r="CL2884" s="4" t="s">
        <v>241</v>
      </c>
      <c r="CO2884" s="5" t="s">
        <v>260</v>
      </c>
      <c r="CP2884" s="4" t="s">
        <v>241</v>
      </c>
      <c r="CQ2884" s="4" t="s">
        <v>261</v>
      </c>
      <c r="CR2884" s="4" t="s">
        <v>241</v>
      </c>
      <c r="CS2884" s="4" t="s">
        <v>241</v>
      </c>
      <c r="CT2884" s="4">
        <v>0</v>
      </c>
      <c r="CU2884" s="4" t="s">
        <v>262</v>
      </c>
      <c r="CV2884" s="4" t="s">
        <v>263</v>
      </c>
      <c r="CW2884" s="4" t="s">
        <v>263</v>
      </c>
      <c r="CX2884" s="4" t="s">
        <v>264</v>
      </c>
      <c r="DA2884" s="6">
        <f>1</f>
        <v>1</v>
      </c>
      <c r="DC2884" s="4" t="s">
        <v>325</v>
      </c>
      <c r="DD2884" s="4" t="s">
        <v>241</v>
      </c>
      <c r="DF2884" s="4" t="s">
        <v>325</v>
      </c>
      <c r="DG2884" s="6">
        <f>230</f>
        <v>230</v>
      </c>
      <c r="DI2884" s="4" t="s">
        <v>241</v>
      </c>
      <c r="DJ2884" s="4" t="s">
        <v>241</v>
      </c>
      <c r="DK2884" s="4" t="s">
        <v>241</v>
      </c>
      <c r="DL2884" s="4" t="s">
        <v>241</v>
      </c>
      <c r="DP2884" s="4" t="s">
        <v>241</v>
      </c>
      <c r="DQ2884" s="4" t="s">
        <v>241</v>
      </c>
      <c r="DR2884" s="4" t="s">
        <v>241</v>
      </c>
      <c r="DS2884" s="4" t="s">
        <v>241</v>
      </c>
      <c r="DV2884" s="4" t="s">
        <v>426</v>
      </c>
      <c r="DW2884" s="4" t="s">
        <v>2106</v>
      </c>
      <c r="HO2884" s="4" t="s">
        <v>267</v>
      </c>
    </row>
    <row r="2885" spans="1:223" ht="19.5" customHeight="1" x14ac:dyDescent="0.4">
      <c r="A2885" s="4">
        <v>1</v>
      </c>
      <c r="B2885" s="4" t="s">
        <v>239</v>
      </c>
      <c r="C2885" s="4">
        <v>4588</v>
      </c>
      <c r="D2885" s="4">
        <v>1</v>
      </c>
      <c r="E2885" s="4">
        <v>1</v>
      </c>
      <c r="F2885" s="4" t="s">
        <v>268</v>
      </c>
      <c r="G2885" s="4" t="s">
        <v>241</v>
      </c>
      <c r="H2885" s="4" t="s">
        <v>241</v>
      </c>
      <c r="I2885" s="4" t="s">
        <v>424</v>
      </c>
      <c r="J2885" s="4" t="s">
        <v>274</v>
      </c>
      <c r="K2885" s="4" t="s">
        <v>251</v>
      </c>
      <c r="L2885" s="4" t="s">
        <v>423</v>
      </c>
      <c r="M2885" s="5" t="s">
        <v>3332</v>
      </c>
      <c r="N2885" s="6">
        <f>223</f>
        <v>223</v>
      </c>
      <c r="O2885" s="4" t="s">
        <v>265</v>
      </c>
      <c r="P2885" s="6">
        <f>1</f>
        <v>1</v>
      </c>
      <c r="Q2885" s="6">
        <f>0</f>
        <v>0</v>
      </c>
      <c r="S2885" s="6">
        <f>0</f>
        <v>0</v>
      </c>
      <c r="T2885" s="6">
        <f>1</f>
        <v>1</v>
      </c>
      <c r="U2885" s="5" t="s">
        <v>245</v>
      </c>
      <c r="V2885" s="4" t="s">
        <v>270</v>
      </c>
      <c r="W2885" s="4" t="s">
        <v>271</v>
      </c>
      <c r="X2885" s="4" t="s">
        <v>273</v>
      </c>
      <c r="Y2885" s="4" t="s">
        <v>241</v>
      </c>
      <c r="AB2885" s="4" t="s">
        <v>241</v>
      </c>
      <c r="AD2885" s="5" t="s">
        <v>241</v>
      </c>
      <c r="AG2885" s="5" t="s">
        <v>246</v>
      </c>
      <c r="AH2885" s="4" t="s">
        <v>241</v>
      </c>
      <c r="AI2885" s="4" t="s">
        <v>247</v>
      </c>
      <c r="AJ2885" s="4" t="s">
        <v>248</v>
      </c>
      <c r="AZ2885" s="4" t="s">
        <v>249</v>
      </c>
      <c r="BA2885" s="4" t="s">
        <v>241</v>
      </c>
      <c r="BB2885" s="4" t="s">
        <v>250</v>
      </c>
      <c r="BC2885" s="4" t="s">
        <v>241</v>
      </c>
      <c r="BD2885" s="4" t="s">
        <v>252</v>
      </c>
      <c r="BE2885" s="4" t="s">
        <v>241</v>
      </c>
      <c r="BI2885" s="4" t="s">
        <v>253</v>
      </c>
      <c r="BJ2885" s="5" t="s">
        <v>246</v>
      </c>
      <c r="BK2885" s="4" t="s">
        <v>254</v>
      </c>
      <c r="BL2885" s="4" t="s">
        <v>255</v>
      </c>
      <c r="BM2885" s="4" t="s">
        <v>241</v>
      </c>
      <c r="BN2885" s="6">
        <f>0</f>
        <v>0</v>
      </c>
      <c r="BO2885" s="6">
        <f>0</f>
        <v>0</v>
      </c>
      <c r="BP2885" s="4" t="s">
        <v>256</v>
      </c>
      <c r="BQ2885" s="4" t="s">
        <v>257</v>
      </c>
      <c r="CE2885" s="4" t="s">
        <v>241</v>
      </c>
      <c r="CF2885" s="4" t="s">
        <v>241</v>
      </c>
      <c r="CJ2885" s="4" t="s">
        <v>276</v>
      </c>
      <c r="CK2885" s="4" t="s">
        <v>259</v>
      </c>
      <c r="CL2885" s="4" t="s">
        <v>241</v>
      </c>
      <c r="CO2885" s="5" t="s">
        <v>260</v>
      </c>
      <c r="CP2885" s="4" t="s">
        <v>241</v>
      </c>
      <c r="CQ2885" s="4" t="s">
        <v>261</v>
      </c>
      <c r="CR2885" s="4" t="s">
        <v>241</v>
      </c>
      <c r="CS2885" s="4" t="s">
        <v>241</v>
      </c>
      <c r="CT2885" s="4">
        <v>0</v>
      </c>
      <c r="CU2885" s="4" t="s">
        <v>262</v>
      </c>
      <c r="CV2885" s="4" t="s">
        <v>263</v>
      </c>
      <c r="CW2885" s="4" t="s">
        <v>263</v>
      </c>
      <c r="CX2885" s="4" t="s">
        <v>264</v>
      </c>
      <c r="DA2885" s="6">
        <f>1</f>
        <v>1</v>
      </c>
      <c r="DC2885" s="4" t="s">
        <v>325</v>
      </c>
      <c r="DD2885" s="4" t="s">
        <v>241</v>
      </c>
      <c r="DF2885" s="4" t="s">
        <v>325</v>
      </c>
      <c r="DG2885" s="6">
        <f>223</f>
        <v>223</v>
      </c>
      <c r="DI2885" s="4" t="s">
        <v>241</v>
      </c>
      <c r="DJ2885" s="4" t="s">
        <v>241</v>
      </c>
      <c r="DK2885" s="4" t="s">
        <v>241</v>
      </c>
      <c r="DL2885" s="4" t="s">
        <v>241</v>
      </c>
      <c r="DP2885" s="4" t="s">
        <v>241</v>
      </c>
      <c r="DQ2885" s="4" t="s">
        <v>241</v>
      </c>
      <c r="DR2885" s="4" t="s">
        <v>241</v>
      </c>
      <c r="DS2885" s="4" t="s">
        <v>241</v>
      </c>
      <c r="DV2885" s="4" t="s">
        <v>426</v>
      </c>
      <c r="DW2885" s="4" t="s">
        <v>2104</v>
      </c>
      <c r="HO2885" s="4" t="s">
        <v>267</v>
      </c>
    </row>
    <row r="2886" spans="1:223" ht="19.5" customHeight="1" x14ac:dyDescent="0.4">
      <c r="A2886" s="4">
        <v>1</v>
      </c>
      <c r="B2886" s="4" t="s">
        <v>239</v>
      </c>
      <c r="C2886" s="4">
        <v>4589</v>
      </c>
      <c r="D2886" s="4">
        <v>1</v>
      </c>
      <c r="E2886" s="4">
        <v>1</v>
      </c>
      <c r="F2886" s="4" t="s">
        <v>268</v>
      </c>
      <c r="G2886" s="4" t="s">
        <v>241</v>
      </c>
      <c r="H2886" s="4" t="s">
        <v>241</v>
      </c>
      <c r="I2886" s="4" t="s">
        <v>424</v>
      </c>
      <c r="J2886" s="4" t="s">
        <v>274</v>
      </c>
      <c r="K2886" s="4" t="s">
        <v>251</v>
      </c>
      <c r="L2886" s="4" t="s">
        <v>423</v>
      </c>
      <c r="M2886" s="5" t="s">
        <v>3314</v>
      </c>
      <c r="N2886" s="6">
        <f>225</f>
        <v>225</v>
      </c>
      <c r="O2886" s="4" t="s">
        <v>265</v>
      </c>
      <c r="P2886" s="6">
        <f>1</f>
        <v>1</v>
      </c>
      <c r="Q2886" s="6">
        <f>0</f>
        <v>0</v>
      </c>
      <c r="S2886" s="6">
        <f>0</f>
        <v>0</v>
      </c>
      <c r="T2886" s="6">
        <f>1</f>
        <v>1</v>
      </c>
      <c r="U2886" s="5" t="s">
        <v>245</v>
      </c>
      <c r="V2886" s="4" t="s">
        <v>270</v>
      </c>
      <c r="W2886" s="4" t="s">
        <v>271</v>
      </c>
      <c r="X2886" s="4" t="s">
        <v>273</v>
      </c>
      <c r="Y2886" s="4" t="s">
        <v>241</v>
      </c>
      <c r="AB2886" s="4" t="s">
        <v>241</v>
      </c>
      <c r="AD2886" s="5" t="s">
        <v>241</v>
      </c>
      <c r="AG2886" s="5" t="s">
        <v>246</v>
      </c>
      <c r="AH2886" s="4" t="s">
        <v>241</v>
      </c>
      <c r="AI2886" s="4" t="s">
        <v>247</v>
      </c>
      <c r="AJ2886" s="4" t="s">
        <v>248</v>
      </c>
      <c r="AZ2886" s="4" t="s">
        <v>249</v>
      </c>
      <c r="BA2886" s="4" t="s">
        <v>241</v>
      </c>
      <c r="BB2886" s="4" t="s">
        <v>250</v>
      </c>
      <c r="BC2886" s="4" t="s">
        <v>241</v>
      </c>
      <c r="BD2886" s="4" t="s">
        <v>252</v>
      </c>
      <c r="BE2886" s="4" t="s">
        <v>241</v>
      </c>
      <c r="BI2886" s="4" t="s">
        <v>253</v>
      </c>
      <c r="BJ2886" s="5" t="s">
        <v>246</v>
      </c>
      <c r="BK2886" s="4" t="s">
        <v>254</v>
      </c>
      <c r="BL2886" s="4" t="s">
        <v>255</v>
      </c>
      <c r="BM2886" s="4" t="s">
        <v>241</v>
      </c>
      <c r="BN2886" s="6">
        <f>0</f>
        <v>0</v>
      </c>
      <c r="BO2886" s="6">
        <f>0</f>
        <v>0</v>
      </c>
      <c r="BP2886" s="4" t="s">
        <v>256</v>
      </c>
      <c r="BQ2886" s="4" t="s">
        <v>257</v>
      </c>
      <c r="CE2886" s="4" t="s">
        <v>241</v>
      </c>
      <c r="CF2886" s="4" t="s">
        <v>241</v>
      </c>
      <c r="CJ2886" s="4" t="s">
        <v>276</v>
      </c>
      <c r="CK2886" s="4" t="s">
        <v>259</v>
      </c>
      <c r="CL2886" s="4" t="s">
        <v>241</v>
      </c>
      <c r="CO2886" s="5" t="s">
        <v>260</v>
      </c>
      <c r="CP2886" s="4" t="s">
        <v>241</v>
      </c>
      <c r="CQ2886" s="4" t="s">
        <v>261</v>
      </c>
      <c r="CR2886" s="4" t="s">
        <v>241</v>
      </c>
      <c r="CS2886" s="4" t="s">
        <v>241</v>
      </c>
      <c r="CT2886" s="4">
        <v>0</v>
      </c>
      <c r="CU2886" s="4" t="s">
        <v>262</v>
      </c>
      <c r="CV2886" s="4" t="s">
        <v>263</v>
      </c>
      <c r="CW2886" s="4" t="s">
        <v>263</v>
      </c>
      <c r="CX2886" s="4" t="s">
        <v>264</v>
      </c>
      <c r="DA2886" s="6">
        <f>1</f>
        <v>1</v>
      </c>
      <c r="DC2886" s="4" t="s">
        <v>325</v>
      </c>
      <c r="DD2886" s="4" t="s">
        <v>241</v>
      </c>
      <c r="DF2886" s="4" t="s">
        <v>325</v>
      </c>
      <c r="DG2886" s="6">
        <f>225</f>
        <v>225</v>
      </c>
      <c r="DI2886" s="4" t="s">
        <v>241</v>
      </c>
      <c r="DJ2886" s="4" t="s">
        <v>241</v>
      </c>
      <c r="DK2886" s="4" t="s">
        <v>241</v>
      </c>
      <c r="DL2886" s="4" t="s">
        <v>241</v>
      </c>
      <c r="DP2886" s="4" t="s">
        <v>241</v>
      </c>
      <c r="DQ2886" s="4" t="s">
        <v>241</v>
      </c>
      <c r="DR2886" s="4" t="s">
        <v>241</v>
      </c>
      <c r="DS2886" s="4" t="s">
        <v>241</v>
      </c>
      <c r="DV2886" s="4" t="s">
        <v>426</v>
      </c>
      <c r="DW2886" s="4" t="s">
        <v>2102</v>
      </c>
      <c r="HO2886" s="4" t="s">
        <v>267</v>
      </c>
    </row>
    <row r="2887" spans="1:223" ht="19.5" customHeight="1" x14ac:dyDescent="0.4">
      <c r="A2887" s="4">
        <v>1</v>
      </c>
      <c r="B2887" s="4" t="s">
        <v>239</v>
      </c>
      <c r="C2887" s="4">
        <v>4590</v>
      </c>
      <c r="D2887" s="4">
        <v>1</v>
      </c>
      <c r="E2887" s="4">
        <v>1</v>
      </c>
      <c r="F2887" s="4" t="s">
        <v>268</v>
      </c>
      <c r="G2887" s="4" t="s">
        <v>241</v>
      </c>
      <c r="H2887" s="4" t="s">
        <v>241</v>
      </c>
      <c r="I2887" s="4" t="s">
        <v>424</v>
      </c>
      <c r="J2887" s="4" t="s">
        <v>274</v>
      </c>
      <c r="K2887" s="4" t="s">
        <v>251</v>
      </c>
      <c r="L2887" s="4" t="s">
        <v>423</v>
      </c>
      <c r="M2887" s="5" t="s">
        <v>3299</v>
      </c>
      <c r="N2887" s="6">
        <f>168</f>
        <v>168</v>
      </c>
      <c r="O2887" s="4" t="s">
        <v>265</v>
      </c>
      <c r="P2887" s="6">
        <f>1</f>
        <v>1</v>
      </c>
      <c r="Q2887" s="6">
        <f>0</f>
        <v>0</v>
      </c>
      <c r="S2887" s="6">
        <f>0</f>
        <v>0</v>
      </c>
      <c r="T2887" s="6">
        <f>1</f>
        <v>1</v>
      </c>
      <c r="U2887" s="5" t="s">
        <v>245</v>
      </c>
      <c r="V2887" s="4" t="s">
        <v>270</v>
      </c>
      <c r="W2887" s="4" t="s">
        <v>271</v>
      </c>
      <c r="X2887" s="4" t="s">
        <v>273</v>
      </c>
      <c r="Y2887" s="4" t="s">
        <v>241</v>
      </c>
      <c r="AB2887" s="4" t="s">
        <v>241</v>
      </c>
      <c r="AD2887" s="5" t="s">
        <v>241</v>
      </c>
      <c r="AG2887" s="5" t="s">
        <v>246</v>
      </c>
      <c r="AH2887" s="4" t="s">
        <v>241</v>
      </c>
      <c r="AI2887" s="4" t="s">
        <v>247</v>
      </c>
      <c r="AJ2887" s="4" t="s">
        <v>248</v>
      </c>
      <c r="AZ2887" s="4" t="s">
        <v>249</v>
      </c>
      <c r="BA2887" s="4" t="s">
        <v>241</v>
      </c>
      <c r="BB2887" s="4" t="s">
        <v>250</v>
      </c>
      <c r="BC2887" s="4" t="s">
        <v>241</v>
      </c>
      <c r="BD2887" s="4" t="s">
        <v>252</v>
      </c>
      <c r="BE2887" s="4" t="s">
        <v>241</v>
      </c>
      <c r="BI2887" s="4" t="s">
        <v>253</v>
      </c>
      <c r="BJ2887" s="5" t="s">
        <v>246</v>
      </c>
      <c r="BK2887" s="4" t="s">
        <v>254</v>
      </c>
      <c r="BL2887" s="4" t="s">
        <v>255</v>
      </c>
      <c r="BM2887" s="4" t="s">
        <v>241</v>
      </c>
      <c r="BN2887" s="6">
        <f>0</f>
        <v>0</v>
      </c>
      <c r="BO2887" s="6">
        <f>0</f>
        <v>0</v>
      </c>
      <c r="BP2887" s="4" t="s">
        <v>256</v>
      </c>
      <c r="BQ2887" s="4" t="s">
        <v>257</v>
      </c>
      <c r="CE2887" s="4" t="s">
        <v>241</v>
      </c>
      <c r="CF2887" s="4" t="s">
        <v>241</v>
      </c>
      <c r="CJ2887" s="4" t="s">
        <v>276</v>
      </c>
      <c r="CK2887" s="4" t="s">
        <v>259</v>
      </c>
      <c r="CL2887" s="4" t="s">
        <v>241</v>
      </c>
      <c r="CO2887" s="5" t="s">
        <v>260</v>
      </c>
      <c r="CP2887" s="4" t="s">
        <v>241</v>
      </c>
      <c r="CQ2887" s="4" t="s">
        <v>261</v>
      </c>
      <c r="CR2887" s="4" t="s">
        <v>241</v>
      </c>
      <c r="CS2887" s="4" t="s">
        <v>241</v>
      </c>
      <c r="CT2887" s="4">
        <v>0</v>
      </c>
      <c r="CU2887" s="4" t="s">
        <v>262</v>
      </c>
      <c r="CV2887" s="4" t="s">
        <v>263</v>
      </c>
      <c r="CW2887" s="4" t="s">
        <v>263</v>
      </c>
      <c r="CX2887" s="4" t="s">
        <v>264</v>
      </c>
      <c r="DA2887" s="6">
        <f>1</f>
        <v>1</v>
      </c>
      <c r="DC2887" s="4" t="s">
        <v>325</v>
      </c>
      <c r="DD2887" s="4" t="s">
        <v>241</v>
      </c>
      <c r="DF2887" s="4" t="s">
        <v>325</v>
      </c>
      <c r="DG2887" s="6">
        <f>168</f>
        <v>168</v>
      </c>
      <c r="DI2887" s="4" t="s">
        <v>241</v>
      </c>
      <c r="DJ2887" s="4" t="s">
        <v>241</v>
      </c>
      <c r="DK2887" s="4" t="s">
        <v>241</v>
      </c>
      <c r="DL2887" s="4" t="s">
        <v>241</v>
      </c>
      <c r="DP2887" s="4" t="s">
        <v>241</v>
      </c>
      <c r="DQ2887" s="4" t="s">
        <v>241</v>
      </c>
      <c r="DR2887" s="4" t="s">
        <v>241</v>
      </c>
      <c r="DS2887" s="4" t="s">
        <v>241</v>
      </c>
      <c r="DV2887" s="4" t="s">
        <v>426</v>
      </c>
      <c r="DW2887" s="4" t="s">
        <v>2100</v>
      </c>
      <c r="HO2887" s="4" t="s">
        <v>267</v>
      </c>
    </row>
    <row r="2888" spans="1:223" ht="19.5" customHeight="1" x14ac:dyDescent="0.4">
      <c r="A2888" s="4">
        <v>1</v>
      </c>
      <c r="B2888" s="4" t="s">
        <v>239</v>
      </c>
      <c r="C2888" s="4">
        <v>4591</v>
      </c>
      <c r="D2888" s="4">
        <v>1</v>
      </c>
      <c r="E2888" s="4">
        <v>1</v>
      </c>
      <c r="F2888" s="4" t="s">
        <v>268</v>
      </c>
      <c r="G2888" s="4" t="s">
        <v>241</v>
      </c>
      <c r="H2888" s="4" t="s">
        <v>241</v>
      </c>
      <c r="I2888" s="4" t="s">
        <v>424</v>
      </c>
      <c r="J2888" s="4" t="s">
        <v>274</v>
      </c>
      <c r="K2888" s="4" t="s">
        <v>251</v>
      </c>
      <c r="L2888" s="4" t="s">
        <v>423</v>
      </c>
      <c r="M2888" s="5" t="s">
        <v>3284</v>
      </c>
      <c r="N2888" s="6">
        <f>492</f>
        <v>492</v>
      </c>
      <c r="O2888" s="4" t="s">
        <v>265</v>
      </c>
      <c r="P2888" s="6">
        <f>1</f>
        <v>1</v>
      </c>
      <c r="Q2888" s="6">
        <f>0</f>
        <v>0</v>
      </c>
      <c r="S2888" s="6">
        <f>0</f>
        <v>0</v>
      </c>
      <c r="T2888" s="6">
        <f>1</f>
        <v>1</v>
      </c>
      <c r="U2888" s="5" t="s">
        <v>245</v>
      </c>
      <c r="V2888" s="4" t="s">
        <v>270</v>
      </c>
      <c r="W2888" s="4" t="s">
        <v>271</v>
      </c>
      <c r="X2888" s="4" t="s">
        <v>273</v>
      </c>
      <c r="Y2888" s="4" t="s">
        <v>241</v>
      </c>
      <c r="AB2888" s="4" t="s">
        <v>241</v>
      </c>
      <c r="AD2888" s="5" t="s">
        <v>241</v>
      </c>
      <c r="AG2888" s="5" t="s">
        <v>246</v>
      </c>
      <c r="AH2888" s="4" t="s">
        <v>241</v>
      </c>
      <c r="AI2888" s="4" t="s">
        <v>247</v>
      </c>
      <c r="AJ2888" s="4" t="s">
        <v>248</v>
      </c>
      <c r="AZ2888" s="4" t="s">
        <v>249</v>
      </c>
      <c r="BA2888" s="4" t="s">
        <v>241</v>
      </c>
      <c r="BB2888" s="4" t="s">
        <v>250</v>
      </c>
      <c r="BC2888" s="4" t="s">
        <v>241</v>
      </c>
      <c r="BD2888" s="4" t="s">
        <v>252</v>
      </c>
      <c r="BE2888" s="4" t="s">
        <v>241</v>
      </c>
      <c r="BI2888" s="4" t="s">
        <v>253</v>
      </c>
      <c r="BJ2888" s="5" t="s">
        <v>246</v>
      </c>
      <c r="BK2888" s="4" t="s">
        <v>254</v>
      </c>
      <c r="BL2888" s="4" t="s">
        <v>255</v>
      </c>
      <c r="BM2888" s="4" t="s">
        <v>241</v>
      </c>
      <c r="BN2888" s="6">
        <f>0</f>
        <v>0</v>
      </c>
      <c r="BO2888" s="6">
        <f>0</f>
        <v>0</v>
      </c>
      <c r="BP2888" s="4" t="s">
        <v>256</v>
      </c>
      <c r="BQ2888" s="4" t="s">
        <v>257</v>
      </c>
      <c r="CE2888" s="4" t="s">
        <v>241</v>
      </c>
      <c r="CF2888" s="4" t="s">
        <v>241</v>
      </c>
      <c r="CJ2888" s="4" t="s">
        <v>276</v>
      </c>
      <c r="CK2888" s="4" t="s">
        <v>259</v>
      </c>
      <c r="CL2888" s="4" t="s">
        <v>241</v>
      </c>
      <c r="CO2888" s="5" t="s">
        <v>260</v>
      </c>
      <c r="CP2888" s="4" t="s">
        <v>241</v>
      </c>
      <c r="CQ2888" s="4" t="s">
        <v>261</v>
      </c>
      <c r="CR2888" s="4" t="s">
        <v>241</v>
      </c>
      <c r="CS2888" s="4" t="s">
        <v>241</v>
      </c>
      <c r="CT2888" s="4">
        <v>0</v>
      </c>
      <c r="CU2888" s="4" t="s">
        <v>262</v>
      </c>
      <c r="CV2888" s="4" t="s">
        <v>263</v>
      </c>
      <c r="CW2888" s="4" t="s">
        <v>263</v>
      </c>
      <c r="CX2888" s="4" t="s">
        <v>264</v>
      </c>
      <c r="DA2888" s="6">
        <f>1</f>
        <v>1</v>
      </c>
      <c r="DC2888" s="4" t="s">
        <v>325</v>
      </c>
      <c r="DD2888" s="4" t="s">
        <v>241</v>
      </c>
      <c r="DF2888" s="4" t="s">
        <v>325</v>
      </c>
      <c r="DG2888" s="6">
        <f>492</f>
        <v>492</v>
      </c>
      <c r="DI2888" s="4" t="s">
        <v>241</v>
      </c>
      <c r="DJ2888" s="4" t="s">
        <v>241</v>
      </c>
      <c r="DK2888" s="4" t="s">
        <v>241</v>
      </c>
      <c r="DL2888" s="4" t="s">
        <v>241</v>
      </c>
      <c r="DP2888" s="4" t="s">
        <v>241</v>
      </c>
      <c r="DQ2888" s="4" t="s">
        <v>241</v>
      </c>
      <c r="DR2888" s="4" t="s">
        <v>241</v>
      </c>
      <c r="DS2888" s="4" t="s">
        <v>241</v>
      </c>
      <c r="DV2888" s="4" t="s">
        <v>426</v>
      </c>
      <c r="DW2888" s="4" t="s">
        <v>2098</v>
      </c>
      <c r="HO2888" s="4" t="s">
        <v>267</v>
      </c>
    </row>
    <row r="2889" spans="1:223" ht="19.5" customHeight="1" x14ac:dyDescent="0.4">
      <c r="A2889" s="4">
        <v>1</v>
      </c>
      <c r="B2889" s="4" t="s">
        <v>239</v>
      </c>
      <c r="C2889" s="4">
        <v>4592</v>
      </c>
      <c r="D2889" s="4">
        <v>1</v>
      </c>
      <c r="E2889" s="4">
        <v>1</v>
      </c>
      <c r="F2889" s="4" t="s">
        <v>268</v>
      </c>
      <c r="G2889" s="4" t="s">
        <v>241</v>
      </c>
      <c r="H2889" s="4" t="s">
        <v>241</v>
      </c>
      <c r="I2889" s="4" t="s">
        <v>424</v>
      </c>
      <c r="J2889" s="4" t="s">
        <v>274</v>
      </c>
      <c r="K2889" s="4" t="s">
        <v>251</v>
      </c>
      <c r="L2889" s="4" t="s">
        <v>423</v>
      </c>
      <c r="M2889" s="5" t="s">
        <v>3268</v>
      </c>
      <c r="N2889" s="6">
        <f>298</f>
        <v>298</v>
      </c>
      <c r="O2889" s="4" t="s">
        <v>265</v>
      </c>
      <c r="P2889" s="6">
        <f>1</f>
        <v>1</v>
      </c>
      <c r="Q2889" s="6">
        <f>0</f>
        <v>0</v>
      </c>
      <c r="S2889" s="6">
        <f>0</f>
        <v>0</v>
      </c>
      <c r="T2889" s="6">
        <f>1</f>
        <v>1</v>
      </c>
      <c r="U2889" s="5" t="s">
        <v>245</v>
      </c>
      <c r="V2889" s="4" t="s">
        <v>270</v>
      </c>
      <c r="W2889" s="4" t="s">
        <v>271</v>
      </c>
      <c r="X2889" s="4" t="s">
        <v>273</v>
      </c>
      <c r="Y2889" s="4" t="s">
        <v>241</v>
      </c>
      <c r="AB2889" s="4" t="s">
        <v>241</v>
      </c>
      <c r="AD2889" s="5" t="s">
        <v>241</v>
      </c>
      <c r="AG2889" s="5" t="s">
        <v>246</v>
      </c>
      <c r="AH2889" s="4" t="s">
        <v>241</v>
      </c>
      <c r="AI2889" s="4" t="s">
        <v>247</v>
      </c>
      <c r="AJ2889" s="4" t="s">
        <v>248</v>
      </c>
      <c r="AZ2889" s="4" t="s">
        <v>249</v>
      </c>
      <c r="BA2889" s="4" t="s">
        <v>241</v>
      </c>
      <c r="BB2889" s="4" t="s">
        <v>250</v>
      </c>
      <c r="BC2889" s="4" t="s">
        <v>241</v>
      </c>
      <c r="BD2889" s="4" t="s">
        <v>252</v>
      </c>
      <c r="BE2889" s="4" t="s">
        <v>241</v>
      </c>
      <c r="BI2889" s="4" t="s">
        <v>253</v>
      </c>
      <c r="BJ2889" s="5" t="s">
        <v>246</v>
      </c>
      <c r="BK2889" s="4" t="s">
        <v>254</v>
      </c>
      <c r="BL2889" s="4" t="s">
        <v>255</v>
      </c>
      <c r="BM2889" s="4" t="s">
        <v>241</v>
      </c>
      <c r="BN2889" s="6">
        <f>0</f>
        <v>0</v>
      </c>
      <c r="BO2889" s="6">
        <f>0</f>
        <v>0</v>
      </c>
      <c r="BP2889" s="4" t="s">
        <v>256</v>
      </c>
      <c r="BQ2889" s="4" t="s">
        <v>257</v>
      </c>
      <c r="CE2889" s="4" t="s">
        <v>241</v>
      </c>
      <c r="CF2889" s="4" t="s">
        <v>241</v>
      </c>
      <c r="CJ2889" s="4" t="s">
        <v>276</v>
      </c>
      <c r="CK2889" s="4" t="s">
        <v>259</v>
      </c>
      <c r="CL2889" s="4" t="s">
        <v>241</v>
      </c>
      <c r="CO2889" s="5" t="s">
        <v>260</v>
      </c>
      <c r="CP2889" s="4" t="s">
        <v>241</v>
      </c>
      <c r="CQ2889" s="4" t="s">
        <v>261</v>
      </c>
      <c r="CR2889" s="4" t="s">
        <v>241</v>
      </c>
      <c r="CS2889" s="4" t="s">
        <v>241</v>
      </c>
      <c r="CT2889" s="4">
        <v>0</v>
      </c>
      <c r="CU2889" s="4" t="s">
        <v>262</v>
      </c>
      <c r="CV2889" s="4" t="s">
        <v>263</v>
      </c>
      <c r="CW2889" s="4" t="s">
        <v>263</v>
      </c>
      <c r="CX2889" s="4" t="s">
        <v>264</v>
      </c>
      <c r="DA2889" s="6">
        <f>1</f>
        <v>1</v>
      </c>
      <c r="DC2889" s="4" t="s">
        <v>325</v>
      </c>
      <c r="DD2889" s="4" t="s">
        <v>241</v>
      </c>
      <c r="DF2889" s="4" t="s">
        <v>325</v>
      </c>
      <c r="DG2889" s="6">
        <f>298</f>
        <v>298</v>
      </c>
      <c r="DI2889" s="4" t="s">
        <v>241</v>
      </c>
      <c r="DJ2889" s="4" t="s">
        <v>241</v>
      </c>
      <c r="DK2889" s="4" t="s">
        <v>241</v>
      </c>
      <c r="DL2889" s="4" t="s">
        <v>241</v>
      </c>
      <c r="DP2889" s="4" t="s">
        <v>241</v>
      </c>
      <c r="DQ2889" s="4" t="s">
        <v>241</v>
      </c>
      <c r="DR2889" s="4" t="s">
        <v>241</v>
      </c>
      <c r="DS2889" s="4" t="s">
        <v>241</v>
      </c>
      <c r="DV2889" s="4" t="s">
        <v>426</v>
      </c>
      <c r="DW2889" s="4" t="s">
        <v>2096</v>
      </c>
      <c r="HO2889" s="4" t="s">
        <v>267</v>
      </c>
    </row>
    <row r="2890" spans="1:223" ht="19.5" customHeight="1" x14ac:dyDescent="0.4">
      <c r="A2890" s="4">
        <v>1</v>
      </c>
      <c r="B2890" s="4" t="s">
        <v>239</v>
      </c>
      <c r="C2890" s="4">
        <v>4593</v>
      </c>
      <c r="D2890" s="4">
        <v>1</v>
      </c>
      <c r="E2890" s="4">
        <v>1</v>
      </c>
      <c r="F2890" s="4" t="s">
        <v>268</v>
      </c>
      <c r="G2890" s="4" t="s">
        <v>241</v>
      </c>
      <c r="H2890" s="4" t="s">
        <v>241</v>
      </c>
      <c r="I2890" s="4" t="s">
        <v>424</v>
      </c>
      <c r="J2890" s="4" t="s">
        <v>274</v>
      </c>
      <c r="K2890" s="4" t="s">
        <v>251</v>
      </c>
      <c r="L2890" s="4" t="s">
        <v>423</v>
      </c>
      <c r="M2890" s="5" t="s">
        <v>3252</v>
      </c>
      <c r="N2890" s="6">
        <f>394</f>
        <v>394</v>
      </c>
      <c r="O2890" s="4" t="s">
        <v>265</v>
      </c>
      <c r="P2890" s="6">
        <f>1</f>
        <v>1</v>
      </c>
      <c r="Q2890" s="6">
        <f>0</f>
        <v>0</v>
      </c>
      <c r="S2890" s="6">
        <f>0</f>
        <v>0</v>
      </c>
      <c r="T2890" s="6">
        <f>1</f>
        <v>1</v>
      </c>
      <c r="U2890" s="5" t="s">
        <v>245</v>
      </c>
      <c r="V2890" s="4" t="s">
        <v>270</v>
      </c>
      <c r="W2890" s="4" t="s">
        <v>271</v>
      </c>
      <c r="X2890" s="4" t="s">
        <v>273</v>
      </c>
      <c r="Y2890" s="4" t="s">
        <v>241</v>
      </c>
      <c r="AB2890" s="4" t="s">
        <v>241</v>
      </c>
      <c r="AD2890" s="5" t="s">
        <v>241</v>
      </c>
      <c r="AG2890" s="5" t="s">
        <v>246</v>
      </c>
      <c r="AH2890" s="4" t="s">
        <v>241</v>
      </c>
      <c r="AI2890" s="4" t="s">
        <v>247</v>
      </c>
      <c r="AJ2890" s="4" t="s">
        <v>248</v>
      </c>
      <c r="AZ2890" s="4" t="s">
        <v>249</v>
      </c>
      <c r="BA2890" s="4" t="s">
        <v>241</v>
      </c>
      <c r="BB2890" s="4" t="s">
        <v>250</v>
      </c>
      <c r="BC2890" s="4" t="s">
        <v>241</v>
      </c>
      <c r="BD2890" s="4" t="s">
        <v>252</v>
      </c>
      <c r="BE2890" s="4" t="s">
        <v>241</v>
      </c>
      <c r="BI2890" s="4" t="s">
        <v>253</v>
      </c>
      <c r="BJ2890" s="5" t="s">
        <v>246</v>
      </c>
      <c r="BK2890" s="4" t="s">
        <v>254</v>
      </c>
      <c r="BL2890" s="4" t="s">
        <v>255</v>
      </c>
      <c r="BM2890" s="4" t="s">
        <v>241</v>
      </c>
      <c r="BN2890" s="6">
        <f>0</f>
        <v>0</v>
      </c>
      <c r="BO2890" s="6">
        <f>0</f>
        <v>0</v>
      </c>
      <c r="BP2890" s="4" t="s">
        <v>256</v>
      </c>
      <c r="BQ2890" s="4" t="s">
        <v>257</v>
      </c>
      <c r="CE2890" s="4" t="s">
        <v>241</v>
      </c>
      <c r="CF2890" s="4" t="s">
        <v>241</v>
      </c>
      <c r="CJ2890" s="4" t="s">
        <v>276</v>
      </c>
      <c r="CK2890" s="4" t="s">
        <v>259</v>
      </c>
      <c r="CL2890" s="4" t="s">
        <v>241</v>
      </c>
      <c r="CO2890" s="5" t="s">
        <v>260</v>
      </c>
      <c r="CP2890" s="4" t="s">
        <v>241</v>
      </c>
      <c r="CQ2890" s="4" t="s">
        <v>261</v>
      </c>
      <c r="CR2890" s="4" t="s">
        <v>241</v>
      </c>
      <c r="CS2890" s="4" t="s">
        <v>241</v>
      </c>
      <c r="CT2890" s="4">
        <v>0</v>
      </c>
      <c r="CU2890" s="4" t="s">
        <v>262</v>
      </c>
      <c r="CV2890" s="4" t="s">
        <v>263</v>
      </c>
      <c r="CW2890" s="4" t="s">
        <v>263</v>
      </c>
      <c r="CX2890" s="4" t="s">
        <v>264</v>
      </c>
      <c r="DA2890" s="6">
        <f>1</f>
        <v>1</v>
      </c>
      <c r="DC2890" s="4" t="s">
        <v>325</v>
      </c>
      <c r="DD2890" s="4" t="s">
        <v>241</v>
      </c>
      <c r="DF2890" s="4" t="s">
        <v>325</v>
      </c>
      <c r="DG2890" s="6">
        <f>394</f>
        <v>394</v>
      </c>
      <c r="DI2890" s="4" t="s">
        <v>241</v>
      </c>
      <c r="DJ2890" s="4" t="s">
        <v>241</v>
      </c>
      <c r="DK2890" s="4" t="s">
        <v>241</v>
      </c>
      <c r="DL2890" s="4" t="s">
        <v>241</v>
      </c>
      <c r="DP2890" s="4" t="s">
        <v>241</v>
      </c>
      <c r="DQ2890" s="4" t="s">
        <v>241</v>
      </c>
      <c r="DR2890" s="4" t="s">
        <v>241</v>
      </c>
      <c r="DS2890" s="4" t="s">
        <v>241</v>
      </c>
      <c r="DV2890" s="4" t="s">
        <v>426</v>
      </c>
      <c r="DW2890" s="4" t="s">
        <v>2094</v>
      </c>
      <c r="HO2890" s="4" t="s">
        <v>267</v>
      </c>
    </row>
    <row r="2891" spans="1:223" ht="19.5" customHeight="1" x14ac:dyDescent="0.4">
      <c r="A2891" s="4">
        <v>1</v>
      </c>
      <c r="B2891" s="4" t="s">
        <v>239</v>
      </c>
      <c r="C2891" s="4">
        <v>4594</v>
      </c>
      <c r="D2891" s="4">
        <v>1</v>
      </c>
      <c r="E2891" s="4">
        <v>1</v>
      </c>
      <c r="F2891" s="4" t="s">
        <v>268</v>
      </c>
      <c r="G2891" s="4" t="s">
        <v>241</v>
      </c>
      <c r="H2891" s="4" t="s">
        <v>241</v>
      </c>
      <c r="I2891" s="4" t="s">
        <v>424</v>
      </c>
      <c r="J2891" s="4" t="s">
        <v>274</v>
      </c>
      <c r="K2891" s="4" t="s">
        <v>251</v>
      </c>
      <c r="L2891" s="4" t="s">
        <v>423</v>
      </c>
      <c r="M2891" s="5" t="s">
        <v>3235</v>
      </c>
      <c r="N2891" s="6">
        <f>355</f>
        <v>355</v>
      </c>
      <c r="O2891" s="4" t="s">
        <v>265</v>
      </c>
      <c r="P2891" s="6">
        <f>1</f>
        <v>1</v>
      </c>
      <c r="Q2891" s="6">
        <f>0</f>
        <v>0</v>
      </c>
      <c r="S2891" s="6">
        <f>0</f>
        <v>0</v>
      </c>
      <c r="T2891" s="6">
        <f>1</f>
        <v>1</v>
      </c>
      <c r="U2891" s="5" t="s">
        <v>245</v>
      </c>
      <c r="V2891" s="4" t="s">
        <v>270</v>
      </c>
      <c r="W2891" s="4" t="s">
        <v>271</v>
      </c>
      <c r="X2891" s="4" t="s">
        <v>273</v>
      </c>
      <c r="Y2891" s="4" t="s">
        <v>241</v>
      </c>
      <c r="AB2891" s="4" t="s">
        <v>241</v>
      </c>
      <c r="AD2891" s="5" t="s">
        <v>241</v>
      </c>
      <c r="AG2891" s="5" t="s">
        <v>246</v>
      </c>
      <c r="AH2891" s="4" t="s">
        <v>241</v>
      </c>
      <c r="AI2891" s="4" t="s">
        <v>247</v>
      </c>
      <c r="AJ2891" s="4" t="s">
        <v>248</v>
      </c>
      <c r="AZ2891" s="4" t="s">
        <v>249</v>
      </c>
      <c r="BA2891" s="4" t="s">
        <v>241</v>
      </c>
      <c r="BB2891" s="4" t="s">
        <v>250</v>
      </c>
      <c r="BC2891" s="4" t="s">
        <v>241</v>
      </c>
      <c r="BD2891" s="4" t="s">
        <v>252</v>
      </c>
      <c r="BE2891" s="4" t="s">
        <v>241</v>
      </c>
      <c r="BI2891" s="4" t="s">
        <v>253</v>
      </c>
      <c r="BJ2891" s="5" t="s">
        <v>246</v>
      </c>
      <c r="BK2891" s="4" t="s">
        <v>254</v>
      </c>
      <c r="BL2891" s="4" t="s">
        <v>255</v>
      </c>
      <c r="BM2891" s="4" t="s">
        <v>241</v>
      </c>
      <c r="BN2891" s="6">
        <f>0</f>
        <v>0</v>
      </c>
      <c r="BO2891" s="6">
        <f>0</f>
        <v>0</v>
      </c>
      <c r="BP2891" s="4" t="s">
        <v>256</v>
      </c>
      <c r="BQ2891" s="4" t="s">
        <v>257</v>
      </c>
      <c r="CE2891" s="4" t="s">
        <v>241</v>
      </c>
      <c r="CF2891" s="4" t="s">
        <v>241</v>
      </c>
      <c r="CJ2891" s="4" t="s">
        <v>276</v>
      </c>
      <c r="CK2891" s="4" t="s">
        <v>259</v>
      </c>
      <c r="CL2891" s="4" t="s">
        <v>241</v>
      </c>
      <c r="CO2891" s="5" t="s">
        <v>260</v>
      </c>
      <c r="CP2891" s="4" t="s">
        <v>241</v>
      </c>
      <c r="CQ2891" s="4" t="s">
        <v>261</v>
      </c>
      <c r="CR2891" s="4" t="s">
        <v>241</v>
      </c>
      <c r="CS2891" s="4" t="s">
        <v>241</v>
      </c>
      <c r="CT2891" s="4">
        <v>0</v>
      </c>
      <c r="CU2891" s="4" t="s">
        <v>262</v>
      </c>
      <c r="CV2891" s="4" t="s">
        <v>263</v>
      </c>
      <c r="CW2891" s="4" t="s">
        <v>263</v>
      </c>
      <c r="CX2891" s="4" t="s">
        <v>264</v>
      </c>
      <c r="DA2891" s="6">
        <f>1</f>
        <v>1</v>
      </c>
      <c r="DC2891" s="4" t="s">
        <v>325</v>
      </c>
      <c r="DD2891" s="4" t="s">
        <v>241</v>
      </c>
      <c r="DF2891" s="4" t="s">
        <v>325</v>
      </c>
      <c r="DG2891" s="6">
        <f>355</f>
        <v>355</v>
      </c>
      <c r="DI2891" s="4" t="s">
        <v>241</v>
      </c>
      <c r="DJ2891" s="4" t="s">
        <v>241</v>
      </c>
      <c r="DK2891" s="4" t="s">
        <v>241</v>
      </c>
      <c r="DL2891" s="4" t="s">
        <v>241</v>
      </c>
      <c r="DP2891" s="4" t="s">
        <v>241</v>
      </c>
      <c r="DQ2891" s="4" t="s">
        <v>241</v>
      </c>
      <c r="DR2891" s="4" t="s">
        <v>241</v>
      </c>
      <c r="DS2891" s="4" t="s">
        <v>241</v>
      </c>
      <c r="DV2891" s="4" t="s">
        <v>426</v>
      </c>
      <c r="DW2891" s="4" t="s">
        <v>2092</v>
      </c>
      <c r="HO2891" s="4" t="s">
        <v>267</v>
      </c>
    </row>
    <row r="2892" spans="1:223" ht="19.5" customHeight="1" x14ac:dyDescent="0.4">
      <c r="A2892" s="4">
        <v>1</v>
      </c>
      <c r="B2892" s="4" t="s">
        <v>239</v>
      </c>
      <c r="C2892" s="4">
        <v>4595</v>
      </c>
      <c r="D2892" s="4">
        <v>1</v>
      </c>
      <c r="E2892" s="4">
        <v>1</v>
      </c>
      <c r="F2892" s="4" t="s">
        <v>268</v>
      </c>
      <c r="G2892" s="4" t="s">
        <v>241</v>
      </c>
      <c r="H2892" s="4" t="s">
        <v>241</v>
      </c>
      <c r="I2892" s="4" t="s">
        <v>424</v>
      </c>
      <c r="J2892" s="4" t="s">
        <v>274</v>
      </c>
      <c r="K2892" s="4" t="s">
        <v>251</v>
      </c>
      <c r="L2892" s="4" t="s">
        <v>423</v>
      </c>
      <c r="M2892" s="5" t="s">
        <v>3219</v>
      </c>
      <c r="N2892" s="6">
        <f>579</f>
        <v>579</v>
      </c>
      <c r="O2892" s="4" t="s">
        <v>265</v>
      </c>
      <c r="P2892" s="6">
        <f>1</f>
        <v>1</v>
      </c>
      <c r="Q2892" s="6">
        <f>0</f>
        <v>0</v>
      </c>
      <c r="S2892" s="6">
        <f>0</f>
        <v>0</v>
      </c>
      <c r="T2892" s="6">
        <f>1</f>
        <v>1</v>
      </c>
      <c r="U2892" s="5" t="s">
        <v>245</v>
      </c>
      <c r="V2892" s="4" t="s">
        <v>270</v>
      </c>
      <c r="W2892" s="4" t="s">
        <v>271</v>
      </c>
      <c r="X2892" s="4" t="s">
        <v>273</v>
      </c>
      <c r="Y2892" s="4" t="s">
        <v>241</v>
      </c>
      <c r="AB2892" s="4" t="s">
        <v>241</v>
      </c>
      <c r="AD2892" s="5" t="s">
        <v>241</v>
      </c>
      <c r="AG2892" s="5" t="s">
        <v>246</v>
      </c>
      <c r="AH2892" s="4" t="s">
        <v>241</v>
      </c>
      <c r="AI2892" s="4" t="s">
        <v>247</v>
      </c>
      <c r="AJ2892" s="4" t="s">
        <v>248</v>
      </c>
      <c r="AZ2892" s="4" t="s">
        <v>249</v>
      </c>
      <c r="BA2892" s="4" t="s">
        <v>241</v>
      </c>
      <c r="BB2892" s="4" t="s">
        <v>250</v>
      </c>
      <c r="BC2892" s="4" t="s">
        <v>241</v>
      </c>
      <c r="BD2892" s="4" t="s">
        <v>252</v>
      </c>
      <c r="BE2892" s="4" t="s">
        <v>241</v>
      </c>
      <c r="BI2892" s="4" t="s">
        <v>253</v>
      </c>
      <c r="BJ2892" s="5" t="s">
        <v>246</v>
      </c>
      <c r="BK2892" s="4" t="s">
        <v>254</v>
      </c>
      <c r="BL2892" s="4" t="s">
        <v>255</v>
      </c>
      <c r="BM2892" s="4" t="s">
        <v>241</v>
      </c>
      <c r="BN2892" s="6">
        <f>0</f>
        <v>0</v>
      </c>
      <c r="BO2892" s="6">
        <f>0</f>
        <v>0</v>
      </c>
      <c r="BP2892" s="4" t="s">
        <v>256</v>
      </c>
      <c r="BQ2892" s="4" t="s">
        <v>257</v>
      </c>
      <c r="CE2892" s="4" t="s">
        <v>241</v>
      </c>
      <c r="CF2892" s="4" t="s">
        <v>241</v>
      </c>
      <c r="CJ2892" s="4" t="s">
        <v>276</v>
      </c>
      <c r="CK2892" s="4" t="s">
        <v>259</v>
      </c>
      <c r="CL2892" s="4" t="s">
        <v>241</v>
      </c>
      <c r="CO2892" s="5" t="s">
        <v>260</v>
      </c>
      <c r="CP2892" s="4" t="s">
        <v>241</v>
      </c>
      <c r="CQ2892" s="4" t="s">
        <v>261</v>
      </c>
      <c r="CR2892" s="4" t="s">
        <v>241</v>
      </c>
      <c r="CS2892" s="4" t="s">
        <v>241</v>
      </c>
      <c r="CT2892" s="4">
        <v>0</v>
      </c>
      <c r="CU2892" s="4" t="s">
        <v>262</v>
      </c>
      <c r="CV2892" s="4" t="s">
        <v>263</v>
      </c>
      <c r="CW2892" s="4" t="s">
        <v>263</v>
      </c>
      <c r="CX2892" s="4" t="s">
        <v>264</v>
      </c>
      <c r="DA2892" s="6">
        <f>1</f>
        <v>1</v>
      </c>
      <c r="DC2892" s="4" t="s">
        <v>325</v>
      </c>
      <c r="DD2892" s="4" t="s">
        <v>241</v>
      </c>
      <c r="DF2892" s="4" t="s">
        <v>325</v>
      </c>
      <c r="DG2892" s="6">
        <f>579</f>
        <v>579</v>
      </c>
      <c r="DI2892" s="4" t="s">
        <v>241</v>
      </c>
      <c r="DJ2892" s="4" t="s">
        <v>241</v>
      </c>
      <c r="DK2892" s="4" t="s">
        <v>241</v>
      </c>
      <c r="DL2892" s="4" t="s">
        <v>241</v>
      </c>
      <c r="DP2892" s="4" t="s">
        <v>241</v>
      </c>
      <c r="DQ2892" s="4" t="s">
        <v>241</v>
      </c>
      <c r="DR2892" s="4" t="s">
        <v>241</v>
      </c>
      <c r="DS2892" s="4" t="s">
        <v>241</v>
      </c>
      <c r="DV2892" s="4" t="s">
        <v>426</v>
      </c>
      <c r="DW2892" s="4" t="s">
        <v>2090</v>
      </c>
      <c r="HO2892" s="4" t="s">
        <v>267</v>
      </c>
    </row>
    <row r="2893" spans="1:223" ht="19.5" customHeight="1" x14ac:dyDescent="0.4">
      <c r="A2893" s="4">
        <v>1</v>
      </c>
      <c r="B2893" s="4" t="s">
        <v>239</v>
      </c>
      <c r="C2893" s="4">
        <v>4596</v>
      </c>
      <c r="D2893" s="4">
        <v>1</v>
      </c>
      <c r="E2893" s="4">
        <v>1</v>
      </c>
      <c r="F2893" s="4" t="s">
        <v>268</v>
      </c>
      <c r="G2893" s="4" t="s">
        <v>241</v>
      </c>
      <c r="H2893" s="4" t="s">
        <v>241</v>
      </c>
      <c r="I2893" s="4" t="s">
        <v>424</v>
      </c>
      <c r="J2893" s="4" t="s">
        <v>274</v>
      </c>
      <c r="K2893" s="4" t="s">
        <v>251</v>
      </c>
      <c r="L2893" s="4" t="s">
        <v>423</v>
      </c>
      <c r="M2893" s="5" t="s">
        <v>3203</v>
      </c>
      <c r="N2893" s="6">
        <f>260</f>
        <v>260</v>
      </c>
      <c r="O2893" s="4" t="s">
        <v>265</v>
      </c>
      <c r="P2893" s="6">
        <f>1</f>
        <v>1</v>
      </c>
      <c r="Q2893" s="6">
        <f>0</f>
        <v>0</v>
      </c>
      <c r="S2893" s="6">
        <f>0</f>
        <v>0</v>
      </c>
      <c r="T2893" s="6">
        <f>1</f>
        <v>1</v>
      </c>
      <c r="U2893" s="5" t="s">
        <v>245</v>
      </c>
      <c r="V2893" s="4" t="s">
        <v>270</v>
      </c>
      <c r="W2893" s="4" t="s">
        <v>271</v>
      </c>
      <c r="X2893" s="4" t="s">
        <v>273</v>
      </c>
      <c r="Y2893" s="4" t="s">
        <v>241</v>
      </c>
      <c r="AB2893" s="4" t="s">
        <v>241</v>
      </c>
      <c r="AD2893" s="5" t="s">
        <v>241</v>
      </c>
      <c r="AG2893" s="5" t="s">
        <v>246</v>
      </c>
      <c r="AH2893" s="4" t="s">
        <v>241</v>
      </c>
      <c r="AI2893" s="4" t="s">
        <v>247</v>
      </c>
      <c r="AJ2893" s="4" t="s">
        <v>248</v>
      </c>
      <c r="AZ2893" s="4" t="s">
        <v>249</v>
      </c>
      <c r="BA2893" s="4" t="s">
        <v>241</v>
      </c>
      <c r="BB2893" s="4" t="s">
        <v>250</v>
      </c>
      <c r="BC2893" s="4" t="s">
        <v>241</v>
      </c>
      <c r="BD2893" s="4" t="s">
        <v>252</v>
      </c>
      <c r="BE2893" s="4" t="s">
        <v>241</v>
      </c>
      <c r="BI2893" s="4" t="s">
        <v>253</v>
      </c>
      <c r="BJ2893" s="5" t="s">
        <v>246</v>
      </c>
      <c r="BK2893" s="4" t="s">
        <v>254</v>
      </c>
      <c r="BL2893" s="4" t="s">
        <v>255</v>
      </c>
      <c r="BM2893" s="4" t="s">
        <v>241</v>
      </c>
      <c r="BN2893" s="6">
        <f>0</f>
        <v>0</v>
      </c>
      <c r="BO2893" s="6">
        <f>0</f>
        <v>0</v>
      </c>
      <c r="BP2893" s="4" t="s">
        <v>256</v>
      </c>
      <c r="BQ2893" s="4" t="s">
        <v>257</v>
      </c>
      <c r="CE2893" s="4" t="s">
        <v>241</v>
      </c>
      <c r="CF2893" s="4" t="s">
        <v>241</v>
      </c>
      <c r="CJ2893" s="4" t="s">
        <v>276</v>
      </c>
      <c r="CK2893" s="4" t="s">
        <v>259</v>
      </c>
      <c r="CL2893" s="4" t="s">
        <v>241</v>
      </c>
      <c r="CO2893" s="5" t="s">
        <v>260</v>
      </c>
      <c r="CP2893" s="4" t="s">
        <v>241</v>
      </c>
      <c r="CQ2893" s="4" t="s">
        <v>261</v>
      </c>
      <c r="CR2893" s="4" t="s">
        <v>241</v>
      </c>
      <c r="CS2893" s="4" t="s">
        <v>241</v>
      </c>
      <c r="CT2893" s="4">
        <v>0</v>
      </c>
      <c r="CU2893" s="4" t="s">
        <v>262</v>
      </c>
      <c r="CV2893" s="4" t="s">
        <v>263</v>
      </c>
      <c r="CW2893" s="4" t="s">
        <v>263</v>
      </c>
      <c r="CX2893" s="4" t="s">
        <v>264</v>
      </c>
      <c r="DA2893" s="6">
        <f>1</f>
        <v>1</v>
      </c>
      <c r="DC2893" s="4" t="s">
        <v>325</v>
      </c>
      <c r="DD2893" s="4" t="s">
        <v>241</v>
      </c>
      <c r="DF2893" s="4" t="s">
        <v>325</v>
      </c>
      <c r="DG2893" s="6">
        <f>260</f>
        <v>260</v>
      </c>
      <c r="DI2893" s="4" t="s">
        <v>241</v>
      </c>
      <c r="DJ2893" s="4" t="s">
        <v>241</v>
      </c>
      <c r="DK2893" s="4" t="s">
        <v>241</v>
      </c>
      <c r="DL2893" s="4" t="s">
        <v>241</v>
      </c>
      <c r="DP2893" s="4" t="s">
        <v>241</v>
      </c>
      <c r="DQ2893" s="4" t="s">
        <v>241</v>
      </c>
      <c r="DR2893" s="4" t="s">
        <v>241</v>
      </c>
      <c r="DS2893" s="4" t="s">
        <v>241</v>
      </c>
      <c r="DV2893" s="4" t="s">
        <v>426</v>
      </c>
      <c r="DW2893" s="4" t="s">
        <v>2088</v>
      </c>
      <c r="HO2893" s="4" t="s">
        <v>267</v>
      </c>
    </row>
    <row r="2894" spans="1:223" ht="19.5" customHeight="1" x14ac:dyDescent="0.4">
      <c r="A2894" s="4">
        <v>1</v>
      </c>
      <c r="B2894" s="4" t="s">
        <v>239</v>
      </c>
      <c r="C2894" s="4">
        <v>4597</v>
      </c>
      <c r="D2894" s="4">
        <v>1</v>
      </c>
      <c r="E2894" s="4">
        <v>1</v>
      </c>
      <c r="F2894" s="4" t="s">
        <v>268</v>
      </c>
      <c r="G2894" s="4" t="s">
        <v>241</v>
      </c>
      <c r="H2894" s="4" t="s">
        <v>241</v>
      </c>
      <c r="I2894" s="4" t="s">
        <v>424</v>
      </c>
      <c r="J2894" s="4" t="s">
        <v>274</v>
      </c>
      <c r="K2894" s="4" t="s">
        <v>251</v>
      </c>
      <c r="L2894" s="4" t="s">
        <v>423</v>
      </c>
      <c r="M2894" s="5" t="s">
        <v>967</v>
      </c>
      <c r="N2894" s="6">
        <f>260</f>
        <v>260</v>
      </c>
      <c r="O2894" s="4" t="s">
        <v>265</v>
      </c>
      <c r="P2894" s="6">
        <f>1</f>
        <v>1</v>
      </c>
      <c r="Q2894" s="6">
        <f>0</f>
        <v>0</v>
      </c>
      <c r="S2894" s="6">
        <f>0</f>
        <v>0</v>
      </c>
      <c r="T2894" s="6">
        <f>1</f>
        <v>1</v>
      </c>
      <c r="U2894" s="5" t="s">
        <v>245</v>
      </c>
      <c r="V2894" s="4" t="s">
        <v>270</v>
      </c>
      <c r="W2894" s="4" t="s">
        <v>271</v>
      </c>
      <c r="X2894" s="4" t="s">
        <v>273</v>
      </c>
      <c r="Y2894" s="4" t="s">
        <v>241</v>
      </c>
      <c r="AB2894" s="4" t="s">
        <v>241</v>
      </c>
      <c r="AD2894" s="5" t="s">
        <v>241</v>
      </c>
      <c r="AG2894" s="5" t="s">
        <v>246</v>
      </c>
      <c r="AH2894" s="4" t="s">
        <v>241</v>
      </c>
      <c r="AI2894" s="4" t="s">
        <v>247</v>
      </c>
      <c r="AJ2894" s="4" t="s">
        <v>248</v>
      </c>
      <c r="AZ2894" s="4" t="s">
        <v>249</v>
      </c>
      <c r="BA2894" s="4" t="s">
        <v>241</v>
      </c>
      <c r="BB2894" s="4" t="s">
        <v>250</v>
      </c>
      <c r="BC2894" s="4" t="s">
        <v>241</v>
      </c>
      <c r="BD2894" s="4" t="s">
        <v>252</v>
      </c>
      <c r="BE2894" s="4" t="s">
        <v>241</v>
      </c>
      <c r="BI2894" s="4" t="s">
        <v>253</v>
      </c>
      <c r="BJ2894" s="5" t="s">
        <v>246</v>
      </c>
      <c r="BK2894" s="4" t="s">
        <v>254</v>
      </c>
      <c r="BL2894" s="4" t="s">
        <v>255</v>
      </c>
      <c r="BM2894" s="4" t="s">
        <v>241</v>
      </c>
      <c r="BN2894" s="6">
        <f>0</f>
        <v>0</v>
      </c>
      <c r="BO2894" s="6">
        <f>0</f>
        <v>0</v>
      </c>
      <c r="BP2894" s="4" t="s">
        <v>256</v>
      </c>
      <c r="BQ2894" s="4" t="s">
        <v>257</v>
      </c>
      <c r="CE2894" s="4" t="s">
        <v>241</v>
      </c>
      <c r="CF2894" s="4" t="s">
        <v>241</v>
      </c>
      <c r="CJ2894" s="4" t="s">
        <v>276</v>
      </c>
      <c r="CK2894" s="4" t="s">
        <v>259</v>
      </c>
      <c r="CL2894" s="4" t="s">
        <v>241</v>
      </c>
      <c r="CO2894" s="5" t="s">
        <v>260</v>
      </c>
      <c r="CP2894" s="4" t="s">
        <v>241</v>
      </c>
      <c r="CQ2894" s="4" t="s">
        <v>261</v>
      </c>
      <c r="CR2894" s="4" t="s">
        <v>241</v>
      </c>
      <c r="CS2894" s="4" t="s">
        <v>241</v>
      </c>
      <c r="CT2894" s="4">
        <v>0</v>
      </c>
      <c r="CU2894" s="4" t="s">
        <v>262</v>
      </c>
      <c r="CV2894" s="4" t="s">
        <v>263</v>
      </c>
      <c r="CW2894" s="4" t="s">
        <v>263</v>
      </c>
      <c r="CX2894" s="4" t="s">
        <v>264</v>
      </c>
      <c r="DA2894" s="6">
        <f>1</f>
        <v>1</v>
      </c>
      <c r="DC2894" s="4" t="s">
        <v>325</v>
      </c>
      <c r="DD2894" s="4" t="s">
        <v>241</v>
      </c>
      <c r="DF2894" s="4" t="s">
        <v>325</v>
      </c>
      <c r="DG2894" s="6">
        <f>260</f>
        <v>260</v>
      </c>
      <c r="DI2894" s="4" t="s">
        <v>241</v>
      </c>
      <c r="DJ2894" s="4" t="s">
        <v>241</v>
      </c>
      <c r="DK2894" s="4" t="s">
        <v>241</v>
      </c>
      <c r="DL2894" s="4" t="s">
        <v>241</v>
      </c>
      <c r="DP2894" s="4" t="s">
        <v>241</v>
      </c>
      <c r="DQ2894" s="4" t="s">
        <v>241</v>
      </c>
      <c r="DR2894" s="4" t="s">
        <v>241</v>
      </c>
      <c r="DS2894" s="4" t="s">
        <v>241</v>
      </c>
      <c r="DV2894" s="4" t="s">
        <v>426</v>
      </c>
      <c r="DW2894" s="4" t="s">
        <v>968</v>
      </c>
      <c r="HO2894" s="4" t="s">
        <v>267</v>
      </c>
    </row>
    <row r="2895" spans="1:223" ht="19.5" customHeight="1" x14ac:dyDescent="0.4">
      <c r="A2895" s="4">
        <v>1</v>
      </c>
      <c r="B2895" s="4" t="s">
        <v>239</v>
      </c>
      <c r="C2895" s="4">
        <v>4598</v>
      </c>
      <c r="D2895" s="4">
        <v>1</v>
      </c>
      <c r="E2895" s="4">
        <v>1</v>
      </c>
      <c r="F2895" s="4" t="s">
        <v>268</v>
      </c>
      <c r="G2895" s="4" t="s">
        <v>241</v>
      </c>
      <c r="H2895" s="4" t="s">
        <v>241</v>
      </c>
      <c r="I2895" s="4" t="s">
        <v>424</v>
      </c>
      <c r="J2895" s="4" t="s">
        <v>274</v>
      </c>
      <c r="K2895" s="4" t="s">
        <v>251</v>
      </c>
      <c r="L2895" s="4" t="s">
        <v>423</v>
      </c>
      <c r="M2895" s="5" t="s">
        <v>941</v>
      </c>
      <c r="N2895" s="6">
        <f>361</f>
        <v>361</v>
      </c>
      <c r="O2895" s="4" t="s">
        <v>265</v>
      </c>
      <c r="P2895" s="6">
        <f>1</f>
        <v>1</v>
      </c>
      <c r="Q2895" s="6">
        <f>0</f>
        <v>0</v>
      </c>
      <c r="S2895" s="6">
        <f>0</f>
        <v>0</v>
      </c>
      <c r="T2895" s="6">
        <f>1</f>
        <v>1</v>
      </c>
      <c r="U2895" s="5" t="s">
        <v>245</v>
      </c>
      <c r="V2895" s="4" t="s">
        <v>270</v>
      </c>
      <c r="W2895" s="4" t="s">
        <v>271</v>
      </c>
      <c r="X2895" s="4" t="s">
        <v>273</v>
      </c>
      <c r="Y2895" s="4" t="s">
        <v>241</v>
      </c>
      <c r="AB2895" s="4" t="s">
        <v>241</v>
      </c>
      <c r="AD2895" s="5" t="s">
        <v>241</v>
      </c>
      <c r="AG2895" s="5" t="s">
        <v>246</v>
      </c>
      <c r="AH2895" s="4" t="s">
        <v>241</v>
      </c>
      <c r="AI2895" s="4" t="s">
        <v>247</v>
      </c>
      <c r="AJ2895" s="4" t="s">
        <v>248</v>
      </c>
      <c r="AZ2895" s="4" t="s">
        <v>249</v>
      </c>
      <c r="BA2895" s="4" t="s">
        <v>241</v>
      </c>
      <c r="BB2895" s="4" t="s">
        <v>250</v>
      </c>
      <c r="BC2895" s="4" t="s">
        <v>241</v>
      </c>
      <c r="BD2895" s="4" t="s">
        <v>252</v>
      </c>
      <c r="BE2895" s="4" t="s">
        <v>241</v>
      </c>
      <c r="BI2895" s="4" t="s">
        <v>253</v>
      </c>
      <c r="BJ2895" s="5" t="s">
        <v>246</v>
      </c>
      <c r="BK2895" s="4" t="s">
        <v>254</v>
      </c>
      <c r="BL2895" s="4" t="s">
        <v>255</v>
      </c>
      <c r="BM2895" s="4" t="s">
        <v>241</v>
      </c>
      <c r="BN2895" s="6">
        <f>0</f>
        <v>0</v>
      </c>
      <c r="BO2895" s="6">
        <f>0</f>
        <v>0</v>
      </c>
      <c r="BP2895" s="4" t="s">
        <v>256</v>
      </c>
      <c r="BQ2895" s="4" t="s">
        <v>257</v>
      </c>
      <c r="CE2895" s="4" t="s">
        <v>241</v>
      </c>
      <c r="CF2895" s="4" t="s">
        <v>241</v>
      </c>
      <c r="CJ2895" s="4" t="s">
        <v>276</v>
      </c>
      <c r="CK2895" s="4" t="s">
        <v>259</v>
      </c>
      <c r="CL2895" s="4" t="s">
        <v>241</v>
      </c>
      <c r="CO2895" s="5" t="s">
        <v>260</v>
      </c>
      <c r="CP2895" s="4" t="s">
        <v>241</v>
      </c>
      <c r="CQ2895" s="4" t="s">
        <v>261</v>
      </c>
      <c r="CR2895" s="4" t="s">
        <v>241</v>
      </c>
      <c r="CS2895" s="4" t="s">
        <v>241</v>
      </c>
      <c r="CT2895" s="4">
        <v>0</v>
      </c>
      <c r="CU2895" s="4" t="s">
        <v>262</v>
      </c>
      <c r="CV2895" s="4" t="s">
        <v>263</v>
      </c>
      <c r="CW2895" s="4" t="s">
        <v>263</v>
      </c>
      <c r="CX2895" s="4" t="s">
        <v>264</v>
      </c>
      <c r="DA2895" s="6">
        <f>1</f>
        <v>1</v>
      </c>
      <c r="DC2895" s="4" t="s">
        <v>325</v>
      </c>
      <c r="DD2895" s="4" t="s">
        <v>241</v>
      </c>
      <c r="DF2895" s="4" t="s">
        <v>325</v>
      </c>
      <c r="DG2895" s="6">
        <f>361</f>
        <v>361</v>
      </c>
      <c r="DI2895" s="4" t="s">
        <v>241</v>
      </c>
      <c r="DJ2895" s="4" t="s">
        <v>241</v>
      </c>
      <c r="DK2895" s="4" t="s">
        <v>241</v>
      </c>
      <c r="DL2895" s="4" t="s">
        <v>241</v>
      </c>
      <c r="DP2895" s="4" t="s">
        <v>241</v>
      </c>
      <c r="DQ2895" s="4" t="s">
        <v>241</v>
      </c>
      <c r="DR2895" s="4" t="s">
        <v>241</v>
      </c>
      <c r="DS2895" s="4" t="s">
        <v>241</v>
      </c>
      <c r="DV2895" s="4" t="s">
        <v>426</v>
      </c>
      <c r="DW2895" s="4" t="s">
        <v>942</v>
      </c>
      <c r="HO2895" s="4" t="s">
        <v>267</v>
      </c>
    </row>
    <row r="2896" spans="1:223" ht="19.5" customHeight="1" x14ac:dyDescent="0.4">
      <c r="A2896" s="4">
        <v>1</v>
      </c>
      <c r="B2896" s="4" t="s">
        <v>239</v>
      </c>
      <c r="C2896" s="4">
        <v>4599</v>
      </c>
      <c r="D2896" s="4">
        <v>1</v>
      </c>
      <c r="E2896" s="4">
        <v>1</v>
      </c>
      <c r="F2896" s="4" t="s">
        <v>268</v>
      </c>
      <c r="G2896" s="4" t="s">
        <v>241</v>
      </c>
      <c r="H2896" s="4" t="s">
        <v>241</v>
      </c>
      <c r="I2896" s="4" t="s">
        <v>424</v>
      </c>
      <c r="J2896" s="4" t="s">
        <v>274</v>
      </c>
      <c r="K2896" s="4" t="s">
        <v>251</v>
      </c>
      <c r="L2896" s="4" t="s">
        <v>423</v>
      </c>
      <c r="M2896" s="5" t="s">
        <v>913</v>
      </c>
      <c r="N2896" s="6">
        <f>832</f>
        <v>832</v>
      </c>
      <c r="O2896" s="4" t="s">
        <v>265</v>
      </c>
      <c r="P2896" s="6">
        <f>1</f>
        <v>1</v>
      </c>
      <c r="Q2896" s="6">
        <f>0</f>
        <v>0</v>
      </c>
      <c r="S2896" s="6">
        <f>0</f>
        <v>0</v>
      </c>
      <c r="T2896" s="6">
        <f>1</f>
        <v>1</v>
      </c>
      <c r="U2896" s="5" t="s">
        <v>245</v>
      </c>
      <c r="V2896" s="4" t="s">
        <v>270</v>
      </c>
      <c r="W2896" s="4" t="s">
        <v>271</v>
      </c>
      <c r="X2896" s="4" t="s">
        <v>273</v>
      </c>
      <c r="Y2896" s="4" t="s">
        <v>241</v>
      </c>
      <c r="AB2896" s="4" t="s">
        <v>241</v>
      </c>
      <c r="AD2896" s="5" t="s">
        <v>241</v>
      </c>
      <c r="AG2896" s="5" t="s">
        <v>246</v>
      </c>
      <c r="AH2896" s="4" t="s">
        <v>241</v>
      </c>
      <c r="AI2896" s="4" t="s">
        <v>247</v>
      </c>
      <c r="AJ2896" s="4" t="s">
        <v>248</v>
      </c>
      <c r="AZ2896" s="4" t="s">
        <v>249</v>
      </c>
      <c r="BA2896" s="4" t="s">
        <v>241</v>
      </c>
      <c r="BB2896" s="4" t="s">
        <v>250</v>
      </c>
      <c r="BC2896" s="4" t="s">
        <v>241</v>
      </c>
      <c r="BD2896" s="4" t="s">
        <v>252</v>
      </c>
      <c r="BE2896" s="4" t="s">
        <v>241</v>
      </c>
      <c r="BI2896" s="4" t="s">
        <v>253</v>
      </c>
      <c r="BJ2896" s="5" t="s">
        <v>246</v>
      </c>
      <c r="BK2896" s="4" t="s">
        <v>254</v>
      </c>
      <c r="BL2896" s="4" t="s">
        <v>255</v>
      </c>
      <c r="BM2896" s="4" t="s">
        <v>241</v>
      </c>
      <c r="BN2896" s="6">
        <f>0</f>
        <v>0</v>
      </c>
      <c r="BO2896" s="6">
        <f>0</f>
        <v>0</v>
      </c>
      <c r="BP2896" s="4" t="s">
        <v>256</v>
      </c>
      <c r="BQ2896" s="4" t="s">
        <v>257</v>
      </c>
      <c r="CE2896" s="4" t="s">
        <v>241</v>
      </c>
      <c r="CF2896" s="4" t="s">
        <v>241</v>
      </c>
      <c r="CJ2896" s="4" t="s">
        <v>276</v>
      </c>
      <c r="CK2896" s="4" t="s">
        <v>259</v>
      </c>
      <c r="CL2896" s="4" t="s">
        <v>241</v>
      </c>
      <c r="CO2896" s="5" t="s">
        <v>260</v>
      </c>
      <c r="CP2896" s="4" t="s">
        <v>241</v>
      </c>
      <c r="CQ2896" s="4" t="s">
        <v>261</v>
      </c>
      <c r="CR2896" s="4" t="s">
        <v>241</v>
      </c>
      <c r="CS2896" s="4" t="s">
        <v>241</v>
      </c>
      <c r="CT2896" s="4">
        <v>0</v>
      </c>
      <c r="CU2896" s="4" t="s">
        <v>262</v>
      </c>
      <c r="CV2896" s="4" t="s">
        <v>263</v>
      </c>
      <c r="CW2896" s="4" t="s">
        <v>263</v>
      </c>
      <c r="CX2896" s="4" t="s">
        <v>264</v>
      </c>
      <c r="DA2896" s="6">
        <f>1</f>
        <v>1</v>
      </c>
      <c r="DC2896" s="4" t="s">
        <v>325</v>
      </c>
      <c r="DD2896" s="4" t="s">
        <v>241</v>
      </c>
      <c r="DF2896" s="4" t="s">
        <v>325</v>
      </c>
      <c r="DG2896" s="6">
        <f>832</f>
        <v>832</v>
      </c>
      <c r="DI2896" s="4" t="s">
        <v>241</v>
      </c>
      <c r="DJ2896" s="4" t="s">
        <v>241</v>
      </c>
      <c r="DK2896" s="4" t="s">
        <v>241</v>
      </c>
      <c r="DL2896" s="4" t="s">
        <v>241</v>
      </c>
      <c r="DP2896" s="4" t="s">
        <v>241</v>
      </c>
      <c r="DQ2896" s="4" t="s">
        <v>241</v>
      </c>
      <c r="DR2896" s="4" t="s">
        <v>241</v>
      </c>
      <c r="DS2896" s="4" t="s">
        <v>241</v>
      </c>
      <c r="DV2896" s="4" t="s">
        <v>426</v>
      </c>
      <c r="DW2896" s="4" t="s">
        <v>914</v>
      </c>
      <c r="HO2896" s="4" t="s">
        <v>267</v>
      </c>
    </row>
    <row r="2897" spans="1:223" ht="19.5" customHeight="1" x14ac:dyDescent="0.4">
      <c r="A2897" s="4">
        <v>1</v>
      </c>
      <c r="B2897" s="4" t="s">
        <v>239</v>
      </c>
      <c r="C2897" s="4">
        <v>4600</v>
      </c>
      <c r="D2897" s="4">
        <v>1</v>
      </c>
      <c r="E2897" s="4">
        <v>1</v>
      </c>
      <c r="F2897" s="4" t="s">
        <v>268</v>
      </c>
      <c r="G2897" s="4" t="s">
        <v>241</v>
      </c>
      <c r="H2897" s="4" t="s">
        <v>241</v>
      </c>
      <c r="I2897" s="4" t="s">
        <v>424</v>
      </c>
      <c r="J2897" s="4" t="s">
        <v>274</v>
      </c>
      <c r="K2897" s="4" t="s">
        <v>251</v>
      </c>
      <c r="L2897" s="4" t="s">
        <v>423</v>
      </c>
      <c r="M2897" s="5" t="s">
        <v>892</v>
      </c>
      <c r="N2897" s="6">
        <f>1451</f>
        <v>1451</v>
      </c>
      <c r="O2897" s="4" t="s">
        <v>265</v>
      </c>
      <c r="P2897" s="6">
        <f>1</f>
        <v>1</v>
      </c>
      <c r="Q2897" s="6">
        <f>0</f>
        <v>0</v>
      </c>
      <c r="S2897" s="6">
        <f>0</f>
        <v>0</v>
      </c>
      <c r="T2897" s="6">
        <f>1</f>
        <v>1</v>
      </c>
      <c r="U2897" s="5" t="s">
        <v>245</v>
      </c>
      <c r="V2897" s="4" t="s">
        <v>270</v>
      </c>
      <c r="W2897" s="4" t="s">
        <v>271</v>
      </c>
      <c r="X2897" s="4" t="s">
        <v>273</v>
      </c>
      <c r="Y2897" s="4" t="s">
        <v>241</v>
      </c>
      <c r="AB2897" s="4" t="s">
        <v>241</v>
      </c>
      <c r="AD2897" s="5" t="s">
        <v>241</v>
      </c>
      <c r="AG2897" s="5" t="s">
        <v>246</v>
      </c>
      <c r="AH2897" s="4" t="s">
        <v>241</v>
      </c>
      <c r="AI2897" s="4" t="s">
        <v>247</v>
      </c>
      <c r="AJ2897" s="4" t="s">
        <v>248</v>
      </c>
      <c r="AZ2897" s="4" t="s">
        <v>249</v>
      </c>
      <c r="BA2897" s="4" t="s">
        <v>241</v>
      </c>
      <c r="BB2897" s="4" t="s">
        <v>250</v>
      </c>
      <c r="BC2897" s="4" t="s">
        <v>241</v>
      </c>
      <c r="BD2897" s="4" t="s">
        <v>252</v>
      </c>
      <c r="BE2897" s="4" t="s">
        <v>241</v>
      </c>
      <c r="BI2897" s="4" t="s">
        <v>253</v>
      </c>
      <c r="BJ2897" s="5" t="s">
        <v>246</v>
      </c>
      <c r="BK2897" s="4" t="s">
        <v>254</v>
      </c>
      <c r="BL2897" s="4" t="s">
        <v>255</v>
      </c>
      <c r="BM2897" s="4" t="s">
        <v>241</v>
      </c>
      <c r="BN2897" s="6">
        <f>0</f>
        <v>0</v>
      </c>
      <c r="BO2897" s="6">
        <f>0</f>
        <v>0</v>
      </c>
      <c r="BP2897" s="4" t="s">
        <v>256</v>
      </c>
      <c r="BQ2897" s="4" t="s">
        <v>257</v>
      </c>
      <c r="CE2897" s="4" t="s">
        <v>241</v>
      </c>
      <c r="CF2897" s="4" t="s">
        <v>241</v>
      </c>
      <c r="CJ2897" s="4" t="s">
        <v>276</v>
      </c>
      <c r="CK2897" s="4" t="s">
        <v>259</v>
      </c>
      <c r="CL2897" s="4" t="s">
        <v>241</v>
      </c>
      <c r="CO2897" s="5" t="s">
        <v>260</v>
      </c>
      <c r="CP2897" s="4" t="s">
        <v>241</v>
      </c>
      <c r="CQ2897" s="4" t="s">
        <v>261</v>
      </c>
      <c r="CR2897" s="4" t="s">
        <v>241</v>
      </c>
      <c r="CS2897" s="4" t="s">
        <v>241</v>
      </c>
      <c r="CT2897" s="4">
        <v>0</v>
      </c>
      <c r="CU2897" s="4" t="s">
        <v>262</v>
      </c>
      <c r="CV2897" s="4" t="s">
        <v>263</v>
      </c>
      <c r="CW2897" s="4" t="s">
        <v>263</v>
      </c>
      <c r="CX2897" s="4" t="s">
        <v>264</v>
      </c>
      <c r="DA2897" s="6">
        <f>1</f>
        <v>1</v>
      </c>
      <c r="DC2897" s="4" t="s">
        <v>325</v>
      </c>
      <c r="DD2897" s="4" t="s">
        <v>241</v>
      </c>
      <c r="DF2897" s="4" t="s">
        <v>325</v>
      </c>
      <c r="DG2897" s="6">
        <f>1451</f>
        <v>1451</v>
      </c>
      <c r="DI2897" s="4" t="s">
        <v>241</v>
      </c>
      <c r="DJ2897" s="4" t="s">
        <v>241</v>
      </c>
      <c r="DK2897" s="4" t="s">
        <v>241</v>
      </c>
      <c r="DL2897" s="4" t="s">
        <v>241</v>
      </c>
      <c r="DP2897" s="4" t="s">
        <v>241</v>
      </c>
      <c r="DQ2897" s="4" t="s">
        <v>241</v>
      </c>
      <c r="DR2897" s="4" t="s">
        <v>241</v>
      </c>
      <c r="DS2897" s="4" t="s">
        <v>241</v>
      </c>
      <c r="DV2897" s="4" t="s">
        <v>426</v>
      </c>
      <c r="DW2897" s="4" t="s">
        <v>893</v>
      </c>
      <c r="HO2897" s="4" t="s">
        <v>267</v>
      </c>
    </row>
    <row r="2898" spans="1:223" ht="19.5" customHeight="1" x14ac:dyDescent="0.4">
      <c r="A2898" s="4">
        <v>1</v>
      </c>
      <c r="B2898" s="4" t="s">
        <v>239</v>
      </c>
      <c r="C2898" s="4">
        <v>4601</v>
      </c>
      <c r="D2898" s="4">
        <v>1</v>
      </c>
      <c r="E2898" s="4">
        <v>1</v>
      </c>
      <c r="F2898" s="4" t="s">
        <v>268</v>
      </c>
      <c r="G2898" s="4" t="s">
        <v>241</v>
      </c>
      <c r="H2898" s="4" t="s">
        <v>241</v>
      </c>
      <c r="I2898" s="4" t="s">
        <v>424</v>
      </c>
      <c r="J2898" s="4" t="s">
        <v>274</v>
      </c>
      <c r="K2898" s="4" t="s">
        <v>251</v>
      </c>
      <c r="L2898" s="4" t="s">
        <v>423</v>
      </c>
      <c r="M2898" s="5" t="s">
        <v>946</v>
      </c>
      <c r="N2898" s="6">
        <f>305</f>
        <v>305</v>
      </c>
      <c r="O2898" s="4" t="s">
        <v>265</v>
      </c>
      <c r="P2898" s="6">
        <f>1</f>
        <v>1</v>
      </c>
      <c r="Q2898" s="6">
        <f>0</f>
        <v>0</v>
      </c>
      <c r="S2898" s="6">
        <f>0</f>
        <v>0</v>
      </c>
      <c r="T2898" s="6">
        <f>1</f>
        <v>1</v>
      </c>
      <c r="U2898" s="5" t="s">
        <v>245</v>
      </c>
      <c r="V2898" s="4" t="s">
        <v>270</v>
      </c>
      <c r="W2898" s="4" t="s">
        <v>271</v>
      </c>
      <c r="X2898" s="4" t="s">
        <v>273</v>
      </c>
      <c r="Y2898" s="4" t="s">
        <v>241</v>
      </c>
      <c r="AB2898" s="4" t="s">
        <v>241</v>
      </c>
      <c r="AD2898" s="5" t="s">
        <v>241</v>
      </c>
      <c r="AG2898" s="5" t="s">
        <v>246</v>
      </c>
      <c r="AH2898" s="4" t="s">
        <v>241</v>
      </c>
      <c r="AI2898" s="4" t="s">
        <v>247</v>
      </c>
      <c r="AJ2898" s="4" t="s">
        <v>248</v>
      </c>
      <c r="AZ2898" s="4" t="s">
        <v>249</v>
      </c>
      <c r="BA2898" s="4" t="s">
        <v>241</v>
      </c>
      <c r="BB2898" s="4" t="s">
        <v>250</v>
      </c>
      <c r="BC2898" s="4" t="s">
        <v>241</v>
      </c>
      <c r="BD2898" s="4" t="s">
        <v>252</v>
      </c>
      <c r="BE2898" s="4" t="s">
        <v>241</v>
      </c>
      <c r="BI2898" s="4" t="s">
        <v>253</v>
      </c>
      <c r="BJ2898" s="5" t="s">
        <v>246</v>
      </c>
      <c r="BK2898" s="4" t="s">
        <v>254</v>
      </c>
      <c r="BL2898" s="4" t="s">
        <v>255</v>
      </c>
      <c r="BM2898" s="4" t="s">
        <v>241</v>
      </c>
      <c r="BN2898" s="6">
        <f>0</f>
        <v>0</v>
      </c>
      <c r="BO2898" s="6">
        <f>0</f>
        <v>0</v>
      </c>
      <c r="BP2898" s="4" t="s">
        <v>256</v>
      </c>
      <c r="BQ2898" s="4" t="s">
        <v>257</v>
      </c>
      <c r="CE2898" s="4" t="s">
        <v>241</v>
      </c>
      <c r="CF2898" s="4" t="s">
        <v>241</v>
      </c>
      <c r="CJ2898" s="4" t="s">
        <v>276</v>
      </c>
      <c r="CK2898" s="4" t="s">
        <v>259</v>
      </c>
      <c r="CL2898" s="4" t="s">
        <v>241</v>
      </c>
      <c r="CO2898" s="5" t="s">
        <v>260</v>
      </c>
      <c r="CP2898" s="4" t="s">
        <v>241</v>
      </c>
      <c r="CQ2898" s="4" t="s">
        <v>261</v>
      </c>
      <c r="CR2898" s="4" t="s">
        <v>241</v>
      </c>
      <c r="CS2898" s="4" t="s">
        <v>241</v>
      </c>
      <c r="CT2898" s="4">
        <v>0</v>
      </c>
      <c r="CU2898" s="4" t="s">
        <v>262</v>
      </c>
      <c r="CV2898" s="4" t="s">
        <v>263</v>
      </c>
      <c r="CW2898" s="4" t="s">
        <v>263</v>
      </c>
      <c r="CX2898" s="4" t="s">
        <v>264</v>
      </c>
      <c r="DA2898" s="6">
        <f>1</f>
        <v>1</v>
      </c>
      <c r="DC2898" s="4" t="s">
        <v>325</v>
      </c>
      <c r="DD2898" s="4" t="s">
        <v>241</v>
      </c>
      <c r="DF2898" s="4" t="s">
        <v>325</v>
      </c>
      <c r="DG2898" s="6">
        <f>305</f>
        <v>305</v>
      </c>
      <c r="DI2898" s="4" t="s">
        <v>241</v>
      </c>
      <c r="DJ2898" s="4" t="s">
        <v>241</v>
      </c>
      <c r="DK2898" s="4" t="s">
        <v>241</v>
      </c>
      <c r="DL2898" s="4" t="s">
        <v>241</v>
      </c>
      <c r="DP2898" s="4" t="s">
        <v>241</v>
      </c>
      <c r="DQ2898" s="4" t="s">
        <v>241</v>
      </c>
      <c r="DR2898" s="4" t="s">
        <v>241</v>
      </c>
      <c r="DS2898" s="4" t="s">
        <v>241</v>
      </c>
      <c r="DV2898" s="4" t="s">
        <v>426</v>
      </c>
      <c r="DW2898" s="4" t="s">
        <v>947</v>
      </c>
      <c r="HO2898" s="4" t="s">
        <v>267</v>
      </c>
    </row>
    <row r="2899" spans="1:223" ht="19.5" customHeight="1" x14ac:dyDescent="0.4">
      <c r="A2899" s="4">
        <v>1</v>
      </c>
      <c r="B2899" s="4" t="s">
        <v>239</v>
      </c>
      <c r="C2899" s="4">
        <v>4602</v>
      </c>
      <c r="D2899" s="4">
        <v>1</v>
      </c>
      <c r="E2899" s="4">
        <v>1</v>
      </c>
      <c r="F2899" s="4" t="s">
        <v>268</v>
      </c>
      <c r="G2899" s="4" t="s">
        <v>241</v>
      </c>
      <c r="H2899" s="4" t="s">
        <v>241</v>
      </c>
      <c r="I2899" s="4" t="s">
        <v>424</v>
      </c>
      <c r="J2899" s="4" t="s">
        <v>274</v>
      </c>
      <c r="K2899" s="4" t="s">
        <v>251</v>
      </c>
      <c r="L2899" s="4" t="s">
        <v>423</v>
      </c>
      <c r="M2899" s="5" t="s">
        <v>843</v>
      </c>
      <c r="N2899" s="6">
        <f>681</f>
        <v>681</v>
      </c>
      <c r="O2899" s="4" t="s">
        <v>265</v>
      </c>
      <c r="P2899" s="6">
        <f>1</f>
        <v>1</v>
      </c>
      <c r="Q2899" s="6">
        <f>0</f>
        <v>0</v>
      </c>
      <c r="S2899" s="6">
        <f>0</f>
        <v>0</v>
      </c>
      <c r="T2899" s="6">
        <f>1</f>
        <v>1</v>
      </c>
      <c r="U2899" s="5" t="s">
        <v>245</v>
      </c>
      <c r="V2899" s="4" t="s">
        <v>270</v>
      </c>
      <c r="W2899" s="4" t="s">
        <v>271</v>
      </c>
      <c r="X2899" s="4" t="s">
        <v>273</v>
      </c>
      <c r="Y2899" s="4" t="s">
        <v>241</v>
      </c>
      <c r="AB2899" s="4" t="s">
        <v>241</v>
      </c>
      <c r="AD2899" s="5" t="s">
        <v>241</v>
      </c>
      <c r="AG2899" s="5" t="s">
        <v>246</v>
      </c>
      <c r="AH2899" s="4" t="s">
        <v>241</v>
      </c>
      <c r="AI2899" s="4" t="s">
        <v>247</v>
      </c>
      <c r="AJ2899" s="4" t="s">
        <v>248</v>
      </c>
      <c r="AZ2899" s="4" t="s">
        <v>249</v>
      </c>
      <c r="BA2899" s="4" t="s">
        <v>241</v>
      </c>
      <c r="BB2899" s="4" t="s">
        <v>250</v>
      </c>
      <c r="BC2899" s="4" t="s">
        <v>241</v>
      </c>
      <c r="BD2899" s="4" t="s">
        <v>252</v>
      </c>
      <c r="BE2899" s="4" t="s">
        <v>241</v>
      </c>
      <c r="BI2899" s="4" t="s">
        <v>253</v>
      </c>
      <c r="BJ2899" s="5" t="s">
        <v>246</v>
      </c>
      <c r="BK2899" s="4" t="s">
        <v>254</v>
      </c>
      <c r="BL2899" s="4" t="s">
        <v>255</v>
      </c>
      <c r="BM2899" s="4" t="s">
        <v>241</v>
      </c>
      <c r="BN2899" s="6">
        <f>0</f>
        <v>0</v>
      </c>
      <c r="BO2899" s="6">
        <f>0</f>
        <v>0</v>
      </c>
      <c r="BP2899" s="4" t="s">
        <v>256</v>
      </c>
      <c r="BQ2899" s="4" t="s">
        <v>257</v>
      </c>
      <c r="CE2899" s="4" t="s">
        <v>241</v>
      </c>
      <c r="CF2899" s="4" t="s">
        <v>241</v>
      </c>
      <c r="CJ2899" s="4" t="s">
        <v>276</v>
      </c>
      <c r="CK2899" s="4" t="s">
        <v>259</v>
      </c>
      <c r="CL2899" s="4" t="s">
        <v>241</v>
      </c>
      <c r="CO2899" s="5" t="s">
        <v>260</v>
      </c>
      <c r="CP2899" s="4" t="s">
        <v>241</v>
      </c>
      <c r="CQ2899" s="4" t="s">
        <v>261</v>
      </c>
      <c r="CR2899" s="4" t="s">
        <v>241</v>
      </c>
      <c r="CS2899" s="4" t="s">
        <v>241</v>
      </c>
      <c r="CT2899" s="4">
        <v>0</v>
      </c>
      <c r="CU2899" s="4" t="s">
        <v>262</v>
      </c>
      <c r="CV2899" s="4" t="s">
        <v>263</v>
      </c>
      <c r="CW2899" s="4" t="s">
        <v>263</v>
      </c>
      <c r="CX2899" s="4" t="s">
        <v>264</v>
      </c>
      <c r="DA2899" s="6">
        <f>1</f>
        <v>1</v>
      </c>
      <c r="DC2899" s="4" t="s">
        <v>325</v>
      </c>
      <c r="DD2899" s="4" t="s">
        <v>241</v>
      </c>
      <c r="DF2899" s="4" t="s">
        <v>325</v>
      </c>
      <c r="DG2899" s="6">
        <f>681</f>
        <v>681</v>
      </c>
      <c r="DI2899" s="4" t="s">
        <v>241</v>
      </c>
      <c r="DJ2899" s="4" t="s">
        <v>241</v>
      </c>
      <c r="DK2899" s="4" t="s">
        <v>241</v>
      </c>
      <c r="DL2899" s="4" t="s">
        <v>241</v>
      </c>
      <c r="DP2899" s="4" t="s">
        <v>241</v>
      </c>
      <c r="DQ2899" s="4" t="s">
        <v>241</v>
      </c>
      <c r="DR2899" s="4" t="s">
        <v>241</v>
      </c>
      <c r="DS2899" s="4" t="s">
        <v>241</v>
      </c>
      <c r="DV2899" s="4" t="s">
        <v>426</v>
      </c>
      <c r="DW2899" s="4" t="s">
        <v>844</v>
      </c>
      <c r="HO2899" s="4" t="s">
        <v>267</v>
      </c>
    </row>
    <row r="2900" spans="1:223" ht="19.5" customHeight="1" x14ac:dyDescent="0.4">
      <c r="A2900" s="4">
        <v>1</v>
      </c>
      <c r="B2900" s="4" t="s">
        <v>239</v>
      </c>
      <c r="C2900" s="4">
        <v>4603</v>
      </c>
      <c r="D2900" s="4">
        <v>1</v>
      </c>
      <c r="E2900" s="4">
        <v>1</v>
      </c>
      <c r="F2900" s="4" t="s">
        <v>268</v>
      </c>
      <c r="G2900" s="4" t="s">
        <v>241</v>
      </c>
      <c r="H2900" s="4" t="s">
        <v>241</v>
      </c>
      <c r="I2900" s="4" t="s">
        <v>424</v>
      </c>
      <c r="J2900" s="4" t="s">
        <v>274</v>
      </c>
      <c r="K2900" s="4" t="s">
        <v>251</v>
      </c>
      <c r="L2900" s="4" t="s">
        <v>423</v>
      </c>
      <c r="M2900" s="5" t="s">
        <v>827</v>
      </c>
      <c r="N2900" s="6">
        <f>280</f>
        <v>280</v>
      </c>
      <c r="O2900" s="4" t="s">
        <v>265</v>
      </c>
      <c r="P2900" s="6">
        <f>1</f>
        <v>1</v>
      </c>
      <c r="Q2900" s="6">
        <f>0</f>
        <v>0</v>
      </c>
      <c r="S2900" s="6">
        <f>0</f>
        <v>0</v>
      </c>
      <c r="T2900" s="6">
        <f>1</f>
        <v>1</v>
      </c>
      <c r="U2900" s="5" t="s">
        <v>245</v>
      </c>
      <c r="V2900" s="4" t="s">
        <v>270</v>
      </c>
      <c r="W2900" s="4" t="s">
        <v>271</v>
      </c>
      <c r="X2900" s="4" t="s">
        <v>273</v>
      </c>
      <c r="Y2900" s="4" t="s">
        <v>241</v>
      </c>
      <c r="AB2900" s="4" t="s">
        <v>241</v>
      </c>
      <c r="AD2900" s="5" t="s">
        <v>241</v>
      </c>
      <c r="AG2900" s="5" t="s">
        <v>246</v>
      </c>
      <c r="AH2900" s="4" t="s">
        <v>241</v>
      </c>
      <c r="AI2900" s="4" t="s">
        <v>247</v>
      </c>
      <c r="AJ2900" s="4" t="s">
        <v>248</v>
      </c>
      <c r="AZ2900" s="4" t="s">
        <v>249</v>
      </c>
      <c r="BA2900" s="4" t="s">
        <v>241</v>
      </c>
      <c r="BB2900" s="4" t="s">
        <v>250</v>
      </c>
      <c r="BC2900" s="4" t="s">
        <v>241</v>
      </c>
      <c r="BD2900" s="4" t="s">
        <v>252</v>
      </c>
      <c r="BE2900" s="4" t="s">
        <v>241</v>
      </c>
      <c r="BI2900" s="4" t="s">
        <v>253</v>
      </c>
      <c r="BJ2900" s="5" t="s">
        <v>246</v>
      </c>
      <c r="BK2900" s="4" t="s">
        <v>254</v>
      </c>
      <c r="BL2900" s="4" t="s">
        <v>255</v>
      </c>
      <c r="BM2900" s="4" t="s">
        <v>241</v>
      </c>
      <c r="BN2900" s="6">
        <f>0</f>
        <v>0</v>
      </c>
      <c r="BO2900" s="6">
        <f>0</f>
        <v>0</v>
      </c>
      <c r="BP2900" s="4" t="s">
        <v>256</v>
      </c>
      <c r="BQ2900" s="4" t="s">
        <v>257</v>
      </c>
      <c r="CE2900" s="4" t="s">
        <v>241</v>
      </c>
      <c r="CF2900" s="4" t="s">
        <v>241</v>
      </c>
      <c r="CJ2900" s="4" t="s">
        <v>276</v>
      </c>
      <c r="CK2900" s="4" t="s">
        <v>259</v>
      </c>
      <c r="CL2900" s="4" t="s">
        <v>241</v>
      </c>
      <c r="CO2900" s="5" t="s">
        <v>260</v>
      </c>
      <c r="CP2900" s="4" t="s">
        <v>241</v>
      </c>
      <c r="CQ2900" s="4" t="s">
        <v>261</v>
      </c>
      <c r="CR2900" s="4" t="s">
        <v>241</v>
      </c>
      <c r="CS2900" s="4" t="s">
        <v>241</v>
      </c>
      <c r="CT2900" s="4">
        <v>0</v>
      </c>
      <c r="CU2900" s="4" t="s">
        <v>262</v>
      </c>
      <c r="CV2900" s="4" t="s">
        <v>263</v>
      </c>
      <c r="CW2900" s="4" t="s">
        <v>263</v>
      </c>
      <c r="CX2900" s="4" t="s">
        <v>264</v>
      </c>
      <c r="DA2900" s="6">
        <f>1</f>
        <v>1</v>
      </c>
      <c r="DC2900" s="4" t="s">
        <v>325</v>
      </c>
      <c r="DD2900" s="4" t="s">
        <v>241</v>
      </c>
      <c r="DF2900" s="4" t="s">
        <v>325</v>
      </c>
      <c r="DG2900" s="6">
        <f>280</f>
        <v>280</v>
      </c>
      <c r="DI2900" s="4" t="s">
        <v>241</v>
      </c>
      <c r="DJ2900" s="4" t="s">
        <v>241</v>
      </c>
      <c r="DK2900" s="4" t="s">
        <v>241</v>
      </c>
      <c r="DL2900" s="4" t="s">
        <v>241</v>
      </c>
      <c r="DP2900" s="4" t="s">
        <v>241</v>
      </c>
      <c r="DQ2900" s="4" t="s">
        <v>241</v>
      </c>
      <c r="DR2900" s="4" t="s">
        <v>241</v>
      </c>
      <c r="DS2900" s="4" t="s">
        <v>241</v>
      </c>
      <c r="DV2900" s="4" t="s">
        <v>426</v>
      </c>
      <c r="DW2900" s="4" t="s">
        <v>828</v>
      </c>
      <c r="HO2900" s="4" t="s">
        <v>267</v>
      </c>
    </row>
    <row r="2901" spans="1:223" ht="19.5" customHeight="1" x14ac:dyDescent="0.4">
      <c r="A2901" s="4">
        <v>1</v>
      </c>
      <c r="B2901" s="4" t="s">
        <v>239</v>
      </c>
      <c r="C2901" s="4">
        <v>4604</v>
      </c>
      <c r="D2901" s="4">
        <v>1</v>
      </c>
      <c r="E2901" s="4">
        <v>1</v>
      </c>
      <c r="F2901" s="4" t="s">
        <v>268</v>
      </c>
      <c r="G2901" s="4" t="s">
        <v>241</v>
      </c>
      <c r="H2901" s="4" t="s">
        <v>241</v>
      </c>
      <c r="I2901" s="4" t="s">
        <v>424</v>
      </c>
      <c r="J2901" s="4" t="s">
        <v>274</v>
      </c>
      <c r="K2901" s="4" t="s">
        <v>251</v>
      </c>
      <c r="L2901" s="4" t="s">
        <v>423</v>
      </c>
      <c r="M2901" s="5" t="s">
        <v>805</v>
      </c>
      <c r="N2901" s="6">
        <f>555</f>
        <v>555</v>
      </c>
      <c r="O2901" s="4" t="s">
        <v>265</v>
      </c>
      <c r="P2901" s="6">
        <f>1</f>
        <v>1</v>
      </c>
      <c r="Q2901" s="6">
        <f>0</f>
        <v>0</v>
      </c>
      <c r="S2901" s="6">
        <f>0</f>
        <v>0</v>
      </c>
      <c r="T2901" s="6">
        <f>1</f>
        <v>1</v>
      </c>
      <c r="U2901" s="5" t="s">
        <v>245</v>
      </c>
      <c r="V2901" s="4" t="s">
        <v>270</v>
      </c>
      <c r="W2901" s="4" t="s">
        <v>271</v>
      </c>
      <c r="X2901" s="4" t="s">
        <v>273</v>
      </c>
      <c r="Y2901" s="4" t="s">
        <v>241</v>
      </c>
      <c r="AB2901" s="4" t="s">
        <v>241</v>
      </c>
      <c r="AD2901" s="5" t="s">
        <v>241</v>
      </c>
      <c r="AG2901" s="5" t="s">
        <v>246</v>
      </c>
      <c r="AH2901" s="4" t="s">
        <v>241</v>
      </c>
      <c r="AI2901" s="4" t="s">
        <v>247</v>
      </c>
      <c r="AJ2901" s="4" t="s">
        <v>248</v>
      </c>
      <c r="AZ2901" s="4" t="s">
        <v>249</v>
      </c>
      <c r="BA2901" s="4" t="s">
        <v>241</v>
      </c>
      <c r="BB2901" s="4" t="s">
        <v>250</v>
      </c>
      <c r="BC2901" s="4" t="s">
        <v>241</v>
      </c>
      <c r="BD2901" s="4" t="s">
        <v>252</v>
      </c>
      <c r="BE2901" s="4" t="s">
        <v>241</v>
      </c>
      <c r="BI2901" s="4" t="s">
        <v>253</v>
      </c>
      <c r="BJ2901" s="5" t="s">
        <v>246</v>
      </c>
      <c r="BK2901" s="4" t="s">
        <v>254</v>
      </c>
      <c r="BL2901" s="4" t="s">
        <v>255</v>
      </c>
      <c r="BM2901" s="4" t="s">
        <v>241</v>
      </c>
      <c r="BN2901" s="6">
        <f>0</f>
        <v>0</v>
      </c>
      <c r="BO2901" s="6">
        <f>0</f>
        <v>0</v>
      </c>
      <c r="BP2901" s="4" t="s">
        <v>256</v>
      </c>
      <c r="BQ2901" s="4" t="s">
        <v>257</v>
      </c>
      <c r="CE2901" s="4" t="s">
        <v>241</v>
      </c>
      <c r="CF2901" s="4" t="s">
        <v>241</v>
      </c>
      <c r="CJ2901" s="4" t="s">
        <v>276</v>
      </c>
      <c r="CK2901" s="4" t="s">
        <v>259</v>
      </c>
      <c r="CL2901" s="4" t="s">
        <v>241</v>
      </c>
      <c r="CO2901" s="5" t="s">
        <v>260</v>
      </c>
      <c r="CP2901" s="4" t="s">
        <v>241</v>
      </c>
      <c r="CQ2901" s="4" t="s">
        <v>261</v>
      </c>
      <c r="CR2901" s="4" t="s">
        <v>241</v>
      </c>
      <c r="CS2901" s="4" t="s">
        <v>241</v>
      </c>
      <c r="CT2901" s="4">
        <v>0</v>
      </c>
      <c r="CU2901" s="4" t="s">
        <v>262</v>
      </c>
      <c r="CV2901" s="4" t="s">
        <v>263</v>
      </c>
      <c r="CW2901" s="4" t="s">
        <v>263</v>
      </c>
      <c r="CX2901" s="4" t="s">
        <v>264</v>
      </c>
      <c r="DA2901" s="6">
        <f>1</f>
        <v>1</v>
      </c>
      <c r="DC2901" s="4" t="s">
        <v>325</v>
      </c>
      <c r="DD2901" s="4" t="s">
        <v>241</v>
      </c>
      <c r="DF2901" s="4" t="s">
        <v>325</v>
      </c>
      <c r="DG2901" s="6">
        <f>555</f>
        <v>555</v>
      </c>
      <c r="DI2901" s="4" t="s">
        <v>241</v>
      </c>
      <c r="DJ2901" s="4" t="s">
        <v>241</v>
      </c>
      <c r="DK2901" s="4" t="s">
        <v>241</v>
      </c>
      <c r="DL2901" s="4" t="s">
        <v>241</v>
      </c>
      <c r="DP2901" s="4" t="s">
        <v>241</v>
      </c>
      <c r="DQ2901" s="4" t="s">
        <v>241</v>
      </c>
      <c r="DR2901" s="4" t="s">
        <v>241</v>
      </c>
      <c r="DS2901" s="4" t="s">
        <v>241</v>
      </c>
      <c r="DV2901" s="4" t="s">
        <v>426</v>
      </c>
      <c r="DW2901" s="4" t="s">
        <v>806</v>
      </c>
      <c r="HO2901" s="4" t="s">
        <v>267</v>
      </c>
    </row>
    <row r="2902" spans="1:223" ht="19.5" customHeight="1" x14ac:dyDescent="0.4">
      <c r="A2902" s="4">
        <v>1</v>
      </c>
      <c r="B2902" s="4" t="s">
        <v>239</v>
      </c>
      <c r="C2902" s="4">
        <v>4605</v>
      </c>
      <c r="D2902" s="4">
        <v>1</v>
      </c>
      <c r="E2902" s="4">
        <v>1</v>
      </c>
      <c r="F2902" s="4" t="s">
        <v>268</v>
      </c>
      <c r="G2902" s="4" t="s">
        <v>241</v>
      </c>
      <c r="H2902" s="4" t="s">
        <v>241</v>
      </c>
      <c r="I2902" s="4" t="s">
        <v>424</v>
      </c>
      <c r="J2902" s="4" t="s">
        <v>274</v>
      </c>
      <c r="K2902" s="4" t="s">
        <v>251</v>
      </c>
      <c r="L2902" s="4" t="s">
        <v>423</v>
      </c>
      <c r="M2902" s="5" t="s">
        <v>643</v>
      </c>
      <c r="N2902" s="6">
        <f>1269</f>
        <v>1269</v>
      </c>
      <c r="O2902" s="4" t="s">
        <v>265</v>
      </c>
      <c r="P2902" s="6">
        <f>1</f>
        <v>1</v>
      </c>
      <c r="Q2902" s="6">
        <f>0</f>
        <v>0</v>
      </c>
      <c r="S2902" s="6">
        <f>0</f>
        <v>0</v>
      </c>
      <c r="T2902" s="6">
        <f>1</f>
        <v>1</v>
      </c>
      <c r="U2902" s="5" t="s">
        <v>245</v>
      </c>
      <c r="V2902" s="4" t="s">
        <v>270</v>
      </c>
      <c r="W2902" s="4" t="s">
        <v>271</v>
      </c>
      <c r="X2902" s="4" t="s">
        <v>273</v>
      </c>
      <c r="Y2902" s="4" t="s">
        <v>241</v>
      </c>
      <c r="AB2902" s="4" t="s">
        <v>241</v>
      </c>
      <c r="AD2902" s="5" t="s">
        <v>241</v>
      </c>
      <c r="AG2902" s="5" t="s">
        <v>246</v>
      </c>
      <c r="AH2902" s="4" t="s">
        <v>241</v>
      </c>
      <c r="AI2902" s="4" t="s">
        <v>247</v>
      </c>
      <c r="AJ2902" s="4" t="s">
        <v>248</v>
      </c>
      <c r="AZ2902" s="4" t="s">
        <v>249</v>
      </c>
      <c r="BA2902" s="4" t="s">
        <v>241</v>
      </c>
      <c r="BB2902" s="4" t="s">
        <v>250</v>
      </c>
      <c r="BC2902" s="4" t="s">
        <v>241</v>
      </c>
      <c r="BD2902" s="4" t="s">
        <v>252</v>
      </c>
      <c r="BE2902" s="4" t="s">
        <v>241</v>
      </c>
      <c r="BI2902" s="4" t="s">
        <v>253</v>
      </c>
      <c r="BJ2902" s="5" t="s">
        <v>246</v>
      </c>
      <c r="BK2902" s="4" t="s">
        <v>254</v>
      </c>
      <c r="BL2902" s="4" t="s">
        <v>255</v>
      </c>
      <c r="BM2902" s="4" t="s">
        <v>241</v>
      </c>
      <c r="BN2902" s="6">
        <f>0</f>
        <v>0</v>
      </c>
      <c r="BO2902" s="6">
        <f>0</f>
        <v>0</v>
      </c>
      <c r="BP2902" s="4" t="s">
        <v>256</v>
      </c>
      <c r="BQ2902" s="4" t="s">
        <v>257</v>
      </c>
      <c r="CE2902" s="4" t="s">
        <v>241</v>
      </c>
      <c r="CF2902" s="4" t="s">
        <v>241</v>
      </c>
      <c r="CJ2902" s="4" t="s">
        <v>276</v>
      </c>
      <c r="CK2902" s="4" t="s">
        <v>259</v>
      </c>
      <c r="CL2902" s="4" t="s">
        <v>241</v>
      </c>
      <c r="CO2902" s="5" t="s">
        <v>260</v>
      </c>
      <c r="CP2902" s="4" t="s">
        <v>241</v>
      </c>
      <c r="CQ2902" s="4" t="s">
        <v>261</v>
      </c>
      <c r="CR2902" s="4" t="s">
        <v>241</v>
      </c>
      <c r="CS2902" s="4" t="s">
        <v>241</v>
      </c>
      <c r="CT2902" s="4">
        <v>0</v>
      </c>
      <c r="CU2902" s="4" t="s">
        <v>262</v>
      </c>
      <c r="CV2902" s="4" t="s">
        <v>263</v>
      </c>
      <c r="CW2902" s="4" t="s">
        <v>263</v>
      </c>
      <c r="CX2902" s="4" t="s">
        <v>264</v>
      </c>
      <c r="DA2902" s="6">
        <f>1</f>
        <v>1</v>
      </c>
      <c r="DC2902" s="4" t="s">
        <v>325</v>
      </c>
      <c r="DD2902" s="4" t="s">
        <v>241</v>
      </c>
      <c r="DF2902" s="4" t="s">
        <v>325</v>
      </c>
      <c r="DG2902" s="6">
        <f>1269</f>
        <v>1269</v>
      </c>
      <c r="DI2902" s="4" t="s">
        <v>241</v>
      </c>
      <c r="DJ2902" s="4" t="s">
        <v>241</v>
      </c>
      <c r="DK2902" s="4" t="s">
        <v>241</v>
      </c>
      <c r="DL2902" s="4" t="s">
        <v>241</v>
      </c>
      <c r="DP2902" s="4" t="s">
        <v>241</v>
      </c>
      <c r="DQ2902" s="4" t="s">
        <v>241</v>
      </c>
      <c r="DR2902" s="4" t="s">
        <v>241</v>
      </c>
      <c r="DS2902" s="4" t="s">
        <v>241</v>
      </c>
      <c r="DV2902" s="4" t="s">
        <v>426</v>
      </c>
      <c r="DW2902" s="4" t="s">
        <v>644</v>
      </c>
      <c r="HO2902" s="4" t="s">
        <v>267</v>
      </c>
    </row>
    <row r="2903" spans="1:223" ht="19.5" customHeight="1" x14ac:dyDescent="0.4">
      <c r="A2903" s="4">
        <v>1</v>
      </c>
      <c r="B2903" s="4" t="s">
        <v>239</v>
      </c>
      <c r="C2903" s="4">
        <v>4606</v>
      </c>
      <c r="D2903" s="4">
        <v>1</v>
      </c>
      <c r="E2903" s="4">
        <v>1</v>
      </c>
      <c r="F2903" s="4" t="s">
        <v>268</v>
      </c>
      <c r="G2903" s="4" t="s">
        <v>241</v>
      </c>
      <c r="H2903" s="4" t="s">
        <v>241</v>
      </c>
      <c r="I2903" s="4" t="s">
        <v>424</v>
      </c>
      <c r="J2903" s="4" t="s">
        <v>274</v>
      </c>
      <c r="K2903" s="4" t="s">
        <v>251</v>
      </c>
      <c r="L2903" s="4" t="s">
        <v>423</v>
      </c>
      <c r="M2903" s="5" t="s">
        <v>728</v>
      </c>
      <c r="N2903" s="6">
        <f>886</f>
        <v>886</v>
      </c>
      <c r="O2903" s="4" t="s">
        <v>265</v>
      </c>
      <c r="P2903" s="6">
        <f>1</f>
        <v>1</v>
      </c>
      <c r="Q2903" s="6">
        <f>0</f>
        <v>0</v>
      </c>
      <c r="S2903" s="6">
        <f>0</f>
        <v>0</v>
      </c>
      <c r="T2903" s="6">
        <f>1</f>
        <v>1</v>
      </c>
      <c r="U2903" s="5" t="s">
        <v>245</v>
      </c>
      <c r="V2903" s="4" t="s">
        <v>270</v>
      </c>
      <c r="W2903" s="4" t="s">
        <v>271</v>
      </c>
      <c r="X2903" s="4" t="s">
        <v>273</v>
      </c>
      <c r="Y2903" s="4" t="s">
        <v>241</v>
      </c>
      <c r="AB2903" s="4" t="s">
        <v>241</v>
      </c>
      <c r="AD2903" s="5" t="s">
        <v>241</v>
      </c>
      <c r="AG2903" s="5" t="s">
        <v>246</v>
      </c>
      <c r="AH2903" s="4" t="s">
        <v>241</v>
      </c>
      <c r="AI2903" s="4" t="s">
        <v>247</v>
      </c>
      <c r="AJ2903" s="4" t="s">
        <v>248</v>
      </c>
      <c r="AZ2903" s="4" t="s">
        <v>249</v>
      </c>
      <c r="BA2903" s="4" t="s">
        <v>241</v>
      </c>
      <c r="BB2903" s="4" t="s">
        <v>250</v>
      </c>
      <c r="BC2903" s="4" t="s">
        <v>241</v>
      </c>
      <c r="BD2903" s="4" t="s">
        <v>252</v>
      </c>
      <c r="BE2903" s="4" t="s">
        <v>241</v>
      </c>
      <c r="BI2903" s="4" t="s">
        <v>253</v>
      </c>
      <c r="BJ2903" s="5" t="s">
        <v>246</v>
      </c>
      <c r="BK2903" s="4" t="s">
        <v>254</v>
      </c>
      <c r="BL2903" s="4" t="s">
        <v>255</v>
      </c>
      <c r="BM2903" s="4" t="s">
        <v>241</v>
      </c>
      <c r="BN2903" s="6">
        <f>0</f>
        <v>0</v>
      </c>
      <c r="BO2903" s="6">
        <f>0</f>
        <v>0</v>
      </c>
      <c r="BP2903" s="4" t="s">
        <v>256</v>
      </c>
      <c r="BQ2903" s="4" t="s">
        <v>257</v>
      </c>
      <c r="CE2903" s="4" t="s">
        <v>241</v>
      </c>
      <c r="CF2903" s="4" t="s">
        <v>241</v>
      </c>
      <c r="CJ2903" s="4" t="s">
        <v>276</v>
      </c>
      <c r="CK2903" s="4" t="s">
        <v>259</v>
      </c>
      <c r="CL2903" s="4" t="s">
        <v>241</v>
      </c>
      <c r="CO2903" s="5" t="s">
        <v>260</v>
      </c>
      <c r="CP2903" s="4" t="s">
        <v>241</v>
      </c>
      <c r="CQ2903" s="4" t="s">
        <v>261</v>
      </c>
      <c r="CR2903" s="4" t="s">
        <v>241</v>
      </c>
      <c r="CS2903" s="4" t="s">
        <v>241</v>
      </c>
      <c r="CT2903" s="4">
        <v>0</v>
      </c>
      <c r="CU2903" s="4" t="s">
        <v>262</v>
      </c>
      <c r="CV2903" s="4" t="s">
        <v>263</v>
      </c>
      <c r="CW2903" s="4" t="s">
        <v>263</v>
      </c>
      <c r="CX2903" s="4" t="s">
        <v>264</v>
      </c>
      <c r="DA2903" s="6">
        <f>1</f>
        <v>1</v>
      </c>
      <c r="DC2903" s="4" t="s">
        <v>325</v>
      </c>
      <c r="DD2903" s="4" t="s">
        <v>241</v>
      </c>
      <c r="DF2903" s="4" t="s">
        <v>325</v>
      </c>
      <c r="DG2903" s="6">
        <f>886</f>
        <v>886</v>
      </c>
      <c r="DI2903" s="4" t="s">
        <v>241</v>
      </c>
      <c r="DJ2903" s="4" t="s">
        <v>241</v>
      </c>
      <c r="DK2903" s="4" t="s">
        <v>241</v>
      </c>
      <c r="DL2903" s="4" t="s">
        <v>241</v>
      </c>
      <c r="DP2903" s="4" t="s">
        <v>241</v>
      </c>
      <c r="DQ2903" s="4" t="s">
        <v>241</v>
      </c>
      <c r="DR2903" s="4" t="s">
        <v>241</v>
      </c>
      <c r="DS2903" s="4" t="s">
        <v>241</v>
      </c>
      <c r="DV2903" s="4" t="s">
        <v>426</v>
      </c>
      <c r="DW2903" s="4" t="s">
        <v>729</v>
      </c>
      <c r="HO2903" s="4" t="s">
        <v>267</v>
      </c>
    </row>
    <row r="2904" spans="1:223" ht="19.5" customHeight="1" x14ac:dyDescent="0.4">
      <c r="A2904" s="4">
        <v>1</v>
      </c>
      <c r="B2904" s="4" t="s">
        <v>239</v>
      </c>
      <c r="C2904" s="4">
        <v>4607</v>
      </c>
      <c r="D2904" s="4">
        <v>1</v>
      </c>
      <c r="E2904" s="4">
        <v>1</v>
      </c>
      <c r="F2904" s="4" t="s">
        <v>268</v>
      </c>
      <c r="G2904" s="4" t="s">
        <v>241</v>
      </c>
      <c r="H2904" s="4" t="s">
        <v>241</v>
      </c>
      <c r="I2904" s="4" t="s">
        <v>424</v>
      </c>
      <c r="J2904" s="4" t="s">
        <v>274</v>
      </c>
      <c r="K2904" s="4" t="s">
        <v>251</v>
      </c>
      <c r="L2904" s="4" t="s">
        <v>423</v>
      </c>
      <c r="M2904" s="5" t="s">
        <v>691</v>
      </c>
      <c r="N2904" s="6">
        <f>231</f>
        <v>231</v>
      </c>
      <c r="O2904" s="4" t="s">
        <v>265</v>
      </c>
      <c r="P2904" s="6">
        <f>1</f>
        <v>1</v>
      </c>
      <c r="Q2904" s="6">
        <f>0</f>
        <v>0</v>
      </c>
      <c r="S2904" s="6">
        <f>0</f>
        <v>0</v>
      </c>
      <c r="T2904" s="6">
        <f>1</f>
        <v>1</v>
      </c>
      <c r="U2904" s="5" t="s">
        <v>245</v>
      </c>
      <c r="V2904" s="4" t="s">
        <v>270</v>
      </c>
      <c r="W2904" s="4" t="s">
        <v>271</v>
      </c>
      <c r="X2904" s="4" t="s">
        <v>273</v>
      </c>
      <c r="Y2904" s="4" t="s">
        <v>241</v>
      </c>
      <c r="AB2904" s="4" t="s">
        <v>241</v>
      </c>
      <c r="AD2904" s="5" t="s">
        <v>241</v>
      </c>
      <c r="AG2904" s="5" t="s">
        <v>246</v>
      </c>
      <c r="AH2904" s="4" t="s">
        <v>241</v>
      </c>
      <c r="AI2904" s="4" t="s">
        <v>247</v>
      </c>
      <c r="AJ2904" s="4" t="s">
        <v>248</v>
      </c>
      <c r="AZ2904" s="4" t="s">
        <v>249</v>
      </c>
      <c r="BA2904" s="4" t="s">
        <v>241</v>
      </c>
      <c r="BB2904" s="4" t="s">
        <v>250</v>
      </c>
      <c r="BC2904" s="4" t="s">
        <v>241</v>
      </c>
      <c r="BD2904" s="4" t="s">
        <v>252</v>
      </c>
      <c r="BE2904" s="4" t="s">
        <v>241</v>
      </c>
      <c r="BI2904" s="4" t="s">
        <v>253</v>
      </c>
      <c r="BJ2904" s="5" t="s">
        <v>246</v>
      </c>
      <c r="BK2904" s="4" t="s">
        <v>254</v>
      </c>
      <c r="BL2904" s="4" t="s">
        <v>255</v>
      </c>
      <c r="BM2904" s="4" t="s">
        <v>241</v>
      </c>
      <c r="BN2904" s="6">
        <f>0</f>
        <v>0</v>
      </c>
      <c r="BO2904" s="6">
        <f>0</f>
        <v>0</v>
      </c>
      <c r="BP2904" s="4" t="s">
        <v>256</v>
      </c>
      <c r="BQ2904" s="4" t="s">
        <v>257</v>
      </c>
      <c r="CE2904" s="4" t="s">
        <v>241</v>
      </c>
      <c r="CF2904" s="4" t="s">
        <v>241</v>
      </c>
      <c r="CJ2904" s="4" t="s">
        <v>276</v>
      </c>
      <c r="CK2904" s="4" t="s">
        <v>259</v>
      </c>
      <c r="CL2904" s="4" t="s">
        <v>241</v>
      </c>
      <c r="CO2904" s="5" t="s">
        <v>260</v>
      </c>
      <c r="CP2904" s="4" t="s">
        <v>241</v>
      </c>
      <c r="CQ2904" s="4" t="s">
        <v>261</v>
      </c>
      <c r="CR2904" s="4" t="s">
        <v>241</v>
      </c>
      <c r="CS2904" s="4" t="s">
        <v>241</v>
      </c>
      <c r="CT2904" s="4">
        <v>0</v>
      </c>
      <c r="CU2904" s="4" t="s">
        <v>262</v>
      </c>
      <c r="CV2904" s="4" t="s">
        <v>263</v>
      </c>
      <c r="CW2904" s="4" t="s">
        <v>263</v>
      </c>
      <c r="CX2904" s="4" t="s">
        <v>264</v>
      </c>
      <c r="DA2904" s="6">
        <f>1</f>
        <v>1</v>
      </c>
      <c r="DC2904" s="4" t="s">
        <v>325</v>
      </c>
      <c r="DD2904" s="4" t="s">
        <v>241</v>
      </c>
      <c r="DF2904" s="4" t="s">
        <v>325</v>
      </c>
      <c r="DG2904" s="6">
        <f>231</f>
        <v>231</v>
      </c>
      <c r="DI2904" s="4" t="s">
        <v>241</v>
      </c>
      <c r="DJ2904" s="4" t="s">
        <v>241</v>
      </c>
      <c r="DK2904" s="4" t="s">
        <v>241</v>
      </c>
      <c r="DL2904" s="4" t="s">
        <v>241</v>
      </c>
      <c r="DP2904" s="4" t="s">
        <v>241</v>
      </c>
      <c r="DQ2904" s="4" t="s">
        <v>241</v>
      </c>
      <c r="DR2904" s="4" t="s">
        <v>241</v>
      </c>
      <c r="DS2904" s="4" t="s">
        <v>241</v>
      </c>
      <c r="DV2904" s="4" t="s">
        <v>426</v>
      </c>
      <c r="DW2904" s="4" t="s">
        <v>692</v>
      </c>
      <c r="HO2904" s="4" t="s">
        <v>267</v>
      </c>
    </row>
    <row r="2905" spans="1:223" ht="19.5" customHeight="1" x14ac:dyDescent="0.4">
      <c r="A2905" s="4">
        <v>1</v>
      </c>
      <c r="B2905" s="4" t="s">
        <v>239</v>
      </c>
      <c r="C2905" s="4">
        <v>4608</v>
      </c>
      <c r="D2905" s="4">
        <v>1</v>
      </c>
      <c r="E2905" s="4">
        <v>1</v>
      </c>
      <c r="F2905" s="4" t="s">
        <v>268</v>
      </c>
      <c r="G2905" s="4" t="s">
        <v>241</v>
      </c>
      <c r="H2905" s="4" t="s">
        <v>241</v>
      </c>
      <c r="I2905" s="4" t="s">
        <v>424</v>
      </c>
      <c r="J2905" s="4" t="s">
        <v>274</v>
      </c>
      <c r="K2905" s="4" t="s">
        <v>251</v>
      </c>
      <c r="L2905" s="4" t="s">
        <v>423</v>
      </c>
      <c r="M2905" s="5" t="s">
        <v>669</v>
      </c>
      <c r="N2905" s="6">
        <f>434</f>
        <v>434</v>
      </c>
      <c r="O2905" s="4" t="s">
        <v>265</v>
      </c>
      <c r="P2905" s="6">
        <f>1</f>
        <v>1</v>
      </c>
      <c r="Q2905" s="6">
        <f>0</f>
        <v>0</v>
      </c>
      <c r="S2905" s="6">
        <f>0</f>
        <v>0</v>
      </c>
      <c r="T2905" s="6">
        <f>1</f>
        <v>1</v>
      </c>
      <c r="U2905" s="5" t="s">
        <v>245</v>
      </c>
      <c r="V2905" s="4" t="s">
        <v>270</v>
      </c>
      <c r="W2905" s="4" t="s">
        <v>271</v>
      </c>
      <c r="X2905" s="4" t="s">
        <v>273</v>
      </c>
      <c r="Y2905" s="4" t="s">
        <v>241</v>
      </c>
      <c r="AB2905" s="4" t="s">
        <v>241</v>
      </c>
      <c r="AD2905" s="5" t="s">
        <v>241</v>
      </c>
      <c r="AG2905" s="5" t="s">
        <v>246</v>
      </c>
      <c r="AH2905" s="4" t="s">
        <v>241</v>
      </c>
      <c r="AI2905" s="4" t="s">
        <v>247</v>
      </c>
      <c r="AJ2905" s="4" t="s">
        <v>248</v>
      </c>
      <c r="AZ2905" s="4" t="s">
        <v>249</v>
      </c>
      <c r="BA2905" s="4" t="s">
        <v>241</v>
      </c>
      <c r="BB2905" s="4" t="s">
        <v>250</v>
      </c>
      <c r="BC2905" s="4" t="s">
        <v>241</v>
      </c>
      <c r="BD2905" s="4" t="s">
        <v>252</v>
      </c>
      <c r="BE2905" s="4" t="s">
        <v>241</v>
      </c>
      <c r="BI2905" s="4" t="s">
        <v>253</v>
      </c>
      <c r="BJ2905" s="5" t="s">
        <v>246</v>
      </c>
      <c r="BK2905" s="4" t="s">
        <v>254</v>
      </c>
      <c r="BL2905" s="4" t="s">
        <v>255</v>
      </c>
      <c r="BM2905" s="4" t="s">
        <v>241</v>
      </c>
      <c r="BN2905" s="6">
        <f>0</f>
        <v>0</v>
      </c>
      <c r="BO2905" s="6">
        <f>0</f>
        <v>0</v>
      </c>
      <c r="BP2905" s="4" t="s">
        <v>256</v>
      </c>
      <c r="BQ2905" s="4" t="s">
        <v>257</v>
      </c>
      <c r="CE2905" s="4" t="s">
        <v>241</v>
      </c>
      <c r="CF2905" s="4" t="s">
        <v>241</v>
      </c>
      <c r="CJ2905" s="4" t="s">
        <v>276</v>
      </c>
      <c r="CK2905" s="4" t="s">
        <v>259</v>
      </c>
      <c r="CL2905" s="4" t="s">
        <v>241</v>
      </c>
      <c r="CO2905" s="5" t="s">
        <v>260</v>
      </c>
      <c r="CP2905" s="4" t="s">
        <v>241</v>
      </c>
      <c r="CQ2905" s="4" t="s">
        <v>261</v>
      </c>
      <c r="CR2905" s="4" t="s">
        <v>241</v>
      </c>
      <c r="CS2905" s="4" t="s">
        <v>241</v>
      </c>
      <c r="CT2905" s="4">
        <v>0</v>
      </c>
      <c r="CU2905" s="4" t="s">
        <v>262</v>
      </c>
      <c r="CV2905" s="4" t="s">
        <v>263</v>
      </c>
      <c r="CW2905" s="4" t="s">
        <v>263</v>
      </c>
      <c r="CX2905" s="4" t="s">
        <v>264</v>
      </c>
      <c r="DA2905" s="6">
        <f>1</f>
        <v>1</v>
      </c>
      <c r="DC2905" s="4" t="s">
        <v>325</v>
      </c>
      <c r="DD2905" s="4" t="s">
        <v>241</v>
      </c>
      <c r="DF2905" s="4" t="s">
        <v>325</v>
      </c>
      <c r="DG2905" s="6">
        <f>434</f>
        <v>434</v>
      </c>
      <c r="DI2905" s="4" t="s">
        <v>241</v>
      </c>
      <c r="DJ2905" s="4" t="s">
        <v>241</v>
      </c>
      <c r="DK2905" s="4" t="s">
        <v>241</v>
      </c>
      <c r="DL2905" s="4" t="s">
        <v>241</v>
      </c>
      <c r="DP2905" s="4" t="s">
        <v>241</v>
      </c>
      <c r="DQ2905" s="4" t="s">
        <v>241</v>
      </c>
      <c r="DR2905" s="4" t="s">
        <v>241</v>
      </c>
      <c r="DS2905" s="4" t="s">
        <v>241</v>
      </c>
      <c r="DV2905" s="4" t="s">
        <v>426</v>
      </c>
      <c r="DW2905" s="4" t="s">
        <v>670</v>
      </c>
      <c r="HO2905" s="4" t="s">
        <v>267</v>
      </c>
    </row>
    <row r="2906" spans="1:223" ht="19.5" customHeight="1" x14ac:dyDescent="0.4">
      <c r="A2906" s="4">
        <v>1</v>
      </c>
      <c r="B2906" s="4" t="s">
        <v>239</v>
      </c>
      <c r="C2906" s="4">
        <v>4609</v>
      </c>
      <c r="D2906" s="4">
        <v>1</v>
      </c>
      <c r="E2906" s="4">
        <v>1</v>
      </c>
      <c r="F2906" s="4" t="s">
        <v>268</v>
      </c>
      <c r="G2906" s="4" t="s">
        <v>241</v>
      </c>
      <c r="H2906" s="4" t="s">
        <v>241</v>
      </c>
      <c r="I2906" s="4" t="s">
        <v>424</v>
      </c>
      <c r="J2906" s="4" t="s">
        <v>274</v>
      </c>
      <c r="K2906" s="4" t="s">
        <v>251</v>
      </c>
      <c r="L2906" s="4" t="s">
        <v>423</v>
      </c>
      <c r="M2906" s="5" t="s">
        <v>3934</v>
      </c>
      <c r="N2906" s="6">
        <f>259</f>
        <v>259</v>
      </c>
      <c r="O2906" s="4" t="s">
        <v>265</v>
      </c>
      <c r="P2906" s="6">
        <f>1</f>
        <v>1</v>
      </c>
      <c r="Q2906" s="6">
        <f>0</f>
        <v>0</v>
      </c>
      <c r="S2906" s="6">
        <f>0</f>
        <v>0</v>
      </c>
      <c r="T2906" s="6">
        <f>1</f>
        <v>1</v>
      </c>
      <c r="U2906" s="5" t="s">
        <v>245</v>
      </c>
      <c r="V2906" s="4" t="s">
        <v>270</v>
      </c>
      <c r="W2906" s="4" t="s">
        <v>271</v>
      </c>
      <c r="X2906" s="4" t="s">
        <v>273</v>
      </c>
      <c r="Y2906" s="4" t="s">
        <v>241</v>
      </c>
      <c r="AB2906" s="4" t="s">
        <v>241</v>
      </c>
      <c r="AD2906" s="5" t="s">
        <v>241</v>
      </c>
      <c r="AG2906" s="5" t="s">
        <v>246</v>
      </c>
      <c r="AH2906" s="4" t="s">
        <v>241</v>
      </c>
      <c r="AI2906" s="4" t="s">
        <v>247</v>
      </c>
      <c r="AJ2906" s="4" t="s">
        <v>248</v>
      </c>
      <c r="AZ2906" s="4" t="s">
        <v>249</v>
      </c>
      <c r="BA2906" s="4" t="s">
        <v>241</v>
      </c>
      <c r="BB2906" s="4" t="s">
        <v>250</v>
      </c>
      <c r="BC2906" s="4" t="s">
        <v>241</v>
      </c>
      <c r="BD2906" s="4" t="s">
        <v>252</v>
      </c>
      <c r="BE2906" s="4" t="s">
        <v>241</v>
      </c>
      <c r="BI2906" s="4" t="s">
        <v>253</v>
      </c>
      <c r="BJ2906" s="5" t="s">
        <v>246</v>
      </c>
      <c r="BK2906" s="4" t="s">
        <v>254</v>
      </c>
      <c r="BL2906" s="4" t="s">
        <v>255</v>
      </c>
      <c r="BM2906" s="4" t="s">
        <v>241</v>
      </c>
      <c r="BN2906" s="6">
        <f>0</f>
        <v>0</v>
      </c>
      <c r="BO2906" s="6">
        <f>0</f>
        <v>0</v>
      </c>
      <c r="BP2906" s="4" t="s">
        <v>256</v>
      </c>
      <c r="BQ2906" s="4" t="s">
        <v>257</v>
      </c>
      <c r="CE2906" s="4" t="s">
        <v>241</v>
      </c>
      <c r="CF2906" s="4" t="s">
        <v>241</v>
      </c>
      <c r="CJ2906" s="4" t="s">
        <v>276</v>
      </c>
      <c r="CK2906" s="4" t="s">
        <v>259</v>
      </c>
      <c r="CL2906" s="4" t="s">
        <v>241</v>
      </c>
      <c r="CO2906" s="5" t="s">
        <v>260</v>
      </c>
      <c r="CP2906" s="4" t="s">
        <v>241</v>
      </c>
      <c r="CQ2906" s="4" t="s">
        <v>261</v>
      </c>
      <c r="CR2906" s="4" t="s">
        <v>241</v>
      </c>
      <c r="CS2906" s="4" t="s">
        <v>241</v>
      </c>
      <c r="CT2906" s="4">
        <v>0</v>
      </c>
      <c r="CU2906" s="4" t="s">
        <v>262</v>
      </c>
      <c r="CV2906" s="4" t="s">
        <v>263</v>
      </c>
      <c r="CW2906" s="4" t="s">
        <v>263</v>
      </c>
      <c r="CX2906" s="4" t="s">
        <v>264</v>
      </c>
      <c r="DA2906" s="6">
        <f>1</f>
        <v>1</v>
      </c>
      <c r="DC2906" s="4" t="s">
        <v>325</v>
      </c>
      <c r="DD2906" s="4" t="s">
        <v>241</v>
      </c>
      <c r="DF2906" s="4" t="s">
        <v>325</v>
      </c>
      <c r="DG2906" s="6">
        <f>259</f>
        <v>259</v>
      </c>
      <c r="DI2906" s="4" t="s">
        <v>241</v>
      </c>
      <c r="DJ2906" s="4" t="s">
        <v>241</v>
      </c>
      <c r="DK2906" s="4" t="s">
        <v>241</v>
      </c>
      <c r="DL2906" s="4" t="s">
        <v>241</v>
      </c>
      <c r="DP2906" s="4" t="s">
        <v>241</v>
      </c>
      <c r="DQ2906" s="4" t="s">
        <v>241</v>
      </c>
      <c r="DR2906" s="4" t="s">
        <v>241</v>
      </c>
      <c r="DS2906" s="4" t="s">
        <v>241</v>
      </c>
      <c r="DV2906" s="4" t="s">
        <v>426</v>
      </c>
      <c r="DW2906" s="4" t="s">
        <v>2068</v>
      </c>
      <c r="HO2906" s="4" t="s">
        <v>267</v>
      </c>
    </row>
    <row r="2907" spans="1:223" ht="19.5" customHeight="1" x14ac:dyDescent="0.4">
      <c r="A2907" s="4">
        <v>1</v>
      </c>
      <c r="B2907" s="4" t="s">
        <v>239</v>
      </c>
      <c r="C2907" s="4">
        <v>4610</v>
      </c>
      <c r="D2907" s="4">
        <v>1</v>
      </c>
      <c r="E2907" s="4">
        <v>1</v>
      </c>
      <c r="F2907" s="4" t="s">
        <v>268</v>
      </c>
      <c r="G2907" s="4" t="s">
        <v>241</v>
      </c>
      <c r="H2907" s="4" t="s">
        <v>241</v>
      </c>
      <c r="I2907" s="4" t="s">
        <v>424</v>
      </c>
      <c r="J2907" s="4" t="s">
        <v>274</v>
      </c>
      <c r="K2907" s="4" t="s">
        <v>251</v>
      </c>
      <c r="L2907" s="4" t="s">
        <v>423</v>
      </c>
      <c r="M2907" s="5" t="s">
        <v>629</v>
      </c>
      <c r="N2907" s="6">
        <f>638</f>
        <v>638</v>
      </c>
      <c r="O2907" s="4" t="s">
        <v>265</v>
      </c>
      <c r="P2907" s="6">
        <f>1</f>
        <v>1</v>
      </c>
      <c r="Q2907" s="6">
        <f>0</f>
        <v>0</v>
      </c>
      <c r="S2907" s="6">
        <f>0</f>
        <v>0</v>
      </c>
      <c r="T2907" s="6">
        <f>1</f>
        <v>1</v>
      </c>
      <c r="U2907" s="5" t="s">
        <v>245</v>
      </c>
      <c r="V2907" s="4" t="s">
        <v>270</v>
      </c>
      <c r="W2907" s="4" t="s">
        <v>271</v>
      </c>
      <c r="X2907" s="4" t="s">
        <v>273</v>
      </c>
      <c r="Y2907" s="4" t="s">
        <v>241</v>
      </c>
      <c r="AB2907" s="4" t="s">
        <v>241</v>
      </c>
      <c r="AD2907" s="5" t="s">
        <v>241</v>
      </c>
      <c r="AG2907" s="5" t="s">
        <v>246</v>
      </c>
      <c r="AH2907" s="4" t="s">
        <v>241</v>
      </c>
      <c r="AI2907" s="4" t="s">
        <v>247</v>
      </c>
      <c r="AJ2907" s="4" t="s">
        <v>248</v>
      </c>
      <c r="AZ2907" s="4" t="s">
        <v>249</v>
      </c>
      <c r="BA2907" s="4" t="s">
        <v>241</v>
      </c>
      <c r="BB2907" s="4" t="s">
        <v>250</v>
      </c>
      <c r="BC2907" s="4" t="s">
        <v>241</v>
      </c>
      <c r="BD2907" s="4" t="s">
        <v>252</v>
      </c>
      <c r="BE2907" s="4" t="s">
        <v>241</v>
      </c>
      <c r="BI2907" s="4" t="s">
        <v>253</v>
      </c>
      <c r="BJ2907" s="5" t="s">
        <v>246</v>
      </c>
      <c r="BK2907" s="4" t="s">
        <v>254</v>
      </c>
      <c r="BL2907" s="4" t="s">
        <v>255</v>
      </c>
      <c r="BM2907" s="4" t="s">
        <v>241</v>
      </c>
      <c r="BN2907" s="6">
        <f>0</f>
        <v>0</v>
      </c>
      <c r="BO2907" s="6">
        <f>0</f>
        <v>0</v>
      </c>
      <c r="BP2907" s="4" t="s">
        <v>256</v>
      </c>
      <c r="BQ2907" s="4" t="s">
        <v>257</v>
      </c>
      <c r="CE2907" s="4" t="s">
        <v>241</v>
      </c>
      <c r="CF2907" s="4" t="s">
        <v>241</v>
      </c>
      <c r="CJ2907" s="4" t="s">
        <v>276</v>
      </c>
      <c r="CK2907" s="4" t="s">
        <v>259</v>
      </c>
      <c r="CL2907" s="4" t="s">
        <v>241</v>
      </c>
      <c r="CO2907" s="5" t="s">
        <v>260</v>
      </c>
      <c r="CP2907" s="4" t="s">
        <v>241</v>
      </c>
      <c r="CQ2907" s="4" t="s">
        <v>261</v>
      </c>
      <c r="CR2907" s="4" t="s">
        <v>241</v>
      </c>
      <c r="CS2907" s="4" t="s">
        <v>241</v>
      </c>
      <c r="CT2907" s="4">
        <v>0</v>
      </c>
      <c r="CU2907" s="4" t="s">
        <v>262</v>
      </c>
      <c r="CV2907" s="4" t="s">
        <v>263</v>
      </c>
      <c r="CW2907" s="4" t="s">
        <v>263</v>
      </c>
      <c r="CX2907" s="4" t="s">
        <v>264</v>
      </c>
      <c r="DA2907" s="6">
        <f>1</f>
        <v>1</v>
      </c>
      <c r="DC2907" s="4" t="s">
        <v>325</v>
      </c>
      <c r="DD2907" s="4" t="s">
        <v>241</v>
      </c>
      <c r="DF2907" s="4" t="s">
        <v>325</v>
      </c>
      <c r="DG2907" s="6">
        <f>638</f>
        <v>638</v>
      </c>
      <c r="DI2907" s="4" t="s">
        <v>241</v>
      </c>
      <c r="DJ2907" s="4" t="s">
        <v>241</v>
      </c>
      <c r="DK2907" s="4" t="s">
        <v>241</v>
      </c>
      <c r="DL2907" s="4" t="s">
        <v>241</v>
      </c>
      <c r="DP2907" s="4" t="s">
        <v>241</v>
      </c>
      <c r="DQ2907" s="4" t="s">
        <v>241</v>
      </c>
      <c r="DR2907" s="4" t="s">
        <v>241</v>
      </c>
      <c r="DS2907" s="4" t="s">
        <v>241</v>
      </c>
      <c r="DV2907" s="4" t="s">
        <v>426</v>
      </c>
      <c r="DW2907" s="4" t="s">
        <v>630</v>
      </c>
      <c r="HO2907" s="4" t="s">
        <v>267</v>
      </c>
    </row>
    <row r="2908" spans="1:223" ht="19.5" customHeight="1" x14ac:dyDescent="0.4">
      <c r="A2908" s="4">
        <v>1</v>
      </c>
      <c r="B2908" s="4" t="s">
        <v>239</v>
      </c>
      <c r="C2908" s="4">
        <v>4611</v>
      </c>
      <c r="D2908" s="4">
        <v>1</v>
      </c>
      <c r="E2908" s="4">
        <v>1</v>
      </c>
      <c r="F2908" s="4" t="s">
        <v>268</v>
      </c>
      <c r="G2908" s="4" t="s">
        <v>241</v>
      </c>
      <c r="H2908" s="4" t="s">
        <v>241</v>
      </c>
      <c r="I2908" s="4" t="s">
        <v>424</v>
      </c>
      <c r="J2908" s="4" t="s">
        <v>274</v>
      </c>
      <c r="K2908" s="4" t="s">
        <v>251</v>
      </c>
      <c r="L2908" s="4" t="s">
        <v>423</v>
      </c>
      <c r="M2908" s="5" t="s">
        <v>602</v>
      </c>
      <c r="N2908" s="6">
        <f>169</f>
        <v>169</v>
      </c>
      <c r="O2908" s="4" t="s">
        <v>265</v>
      </c>
      <c r="P2908" s="6">
        <f>1</f>
        <v>1</v>
      </c>
      <c r="Q2908" s="6">
        <f>0</f>
        <v>0</v>
      </c>
      <c r="S2908" s="6">
        <f>0</f>
        <v>0</v>
      </c>
      <c r="T2908" s="6">
        <f>1</f>
        <v>1</v>
      </c>
      <c r="U2908" s="5" t="s">
        <v>245</v>
      </c>
      <c r="V2908" s="4" t="s">
        <v>270</v>
      </c>
      <c r="W2908" s="4" t="s">
        <v>271</v>
      </c>
      <c r="X2908" s="4" t="s">
        <v>273</v>
      </c>
      <c r="Y2908" s="4" t="s">
        <v>241</v>
      </c>
      <c r="AB2908" s="4" t="s">
        <v>241</v>
      </c>
      <c r="AD2908" s="5" t="s">
        <v>241</v>
      </c>
      <c r="AG2908" s="5" t="s">
        <v>246</v>
      </c>
      <c r="AH2908" s="4" t="s">
        <v>241</v>
      </c>
      <c r="AI2908" s="4" t="s">
        <v>247</v>
      </c>
      <c r="AJ2908" s="4" t="s">
        <v>248</v>
      </c>
      <c r="AZ2908" s="4" t="s">
        <v>249</v>
      </c>
      <c r="BA2908" s="4" t="s">
        <v>241</v>
      </c>
      <c r="BB2908" s="4" t="s">
        <v>250</v>
      </c>
      <c r="BC2908" s="4" t="s">
        <v>241</v>
      </c>
      <c r="BD2908" s="4" t="s">
        <v>252</v>
      </c>
      <c r="BE2908" s="4" t="s">
        <v>241</v>
      </c>
      <c r="BI2908" s="4" t="s">
        <v>253</v>
      </c>
      <c r="BJ2908" s="5" t="s">
        <v>246</v>
      </c>
      <c r="BK2908" s="4" t="s">
        <v>254</v>
      </c>
      <c r="BL2908" s="4" t="s">
        <v>255</v>
      </c>
      <c r="BM2908" s="4" t="s">
        <v>241</v>
      </c>
      <c r="BN2908" s="6">
        <f>0</f>
        <v>0</v>
      </c>
      <c r="BO2908" s="6">
        <f>0</f>
        <v>0</v>
      </c>
      <c r="BP2908" s="4" t="s">
        <v>256</v>
      </c>
      <c r="BQ2908" s="4" t="s">
        <v>257</v>
      </c>
      <c r="CE2908" s="4" t="s">
        <v>241</v>
      </c>
      <c r="CF2908" s="4" t="s">
        <v>241</v>
      </c>
      <c r="CJ2908" s="4" t="s">
        <v>276</v>
      </c>
      <c r="CK2908" s="4" t="s">
        <v>259</v>
      </c>
      <c r="CL2908" s="4" t="s">
        <v>241</v>
      </c>
      <c r="CO2908" s="5" t="s">
        <v>260</v>
      </c>
      <c r="CP2908" s="4" t="s">
        <v>241</v>
      </c>
      <c r="CQ2908" s="4" t="s">
        <v>261</v>
      </c>
      <c r="CR2908" s="4" t="s">
        <v>241</v>
      </c>
      <c r="CS2908" s="4" t="s">
        <v>241</v>
      </c>
      <c r="CT2908" s="4">
        <v>0</v>
      </c>
      <c r="CU2908" s="4" t="s">
        <v>262</v>
      </c>
      <c r="CV2908" s="4" t="s">
        <v>263</v>
      </c>
      <c r="CW2908" s="4" t="s">
        <v>263</v>
      </c>
      <c r="CX2908" s="4" t="s">
        <v>264</v>
      </c>
      <c r="DA2908" s="6">
        <f>1</f>
        <v>1</v>
      </c>
      <c r="DC2908" s="4" t="s">
        <v>325</v>
      </c>
      <c r="DD2908" s="4" t="s">
        <v>241</v>
      </c>
      <c r="DF2908" s="4" t="s">
        <v>325</v>
      </c>
      <c r="DG2908" s="6">
        <f>169</f>
        <v>169</v>
      </c>
      <c r="DI2908" s="4" t="s">
        <v>241</v>
      </c>
      <c r="DJ2908" s="4" t="s">
        <v>241</v>
      </c>
      <c r="DK2908" s="4" t="s">
        <v>241</v>
      </c>
      <c r="DL2908" s="4" t="s">
        <v>241</v>
      </c>
      <c r="DP2908" s="4" t="s">
        <v>241</v>
      </c>
      <c r="DQ2908" s="4" t="s">
        <v>241</v>
      </c>
      <c r="DR2908" s="4" t="s">
        <v>241</v>
      </c>
      <c r="DS2908" s="4" t="s">
        <v>241</v>
      </c>
      <c r="DV2908" s="4" t="s">
        <v>426</v>
      </c>
      <c r="DW2908" s="4" t="s">
        <v>603</v>
      </c>
      <c r="HO2908" s="4" t="s">
        <v>267</v>
      </c>
    </row>
    <row r="2909" spans="1:223" ht="19.5" customHeight="1" x14ac:dyDescent="0.4">
      <c r="A2909" s="4">
        <v>1</v>
      </c>
      <c r="B2909" s="4" t="s">
        <v>239</v>
      </c>
      <c r="C2909" s="4">
        <v>4612</v>
      </c>
      <c r="D2909" s="4">
        <v>1</v>
      </c>
      <c r="E2909" s="4">
        <v>1</v>
      </c>
      <c r="F2909" s="4" t="s">
        <v>268</v>
      </c>
      <c r="G2909" s="4" t="s">
        <v>241</v>
      </c>
      <c r="H2909" s="4" t="s">
        <v>241</v>
      </c>
      <c r="I2909" s="4" t="s">
        <v>424</v>
      </c>
      <c r="J2909" s="4" t="s">
        <v>274</v>
      </c>
      <c r="K2909" s="4" t="s">
        <v>251</v>
      </c>
      <c r="L2909" s="4" t="s">
        <v>423</v>
      </c>
      <c r="M2909" s="5" t="s">
        <v>574</v>
      </c>
      <c r="N2909" s="6">
        <f>334</f>
        <v>334</v>
      </c>
      <c r="O2909" s="4" t="s">
        <v>265</v>
      </c>
      <c r="P2909" s="6">
        <f>1</f>
        <v>1</v>
      </c>
      <c r="Q2909" s="6">
        <f>0</f>
        <v>0</v>
      </c>
      <c r="S2909" s="6">
        <f>0</f>
        <v>0</v>
      </c>
      <c r="T2909" s="6">
        <f>1</f>
        <v>1</v>
      </c>
      <c r="U2909" s="5" t="s">
        <v>245</v>
      </c>
      <c r="V2909" s="4" t="s">
        <v>270</v>
      </c>
      <c r="W2909" s="4" t="s">
        <v>271</v>
      </c>
      <c r="X2909" s="4" t="s">
        <v>273</v>
      </c>
      <c r="Y2909" s="4" t="s">
        <v>241</v>
      </c>
      <c r="AB2909" s="4" t="s">
        <v>241</v>
      </c>
      <c r="AD2909" s="5" t="s">
        <v>241</v>
      </c>
      <c r="AG2909" s="5" t="s">
        <v>246</v>
      </c>
      <c r="AH2909" s="4" t="s">
        <v>241</v>
      </c>
      <c r="AI2909" s="4" t="s">
        <v>247</v>
      </c>
      <c r="AJ2909" s="4" t="s">
        <v>248</v>
      </c>
      <c r="AZ2909" s="4" t="s">
        <v>249</v>
      </c>
      <c r="BA2909" s="4" t="s">
        <v>241</v>
      </c>
      <c r="BB2909" s="4" t="s">
        <v>250</v>
      </c>
      <c r="BC2909" s="4" t="s">
        <v>241</v>
      </c>
      <c r="BD2909" s="4" t="s">
        <v>252</v>
      </c>
      <c r="BE2909" s="4" t="s">
        <v>241</v>
      </c>
      <c r="BI2909" s="4" t="s">
        <v>253</v>
      </c>
      <c r="BJ2909" s="5" t="s">
        <v>246</v>
      </c>
      <c r="BK2909" s="4" t="s">
        <v>254</v>
      </c>
      <c r="BL2909" s="4" t="s">
        <v>255</v>
      </c>
      <c r="BM2909" s="4" t="s">
        <v>241</v>
      </c>
      <c r="BN2909" s="6">
        <f>0</f>
        <v>0</v>
      </c>
      <c r="BO2909" s="6">
        <f>0</f>
        <v>0</v>
      </c>
      <c r="BP2909" s="4" t="s">
        <v>256</v>
      </c>
      <c r="BQ2909" s="4" t="s">
        <v>257</v>
      </c>
      <c r="CE2909" s="4" t="s">
        <v>241</v>
      </c>
      <c r="CF2909" s="4" t="s">
        <v>241</v>
      </c>
      <c r="CJ2909" s="4" t="s">
        <v>276</v>
      </c>
      <c r="CK2909" s="4" t="s">
        <v>259</v>
      </c>
      <c r="CL2909" s="4" t="s">
        <v>241</v>
      </c>
      <c r="CO2909" s="5" t="s">
        <v>260</v>
      </c>
      <c r="CP2909" s="4" t="s">
        <v>241</v>
      </c>
      <c r="CQ2909" s="4" t="s">
        <v>261</v>
      </c>
      <c r="CR2909" s="4" t="s">
        <v>241</v>
      </c>
      <c r="CS2909" s="4" t="s">
        <v>241</v>
      </c>
      <c r="CT2909" s="4">
        <v>0</v>
      </c>
      <c r="CU2909" s="4" t="s">
        <v>262</v>
      </c>
      <c r="CV2909" s="4" t="s">
        <v>263</v>
      </c>
      <c r="CW2909" s="4" t="s">
        <v>263</v>
      </c>
      <c r="CX2909" s="4" t="s">
        <v>264</v>
      </c>
      <c r="DA2909" s="6">
        <f>1</f>
        <v>1</v>
      </c>
      <c r="DC2909" s="4" t="s">
        <v>325</v>
      </c>
      <c r="DD2909" s="4" t="s">
        <v>241</v>
      </c>
      <c r="DF2909" s="4" t="s">
        <v>325</v>
      </c>
      <c r="DG2909" s="6">
        <f>334</f>
        <v>334</v>
      </c>
      <c r="DI2909" s="4" t="s">
        <v>241</v>
      </c>
      <c r="DJ2909" s="4" t="s">
        <v>241</v>
      </c>
      <c r="DK2909" s="4" t="s">
        <v>241</v>
      </c>
      <c r="DL2909" s="4" t="s">
        <v>241</v>
      </c>
      <c r="DP2909" s="4" t="s">
        <v>241</v>
      </c>
      <c r="DQ2909" s="4" t="s">
        <v>241</v>
      </c>
      <c r="DR2909" s="4" t="s">
        <v>241</v>
      </c>
      <c r="DS2909" s="4" t="s">
        <v>241</v>
      </c>
      <c r="DV2909" s="4" t="s">
        <v>426</v>
      </c>
      <c r="DW2909" s="4" t="s">
        <v>575</v>
      </c>
      <c r="HO2909" s="4" t="s">
        <v>267</v>
      </c>
    </row>
    <row r="2910" spans="1:223" ht="19.5" customHeight="1" x14ac:dyDescent="0.4">
      <c r="A2910" s="4">
        <v>1</v>
      </c>
      <c r="B2910" s="4" t="s">
        <v>239</v>
      </c>
      <c r="C2910" s="4">
        <v>4613</v>
      </c>
      <c r="D2910" s="4">
        <v>1</v>
      </c>
      <c r="E2910" s="4">
        <v>1</v>
      </c>
      <c r="F2910" s="4" t="s">
        <v>268</v>
      </c>
      <c r="G2910" s="4" t="s">
        <v>241</v>
      </c>
      <c r="H2910" s="4" t="s">
        <v>241</v>
      </c>
      <c r="I2910" s="4" t="s">
        <v>424</v>
      </c>
      <c r="J2910" s="4" t="s">
        <v>274</v>
      </c>
      <c r="K2910" s="4" t="s">
        <v>251</v>
      </c>
      <c r="L2910" s="4" t="s">
        <v>423</v>
      </c>
      <c r="M2910" s="5" t="s">
        <v>542</v>
      </c>
      <c r="N2910" s="6">
        <f>474</f>
        <v>474</v>
      </c>
      <c r="O2910" s="4" t="s">
        <v>265</v>
      </c>
      <c r="P2910" s="6">
        <f>1</f>
        <v>1</v>
      </c>
      <c r="Q2910" s="6">
        <f>0</f>
        <v>0</v>
      </c>
      <c r="S2910" s="6">
        <f>0</f>
        <v>0</v>
      </c>
      <c r="T2910" s="6">
        <f>1</f>
        <v>1</v>
      </c>
      <c r="U2910" s="5" t="s">
        <v>245</v>
      </c>
      <c r="V2910" s="4" t="s">
        <v>270</v>
      </c>
      <c r="W2910" s="4" t="s">
        <v>271</v>
      </c>
      <c r="X2910" s="4" t="s">
        <v>273</v>
      </c>
      <c r="Y2910" s="4" t="s">
        <v>241</v>
      </c>
      <c r="AB2910" s="4" t="s">
        <v>241</v>
      </c>
      <c r="AD2910" s="5" t="s">
        <v>241</v>
      </c>
      <c r="AG2910" s="5" t="s">
        <v>246</v>
      </c>
      <c r="AH2910" s="4" t="s">
        <v>241</v>
      </c>
      <c r="AI2910" s="4" t="s">
        <v>247</v>
      </c>
      <c r="AJ2910" s="4" t="s">
        <v>248</v>
      </c>
      <c r="AZ2910" s="4" t="s">
        <v>249</v>
      </c>
      <c r="BA2910" s="4" t="s">
        <v>241</v>
      </c>
      <c r="BB2910" s="4" t="s">
        <v>250</v>
      </c>
      <c r="BC2910" s="4" t="s">
        <v>241</v>
      </c>
      <c r="BD2910" s="4" t="s">
        <v>252</v>
      </c>
      <c r="BE2910" s="4" t="s">
        <v>241</v>
      </c>
      <c r="BI2910" s="4" t="s">
        <v>253</v>
      </c>
      <c r="BJ2910" s="5" t="s">
        <v>246</v>
      </c>
      <c r="BK2910" s="4" t="s">
        <v>254</v>
      </c>
      <c r="BL2910" s="4" t="s">
        <v>255</v>
      </c>
      <c r="BM2910" s="4" t="s">
        <v>241</v>
      </c>
      <c r="BN2910" s="6">
        <f>0</f>
        <v>0</v>
      </c>
      <c r="BO2910" s="6">
        <f>0</f>
        <v>0</v>
      </c>
      <c r="BP2910" s="4" t="s">
        <v>256</v>
      </c>
      <c r="BQ2910" s="4" t="s">
        <v>257</v>
      </c>
      <c r="CE2910" s="4" t="s">
        <v>241</v>
      </c>
      <c r="CF2910" s="4" t="s">
        <v>241</v>
      </c>
      <c r="CJ2910" s="4" t="s">
        <v>276</v>
      </c>
      <c r="CK2910" s="4" t="s">
        <v>259</v>
      </c>
      <c r="CL2910" s="4" t="s">
        <v>241</v>
      </c>
      <c r="CO2910" s="5" t="s">
        <v>260</v>
      </c>
      <c r="CP2910" s="4" t="s">
        <v>241</v>
      </c>
      <c r="CQ2910" s="4" t="s">
        <v>261</v>
      </c>
      <c r="CR2910" s="4" t="s">
        <v>241</v>
      </c>
      <c r="CS2910" s="4" t="s">
        <v>241</v>
      </c>
      <c r="CT2910" s="4">
        <v>0</v>
      </c>
      <c r="CU2910" s="4" t="s">
        <v>262</v>
      </c>
      <c r="CV2910" s="4" t="s">
        <v>263</v>
      </c>
      <c r="CW2910" s="4" t="s">
        <v>263</v>
      </c>
      <c r="CX2910" s="4" t="s">
        <v>264</v>
      </c>
      <c r="DA2910" s="6">
        <f>1</f>
        <v>1</v>
      </c>
      <c r="DC2910" s="4" t="s">
        <v>325</v>
      </c>
      <c r="DD2910" s="4" t="s">
        <v>241</v>
      </c>
      <c r="DF2910" s="4" t="s">
        <v>325</v>
      </c>
      <c r="DG2910" s="6">
        <f>474</f>
        <v>474</v>
      </c>
      <c r="DI2910" s="4" t="s">
        <v>241</v>
      </c>
      <c r="DJ2910" s="4" t="s">
        <v>241</v>
      </c>
      <c r="DK2910" s="4" t="s">
        <v>241</v>
      </c>
      <c r="DL2910" s="4" t="s">
        <v>241</v>
      </c>
      <c r="DP2910" s="4" t="s">
        <v>241</v>
      </c>
      <c r="DQ2910" s="4" t="s">
        <v>241</v>
      </c>
      <c r="DR2910" s="4" t="s">
        <v>241</v>
      </c>
      <c r="DS2910" s="4" t="s">
        <v>241</v>
      </c>
      <c r="DV2910" s="4" t="s">
        <v>426</v>
      </c>
      <c r="DW2910" s="4" t="s">
        <v>543</v>
      </c>
      <c r="HO2910" s="4" t="s">
        <v>267</v>
      </c>
    </row>
    <row r="2911" spans="1:223" ht="19.5" customHeight="1" x14ac:dyDescent="0.4">
      <c r="A2911" s="4">
        <v>1</v>
      </c>
      <c r="B2911" s="4" t="s">
        <v>239</v>
      </c>
      <c r="C2911" s="4">
        <v>4614</v>
      </c>
      <c r="D2911" s="4">
        <v>1</v>
      </c>
      <c r="E2911" s="4">
        <v>1</v>
      </c>
      <c r="F2911" s="4" t="s">
        <v>268</v>
      </c>
      <c r="G2911" s="4" t="s">
        <v>241</v>
      </c>
      <c r="H2911" s="4" t="s">
        <v>241</v>
      </c>
      <c r="I2911" s="4" t="s">
        <v>424</v>
      </c>
      <c r="J2911" s="4" t="s">
        <v>274</v>
      </c>
      <c r="K2911" s="4" t="s">
        <v>251</v>
      </c>
      <c r="L2911" s="4" t="s">
        <v>423</v>
      </c>
      <c r="M2911" s="5" t="s">
        <v>471</v>
      </c>
      <c r="N2911" s="6">
        <f>2290</f>
        <v>2290</v>
      </c>
      <c r="O2911" s="4" t="s">
        <v>265</v>
      </c>
      <c r="P2911" s="6">
        <f>1</f>
        <v>1</v>
      </c>
      <c r="Q2911" s="6">
        <f>0</f>
        <v>0</v>
      </c>
      <c r="S2911" s="6">
        <f>0</f>
        <v>0</v>
      </c>
      <c r="T2911" s="6">
        <f>1</f>
        <v>1</v>
      </c>
      <c r="U2911" s="5" t="s">
        <v>245</v>
      </c>
      <c r="V2911" s="4" t="s">
        <v>270</v>
      </c>
      <c r="W2911" s="4" t="s">
        <v>271</v>
      </c>
      <c r="X2911" s="4" t="s">
        <v>273</v>
      </c>
      <c r="Y2911" s="4" t="s">
        <v>241</v>
      </c>
      <c r="AB2911" s="4" t="s">
        <v>241</v>
      </c>
      <c r="AD2911" s="5" t="s">
        <v>241</v>
      </c>
      <c r="AG2911" s="5" t="s">
        <v>246</v>
      </c>
      <c r="AH2911" s="4" t="s">
        <v>241</v>
      </c>
      <c r="AI2911" s="4" t="s">
        <v>247</v>
      </c>
      <c r="AJ2911" s="4" t="s">
        <v>248</v>
      </c>
      <c r="AZ2911" s="4" t="s">
        <v>249</v>
      </c>
      <c r="BA2911" s="4" t="s">
        <v>241</v>
      </c>
      <c r="BB2911" s="4" t="s">
        <v>250</v>
      </c>
      <c r="BC2911" s="4" t="s">
        <v>241</v>
      </c>
      <c r="BD2911" s="4" t="s">
        <v>252</v>
      </c>
      <c r="BE2911" s="4" t="s">
        <v>241</v>
      </c>
      <c r="BI2911" s="4" t="s">
        <v>253</v>
      </c>
      <c r="BJ2911" s="5" t="s">
        <v>246</v>
      </c>
      <c r="BK2911" s="4" t="s">
        <v>254</v>
      </c>
      <c r="BL2911" s="4" t="s">
        <v>255</v>
      </c>
      <c r="BM2911" s="4" t="s">
        <v>241</v>
      </c>
      <c r="BN2911" s="6">
        <f>0</f>
        <v>0</v>
      </c>
      <c r="BO2911" s="6">
        <f>0</f>
        <v>0</v>
      </c>
      <c r="BP2911" s="4" t="s">
        <v>256</v>
      </c>
      <c r="BQ2911" s="4" t="s">
        <v>257</v>
      </c>
      <c r="CE2911" s="4" t="s">
        <v>241</v>
      </c>
      <c r="CF2911" s="4" t="s">
        <v>241</v>
      </c>
      <c r="CJ2911" s="4" t="s">
        <v>276</v>
      </c>
      <c r="CK2911" s="4" t="s">
        <v>259</v>
      </c>
      <c r="CL2911" s="4" t="s">
        <v>241</v>
      </c>
      <c r="CO2911" s="5" t="s">
        <v>260</v>
      </c>
      <c r="CP2911" s="4" t="s">
        <v>241</v>
      </c>
      <c r="CQ2911" s="4" t="s">
        <v>261</v>
      </c>
      <c r="CR2911" s="4" t="s">
        <v>241</v>
      </c>
      <c r="CS2911" s="4" t="s">
        <v>241</v>
      </c>
      <c r="CT2911" s="4">
        <v>0</v>
      </c>
      <c r="CU2911" s="4" t="s">
        <v>262</v>
      </c>
      <c r="CV2911" s="4" t="s">
        <v>263</v>
      </c>
      <c r="CW2911" s="4" t="s">
        <v>263</v>
      </c>
      <c r="CX2911" s="4" t="s">
        <v>264</v>
      </c>
      <c r="DA2911" s="6">
        <f>1</f>
        <v>1</v>
      </c>
      <c r="DC2911" s="4" t="s">
        <v>325</v>
      </c>
      <c r="DD2911" s="4" t="s">
        <v>241</v>
      </c>
      <c r="DF2911" s="4" t="s">
        <v>325</v>
      </c>
      <c r="DG2911" s="6">
        <f>2290</f>
        <v>2290</v>
      </c>
      <c r="DI2911" s="4" t="s">
        <v>241</v>
      </c>
      <c r="DJ2911" s="4" t="s">
        <v>241</v>
      </c>
      <c r="DK2911" s="4" t="s">
        <v>241</v>
      </c>
      <c r="DL2911" s="4" t="s">
        <v>241</v>
      </c>
      <c r="DP2911" s="4" t="s">
        <v>241</v>
      </c>
      <c r="DQ2911" s="4" t="s">
        <v>241</v>
      </c>
      <c r="DR2911" s="4" t="s">
        <v>241</v>
      </c>
      <c r="DS2911" s="4" t="s">
        <v>241</v>
      </c>
      <c r="DV2911" s="4" t="s">
        <v>426</v>
      </c>
      <c r="DW2911" s="4" t="s">
        <v>472</v>
      </c>
      <c r="HO2911" s="4" t="s">
        <v>267</v>
      </c>
    </row>
    <row r="2912" spans="1:223" ht="19.5" customHeight="1" x14ac:dyDescent="0.4">
      <c r="A2912" s="4">
        <v>1</v>
      </c>
      <c r="B2912" s="4" t="s">
        <v>239</v>
      </c>
      <c r="C2912" s="4">
        <v>4615</v>
      </c>
      <c r="D2912" s="4">
        <v>1</v>
      </c>
      <c r="E2912" s="4">
        <v>1</v>
      </c>
      <c r="F2912" s="4" t="s">
        <v>268</v>
      </c>
      <c r="G2912" s="4" t="s">
        <v>241</v>
      </c>
      <c r="H2912" s="4" t="s">
        <v>241</v>
      </c>
      <c r="I2912" s="4" t="s">
        <v>424</v>
      </c>
      <c r="J2912" s="4" t="s">
        <v>274</v>
      </c>
      <c r="K2912" s="4" t="s">
        <v>251</v>
      </c>
      <c r="L2912" s="4" t="s">
        <v>423</v>
      </c>
      <c r="M2912" s="5" t="s">
        <v>481</v>
      </c>
      <c r="N2912" s="6">
        <f>1917</f>
        <v>1917</v>
      </c>
      <c r="O2912" s="4" t="s">
        <v>265</v>
      </c>
      <c r="P2912" s="6">
        <f>1</f>
        <v>1</v>
      </c>
      <c r="Q2912" s="6">
        <f>0</f>
        <v>0</v>
      </c>
      <c r="S2912" s="6">
        <f>0</f>
        <v>0</v>
      </c>
      <c r="T2912" s="6">
        <f>1</f>
        <v>1</v>
      </c>
      <c r="U2912" s="5" t="s">
        <v>245</v>
      </c>
      <c r="V2912" s="4" t="s">
        <v>270</v>
      </c>
      <c r="W2912" s="4" t="s">
        <v>271</v>
      </c>
      <c r="X2912" s="4" t="s">
        <v>273</v>
      </c>
      <c r="Y2912" s="4" t="s">
        <v>241</v>
      </c>
      <c r="AB2912" s="4" t="s">
        <v>241</v>
      </c>
      <c r="AD2912" s="5" t="s">
        <v>241</v>
      </c>
      <c r="AG2912" s="5" t="s">
        <v>246</v>
      </c>
      <c r="AH2912" s="4" t="s">
        <v>241</v>
      </c>
      <c r="AI2912" s="4" t="s">
        <v>247</v>
      </c>
      <c r="AJ2912" s="4" t="s">
        <v>248</v>
      </c>
      <c r="AZ2912" s="4" t="s">
        <v>249</v>
      </c>
      <c r="BA2912" s="4" t="s">
        <v>241</v>
      </c>
      <c r="BB2912" s="4" t="s">
        <v>250</v>
      </c>
      <c r="BC2912" s="4" t="s">
        <v>241</v>
      </c>
      <c r="BD2912" s="4" t="s">
        <v>252</v>
      </c>
      <c r="BE2912" s="4" t="s">
        <v>241</v>
      </c>
      <c r="BI2912" s="4" t="s">
        <v>253</v>
      </c>
      <c r="BJ2912" s="5" t="s">
        <v>246</v>
      </c>
      <c r="BK2912" s="4" t="s">
        <v>254</v>
      </c>
      <c r="BL2912" s="4" t="s">
        <v>255</v>
      </c>
      <c r="BM2912" s="4" t="s">
        <v>241</v>
      </c>
      <c r="BN2912" s="6">
        <f>0</f>
        <v>0</v>
      </c>
      <c r="BO2912" s="6">
        <f>0</f>
        <v>0</v>
      </c>
      <c r="BP2912" s="4" t="s">
        <v>256</v>
      </c>
      <c r="BQ2912" s="4" t="s">
        <v>257</v>
      </c>
      <c r="CE2912" s="4" t="s">
        <v>241</v>
      </c>
      <c r="CF2912" s="4" t="s">
        <v>241</v>
      </c>
      <c r="CJ2912" s="4" t="s">
        <v>276</v>
      </c>
      <c r="CK2912" s="4" t="s">
        <v>259</v>
      </c>
      <c r="CL2912" s="4" t="s">
        <v>241</v>
      </c>
      <c r="CO2912" s="5" t="s">
        <v>260</v>
      </c>
      <c r="CP2912" s="4" t="s">
        <v>241</v>
      </c>
      <c r="CQ2912" s="4" t="s">
        <v>261</v>
      </c>
      <c r="CR2912" s="4" t="s">
        <v>241</v>
      </c>
      <c r="CS2912" s="4" t="s">
        <v>241</v>
      </c>
      <c r="CT2912" s="4">
        <v>0</v>
      </c>
      <c r="CU2912" s="4" t="s">
        <v>262</v>
      </c>
      <c r="CV2912" s="4" t="s">
        <v>263</v>
      </c>
      <c r="CW2912" s="4" t="s">
        <v>263</v>
      </c>
      <c r="CX2912" s="4" t="s">
        <v>264</v>
      </c>
      <c r="DA2912" s="6">
        <f>1</f>
        <v>1</v>
      </c>
      <c r="DC2912" s="4" t="s">
        <v>325</v>
      </c>
      <c r="DD2912" s="4" t="s">
        <v>241</v>
      </c>
      <c r="DF2912" s="4" t="s">
        <v>325</v>
      </c>
      <c r="DG2912" s="6">
        <f>1917</f>
        <v>1917</v>
      </c>
      <c r="DI2912" s="4" t="s">
        <v>241</v>
      </c>
      <c r="DJ2912" s="4" t="s">
        <v>241</v>
      </c>
      <c r="DK2912" s="4" t="s">
        <v>241</v>
      </c>
      <c r="DL2912" s="4" t="s">
        <v>241</v>
      </c>
      <c r="DP2912" s="4" t="s">
        <v>241</v>
      </c>
      <c r="DQ2912" s="4" t="s">
        <v>241</v>
      </c>
      <c r="DR2912" s="4" t="s">
        <v>241</v>
      </c>
      <c r="DS2912" s="4" t="s">
        <v>241</v>
      </c>
      <c r="DV2912" s="4" t="s">
        <v>426</v>
      </c>
      <c r="DW2912" s="4" t="s">
        <v>482</v>
      </c>
      <c r="HO2912" s="4" t="s">
        <v>267</v>
      </c>
    </row>
    <row r="2913" spans="1:223" ht="19.5" customHeight="1" x14ac:dyDescent="0.4">
      <c r="A2913" s="4">
        <v>1</v>
      </c>
      <c r="B2913" s="4" t="s">
        <v>239</v>
      </c>
      <c r="C2913" s="4">
        <v>4616</v>
      </c>
      <c r="D2913" s="4">
        <v>1</v>
      </c>
      <c r="E2913" s="4">
        <v>1</v>
      </c>
      <c r="F2913" s="4" t="s">
        <v>268</v>
      </c>
      <c r="G2913" s="4" t="s">
        <v>241</v>
      </c>
      <c r="H2913" s="4" t="s">
        <v>241</v>
      </c>
      <c r="I2913" s="4" t="s">
        <v>424</v>
      </c>
      <c r="J2913" s="4" t="s">
        <v>274</v>
      </c>
      <c r="K2913" s="4" t="s">
        <v>251</v>
      </c>
      <c r="L2913" s="4" t="s">
        <v>423</v>
      </c>
      <c r="M2913" s="5" t="s">
        <v>453</v>
      </c>
      <c r="N2913" s="6">
        <f>1512</f>
        <v>1512</v>
      </c>
      <c r="O2913" s="4" t="s">
        <v>265</v>
      </c>
      <c r="P2913" s="6">
        <f>1</f>
        <v>1</v>
      </c>
      <c r="Q2913" s="6">
        <f>0</f>
        <v>0</v>
      </c>
      <c r="S2913" s="6">
        <f>0</f>
        <v>0</v>
      </c>
      <c r="T2913" s="6">
        <f>1</f>
        <v>1</v>
      </c>
      <c r="U2913" s="5" t="s">
        <v>245</v>
      </c>
      <c r="V2913" s="4" t="s">
        <v>270</v>
      </c>
      <c r="W2913" s="4" t="s">
        <v>271</v>
      </c>
      <c r="X2913" s="4" t="s">
        <v>273</v>
      </c>
      <c r="Y2913" s="4" t="s">
        <v>241</v>
      </c>
      <c r="AB2913" s="4" t="s">
        <v>241</v>
      </c>
      <c r="AD2913" s="5" t="s">
        <v>241</v>
      </c>
      <c r="AG2913" s="5" t="s">
        <v>246</v>
      </c>
      <c r="AH2913" s="4" t="s">
        <v>241</v>
      </c>
      <c r="AI2913" s="4" t="s">
        <v>247</v>
      </c>
      <c r="AJ2913" s="4" t="s">
        <v>248</v>
      </c>
      <c r="AZ2913" s="4" t="s">
        <v>249</v>
      </c>
      <c r="BA2913" s="4" t="s">
        <v>241</v>
      </c>
      <c r="BB2913" s="4" t="s">
        <v>250</v>
      </c>
      <c r="BC2913" s="4" t="s">
        <v>241</v>
      </c>
      <c r="BD2913" s="4" t="s">
        <v>252</v>
      </c>
      <c r="BE2913" s="4" t="s">
        <v>241</v>
      </c>
      <c r="BI2913" s="4" t="s">
        <v>253</v>
      </c>
      <c r="BJ2913" s="5" t="s">
        <v>246</v>
      </c>
      <c r="BK2913" s="4" t="s">
        <v>254</v>
      </c>
      <c r="BL2913" s="4" t="s">
        <v>255</v>
      </c>
      <c r="BM2913" s="4" t="s">
        <v>241</v>
      </c>
      <c r="BN2913" s="6">
        <f>0</f>
        <v>0</v>
      </c>
      <c r="BO2913" s="6">
        <f>0</f>
        <v>0</v>
      </c>
      <c r="BP2913" s="4" t="s">
        <v>256</v>
      </c>
      <c r="BQ2913" s="4" t="s">
        <v>257</v>
      </c>
      <c r="CE2913" s="4" t="s">
        <v>241</v>
      </c>
      <c r="CF2913" s="4" t="s">
        <v>241</v>
      </c>
      <c r="CJ2913" s="4" t="s">
        <v>276</v>
      </c>
      <c r="CK2913" s="4" t="s">
        <v>259</v>
      </c>
      <c r="CL2913" s="4" t="s">
        <v>241</v>
      </c>
      <c r="CO2913" s="5" t="s">
        <v>260</v>
      </c>
      <c r="CP2913" s="4" t="s">
        <v>241</v>
      </c>
      <c r="CQ2913" s="4" t="s">
        <v>261</v>
      </c>
      <c r="CR2913" s="4" t="s">
        <v>241</v>
      </c>
      <c r="CS2913" s="4" t="s">
        <v>241</v>
      </c>
      <c r="CT2913" s="4">
        <v>0</v>
      </c>
      <c r="CU2913" s="4" t="s">
        <v>262</v>
      </c>
      <c r="CV2913" s="4" t="s">
        <v>263</v>
      </c>
      <c r="CW2913" s="4" t="s">
        <v>263</v>
      </c>
      <c r="CX2913" s="4" t="s">
        <v>264</v>
      </c>
      <c r="DA2913" s="6">
        <f>1</f>
        <v>1</v>
      </c>
      <c r="DC2913" s="4" t="s">
        <v>325</v>
      </c>
      <c r="DD2913" s="4" t="s">
        <v>241</v>
      </c>
      <c r="DF2913" s="4" t="s">
        <v>325</v>
      </c>
      <c r="DG2913" s="6">
        <f>1512</f>
        <v>1512</v>
      </c>
      <c r="DI2913" s="4" t="s">
        <v>241</v>
      </c>
      <c r="DJ2913" s="4" t="s">
        <v>241</v>
      </c>
      <c r="DK2913" s="4" t="s">
        <v>241</v>
      </c>
      <c r="DL2913" s="4" t="s">
        <v>241</v>
      </c>
      <c r="DP2913" s="4" t="s">
        <v>241</v>
      </c>
      <c r="DQ2913" s="4" t="s">
        <v>241</v>
      </c>
      <c r="DR2913" s="4" t="s">
        <v>241</v>
      </c>
      <c r="DS2913" s="4" t="s">
        <v>241</v>
      </c>
      <c r="DV2913" s="4" t="s">
        <v>426</v>
      </c>
      <c r="DW2913" s="4" t="s">
        <v>454</v>
      </c>
      <c r="HO2913" s="4" t="s">
        <v>267</v>
      </c>
    </row>
    <row r="2914" spans="1:223" ht="19.5" customHeight="1" x14ac:dyDescent="0.4">
      <c r="A2914" s="4">
        <v>1</v>
      </c>
      <c r="B2914" s="4" t="s">
        <v>239</v>
      </c>
      <c r="C2914" s="4">
        <v>4617</v>
      </c>
      <c r="D2914" s="4">
        <v>1</v>
      </c>
      <c r="E2914" s="4">
        <v>1</v>
      </c>
      <c r="F2914" s="4" t="s">
        <v>268</v>
      </c>
      <c r="G2914" s="4" t="s">
        <v>241</v>
      </c>
      <c r="H2914" s="4" t="s">
        <v>241</v>
      </c>
      <c r="I2914" s="4" t="s">
        <v>424</v>
      </c>
      <c r="J2914" s="4" t="s">
        <v>274</v>
      </c>
      <c r="K2914" s="4" t="s">
        <v>251</v>
      </c>
      <c r="L2914" s="4" t="s">
        <v>423</v>
      </c>
      <c r="M2914" s="5" t="s">
        <v>4211</v>
      </c>
      <c r="N2914" s="6">
        <f>1410</f>
        <v>1410</v>
      </c>
      <c r="O2914" s="4" t="s">
        <v>265</v>
      </c>
      <c r="P2914" s="6">
        <f>1</f>
        <v>1</v>
      </c>
      <c r="Q2914" s="6">
        <f>0</f>
        <v>0</v>
      </c>
      <c r="S2914" s="6">
        <f>0</f>
        <v>0</v>
      </c>
      <c r="T2914" s="6">
        <f>1</f>
        <v>1</v>
      </c>
      <c r="U2914" s="5" t="s">
        <v>245</v>
      </c>
      <c r="V2914" s="4" t="s">
        <v>270</v>
      </c>
      <c r="W2914" s="4" t="s">
        <v>271</v>
      </c>
      <c r="X2914" s="4" t="s">
        <v>273</v>
      </c>
      <c r="Y2914" s="4" t="s">
        <v>241</v>
      </c>
      <c r="AB2914" s="4" t="s">
        <v>241</v>
      </c>
      <c r="AD2914" s="5" t="s">
        <v>241</v>
      </c>
      <c r="AG2914" s="5" t="s">
        <v>246</v>
      </c>
      <c r="AH2914" s="4" t="s">
        <v>241</v>
      </c>
      <c r="AI2914" s="4" t="s">
        <v>247</v>
      </c>
      <c r="AJ2914" s="4" t="s">
        <v>248</v>
      </c>
      <c r="AZ2914" s="4" t="s">
        <v>249</v>
      </c>
      <c r="BA2914" s="4" t="s">
        <v>241</v>
      </c>
      <c r="BB2914" s="4" t="s">
        <v>250</v>
      </c>
      <c r="BC2914" s="4" t="s">
        <v>241</v>
      </c>
      <c r="BD2914" s="4" t="s">
        <v>252</v>
      </c>
      <c r="BE2914" s="4" t="s">
        <v>241</v>
      </c>
      <c r="BI2914" s="4" t="s">
        <v>253</v>
      </c>
      <c r="BJ2914" s="5" t="s">
        <v>246</v>
      </c>
      <c r="BK2914" s="4" t="s">
        <v>254</v>
      </c>
      <c r="BL2914" s="4" t="s">
        <v>255</v>
      </c>
      <c r="BM2914" s="4" t="s">
        <v>241</v>
      </c>
      <c r="BN2914" s="6">
        <f>0</f>
        <v>0</v>
      </c>
      <c r="BO2914" s="6">
        <f>0</f>
        <v>0</v>
      </c>
      <c r="BP2914" s="4" t="s">
        <v>256</v>
      </c>
      <c r="BQ2914" s="4" t="s">
        <v>257</v>
      </c>
      <c r="CE2914" s="4" t="s">
        <v>241</v>
      </c>
      <c r="CF2914" s="4" t="s">
        <v>241</v>
      </c>
      <c r="CJ2914" s="4" t="s">
        <v>276</v>
      </c>
      <c r="CK2914" s="4" t="s">
        <v>259</v>
      </c>
      <c r="CL2914" s="4" t="s">
        <v>241</v>
      </c>
      <c r="CO2914" s="5" t="s">
        <v>260</v>
      </c>
      <c r="CP2914" s="4" t="s">
        <v>241</v>
      </c>
      <c r="CQ2914" s="4" t="s">
        <v>261</v>
      </c>
      <c r="CR2914" s="4" t="s">
        <v>241</v>
      </c>
      <c r="CS2914" s="4" t="s">
        <v>241</v>
      </c>
      <c r="CT2914" s="4">
        <v>0</v>
      </c>
      <c r="CU2914" s="4" t="s">
        <v>262</v>
      </c>
      <c r="CV2914" s="4" t="s">
        <v>263</v>
      </c>
      <c r="CW2914" s="4" t="s">
        <v>263</v>
      </c>
      <c r="CX2914" s="4" t="s">
        <v>264</v>
      </c>
      <c r="DA2914" s="6">
        <f>1</f>
        <v>1</v>
      </c>
      <c r="DC2914" s="4" t="s">
        <v>325</v>
      </c>
      <c r="DD2914" s="4" t="s">
        <v>241</v>
      </c>
      <c r="DF2914" s="4" t="s">
        <v>325</v>
      </c>
      <c r="DG2914" s="6">
        <f>1410</f>
        <v>1410</v>
      </c>
      <c r="DI2914" s="4" t="s">
        <v>241</v>
      </c>
      <c r="DJ2914" s="4" t="s">
        <v>241</v>
      </c>
      <c r="DK2914" s="4" t="s">
        <v>241</v>
      </c>
      <c r="DL2914" s="4" t="s">
        <v>241</v>
      </c>
      <c r="DP2914" s="4" t="s">
        <v>241</v>
      </c>
      <c r="DQ2914" s="4" t="s">
        <v>241</v>
      </c>
      <c r="DR2914" s="4" t="s">
        <v>241</v>
      </c>
      <c r="DS2914" s="4" t="s">
        <v>241</v>
      </c>
      <c r="DV2914" s="4" t="s">
        <v>426</v>
      </c>
      <c r="DW2914" s="4" t="s">
        <v>2059</v>
      </c>
      <c r="HO2914" s="4" t="s">
        <v>267</v>
      </c>
    </row>
    <row r="2915" spans="1:223" ht="19.5" customHeight="1" x14ac:dyDescent="0.4">
      <c r="A2915" s="4">
        <v>1</v>
      </c>
      <c r="B2915" s="4" t="s">
        <v>239</v>
      </c>
      <c r="C2915" s="4">
        <v>4618</v>
      </c>
      <c r="D2915" s="4">
        <v>1</v>
      </c>
      <c r="E2915" s="4">
        <v>1</v>
      </c>
      <c r="F2915" s="4" t="s">
        <v>268</v>
      </c>
      <c r="G2915" s="4" t="s">
        <v>241</v>
      </c>
      <c r="H2915" s="4" t="s">
        <v>241</v>
      </c>
      <c r="I2915" s="4" t="s">
        <v>424</v>
      </c>
      <c r="J2915" s="4" t="s">
        <v>274</v>
      </c>
      <c r="K2915" s="4" t="s">
        <v>251</v>
      </c>
      <c r="L2915" s="4" t="s">
        <v>423</v>
      </c>
      <c r="M2915" s="5" t="s">
        <v>3759</v>
      </c>
      <c r="N2915" s="6">
        <f>1049</f>
        <v>1049</v>
      </c>
      <c r="O2915" s="4" t="s">
        <v>265</v>
      </c>
      <c r="P2915" s="6">
        <f>1</f>
        <v>1</v>
      </c>
      <c r="Q2915" s="6">
        <f>0</f>
        <v>0</v>
      </c>
      <c r="S2915" s="6">
        <f>0</f>
        <v>0</v>
      </c>
      <c r="T2915" s="6">
        <f>1</f>
        <v>1</v>
      </c>
      <c r="U2915" s="5" t="s">
        <v>245</v>
      </c>
      <c r="V2915" s="4" t="s">
        <v>270</v>
      </c>
      <c r="W2915" s="4" t="s">
        <v>271</v>
      </c>
      <c r="X2915" s="4" t="s">
        <v>273</v>
      </c>
      <c r="Y2915" s="4" t="s">
        <v>241</v>
      </c>
      <c r="AB2915" s="4" t="s">
        <v>241</v>
      </c>
      <c r="AD2915" s="5" t="s">
        <v>241</v>
      </c>
      <c r="AG2915" s="5" t="s">
        <v>246</v>
      </c>
      <c r="AH2915" s="4" t="s">
        <v>241</v>
      </c>
      <c r="AI2915" s="4" t="s">
        <v>247</v>
      </c>
      <c r="AJ2915" s="4" t="s">
        <v>248</v>
      </c>
      <c r="AZ2915" s="4" t="s">
        <v>249</v>
      </c>
      <c r="BA2915" s="4" t="s">
        <v>241</v>
      </c>
      <c r="BB2915" s="4" t="s">
        <v>250</v>
      </c>
      <c r="BC2915" s="4" t="s">
        <v>241</v>
      </c>
      <c r="BD2915" s="4" t="s">
        <v>252</v>
      </c>
      <c r="BE2915" s="4" t="s">
        <v>241</v>
      </c>
      <c r="BI2915" s="4" t="s">
        <v>253</v>
      </c>
      <c r="BJ2915" s="5" t="s">
        <v>246</v>
      </c>
      <c r="BK2915" s="4" t="s">
        <v>254</v>
      </c>
      <c r="BL2915" s="4" t="s">
        <v>255</v>
      </c>
      <c r="BM2915" s="4" t="s">
        <v>241</v>
      </c>
      <c r="BN2915" s="6">
        <f>0</f>
        <v>0</v>
      </c>
      <c r="BO2915" s="6">
        <f>0</f>
        <v>0</v>
      </c>
      <c r="BP2915" s="4" t="s">
        <v>256</v>
      </c>
      <c r="BQ2915" s="4" t="s">
        <v>257</v>
      </c>
      <c r="CE2915" s="4" t="s">
        <v>241</v>
      </c>
      <c r="CF2915" s="4" t="s">
        <v>241</v>
      </c>
      <c r="CJ2915" s="4" t="s">
        <v>276</v>
      </c>
      <c r="CK2915" s="4" t="s">
        <v>259</v>
      </c>
      <c r="CL2915" s="4" t="s">
        <v>241</v>
      </c>
      <c r="CO2915" s="5" t="s">
        <v>260</v>
      </c>
      <c r="CP2915" s="4" t="s">
        <v>241</v>
      </c>
      <c r="CQ2915" s="4" t="s">
        <v>261</v>
      </c>
      <c r="CR2915" s="4" t="s">
        <v>241</v>
      </c>
      <c r="CS2915" s="4" t="s">
        <v>241</v>
      </c>
      <c r="CT2915" s="4">
        <v>0</v>
      </c>
      <c r="CU2915" s="4" t="s">
        <v>262</v>
      </c>
      <c r="CV2915" s="4" t="s">
        <v>263</v>
      </c>
      <c r="CW2915" s="4" t="s">
        <v>263</v>
      </c>
      <c r="CX2915" s="4" t="s">
        <v>264</v>
      </c>
      <c r="DA2915" s="6">
        <f>1</f>
        <v>1</v>
      </c>
      <c r="DC2915" s="4" t="s">
        <v>325</v>
      </c>
      <c r="DD2915" s="4" t="s">
        <v>241</v>
      </c>
      <c r="DF2915" s="4" t="s">
        <v>325</v>
      </c>
      <c r="DG2915" s="6">
        <f>1049</f>
        <v>1049</v>
      </c>
      <c r="DI2915" s="4" t="s">
        <v>241</v>
      </c>
      <c r="DJ2915" s="4" t="s">
        <v>241</v>
      </c>
      <c r="DK2915" s="4" t="s">
        <v>241</v>
      </c>
      <c r="DL2915" s="4" t="s">
        <v>241</v>
      </c>
      <c r="DP2915" s="4" t="s">
        <v>241</v>
      </c>
      <c r="DQ2915" s="4" t="s">
        <v>241</v>
      </c>
      <c r="DR2915" s="4" t="s">
        <v>241</v>
      </c>
      <c r="DS2915" s="4" t="s">
        <v>241</v>
      </c>
      <c r="DV2915" s="4" t="s">
        <v>426</v>
      </c>
      <c r="DW2915" s="4" t="s">
        <v>2057</v>
      </c>
      <c r="HO2915" s="4" t="s">
        <v>267</v>
      </c>
    </row>
    <row r="2916" spans="1:223" ht="19.5" customHeight="1" x14ac:dyDescent="0.4">
      <c r="A2916" s="4">
        <v>1</v>
      </c>
      <c r="B2916" s="4" t="s">
        <v>239</v>
      </c>
      <c r="C2916" s="4">
        <v>4619</v>
      </c>
      <c r="D2916" s="4">
        <v>1</v>
      </c>
      <c r="E2916" s="4">
        <v>1</v>
      </c>
      <c r="F2916" s="4" t="s">
        <v>268</v>
      </c>
      <c r="G2916" s="4" t="s">
        <v>241</v>
      </c>
      <c r="H2916" s="4" t="s">
        <v>241</v>
      </c>
      <c r="I2916" s="4" t="s">
        <v>424</v>
      </c>
      <c r="J2916" s="4" t="s">
        <v>274</v>
      </c>
      <c r="K2916" s="4" t="s">
        <v>251</v>
      </c>
      <c r="L2916" s="4" t="s">
        <v>423</v>
      </c>
      <c r="M2916" s="5" t="s">
        <v>4151</v>
      </c>
      <c r="N2916" s="6">
        <f>2042</f>
        <v>2042</v>
      </c>
      <c r="O2916" s="4" t="s">
        <v>265</v>
      </c>
      <c r="P2916" s="6">
        <f>1</f>
        <v>1</v>
      </c>
      <c r="Q2916" s="6">
        <f>0</f>
        <v>0</v>
      </c>
      <c r="S2916" s="6">
        <f>0</f>
        <v>0</v>
      </c>
      <c r="T2916" s="6">
        <f>1</f>
        <v>1</v>
      </c>
      <c r="U2916" s="5" t="s">
        <v>245</v>
      </c>
      <c r="V2916" s="4" t="s">
        <v>270</v>
      </c>
      <c r="W2916" s="4" t="s">
        <v>271</v>
      </c>
      <c r="X2916" s="4" t="s">
        <v>273</v>
      </c>
      <c r="Y2916" s="4" t="s">
        <v>241</v>
      </c>
      <c r="AB2916" s="4" t="s">
        <v>241</v>
      </c>
      <c r="AD2916" s="5" t="s">
        <v>241</v>
      </c>
      <c r="AG2916" s="5" t="s">
        <v>246</v>
      </c>
      <c r="AH2916" s="4" t="s">
        <v>241</v>
      </c>
      <c r="AI2916" s="4" t="s">
        <v>247</v>
      </c>
      <c r="AJ2916" s="4" t="s">
        <v>248</v>
      </c>
      <c r="AZ2916" s="4" t="s">
        <v>249</v>
      </c>
      <c r="BA2916" s="4" t="s">
        <v>241</v>
      </c>
      <c r="BB2916" s="4" t="s">
        <v>250</v>
      </c>
      <c r="BC2916" s="4" t="s">
        <v>241</v>
      </c>
      <c r="BD2916" s="4" t="s">
        <v>252</v>
      </c>
      <c r="BE2916" s="4" t="s">
        <v>241</v>
      </c>
      <c r="BI2916" s="4" t="s">
        <v>253</v>
      </c>
      <c r="BJ2916" s="5" t="s">
        <v>246</v>
      </c>
      <c r="BK2916" s="4" t="s">
        <v>254</v>
      </c>
      <c r="BL2916" s="4" t="s">
        <v>255</v>
      </c>
      <c r="BM2916" s="4" t="s">
        <v>241</v>
      </c>
      <c r="BN2916" s="6">
        <f>0</f>
        <v>0</v>
      </c>
      <c r="BO2916" s="6">
        <f>0</f>
        <v>0</v>
      </c>
      <c r="BP2916" s="4" t="s">
        <v>256</v>
      </c>
      <c r="BQ2916" s="4" t="s">
        <v>257</v>
      </c>
      <c r="CE2916" s="4" t="s">
        <v>241</v>
      </c>
      <c r="CF2916" s="4" t="s">
        <v>241</v>
      </c>
      <c r="CJ2916" s="4" t="s">
        <v>276</v>
      </c>
      <c r="CK2916" s="4" t="s">
        <v>259</v>
      </c>
      <c r="CL2916" s="4" t="s">
        <v>241</v>
      </c>
      <c r="CO2916" s="5" t="s">
        <v>260</v>
      </c>
      <c r="CP2916" s="4" t="s">
        <v>241</v>
      </c>
      <c r="CQ2916" s="4" t="s">
        <v>261</v>
      </c>
      <c r="CR2916" s="4" t="s">
        <v>241</v>
      </c>
      <c r="CS2916" s="4" t="s">
        <v>241</v>
      </c>
      <c r="CT2916" s="4">
        <v>0</v>
      </c>
      <c r="CU2916" s="4" t="s">
        <v>262</v>
      </c>
      <c r="CV2916" s="4" t="s">
        <v>263</v>
      </c>
      <c r="CW2916" s="4" t="s">
        <v>263</v>
      </c>
      <c r="CX2916" s="4" t="s">
        <v>264</v>
      </c>
      <c r="DA2916" s="6">
        <f>1</f>
        <v>1</v>
      </c>
      <c r="DC2916" s="4" t="s">
        <v>325</v>
      </c>
      <c r="DD2916" s="4" t="s">
        <v>241</v>
      </c>
      <c r="DF2916" s="4" t="s">
        <v>325</v>
      </c>
      <c r="DG2916" s="6">
        <f>2042</f>
        <v>2042</v>
      </c>
      <c r="DI2916" s="4" t="s">
        <v>241</v>
      </c>
      <c r="DJ2916" s="4" t="s">
        <v>241</v>
      </c>
      <c r="DK2916" s="4" t="s">
        <v>241</v>
      </c>
      <c r="DL2916" s="4" t="s">
        <v>241</v>
      </c>
      <c r="DP2916" s="4" t="s">
        <v>241</v>
      </c>
      <c r="DQ2916" s="4" t="s">
        <v>241</v>
      </c>
      <c r="DR2916" s="4" t="s">
        <v>241</v>
      </c>
      <c r="DS2916" s="4" t="s">
        <v>241</v>
      </c>
      <c r="DV2916" s="4" t="s">
        <v>426</v>
      </c>
      <c r="DW2916" s="4" t="s">
        <v>2055</v>
      </c>
      <c r="HO2916" s="4" t="s">
        <v>267</v>
      </c>
    </row>
    <row r="2917" spans="1:223" ht="19.5" customHeight="1" x14ac:dyDescent="0.4">
      <c r="A2917" s="4">
        <v>1</v>
      </c>
      <c r="B2917" s="4" t="s">
        <v>239</v>
      </c>
      <c r="C2917" s="4">
        <v>4620</v>
      </c>
      <c r="D2917" s="4">
        <v>1</v>
      </c>
      <c r="E2917" s="4">
        <v>1</v>
      </c>
      <c r="F2917" s="4" t="s">
        <v>268</v>
      </c>
      <c r="G2917" s="4" t="s">
        <v>241</v>
      </c>
      <c r="H2917" s="4" t="s">
        <v>241</v>
      </c>
      <c r="I2917" s="4" t="s">
        <v>424</v>
      </c>
      <c r="J2917" s="4" t="s">
        <v>274</v>
      </c>
      <c r="K2917" s="4" t="s">
        <v>251</v>
      </c>
      <c r="L2917" s="4" t="s">
        <v>423</v>
      </c>
      <c r="M2917" s="5" t="s">
        <v>4116</v>
      </c>
      <c r="N2917" s="6">
        <f>2177</f>
        <v>2177</v>
      </c>
      <c r="O2917" s="4" t="s">
        <v>265</v>
      </c>
      <c r="P2917" s="6">
        <f>1</f>
        <v>1</v>
      </c>
      <c r="Q2917" s="6">
        <f>0</f>
        <v>0</v>
      </c>
      <c r="S2917" s="6">
        <f>0</f>
        <v>0</v>
      </c>
      <c r="T2917" s="6">
        <f>1</f>
        <v>1</v>
      </c>
      <c r="U2917" s="5" t="s">
        <v>245</v>
      </c>
      <c r="V2917" s="4" t="s">
        <v>270</v>
      </c>
      <c r="W2917" s="4" t="s">
        <v>271</v>
      </c>
      <c r="X2917" s="4" t="s">
        <v>273</v>
      </c>
      <c r="Y2917" s="4" t="s">
        <v>241</v>
      </c>
      <c r="AB2917" s="4" t="s">
        <v>241</v>
      </c>
      <c r="AD2917" s="5" t="s">
        <v>241</v>
      </c>
      <c r="AG2917" s="5" t="s">
        <v>246</v>
      </c>
      <c r="AH2917" s="4" t="s">
        <v>241</v>
      </c>
      <c r="AI2917" s="4" t="s">
        <v>247</v>
      </c>
      <c r="AJ2917" s="4" t="s">
        <v>248</v>
      </c>
      <c r="AZ2917" s="4" t="s">
        <v>249</v>
      </c>
      <c r="BA2917" s="4" t="s">
        <v>241</v>
      </c>
      <c r="BB2917" s="4" t="s">
        <v>250</v>
      </c>
      <c r="BC2917" s="4" t="s">
        <v>241</v>
      </c>
      <c r="BD2917" s="4" t="s">
        <v>252</v>
      </c>
      <c r="BE2917" s="4" t="s">
        <v>241</v>
      </c>
      <c r="BI2917" s="4" t="s">
        <v>253</v>
      </c>
      <c r="BJ2917" s="5" t="s">
        <v>246</v>
      </c>
      <c r="BK2917" s="4" t="s">
        <v>254</v>
      </c>
      <c r="BL2917" s="4" t="s">
        <v>255</v>
      </c>
      <c r="BM2917" s="4" t="s">
        <v>241</v>
      </c>
      <c r="BN2917" s="6">
        <f>0</f>
        <v>0</v>
      </c>
      <c r="BO2917" s="6">
        <f>0</f>
        <v>0</v>
      </c>
      <c r="BP2917" s="4" t="s">
        <v>256</v>
      </c>
      <c r="BQ2917" s="4" t="s">
        <v>257</v>
      </c>
      <c r="CE2917" s="4" t="s">
        <v>241</v>
      </c>
      <c r="CF2917" s="4" t="s">
        <v>241</v>
      </c>
      <c r="CJ2917" s="4" t="s">
        <v>276</v>
      </c>
      <c r="CK2917" s="4" t="s">
        <v>259</v>
      </c>
      <c r="CL2917" s="4" t="s">
        <v>241</v>
      </c>
      <c r="CO2917" s="5" t="s">
        <v>260</v>
      </c>
      <c r="CP2917" s="4" t="s">
        <v>241</v>
      </c>
      <c r="CQ2917" s="4" t="s">
        <v>261</v>
      </c>
      <c r="CR2917" s="4" t="s">
        <v>241</v>
      </c>
      <c r="CS2917" s="4" t="s">
        <v>241</v>
      </c>
      <c r="CT2917" s="4">
        <v>0</v>
      </c>
      <c r="CU2917" s="4" t="s">
        <v>262</v>
      </c>
      <c r="CV2917" s="4" t="s">
        <v>263</v>
      </c>
      <c r="CW2917" s="4" t="s">
        <v>263</v>
      </c>
      <c r="CX2917" s="4" t="s">
        <v>264</v>
      </c>
      <c r="DA2917" s="6">
        <f>1</f>
        <v>1</v>
      </c>
      <c r="DC2917" s="4" t="s">
        <v>325</v>
      </c>
      <c r="DD2917" s="4" t="s">
        <v>241</v>
      </c>
      <c r="DF2917" s="4" t="s">
        <v>325</v>
      </c>
      <c r="DG2917" s="6">
        <f>2177</f>
        <v>2177</v>
      </c>
      <c r="DI2917" s="4" t="s">
        <v>241</v>
      </c>
      <c r="DJ2917" s="4" t="s">
        <v>241</v>
      </c>
      <c r="DK2917" s="4" t="s">
        <v>241</v>
      </c>
      <c r="DL2917" s="4" t="s">
        <v>241</v>
      </c>
      <c r="DP2917" s="4" t="s">
        <v>241</v>
      </c>
      <c r="DQ2917" s="4" t="s">
        <v>241</v>
      </c>
      <c r="DR2917" s="4" t="s">
        <v>241</v>
      </c>
      <c r="DS2917" s="4" t="s">
        <v>241</v>
      </c>
      <c r="DV2917" s="4" t="s">
        <v>426</v>
      </c>
      <c r="DW2917" s="4" t="s">
        <v>2053</v>
      </c>
      <c r="HO2917" s="4" t="s">
        <v>267</v>
      </c>
    </row>
    <row r="2918" spans="1:223" ht="19.5" customHeight="1" x14ac:dyDescent="0.4">
      <c r="A2918" s="4">
        <v>1</v>
      </c>
      <c r="B2918" s="4" t="s">
        <v>239</v>
      </c>
      <c r="C2918" s="4">
        <v>4621</v>
      </c>
      <c r="D2918" s="4">
        <v>1</v>
      </c>
      <c r="E2918" s="4">
        <v>1</v>
      </c>
      <c r="F2918" s="4" t="s">
        <v>268</v>
      </c>
      <c r="G2918" s="4" t="s">
        <v>241</v>
      </c>
      <c r="H2918" s="4" t="s">
        <v>241</v>
      </c>
      <c r="I2918" s="4" t="s">
        <v>424</v>
      </c>
      <c r="J2918" s="4" t="s">
        <v>274</v>
      </c>
      <c r="K2918" s="4" t="s">
        <v>251</v>
      </c>
      <c r="L2918" s="4" t="s">
        <v>423</v>
      </c>
      <c r="M2918" s="5" t="s">
        <v>3338</v>
      </c>
      <c r="N2918" s="6">
        <f>2143</f>
        <v>2143</v>
      </c>
      <c r="O2918" s="4" t="s">
        <v>265</v>
      </c>
      <c r="P2918" s="6">
        <f>1</f>
        <v>1</v>
      </c>
      <c r="Q2918" s="6">
        <f>0</f>
        <v>0</v>
      </c>
      <c r="S2918" s="6">
        <f>0</f>
        <v>0</v>
      </c>
      <c r="T2918" s="6">
        <f>1</f>
        <v>1</v>
      </c>
      <c r="U2918" s="5" t="s">
        <v>245</v>
      </c>
      <c r="V2918" s="4" t="s">
        <v>270</v>
      </c>
      <c r="W2918" s="4" t="s">
        <v>271</v>
      </c>
      <c r="X2918" s="4" t="s">
        <v>273</v>
      </c>
      <c r="Y2918" s="4" t="s">
        <v>241</v>
      </c>
      <c r="AB2918" s="4" t="s">
        <v>241</v>
      </c>
      <c r="AD2918" s="5" t="s">
        <v>241</v>
      </c>
      <c r="AG2918" s="5" t="s">
        <v>246</v>
      </c>
      <c r="AH2918" s="4" t="s">
        <v>241</v>
      </c>
      <c r="AI2918" s="4" t="s">
        <v>247</v>
      </c>
      <c r="AJ2918" s="4" t="s">
        <v>248</v>
      </c>
      <c r="AZ2918" s="4" t="s">
        <v>249</v>
      </c>
      <c r="BA2918" s="4" t="s">
        <v>241</v>
      </c>
      <c r="BB2918" s="4" t="s">
        <v>250</v>
      </c>
      <c r="BC2918" s="4" t="s">
        <v>241</v>
      </c>
      <c r="BD2918" s="4" t="s">
        <v>252</v>
      </c>
      <c r="BE2918" s="4" t="s">
        <v>241</v>
      </c>
      <c r="BI2918" s="4" t="s">
        <v>253</v>
      </c>
      <c r="BJ2918" s="5" t="s">
        <v>246</v>
      </c>
      <c r="BK2918" s="4" t="s">
        <v>254</v>
      </c>
      <c r="BL2918" s="4" t="s">
        <v>255</v>
      </c>
      <c r="BM2918" s="4" t="s">
        <v>241</v>
      </c>
      <c r="BN2918" s="6">
        <f>0</f>
        <v>0</v>
      </c>
      <c r="BO2918" s="6">
        <f>0</f>
        <v>0</v>
      </c>
      <c r="BP2918" s="4" t="s">
        <v>256</v>
      </c>
      <c r="BQ2918" s="4" t="s">
        <v>257</v>
      </c>
      <c r="CE2918" s="4" t="s">
        <v>241</v>
      </c>
      <c r="CF2918" s="4" t="s">
        <v>241</v>
      </c>
      <c r="CJ2918" s="4" t="s">
        <v>276</v>
      </c>
      <c r="CK2918" s="4" t="s">
        <v>259</v>
      </c>
      <c r="CL2918" s="4" t="s">
        <v>241</v>
      </c>
      <c r="CO2918" s="5" t="s">
        <v>260</v>
      </c>
      <c r="CP2918" s="4" t="s">
        <v>241</v>
      </c>
      <c r="CQ2918" s="4" t="s">
        <v>261</v>
      </c>
      <c r="CR2918" s="4" t="s">
        <v>241</v>
      </c>
      <c r="CS2918" s="4" t="s">
        <v>241</v>
      </c>
      <c r="CT2918" s="4">
        <v>0</v>
      </c>
      <c r="CU2918" s="4" t="s">
        <v>262</v>
      </c>
      <c r="CV2918" s="4" t="s">
        <v>263</v>
      </c>
      <c r="CW2918" s="4" t="s">
        <v>263</v>
      </c>
      <c r="CX2918" s="4" t="s">
        <v>264</v>
      </c>
      <c r="DA2918" s="6">
        <f>1</f>
        <v>1</v>
      </c>
      <c r="DC2918" s="4" t="s">
        <v>325</v>
      </c>
      <c r="DD2918" s="4" t="s">
        <v>241</v>
      </c>
      <c r="DF2918" s="4" t="s">
        <v>325</v>
      </c>
      <c r="DG2918" s="6">
        <f>2143</f>
        <v>2143</v>
      </c>
      <c r="DI2918" s="4" t="s">
        <v>241</v>
      </c>
      <c r="DJ2918" s="4" t="s">
        <v>241</v>
      </c>
      <c r="DK2918" s="4" t="s">
        <v>241</v>
      </c>
      <c r="DL2918" s="4" t="s">
        <v>241</v>
      </c>
      <c r="DP2918" s="4" t="s">
        <v>241</v>
      </c>
      <c r="DQ2918" s="4" t="s">
        <v>241</v>
      </c>
      <c r="DR2918" s="4" t="s">
        <v>241</v>
      </c>
      <c r="DS2918" s="4" t="s">
        <v>241</v>
      </c>
      <c r="DV2918" s="4" t="s">
        <v>426</v>
      </c>
      <c r="DW2918" s="4" t="s">
        <v>2051</v>
      </c>
      <c r="HO2918" s="4" t="s">
        <v>267</v>
      </c>
    </row>
    <row r="2919" spans="1:223" ht="19.5" customHeight="1" x14ac:dyDescent="0.4">
      <c r="A2919" s="4">
        <v>1</v>
      </c>
      <c r="B2919" s="4" t="s">
        <v>239</v>
      </c>
      <c r="C2919" s="4">
        <v>4622</v>
      </c>
      <c r="D2919" s="4">
        <v>1</v>
      </c>
      <c r="E2919" s="4">
        <v>1</v>
      </c>
      <c r="F2919" s="4" t="s">
        <v>268</v>
      </c>
      <c r="G2919" s="4" t="s">
        <v>241</v>
      </c>
      <c r="H2919" s="4" t="s">
        <v>241</v>
      </c>
      <c r="I2919" s="4" t="s">
        <v>424</v>
      </c>
      <c r="J2919" s="4" t="s">
        <v>274</v>
      </c>
      <c r="K2919" s="4" t="s">
        <v>251</v>
      </c>
      <c r="L2919" s="4" t="s">
        <v>423</v>
      </c>
      <c r="M2919" s="5" t="s">
        <v>4101</v>
      </c>
      <c r="N2919" s="6">
        <f>1168</f>
        <v>1168</v>
      </c>
      <c r="O2919" s="4" t="s">
        <v>265</v>
      </c>
      <c r="P2919" s="6">
        <f>1</f>
        <v>1</v>
      </c>
      <c r="Q2919" s="6">
        <f>0</f>
        <v>0</v>
      </c>
      <c r="S2919" s="6">
        <f>0</f>
        <v>0</v>
      </c>
      <c r="T2919" s="6">
        <f>1</f>
        <v>1</v>
      </c>
      <c r="U2919" s="5" t="s">
        <v>245</v>
      </c>
      <c r="V2919" s="4" t="s">
        <v>270</v>
      </c>
      <c r="W2919" s="4" t="s">
        <v>271</v>
      </c>
      <c r="X2919" s="4" t="s">
        <v>273</v>
      </c>
      <c r="Y2919" s="4" t="s">
        <v>241</v>
      </c>
      <c r="AB2919" s="4" t="s">
        <v>241</v>
      </c>
      <c r="AD2919" s="5" t="s">
        <v>241</v>
      </c>
      <c r="AG2919" s="5" t="s">
        <v>246</v>
      </c>
      <c r="AH2919" s="4" t="s">
        <v>241</v>
      </c>
      <c r="AI2919" s="4" t="s">
        <v>247</v>
      </c>
      <c r="AJ2919" s="4" t="s">
        <v>248</v>
      </c>
      <c r="AZ2919" s="4" t="s">
        <v>249</v>
      </c>
      <c r="BA2919" s="4" t="s">
        <v>241</v>
      </c>
      <c r="BB2919" s="4" t="s">
        <v>250</v>
      </c>
      <c r="BC2919" s="4" t="s">
        <v>241</v>
      </c>
      <c r="BD2919" s="4" t="s">
        <v>252</v>
      </c>
      <c r="BE2919" s="4" t="s">
        <v>241</v>
      </c>
      <c r="BI2919" s="4" t="s">
        <v>253</v>
      </c>
      <c r="BJ2919" s="5" t="s">
        <v>246</v>
      </c>
      <c r="BK2919" s="4" t="s">
        <v>254</v>
      </c>
      <c r="BL2919" s="4" t="s">
        <v>255</v>
      </c>
      <c r="BM2919" s="4" t="s">
        <v>241</v>
      </c>
      <c r="BN2919" s="6">
        <f>0</f>
        <v>0</v>
      </c>
      <c r="BO2919" s="6">
        <f>0</f>
        <v>0</v>
      </c>
      <c r="BP2919" s="4" t="s">
        <v>256</v>
      </c>
      <c r="BQ2919" s="4" t="s">
        <v>257</v>
      </c>
      <c r="CE2919" s="4" t="s">
        <v>241</v>
      </c>
      <c r="CF2919" s="4" t="s">
        <v>241</v>
      </c>
      <c r="CJ2919" s="4" t="s">
        <v>276</v>
      </c>
      <c r="CK2919" s="4" t="s">
        <v>259</v>
      </c>
      <c r="CL2919" s="4" t="s">
        <v>241</v>
      </c>
      <c r="CO2919" s="5" t="s">
        <v>260</v>
      </c>
      <c r="CP2919" s="4" t="s">
        <v>241</v>
      </c>
      <c r="CQ2919" s="4" t="s">
        <v>261</v>
      </c>
      <c r="CR2919" s="4" t="s">
        <v>241</v>
      </c>
      <c r="CS2919" s="4" t="s">
        <v>241</v>
      </c>
      <c r="CT2919" s="4">
        <v>0</v>
      </c>
      <c r="CU2919" s="4" t="s">
        <v>262</v>
      </c>
      <c r="CV2919" s="4" t="s">
        <v>263</v>
      </c>
      <c r="CW2919" s="4" t="s">
        <v>263</v>
      </c>
      <c r="CX2919" s="4" t="s">
        <v>264</v>
      </c>
      <c r="DA2919" s="6">
        <f>1</f>
        <v>1</v>
      </c>
      <c r="DC2919" s="4" t="s">
        <v>325</v>
      </c>
      <c r="DD2919" s="4" t="s">
        <v>241</v>
      </c>
      <c r="DF2919" s="4" t="s">
        <v>325</v>
      </c>
      <c r="DG2919" s="6">
        <f>1168</f>
        <v>1168</v>
      </c>
      <c r="DI2919" s="4" t="s">
        <v>241</v>
      </c>
      <c r="DJ2919" s="4" t="s">
        <v>241</v>
      </c>
      <c r="DK2919" s="4" t="s">
        <v>241</v>
      </c>
      <c r="DL2919" s="4" t="s">
        <v>241</v>
      </c>
      <c r="DP2919" s="4" t="s">
        <v>241</v>
      </c>
      <c r="DQ2919" s="4" t="s">
        <v>241</v>
      </c>
      <c r="DR2919" s="4" t="s">
        <v>241</v>
      </c>
      <c r="DS2919" s="4" t="s">
        <v>241</v>
      </c>
      <c r="DV2919" s="4" t="s">
        <v>426</v>
      </c>
      <c r="DW2919" s="4" t="s">
        <v>2049</v>
      </c>
      <c r="HO2919" s="4" t="s">
        <v>267</v>
      </c>
    </row>
    <row r="2920" spans="1:223" ht="19.5" customHeight="1" x14ac:dyDescent="0.4">
      <c r="A2920" s="4">
        <v>1</v>
      </c>
      <c r="B2920" s="4" t="s">
        <v>239</v>
      </c>
      <c r="C2920" s="4">
        <v>4623</v>
      </c>
      <c r="D2920" s="4">
        <v>1</v>
      </c>
      <c r="E2920" s="4">
        <v>1</v>
      </c>
      <c r="F2920" s="4" t="s">
        <v>268</v>
      </c>
      <c r="G2920" s="4" t="s">
        <v>241</v>
      </c>
      <c r="H2920" s="4" t="s">
        <v>241</v>
      </c>
      <c r="I2920" s="4" t="s">
        <v>424</v>
      </c>
      <c r="J2920" s="4" t="s">
        <v>274</v>
      </c>
      <c r="K2920" s="4" t="s">
        <v>251</v>
      </c>
      <c r="L2920" s="4" t="s">
        <v>423</v>
      </c>
      <c r="M2920" s="5" t="s">
        <v>4091</v>
      </c>
      <c r="N2920" s="6">
        <f>2611</f>
        <v>2611</v>
      </c>
      <c r="O2920" s="4" t="s">
        <v>265</v>
      </c>
      <c r="P2920" s="6">
        <f>1</f>
        <v>1</v>
      </c>
      <c r="Q2920" s="6">
        <f>0</f>
        <v>0</v>
      </c>
      <c r="S2920" s="6">
        <f>0</f>
        <v>0</v>
      </c>
      <c r="T2920" s="6">
        <f>1</f>
        <v>1</v>
      </c>
      <c r="U2920" s="5" t="s">
        <v>245</v>
      </c>
      <c r="V2920" s="4" t="s">
        <v>270</v>
      </c>
      <c r="W2920" s="4" t="s">
        <v>271</v>
      </c>
      <c r="X2920" s="4" t="s">
        <v>273</v>
      </c>
      <c r="Y2920" s="4" t="s">
        <v>241</v>
      </c>
      <c r="AB2920" s="4" t="s">
        <v>241</v>
      </c>
      <c r="AD2920" s="5" t="s">
        <v>241</v>
      </c>
      <c r="AG2920" s="5" t="s">
        <v>246</v>
      </c>
      <c r="AH2920" s="4" t="s">
        <v>241</v>
      </c>
      <c r="AI2920" s="4" t="s">
        <v>247</v>
      </c>
      <c r="AJ2920" s="4" t="s">
        <v>248</v>
      </c>
      <c r="AZ2920" s="4" t="s">
        <v>249</v>
      </c>
      <c r="BA2920" s="4" t="s">
        <v>241</v>
      </c>
      <c r="BB2920" s="4" t="s">
        <v>250</v>
      </c>
      <c r="BC2920" s="4" t="s">
        <v>241</v>
      </c>
      <c r="BD2920" s="4" t="s">
        <v>252</v>
      </c>
      <c r="BE2920" s="4" t="s">
        <v>241</v>
      </c>
      <c r="BI2920" s="4" t="s">
        <v>253</v>
      </c>
      <c r="BJ2920" s="5" t="s">
        <v>246</v>
      </c>
      <c r="BK2920" s="4" t="s">
        <v>254</v>
      </c>
      <c r="BL2920" s="4" t="s">
        <v>255</v>
      </c>
      <c r="BM2920" s="4" t="s">
        <v>241</v>
      </c>
      <c r="BN2920" s="6">
        <f>0</f>
        <v>0</v>
      </c>
      <c r="BO2920" s="6">
        <f>0</f>
        <v>0</v>
      </c>
      <c r="BP2920" s="4" t="s">
        <v>256</v>
      </c>
      <c r="BQ2920" s="4" t="s">
        <v>257</v>
      </c>
      <c r="CE2920" s="4" t="s">
        <v>241</v>
      </c>
      <c r="CF2920" s="4" t="s">
        <v>241</v>
      </c>
      <c r="CJ2920" s="4" t="s">
        <v>276</v>
      </c>
      <c r="CK2920" s="4" t="s">
        <v>259</v>
      </c>
      <c r="CL2920" s="4" t="s">
        <v>241</v>
      </c>
      <c r="CO2920" s="5" t="s">
        <v>260</v>
      </c>
      <c r="CP2920" s="4" t="s">
        <v>241</v>
      </c>
      <c r="CQ2920" s="4" t="s">
        <v>261</v>
      </c>
      <c r="CR2920" s="4" t="s">
        <v>241</v>
      </c>
      <c r="CS2920" s="4" t="s">
        <v>241</v>
      </c>
      <c r="CT2920" s="4">
        <v>0</v>
      </c>
      <c r="CU2920" s="4" t="s">
        <v>262</v>
      </c>
      <c r="CV2920" s="4" t="s">
        <v>263</v>
      </c>
      <c r="CW2920" s="4" t="s">
        <v>263</v>
      </c>
      <c r="CX2920" s="4" t="s">
        <v>264</v>
      </c>
      <c r="DA2920" s="6">
        <f>1</f>
        <v>1</v>
      </c>
      <c r="DC2920" s="4" t="s">
        <v>325</v>
      </c>
      <c r="DD2920" s="4" t="s">
        <v>241</v>
      </c>
      <c r="DF2920" s="4" t="s">
        <v>325</v>
      </c>
      <c r="DG2920" s="6">
        <f>2611</f>
        <v>2611</v>
      </c>
      <c r="DI2920" s="4" t="s">
        <v>241</v>
      </c>
      <c r="DJ2920" s="4" t="s">
        <v>241</v>
      </c>
      <c r="DK2920" s="4" t="s">
        <v>241</v>
      </c>
      <c r="DL2920" s="4" t="s">
        <v>241</v>
      </c>
      <c r="DP2920" s="4" t="s">
        <v>241</v>
      </c>
      <c r="DQ2920" s="4" t="s">
        <v>241</v>
      </c>
      <c r="DR2920" s="4" t="s">
        <v>241</v>
      </c>
      <c r="DS2920" s="4" t="s">
        <v>241</v>
      </c>
      <c r="DV2920" s="4" t="s">
        <v>426</v>
      </c>
      <c r="DW2920" s="4" t="s">
        <v>2047</v>
      </c>
      <c r="HO2920" s="4" t="s">
        <v>267</v>
      </c>
    </row>
    <row r="2921" spans="1:223" ht="19.5" customHeight="1" x14ac:dyDescent="0.4">
      <c r="A2921" s="4">
        <v>1</v>
      </c>
      <c r="B2921" s="4" t="s">
        <v>239</v>
      </c>
      <c r="C2921" s="4">
        <v>4624</v>
      </c>
      <c r="D2921" s="4">
        <v>1</v>
      </c>
      <c r="E2921" s="4">
        <v>1</v>
      </c>
      <c r="F2921" s="4" t="s">
        <v>268</v>
      </c>
      <c r="G2921" s="4" t="s">
        <v>241</v>
      </c>
      <c r="H2921" s="4" t="s">
        <v>241</v>
      </c>
      <c r="I2921" s="4" t="s">
        <v>424</v>
      </c>
      <c r="J2921" s="4" t="s">
        <v>274</v>
      </c>
      <c r="K2921" s="4" t="s">
        <v>251</v>
      </c>
      <c r="L2921" s="4" t="s">
        <v>423</v>
      </c>
      <c r="M2921" s="5" t="s">
        <v>4068</v>
      </c>
      <c r="N2921" s="6">
        <f>245</f>
        <v>245</v>
      </c>
      <c r="O2921" s="4" t="s">
        <v>265</v>
      </c>
      <c r="P2921" s="6">
        <f>1</f>
        <v>1</v>
      </c>
      <c r="Q2921" s="6">
        <f>0</f>
        <v>0</v>
      </c>
      <c r="S2921" s="6">
        <f>0</f>
        <v>0</v>
      </c>
      <c r="T2921" s="6">
        <f>1</f>
        <v>1</v>
      </c>
      <c r="U2921" s="5" t="s">
        <v>245</v>
      </c>
      <c r="V2921" s="4" t="s">
        <v>270</v>
      </c>
      <c r="W2921" s="4" t="s">
        <v>271</v>
      </c>
      <c r="X2921" s="4" t="s">
        <v>273</v>
      </c>
      <c r="Y2921" s="4" t="s">
        <v>241</v>
      </c>
      <c r="AB2921" s="4" t="s">
        <v>241</v>
      </c>
      <c r="AD2921" s="5" t="s">
        <v>241</v>
      </c>
      <c r="AG2921" s="5" t="s">
        <v>246</v>
      </c>
      <c r="AH2921" s="4" t="s">
        <v>241</v>
      </c>
      <c r="AI2921" s="4" t="s">
        <v>247</v>
      </c>
      <c r="AJ2921" s="4" t="s">
        <v>248</v>
      </c>
      <c r="AZ2921" s="4" t="s">
        <v>249</v>
      </c>
      <c r="BA2921" s="4" t="s">
        <v>241</v>
      </c>
      <c r="BB2921" s="4" t="s">
        <v>250</v>
      </c>
      <c r="BC2921" s="4" t="s">
        <v>241</v>
      </c>
      <c r="BD2921" s="4" t="s">
        <v>252</v>
      </c>
      <c r="BE2921" s="4" t="s">
        <v>241</v>
      </c>
      <c r="BI2921" s="4" t="s">
        <v>253</v>
      </c>
      <c r="BJ2921" s="5" t="s">
        <v>246</v>
      </c>
      <c r="BK2921" s="4" t="s">
        <v>254</v>
      </c>
      <c r="BL2921" s="4" t="s">
        <v>255</v>
      </c>
      <c r="BM2921" s="4" t="s">
        <v>241</v>
      </c>
      <c r="BN2921" s="6">
        <f>0</f>
        <v>0</v>
      </c>
      <c r="BO2921" s="6">
        <f>0</f>
        <v>0</v>
      </c>
      <c r="BP2921" s="4" t="s">
        <v>256</v>
      </c>
      <c r="BQ2921" s="4" t="s">
        <v>257</v>
      </c>
      <c r="CE2921" s="4" t="s">
        <v>241</v>
      </c>
      <c r="CF2921" s="4" t="s">
        <v>241</v>
      </c>
      <c r="CJ2921" s="4" t="s">
        <v>276</v>
      </c>
      <c r="CK2921" s="4" t="s">
        <v>259</v>
      </c>
      <c r="CL2921" s="4" t="s">
        <v>241</v>
      </c>
      <c r="CO2921" s="5" t="s">
        <v>260</v>
      </c>
      <c r="CP2921" s="4" t="s">
        <v>241</v>
      </c>
      <c r="CQ2921" s="4" t="s">
        <v>261</v>
      </c>
      <c r="CR2921" s="4" t="s">
        <v>241</v>
      </c>
      <c r="CS2921" s="4" t="s">
        <v>241</v>
      </c>
      <c r="CT2921" s="4">
        <v>0</v>
      </c>
      <c r="CU2921" s="4" t="s">
        <v>262</v>
      </c>
      <c r="CV2921" s="4" t="s">
        <v>263</v>
      </c>
      <c r="CW2921" s="4" t="s">
        <v>263</v>
      </c>
      <c r="CX2921" s="4" t="s">
        <v>264</v>
      </c>
      <c r="DA2921" s="6">
        <f>1</f>
        <v>1</v>
      </c>
      <c r="DC2921" s="4" t="s">
        <v>325</v>
      </c>
      <c r="DD2921" s="4" t="s">
        <v>241</v>
      </c>
      <c r="DF2921" s="4" t="s">
        <v>325</v>
      </c>
      <c r="DG2921" s="6">
        <f>245</f>
        <v>245</v>
      </c>
      <c r="DI2921" s="4" t="s">
        <v>241</v>
      </c>
      <c r="DJ2921" s="4" t="s">
        <v>241</v>
      </c>
      <c r="DK2921" s="4" t="s">
        <v>241</v>
      </c>
      <c r="DL2921" s="4" t="s">
        <v>241</v>
      </c>
      <c r="DP2921" s="4" t="s">
        <v>241</v>
      </c>
      <c r="DQ2921" s="4" t="s">
        <v>241</v>
      </c>
      <c r="DR2921" s="4" t="s">
        <v>241</v>
      </c>
      <c r="DS2921" s="4" t="s">
        <v>241</v>
      </c>
      <c r="DV2921" s="4" t="s">
        <v>426</v>
      </c>
      <c r="DW2921" s="4" t="s">
        <v>2045</v>
      </c>
      <c r="HO2921" s="4" t="s">
        <v>267</v>
      </c>
    </row>
    <row r="2922" spans="1:223" ht="19.5" customHeight="1" x14ac:dyDescent="0.4">
      <c r="A2922" s="4">
        <v>1</v>
      </c>
      <c r="B2922" s="4" t="s">
        <v>239</v>
      </c>
      <c r="C2922" s="4">
        <v>4625</v>
      </c>
      <c r="D2922" s="4">
        <v>1</v>
      </c>
      <c r="E2922" s="4">
        <v>1</v>
      </c>
      <c r="F2922" s="4" t="s">
        <v>268</v>
      </c>
      <c r="G2922" s="4" t="s">
        <v>241</v>
      </c>
      <c r="H2922" s="4" t="s">
        <v>241</v>
      </c>
      <c r="I2922" s="4" t="s">
        <v>424</v>
      </c>
      <c r="J2922" s="4" t="s">
        <v>274</v>
      </c>
      <c r="K2922" s="4" t="s">
        <v>251</v>
      </c>
      <c r="L2922" s="4" t="s">
        <v>423</v>
      </c>
      <c r="M2922" s="5" t="s">
        <v>4061</v>
      </c>
      <c r="N2922" s="6">
        <f>1893</f>
        <v>1893</v>
      </c>
      <c r="O2922" s="4" t="s">
        <v>265</v>
      </c>
      <c r="P2922" s="6">
        <f>1</f>
        <v>1</v>
      </c>
      <c r="Q2922" s="6">
        <f>0</f>
        <v>0</v>
      </c>
      <c r="S2922" s="6">
        <f>0</f>
        <v>0</v>
      </c>
      <c r="T2922" s="6">
        <f>1</f>
        <v>1</v>
      </c>
      <c r="U2922" s="5" t="s">
        <v>245</v>
      </c>
      <c r="V2922" s="4" t="s">
        <v>270</v>
      </c>
      <c r="W2922" s="4" t="s">
        <v>271</v>
      </c>
      <c r="X2922" s="4" t="s">
        <v>273</v>
      </c>
      <c r="Y2922" s="4" t="s">
        <v>241</v>
      </c>
      <c r="AB2922" s="4" t="s">
        <v>241</v>
      </c>
      <c r="AD2922" s="5" t="s">
        <v>241</v>
      </c>
      <c r="AG2922" s="5" t="s">
        <v>246</v>
      </c>
      <c r="AH2922" s="4" t="s">
        <v>241</v>
      </c>
      <c r="AI2922" s="4" t="s">
        <v>247</v>
      </c>
      <c r="AJ2922" s="4" t="s">
        <v>248</v>
      </c>
      <c r="AZ2922" s="4" t="s">
        <v>249</v>
      </c>
      <c r="BA2922" s="4" t="s">
        <v>241</v>
      </c>
      <c r="BB2922" s="4" t="s">
        <v>250</v>
      </c>
      <c r="BC2922" s="4" t="s">
        <v>241</v>
      </c>
      <c r="BD2922" s="4" t="s">
        <v>252</v>
      </c>
      <c r="BE2922" s="4" t="s">
        <v>241</v>
      </c>
      <c r="BI2922" s="4" t="s">
        <v>253</v>
      </c>
      <c r="BJ2922" s="5" t="s">
        <v>246</v>
      </c>
      <c r="BK2922" s="4" t="s">
        <v>254</v>
      </c>
      <c r="BL2922" s="4" t="s">
        <v>255</v>
      </c>
      <c r="BM2922" s="4" t="s">
        <v>241</v>
      </c>
      <c r="BN2922" s="6">
        <f>0</f>
        <v>0</v>
      </c>
      <c r="BO2922" s="6">
        <f>0</f>
        <v>0</v>
      </c>
      <c r="BP2922" s="4" t="s">
        <v>256</v>
      </c>
      <c r="BQ2922" s="4" t="s">
        <v>257</v>
      </c>
      <c r="CE2922" s="4" t="s">
        <v>241</v>
      </c>
      <c r="CF2922" s="4" t="s">
        <v>241</v>
      </c>
      <c r="CJ2922" s="4" t="s">
        <v>276</v>
      </c>
      <c r="CK2922" s="4" t="s">
        <v>259</v>
      </c>
      <c r="CL2922" s="4" t="s">
        <v>241</v>
      </c>
      <c r="CO2922" s="5" t="s">
        <v>260</v>
      </c>
      <c r="CP2922" s="4" t="s">
        <v>241</v>
      </c>
      <c r="CQ2922" s="4" t="s">
        <v>261</v>
      </c>
      <c r="CR2922" s="4" t="s">
        <v>241</v>
      </c>
      <c r="CS2922" s="4" t="s">
        <v>241</v>
      </c>
      <c r="CT2922" s="4">
        <v>0</v>
      </c>
      <c r="CU2922" s="4" t="s">
        <v>262</v>
      </c>
      <c r="CV2922" s="4" t="s">
        <v>263</v>
      </c>
      <c r="CW2922" s="4" t="s">
        <v>263</v>
      </c>
      <c r="CX2922" s="4" t="s">
        <v>264</v>
      </c>
      <c r="DA2922" s="6">
        <f>1</f>
        <v>1</v>
      </c>
      <c r="DC2922" s="4" t="s">
        <v>325</v>
      </c>
      <c r="DD2922" s="4" t="s">
        <v>241</v>
      </c>
      <c r="DF2922" s="4" t="s">
        <v>325</v>
      </c>
      <c r="DG2922" s="6">
        <f>1893</f>
        <v>1893</v>
      </c>
      <c r="DI2922" s="4" t="s">
        <v>241</v>
      </c>
      <c r="DJ2922" s="4" t="s">
        <v>241</v>
      </c>
      <c r="DK2922" s="4" t="s">
        <v>241</v>
      </c>
      <c r="DL2922" s="4" t="s">
        <v>241</v>
      </c>
      <c r="DP2922" s="4" t="s">
        <v>241</v>
      </c>
      <c r="DQ2922" s="4" t="s">
        <v>241</v>
      </c>
      <c r="DR2922" s="4" t="s">
        <v>241</v>
      </c>
      <c r="DS2922" s="4" t="s">
        <v>241</v>
      </c>
      <c r="DV2922" s="4" t="s">
        <v>426</v>
      </c>
      <c r="DW2922" s="4" t="s">
        <v>2043</v>
      </c>
      <c r="HO2922" s="4" t="s">
        <v>267</v>
      </c>
    </row>
    <row r="2923" spans="1:223" ht="19.5" customHeight="1" x14ac:dyDescent="0.4">
      <c r="A2923" s="4">
        <v>1</v>
      </c>
      <c r="B2923" s="4" t="s">
        <v>239</v>
      </c>
      <c r="C2923" s="4">
        <v>4626</v>
      </c>
      <c r="D2923" s="4">
        <v>1</v>
      </c>
      <c r="E2923" s="4">
        <v>1</v>
      </c>
      <c r="F2923" s="4" t="s">
        <v>268</v>
      </c>
      <c r="G2923" s="4" t="s">
        <v>241</v>
      </c>
      <c r="H2923" s="4" t="s">
        <v>241</v>
      </c>
      <c r="I2923" s="4" t="s">
        <v>424</v>
      </c>
      <c r="J2923" s="4" t="s">
        <v>274</v>
      </c>
      <c r="K2923" s="4" t="s">
        <v>251</v>
      </c>
      <c r="L2923" s="4" t="s">
        <v>423</v>
      </c>
      <c r="M2923" s="5" t="s">
        <v>4038</v>
      </c>
      <c r="N2923" s="6">
        <f>681</f>
        <v>681</v>
      </c>
      <c r="O2923" s="4" t="s">
        <v>265</v>
      </c>
      <c r="P2923" s="6">
        <f>1</f>
        <v>1</v>
      </c>
      <c r="Q2923" s="6">
        <f>0</f>
        <v>0</v>
      </c>
      <c r="S2923" s="6">
        <f>0</f>
        <v>0</v>
      </c>
      <c r="T2923" s="6">
        <f>1</f>
        <v>1</v>
      </c>
      <c r="U2923" s="5" t="s">
        <v>245</v>
      </c>
      <c r="V2923" s="4" t="s">
        <v>270</v>
      </c>
      <c r="W2923" s="4" t="s">
        <v>271</v>
      </c>
      <c r="X2923" s="4" t="s">
        <v>273</v>
      </c>
      <c r="Y2923" s="4" t="s">
        <v>241</v>
      </c>
      <c r="AB2923" s="4" t="s">
        <v>241</v>
      </c>
      <c r="AD2923" s="5" t="s">
        <v>241</v>
      </c>
      <c r="AG2923" s="5" t="s">
        <v>246</v>
      </c>
      <c r="AH2923" s="4" t="s">
        <v>241</v>
      </c>
      <c r="AI2923" s="4" t="s">
        <v>247</v>
      </c>
      <c r="AJ2923" s="4" t="s">
        <v>248</v>
      </c>
      <c r="AZ2923" s="4" t="s">
        <v>249</v>
      </c>
      <c r="BA2923" s="4" t="s">
        <v>241</v>
      </c>
      <c r="BB2923" s="4" t="s">
        <v>250</v>
      </c>
      <c r="BC2923" s="4" t="s">
        <v>241</v>
      </c>
      <c r="BD2923" s="4" t="s">
        <v>252</v>
      </c>
      <c r="BE2923" s="4" t="s">
        <v>241</v>
      </c>
      <c r="BI2923" s="4" t="s">
        <v>253</v>
      </c>
      <c r="BJ2923" s="5" t="s">
        <v>246</v>
      </c>
      <c r="BK2923" s="4" t="s">
        <v>254</v>
      </c>
      <c r="BL2923" s="4" t="s">
        <v>255</v>
      </c>
      <c r="BM2923" s="4" t="s">
        <v>241</v>
      </c>
      <c r="BN2923" s="6">
        <f>0</f>
        <v>0</v>
      </c>
      <c r="BO2923" s="6">
        <f>0</f>
        <v>0</v>
      </c>
      <c r="BP2923" s="4" t="s">
        <v>256</v>
      </c>
      <c r="BQ2923" s="4" t="s">
        <v>257</v>
      </c>
      <c r="CE2923" s="4" t="s">
        <v>241</v>
      </c>
      <c r="CF2923" s="4" t="s">
        <v>241</v>
      </c>
      <c r="CJ2923" s="4" t="s">
        <v>276</v>
      </c>
      <c r="CK2923" s="4" t="s">
        <v>259</v>
      </c>
      <c r="CL2923" s="4" t="s">
        <v>241</v>
      </c>
      <c r="CO2923" s="5" t="s">
        <v>260</v>
      </c>
      <c r="CP2923" s="4" t="s">
        <v>241</v>
      </c>
      <c r="CQ2923" s="4" t="s">
        <v>261</v>
      </c>
      <c r="CR2923" s="4" t="s">
        <v>241</v>
      </c>
      <c r="CS2923" s="4" t="s">
        <v>241</v>
      </c>
      <c r="CT2923" s="4">
        <v>0</v>
      </c>
      <c r="CU2923" s="4" t="s">
        <v>262</v>
      </c>
      <c r="CV2923" s="4" t="s">
        <v>263</v>
      </c>
      <c r="CW2923" s="4" t="s">
        <v>263</v>
      </c>
      <c r="CX2923" s="4" t="s">
        <v>264</v>
      </c>
      <c r="DA2923" s="6">
        <f>1</f>
        <v>1</v>
      </c>
      <c r="DC2923" s="4" t="s">
        <v>325</v>
      </c>
      <c r="DD2923" s="4" t="s">
        <v>241</v>
      </c>
      <c r="DF2923" s="4" t="s">
        <v>325</v>
      </c>
      <c r="DG2923" s="6">
        <f>681</f>
        <v>681</v>
      </c>
      <c r="DI2923" s="4" t="s">
        <v>241</v>
      </c>
      <c r="DJ2923" s="4" t="s">
        <v>241</v>
      </c>
      <c r="DK2923" s="4" t="s">
        <v>241</v>
      </c>
      <c r="DL2923" s="4" t="s">
        <v>241</v>
      </c>
      <c r="DP2923" s="4" t="s">
        <v>241</v>
      </c>
      <c r="DQ2923" s="4" t="s">
        <v>241</v>
      </c>
      <c r="DR2923" s="4" t="s">
        <v>241</v>
      </c>
      <c r="DS2923" s="4" t="s">
        <v>241</v>
      </c>
      <c r="DV2923" s="4" t="s">
        <v>426</v>
      </c>
      <c r="DW2923" s="4" t="s">
        <v>2041</v>
      </c>
      <c r="HO2923" s="4" t="s">
        <v>267</v>
      </c>
    </row>
    <row r="2924" spans="1:223" ht="19.5" customHeight="1" x14ac:dyDescent="0.4">
      <c r="A2924" s="4">
        <v>1</v>
      </c>
      <c r="B2924" s="4" t="s">
        <v>239</v>
      </c>
      <c r="C2924" s="4">
        <v>4627</v>
      </c>
      <c r="D2924" s="4">
        <v>1</v>
      </c>
      <c r="E2924" s="4">
        <v>1</v>
      </c>
      <c r="F2924" s="4" t="s">
        <v>268</v>
      </c>
      <c r="G2924" s="4" t="s">
        <v>241</v>
      </c>
      <c r="H2924" s="4" t="s">
        <v>241</v>
      </c>
      <c r="I2924" s="4" t="s">
        <v>424</v>
      </c>
      <c r="J2924" s="4" t="s">
        <v>274</v>
      </c>
      <c r="K2924" s="4" t="s">
        <v>251</v>
      </c>
      <c r="L2924" s="4" t="s">
        <v>423</v>
      </c>
      <c r="M2924" s="5" t="s">
        <v>4029</v>
      </c>
      <c r="N2924" s="6">
        <f>168</f>
        <v>168</v>
      </c>
      <c r="O2924" s="4" t="s">
        <v>265</v>
      </c>
      <c r="P2924" s="6">
        <f>1</f>
        <v>1</v>
      </c>
      <c r="Q2924" s="6">
        <f>0</f>
        <v>0</v>
      </c>
      <c r="S2924" s="6">
        <f>0</f>
        <v>0</v>
      </c>
      <c r="T2924" s="6">
        <f>1</f>
        <v>1</v>
      </c>
      <c r="U2924" s="5" t="s">
        <v>245</v>
      </c>
      <c r="V2924" s="4" t="s">
        <v>270</v>
      </c>
      <c r="W2924" s="4" t="s">
        <v>271</v>
      </c>
      <c r="X2924" s="4" t="s">
        <v>273</v>
      </c>
      <c r="Y2924" s="4" t="s">
        <v>241</v>
      </c>
      <c r="AB2924" s="4" t="s">
        <v>241</v>
      </c>
      <c r="AD2924" s="5" t="s">
        <v>241</v>
      </c>
      <c r="AG2924" s="5" t="s">
        <v>246</v>
      </c>
      <c r="AH2924" s="4" t="s">
        <v>241</v>
      </c>
      <c r="AI2924" s="4" t="s">
        <v>247</v>
      </c>
      <c r="AJ2924" s="4" t="s">
        <v>248</v>
      </c>
      <c r="AZ2924" s="4" t="s">
        <v>249</v>
      </c>
      <c r="BA2924" s="4" t="s">
        <v>241</v>
      </c>
      <c r="BB2924" s="4" t="s">
        <v>250</v>
      </c>
      <c r="BC2924" s="4" t="s">
        <v>241</v>
      </c>
      <c r="BD2924" s="4" t="s">
        <v>252</v>
      </c>
      <c r="BE2924" s="4" t="s">
        <v>241</v>
      </c>
      <c r="BI2924" s="4" t="s">
        <v>253</v>
      </c>
      <c r="BJ2924" s="5" t="s">
        <v>246</v>
      </c>
      <c r="BK2924" s="4" t="s">
        <v>254</v>
      </c>
      <c r="BL2924" s="4" t="s">
        <v>255</v>
      </c>
      <c r="BM2924" s="4" t="s">
        <v>241</v>
      </c>
      <c r="BN2924" s="6">
        <f>0</f>
        <v>0</v>
      </c>
      <c r="BO2924" s="6">
        <f>0</f>
        <v>0</v>
      </c>
      <c r="BP2924" s="4" t="s">
        <v>256</v>
      </c>
      <c r="BQ2924" s="4" t="s">
        <v>257</v>
      </c>
      <c r="CE2924" s="4" t="s">
        <v>241</v>
      </c>
      <c r="CF2924" s="4" t="s">
        <v>241</v>
      </c>
      <c r="CJ2924" s="4" t="s">
        <v>276</v>
      </c>
      <c r="CK2924" s="4" t="s">
        <v>259</v>
      </c>
      <c r="CL2924" s="4" t="s">
        <v>241</v>
      </c>
      <c r="CO2924" s="5" t="s">
        <v>260</v>
      </c>
      <c r="CP2924" s="4" t="s">
        <v>241</v>
      </c>
      <c r="CQ2924" s="4" t="s">
        <v>261</v>
      </c>
      <c r="CR2924" s="4" t="s">
        <v>241</v>
      </c>
      <c r="CS2924" s="4" t="s">
        <v>241</v>
      </c>
      <c r="CT2924" s="4">
        <v>0</v>
      </c>
      <c r="CU2924" s="4" t="s">
        <v>262</v>
      </c>
      <c r="CV2924" s="4" t="s">
        <v>263</v>
      </c>
      <c r="CW2924" s="4" t="s">
        <v>263</v>
      </c>
      <c r="CX2924" s="4" t="s">
        <v>264</v>
      </c>
      <c r="DA2924" s="6">
        <f>1</f>
        <v>1</v>
      </c>
      <c r="DC2924" s="4" t="s">
        <v>325</v>
      </c>
      <c r="DD2924" s="4" t="s">
        <v>241</v>
      </c>
      <c r="DF2924" s="4" t="s">
        <v>325</v>
      </c>
      <c r="DG2924" s="6">
        <f>168</f>
        <v>168</v>
      </c>
      <c r="DI2924" s="4" t="s">
        <v>241</v>
      </c>
      <c r="DJ2924" s="4" t="s">
        <v>241</v>
      </c>
      <c r="DK2924" s="4" t="s">
        <v>241</v>
      </c>
      <c r="DL2924" s="4" t="s">
        <v>241</v>
      </c>
      <c r="DP2924" s="4" t="s">
        <v>241</v>
      </c>
      <c r="DQ2924" s="4" t="s">
        <v>241</v>
      </c>
      <c r="DR2924" s="4" t="s">
        <v>241</v>
      </c>
      <c r="DS2924" s="4" t="s">
        <v>241</v>
      </c>
      <c r="DV2924" s="4" t="s">
        <v>426</v>
      </c>
      <c r="DW2924" s="4" t="s">
        <v>2039</v>
      </c>
      <c r="HO2924" s="4" t="s">
        <v>267</v>
      </c>
    </row>
    <row r="2925" spans="1:223" ht="19.5" customHeight="1" x14ac:dyDescent="0.4">
      <c r="A2925" s="4">
        <v>1</v>
      </c>
      <c r="B2925" s="4" t="s">
        <v>239</v>
      </c>
      <c r="C2925" s="4">
        <v>4628</v>
      </c>
      <c r="D2925" s="4">
        <v>1</v>
      </c>
      <c r="E2925" s="4">
        <v>1</v>
      </c>
      <c r="F2925" s="4" t="s">
        <v>268</v>
      </c>
      <c r="G2925" s="4" t="s">
        <v>241</v>
      </c>
      <c r="H2925" s="4" t="s">
        <v>241</v>
      </c>
      <c r="I2925" s="4" t="s">
        <v>424</v>
      </c>
      <c r="J2925" s="4" t="s">
        <v>274</v>
      </c>
      <c r="K2925" s="4" t="s">
        <v>251</v>
      </c>
      <c r="L2925" s="4" t="s">
        <v>423</v>
      </c>
      <c r="M2925" s="5" t="s">
        <v>4005</v>
      </c>
      <c r="N2925" s="6">
        <f>413</f>
        <v>413</v>
      </c>
      <c r="O2925" s="4" t="s">
        <v>265</v>
      </c>
      <c r="P2925" s="6">
        <f>1</f>
        <v>1</v>
      </c>
      <c r="Q2925" s="6">
        <f>0</f>
        <v>0</v>
      </c>
      <c r="S2925" s="6">
        <f>0</f>
        <v>0</v>
      </c>
      <c r="T2925" s="6">
        <f>1</f>
        <v>1</v>
      </c>
      <c r="U2925" s="5" t="s">
        <v>245</v>
      </c>
      <c r="V2925" s="4" t="s">
        <v>270</v>
      </c>
      <c r="W2925" s="4" t="s">
        <v>271</v>
      </c>
      <c r="X2925" s="4" t="s">
        <v>273</v>
      </c>
      <c r="Y2925" s="4" t="s">
        <v>241</v>
      </c>
      <c r="AB2925" s="4" t="s">
        <v>241</v>
      </c>
      <c r="AD2925" s="5" t="s">
        <v>241</v>
      </c>
      <c r="AG2925" s="5" t="s">
        <v>246</v>
      </c>
      <c r="AH2925" s="4" t="s">
        <v>241</v>
      </c>
      <c r="AI2925" s="4" t="s">
        <v>247</v>
      </c>
      <c r="AJ2925" s="4" t="s">
        <v>248</v>
      </c>
      <c r="AZ2925" s="4" t="s">
        <v>249</v>
      </c>
      <c r="BA2925" s="4" t="s">
        <v>241</v>
      </c>
      <c r="BB2925" s="4" t="s">
        <v>250</v>
      </c>
      <c r="BC2925" s="4" t="s">
        <v>241</v>
      </c>
      <c r="BD2925" s="4" t="s">
        <v>252</v>
      </c>
      <c r="BE2925" s="4" t="s">
        <v>241</v>
      </c>
      <c r="BI2925" s="4" t="s">
        <v>253</v>
      </c>
      <c r="BJ2925" s="5" t="s">
        <v>246</v>
      </c>
      <c r="BK2925" s="4" t="s">
        <v>254</v>
      </c>
      <c r="BL2925" s="4" t="s">
        <v>255</v>
      </c>
      <c r="BM2925" s="4" t="s">
        <v>241</v>
      </c>
      <c r="BN2925" s="6">
        <f>0</f>
        <v>0</v>
      </c>
      <c r="BO2925" s="6">
        <f>0</f>
        <v>0</v>
      </c>
      <c r="BP2925" s="4" t="s">
        <v>256</v>
      </c>
      <c r="BQ2925" s="4" t="s">
        <v>257</v>
      </c>
      <c r="CE2925" s="4" t="s">
        <v>241</v>
      </c>
      <c r="CF2925" s="4" t="s">
        <v>241</v>
      </c>
      <c r="CJ2925" s="4" t="s">
        <v>276</v>
      </c>
      <c r="CK2925" s="4" t="s">
        <v>259</v>
      </c>
      <c r="CL2925" s="4" t="s">
        <v>241</v>
      </c>
      <c r="CO2925" s="5" t="s">
        <v>260</v>
      </c>
      <c r="CP2925" s="4" t="s">
        <v>241</v>
      </c>
      <c r="CQ2925" s="4" t="s">
        <v>261</v>
      </c>
      <c r="CR2925" s="4" t="s">
        <v>241</v>
      </c>
      <c r="CS2925" s="4" t="s">
        <v>241</v>
      </c>
      <c r="CT2925" s="4">
        <v>0</v>
      </c>
      <c r="CU2925" s="4" t="s">
        <v>262</v>
      </c>
      <c r="CV2925" s="4" t="s">
        <v>263</v>
      </c>
      <c r="CW2925" s="4" t="s">
        <v>263</v>
      </c>
      <c r="CX2925" s="4" t="s">
        <v>264</v>
      </c>
      <c r="DA2925" s="6">
        <f>1</f>
        <v>1</v>
      </c>
      <c r="DC2925" s="4" t="s">
        <v>325</v>
      </c>
      <c r="DD2925" s="4" t="s">
        <v>241</v>
      </c>
      <c r="DF2925" s="4" t="s">
        <v>325</v>
      </c>
      <c r="DG2925" s="6">
        <f>413</f>
        <v>413</v>
      </c>
      <c r="DI2925" s="4" t="s">
        <v>241</v>
      </c>
      <c r="DJ2925" s="4" t="s">
        <v>241</v>
      </c>
      <c r="DK2925" s="4" t="s">
        <v>241</v>
      </c>
      <c r="DL2925" s="4" t="s">
        <v>241</v>
      </c>
      <c r="DP2925" s="4" t="s">
        <v>241</v>
      </c>
      <c r="DQ2925" s="4" t="s">
        <v>241</v>
      </c>
      <c r="DR2925" s="4" t="s">
        <v>241</v>
      </c>
      <c r="DS2925" s="4" t="s">
        <v>241</v>
      </c>
      <c r="DV2925" s="4" t="s">
        <v>426</v>
      </c>
      <c r="DW2925" s="4" t="s">
        <v>2037</v>
      </c>
      <c r="HO2925" s="4" t="s">
        <v>267</v>
      </c>
    </row>
    <row r="2926" spans="1:223" ht="19.5" customHeight="1" x14ac:dyDescent="0.4">
      <c r="A2926" s="4">
        <v>1</v>
      </c>
      <c r="B2926" s="4" t="s">
        <v>239</v>
      </c>
      <c r="C2926" s="4">
        <v>4629</v>
      </c>
      <c r="D2926" s="4">
        <v>1</v>
      </c>
      <c r="E2926" s="4">
        <v>1</v>
      </c>
      <c r="F2926" s="4" t="s">
        <v>268</v>
      </c>
      <c r="G2926" s="4" t="s">
        <v>241</v>
      </c>
      <c r="H2926" s="4" t="s">
        <v>241</v>
      </c>
      <c r="I2926" s="4" t="s">
        <v>424</v>
      </c>
      <c r="J2926" s="4" t="s">
        <v>274</v>
      </c>
      <c r="K2926" s="4" t="s">
        <v>251</v>
      </c>
      <c r="L2926" s="4" t="s">
        <v>423</v>
      </c>
      <c r="M2926" s="5" t="s">
        <v>3989</v>
      </c>
      <c r="N2926" s="6">
        <f>142</f>
        <v>142</v>
      </c>
      <c r="O2926" s="4" t="s">
        <v>265</v>
      </c>
      <c r="P2926" s="6">
        <f>1</f>
        <v>1</v>
      </c>
      <c r="Q2926" s="6">
        <f>0</f>
        <v>0</v>
      </c>
      <c r="S2926" s="6">
        <f>0</f>
        <v>0</v>
      </c>
      <c r="T2926" s="6">
        <f>1</f>
        <v>1</v>
      </c>
      <c r="U2926" s="5" t="s">
        <v>245</v>
      </c>
      <c r="V2926" s="4" t="s">
        <v>270</v>
      </c>
      <c r="W2926" s="4" t="s">
        <v>271</v>
      </c>
      <c r="X2926" s="4" t="s">
        <v>273</v>
      </c>
      <c r="Y2926" s="4" t="s">
        <v>241</v>
      </c>
      <c r="AB2926" s="4" t="s">
        <v>241</v>
      </c>
      <c r="AD2926" s="5" t="s">
        <v>241</v>
      </c>
      <c r="AG2926" s="5" t="s">
        <v>246</v>
      </c>
      <c r="AH2926" s="4" t="s">
        <v>241</v>
      </c>
      <c r="AI2926" s="4" t="s">
        <v>247</v>
      </c>
      <c r="AJ2926" s="4" t="s">
        <v>248</v>
      </c>
      <c r="AZ2926" s="4" t="s">
        <v>249</v>
      </c>
      <c r="BA2926" s="4" t="s">
        <v>241</v>
      </c>
      <c r="BB2926" s="4" t="s">
        <v>250</v>
      </c>
      <c r="BC2926" s="4" t="s">
        <v>241</v>
      </c>
      <c r="BD2926" s="4" t="s">
        <v>252</v>
      </c>
      <c r="BE2926" s="4" t="s">
        <v>241</v>
      </c>
      <c r="BI2926" s="4" t="s">
        <v>253</v>
      </c>
      <c r="BJ2926" s="5" t="s">
        <v>246</v>
      </c>
      <c r="BK2926" s="4" t="s">
        <v>254</v>
      </c>
      <c r="BL2926" s="4" t="s">
        <v>255</v>
      </c>
      <c r="BM2926" s="4" t="s">
        <v>241</v>
      </c>
      <c r="BN2926" s="6">
        <f>0</f>
        <v>0</v>
      </c>
      <c r="BO2926" s="6">
        <f>0</f>
        <v>0</v>
      </c>
      <c r="BP2926" s="4" t="s">
        <v>256</v>
      </c>
      <c r="BQ2926" s="4" t="s">
        <v>257</v>
      </c>
      <c r="CE2926" s="4" t="s">
        <v>241</v>
      </c>
      <c r="CF2926" s="4" t="s">
        <v>241</v>
      </c>
      <c r="CJ2926" s="4" t="s">
        <v>276</v>
      </c>
      <c r="CK2926" s="4" t="s">
        <v>259</v>
      </c>
      <c r="CL2926" s="4" t="s">
        <v>241</v>
      </c>
      <c r="CO2926" s="5" t="s">
        <v>260</v>
      </c>
      <c r="CP2926" s="4" t="s">
        <v>241</v>
      </c>
      <c r="CQ2926" s="4" t="s">
        <v>261</v>
      </c>
      <c r="CR2926" s="4" t="s">
        <v>241</v>
      </c>
      <c r="CS2926" s="4" t="s">
        <v>241</v>
      </c>
      <c r="CT2926" s="4">
        <v>0</v>
      </c>
      <c r="CU2926" s="4" t="s">
        <v>262</v>
      </c>
      <c r="CV2926" s="4" t="s">
        <v>263</v>
      </c>
      <c r="CW2926" s="4" t="s">
        <v>263</v>
      </c>
      <c r="CX2926" s="4" t="s">
        <v>264</v>
      </c>
      <c r="DA2926" s="6">
        <f>1</f>
        <v>1</v>
      </c>
      <c r="DC2926" s="4" t="s">
        <v>325</v>
      </c>
      <c r="DD2926" s="4" t="s">
        <v>241</v>
      </c>
      <c r="DF2926" s="4" t="s">
        <v>325</v>
      </c>
      <c r="DG2926" s="6">
        <f>142</f>
        <v>142</v>
      </c>
      <c r="DI2926" s="4" t="s">
        <v>241</v>
      </c>
      <c r="DJ2926" s="4" t="s">
        <v>241</v>
      </c>
      <c r="DK2926" s="4" t="s">
        <v>241</v>
      </c>
      <c r="DL2926" s="4" t="s">
        <v>241</v>
      </c>
      <c r="DP2926" s="4" t="s">
        <v>241</v>
      </c>
      <c r="DQ2926" s="4" t="s">
        <v>241</v>
      </c>
      <c r="DR2926" s="4" t="s">
        <v>241</v>
      </c>
      <c r="DS2926" s="4" t="s">
        <v>241</v>
      </c>
      <c r="DV2926" s="4" t="s">
        <v>426</v>
      </c>
      <c r="DW2926" s="4" t="s">
        <v>2035</v>
      </c>
      <c r="HO2926" s="4" t="s">
        <v>267</v>
      </c>
    </row>
    <row r="2927" spans="1:223" ht="19.5" customHeight="1" x14ac:dyDescent="0.4">
      <c r="A2927" s="4">
        <v>1</v>
      </c>
      <c r="B2927" s="4" t="s">
        <v>239</v>
      </c>
      <c r="C2927" s="4">
        <v>4630</v>
      </c>
      <c r="D2927" s="4">
        <v>1</v>
      </c>
      <c r="E2927" s="4">
        <v>1</v>
      </c>
      <c r="F2927" s="4" t="s">
        <v>268</v>
      </c>
      <c r="G2927" s="4" t="s">
        <v>241</v>
      </c>
      <c r="H2927" s="4" t="s">
        <v>241</v>
      </c>
      <c r="I2927" s="4" t="s">
        <v>424</v>
      </c>
      <c r="J2927" s="4" t="s">
        <v>274</v>
      </c>
      <c r="K2927" s="4" t="s">
        <v>251</v>
      </c>
      <c r="L2927" s="4" t="s">
        <v>423</v>
      </c>
      <c r="M2927" s="5" t="s">
        <v>3981</v>
      </c>
      <c r="N2927" s="6">
        <f>2013</f>
        <v>2013</v>
      </c>
      <c r="O2927" s="4" t="s">
        <v>265</v>
      </c>
      <c r="P2927" s="6">
        <f>1</f>
        <v>1</v>
      </c>
      <c r="Q2927" s="6">
        <f>0</f>
        <v>0</v>
      </c>
      <c r="S2927" s="6">
        <f>0</f>
        <v>0</v>
      </c>
      <c r="T2927" s="6">
        <f>1</f>
        <v>1</v>
      </c>
      <c r="U2927" s="5" t="s">
        <v>245</v>
      </c>
      <c r="V2927" s="4" t="s">
        <v>270</v>
      </c>
      <c r="W2927" s="4" t="s">
        <v>271</v>
      </c>
      <c r="X2927" s="4" t="s">
        <v>273</v>
      </c>
      <c r="Y2927" s="4" t="s">
        <v>241</v>
      </c>
      <c r="AB2927" s="4" t="s">
        <v>241</v>
      </c>
      <c r="AD2927" s="5" t="s">
        <v>241</v>
      </c>
      <c r="AG2927" s="5" t="s">
        <v>246</v>
      </c>
      <c r="AH2927" s="4" t="s">
        <v>241</v>
      </c>
      <c r="AI2927" s="4" t="s">
        <v>247</v>
      </c>
      <c r="AJ2927" s="4" t="s">
        <v>248</v>
      </c>
      <c r="AZ2927" s="4" t="s">
        <v>249</v>
      </c>
      <c r="BA2927" s="4" t="s">
        <v>241</v>
      </c>
      <c r="BB2927" s="4" t="s">
        <v>250</v>
      </c>
      <c r="BC2927" s="4" t="s">
        <v>241</v>
      </c>
      <c r="BD2927" s="4" t="s">
        <v>252</v>
      </c>
      <c r="BE2927" s="4" t="s">
        <v>241</v>
      </c>
      <c r="BI2927" s="4" t="s">
        <v>253</v>
      </c>
      <c r="BJ2927" s="5" t="s">
        <v>246</v>
      </c>
      <c r="BK2927" s="4" t="s">
        <v>254</v>
      </c>
      <c r="BL2927" s="4" t="s">
        <v>255</v>
      </c>
      <c r="BM2927" s="4" t="s">
        <v>241</v>
      </c>
      <c r="BN2927" s="6">
        <f>0</f>
        <v>0</v>
      </c>
      <c r="BO2927" s="6">
        <f>0</f>
        <v>0</v>
      </c>
      <c r="BP2927" s="4" t="s">
        <v>256</v>
      </c>
      <c r="BQ2927" s="4" t="s">
        <v>257</v>
      </c>
      <c r="CE2927" s="4" t="s">
        <v>241</v>
      </c>
      <c r="CF2927" s="4" t="s">
        <v>241</v>
      </c>
      <c r="CJ2927" s="4" t="s">
        <v>276</v>
      </c>
      <c r="CK2927" s="4" t="s">
        <v>259</v>
      </c>
      <c r="CL2927" s="4" t="s">
        <v>241</v>
      </c>
      <c r="CO2927" s="5" t="s">
        <v>260</v>
      </c>
      <c r="CP2927" s="4" t="s">
        <v>241</v>
      </c>
      <c r="CQ2927" s="4" t="s">
        <v>261</v>
      </c>
      <c r="CR2927" s="4" t="s">
        <v>241</v>
      </c>
      <c r="CS2927" s="4" t="s">
        <v>241</v>
      </c>
      <c r="CT2927" s="4">
        <v>0</v>
      </c>
      <c r="CU2927" s="4" t="s">
        <v>262</v>
      </c>
      <c r="CV2927" s="4" t="s">
        <v>263</v>
      </c>
      <c r="CW2927" s="4" t="s">
        <v>263</v>
      </c>
      <c r="CX2927" s="4" t="s">
        <v>264</v>
      </c>
      <c r="DA2927" s="6">
        <f>1</f>
        <v>1</v>
      </c>
      <c r="DC2927" s="4" t="s">
        <v>325</v>
      </c>
      <c r="DD2927" s="4" t="s">
        <v>241</v>
      </c>
      <c r="DF2927" s="4" t="s">
        <v>325</v>
      </c>
      <c r="DG2927" s="6">
        <f>2013</f>
        <v>2013</v>
      </c>
      <c r="DI2927" s="4" t="s">
        <v>241</v>
      </c>
      <c r="DJ2927" s="4" t="s">
        <v>241</v>
      </c>
      <c r="DK2927" s="4" t="s">
        <v>241</v>
      </c>
      <c r="DL2927" s="4" t="s">
        <v>241</v>
      </c>
      <c r="DP2927" s="4" t="s">
        <v>241</v>
      </c>
      <c r="DQ2927" s="4" t="s">
        <v>241</v>
      </c>
      <c r="DR2927" s="4" t="s">
        <v>241</v>
      </c>
      <c r="DS2927" s="4" t="s">
        <v>241</v>
      </c>
      <c r="DV2927" s="4" t="s">
        <v>426</v>
      </c>
      <c r="DW2927" s="4" t="s">
        <v>2033</v>
      </c>
      <c r="HO2927" s="4" t="s">
        <v>267</v>
      </c>
    </row>
    <row r="2928" spans="1:223" ht="19.5" customHeight="1" x14ac:dyDescent="0.4">
      <c r="A2928" s="4">
        <v>1</v>
      </c>
      <c r="B2928" s="4" t="s">
        <v>239</v>
      </c>
      <c r="C2928" s="4">
        <v>4631</v>
      </c>
      <c r="D2928" s="4">
        <v>1</v>
      </c>
      <c r="E2928" s="4">
        <v>1</v>
      </c>
      <c r="F2928" s="4" t="s">
        <v>268</v>
      </c>
      <c r="G2928" s="4" t="s">
        <v>241</v>
      </c>
      <c r="H2928" s="4" t="s">
        <v>241</v>
      </c>
      <c r="I2928" s="4" t="s">
        <v>424</v>
      </c>
      <c r="J2928" s="4" t="s">
        <v>274</v>
      </c>
      <c r="K2928" s="4" t="s">
        <v>251</v>
      </c>
      <c r="L2928" s="4" t="s">
        <v>423</v>
      </c>
      <c r="M2928" s="5" t="s">
        <v>3964</v>
      </c>
      <c r="N2928" s="6">
        <f>536</f>
        <v>536</v>
      </c>
      <c r="O2928" s="4" t="s">
        <v>265</v>
      </c>
      <c r="P2928" s="6">
        <f>1</f>
        <v>1</v>
      </c>
      <c r="Q2928" s="6">
        <f>0</f>
        <v>0</v>
      </c>
      <c r="S2928" s="6">
        <f>0</f>
        <v>0</v>
      </c>
      <c r="T2928" s="6">
        <f>1</f>
        <v>1</v>
      </c>
      <c r="U2928" s="5" t="s">
        <v>245</v>
      </c>
      <c r="V2928" s="4" t="s">
        <v>270</v>
      </c>
      <c r="W2928" s="4" t="s">
        <v>271</v>
      </c>
      <c r="X2928" s="4" t="s">
        <v>273</v>
      </c>
      <c r="Y2928" s="4" t="s">
        <v>241</v>
      </c>
      <c r="AB2928" s="4" t="s">
        <v>241</v>
      </c>
      <c r="AD2928" s="5" t="s">
        <v>241</v>
      </c>
      <c r="AG2928" s="5" t="s">
        <v>246</v>
      </c>
      <c r="AH2928" s="4" t="s">
        <v>241</v>
      </c>
      <c r="AI2928" s="4" t="s">
        <v>247</v>
      </c>
      <c r="AJ2928" s="4" t="s">
        <v>248</v>
      </c>
      <c r="AZ2928" s="4" t="s">
        <v>249</v>
      </c>
      <c r="BA2928" s="4" t="s">
        <v>241</v>
      </c>
      <c r="BB2928" s="4" t="s">
        <v>250</v>
      </c>
      <c r="BC2928" s="4" t="s">
        <v>241</v>
      </c>
      <c r="BD2928" s="4" t="s">
        <v>252</v>
      </c>
      <c r="BE2928" s="4" t="s">
        <v>241</v>
      </c>
      <c r="BI2928" s="4" t="s">
        <v>253</v>
      </c>
      <c r="BJ2928" s="5" t="s">
        <v>246</v>
      </c>
      <c r="BK2928" s="4" t="s">
        <v>254</v>
      </c>
      <c r="BL2928" s="4" t="s">
        <v>255</v>
      </c>
      <c r="BM2928" s="4" t="s">
        <v>241</v>
      </c>
      <c r="BN2928" s="6">
        <f>0</f>
        <v>0</v>
      </c>
      <c r="BO2928" s="6">
        <f>0</f>
        <v>0</v>
      </c>
      <c r="BP2928" s="4" t="s">
        <v>256</v>
      </c>
      <c r="BQ2928" s="4" t="s">
        <v>257</v>
      </c>
      <c r="CE2928" s="4" t="s">
        <v>241</v>
      </c>
      <c r="CF2928" s="4" t="s">
        <v>241</v>
      </c>
      <c r="CJ2928" s="4" t="s">
        <v>276</v>
      </c>
      <c r="CK2928" s="4" t="s">
        <v>259</v>
      </c>
      <c r="CL2928" s="4" t="s">
        <v>241</v>
      </c>
      <c r="CO2928" s="5" t="s">
        <v>260</v>
      </c>
      <c r="CP2928" s="4" t="s">
        <v>241</v>
      </c>
      <c r="CQ2928" s="4" t="s">
        <v>261</v>
      </c>
      <c r="CR2928" s="4" t="s">
        <v>241</v>
      </c>
      <c r="CS2928" s="4" t="s">
        <v>241</v>
      </c>
      <c r="CT2928" s="4">
        <v>0</v>
      </c>
      <c r="CU2928" s="4" t="s">
        <v>262</v>
      </c>
      <c r="CV2928" s="4" t="s">
        <v>263</v>
      </c>
      <c r="CW2928" s="4" t="s">
        <v>263</v>
      </c>
      <c r="CX2928" s="4" t="s">
        <v>264</v>
      </c>
      <c r="DA2928" s="6">
        <f>1</f>
        <v>1</v>
      </c>
      <c r="DC2928" s="4" t="s">
        <v>325</v>
      </c>
      <c r="DD2928" s="4" t="s">
        <v>241</v>
      </c>
      <c r="DF2928" s="4" t="s">
        <v>325</v>
      </c>
      <c r="DG2928" s="6">
        <f>536</f>
        <v>536</v>
      </c>
      <c r="DI2928" s="4" t="s">
        <v>241</v>
      </c>
      <c r="DJ2928" s="4" t="s">
        <v>241</v>
      </c>
      <c r="DK2928" s="4" t="s">
        <v>241</v>
      </c>
      <c r="DL2928" s="4" t="s">
        <v>241</v>
      </c>
      <c r="DP2928" s="4" t="s">
        <v>241</v>
      </c>
      <c r="DQ2928" s="4" t="s">
        <v>241</v>
      </c>
      <c r="DR2928" s="4" t="s">
        <v>241</v>
      </c>
      <c r="DS2928" s="4" t="s">
        <v>241</v>
      </c>
      <c r="DV2928" s="4" t="s">
        <v>426</v>
      </c>
      <c r="DW2928" s="4" t="s">
        <v>2030</v>
      </c>
      <c r="HO2928" s="4" t="s">
        <v>267</v>
      </c>
    </row>
    <row r="2929" spans="1:223" ht="19.5" customHeight="1" x14ac:dyDescent="0.4">
      <c r="A2929" s="4">
        <v>1</v>
      </c>
      <c r="B2929" s="4" t="s">
        <v>239</v>
      </c>
      <c r="C2929" s="4">
        <v>4632</v>
      </c>
      <c r="D2929" s="4">
        <v>1</v>
      </c>
      <c r="E2929" s="4">
        <v>1</v>
      </c>
      <c r="F2929" s="4" t="s">
        <v>268</v>
      </c>
      <c r="G2929" s="4" t="s">
        <v>241</v>
      </c>
      <c r="H2929" s="4" t="s">
        <v>241</v>
      </c>
      <c r="I2929" s="4" t="s">
        <v>424</v>
      </c>
      <c r="J2929" s="4" t="s">
        <v>274</v>
      </c>
      <c r="K2929" s="4" t="s">
        <v>251</v>
      </c>
      <c r="L2929" s="4" t="s">
        <v>423</v>
      </c>
      <c r="M2929" s="5" t="s">
        <v>3953</v>
      </c>
      <c r="N2929" s="6">
        <f>623</f>
        <v>623</v>
      </c>
      <c r="O2929" s="4" t="s">
        <v>265</v>
      </c>
      <c r="P2929" s="6">
        <f>1</f>
        <v>1</v>
      </c>
      <c r="Q2929" s="6">
        <f>0</f>
        <v>0</v>
      </c>
      <c r="S2929" s="6">
        <f>0</f>
        <v>0</v>
      </c>
      <c r="T2929" s="6">
        <f>1</f>
        <v>1</v>
      </c>
      <c r="U2929" s="5" t="s">
        <v>245</v>
      </c>
      <c r="V2929" s="4" t="s">
        <v>270</v>
      </c>
      <c r="W2929" s="4" t="s">
        <v>271</v>
      </c>
      <c r="X2929" s="4" t="s">
        <v>273</v>
      </c>
      <c r="Y2929" s="4" t="s">
        <v>241</v>
      </c>
      <c r="AB2929" s="4" t="s">
        <v>241</v>
      </c>
      <c r="AD2929" s="5" t="s">
        <v>241</v>
      </c>
      <c r="AG2929" s="5" t="s">
        <v>246</v>
      </c>
      <c r="AH2929" s="4" t="s">
        <v>241</v>
      </c>
      <c r="AI2929" s="4" t="s">
        <v>247</v>
      </c>
      <c r="AJ2929" s="4" t="s">
        <v>248</v>
      </c>
      <c r="AZ2929" s="4" t="s">
        <v>249</v>
      </c>
      <c r="BA2929" s="4" t="s">
        <v>241</v>
      </c>
      <c r="BB2929" s="4" t="s">
        <v>250</v>
      </c>
      <c r="BC2929" s="4" t="s">
        <v>241</v>
      </c>
      <c r="BD2929" s="4" t="s">
        <v>252</v>
      </c>
      <c r="BE2929" s="4" t="s">
        <v>241</v>
      </c>
      <c r="BI2929" s="4" t="s">
        <v>253</v>
      </c>
      <c r="BJ2929" s="5" t="s">
        <v>246</v>
      </c>
      <c r="BK2929" s="4" t="s">
        <v>254</v>
      </c>
      <c r="BL2929" s="4" t="s">
        <v>255</v>
      </c>
      <c r="BM2929" s="4" t="s">
        <v>241</v>
      </c>
      <c r="BN2929" s="6">
        <f>0</f>
        <v>0</v>
      </c>
      <c r="BO2929" s="6">
        <f>0</f>
        <v>0</v>
      </c>
      <c r="BP2929" s="4" t="s">
        <v>256</v>
      </c>
      <c r="BQ2929" s="4" t="s">
        <v>257</v>
      </c>
      <c r="CE2929" s="4" t="s">
        <v>241</v>
      </c>
      <c r="CF2929" s="4" t="s">
        <v>241</v>
      </c>
      <c r="CJ2929" s="4" t="s">
        <v>276</v>
      </c>
      <c r="CK2929" s="4" t="s">
        <v>259</v>
      </c>
      <c r="CL2929" s="4" t="s">
        <v>241</v>
      </c>
      <c r="CO2929" s="5" t="s">
        <v>260</v>
      </c>
      <c r="CP2929" s="4" t="s">
        <v>241</v>
      </c>
      <c r="CQ2929" s="4" t="s">
        <v>261</v>
      </c>
      <c r="CR2929" s="4" t="s">
        <v>241</v>
      </c>
      <c r="CS2929" s="4" t="s">
        <v>241</v>
      </c>
      <c r="CT2929" s="4">
        <v>0</v>
      </c>
      <c r="CU2929" s="4" t="s">
        <v>262</v>
      </c>
      <c r="CV2929" s="4" t="s">
        <v>263</v>
      </c>
      <c r="CW2929" s="4" t="s">
        <v>263</v>
      </c>
      <c r="CX2929" s="4" t="s">
        <v>264</v>
      </c>
      <c r="DA2929" s="6">
        <f>1</f>
        <v>1</v>
      </c>
      <c r="DC2929" s="4" t="s">
        <v>325</v>
      </c>
      <c r="DD2929" s="4" t="s">
        <v>241</v>
      </c>
      <c r="DF2929" s="4" t="s">
        <v>325</v>
      </c>
      <c r="DG2929" s="6">
        <f>623</f>
        <v>623</v>
      </c>
      <c r="DI2929" s="4" t="s">
        <v>241</v>
      </c>
      <c r="DJ2929" s="4" t="s">
        <v>241</v>
      </c>
      <c r="DK2929" s="4" t="s">
        <v>241</v>
      </c>
      <c r="DL2929" s="4" t="s">
        <v>241</v>
      </c>
      <c r="DP2929" s="4" t="s">
        <v>241</v>
      </c>
      <c r="DQ2929" s="4" t="s">
        <v>241</v>
      </c>
      <c r="DR2929" s="4" t="s">
        <v>241</v>
      </c>
      <c r="DS2929" s="4" t="s">
        <v>241</v>
      </c>
      <c r="DV2929" s="4" t="s">
        <v>426</v>
      </c>
      <c r="DW2929" s="4" t="s">
        <v>2028</v>
      </c>
      <c r="HO2929" s="4" t="s">
        <v>267</v>
      </c>
    </row>
    <row r="2930" spans="1:223" ht="19.5" customHeight="1" x14ac:dyDescent="0.4">
      <c r="A2930" s="4">
        <v>1</v>
      </c>
      <c r="B2930" s="4" t="s">
        <v>239</v>
      </c>
      <c r="C2930" s="4">
        <v>4633</v>
      </c>
      <c r="D2930" s="4">
        <v>1</v>
      </c>
      <c r="E2930" s="4">
        <v>1</v>
      </c>
      <c r="F2930" s="4" t="s">
        <v>268</v>
      </c>
      <c r="G2930" s="4" t="s">
        <v>241</v>
      </c>
      <c r="H2930" s="4" t="s">
        <v>241</v>
      </c>
      <c r="I2930" s="4" t="s">
        <v>424</v>
      </c>
      <c r="J2930" s="4" t="s">
        <v>274</v>
      </c>
      <c r="K2930" s="4" t="s">
        <v>251</v>
      </c>
      <c r="L2930" s="4" t="s">
        <v>423</v>
      </c>
      <c r="M2930" s="5" t="s">
        <v>3939</v>
      </c>
      <c r="N2930" s="6">
        <f>627</f>
        <v>627</v>
      </c>
      <c r="O2930" s="4" t="s">
        <v>265</v>
      </c>
      <c r="P2930" s="6">
        <f>1</f>
        <v>1</v>
      </c>
      <c r="Q2930" s="6">
        <f>0</f>
        <v>0</v>
      </c>
      <c r="S2930" s="6">
        <f>0</f>
        <v>0</v>
      </c>
      <c r="T2930" s="6">
        <f>1</f>
        <v>1</v>
      </c>
      <c r="U2930" s="5" t="s">
        <v>245</v>
      </c>
      <c r="V2930" s="4" t="s">
        <v>270</v>
      </c>
      <c r="W2930" s="4" t="s">
        <v>271</v>
      </c>
      <c r="X2930" s="4" t="s">
        <v>273</v>
      </c>
      <c r="Y2930" s="4" t="s">
        <v>241</v>
      </c>
      <c r="AB2930" s="4" t="s">
        <v>241</v>
      </c>
      <c r="AD2930" s="5" t="s">
        <v>241</v>
      </c>
      <c r="AG2930" s="5" t="s">
        <v>246</v>
      </c>
      <c r="AH2930" s="4" t="s">
        <v>241</v>
      </c>
      <c r="AI2930" s="4" t="s">
        <v>247</v>
      </c>
      <c r="AJ2930" s="4" t="s">
        <v>248</v>
      </c>
      <c r="AZ2930" s="4" t="s">
        <v>249</v>
      </c>
      <c r="BA2930" s="4" t="s">
        <v>241</v>
      </c>
      <c r="BB2930" s="4" t="s">
        <v>250</v>
      </c>
      <c r="BC2930" s="4" t="s">
        <v>241</v>
      </c>
      <c r="BD2930" s="4" t="s">
        <v>252</v>
      </c>
      <c r="BE2930" s="4" t="s">
        <v>241</v>
      </c>
      <c r="BI2930" s="4" t="s">
        <v>253</v>
      </c>
      <c r="BJ2930" s="5" t="s">
        <v>246</v>
      </c>
      <c r="BK2930" s="4" t="s">
        <v>254</v>
      </c>
      <c r="BL2930" s="4" t="s">
        <v>255</v>
      </c>
      <c r="BM2930" s="4" t="s">
        <v>241</v>
      </c>
      <c r="BN2930" s="6">
        <f>0</f>
        <v>0</v>
      </c>
      <c r="BO2930" s="6">
        <f>0</f>
        <v>0</v>
      </c>
      <c r="BP2930" s="4" t="s">
        <v>256</v>
      </c>
      <c r="BQ2930" s="4" t="s">
        <v>257</v>
      </c>
      <c r="CE2930" s="4" t="s">
        <v>241</v>
      </c>
      <c r="CF2930" s="4" t="s">
        <v>241</v>
      </c>
      <c r="CJ2930" s="4" t="s">
        <v>276</v>
      </c>
      <c r="CK2930" s="4" t="s">
        <v>259</v>
      </c>
      <c r="CL2930" s="4" t="s">
        <v>241</v>
      </c>
      <c r="CO2930" s="5" t="s">
        <v>260</v>
      </c>
      <c r="CP2930" s="4" t="s">
        <v>241</v>
      </c>
      <c r="CQ2930" s="4" t="s">
        <v>261</v>
      </c>
      <c r="CR2930" s="4" t="s">
        <v>241</v>
      </c>
      <c r="CS2930" s="4" t="s">
        <v>241</v>
      </c>
      <c r="CT2930" s="4">
        <v>0</v>
      </c>
      <c r="CU2930" s="4" t="s">
        <v>262</v>
      </c>
      <c r="CV2930" s="4" t="s">
        <v>263</v>
      </c>
      <c r="CW2930" s="4" t="s">
        <v>263</v>
      </c>
      <c r="CX2930" s="4" t="s">
        <v>264</v>
      </c>
      <c r="DA2930" s="6">
        <f>1</f>
        <v>1</v>
      </c>
      <c r="DC2930" s="4" t="s">
        <v>325</v>
      </c>
      <c r="DD2930" s="4" t="s">
        <v>241</v>
      </c>
      <c r="DF2930" s="4" t="s">
        <v>325</v>
      </c>
      <c r="DG2930" s="6">
        <f>627</f>
        <v>627</v>
      </c>
      <c r="DI2930" s="4" t="s">
        <v>241</v>
      </c>
      <c r="DJ2930" s="4" t="s">
        <v>241</v>
      </c>
      <c r="DK2930" s="4" t="s">
        <v>241</v>
      </c>
      <c r="DL2930" s="4" t="s">
        <v>241</v>
      </c>
      <c r="DP2930" s="4" t="s">
        <v>241</v>
      </c>
      <c r="DQ2930" s="4" t="s">
        <v>241</v>
      </c>
      <c r="DR2930" s="4" t="s">
        <v>241</v>
      </c>
      <c r="DS2930" s="4" t="s">
        <v>241</v>
      </c>
      <c r="DV2930" s="4" t="s">
        <v>426</v>
      </c>
      <c r="DW2930" s="4" t="s">
        <v>2026</v>
      </c>
      <c r="HO2930" s="4" t="s">
        <v>267</v>
      </c>
    </row>
    <row r="2931" spans="1:223" ht="19.5" customHeight="1" x14ac:dyDescent="0.4">
      <c r="A2931" s="4">
        <v>1</v>
      </c>
      <c r="B2931" s="4" t="s">
        <v>239</v>
      </c>
      <c r="C2931" s="4">
        <v>4634</v>
      </c>
      <c r="D2931" s="4">
        <v>1</v>
      </c>
      <c r="E2931" s="4">
        <v>1</v>
      </c>
      <c r="F2931" s="4" t="s">
        <v>268</v>
      </c>
      <c r="G2931" s="4" t="s">
        <v>241</v>
      </c>
      <c r="H2931" s="4" t="s">
        <v>241</v>
      </c>
      <c r="I2931" s="4" t="s">
        <v>424</v>
      </c>
      <c r="J2931" s="4" t="s">
        <v>274</v>
      </c>
      <c r="K2931" s="4" t="s">
        <v>251</v>
      </c>
      <c r="L2931" s="4" t="s">
        <v>423</v>
      </c>
      <c r="M2931" s="5" t="s">
        <v>3921</v>
      </c>
      <c r="N2931" s="6">
        <f>174</f>
        <v>174</v>
      </c>
      <c r="O2931" s="4" t="s">
        <v>265</v>
      </c>
      <c r="P2931" s="6">
        <f>1</f>
        <v>1</v>
      </c>
      <c r="Q2931" s="6">
        <f>0</f>
        <v>0</v>
      </c>
      <c r="S2931" s="6">
        <f>0</f>
        <v>0</v>
      </c>
      <c r="T2931" s="6">
        <f>1</f>
        <v>1</v>
      </c>
      <c r="U2931" s="5" t="s">
        <v>245</v>
      </c>
      <c r="V2931" s="4" t="s">
        <v>270</v>
      </c>
      <c r="W2931" s="4" t="s">
        <v>271</v>
      </c>
      <c r="X2931" s="4" t="s">
        <v>273</v>
      </c>
      <c r="Y2931" s="4" t="s">
        <v>241</v>
      </c>
      <c r="AB2931" s="4" t="s">
        <v>241</v>
      </c>
      <c r="AD2931" s="5" t="s">
        <v>241</v>
      </c>
      <c r="AG2931" s="5" t="s">
        <v>246</v>
      </c>
      <c r="AH2931" s="4" t="s">
        <v>241</v>
      </c>
      <c r="AI2931" s="4" t="s">
        <v>247</v>
      </c>
      <c r="AJ2931" s="4" t="s">
        <v>248</v>
      </c>
      <c r="AZ2931" s="4" t="s">
        <v>249</v>
      </c>
      <c r="BA2931" s="4" t="s">
        <v>241</v>
      </c>
      <c r="BB2931" s="4" t="s">
        <v>250</v>
      </c>
      <c r="BC2931" s="4" t="s">
        <v>241</v>
      </c>
      <c r="BD2931" s="4" t="s">
        <v>252</v>
      </c>
      <c r="BE2931" s="4" t="s">
        <v>241</v>
      </c>
      <c r="BI2931" s="4" t="s">
        <v>253</v>
      </c>
      <c r="BJ2931" s="5" t="s">
        <v>246</v>
      </c>
      <c r="BK2931" s="4" t="s">
        <v>254</v>
      </c>
      <c r="BL2931" s="4" t="s">
        <v>255</v>
      </c>
      <c r="BM2931" s="4" t="s">
        <v>241</v>
      </c>
      <c r="BN2931" s="6">
        <f>0</f>
        <v>0</v>
      </c>
      <c r="BO2931" s="6">
        <f>0</f>
        <v>0</v>
      </c>
      <c r="BP2931" s="4" t="s">
        <v>256</v>
      </c>
      <c r="BQ2931" s="4" t="s">
        <v>257</v>
      </c>
      <c r="CE2931" s="4" t="s">
        <v>241</v>
      </c>
      <c r="CF2931" s="4" t="s">
        <v>241</v>
      </c>
      <c r="CJ2931" s="4" t="s">
        <v>276</v>
      </c>
      <c r="CK2931" s="4" t="s">
        <v>259</v>
      </c>
      <c r="CL2931" s="4" t="s">
        <v>241</v>
      </c>
      <c r="CO2931" s="5" t="s">
        <v>260</v>
      </c>
      <c r="CP2931" s="4" t="s">
        <v>241</v>
      </c>
      <c r="CQ2931" s="4" t="s">
        <v>261</v>
      </c>
      <c r="CR2931" s="4" t="s">
        <v>241</v>
      </c>
      <c r="CS2931" s="4" t="s">
        <v>241</v>
      </c>
      <c r="CT2931" s="4">
        <v>0</v>
      </c>
      <c r="CU2931" s="4" t="s">
        <v>262</v>
      </c>
      <c r="CV2931" s="4" t="s">
        <v>263</v>
      </c>
      <c r="CW2931" s="4" t="s">
        <v>263</v>
      </c>
      <c r="CX2931" s="4" t="s">
        <v>264</v>
      </c>
      <c r="DA2931" s="6">
        <f>1</f>
        <v>1</v>
      </c>
      <c r="DC2931" s="4" t="s">
        <v>325</v>
      </c>
      <c r="DD2931" s="4" t="s">
        <v>241</v>
      </c>
      <c r="DF2931" s="4" t="s">
        <v>325</v>
      </c>
      <c r="DG2931" s="6">
        <f>174</f>
        <v>174</v>
      </c>
      <c r="DI2931" s="4" t="s">
        <v>241</v>
      </c>
      <c r="DJ2931" s="4" t="s">
        <v>241</v>
      </c>
      <c r="DK2931" s="4" t="s">
        <v>241</v>
      </c>
      <c r="DL2931" s="4" t="s">
        <v>241</v>
      </c>
      <c r="DP2931" s="4" t="s">
        <v>241</v>
      </c>
      <c r="DQ2931" s="4" t="s">
        <v>241</v>
      </c>
      <c r="DR2931" s="4" t="s">
        <v>241</v>
      </c>
      <c r="DS2931" s="4" t="s">
        <v>241</v>
      </c>
      <c r="DV2931" s="4" t="s">
        <v>426</v>
      </c>
      <c r="DW2931" s="4" t="s">
        <v>2024</v>
      </c>
      <c r="HO2931" s="4" t="s">
        <v>267</v>
      </c>
    </row>
    <row r="2932" spans="1:223" ht="19.5" customHeight="1" x14ac:dyDescent="0.4">
      <c r="A2932" s="4">
        <v>1</v>
      </c>
      <c r="B2932" s="4" t="s">
        <v>239</v>
      </c>
      <c r="C2932" s="4">
        <v>4635</v>
      </c>
      <c r="D2932" s="4">
        <v>1</v>
      </c>
      <c r="E2932" s="4">
        <v>1</v>
      </c>
      <c r="F2932" s="4" t="s">
        <v>268</v>
      </c>
      <c r="G2932" s="4" t="s">
        <v>241</v>
      </c>
      <c r="H2932" s="4" t="s">
        <v>241</v>
      </c>
      <c r="I2932" s="4" t="s">
        <v>424</v>
      </c>
      <c r="J2932" s="4" t="s">
        <v>274</v>
      </c>
      <c r="K2932" s="4" t="s">
        <v>251</v>
      </c>
      <c r="L2932" s="4" t="s">
        <v>423</v>
      </c>
      <c r="M2932" s="5" t="s">
        <v>3916</v>
      </c>
      <c r="N2932" s="6">
        <f>165</f>
        <v>165</v>
      </c>
      <c r="O2932" s="4" t="s">
        <v>265</v>
      </c>
      <c r="P2932" s="6">
        <f>1</f>
        <v>1</v>
      </c>
      <c r="Q2932" s="6">
        <f>0</f>
        <v>0</v>
      </c>
      <c r="S2932" s="6">
        <f>0</f>
        <v>0</v>
      </c>
      <c r="T2932" s="6">
        <f>1</f>
        <v>1</v>
      </c>
      <c r="U2932" s="5" t="s">
        <v>245</v>
      </c>
      <c r="V2932" s="4" t="s">
        <v>270</v>
      </c>
      <c r="W2932" s="4" t="s">
        <v>271</v>
      </c>
      <c r="X2932" s="4" t="s">
        <v>273</v>
      </c>
      <c r="Y2932" s="4" t="s">
        <v>241</v>
      </c>
      <c r="AB2932" s="4" t="s">
        <v>241</v>
      </c>
      <c r="AD2932" s="5" t="s">
        <v>241</v>
      </c>
      <c r="AG2932" s="5" t="s">
        <v>246</v>
      </c>
      <c r="AH2932" s="4" t="s">
        <v>241</v>
      </c>
      <c r="AI2932" s="4" t="s">
        <v>247</v>
      </c>
      <c r="AJ2932" s="4" t="s">
        <v>248</v>
      </c>
      <c r="AZ2932" s="4" t="s">
        <v>249</v>
      </c>
      <c r="BA2932" s="4" t="s">
        <v>241</v>
      </c>
      <c r="BB2932" s="4" t="s">
        <v>250</v>
      </c>
      <c r="BC2932" s="4" t="s">
        <v>241</v>
      </c>
      <c r="BD2932" s="4" t="s">
        <v>252</v>
      </c>
      <c r="BE2932" s="4" t="s">
        <v>241</v>
      </c>
      <c r="BI2932" s="4" t="s">
        <v>253</v>
      </c>
      <c r="BJ2932" s="5" t="s">
        <v>246</v>
      </c>
      <c r="BK2932" s="4" t="s">
        <v>254</v>
      </c>
      <c r="BL2932" s="4" t="s">
        <v>255</v>
      </c>
      <c r="BM2932" s="4" t="s">
        <v>241</v>
      </c>
      <c r="BN2932" s="6">
        <f>0</f>
        <v>0</v>
      </c>
      <c r="BO2932" s="6">
        <f>0</f>
        <v>0</v>
      </c>
      <c r="BP2932" s="4" t="s">
        <v>256</v>
      </c>
      <c r="BQ2932" s="4" t="s">
        <v>257</v>
      </c>
      <c r="CE2932" s="4" t="s">
        <v>241</v>
      </c>
      <c r="CF2932" s="4" t="s">
        <v>241</v>
      </c>
      <c r="CJ2932" s="4" t="s">
        <v>276</v>
      </c>
      <c r="CK2932" s="4" t="s">
        <v>259</v>
      </c>
      <c r="CL2932" s="4" t="s">
        <v>241</v>
      </c>
      <c r="CO2932" s="5" t="s">
        <v>260</v>
      </c>
      <c r="CP2932" s="4" t="s">
        <v>241</v>
      </c>
      <c r="CQ2932" s="4" t="s">
        <v>261</v>
      </c>
      <c r="CR2932" s="4" t="s">
        <v>241</v>
      </c>
      <c r="CS2932" s="4" t="s">
        <v>241</v>
      </c>
      <c r="CT2932" s="4">
        <v>0</v>
      </c>
      <c r="CU2932" s="4" t="s">
        <v>262</v>
      </c>
      <c r="CV2932" s="4" t="s">
        <v>263</v>
      </c>
      <c r="CW2932" s="4" t="s">
        <v>263</v>
      </c>
      <c r="CX2932" s="4" t="s">
        <v>264</v>
      </c>
      <c r="DA2932" s="6">
        <f>1</f>
        <v>1</v>
      </c>
      <c r="DC2932" s="4" t="s">
        <v>325</v>
      </c>
      <c r="DD2932" s="4" t="s">
        <v>241</v>
      </c>
      <c r="DF2932" s="4" t="s">
        <v>325</v>
      </c>
      <c r="DG2932" s="6">
        <f>165</f>
        <v>165</v>
      </c>
      <c r="DI2932" s="4" t="s">
        <v>241</v>
      </c>
      <c r="DJ2932" s="4" t="s">
        <v>241</v>
      </c>
      <c r="DK2932" s="4" t="s">
        <v>241</v>
      </c>
      <c r="DL2932" s="4" t="s">
        <v>241</v>
      </c>
      <c r="DP2932" s="4" t="s">
        <v>241</v>
      </c>
      <c r="DQ2932" s="4" t="s">
        <v>241</v>
      </c>
      <c r="DR2932" s="4" t="s">
        <v>241</v>
      </c>
      <c r="DS2932" s="4" t="s">
        <v>241</v>
      </c>
      <c r="DV2932" s="4" t="s">
        <v>426</v>
      </c>
      <c r="DW2932" s="4" t="s">
        <v>2020</v>
      </c>
      <c r="HO2932" s="4" t="s">
        <v>267</v>
      </c>
    </row>
    <row r="2933" spans="1:223" ht="19.5" customHeight="1" x14ac:dyDescent="0.4">
      <c r="A2933" s="4">
        <v>1</v>
      </c>
      <c r="B2933" s="4" t="s">
        <v>239</v>
      </c>
      <c r="C2933" s="4">
        <v>4636</v>
      </c>
      <c r="D2933" s="4">
        <v>1</v>
      </c>
      <c r="E2933" s="4">
        <v>1</v>
      </c>
      <c r="F2933" s="4" t="s">
        <v>268</v>
      </c>
      <c r="G2933" s="4" t="s">
        <v>241</v>
      </c>
      <c r="H2933" s="4" t="s">
        <v>241</v>
      </c>
      <c r="I2933" s="4" t="s">
        <v>424</v>
      </c>
      <c r="J2933" s="4" t="s">
        <v>274</v>
      </c>
      <c r="K2933" s="4" t="s">
        <v>251</v>
      </c>
      <c r="L2933" s="4" t="s">
        <v>423</v>
      </c>
      <c r="M2933" s="5" t="s">
        <v>3900</v>
      </c>
      <c r="N2933" s="6">
        <f>32</f>
        <v>32</v>
      </c>
      <c r="O2933" s="4" t="s">
        <v>265</v>
      </c>
      <c r="P2933" s="6">
        <f>1</f>
        <v>1</v>
      </c>
      <c r="Q2933" s="6">
        <f>0</f>
        <v>0</v>
      </c>
      <c r="S2933" s="6">
        <f>0</f>
        <v>0</v>
      </c>
      <c r="T2933" s="6">
        <f>1</f>
        <v>1</v>
      </c>
      <c r="U2933" s="5" t="s">
        <v>245</v>
      </c>
      <c r="V2933" s="4" t="s">
        <v>270</v>
      </c>
      <c r="W2933" s="4" t="s">
        <v>271</v>
      </c>
      <c r="X2933" s="4" t="s">
        <v>273</v>
      </c>
      <c r="Y2933" s="4" t="s">
        <v>241</v>
      </c>
      <c r="AB2933" s="4" t="s">
        <v>241</v>
      </c>
      <c r="AD2933" s="5" t="s">
        <v>241</v>
      </c>
      <c r="AG2933" s="5" t="s">
        <v>246</v>
      </c>
      <c r="AH2933" s="4" t="s">
        <v>241</v>
      </c>
      <c r="AI2933" s="4" t="s">
        <v>247</v>
      </c>
      <c r="AJ2933" s="4" t="s">
        <v>248</v>
      </c>
      <c r="AZ2933" s="4" t="s">
        <v>249</v>
      </c>
      <c r="BA2933" s="4" t="s">
        <v>241</v>
      </c>
      <c r="BB2933" s="4" t="s">
        <v>250</v>
      </c>
      <c r="BC2933" s="4" t="s">
        <v>241</v>
      </c>
      <c r="BD2933" s="4" t="s">
        <v>252</v>
      </c>
      <c r="BE2933" s="4" t="s">
        <v>241</v>
      </c>
      <c r="BI2933" s="4" t="s">
        <v>253</v>
      </c>
      <c r="BJ2933" s="5" t="s">
        <v>246</v>
      </c>
      <c r="BK2933" s="4" t="s">
        <v>254</v>
      </c>
      <c r="BL2933" s="4" t="s">
        <v>255</v>
      </c>
      <c r="BM2933" s="4" t="s">
        <v>241</v>
      </c>
      <c r="BN2933" s="6">
        <f>0</f>
        <v>0</v>
      </c>
      <c r="BO2933" s="6">
        <f>0</f>
        <v>0</v>
      </c>
      <c r="BP2933" s="4" t="s">
        <v>256</v>
      </c>
      <c r="BQ2933" s="4" t="s">
        <v>257</v>
      </c>
      <c r="CE2933" s="4" t="s">
        <v>241</v>
      </c>
      <c r="CF2933" s="4" t="s">
        <v>241</v>
      </c>
      <c r="CJ2933" s="4" t="s">
        <v>276</v>
      </c>
      <c r="CK2933" s="4" t="s">
        <v>259</v>
      </c>
      <c r="CL2933" s="4" t="s">
        <v>241</v>
      </c>
      <c r="CO2933" s="5" t="s">
        <v>260</v>
      </c>
      <c r="CP2933" s="4" t="s">
        <v>241</v>
      </c>
      <c r="CQ2933" s="4" t="s">
        <v>261</v>
      </c>
      <c r="CR2933" s="4" t="s">
        <v>241</v>
      </c>
      <c r="CS2933" s="4" t="s">
        <v>241</v>
      </c>
      <c r="CT2933" s="4">
        <v>0</v>
      </c>
      <c r="CU2933" s="4" t="s">
        <v>262</v>
      </c>
      <c r="CV2933" s="4" t="s">
        <v>263</v>
      </c>
      <c r="CW2933" s="4" t="s">
        <v>263</v>
      </c>
      <c r="CX2933" s="4" t="s">
        <v>264</v>
      </c>
      <c r="DA2933" s="6">
        <f>1</f>
        <v>1</v>
      </c>
      <c r="DC2933" s="4" t="s">
        <v>325</v>
      </c>
      <c r="DD2933" s="4" t="s">
        <v>241</v>
      </c>
      <c r="DF2933" s="4" t="s">
        <v>325</v>
      </c>
      <c r="DG2933" s="6">
        <f>32</f>
        <v>32</v>
      </c>
      <c r="DI2933" s="4" t="s">
        <v>241</v>
      </c>
      <c r="DJ2933" s="4" t="s">
        <v>241</v>
      </c>
      <c r="DK2933" s="4" t="s">
        <v>241</v>
      </c>
      <c r="DL2933" s="4" t="s">
        <v>241</v>
      </c>
      <c r="DP2933" s="4" t="s">
        <v>241</v>
      </c>
      <c r="DQ2933" s="4" t="s">
        <v>241</v>
      </c>
      <c r="DR2933" s="4" t="s">
        <v>241</v>
      </c>
      <c r="DS2933" s="4" t="s">
        <v>241</v>
      </c>
      <c r="DV2933" s="4" t="s">
        <v>426</v>
      </c>
      <c r="DW2933" s="4" t="s">
        <v>2018</v>
      </c>
      <c r="HO2933" s="4" t="s">
        <v>267</v>
      </c>
    </row>
    <row r="2934" spans="1:223" ht="19.5" customHeight="1" x14ac:dyDescent="0.4">
      <c r="A2934" s="4">
        <v>1</v>
      </c>
      <c r="B2934" s="4" t="s">
        <v>239</v>
      </c>
      <c r="C2934" s="4">
        <v>4637</v>
      </c>
      <c r="D2934" s="4">
        <v>1</v>
      </c>
      <c r="E2934" s="4">
        <v>1</v>
      </c>
      <c r="F2934" s="4" t="s">
        <v>268</v>
      </c>
      <c r="G2934" s="4" t="s">
        <v>241</v>
      </c>
      <c r="H2934" s="4" t="s">
        <v>241</v>
      </c>
      <c r="I2934" s="4" t="s">
        <v>424</v>
      </c>
      <c r="J2934" s="4" t="s">
        <v>274</v>
      </c>
      <c r="K2934" s="4" t="s">
        <v>251</v>
      </c>
      <c r="L2934" s="4" t="s">
        <v>423</v>
      </c>
      <c r="M2934" s="5" t="s">
        <v>3889</v>
      </c>
      <c r="N2934" s="6">
        <f>235</f>
        <v>235</v>
      </c>
      <c r="O2934" s="4" t="s">
        <v>265</v>
      </c>
      <c r="P2934" s="6">
        <f>1</f>
        <v>1</v>
      </c>
      <c r="Q2934" s="6">
        <f>0</f>
        <v>0</v>
      </c>
      <c r="S2934" s="6">
        <f>0</f>
        <v>0</v>
      </c>
      <c r="T2934" s="6">
        <f>1</f>
        <v>1</v>
      </c>
      <c r="U2934" s="5" t="s">
        <v>245</v>
      </c>
      <c r="V2934" s="4" t="s">
        <v>270</v>
      </c>
      <c r="W2934" s="4" t="s">
        <v>271</v>
      </c>
      <c r="X2934" s="4" t="s">
        <v>273</v>
      </c>
      <c r="Y2934" s="4" t="s">
        <v>241</v>
      </c>
      <c r="AB2934" s="4" t="s">
        <v>241</v>
      </c>
      <c r="AD2934" s="5" t="s">
        <v>241</v>
      </c>
      <c r="AG2934" s="5" t="s">
        <v>246</v>
      </c>
      <c r="AH2934" s="4" t="s">
        <v>241</v>
      </c>
      <c r="AI2934" s="4" t="s">
        <v>247</v>
      </c>
      <c r="AJ2934" s="4" t="s">
        <v>248</v>
      </c>
      <c r="AZ2934" s="4" t="s">
        <v>249</v>
      </c>
      <c r="BA2934" s="4" t="s">
        <v>241</v>
      </c>
      <c r="BB2934" s="4" t="s">
        <v>250</v>
      </c>
      <c r="BC2934" s="4" t="s">
        <v>241</v>
      </c>
      <c r="BD2934" s="4" t="s">
        <v>252</v>
      </c>
      <c r="BE2934" s="4" t="s">
        <v>241</v>
      </c>
      <c r="BI2934" s="4" t="s">
        <v>253</v>
      </c>
      <c r="BJ2934" s="5" t="s">
        <v>246</v>
      </c>
      <c r="BK2934" s="4" t="s">
        <v>254</v>
      </c>
      <c r="BL2934" s="4" t="s">
        <v>255</v>
      </c>
      <c r="BM2934" s="4" t="s">
        <v>241</v>
      </c>
      <c r="BN2934" s="6">
        <f>0</f>
        <v>0</v>
      </c>
      <c r="BO2934" s="6">
        <f>0</f>
        <v>0</v>
      </c>
      <c r="BP2934" s="4" t="s">
        <v>256</v>
      </c>
      <c r="BQ2934" s="4" t="s">
        <v>257</v>
      </c>
      <c r="CE2934" s="4" t="s">
        <v>241</v>
      </c>
      <c r="CF2934" s="4" t="s">
        <v>241</v>
      </c>
      <c r="CJ2934" s="4" t="s">
        <v>276</v>
      </c>
      <c r="CK2934" s="4" t="s">
        <v>259</v>
      </c>
      <c r="CL2934" s="4" t="s">
        <v>241</v>
      </c>
      <c r="CO2934" s="5" t="s">
        <v>260</v>
      </c>
      <c r="CP2934" s="4" t="s">
        <v>241</v>
      </c>
      <c r="CQ2934" s="4" t="s">
        <v>261</v>
      </c>
      <c r="CR2934" s="4" t="s">
        <v>241</v>
      </c>
      <c r="CS2934" s="4" t="s">
        <v>241</v>
      </c>
      <c r="CT2934" s="4">
        <v>0</v>
      </c>
      <c r="CU2934" s="4" t="s">
        <v>262</v>
      </c>
      <c r="CV2934" s="4" t="s">
        <v>263</v>
      </c>
      <c r="CW2934" s="4" t="s">
        <v>263</v>
      </c>
      <c r="CX2934" s="4" t="s">
        <v>264</v>
      </c>
      <c r="DA2934" s="6">
        <f>1</f>
        <v>1</v>
      </c>
      <c r="DC2934" s="4" t="s">
        <v>325</v>
      </c>
      <c r="DD2934" s="4" t="s">
        <v>241</v>
      </c>
      <c r="DF2934" s="4" t="s">
        <v>325</v>
      </c>
      <c r="DG2934" s="6">
        <f>235</f>
        <v>235</v>
      </c>
      <c r="DI2934" s="4" t="s">
        <v>241</v>
      </c>
      <c r="DJ2934" s="4" t="s">
        <v>241</v>
      </c>
      <c r="DK2934" s="4" t="s">
        <v>241</v>
      </c>
      <c r="DL2934" s="4" t="s">
        <v>241</v>
      </c>
      <c r="DP2934" s="4" t="s">
        <v>241</v>
      </c>
      <c r="DQ2934" s="4" t="s">
        <v>241</v>
      </c>
      <c r="DR2934" s="4" t="s">
        <v>241</v>
      </c>
      <c r="DS2934" s="4" t="s">
        <v>241</v>
      </c>
      <c r="DV2934" s="4" t="s">
        <v>426</v>
      </c>
      <c r="DW2934" s="4" t="s">
        <v>2016</v>
      </c>
      <c r="HO2934" s="4" t="s">
        <v>267</v>
      </c>
    </row>
    <row r="2935" spans="1:223" ht="19.5" customHeight="1" x14ac:dyDescent="0.4">
      <c r="A2935" s="4">
        <v>1</v>
      </c>
      <c r="B2935" s="4" t="s">
        <v>239</v>
      </c>
      <c r="C2935" s="4">
        <v>4638</v>
      </c>
      <c r="D2935" s="4">
        <v>1</v>
      </c>
      <c r="E2935" s="4">
        <v>1</v>
      </c>
      <c r="F2935" s="4" t="s">
        <v>268</v>
      </c>
      <c r="G2935" s="4" t="s">
        <v>241</v>
      </c>
      <c r="H2935" s="4" t="s">
        <v>241</v>
      </c>
      <c r="I2935" s="4" t="s">
        <v>424</v>
      </c>
      <c r="J2935" s="4" t="s">
        <v>274</v>
      </c>
      <c r="K2935" s="4" t="s">
        <v>251</v>
      </c>
      <c r="L2935" s="4" t="s">
        <v>423</v>
      </c>
      <c r="M2935" s="5" t="s">
        <v>3880</v>
      </c>
      <c r="N2935" s="6">
        <f>1547</f>
        <v>1547</v>
      </c>
      <c r="O2935" s="4" t="s">
        <v>265</v>
      </c>
      <c r="P2935" s="6">
        <f>1</f>
        <v>1</v>
      </c>
      <c r="Q2935" s="6">
        <f>0</f>
        <v>0</v>
      </c>
      <c r="S2935" s="6">
        <f>0</f>
        <v>0</v>
      </c>
      <c r="T2935" s="6">
        <f>1</f>
        <v>1</v>
      </c>
      <c r="U2935" s="5" t="s">
        <v>245</v>
      </c>
      <c r="V2935" s="4" t="s">
        <v>270</v>
      </c>
      <c r="W2935" s="4" t="s">
        <v>271</v>
      </c>
      <c r="X2935" s="4" t="s">
        <v>273</v>
      </c>
      <c r="Y2935" s="4" t="s">
        <v>241</v>
      </c>
      <c r="AB2935" s="4" t="s">
        <v>241</v>
      </c>
      <c r="AD2935" s="5" t="s">
        <v>241</v>
      </c>
      <c r="AG2935" s="5" t="s">
        <v>246</v>
      </c>
      <c r="AH2935" s="4" t="s">
        <v>241</v>
      </c>
      <c r="AI2935" s="4" t="s">
        <v>247</v>
      </c>
      <c r="AJ2935" s="4" t="s">
        <v>248</v>
      </c>
      <c r="AZ2935" s="4" t="s">
        <v>249</v>
      </c>
      <c r="BA2935" s="4" t="s">
        <v>241</v>
      </c>
      <c r="BB2935" s="4" t="s">
        <v>250</v>
      </c>
      <c r="BC2935" s="4" t="s">
        <v>241</v>
      </c>
      <c r="BD2935" s="4" t="s">
        <v>252</v>
      </c>
      <c r="BE2935" s="4" t="s">
        <v>241</v>
      </c>
      <c r="BI2935" s="4" t="s">
        <v>253</v>
      </c>
      <c r="BJ2935" s="5" t="s">
        <v>246</v>
      </c>
      <c r="BK2935" s="4" t="s">
        <v>254</v>
      </c>
      <c r="BL2935" s="4" t="s">
        <v>255</v>
      </c>
      <c r="BM2935" s="4" t="s">
        <v>241</v>
      </c>
      <c r="BN2935" s="6">
        <f>0</f>
        <v>0</v>
      </c>
      <c r="BO2935" s="6">
        <f>0</f>
        <v>0</v>
      </c>
      <c r="BP2935" s="4" t="s">
        <v>256</v>
      </c>
      <c r="BQ2935" s="4" t="s">
        <v>257</v>
      </c>
      <c r="CE2935" s="4" t="s">
        <v>241</v>
      </c>
      <c r="CF2935" s="4" t="s">
        <v>241</v>
      </c>
      <c r="CJ2935" s="4" t="s">
        <v>276</v>
      </c>
      <c r="CK2935" s="4" t="s">
        <v>259</v>
      </c>
      <c r="CL2935" s="4" t="s">
        <v>241</v>
      </c>
      <c r="CO2935" s="5" t="s">
        <v>260</v>
      </c>
      <c r="CP2935" s="4" t="s">
        <v>241</v>
      </c>
      <c r="CQ2935" s="4" t="s">
        <v>261</v>
      </c>
      <c r="CR2935" s="4" t="s">
        <v>241</v>
      </c>
      <c r="CS2935" s="4" t="s">
        <v>241</v>
      </c>
      <c r="CT2935" s="4">
        <v>0</v>
      </c>
      <c r="CU2935" s="4" t="s">
        <v>262</v>
      </c>
      <c r="CV2935" s="4" t="s">
        <v>263</v>
      </c>
      <c r="CW2935" s="4" t="s">
        <v>263</v>
      </c>
      <c r="CX2935" s="4" t="s">
        <v>264</v>
      </c>
      <c r="DA2935" s="6">
        <f>1</f>
        <v>1</v>
      </c>
      <c r="DC2935" s="4" t="s">
        <v>325</v>
      </c>
      <c r="DD2935" s="4" t="s">
        <v>241</v>
      </c>
      <c r="DF2935" s="4" t="s">
        <v>325</v>
      </c>
      <c r="DG2935" s="6">
        <f>1547</f>
        <v>1547</v>
      </c>
      <c r="DI2935" s="4" t="s">
        <v>241</v>
      </c>
      <c r="DJ2935" s="4" t="s">
        <v>241</v>
      </c>
      <c r="DK2935" s="4" t="s">
        <v>241</v>
      </c>
      <c r="DL2935" s="4" t="s">
        <v>241</v>
      </c>
      <c r="DP2935" s="4" t="s">
        <v>241</v>
      </c>
      <c r="DQ2935" s="4" t="s">
        <v>241</v>
      </c>
      <c r="DR2935" s="4" t="s">
        <v>241</v>
      </c>
      <c r="DS2935" s="4" t="s">
        <v>241</v>
      </c>
      <c r="DV2935" s="4" t="s">
        <v>426</v>
      </c>
      <c r="DW2935" s="4" t="s">
        <v>2014</v>
      </c>
      <c r="HO2935" s="4" t="s">
        <v>267</v>
      </c>
    </row>
    <row r="2936" spans="1:223" ht="19.5" customHeight="1" x14ac:dyDescent="0.4">
      <c r="A2936" s="4">
        <v>1</v>
      </c>
      <c r="B2936" s="4" t="s">
        <v>239</v>
      </c>
      <c r="C2936" s="4">
        <v>4639</v>
      </c>
      <c r="D2936" s="4">
        <v>1</v>
      </c>
      <c r="E2936" s="4">
        <v>1</v>
      </c>
      <c r="F2936" s="4" t="s">
        <v>268</v>
      </c>
      <c r="G2936" s="4" t="s">
        <v>241</v>
      </c>
      <c r="H2936" s="4" t="s">
        <v>241</v>
      </c>
      <c r="I2936" s="4" t="s">
        <v>424</v>
      </c>
      <c r="J2936" s="4" t="s">
        <v>274</v>
      </c>
      <c r="K2936" s="4" t="s">
        <v>251</v>
      </c>
      <c r="L2936" s="4" t="s">
        <v>423</v>
      </c>
      <c r="M2936" s="5" t="s">
        <v>3856</v>
      </c>
      <c r="N2936" s="6">
        <f>465</f>
        <v>465</v>
      </c>
      <c r="O2936" s="4" t="s">
        <v>265</v>
      </c>
      <c r="P2936" s="6">
        <f>1</f>
        <v>1</v>
      </c>
      <c r="Q2936" s="6">
        <f>0</f>
        <v>0</v>
      </c>
      <c r="S2936" s="6">
        <f>0</f>
        <v>0</v>
      </c>
      <c r="T2936" s="6">
        <f>1</f>
        <v>1</v>
      </c>
      <c r="U2936" s="5" t="s">
        <v>245</v>
      </c>
      <c r="V2936" s="4" t="s">
        <v>270</v>
      </c>
      <c r="W2936" s="4" t="s">
        <v>271</v>
      </c>
      <c r="X2936" s="4" t="s">
        <v>273</v>
      </c>
      <c r="Y2936" s="4" t="s">
        <v>241</v>
      </c>
      <c r="AB2936" s="4" t="s">
        <v>241</v>
      </c>
      <c r="AD2936" s="5" t="s">
        <v>241</v>
      </c>
      <c r="AG2936" s="5" t="s">
        <v>246</v>
      </c>
      <c r="AH2936" s="4" t="s">
        <v>241</v>
      </c>
      <c r="AI2936" s="4" t="s">
        <v>247</v>
      </c>
      <c r="AJ2936" s="4" t="s">
        <v>248</v>
      </c>
      <c r="AZ2936" s="4" t="s">
        <v>249</v>
      </c>
      <c r="BA2936" s="4" t="s">
        <v>241</v>
      </c>
      <c r="BB2936" s="4" t="s">
        <v>250</v>
      </c>
      <c r="BC2936" s="4" t="s">
        <v>241</v>
      </c>
      <c r="BD2936" s="4" t="s">
        <v>252</v>
      </c>
      <c r="BE2936" s="4" t="s">
        <v>241</v>
      </c>
      <c r="BI2936" s="4" t="s">
        <v>253</v>
      </c>
      <c r="BJ2936" s="5" t="s">
        <v>246</v>
      </c>
      <c r="BK2936" s="4" t="s">
        <v>254</v>
      </c>
      <c r="BL2936" s="4" t="s">
        <v>255</v>
      </c>
      <c r="BM2936" s="4" t="s">
        <v>241</v>
      </c>
      <c r="BN2936" s="6">
        <f>0</f>
        <v>0</v>
      </c>
      <c r="BO2936" s="6">
        <f>0</f>
        <v>0</v>
      </c>
      <c r="BP2936" s="4" t="s">
        <v>256</v>
      </c>
      <c r="BQ2936" s="4" t="s">
        <v>257</v>
      </c>
      <c r="CE2936" s="4" t="s">
        <v>241</v>
      </c>
      <c r="CF2936" s="4" t="s">
        <v>241</v>
      </c>
      <c r="CJ2936" s="4" t="s">
        <v>276</v>
      </c>
      <c r="CK2936" s="4" t="s">
        <v>259</v>
      </c>
      <c r="CL2936" s="4" t="s">
        <v>241</v>
      </c>
      <c r="CO2936" s="5" t="s">
        <v>260</v>
      </c>
      <c r="CP2936" s="4" t="s">
        <v>241</v>
      </c>
      <c r="CQ2936" s="4" t="s">
        <v>261</v>
      </c>
      <c r="CR2936" s="4" t="s">
        <v>241</v>
      </c>
      <c r="CS2936" s="4" t="s">
        <v>241</v>
      </c>
      <c r="CT2936" s="4">
        <v>0</v>
      </c>
      <c r="CU2936" s="4" t="s">
        <v>262</v>
      </c>
      <c r="CV2936" s="4" t="s">
        <v>263</v>
      </c>
      <c r="CW2936" s="4" t="s">
        <v>263</v>
      </c>
      <c r="CX2936" s="4" t="s">
        <v>264</v>
      </c>
      <c r="DA2936" s="6">
        <f>1</f>
        <v>1</v>
      </c>
      <c r="DC2936" s="4" t="s">
        <v>325</v>
      </c>
      <c r="DD2936" s="4" t="s">
        <v>241</v>
      </c>
      <c r="DF2936" s="4" t="s">
        <v>325</v>
      </c>
      <c r="DG2936" s="6">
        <f>465</f>
        <v>465</v>
      </c>
      <c r="DI2936" s="4" t="s">
        <v>241</v>
      </c>
      <c r="DJ2936" s="4" t="s">
        <v>241</v>
      </c>
      <c r="DK2936" s="4" t="s">
        <v>241</v>
      </c>
      <c r="DL2936" s="4" t="s">
        <v>241</v>
      </c>
      <c r="DP2936" s="4" t="s">
        <v>241</v>
      </c>
      <c r="DQ2936" s="4" t="s">
        <v>241</v>
      </c>
      <c r="DR2936" s="4" t="s">
        <v>241</v>
      </c>
      <c r="DS2936" s="4" t="s">
        <v>241</v>
      </c>
      <c r="DV2936" s="4" t="s">
        <v>426</v>
      </c>
      <c r="DW2936" s="4" t="s">
        <v>2012</v>
      </c>
      <c r="HO2936" s="4" t="s">
        <v>267</v>
      </c>
    </row>
    <row r="2937" spans="1:223" ht="19.5" customHeight="1" x14ac:dyDescent="0.4">
      <c r="A2937" s="4">
        <v>1</v>
      </c>
      <c r="B2937" s="4" t="s">
        <v>239</v>
      </c>
      <c r="C2937" s="4">
        <v>4640</v>
      </c>
      <c r="D2937" s="4">
        <v>1</v>
      </c>
      <c r="E2937" s="4">
        <v>1</v>
      </c>
      <c r="F2937" s="4" t="s">
        <v>268</v>
      </c>
      <c r="G2937" s="4" t="s">
        <v>241</v>
      </c>
      <c r="H2937" s="4" t="s">
        <v>241</v>
      </c>
      <c r="I2937" s="4" t="s">
        <v>424</v>
      </c>
      <c r="J2937" s="4" t="s">
        <v>274</v>
      </c>
      <c r="K2937" s="4" t="s">
        <v>251</v>
      </c>
      <c r="L2937" s="4" t="s">
        <v>423</v>
      </c>
      <c r="M2937" s="5" t="s">
        <v>3845</v>
      </c>
      <c r="N2937" s="6">
        <f>442</f>
        <v>442</v>
      </c>
      <c r="O2937" s="4" t="s">
        <v>265</v>
      </c>
      <c r="P2937" s="6">
        <f>1</f>
        <v>1</v>
      </c>
      <c r="Q2937" s="6">
        <f>0</f>
        <v>0</v>
      </c>
      <c r="S2937" s="6">
        <f>0</f>
        <v>0</v>
      </c>
      <c r="T2937" s="6">
        <f>1</f>
        <v>1</v>
      </c>
      <c r="U2937" s="5" t="s">
        <v>245</v>
      </c>
      <c r="V2937" s="4" t="s">
        <v>270</v>
      </c>
      <c r="W2937" s="4" t="s">
        <v>271</v>
      </c>
      <c r="X2937" s="4" t="s">
        <v>273</v>
      </c>
      <c r="Y2937" s="4" t="s">
        <v>241</v>
      </c>
      <c r="AB2937" s="4" t="s">
        <v>241</v>
      </c>
      <c r="AD2937" s="5" t="s">
        <v>241</v>
      </c>
      <c r="AG2937" s="5" t="s">
        <v>246</v>
      </c>
      <c r="AH2937" s="4" t="s">
        <v>241</v>
      </c>
      <c r="AI2937" s="4" t="s">
        <v>247</v>
      </c>
      <c r="AJ2937" s="4" t="s">
        <v>248</v>
      </c>
      <c r="AZ2937" s="4" t="s">
        <v>249</v>
      </c>
      <c r="BA2937" s="4" t="s">
        <v>241</v>
      </c>
      <c r="BB2937" s="4" t="s">
        <v>250</v>
      </c>
      <c r="BC2937" s="4" t="s">
        <v>241</v>
      </c>
      <c r="BD2937" s="4" t="s">
        <v>252</v>
      </c>
      <c r="BE2937" s="4" t="s">
        <v>241</v>
      </c>
      <c r="BI2937" s="4" t="s">
        <v>253</v>
      </c>
      <c r="BJ2937" s="5" t="s">
        <v>246</v>
      </c>
      <c r="BK2937" s="4" t="s">
        <v>254</v>
      </c>
      <c r="BL2937" s="4" t="s">
        <v>255</v>
      </c>
      <c r="BM2937" s="4" t="s">
        <v>241</v>
      </c>
      <c r="BN2937" s="6">
        <f>0</f>
        <v>0</v>
      </c>
      <c r="BO2937" s="6">
        <f>0</f>
        <v>0</v>
      </c>
      <c r="BP2937" s="4" t="s">
        <v>256</v>
      </c>
      <c r="BQ2937" s="4" t="s">
        <v>257</v>
      </c>
      <c r="CE2937" s="4" t="s">
        <v>241</v>
      </c>
      <c r="CF2937" s="4" t="s">
        <v>241</v>
      </c>
      <c r="CJ2937" s="4" t="s">
        <v>276</v>
      </c>
      <c r="CK2937" s="4" t="s">
        <v>259</v>
      </c>
      <c r="CL2937" s="4" t="s">
        <v>241</v>
      </c>
      <c r="CO2937" s="5" t="s">
        <v>260</v>
      </c>
      <c r="CP2937" s="4" t="s">
        <v>241</v>
      </c>
      <c r="CQ2937" s="4" t="s">
        <v>261</v>
      </c>
      <c r="CR2937" s="4" t="s">
        <v>241</v>
      </c>
      <c r="CS2937" s="4" t="s">
        <v>241</v>
      </c>
      <c r="CT2937" s="4">
        <v>0</v>
      </c>
      <c r="CU2937" s="4" t="s">
        <v>262</v>
      </c>
      <c r="CV2937" s="4" t="s">
        <v>263</v>
      </c>
      <c r="CW2937" s="4" t="s">
        <v>263</v>
      </c>
      <c r="CX2937" s="4" t="s">
        <v>264</v>
      </c>
      <c r="DA2937" s="6">
        <f>1</f>
        <v>1</v>
      </c>
      <c r="DC2937" s="4" t="s">
        <v>325</v>
      </c>
      <c r="DD2937" s="4" t="s">
        <v>241</v>
      </c>
      <c r="DF2937" s="4" t="s">
        <v>325</v>
      </c>
      <c r="DG2937" s="6">
        <f>442</f>
        <v>442</v>
      </c>
      <c r="DI2937" s="4" t="s">
        <v>241</v>
      </c>
      <c r="DJ2937" s="4" t="s">
        <v>241</v>
      </c>
      <c r="DK2937" s="4" t="s">
        <v>241</v>
      </c>
      <c r="DL2937" s="4" t="s">
        <v>241</v>
      </c>
      <c r="DP2937" s="4" t="s">
        <v>241</v>
      </c>
      <c r="DQ2937" s="4" t="s">
        <v>241</v>
      </c>
      <c r="DR2937" s="4" t="s">
        <v>241</v>
      </c>
      <c r="DS2937" s="4" t="s">
        <v>241</v>
      </c>
      <c r="DV2937" s="4" t="s">
        <v>426</v>
      </c>
      <c r="DW2937" s="4" t="s">
        <v>2010</v>
      </c>
      <c r="HO2937" s="4" t="s">
        <v>267</v>
      </c>
    </row>
    <row r="2938" spans="1:223" ht="19.5" customHeight="1" x14ac:dyDescent="0.4">
      <c r="A2938" s="4">
        <v>1</v>
      </c>
      <c r="B2938" s="4" t="s">
        <v>239</v>
      </c>
      <c r="C2938" s="4">
        <v>4641</v>
      </c>
      <c r="D2938" s="4">
        <v>1</v>
      </c>
      <c r="E2938" s="4">
        <v>1</v>
      </c>
      <c r="F2938" s="4" t="s">
        <v>268</v>
      </c>
      <c r="G2938" s="4" t="s">
        <v>241</v>
      </c>
      <c r="H2938" s="4" t="s">
        <v>241</v>
      </c>
      <c r="I2938" s="4" t="s">
        <v>424</v>
      </c>
      <c r="J2938" s="4" t="s">
        <v>274</v>
      </c>
      <c r="K2938" s="4" t="s">
        <v>251</v>
      </c>
      <c r="L2938" s="4" t="s">
        <v>423</v>
      </c>
      <c r="M2938" s="5" t="s">
        <v>3828</v>
      </c>
      <c r="N2938" s="6">
        <f>987</f>
        <v>987</v>
      </c>
      <c r="O2938" s="4" t="s">
        <v>265</v>
      </c>
      <c r="P2938" s="6">
        <f>1</f>
        <v>1</v>
      </c>
      <c r="Q2938" s="6">
        <f>0</f>
        <v>0</v>
      </c>
      <c r="S2938" s="6">
        <f>0</f>
        <v>0</v>
      </c>
      <c r="T2938" s="6">
        <f>1</f>
        <v>1</v>
      </c>
      <c r="U2938" s="5" t="s">
        <v>245</v>
      </c>
      <c r="V2938" s="4" t="s">
        <v>270</v>
      </c>
      <c r="W2938" s="4" t="s">
        <v>271</v>
      </c>
      <c r="X2938" s="4" t="s">
        <v>273</v>
      </c>
      <c r="Y2938" s="4" t="s">
        <v>241</v>
      </c>
      <c r="AB2938" s="4" t="s">
        <v>241</v>
      </c>
      <c r="AD2938" s="5" t="s">
        <v>241</v>
      </c>
      <c r="AG2938" s="5" t="s">
        <v>246</v>
      </c>
      <c r="AH2938" s="4" t="s">
        <v>241</v>
      </c>
      <c r="AI2938" s="4" t="s">
        <v>247</v>
      </c>
      <c r="AJ2938" s="4" t="s">
        <v>248</v>
      </c>
      <c r="AZ2938" s="4" t="s">
        <v>249</v>
      </c>
      <c r="BA2938" s="4" t="s">
        <v>241</v>
      </c>
      <c r="BB2938" s="4" t="s">
        <v>250</v>
      </c>
      <c r="BC2938" s="4" t="s">
        <v>241</v>
      </c>
      <c r="BD2938" s="4" t="s">
        <v>252</v>
      </c>
      <c r="BE2938" s="4" t="s">
        <v>241</v>
      </c>
      <c r="BI2938" s="4" t="s">
        <v>253</v>
      </c>
      <c r="BJ2938" s="5" t="s">
        <v>246</v>
      </c>
      <c r="BK2938" s="4" t="s">
        <v>254</v>
      </c>
      <c r="BL2938" s="4" t="s">
        <v>255</v>
      </c>
      <c r="BM2938" s="4" t="s">
        <v>241</v>
      </c>
      <c r="BN2938" s="6">
        <f>0</f>
        <v>0</v>
      </c>
      <c r="BO2938" s="6">
        <f>0</f>
        <v>0</v>
      </c>
      <c r="BP2938" s="4" t="s">
        <v>256</v>
      </c>
      <c r="BQ2938" s="4" t="s">
        <v>257</v>
      </c>
      <c r="CE2938" s="4" t="s">
        <v>241</v>
      </c>
      <c r="CF2938" s="4" t="s">
        <v>241</v>
      </c>
      <c r="CJ2938" s="4" t="s">
        <v>276</v>
      </c>
      <c r="CK2938" s="4" t="s">
        <v>259</v>
      </c>
      <c r="CL2938" s="4" t="s">
        <v>241</v>
      </c>
      <c r="CO2938" s="5" t="s">
        <v>260</v>
      </c>
      <c r="CP2938" s="4" t="s">
        <v>241</v>
      </c>
      <c r="CQ2938" s="4" t="s">
        <v>261</v>
      </c>
      <c r="CR2938" s="4" t="s">
        <v>241</v>
      </c>
      <c r="CS2938" s="4" t="s">
        <v>241</v>
      </c>
      <c r="CT2938" s="4">
        <v>0</v>
      </c>
      <c r="CU2938" s="4" t="s">
        <v>262</v>
      </c>
      <c r="CV2938" s="4" t="s">
        <v>263</v>
      </c>
      <c r="CW2938" s="4" t="s">
        <v>263</v>
      </c>
      <c r="CX2938" s="4" t="s">
        <v>264</v>
      </c>
      <c r="DA2938" s="6">
        <f>1</f>
        <v>1</v>
      </c>
      <c r="DC2938" s="4" t="s">
        <v>325</v>
      </c>
      <c r="DD2938" s="4" t="s">
        <v>241</v>
      </c>
      <c r="DF2938" s="4" t="s">
        <v>325</v>
      </c>
      <c r="DG2938" s="6">
        <f>987</f>
        <v>987</v>
      </c>
      <c r="DI2938" s="4" t="s">
        <v>241</v>
      </c>
      <c r="DJ2938" s="4" t="s">
        <v>241</v>
      </c>
      <c r="DK2938" s="4" t="s">
        <v>241</v>
      </c>
      <c r="DL2938" s="4" t="s">
        <v>241</v>
      </c>
      <c r="DP2938" s="4" t="s">
        <v>241</v>
      </c>
      <c r="DQ2938" s="4" t="s">
        <v>241</v>
      </c>
      <c r="DR2938" s="4" t="s">
        <v>241</v>
      </c>
      <c r="DS2938" s="4" t="s">
        <v>241</v>
      </c>
      <c r="DV2938" s="4" t="s">
        <v>426</v>
      </c>
      <c r="DW2938" s="4" t="s">
        <v>2008</v>
      </c>
      <c r="HO2938" s="4" t="s">
        <v>267</v>
      </c>
    </row>
    <row r="2939" spans="1:223" ht="19.5" customHeight="1" x14ac:dyDescent="0.4">
      <c r="A2939" s="4">
        <v>1</v>
      </c>
      <c r="B2939" s="4" t="s">
        <v>239</v>
      </c>
      <c r="C2939" s="4">
        <v>4642</v>
      </c>
      <c r="D2939" s="4">
        <v>1</v>
      </c>
      <c r="E2939" s="4">
        <v>1</v>
      </c>
      <c r="F2939" s="4" t="s">
        <v>268</v>
      </c>
      <c r="G2939" s="4" t="s">
        <v>241</v>
      </c>
      <c r="H2939" s="4" t="s">
        <v>241</v>
      </c>
      <c r="I2939" s="4" t="s">
        <v>424</v>
      </c>
      <c r="J2939" s="4" t="s">
        <v>274</v>
      </c>
      <c r="K2939" s="4" t="s">
        <v>251</v>
      </c>
      <c r="L2939" s="4" t="s">
        <v>423</v>
      </c>
      <c r="M2939" s="5" t="s">
        <v>3814</v>
      </c>
      <c r="N2939" s="6">
        <f>536</f>
        <v>536</v>
      </c>
      <c r="O2939" s="4" t="s">
        <v>265</v>
      </c>
      <c r="P2939" s="6">
        <f>1</f>
        <v>1</v>
      </c>
      <c r="Q2939" s="6">
        <f>0</f>
        <v>0</v>
      </c>
      <c r="S2939" s="6">
        <f>0</f>
        <v>0</v>
      </c>
      <c r="T2939" s="6">
        <f>1</f>
        <v>1</v>
      </c>
      <c r="U2939" s="5" t="s">
        <v>245</v>
      </c>
      <c r="V2939" s="4" t="s">
        <v>270</v>
      </c>
      <c r="W2939" s="4" t="s">
        <v>271</v>
      </c>
      <c r="X2939" s="4" t="s">
        <v>273</v>
      </c>
      <c r="Y2939" s="4" t="s">
        <v>241</v>
      </c>
      <c r="AB2939" s="4" t="s">
        <v>241</v>
      </c>
      <c r="AD2939" s="5" t="s">
        <v>241</v>
      </c>
      <c r="AG2939" s="5" t="s">
        <v>246</v>
      </c>
      <c r="AH2939" s="4" t="s">
        <v>241</v>
      </c>
      <c r="AI2939" s="4" t="s">
        <v>247</v>
      </c>
      <c r="AJ2939" s="4" t="s">
        <v>248</v>
      </c>
      <c r="AZ2939" s="4" t="s">
        <v>249</v>
      </c>
      <c r="BA2939" s="4" t="s">
        <v>241</v>
      </c>
      <c r="BB2939" s="4" t="s">
        <v>250</v>
      </c>
      <c r="BC2939" s="4" t="s">
        <v>241</v>
      </c>
      <c r="BD2939" s="4" t="s">
        <v>252</v>
      </c>
      <c r="BE2939" s="4" t="s">
        <v>241</v>
      </c>
      <c r="BI2939" s="4" t="s">
        <v>253</v>
      </c>
      <c r="BJ2939" s="5" t="s">
        <v>246</v>
      </c>
      <c r="BK2939" s="4" t="s">
        <v>254</v>
      </c>
      <c r="BL2939" s="4" t="s">
        <v>255</v>
      </c>
      <c r="BM2939" s="4" t="s">
        <v>241</v>
      </c>
      <c r="BN2939" s="6">
        <f>0</f>
        <v>0</v>
      </c>
      <c r="BO2939" s="6">
        <f>0</f>
        <v>0</v>
      </c>
      <c r="BP2939" s="4" t="s">
        <v>256</v>
      </c>
      <c r="BQ2939" s="4" t="s">
        <v>257</v>
      </c>
      <c r="CE2939" s="4" t="s">
        <v>241</v>
      </c>
      <c r="CF2939" s="4" t="s">
        <v>241</v>
      </c>
      <c r="CJ2939" s="4" t="s">
        <v>276</v>
      </c>
      <c r="CK2939" s="4" t="s">
        <v>259</v>
      </c>
      <c r="CL2939" s="4" t="s">
        <v>241</v>
      </c>
      <c r="CO2939" s="5" t="s">
        <v>260</v>
      </c>
      <c r="CP2939" s="4" t="s">
        <v>241</v>
      </c>
      <c r="CQ2939" s="4" t="s">
        <v>261</v>
      </c>
      <c r="CR2939" s="4" t="s">
        <v>241</v>
      </c>
      <c r="CS2939" s="4" t="s">
        <v>241</v>
      </c>
      <c r="CT2939" s="4">
        <v>0</v>
      </c>
      <c r="CU2939" s="4" t="s">
        <v>262</v>
      </c>
      <c r="CV2939" s="4" t="s">
        <v>263</v>
      </c>
      <c r="CW2939" s="4" t="s">
        <v>263</v>
      </c>
      <c r="CX2939" s="4" t="s">
        <v>264</v>
      </c>
      <c r="DA2939" s="6">
        <f>1</f>
        <v>1</v>
      </c>
      <c r="DC2939" s="4" t="s">
        <v>325</v>
      </c>
      <c r="DD2939" s="4" t="s">
        <v>241</v>
      </c>
      <c r="DF2939" s="4" t="s">
        <v>325</v>
      </c>
      <c r="DG2939" s="6">
        <f>536</f>
        <v>536</v>
      </c>
      <c r="DI2939" s="4" t="s">
        <v>241</v>
      </c>
      <c r="DJ2939" s="4" t="s">
        <v>241</v>
      </c>
      <c r="DK2939" s="4" t="s">
        <v>241</v>
      </c>
      <c r="DL2939" s="4" t="s">
        <v>241</v>
      </c>
      <c r="DP2939" s="4" t="s">
        <v>241</v>
      </c>
      <c r="DQ2939" s="4" t="s">
        <v>241</v>
      </c>
      <c r="DR2939" s="4" t="s">
        <v>241</v>
      </c>
      <c r="DS2939" s="4" t="s">
        <v>241</v>
      </c>
      <c r="DV2939" s="4" t="s">
        <v>426</v>
      </c>
      <c r="DW2939" s="4" t="s">
        <v>2006</v>
      </c>
      <c r="HO2939" s="4" t="s">
        <v>267</v>
      </c>
    </row>
    <row r="2940" spans="1:223" ht="19.5" customHeight="1" x14ac:dyDescent="0.4">
      <c r="A2940" s="4">
        <v>1</v>
      </c>
      <c r="B2940" s="4" t="s">
        <v>239</v>
      </c>
      <c r="C2940" s="4">
        <v>4643</v>
      </c>
      <c r="D2940" s="4">
        <v>1</v>
      </c>
      <c r="E2940" s="4">
        <v>1</v>
      </c>
      <c r="F2940" s="4" t="s">
        <v>268</v>
      </c>
      <c r="G2940" s="4" t="s">
        <v>241</v>
      </c>
      <c r="H2940" s="4" t="s">
        <v>241</v>
      </c>
      <c r="I2940" s="4" t="s">
        <v>424</v>
      </c>
      <c r="J2940" s="4" t="s">
        <v>274</v>
      </c>
      <c r="K2940" s="4" t="s">
        <v>251</v>
      </c>
      <c r="L2940" s="4" t="s">
        <v>423</v>
      </c>
      <c r="M2940" s="5" t="s">
        <v>3797</v>
      </c>
      <c r="N2940" s="6">
        <f>245</f>
        <v>245</v>
      </c>
      <c r="O2940" s="4" t="s">
        <v>265</v>
      </c>
      <c r="P2940" s="6">
        <f>1</f>
        <v>1</v>
      </c>
      <c r="Q2940" s="6">
        <f>0</f>
        <v>0</v>
      </c>
      <c r="S2940" s="6">
        <f>0</f>
        <v>0</v>
      </c>
      <c r="T2940" s="6">
        <f>1</f>
        <v>1</v>
      </c>
      <c r="U2940" s="5" t="s">
        <v>245</v>
      </c>
      <c r="V2940" s="4" t="s">
        <v>270</v>
      </c>
      <c r="W2940" s="4" t="s">
        <v>271</v>
      </c>
      <c r="X2940" s="4" t="s">
        <v>273</v>
      </c>
      <c r="Y2940" s="4" t="s">
        <v>241</v>
      </c>
      <c r="AB2940" s="4" t="s">
        <v>241</v>
      </c>
      <c r="AD2940" s="5" t="s">
        <v>241</v>
      </c>
      <c r="AG2940" s="5" t="s">
        <v>246</v>
      </c>
      <c r="AH2940" s="4" t="s">
        <v>241</v>
      </c>
      <c r="AI2940" s="4" t="s">
        <v>247</v>
      </c>
      <c r="AJ2940" s="4" t="s">
        <v>248</v>
      </c>
      <c r="AZ2940" s="4" t="s">
        <v>249</v>
      </c>
      <c r="BA2940" s="4" t="s">
        <v>241</v>
      </c>
      <c r="BB2940" s="4" t="s">
        <v>250</v>
      </c>
      <c r="BC2940" s="4" t="s">
        <v>241</v>
      </c>
      <c r="BD2940" s="4" t="s">
        <v>252</v>
      </c>
      <c r="BE2940" s="4" t="s">
        <v>241</v>
      </c>
      <c r="BI2940" s="4" t="s">
        <v>253</v>
      </c>
      <c r="BJ2940" s="5" t="s">
        <v>246</v>
      </c>
      <c r="BK2940" s="4" t="s">
        <v>254</v>
      </c>
      <c r="BL2940" s="4" t="s">
        <v>255</v>
      </c>
      <c r="BM2940" s="4" t="s">
        <v>241</v>
      </c>
      <c r="BN2940" s="6">
        <f>0</f>
        <v>0</v>
      </c>
      <c r="BO2940" s="6">
        <f>0</f>
        <v>0</v>
      </c>
      <c r="BP2940" s="4" t="s">
        <v>256</v>
      </c>
      <c r="BQ2940" s="4" t="s">
        <v>257</v>
      </c>
      <c r="CE2940" s="4" t="s">
        <v>241</v>
      </c>
      <c r="CF2940" s="4" t="s">
        <v>241</v>
      </c>
      <c r="CJ2940" s="4" t="s">
        <v>276</v>
      </c>
      <c r="CK2940" s="4" t="s">
        <v>259</v>
      </c>
      <c r="CL2940" s="4" t="s">
        <v>241</v>
      </c>
      <c r="CO2940" s="5" t="s">
        <v>260</v>
      </c>
      <c r="CP2940" s="4" t="s">
        <v>241</v>
      </c>
      <c r="CQ2940" s="4" t="s">
        <v>261</v>
      </c>
      <c r="CR2940" s="4" t="s">
        <v>241</v>
      </c>
      <c r="CS2940" s="4" t="s">
        <v>241</v>
      </c>
      <c r="CT2940" s="4">
        <v>0</v>
      </c>
      <c r="CU2940" s="4" t="s">
        <v>262</v>
      </c>
      <c r="CV2940" s="4" t="s">
        <v>263</v>
      </c>
      <c r="CW2940" s="4" t="s">
        <v>263</v>
      </c>
      <c r="CX2940" s="4" t="s">
        <v>264</v>
      </c>
      <c r="DA2940" s="6">
        <f>1</f>
        <v>1</v>
      </c>
      <c r="DC2940" s="4" t="s">
        <v>325</v>
      </c>
      <c r="DD2940" s="4" t="s">
        <v>241</v>
      </c>
      <c r="DF2940" s="4" t="s">
        <v>325</v>
      </c>
      <c r="DG2940" s="6">
        <f>245</f>
        <v>245</v>
      </c>
      <c r="DI2940" s="4" t="s">
        <v>241</v>
      </c>
      <c r="DJ2940" s="4" t="s">
        <v>241</v>
      </c>
      <c r="DK2940" s="4" t="s">
        <v>241</v>
      </c>
      <c r="DL2940" s="4" t="s">
        <v>241</v>
      </c>
      <c r="DP2940" s="4" t="s">
        <v>241</v>
      </c>
      <c r="DQ2940" s="4" t="s">
        <v>241</v>
      </c>
      <c r="DR2940" s="4" t="s">
        <v>241</v>
      </c>
      <c r="DS2940" s="4" t="s">
        <v>241</v>
      </c>
      <c r="DV2940" s="4" t="s">
        <v>426</v>
      </c>
      <c r="DW2940" s="4" t="s">
        <v>2002</v>
      </c>
      <c r="HO2940" s="4" t="s">
        <v>267</v>
      </c>
    </row>
    <row r="2941" spans="1:223" ht="19.5" customHeight="1" x14ac:dyDescent="0.4">
      <c r="A2941" s="4">
        <v>1</v>
      </c>
      <c r="B2941" s="4" t="s">
        <v>239</v>
      </c>
      <c r="C2941" s="4">
        <v>4644</v>
      </c>
      <c r="D2941" s="4">
        <v>1</v>
      </c>
      <c r="E2941" s="4">
        <v>1</v>
      </c>
      <c r="F2941" s="4" t="s">
        <v>268</v>
      </c>
      <c r="G2941" s="4" t="s">
        <v>241</v>
      </c>
      <c r="H2941" s="4" t="s">
        <v>241</v>
      </c>
      <c r="I2941" s="4" t="s">
        <v>424</v>
      </c>
      <c r="J2941" s="4" t="s">
        <v>274</v>
      </c>
      <c r="K2941" s="4" t="s">
        <v>251</v>
      </c>
      <c r="L2941" s="4" t="s">
        <v>423</v>
      </c>
      <c r="M2941" s="5" t="s">
        <v>4871</v>
      </c>
      <c r="N2941" s="6">
        <f>319</f>
        <v>319</v>
      </c>
      <c r="O2941" s="4" t="s">
        <v>265</v>
      </c>
      <c r="P2941" s="6">
        <f>1</f>
        <v>1</v>
      </c>
      <c r="Q2941" s="6">
        <f>0</f>
        <v>0</v>
      </c>
      <c r="S2941" s="6">
        <f>0</f>
        <v>0</v>
      </c>
      <c r="T2941" s="6">
        <f>1</f>
        <v>1</v>
      </c>
      <c r="U2941" s="5" t="s">
        <v>245</v>
      </c>
      <c r="V2941" s="4" t="s">
        <v>270</v>
      </c>
      <c r="W2941" s="4" t="s">
        <v>271</v>
      </c>
      <c r="X2941" s="4" t="s">
        <v>273</v>
      </c>
      <c r="Y2941" s="4" t="s">
        <v>241</v>
      </c>
      <c r="AB2941" s="4" t="s">
        <v>241</v>
      </c>
      <c r="AD2941" s="5" t="s">
        <v>241</v>
      </c>
      <c r="AG2941" s="5" t="s">
        <v>246</v>
      </c>
      <c r="AH2941" s="4" t="s">
        <v>241</v>
      </c>
      <c r="AI2941" s="4" t="s">
        <v>247</v>
      </c>
      <c r="AJ2941" s="4" t="s">
        <v>248</v>
      </c>
      <c r="AZ2941" s="4" t="s">
        <v>249</v>
      </c>
      <c r="BA2941" s="4" t="s">
        <v>241</v>
      </c>
      <c r="BB2941" s="4" t="s">
        <v>250</v>
      </c>
      <c r="BC2941" s="4" t="s">
        <v>241</v>
      </c>
      <c r="BD2941" s="4" t="s">
        <v>252</v>
      </c>
      <c r="BE2941" s="4" t="s">
        <v>241</v>
      </c>
      <c r="BI2941" s="4" t="s">
        <v>253</v>
      </c>
      <c r="BJ2941" s="5" t="s">
        <v>246</v>
      </c>
      <c r="BK2941" s="4" t="s">
        <v>254</v>
      </c>
      <c r="BL2941" s="4" t="s">
        <v>255</v>
      </c>
      <c r="BM2941" s="4" t="s">
        <v>241</v>
      </c>
      <c r="BN2941" s="6">
        <f>0</f>
        <v>0</v>
      </c>
      <c r="BO2941" s="6">
        <f>0</f>
        <v>0</v>
      </c>
      <c r="BP2941" s="4" t="s">
        <v>256</v>
      </c>
      <c r="BQ2941" s="4" t="s">
        <v>257</v>
      </c>
      <c r="CE2941" s="4" t="s">
        <v>241</v>
      </c>
      <c r="CF2941" s="4" t="s">
        <v>241</v>
      </c>
      <c r="CJ2941" s="4" t="s">
        <v>276</v>
      </c>
      <c r="CK2941" s="4" t="s">
        <v>259</v>
      </c>
      <c r="CL2941" s="4" t="s">
        <v>241</v>
      </c>
      <c r="CO2941" s="5" t="s">
        <v>260</v>
      </c>
      <c r="CP2941" s="4" t="s">
        <v>241</v>
      </c>
      <c r="CQ2941" s="4" t="s">
        <v>261</v>
      </c>
      <c r="CR2941" s="4" t="s">
        <v>241</v>
      </c>
      <c r="CS2941" s="4" t="s">
        <v>241</v>
      </c>
      <c r="CT2941" s="4">
        <v>0</v>
      </c>
      <c r="CU2941" s="4" t="s">
        <v>262</v>
      </c>
      <c r="CV2941" s="4" t="s">
        <v>263</v>
      </c>
      <c r="CW2941" s="4" t="s">
        <v>263</v>
      </c>
      <c r="CX2941" s="4" t="s">
        <v>264</v>
      </c>
      <c r="DA2941" s="6">
        <f>1</f>
        <v>1</v>
      </c>
      <c r="DC2941" s="4" t="s">
        <v>325</v>
      </c>
      <c r="DD2941" s="4" t="s">
        <v>241</v>
      </c>
      <c r="DF2941" s="4" t="s">
        <v>325</v>
      </c>
      <c r="DG2941" s="6">
        <f>319</f>
        <v>319</v>
      </c>
      <c r="DI2941" s="4" t="s">
        <v>241</v>
      </c>
      <c r="DJ2941" s="4" t="s">
        <v>241</v>
      </c>
      <c r="DK2941" s="4" t="s">
        <v>241</v>
      </c>
      <c r="DL2941" s="4" t="s">
        <v>241</v>
      </c>
      <c r="DP2941" s="4" t="s">
        <v>241</v>
      </c>
      <c r="DQ2941" s="4" t="s">
        <v>241</v>
      </c>
      <c r="DR2941" s="4" t="s">
        <v>241</v>
      </c>
      <c r="DS2941" s="4" t="s">
        <v>241</v>
      </c>
      <c r="DV2941" s="4" t="s">
        <v>426</v>
      </c>
      <c r="DW2941" s="4" t="s">
        <v>2000</v>
      </c>
      <c r="HO2941" s="4" t="s">
        <v>267</v>
      </c>
    </row>
    <row r="2942" spans="1:223" ht="19.5" customHeight="1" x14ac:dyDescent="0.4">
      <c r="A2942" s="4">
        <v>1</v>
      </c>
      <c r="B2942" s="4" t="s">
        <v>239</v>
      </c>
      <c r="C2942" s="4">
        <v>4645</v>
      </c>
      <c r="D2942" s="4">
        <v>1</v>
      </c>
      <c r="E2942" s="4">
        <v>1</v>
      </c>
      <c r="F2942" s="4" t="s">
        <v>268</v>
      </c>
      <c r="G2942" s="4" t="s">
        <v>241</v>
      </c>
      <c r="H2942" s="4" t="s">
        <v>241</v>
      </c>
      <c r="I2942" s="4" t="s">
        <v>424</v>
      </c>
      <c r="J2942" s="4" t="s">
        <v>274</v>
      </c>
      <c r="K2942" s="4" t="s">
        <v>251</v>
      </c>
      <c r="L2942" s="4" t="s">
        <v>423</v>
      </c>
      <c r="M2942" s="5" t="s">
        <v>3778</v>
      </c>
      <c r="N2942" s="6">
        <f>94</f>
        <v>94</v>
      </c>
      <c r="O2942" s="4" t="s">
        <v>265</v>
      </c>
      <c r="P2942" s="6">
        <f>1</f>
        <v>1</v>
      </c>
      <c r="Q2942" s="6">
        <f>0</f>
        <v>0</v>
      </c>
      <c r="S2942" s="6">
        <f>0</f>
        <v>0</v>
      </c>
      <c r="T2942" s="6">
        <f>1</f>
        <v>1</v>
      </c>
      <c r="U2942" s="5" t="s">
        <v>245</v>
      </c>
      <c r="V2942" s="4" t="s">
        <v>270</v>
      </c>
      <c r="W2942" s="4" t="s">
        <v>271</v>
      </c>
      <c r="X2942" s="4" t="s">
        <v>273</v>
      </c>
      <c r="Y2942" s="4" t="s">
        <v>241</v>
      </c>
      <c r="AB2942" s="4" t="s">
        <v>241</v>
      </c>
      <c r="AD2942" s="5" t="s">
        <v>241</v>
      </c>
      <c r="AG2942" s="5" t="s">
        <v>246</v>
      </c>
      <c r="AH2942" s="4" t="s">
        <v>241</v>
      </c>
      <c r="AI2942" s="4" t="s">
        <v>247</v>
      </c>
      <c r="AJ2942" s="4" t="s">
        <v>248</v>
      </c>
      <c r="AZ2942" s="4" t="s">
        <v>249</v>
      </c>
      <c r="BA2942" s="4" t="s">
        <v>241</v>
      </c>
      <c r="BB2942" s="4" t="s">
        <v>250</v>
      </c>
      <c r="BC2942" s="4" t="s">
        <v>241</v>
      </c>
      <c r="BD2942" s="4" t="s">
        <v>252</v>
      </c>
      <c r="BE2942" s="4" t="s">
        <v>241</v>
      </c>
      <c r="BI2942" s="4" t="s">
        <v>253</v>
      </c>
      <c r="BJ2942" s="5" t="s">
        <v>246</v>
      </c>
      <c r="BK2942" s="4" t="s">
        <v>254</v>
      </c>
      <c r="BL2942" s="4" t="s">
        <v>255</v>
      </c>
      <c r="BM2942" s="4" t="s">
        <v>241</v>
      </c>
      <c r="BN2942" s="6">
        <f>0</f>
        <v>0</v>
      </c>
      <c r="BO2942" s="6">
        <f>0</f>
        <v>0</v>
      </c>
      <c r="BP2942" s="4" t="s">
        <v>256</v>
      </c>
      <c r="BQ2942" s="4" t="s">
        <v>257</v>
      </c>
      <c r="CE2942" s="4" t="s">
        <v>241</v>
      </c>
      <c r="CF2942" s="4" t="s">
        <v>241</v>
      </c>
      <c r="CJ2942" s="4" t="s">
        <v>276</v>
      </c>
      <c r="CK2942" s="4" t="s">
        <v>259</v>
      </c>
      <c r="CL2942" s="4" t="s">
        <v>241</v>
      </c>
      <c r="CO2942" s="5" t="s">
        <v>260</v>
      </c>
      <c r="CP2942" s="4" t="s">
        <v>241</v>
      </c>
      <c r="CQ2942" s="4" t="s">
        <v>261</v>
      </c>
      <c r="CR2942" s="4" t="s">
        <v>241</v>
      </c>
      <c r="CS2942" s="4" t="s">
        <v>241</v>
      </c>
      <c r="CT2942" s="4">
        <v>0</v>
      </c>
      <c r="CU2942" s="4" t="s">
        <v>262</v>
      </c>
      <c r="CV2942" s="4" t="s">
        <v>263</v>
      </c>
      <c r="CW2942" s="4" t="s">
        <v>263</v>
      </c>
      <c r="CX2942" s="4" t="s">
        <v>264</v>
      </c>
      <c r="DA2942" s="6">
        <f>1</f>
        <v>1</v>
      </c>
      <c r="DC2942" s="4" t="s">
        <v>325</v>
      </c>
      <c r="DD2942" s="4" t="s">
        <v>241</v>
      </c>
      <c r="DF2942" s="4" t="s">
        <v>325</v>
      </c>
      <c r="DG2942" s="6">
        <f>94</f>
        <v>94</v>
      </c>
      <c r="DI2942" s="4" t="s">
        <v>241</v>
      </c>
      <c r="DJ2942" s="4" t="s">
        <v>241</v>
      </c>
      <c r="DK2942" s="4" t="s">
        <v>241</v>
      </c>
      <c r="DL2942" s="4" t="s">
        <v>241</v>
      </c>
      <c r="DP2942" s="4" t="s">
        <v>241</v>
      </c>
      <c r="DQ2942" s="4" t="s">
        <v>241</v>
      </c>
      <c r="DR2942" s="4" t="s">
        <v>241</v>
      </c>
      <c r="DS2942" s="4" t="s">
        <v>241</v>
      </c>
      <c r="DV2942" s="4" t="s">
        <v>426</v>
      </c>
      <c r="DW2942" s="4" t="s">
        <v>1998</v>
      </c>
      <c r="HO2942" s="4" t="s">
        <v>267</v>
      </c>
    </row>
    <row r="2943" spans="1:223" ht="19.5" customHeight="1" x14ac:dyDescent="0.4">
      <c r="A2943" s="4">
        <v>1</v>
      </c>
      <c r="B2943" s="4" t="s">
        <v>239</v>
      </c>
      <c r="C2943" s="4">
        <v>4646</v>
      </c>
      <c r="D2943" s="4">
        <v>1</v>
      </c>
      <c r="E2943" s="4">
        <v>1</v>
      </c>
      <c r="F2943" s="4" t="s">
        <v>268</v>
      </c>
      <c r="G2943" s="4" t="s">
        <v>241</v>
      </c>
      <c r="H2943" s="4" t="s">
        <v>241</v>
      </c>
      <c r="I2943" s="4" t="s">
        <v>424</v>
      </c>
      <c r="J2943" s="4" t="s">
        <v>274</v>
      </c>
      <c r="K2943" s="4" t="s">
        <v>251</v>
      </c>
      <c r="L2943" s="4" t="s">
        <v>423</v>
      </c>
      <c r="M2943" s="5" t="s">
        <v>3767</v>
      </c>
      <c r="N2943" s="6">
        <f>918</f>
        <v>918</v>
      </c>
      <c r="O2943" s="4" t="s">
        <v>265</v>
      </c>
      <c r="P2943" s="6">
        <f>1</f>
        <v>1</v>
      </c>
      <c r="Q2943" s="6">
        <f>0</f>
        <v>0</v>
      </c>
      <c r="S2943" s="6">
        <f>0</f>
        <v>0</v>
      </c>
      <c r="T2943" s="6">
        <f>1</f>
        <v>1</v>
      </c>
      <c r="U2943" s="5" t="s">
        <v>245</v>
      </c>
      <c r="V2943" s="4" t="s">
        <v>270</v>
      </c>
      <c r="W2943" s="4" t="s">
        <v>271</v>
      </c>
      <c r="X2943" s="4" t="s">
        <v>273</v>
      </c>
      <c r="Y2943" s="4" t="s">
        <v>241</v>
      </c>
      <c r="AB2943" s="4" t="s">
        <v>241</v>
      </c>
      <c r="AD2943" s="5" t="s">
        <v>241</v>
      </c>
      <c r="AG2943" s="5" t="s">
        <v>246</v>
      </c>
      <c r="AH2943" s="4" t="s">
        <v>241</v>
      </c>
      <c r="AI2943" s="4" t="s">
        <v>247</v>
      </c>
      <c r="AJ2943" s="4" t="s">
        <v>248</v>
      </c>
      <c r="AZ2943" s="4" t="s">
        <v>249</v>
      </c>
      <c r="BA2943" s="4" t="s">
        <v>241</v>
      </c>
      <c r="BB2943" s="4" t="s">
        <v>250</v>
      </c>
      <c r="BC2943" s="4" t="s">
        <v>241</v>
      </c>
      <c r="BD2943" s="4" t="s">
        <v>252</v>
      </c>
      <c r="BE2943" s="4" t="s">
        <v>241</v>
      </c>
      <c r="BI2943" s="4" t="s">
        <v>253</v>
      </c>
      <c r="BJ2943" s="5" t="s">
        <v>246</v>
      </c>
      <c r="BK2943" s="4" t="s">
        <v>254</v>
      </c>
      <c r="BL2943" s="4" t="s">
        <v>255</v>
      </c>
      <c r="BM2943" s="4" t="s">
        <v>241</v>
      </c>
      <c r="BN2943" s="6">
        <f>0</f>
        <v>0</v>
      </c>
      <c r="BO2943" s="6">
        <f>0</f>
        <v>0</v>
      </c>
      <c r="BP2943" s="4" t="s">
        <v>256</v>
      </c>
      <c r="BQ2943" s="4" t="s">
        <v>257</v>
      </c>
      <c r="CE2943" s="4" t="s">
        <v>241</v>
      </c>
      <c r="CF2943" s="4" t="s">
        <v>241</v>
      </c>
      <c r="CJ2943" s="4" t="s">
        <v>276</v>
      </c>
      <c r="CK2943" s="4" t="s">
        <v>259</v>
      </c>
      <c r="CL2943" s="4" t="s">
        <v>241</v>
      </c>
      <c r="CO2943" s="5" t="s">
        <v>260</v>
      </c>
      <c r="CP2943" s="4" t="s">
        <v>241</v>
      </c>
      <c r="CQ2943" s="4" t="s">
        <v>261</v>
      </c>
      <c r="CR2943" s="4" t="s">
        <v>241</v>
      </c>
      <c r="CS2943" s="4" t="s">
        <v>241</v>
      </c>
      <c r="CT2943" s="4">
        <v>0</v>
      </c>
      <c r="CU2943" s="4" t="s">
        <v>262</v>
      </c>
      <c r="CV2943" s="4" t="s">
        <v>263</v>
      </c>
      <c r="CW2943" s="4" t="s">
        <v>263</v>
      </c>
      <c r="CX2943" s="4" t="s">
        <v>264</v>
      </c>
      <c r="DA2943" s="6">
        <f>1</f>
        <v>1</v>
      </c>
      <c r="DC2943" s="4" t="s">
        <v>325</v>
      </c>
      <c r="DD2943" s="4" t="s">
        <v>241</v>
      </c>
      <c r="DF2943" s="4" t="s">
        <v>325</v>
      </c>
      <c r="DG2943" s="6">
        <f>918</f>
        <v>918</v>
      </c>
      <c r="DI2943" s="4" t="s">
        <v>241</v>
      </c>
      <c r="DJ2943" s="4" t="s">
        <v>241</v>
      </c>
      <c r="DK2943" s="4" t="s">
        <v>241</v>
      </c>
      <c r="DL2943" s="4" t="s">
        <v>241</v>
      </c>
      <c r="DP2943" s="4" t="s">
        <v>241</v>
      </c>
      <c r="DQ2943" s="4" t="s">
        <v>241</v>
      </c>
      <c r="DR2943" s="4" t="s">
        <v>241</v>
      </c>
      <c r="DS2943" s="4" t="s">
        <v>241</v>
      </c>
      <c r="DV2943" s="4" t="s">
        <v>426</v>
      </c>
      <c r="DW2943" s="4" t="s">
        <v>1996</v>
      </c>
      <c r="HO2943" s="4" t="s">
        <v>267</v>
      </c>
    </row>
    <row r="2944" spans="1:223" ht="19.5" customHeight="1" x14ac:dyDescent="0.4">
      <c r="A2944" s="4">
        <v>1</v>
      </c>
      <c r="B2944" s="4" t="s">
        <v>239</v>
      </c>
      <c r="C2944" s="4">
        <v>4647</v>
      </c>
      <c r="D2944" s="4">
        <v>1</v>
      </c>
      <c r="E2944" s="4">
        <v>1</v>
      </c>
      <c r="F2944" s="4" t="s">
        <v>268</v>
      </c>
      <c r="G2944" s="4" t="s">
        <v>241</v>
      </c>
      <c r="H2944" s="4" t="s">
        <v>241</v>
      </c>
      <c r="I2944" s="4" t="s">
        <v>424</v>
      </c>
      <c r="J2944" s="4" t="s">
        <v>274</v>
      </c>
      <c r="K2944" s="4" t="s">
        <v>251</v>
      </c>
      <c r="L2944" s="4" t="s">
        <v>423</v>
      </c>
      <c r="M2944" s="5" t="s">
        <v>3758</v>
      </c>
      <c r="N2944" s="6">
        <f>119</f>
        <v>119</v>
      </c>
      <c r="O2944" s="4" t="s">
        <v>265</v>
      </c>
      <c r="P2944" s="6">
        <f>1</f>
        <v>1</v>
      </c>
      <c r="Q2944" s="6">
        <f>0</f>
        <v>0</v>
      </c>
      <c r="S2944" s="6">
        <f>0</f>
        <v>0</v>
      </c>
      <c r="T2944" s="6">
        <f>1</f>
        <v>1</v>
      </c>
      <c r="U2944" s="5" t="s">
        <v>245</v>
      </c>
      <c r="V2944" s="4" t="s">
        <v>270</v>
      </c>
      <c r="W2944" s="4" t="s">
        <v>271</v>
      </c>
      <c r="X2944" s="4" t="s">
        <v>273</v>
      </c>
      <c r="Y2944" s="4" t="s">
        <v>241</v>
      </c>
      <c r="AB2944" s="4" t="s">
        <v>241</v>
      </c>
      <c r="AD2944" s="5" t="s">
        <v>241</v>
      </c>
      <c r="AG2944" s="5" t="s">
        <v>246</v>
      </c>
      <c r="AH2944" s="4" t="s">
        <v>241</v>
      </c>
      <c r="AI2944" s="4" t="s">
        <v>247</v>
      </c>
      <c r="AJ2944" s="4" t="s">
        <v>248</v>
      </c>
      <c r="AZ2944" s="4" t="s">
        <v>249</v>
      </c>
      <c r="BA2944" s="4" t="s">
        <v>241</v>
      </c>
      <c r="BB2944" s="4" t="s">
        <v>250</v>
      </c>
      <c r="BC2944" s="4" t="s">
        <v>241</v>
      </c>
      <c r="BD2944" s="4" t="s">
        <v>252</v>
      </c>
      <c r="BE2944" s="4" t="s">
        <v>241</v>
      </c>
      <c r="BI2944" s="4" t="s">
        <v>253</v>
      </c>
      <c r="BJ2944" s="5" t="s">
        <v>246</v>
      </c>
      <c r="BK2944" s="4" t="s">
        <v>254</v>
      </c>
      <c r="BL2944" s="4" t="s">
        <v>255</v>
      </c>
      <c r="BM2944" s="4" t="s">
        <v>241</v>
      </c>
      <c r="BN2944" s="6">
        <f>0</f>
        <v>0</v>
      </c>
      <c r="BO2944" s="6">
        <f>0</f>
        <v>0</v>
      </c>
      <c r="BP2944" s="4" t="s">
        <v>256</v>
      </c>
      <c r="BQ2944" s="4" t="s">
        <v>257</v>
      </c>
      <c r="CE2944" s="4" t="s">
        <v>241</v>
      </c>
      <c r="CF2944" s="4" t="s">
        <v>241</v>
      </c>
      <c r="CJ2944" s="4" t="s">
        <v>276</v>
      </c>
      <c r="CK2944" s="4" t="s">
        <v>259</v>
      </c>
      <c r="CL2944" s="4" t="s">
        <v>241</v>
      </c>
      <c r="CO2944" s="5" t="s">
        <v>260</v>
      </c>
      <c r="CP2944" s="4" t="s">
        <v>241</v>
      </c>
      <c r="CQ2944" s="4" t="s">
        <v>261</v>
      </c>
      <c r="CR2944" s="4" t="s">
        <v>241</v>
      </c>
      <c r="CS2944" s="4" t="s">
        <v>241</v>
      </c>
      <c r="CT2944" s="4">
        <v>0</v>
      </c>
      <c r="CU2944" s="4" t="s">
        <v>262</v>
      </c>
      <c r="CV2944" s="4" t="s">
        <v>263</v>
      </c>
      <c r="CW2944" s="4" t="s">
        <v>263</v>
      </c>
      <c r="CX2944" s="4" t="s">
        <v>264</v>
      </c>
      <c r="DA2944" s="6">
        <f>1</f>
        <v>1</v>
      </c>
      <c r="DC2944" s="4" t="s">
        <v>325</v>
      </c>
      <c r="DD2944" s="4" t="s">
        <v>241</v>
      </c>
      <c r="DF2944" s="4" t="s">
        <v>325</v>
      </c>
      <c r="DG2944" s="6">
        <f>119</f>
        <v>119</v>
      </c>
      <c r="DI2944" s="4" t="s">
        <v>241</v>
      </c>
      <c r="DJ2944" s="4" t="s">
        <v>241</v>
      </c>
      <c r="DK2944" s="4" t="s">
        <v>241</v>
      </c>
      <c r="DL2944" s="4" t="s">
        <v>241</v>
      </c>
      <c r="DP2944" s="4" t="s">
        <v>241</v>
      </c>
      <c r="DQ2944" s="4" t="s">
        <v>241</v>
      </c>
      <c r="DR2944" s="4" t="s">
        <v>241</v>
      </c>
      <c r="DS2944" s="4" t="s">
        <v>241</v>
      </c>
      <c r="DV2944" s="4" t="s">
        <v>426</v>
      </c>
      <c r="DW2944" s="4" t="s">
        <v>1994</v>
      </c>
      <c r="HO2944" s="4" t="s">
        <v>267</v>
      </c>
    </row>
    <row r="2945" spans="1:223" ht="19.5" customHeight="1" x14ac:dyDescent="0.4">
      <c r="A2945" s="4">
        <v>1</v>
      </c>
      <c r="B2945" s="4" t="s">
        <v>239</v>
      </c>
      <c r="C2945" s="4">
        <v>4648</v>
      </c>
      <c r="D2945" s="4">
        <v>1</v>
      </c>
      <c r="E2945" s="4">
        <v>1</v>
      </c>
      <c r="F2945" s="4" t="s">
        <v>268</v>
      </c>
      <c r="G2945" s="4" t="s">
        <v>241</v>
      </c>
      <c r="H2945" s="4" t="s">
        <v>241</v>
      </c>
      <c r="I2945" s="4" t="s">
        <v>424</v>
      </c>
      <c r="J2945" s="4" t="s">
        <v>274</v>
      </c>
      <c r="K2945" s="4" t="s">
        <v>251</v>
      </c>
      <c r="L2945" s="4" t="s">
        <v>423</v>
      </c>
      <c r="M2945" s="5" t="s">
        <v>3749</v>
      </c>
      <c r="N2945" s="6">
        <f>1666</f>
        <v>1666</v>
      </c>
      <c r="O2945" s="4" t="s">
        <v>265</v>
      </c>
      <c r="P2945" s="6">
        <f>1</f>
        <v>1</v>
      </c>
      <c r="Q2945" s="6">
        <f>0</f>
        <v>0</v>
      </c>
      <c r="S2945" s="6">
        <f>0</f>
        <v>0</v>
      </c>
      <c r="T2945" s="6">
        <f>1</f>
        <v>1</v>
      </c>
      <c r="U2945" s="5" t="s">
        <v>245</v>
      </c>
      <c r="V2945" s="4" t="s">
        <v>270</v>
      </c>
      <c r="W2945" s="4" t="s">
        <v>271</v>
      </c>
      <c r="X2945" s="4" t="s">
        <v>273</v>
      </c>
      <c r="Y2945" s="4" t="s">
        <v>241</v>
      </c>
      <c r="AB2945" s="4" t="s">
        <v>241</v>
      </c>
      <c r="AD2945" s="5" t="s">
        <v>241</v>
      </c>
      <c r="AG2945" s="5" t="s">
        <v>246</v>
      </c>
      <c r="AH2945" s="4" t="s">
        <v>241</v>
      </c>
      <c r="AI2945" s="4" t="s">
        <v>247</v>
      </c>
      <c r="AJ2945" s="4" t="s">
        <v>248</v>
      </c>
      <c r="AZ2945" s="4" t="s">
        <v>249</v>
      </c>
      <c r="BA2945" s="4" t="s">
        <v>241</v>
      </c>
      <c r="BB2945" s="4" t="s">
        <v>250</v>
      </c>
      <c r="BC2945" s="4" t="s">
        <v>241</v>
      </c>
      <c r="BD2945" s="4" t="s">
        <v>252</v>
      </c>
      <c r="BE2945" s="4" t="s">
        <v>241</v>
      </c>
      <c r="BI2945" s="4" t="s">
        <v>253</v>
      </c>
      <c r="BJ2945" s="5" t="s">
        <v>246</v>
      </c>
      <c r="BK2945" s="4" t="s">
        <v>254</v>
      </c>
      <c r="BL2945" s="4" t="s">
        <v>255</v>
      </c>
      <c r="BM2945" s="4" t="s">
        <v>241</v>
      </c>
      <c r="BN2945" s="6">
        <f>0</f>
        <v>0</v>
      </c>
      <c r="BO2945" s="6">
        <f>0</f>
        <v>0</v>
      </c>
      <c r="BP2945" s="4" t="s">
        <v>256</v>
      </c>
      <c r="BQ2945" s="4" t="s">
        <v>257</v>
      </c>
      <c r="CE2945" s="4" t="s">
        <v>241</v>
      </c>
      <c r="CF2945" s="4" t="s">
        <v>241</v>
      </c>
      <c r="CJ2945" s="4" t="s">
        <v>276</v>
      </c>
      <c r="CK2945" s="4" t="s">
        <v>259</v>
      </c>
      <c r="CL2945" s="4" t="s">
        <v>241</v>
      </c>
      <c r="CO2945" s="5" t="s">
        <v>260</v>
      </c>
      <c r="CP2945" s="4" t="s">
        <v>241</v>
      </c>
      <c r="CQ2945" s="4" t="s">
        <v>261</v>
      </c>
      <c r="CR2945" s="4" t="s">
        <v>241</v>
      </c>
      <c r="CS2945" s="4" t="s">
        <v>241</v>
      </c>
      <c r="CT2945" s="4">
        <v>0</v>
      </c>
      <c r="CU2945" s="4" t="s">
        <v>262</v>
      </c>
      <c r="CV2945" s="4" t="s">
        <v>263</v>
      </c>
      <c r="CW2945" s="4" t="s">
        <v>263</v>
      </c>
      <c r="CX2945" s="4" t="s">
        <v>264</v>
      </c>
      <c r="DA2945" s="6">
        <f>1</f>
        <v>1</v>
      </c>
      <c r="DC2945" s="4" t="s">
        <v>325</v>
      </c>
      <c r="DD2945" s="4" t="s">
        <v>241</v>
      </c>
      <c r="DF2945" s="4" t="s">
        <v>325</v>
      </c>
      <c r="DG2945" s="6">
        <f>1666</f>
        <v>1666</v>
      </c>
      <c r="DI2945" s="4" t="s">
        <v>241</v>
      </c>
      <c r="DJ2945" s="4" t="s">
        <v>241</v>
      </c>
      <c r="DK2945" s="4" t="s">
        <v>241</v>
      </c>
      <c r="DL2945" s="4" t="s">
        <v>241</v>
      </c>
      <c r="DP2945" s="4" t="s">
        <v>241</v>
      </c>
      <c r="DQ2945" s="4" t="s">
        <v>241</v>
      </c>
      <c r="DR2945" s="4" t="s">
        <v>241</v>
      </c>
      <c r="DS2945" s="4" t="s">
        <v>241</v>
      </c>
      <c r="DV2945" s="4" t="s">
        <v>426</v>
      </c>
      <c r="DW2945" s="4" t="s">
        <v>1992</v>
      </c>
      <c r="HO2945" s="4" t="s">
        <v>267</v>
      </c>
    </row>
    <row r="2946" spans="1:223" ht="19.5" customHeight="1" x14ac:dyDescent="0.4">
      <c r="A2946" s="4">
        <v>1</v>
      </c>
      <c r="B2946" s="4" t="s">
        <v>239</v>
      </c>
      <c r="C2946" s="4">
        <v>4649</v>
      </c>
      <c r="D2946" s="4">
        <v>1</v>
      </c>
      <c r="E2946" s="4">
        <v>1</v>
      </c>
      <c r="F2946" s="4" t="s">
        <v>268</v>
      </c>
      <c r="G2946" s="4" t="s">
        <v>241</v>
      </c>
      <c r="H2946" s="4" t="s">
        <v>241</v>
      </c>
      <c r="I2946" s="4" t="s">
        <v>424</v>
      </c>
      <c r="J2946" s="4" t="s">
        <v>274</v>
      </c>
      <c r="K2946" s="4" t="s">
        <v>251</v>
      </c>
      <c r="L2946" s="4" t="s">
        <v>423</v>
      </c>
      <c r="M2946" s="5" t="s">
        <v>3743</v>
      </c>
      <c r="N2946" s="6">
        <f>257</f>
        <v>257</v>
      </c>
      <c r="O2946" s="4" t="s">
        <v>265</v>
      </c>
      <c r="P2946" s="6">
        <f>1</f>
        <v>1</v>
      </c>
      <c r="Q2946" s="6">
        <f>0</f>
        <v>0</v>
      </c>
      <c r="S2946" s="6">
        <f>0</f>
        <v>0</v>
      </c>
      <c r="T2946" s="6">
        <f>1</f>
        <v>1</v>
      </c>
      <c r="U2946" s="5" t="s">
        <v>245</v>
      </c>
      <c r="V2946" s="4" t="s">
        <v>270</v>
      </c>
      <c r="W2946" s="4" t="s">
        <v>271</v>
      </c>
      <c r="X2946" s="4" t="s">
        <v>273</v>
      </c>
      <c r="Y2946" s="4" t="s">
        <v>241</v>
      </c>
      <c r="AB2946" s="4" t="s">
        <v>241</v>
      </c>
      <c r="AD2946" s="5" t="s">
        <v>241</v>
      </c>
      <c r="AG2946" s="5" t="s">
        <v>246</v>
      </c>
      <c r="AH2946" s="4" t="s">
        <v>241</v>
      </c>
      <c r="AI2946" s="4" t="s">
        <v>247</v>
      </c>
      <c r="AJ2946" s="4" t="s">
        <v>248</v>
      </c>
      <c r="AZ2946" s="4" t="s">
        <v>249</v>
      </c>
      <c r="BA2946" s="4" t="s">
        <v>241</v>
      </c>
      <c r="BB2946" s="4" t="s">
        <v>250</v>
      </c>
      <c r="BC2946" s="4" t="s">
        <v>241</v>
      </c>
      <c r="BD2946" s="4" t="s">
        <v>252</v>
      </c>
      <c r="BE2946" s="4" t="s">
        <v>241</v>
      </c>
      <c r="BI2946" s="4" t="s">
        <v>253</v>
      </c>
      <c r="BJ2946" s="5" t="s">
        <v>246</v>
      </c>
      <c r="BK2946" s="4" t="s">
        <v>254</v>
      </c>
      <c r="BL2946" s="4" t="s">
        <v>255</v>
      </c>
      <c r="BM2946" s="4" t="s">
        <v>241</v>
      </c>
      <c r="BN2946" s="6">
        <f>0</f>
        <v>0</v>
      </c>
      <c r="BO2946" s="6">
        <f>0</f>
        <v>0</v>
      </c>
      <c r="BP2946" s="4" t="s">
        <v>256</v>
      </c>
      <c r="BQ2946" s="4" t="s">
        <v>257</v>
      </c>
      <c r="CE2946" s="4" t="s">
        <v>241</v>
      </c>
      <c r="CF2946" s="4" t="s">
        <v>241</v>
      </c>
      <c r="CJ2946" s="4" t="s">
        <v>276</v>
      </c>
      <c r="CK2946" s="4" t="s">
        <v>259</v>
      </c>
      <c r="CL2946" s="4" t="s">
        <v>241</v>
      </c>
      <c r="CO2946" s="5" t="s">
        <v>260</v>
      </c>
      <c r="CP2946" s="4" t="s">
        <v>241</v>
      </c>
      <c r="CQ2946" s="4" t="s">
        <v>261</v>
      </c>
      <c r="CR2946" s="4" t="s">
        <v>241</v>
      </c>
      <c r="CS2946" s="4" t="s">
        <v>241</v>
      </c>
      <c r="CT2946" s="4">
        <v>0</v>
      </c>
      <c r="CU2946" s="4" t="s">
        <v>262</v>
      </c>
      <c r="CV2946" s="4" t="s">
        <v>263</v>
      </c>
      <c r="CW2946" s="4" t="s">
        <v>263</v>
      </c>
      <c r="CX2946" s="4" t="s">
        <v>264</v>
      </c>
      <c r="DA2946" s="6">
        <f>1</f>
        <v>1</v>
      </c>
      <c r="DC2946" s="4" t="s">
        <v>325</v>
      </c>
      <c r="DD2946" s="4" t="s">
        <v>241</v>
      </c>
      <c r="DF2946" s="4" t="s">
        <v>325</v>
      </c>
      <c r="DG2946" s="6">
        <f>257</f>
        <v>257</v>
      </c>
      <c r="DI2946" s="4" t="s">
        <v>241</v>
      </c>
      <c r="DJ2946" s="4" t="s">
        <v>241</v>
      </c>
      <c r="DK2946" s="4" t="s">
        <v>241</v>
      </c>
      <c r="DL2946" s="4" t="s">
        <v>241</v>
      </c>
      <c r="DP2946" s="4" t="s">
        <v>241</v>
      </c>
      <c r="DQ2946" s="4" t="s">
        <v>241</v>
      </c>
      <c r="DR2946" s="4" t="s">
        <v>241</v>
      </c>
      <c r="DS2946" s="4" t="s">
        <v>241</v>
      </c>
      <c r="DV2946" s="4" t="s">
        <v>426</v>
      </c>
      <c r="DW2946" s="4" t="s">
        <v>1988</v>
      </c>
      <c r="HO2946" s="4" t="s">
        <v>267</v>
      </c>
    </row>
    <row r="2947" spans="1:223" ht="19.5" customHeight="1" x14ac:dyDescent="0.4">
      <c r="A2947" s="4">
        <v>1</v>
      </c>
      <c r="B2947" s="4" t="s">
        <v>239</v>
      </c>
      <c r="C2947" s="4">
        <v>4650</v>
      </c>
      <c r="D2947" s="4">
        <v>1</v>
      </c>
      <c r="E2947" s="4">
        <v>1</v>
      </c>
      <c r="F2947" s="4" t="s">
        <v>268</v>
      </c>
      <c r="G2947" s="4" t="s">
        <v>241</v>
      </c>
      <c r="H2947" s="4" t="s">
        <v>241</v>
      </c>
      <c r="I2947" s="4" t="s">
        <v>424</v>
      </c>
      <c r="J2947" s="4" t="s">
        <v>274</v>
      </c>
      <c r="K2947" s="4" t="s">
        <v>251</v>
      </c>
      <c r="L2947" s="4" t="s">
        <v>423</v>
      </c>
      <c r="M2947" s="5" t="s">
        <v>3733</v>
      </c>
      <c r="N2947" s="6">
        <f>826</f>
        <v>826</v>
      </c>
      <c r="O2947" s="4" t="s">
        <v>265</v>
      </c>
      <c r="P2947" s="6">
        <f>1</f>
        <v>1</v>
      </c>
      <c r="Q2947" s="6">
        <f>0</f>
        <v>0</v>
      </c>
      <c r="S2947" s="6">
        <f>0</f>
        <v>0</v>
      </c>
      <c r="T2947" s="6">
        <f>1</f>
        <v>1</v>
      </c>
      <c r="U2947" s="5" t="s">
        <v>245</v>
      </c>
      <c r="V2947" s="4" t="s">
        <v>270</v>
      </c>
      <c r="W2947" s="4" t="s">
        <v>271</v>
      </c>
      <c r="X2947" s="4" t="s">
        <v>273</v>
      </c>
      <c r="Y2947" s="4" t="s">
        <v>241</v>
      </c>
      <c r="AB2947" s="4" t="s">
        <v>241</v>
      </c>
      <c r="AD2947" s="5" t="s">
        <v>241</v>
      </c>
      <c r="AG2947" s="5" t="s">
        <v>246</v>
      </c>
      <c r="AH2947" s="4" t="s">
        <v>241</v>
      </c>
      <c r="AI2947" s="4" t="s">
        <v>247</v>
      </c>
      <c r="AJ2947" s="4" t="s">
        <v>248</v>
      </c>
      <c r="AZ2947" s="4" t="s">
        <v>249</v>
      </c>
      <c r="BA2947" s="4" t="s">
        <v>241</v>
      </c>
      <c r="BB2947" s="4" t="s">
        <v>250</v>
      </c>
      <c r="BC2947" s="4" t="s">
        <v>241</v>
      </c>
      <c r="BD2947" s="4" t="s">
        <v>252</v>
      </c>
      <c r="BE2947" s="4" t="s">
        <v>241</v>
      </c>
      <c r="BI2947" s="4" t="s">
        <v>253</v>
      </c>
      <c r="BJ2947" s="5" t="s">
        <v>246</v>
      </c>
      <c r="BK2947" s="4" t="s">
        <v>254</v>
      </c>
      <c r="BL2947" s="4" t="s">
        <v>255</v>
      </c>
      <c r="BM2947" s="4" t="s">
        <v>241</v>
      </c>
      <c r="BN2947" s="6">
        <f>0</f>
        <v>0</v>
      </c>
      <c r="BO2947" s="6">
        <f>0</f>
        <v>0</v>
      </c>
      <c r="BP2947" s="4" t="s">
        <v>256</v>
      </c>
      <c r="BQ2947" s="4" t="s">
        <v>257</v>
      </c>
      <c r="CE2947" s="4" t="s">
        <v>241</v>
      </c>
      <c r="CF2947" s="4" t="s">
        <v>241</v>
      </c>
      <c r="CJ2947" s="4" t="s">
        <v>276</v>
      </c>
      <c r="CK2947" s="4" t="s">
        <v>259</v>
      </c>
      <c r="CL2947" s="4" t="s">
        <v>241</v>
      </c>
      <c r="CO2947" s="5" t="s">
        <v>260</v>
      </c>
      <c r="CP2947" s="4" t="s">
        <v>241</v>
      </c>
      <c r="CQ2947" s="4" t="s">
        <v>261</v>
      </c>
      <c r="CR2947" s="4" t="s">
        <v>241</v>
      </c>
      <c r="CS2947" s="4" t="s">
        <v>241</v>
      </c>
      <c r="CT2947" s="4">
        <v>0</v>
      </c>
      <c r="CU2947" s="4" t="s">
        <v>262</v>
      </c>
      <c r="CV2947" s="4" t="s">
        <v>263</v>
      </c>
      <c r="CW2947" s="4" t="s">
        <v>263</v>
      </c>
      <c r="CX2947" s="4" t="s">
        <v>264</v>
      </c>
      <c r="DA2947" s="6">
        <f>1</f>
        <v>1</v>
      </c>
      <c r="DC2947" s="4" t="s">
        <v>325</v>
      </c>
      <c r="DD2947" s="4" t="s">
        <v>241</v>
      </c>
      <c r="DF2947" s="4" t="s">
        <v>325</v>
      </c>
      <c r="DG2947" s="6">
        <f>826</f>
        <v>826</v>
      </c>
      <c r="DI2947" s="4" t="s">
        <v>241</v>
      </c>
      <c r="DJ2947" s="4" t="s">
        <v>241</v>
      </c>
      <c r="DK2947" s="4" t="s">
        <v>241</v>
      </c>
      <c r="DL2947" s="4" t="s">
        <v>241</v>
      </c>
      <c r="DP2947" s="4" t="s">
        <v>241</v>
      </c>
      <c r="DQ2947" s="4" t="s">
        <v>241</v>
      </c>
      <c r="DR2947" s="4" t="s">
        <v>241</v>
      </c>
      <c r="DS2947" s="4" t="s">
        <v>241</v>
      </c>
      <c r="DV2947" s="4" t="s">
        <v>426</v>
      </c>
      <c r="DW2947" s="4" t="s">
        <v>1986</v>
      </c>
      <c r="HO2947" s="4" t="s">
        <v>267</v>
      </c>
    </row>
    <row r="2948" spans="1:223" ht="19.5" customHeight="1" x14ac:dyDescent="0.4">
      <c r="A2948" s="4">
        <v>1</v>
      </c>
      <c r="B2948" s="4" t="s">
        <v>239</v>
      </c>
      <c r="C2948" s="4">
        <v>4651</v>
      </c>
      <c r="D2948" s="4">
        <v>1</v>
      </c>
      <c r="E2948" s="4">
        <v>1</v>
      </c>
      <c r="F2948" s="4" t="s">
        <v>268</v>
      </c>
      <c r="G2948" s="4" t="s">
        <v>241</v>
      </c>
      <c r="H2948" s="4" t="s">
        <v>241</v>
      </c>
      <c r="I2948" s="4" t="s">
        <v>424</v>
      </c>
      <c r="J2948" s="4" t="s">
        <v>274</v>
      </c>
      <c r="K2948" s="4" t="s">
        <v>251</v>
      </c>
      <c r="L2948" s="4" t="s">
        <v>423</v>
      </c>
      <c r="M2948" s="5" t="s">
        <v>3768</v>
      </c>
      <c r="N2948" s="6">
        <f>322</f>
        <v>322</v>
      </c>
      <c r="O2948" s="4" t="s">
        <v>265</v>
      </c>
      <c r="P2948" s="6">
        <f>1</f>
        <v>1</v>
      </c>
      <c r="Q2948" s="6">
        <f>0</f>
        <v>0</v>
      </c>
      <c r="S2948" s="6">
        <f>0</f>
        <v>0</v>
      </c>
      <c r="T2948" s="6">
        <f>1</f>
        <v>1</v>
      </c>
      <c r="U2948" s="5" t="s">
        <v>245</v>
      </c>
      <c r="V2948" s="4" t="s">
        <v>270</v>
      </c>
      <c r="W2948" s="4" t="s">
        <v>271</v>
      </c>
      <c r="X2948" s="4" t="s">
        <v>273</v>
      </c>
      <c r="Y2948" s="4" t="s">
        <v>241</v>
      </c>
      <c r="AB2948" s="4" t="s">
        <v>241</v>
      </c>
      <c r="AD2948" s="5" t="s">
        <v>241</v>
      </c>
      <c r="AG2948" s="5" t="s">
        <v>246</v>
      </c>
      <c r="AH2948" s="4" t="s">
        <v>241</v>
      </c>
      <c r="AI2948" s="4" t="s">
        <v>247</v>
      </c>
      <c r="AJ2948" s="4" t="s">
        <v>248</v>
      </c>
      <c r="AZ2948" s="4" t="s">
        <v>249</v>
      </c>
      <c r="BA2948" s="4" t="s">
        <v>241</v>
      </c>
      <c r="BB2948" s="4" t="s">
        <v>250</v>
      </c>
      <c r="BC2948" s="4" t="s">
        <v>241</v>
      </c>
      <c r="BD2948" s="4" t="s">
        <v>252</v>
      </c>
      <c r="BE2948" s="4" t="s">
        <v>241</v>
      </c>
      <c r="BI2948" s="4" t="s">
        <v>253</v>
      </c>
      <c r="BJ2948" s="5" t="s">
        <v>246</v>
      </c>
      <c r="BK2948" s="4" t="s">
        <v>254</v>
      </c>
      <c r="BL2948" s="4" t="s">
        <v>255</v>
      </c>
      <c r="BM2948" s="4" t="s">
        <v>241</v>
      </c>
      <c r="BN2948" s="6">
        <f>0</f>
        <v>0</v>
      </c>
      <c r="BO2948" s="6">
        <f>0</f>
        <v>0</v>
      </c>
      <c r="BP2948" s="4" t="s">
        <v>256</v>
      </c>
      <c r="BQ2948" s="4" t="s">
        <v>257</v>
      </c>
      <c r="CE2948" s="4" t="s">
        <v>241</v>
      </c>
      <c r="CF2948" s="4" t="s">
        <v>241</v>
      </c>
      <c r="CJ2948" s="4" t="s">
        <v>276</v>
      </c>
      <c r="CK2948" s="4" t="s">
        <v>259</v>
      </c>
      <c r="CL2948" s="4" t="s">
        <v>241</v>
      </c>
      <c r="CO2948" s="5" t="s">
        <v>260</v>
      </c>
      <c r="CP2948" s="4" t="s">
        <v>241</v>
      </c>
      <c r="CQ2948" s="4" t="s">
        <v>261</v>
      </c>
      <c r="CR2948" s="4" t="s">
        <v>241</v>
      </c>
      <c r="CS2948" s="4" t="s">
        <v>241</v>
      </c>
      <c r="CT2948" s="4">
        <v>0</v>
      </c>
      <c r="CU2948" s="4" t="s">
        <v>262</v>
      </c>
      <c r="CV2948" s="4" t="s">
        <v>263</v>
      </c>
      <c r="CW2948" s="4" t="s">
        <v>263</v>
      </c>
      <c r="CX2948" s="4" t="s">
        <v>264</v>
      </c>
      <c r="DA2948" s="6">
        <f>1</f>
        <v>1</v>
      </c>
      <c r="DC2948" s="4" t="s">
        <v>325</v>
      </c>
      <c r="DD2948" s="4" t="s">
        <v>241</v>
      </c>
      <c r="DF2948" s="4" t="s">
        <v>325</v>
      </c>
      <c r="DG2948" s="6">
        <f>322</f>
        <v>322</v>
      </c>
      <c r="DI2948" s="4" t="s">
        <v>241</v>
      </c>
      <c r="DJ2948" s="4" t="s">
        <v>241</v>
      </c>
      <c r="DK2948" s="4" t="s">
        <v>241</v>
      </c>
      <c r="DL2948" s="4" t="s">
        <v>241</v>
      </c>
      <c r="DP2948" s="4" t="s">
        <v>241</v>
      </c>
      <c r="DQ2948" s="4" t="s">
        <v>241</v>
      </c>
      <c r="DR2948" s="4" t="s">
        <v>241</v>
      </c>
      <c r="DS2948" s="4" t="s">
        <v>241</v>
      </c>
      <c r="DV2948" s="4" t="s">
        <v>426</v>
      </c>
      <c r="DW2948" s="4" t="s">
        <v>1984</v>
      </c>
      <c r="HO2948" s="4" t="s">
        <v>267</v>
      </c>
    </row>
    <row r="2949" spans="1:223" ht="19.5" customHeight="1" x14ac:dyDescent="0.4">
      <c r="A2949" s="4">
        <v>1</v>
      </c>
      <c r="B2949" s="4" t="s">
        <v>239</v>
      </c>
      <c r="C2949" s="4">
        <v>4652</v>
      </c>
      <c r="D2949" s="4">
        <v>1</v>
      </c>
      <c r="E2949" s="4">
        <v>1</v>
      </c>
      <c r="F2949" s="4" t="s">
        <v>268</v>
      </c>
      <c r="G2949" s="4" t="s">
        <v>241</v>
      </c>
      <c r="H2949" s="4" t="s">
        <v>241</v>
      </c>
      <c r="I2949" s="4" t="s">
        <v>424</v>
      </c>
      <c r="J2949" s="4" t="s">
        <v>274</v>
      </c>
      <c r="K2949" s="4" t="s">
        <v>251</v>
      </c>
      <c r="L2949" s="4" t="s">
        <v>423</v>
      </c>
      <c r="M2949" s="5" t="s">
        <v>3717</v>
      </c>
      <c r="N2949" s="6">
        <f>1727</f>
        <v>1727</v>
      </c>
      <c r="O2949" s="4" t="s">
        <v>265</v>
      </c>
      <c r="P2949" s="6">
        <f>1</f>
        <v>1</v>
      </c>
      <c r="Q2949" s="6">
        <f>0</f>
        <v>0</v>
      </c>
      <c r="S2949" s="6">
        <f>0</f>
        <v>0</v>
      </c>
      <c r="T2949" s="6">
        <f>1</f>
        <v>1</v>
      </c>
      <c r="U2949" s="5" t="s">
        <v>245</v>
      </c>
      <c r="V2949" s="4" t="s">
        <v>270</v>
      </c>
      <c r="W2949" s="4" t="s">
        <v>271</v>
      </c>
      <c r="X2949" s="4" t="s">
        <v>273</v>
      </c>
      <c r="Y2949" s="4" t="s">
        <v>241</v>
      </c>
      <c r="AB2949" s="4" t="s">
        <v>241</v>
      </c>
      <c r="AD2949" s="5" t="s">
        <v>241</v>
      </c>
      <c r="AG2949" s="5" t="s">
        <v>246</v>
      </c>
      <c r="AH2949" s="4" t="s">
        <v>241</v>
      </c>
      <c r="AI2949" s="4" t="s">
        <v>247</v>
      </c>
      <c r="AJ2949" s="4" t="s">
        <v>248</v>
      </c>
      <c r="AZ2949" s="4" t="s">
        <v>249</v>
      </c>
      <c r="BA2949" s="4" t="s">
        <v>241</v>
      </c>
      <c r="BB2949" s="4" t="s">
        <v>250</v>
      </c>
      <c r="BC2949" s="4" t="s">
        <v>241</v>
      </c>
      <c r="BD2949" s="4" t="s">
        <v>252</v>
      </c>
      <c r="BE2949" s="4" t="s">
        <v>241</v>
      </c>
      <c r="BI2949" s="4" t="s">
        <v>253</v>
      </c>
      <c r="BJ2949" s="5" t="s">
        <v>246</v>
      </c>
      <c r="BK2949" s="4" t="s">
        <v>254</v>
      </c>
      <c r="BL2949" s="4" t="s">
        <v>255</v>
      </c>
      <c r="BM2949" s="4" t="s">
        <v>241</v>
      </c>
      <c r="BN2949" s="6">
        <f>0</f>
        <v>0</v>
      </c>
      <c r="BO2949" s="6">
        <f>0</f>
        <v>0</v>
      </c>
      <c r="BP2949" s="4" t="s">
        <v>256</v>
      </c>
      <c r="BQ2949" s="4" t="s">
        <v>257</v>
      </c>
      <c r="CE2949" s="4" t="s">
        <v>241</v>
      </c>
      <c r="CF2949" s="4" t="s">
        <v>241</v>
      </c>
      <c r="CJ2949" s="4" t="s">
        <v>276</v>
      </c>
      <c r="CK2949" s="4" t="s">
        <v>259</v>
      </c>
      <c r="CL2949" s="4" t="s">
        <v>241</v>
      </c>
      <c r="CO2949" s="5" t="s">
        <v>260</v>
      </c>
      <c r="CP2949" s="4" t="s">
        <v>241</v>
      </c>
      <c r="CQ2949" s="4" t="s">
        <v>261</v>
      </c>
      <c r="CR2949" s="4" t="s">
        <v>241</v>
      </c>
      <c r="CS2949" s="4" t="s">
        <v>241</v>
      </c>
      <c r="CT2949" s="4">
        <v>0</v>
      </c>
      <c r="CU2949" s="4" t="s">
        <v>262</v>
      </c>
      <c r="CV2949" s="4" t="s">
        <v>263</v>
      </c>
      <c r="CW2949" s="4" t="s">
        <v>263</v>
      </c>
      <c r="CX2949" s="4" t="s">
        <v>264</v>
      </c>
      <c r="DA2949" s="6">
        <f>1</f>
        <v>1</v>
      </c>
      <c r="DC2949" s="4" t="s">
        <v>325</v>
      </c>
      <c r="DD2949" s="4" t="s">
        <v>241</v>
      </c>
      <c r="DF2949" s="4" t="s">
        <v>325</v>
      </c>
      <c r="DG2949" s="6">
        <f>1727</f>
        <v>1727</v>
      </c>
      <c r="DI2949" s="4" t="s">
        <v>241</v>
      </c>
      <c r="DJ2949" s="4" t="s">
        <v>241</v>
      </c>
      <c r="DK2949" s="4" t="s">
        <v>241</v>
      </c>
      <c r="DL2949" s="4" t="s">
        <v>241</v>
      </c>
      <c r="DP2949" s="4" t="s">
        <v>241</v>
      </c>
      <c r="DQ2949" s="4" t="s">
        <v>241</v>
      </c>
      <c r="DR2949" s="4" t="s">
        <v>241</v>
      </c>
      <c r="DS2949" s="4" t="s">
        <v>241</v>
      </c>
      <c r="DV2949" s="4" t="s">
        <v>426</v>
      </c>
      <c r="DW2949" s="4" t="s">
        <v>1982</v>
      </c>
      <c r="HO2949" s="4" t="s">
        <v>267</v>
      </c>
    </row>
    <row r="2950" spans="1:223" ht="19.5" customHeight="1" x14ac:dyDescent="0.4">
      <c r="A2950" s="4">
        <v>1</v>
      </c>
      <c r="B2950" s="4" t="s">
        <v>239</v>
      </c>
      <c r="C2950" s="4">
        <v>4653</v>
      </c>
      <c r="D2950" s="4">
        <v>1</v>
      </c>
      <c r="E2950" s="4">
        <v>1</v>
      </c>
      <c r="F2950" s="4" t="s">
        <v>268</v>
      </c>
      <c r="G2950" s="4" t="s">
        <v>241</v>
      </c>
      <c r="H2950" s="4" t="s">
        <v>241</v>
      </c>
      <c r="I2950" s="4" t="s">
        <v>424</v>
      </c>
      <c r="J2950" s="4" t="s">
        <v>274</v>
      </c>
      <c r="K2950" s="4" t="s">
        <v>251</v>
      </c>
      <c r="L2950" s="4" t="s">
        <v>423</v>
      </c>
      <c r="M2950" s="5" t="s">
        <v>3709</v>
      </c>
      <c r="N2950" s="6">
        <f>185</f>
        <v>185</v>
      </c>
      <c r="O2950" s="4" t="s">
        <v>265</v>
      </c>
      <c r="P2950" s="6">
        <f>1</f>
        <v>1</v>
      </c>
      <c r="Q2950" s="6">
        <f>0</f>
        <v>0</v>
      </c>
      <c r="S2950" s="6">
        <f>0</f>
        <v>0</v>
      </c>
      <c r="T2950" s="6">
        <f>1</f>
        <v>1</v>
      </c>
      <c r="U2950" s="5" t="s">
        <v>245</v>
      </c>
      <c r="V2950" s="4" t="s">
        <v>270</v>
      </c>
      <c r="W2950" s="4" t="s">
        <v>271</v>
      </c>
      <c r="X2950" s="4" t="s">
        <v>273</v>
      </c>
      <c r="Y2950" s="4" t="s">
        <v>241</v>
      </c>
      <c r="AB2950" s="4" t="s">
        <v>241</v>
      </c>
      <c r="AD2950" s="5" t="s">
        <v>241</v>
      </c>
      <c r="AG2950" s="5" t="s">
        <v>246</v>
      </c>
      <c r="AH2950" s="4" t="s">
        <v>241</v>
      </c>
      <c r="AI2950" s="4" t="s">
        <v>247</v>
      </c>
      <c r="AJ2950" s="4" t="s">
        <v>248</v>
      </c>
      <c r="AZ2950" s="4" t="s">
        <v>249</v>
      </c>
      <c r="BA2950" s="4" t="s">
        <v>241</v>
      </c>
      <c r="BB2950" s="4" t="s">
        <v>250</v>
      </c>
      <c r="BC2950" s="4" t="s">
        <v>241</v>
      </c>
      <c r="BD2950" s="4" t="s">
        <v>252</v>
      </c>
      <c r="BE2950" s="4" t="s">
        <v>241</v>
      </c>
      <c r="BI2950" s="4" t="s">
        <v>253</v>
      </c>
      <c r="BJ2950" s="5" t="s">
        <v>246</v>
      </c>
      <c r="BK2950" s="4" t="s">
        <v>254</v>
      </c>
      <c r="BL2950" s="4" t="s">
        <v>255</v>
      </c>
      <c r="BM2950" s="4" t="s">
        <v>241</v>
      </c>
      <c r="BN2950" s="6">
        <f>0</f>
        <v>0</v>
      </c>
      <c r="BO2950" s="6">
        <f>0</f>
        <v>0</v>
      </c>
      <c r="BP2950" s="4" t="s">
        <v>256</v>
      </c>
      <c r="BQ2950" s="4" t="s">
        <v>257</v>
      </c>
      <c r="CE2950" s="4" t="s">
        <v>241</v>
      </c>
      <c r="CF2950" s="4" t="s">
        <v>241</v>
      </c>
      <c r="CJ2950" s="4" t="s">
        <v>276</v>
      </c>
      <c r="CK2950" s="4" t="s">
        <v>259</v>
      </c>
      <c r="CL2950" s="4" t="s">
        <v>241</v>
      </c>
      <c r="CO2950" s="5" t="s">
        <v>260</v>
      </c>
      <c r="CP2950" s="4" t="s">
        <v>241</v>
      </c>
      <c r="CQ2950" s="4" t="s">
        <v>261</v>
      </c>
      <c r="CR2950" s="4" t="s">
        <v>241</v>
      </c>
      <c r="CS2950" s="4" t="s">
        <v>241</v>
      </c>
      <c r="CT2950" s="4">
        <v>0</v>
      </c>
      <c r="CU2950" s="4" t="s">
        <v>262</v>
      </c>
      <c r="CV2950" s="4" t="s">
        <v>263</v>
      </c>
      <c r="CW2950" s="4" t="s">
        <v>263</v>
      </c>
      <c r="CX2950" s="4" t="s">
        <v>264</v>
      </c>
      <c r="DA2950" s="6">
        <f>1</f>
        <v>1</v>
      </c>
      <c r="DC2950" s="4" t="s">
        <v>325</v>
      </c>
      <c r="DD2950" s="4" t="s">
        <v>241</v>
      </c>
      <c r="DF2950" s="4" t="s">
        <v>325</v>
      </c>
      <c r="DG2950" s="6">
        <f>185</f>
        <v>185</v>
      </c>
      <c r="DI2950" s="4" t="s">
        <v>241</v>
      </c>
      <c r="DJ2950" s="4" t="s">
        <v>241</v>
      </c>
      <c r="DK2950" s="4" t="s">
        <v>241</v>
      </c>
      <c r="DL2950" s="4" t="s">
        <v>241</v>
      </c>
      <c r="DP2950" s="4" t="s">
        <v>241</v>
      </c>
      <c r="DQ2950" s="4" t="s">
        <v>241</v>
      </c>
      <c r="DR2950" s="4" t="s">
        <v>241</v>
      </c>
      <c r="DS2950" s="4" t="s">
        <v>241</v>
      </c>
      <c r="DV2950" s="4" t="s">
        <v>426</v>
      </c>
      <c r="DW2950" s="4" t="s">
        <v>1980</v>
      </c>
      <c r="HO2950" s="4" t="s">
        <v>267</v>
      </c>
    </row>
    <row r="2951" spans="1:223" ht="19.5" customHeight="1" x14ac:dyDescent="0.4">
      <c r="A2951" s="4">
        <v>1</v>
      </c>
      <c r="B2951" s="4" t="s">
        <v>239</v>
      </c>
      <c r="C2951" s="4">
        <v>4654</v>
      </c>
      <c r="D2951" s="4">
        <v>1</v>
      </c>
      <c r="E2951" s="4">
        <v>1</v>
      </c>
      <c r="F2951" s="4" t="s">
        <v>268</v>
      </c>
      <c r="G2951" s="4" t="s">
        <v>241</v>
      </c>
      <c r="H2951" s="4" t="s">
        <v>241</v>
      </c>
      <c r="I2951" s="4" t="s">
        <v>424</v>
      </c>
      <c r="J2951" s="4" t="s">
        <v>274</v>
      </c>
      <c r="K2951" s="4" t="s">
        <v>251</v>
      </c>
      <c r="L2951" s="4" t="s">
        <v>423</v>
      </c>
      <c r="M2951" s="5" t="s">
        <v>3708</v>
      </c>
      <c r="N2951" s="6">
        <f>575</f>
        <v>575</v>
      </c>
      <c r="O2951" s="4" t="s">
        <v>265</v>
      </c>
      <c r="P2951" s="6">
        <f>1</f>
        <v>1</v>
      </c>
      <c r="Q2951" s="6">
        <f>0</f>
        <v>0</v>
      </c>
      <c r="S2951" s="6">
        <f>0</f>
        <v>0</v>
      </c>
      <c r="T2951" s="6">
        <f>1</f>
        <v>1</v>
      </c>
      <c r="U2951" s="5" t="s">
        <v>245</v>
      </c>
      <c r="V2951" s="4" t="s">
        <v>270</v>
      </c>
      <c r="W2951" s="4" t="s">
        <v>271</v>
      </c>
      <c r="X2951" s="4" t="s">
        <v>273</v>
      </c>
      <c r="Y2951" s="4" t="s">
        <v>241</v>
      </c>
      <c r="AB2951" s="4" t="s">
        <v>241</v>
      </c>
      <c r="AD2951" s="5" t="s">
        <v>241</v>
      </c>
      <c r="AG2951" s="5" t="s">
        <v>246</v>
      </c>
      <c r="AH2951" s="4" t="s">
        <v>241</v>
      </c>
      <c r="AI2951" s="4" t="s">
        <v>247</v>
      </c>
      <c r="AJ2951" s="4" t="s">
        <v>248</v>
      </c>
      <c r="AZ2951" s="4" t="s">
        <v>249</v>
      </c>
      <c r="BA2951" s="4" t="s">
        <v>241</v>
      </c>
      <c r="BB2951" s="4" t="s">
        <v>250</v>
      </c>
      <c r="BC2951" s="4" t="s">
        <v>241</v>
      </c>
      <c r="BD2951" s="4" t="s">
        <v>252</v>
      </c>
      <c r="BE2951" s="4" t="s">
        <v>241</v>
      </c>
      <c r="BI2951" s="4" t="s">
        <v>253</v>
      </c>
      <c r="BJ2951" s="5" t="s">
        <v>246</v>
      </c>
      <c r="BK2951" s="4" t="s">
        <v>254</v>
      </c>
      <c r="BL2951" s="4" t="s">
        <v>255</v>
      </c>
      <c r="BM2951" s="4" t="s">
        <v>241</v>
      </c>
      <c r="BN2951" s="6">
        <f>0</f>
        <v>0</v>
      </c>
      <c r="BO2951" s="6">
        <f>0</f>
        <v>0</v>
      </c>
      <c r="BP2951" s="4" t="s">
        <v>256</v>
      </c>
      <c r="BQ2951" s="4" t="s">
        <v>257</v>
      </c>
      <c r="CE2951" s="4" t="s">
        <v>241</v>
      </c>
      <c r="CF2951" s="4" t="s">
        <v>241</v>
      </c>
      <c r="CJ2951" s="4" t="s">
        <v>276</v>
      </c>
      <c r="CK2951" s="4" t="s">
        <v>259</v>
      </c>
      <c r="CL2951" s="4" t="s">
        <v>241</v>
      </c>
      <c r="CO2951" s="5" t="s">
        <v>260</v>
      </c>
      <c r="CP2951" s="4" t="s">
        <v>241</v>
      </c>
      <c r="CQ2951" s="4" t="s">
        <v>261</v>
      </c>
      <c r="CR2951" s="4" t="s">
        <v>241</v>
      </c>
      <c r="CS2951" s="4" t="s">
        <v>241</v>
      </c>
      <c r="CT2951" s="4">
        <v>0</v>
      </c>
      <c r="CU2951" s="4" t="s">
        <v>262</v>
      </c>
      <c r="CV2951" s="4" t="s">
        <v>263</v>
      </c>
      <c r="CW2951" s="4" t="s">
        <v>263</v>
      </c>
      <c r="CX2951" s="4" t="s">
        <v>264</v>
      </c>
      <c r="DA2951" s="6">
        <f>1</f>
        <v>1</v>
      </c>
      <c r="DC2951" s="4" t="s">
        <v>325</v>
      </c>
      <c r="DD2951" s="4" t="s">
        <v>241</v>
      </c>
      <c r="DF2951" s="4" t="s">
        <v>325</v>
      </c>
      <c r="DG2951" s="6">
        <f>575</f>
        <v>575</v>
      </c>
      <c r="DI2951" s="4" t="s">
        <v>241</v>
      </c>
      <c r="DJ2951" s="4" t="s">
        <v>241</v>
      </c>
      <c r="DK2951" s="4" t="s">
        <v>241</v>
      </c>
      <c r="DL2951" s="4" t="s">
        <v>241</v>
      </c>
      <c r="DP2951" s="4" t="s">
        <v>241</v>
      </c>
      <c r="DQ2951" s="4" t="s">
        <v>241</v>
      </c>
      <c r="DR2951" s="4" t="s">
        <v>241</v>
      </c>
      <c r="DS2951" s="4" t="s">
        <v>241</v>
      </c>
      <c r="DV2951" s="4" t="s">
        <v>426</v>
      </c>
      <c r="DW2951" s="4" t="s">
        <v>1976</v>
      </c>
      <c r="HO2951" s="4" t="s">
        <v>267</v>
      </c>
    </row>
    <row r="2952" spans="1:223" ht="19.5" customHeight="1" x14ac:dyDescent="0.4">
      <c r="A2952" s="4">
        <v>1</v>
      </c>
      <c r="B2952" s="4" t="s">
        <v>239</v>
      </c>
      <c r="C2952" s="4">
        <v>4655</v>
      </c>
      <c r="D2952" s="4">
        <v>1</v>
      </c>
      <c r="E2952" s="4">
        <v>1</v>
      </c>
      <c r="F2952" s="4" t="s">
        <v>268</v>
      </c>
      <c r="G2952" s="4" t="s">
        <v>241</v>
      </c>
      <c r="H2952" s="4" t="s">
        <v>241</v>
      </c>
      <c r="I2952" s="4" t="s">
        <v>424</v>
      </c>
      <c r="J2952" s="4" t="s">
        <v>274</v>
      </c>
      <c r="K2952" s="4" t="s">
        <v>251</v>
      </c>
      <c r="L2952" s="4" t="s">
        <v>423</v>
      </c>
      <c r="M2952" s="5" t="s">
        <v>3699</v>
      </c>
      <c r="N2952" s="6">
        <f>759</f>
        <v>759</v>
      </c>
      <c r="O2952" s="4" t="s">
        <v>265</v>
      </c>
      <c r="P2952" s="6">
        <f>1</f>
        <v>1</v>
      </c>
      <c r="Q2952" s="6">
        <f>0</f>
        <v>0</v>
      </c>
      <c r="S2952" s="6">
        <f>0</f>
        <v>0</v>
      </c>
      <c r="T2952" s="6">
        <f>1</f>
        <v>1</v>
      </c>
      <c r="U2952" s="5" t="s">
        <v>245</v>
      </c>
      <c r="V2952" s="4" t="s">
        <v>270</v>
      </c>
      <c r="W2952" s="4" t="s">
        <v>271</v>
      </c>
      <c r="X2952" s="4" t="s">
        <v>273</v>
      </c>
      <c r="Y2952" s="4" t="s">
        <v>241</v>
      </c>
      <c r="AB2952" s="4" t="s">
        <v>241</v>
      </c>
      <c r="AD2952" s="5" t="s">
        <v>241</v>
      </c>
      <c r="AG2952" s="5" t="s">
        <v>246</v>
      </c>
      <c r="AH2952" s="4" t="s">
        <v>241</v>
      </c>
      <c r="AI2952" s="4" t="s">
        <v>247</v>
      </c>
      <c r="AJ2952" s="4" t="s">
        <v>248</v>
      </c>
      <c r="AZ2952" s="4" t="s">
        <v>249</v>
      </c>
      <c r="BA2952" s="4" t="s">
        <v>241</v>
      </c>
      <c r="BB2952" s="4" t="s">
        <v>250</v>
      </c>
      <c r="BC2952" s="4" t="s">
        <v>241</v>
      </c>
      <c r="BD2952" s="4" t="s">
        <v>252</v>
      </c>
      <c r="BE2952" s="4" t="s">
        <v>241</v>
      </c>
      <c r="BI2952" s="4" t="s">
        <v>253</v>
      </c>
      <c r="BJ2952" s="5" t="s">
        <v>246</v>
      </c>
      <c r="BK2952" s="4" t="s">
        <v>254</v>
      </c>
      <c r="BL2952" s="4" t="s">
        <v>255</v>
      </c>
      <c r="BM2952" s="4" t="s">
        <v>241</v>
      </c>
      <c r="BN2952" s="6">
        <f>0</f>
        <v>0</v>
      </c>
      <c r="BO2952" s="6">
        <f>0</f>
        <v>0</v>
      </c>
      <c r="BP2952" s="4" t="s">
        <v>256</v>
      </c>
      <c r="BQ2952" s="4" t="s">
        <v>257</v>
      </c>
      <c r="CE2952" s="4" t="s">
        <v>241</v>
      </c>
      <c r="CF2952" s="4" t="s">
        <v>241</v>
      </c>
      <c r="CJ2952" s="4" t="s">
        <v>276</v>
      </c>
      <c r="CK2952" s="4" t="s">
        <v>259</v>
      </c>
      <c r="CL2952" s="4" t="s">
        <v>241</v>
      </c>
      <c r="CO2952" s="5" t="s">
        <v>260</v>
      </c>
      <c r="CP2952" s="4" t="s">
        <v>241</v>
      </c>
      <c r="CQ2952" s="4" t="s">
        <v>261</v>
      </c>
      <c r="CR2952" s="4" t="s">
        <v>241</v>
      </c>
      <c r="CS2952" s="4" t="s">
        <v>241</v>
      </c>
      <c r="CT2952" s="4">
        <v>0</v>
      </c>
      <c r="CU2952" s="4" t="s">
        <v>262</v>
      </c>
      <c r="CV2952" s="4" t="s">
        <v>263</v>
      </c>
      <c r="CW2952" s="4" t="s">
        <v>263</v>
      </c>
      <c r="CX2952" s="4" t="s">
        <v>264</v>
      </c>
      <c r="DA2952" s="6">
        <f>1</f>
        <v>1</v>
      </c>
      <c r="DC2952" s="4" t="s">
        <v>325</v>
      </c>
      <c r="DD2952" s="4" t="s">
        <v>241</v>
      </c>
      <c r="DF2952" s="4" t="s">
        <v>325</v>
      </c>
      <c r="DG2952" s="6">
        <f>759</f>
        <v>759</v>
      </c>
      <c r="DI2952" s="4" t="s">
        <v>241</v>
      </c>
      <c r="DJ2952" s="4" t="s">
        <v>241</v>
      </c>
      <c r="DK2952" s="4" t="s">
        <v>241</v>
      </c>
      <c r="DL2952" s="4" t="s">
        <v>241</v>
      </c>
      <c r="DP2952" s="4" t="s">
        <v>241</v>
      </c>
      <c r="DQ2952" s="4" t="s">
        <v>241</v>
      </c>
      <c r="DR2952" s="4" t="s">
        <v>241</v>
      </c>
      <c r="DS2952" s="4" t="s">
        <v>241</v>
      </c>
      <c r="DV2952" s="4" t="s">
        <v>426</v>
      </c>
      <c r="DW2952" s="4" t="s">
        <v>1974</v>
      </c>
      <c r="HO2952" s="4" t="s">
        <v>267</v>
      </c>
    </row>
    <row r="2953" spans="1:223" ht="19.5" customHeight="1" x14ac:dyDescent="0.4">
      <c r="A2953" s="4">
        <v>1</v>
      </c>
      <c r="B2953" s="4" t="s">
        <v>239</v>
      </c>
      <c r="C2953" s="4">
        <v>4656</v>
      </c>
      <c r="D2953" s="4">
        <v>1</v>
      </c>
      <c r="E2953" s="4">
        <v>1</v>
      </c>
      <c r="F2953" s="4" t="s">
        <v>268</v>
      </c>
      <c r="G2953" s="4" t="s">
        <v>241</v>
      </c>
      <c r="H2953" s="4" t="s">
        <v>241</v>
      </c>
      <c r="I2953" s="4" t="s">
        <v>424</v>
      </c>
      <c r="J2953" s="4" t="s">
        <v>274</v>
      </c>
      <c r="K2953" s="4" t="s">
        <v>251</v>
      </c>
      <c r="L2953" s="4" t="s">
        <v>423</v>
      </c>
      <c r="M2953" s="5" t="s">
        <v>3691</v>
      </c>
      <c r="N2953" s="6">
        <f>299</f>
        <v>299</v>
      </c>
      <c r="O2953" s="4" t="s">
        <v>265</v>
      </c>
      <c r="P2953" s="6">
        <f>1</f>
        <v>1</v>
      </c>
      <c r="Q2953" s="6">
        <f>0</f>
        <v>0</v>
      </c>
      <c r="S2953" s="6">
        <f>0</f>
        <v>0</v>
      </c>
      <c r="T2953" s="6">
        <f>1</f>
        <v>1</v>
      </c>
      <c r="U2953" s="5" t="s">
        <v>245</v>
      </c>
      <c r="V2953" s="4" t="s">
        <v>270</v>
      </c>
      <c r="W2953" s="4" t="s">
        <v>271</v>
      </c>
      <c r="X2953" s="4" t="s">
        <v>273</v>
      </c>
      <c r="Y2953" s="4" t="s">
        <v>241</v>
      </c>
      <c r="AB2953" s="4" t="s">
        <v>241</v>
      </c>
      <c r="AD2953" s="5" t="s">
        <v>241</v>
      </c>
      <c r="AG2953" s="5" t="s">
        <v>246</v>
      </c>
      <c r="AH2953" s="4" t="s">
        <v>241</v>
      </c>
      <c r="AI2953" s="4" t="s">
        <v>247</v>
      </c>
      <c r="AJ2953" s="4" t="s">
        <v>248</v>
      </c>
      <c r="AZ2953" s="4" t="s">
        <v>249</v>
      </c>
      <c r="BA2953" s="4" t="s">
        <v>241</v>
      </c>
      <c r="BB2953" s="4" t="s">
        <v>250</v>
      </c>
      <c r="BC2953" s="4" t="s">
        <v>241</v>
      </c>
      <c r="BD2953" s="4" t="s">
        <v>252</v>
      </c>
      <c r="BE2953" s="4" t="s">
        <v>241</v>
      </c>
      <c r="BI2953" s="4" t="s">
        <v>253</v>
      </c>
      <c r="BJ2953" s="5" t="s">
        <v>246</v>
      </c>
      <c r="BK2953" s="4" t="s">
        <v>254</v>
      </c>
      <c r="BL2953" s="4" t="s">
        <v>255</v>
      </c>
      <c r="BM2953" s="4" t="s">
        <v>241</v>
      </c>
      <c r="BN2953" s="6">
        <f>0</f>
        <v>0</v>
      </c>
      <c r="BO2953" s="6">
        <f>0</f>
        <v>0</v>
      </c>
      <c r="BP2953" s="4" t="s">
        <v>256</v>
      </c>
      <c r="BQ2953" s="4" t="s">
        <v>257</v>
      </c>
      <c r="CE2953" s="4" t="s">
        <v>241</v>
      </c>
      <c r="CF2953" s="4" t="s">
        <v>241</v>
      </c>
      <c r="CJ2953" s="4" t="s">
        <v>276</v>
      </c>
      <c r="CK2953" s="4" t="s">
        <v>259</v>
      </c>
      <c r="CL2953" s="4" t="s">
        <v>241</v>
      </c>
      <c r="CO2953" s="5" t="s">
        <v>260</v>
      </c>
      <c r="CP2953" s="4" t="s">
        <v>241</v>
      </c>
      <c r="CQ2953" s="4" t="s">
        <v>261</v>
      </c>
      <c r="CR2953" s="4" t="s">
        <v>241</v>
      </c>
      <c r="CS2953" s="4" t="s">
        <v>241</v>
      </c>
      <c r="CT2953" s="4">
        <v>0</v>
      </c>
      <c r="CU2953" s="4" t="s">
        <v>262</v>
      </c>
      <c r="CV2953" s="4" t="s">
        <v>263</v>
      </c>
      <c r="CW2953" s="4" t="s">
        <v>263</v>
      </c>
      <c r="CX2953" s="4" t="s">
        <v>264</v>
      </c>
      <c r="DA2953" s="6">
        <f>1</f>
        <v>1</v>
      </c>
      <c r="DC2953" s="4" t="s">
        <v>325</v>
      </c>
      <c r="DD2953" s="4" t="s">
        <v>241</v>
      </c>
      <c r="DF2953" s="4" t="s">
        <v>325</v>
      </c>
      <c r="DG2953" s="6">
        <f>299</f>
        <v>299</v>
      </c>
      <c r="DI2953" s="4" t="s">
        <v>241</v>
      </c>
      <c r="DJ2953" s="4" t="s">
        <v>241</v>
      </c>
      <c r="DK2953" s="4" t="s">
        <v>241</v>
      </c>
      <c r="DL2953" s="4" t="s">
        <v>241</v>
      </c>
      <c r="DP2953" s="4" t="s">
        <v>241</v>
      </c>
      <c r="DQ2953" s="4" t="s">
        <v>241</v>
      </c>
      <c r="DR2953" s="4" t="s">
        <v>241</v>
      </c>
      <c r="DS2953" s="4" t="s">
        <v>241</v>
      </c>
      <c r="DV2953" s="4" t="s">
        <v>426</v>
      </c>
      <c r="DW2953" s="4" t="s">
        <v>1972</v>
      </c>
      <c r="HO2953" s="4" t="s">
        <v>267</v>
      </c>
    </row>
    <row r="2954" spans="1:223" ht="19.5" customHeight="1" x14ac:dyDescent="0.4">
      <c r="A2954" s="4">
        <v>1</v>
      </c>
      <c r="B2954" s="4" t="s">
        <v>239</v>
      </c>
      <c r="C2954" s="4">
        <v>4657</v>
      </c>
      <c r="D2954" s="4">
        <v>1</v>
      </c>
      <c r="E2954" s="4">
        <v>1</v>
      </c>
      <c r="F2954" s="4" t="s">
        <v>268</v>
      </c>
      <c r="G2954" s="4" t="s">
        <v>241</v>
      </c>
      <c r="H2954" s="4" t="s">
        <v>241</v>
      </c>
      <c r="I2954" s="4" t="s">
        <v>424</v>
      </c>
      <c r="J2954" s="4" t="s">
        <v>274</v>
      </c>
      <c r="K2954" s="4" t="s">
        <v>251</v>
      </c>
      <c r="L2954" s="4" t="s">
        <v>423</v>
      </c>
      <c r="M2954" s="5" t="s">
        <v>3682</v>
      </c>
      <c r="N2954" s="6">
        <f>32</f>
        <v>32</v>
      </c>
      <c r="O2954" s="4" t="s">
        <v>265</v>
      </c>
      <c r="P2954" s="6">
        <f>1</f>
        <v>1</v>
      </c>
      <c r="Q2954" s="6">
        <f>0</f>
        <v>0</v>
      </c>
      <c r="S2954" s="6">
        <f>0</f>
        <v>0</v>
      </c>
      <c r="T2954" s="6">
        <f>1</f>
        <v>1</v>
      </c>
      <c r="U2954" s="5" t="s">
        <v>245</v>
      </c>
      <c r="V2954" s="4" t="s">
        <v>270</v>
      </c>
      <c r="W2954" s="4" t="s">
        <v>271</v>
      </c>
      <c r="X2954" s="4" t="s">
        <v>273</v>
      </c>
      <c r="Y2954" s="4" t="s">
        <v>241</v>
      </c>
      <c r="AB2954" s="4" t="s">
        <v>241</v>
      </c>
      <c r="AD2954" s="5" t="s">
        <v>241</v>
      </c>
      <c r="AG2954" s="5" t="s">
        <v>246</v>
      </c>
      <c r="AH2954" s="4" t="s">
        <v>241</v>
      </c>
      <c r="AI2954" s="4" t="s">
        <v>247</v>
      </c>
      <c r="AJ2954" s="4" t="s">
        <v>248</v>
      </c>
      <c r="AZ2954" s="4" t="s">
        <v>249</v>
      </c>
      <c r="BA2954" s="4" t="s">
        <v>241</v>
      </c>
      <c r="BB2954" s="4" t="s">
        <v>250</v>
      </c>
      <c r="BC2954" s="4" t="s">
        <v>241</v>
      </c>
      <c r="BD2954" s="4" t="s">
        <v>252</v>
      </c>
      <c r="BE2954" s="4" t="s">
        <v>241</v>
      </c>
      <c r="BI2954" s="4" t="s">
        <v>253</v>
      </c>
      <c r="BJ2954" s="5" t="s">
        <v>246</v>
      </c>
      <c r="BK2954" s="4" t="s">
        <v>254</v>
      </c>
      <c r="BL2954" s="4" t="s">
        <v>255</v>
      </c>
      <c r="BM2954" s="4" t="s">
        <v>241</v>
      </c>
      <c r="BN2954" s="6">
        <f>0</f>
        <v>0</v>
      </c>
      <c r="BO2954" s="6">
        <f>0</f>
        <v>0</v>
      </c>
      <c r="BP2954" s="4" t="s">
        <v>256</v>
      </c>
      <c r="BQ2954" s="4" t="s">
        <v>257</v>
      </c>
      <c r="CE2954" s="4" t="s">
        <v>241</v>
      </c>
      <c r="CF2954" s="4" t="s">
        <v>241</v>
      </c>
      <c r="CJ2954" s="4" t="s">
        <v>276</v>
      </c>
      <c r="CK2954" s="4" t="s">
        <v>259</v>
      </c>
      <c r="CL2954" s="4" t="s">
        <v>241</v>
      </c>
      <c r="CO2954" s="5" t="s">
        <v>260</v>
      </c>
      <c r="CP2954" s="4" t="s">
        <v>241</v>
      </c>
      <c r="CQ2954" s="4" t="s">
        <v>261</v>
      </c>
      <c r="CR2954" s="4" t="s">
        <v>241</v>
      </c>
      <c r="CS2954" s="4" t="s">
        <v>241</v>
      </c>
      <c r="CT2954" s="4">
        <v>0</v>
      </c>
      <c r="CU2954" s="4" t="s">
        <v>262</v>
      </c>
      <c r="CV2954" s="4" t="s">
        <v>263</v>
      </c>
      <c r="CW2954" s="4" t="s">
        <v>263</v>
      </c>
      <c r="CX2954" s="4" t="s">
        <v>264</v>
      </c>
      <c r="DA2954" s="6">
        <f>1</f>
        <v>1</v>
      </c>
      <c r="DC2954" s="4" t="s">
        <v>325</v>
      </c>
      <c r="DD2954" s="4" t="s">
        <v>241</v>
      </c>
      <c r="DF2954" s="4" t="s">
        <v>325</v>
      </c>
      <c r="DG2954" s="6">
        <f>32</f>
        <v>32</v>
      </c>
      <c r="DI2954" s="4" t="s">
        <v>241</v>
      </c>
      <c r="DJ2954" s="4" t="s">
        <v>241</v>
      </c>
      <c r="DK2954" s="4" t="s">
        <v>241</v>
      </c>
      <c r="DL2954" s="4" t="s">
        <v>241</v>
      </c>
      <c r="DP2954" s="4" t="s">
        <v>241</v>
      </c>
      <c r="DQ2954" s="4" t="s">
        <v>241</v>
      </c>
      <c r="DR2954" s="4" t="s">
        <v>241</v>
      </c>
      <c r="DS2954" s="4" t="s">
        <v>241</v>
      </c>
      <c r="DV2954" s="4" t="s">
        <v>426</v>
      </c>
      <c r="DW2954" s="4" t="s">
        <v>1970</v>
      </c>
      <c r="HO2954" s="4" t="s">
        <v>267</v>
      </c>
    </row>
    <row r="2955" spans="1:223" ht="19.5" customHeight="1" x14ac:dyDescent="0.4">
      <c r="A2955" s="4">
        <v>1</v>
      </c>
      <c r="B2955" s="4" t="s">
        <v>239</v>
      </c>
      <c r="C2955" s="4">
        <v>4658</v>
      </c>
      <c r="D2955" s="4">
        <v>1</v>
      </c>
      <c r="E2955" s="4">
        <v>1</v>
      </c>
      <c r="F2955" s="4" t="s">
        <v>268</v>
      </c>
      <c r="G2955" s="4" t="s">
        <v>241</v>
      </c>
      <c r="H2955" s="4" t="s">
        <v>241</v>
      </c>
      <c r="I2955" s="4" t="s">
        <v>424</v>
      </c>
      <c r="J2955" s="4" t="s">
        <v>274</v>
      </c>
      <c r="K2955" s="4" t="s">
        <v>251</v>
      </c>
      <c r="L2955" s="4" t="s">
        <v>423</v>
      </c>
      <c r="M2955" s="5" t="s">
        <v>3675</v>
      </c>
      <c r="N2955" s="6">
        <f>604</f>
        <v>604</v>
      </c>
      <c r="O2955" s="4" t="s">
        <v>265</v>
      </c>
      <c r="P2955" s="6">
        <f>1</f>
        <v>1</v>
      </c>
      <c r="Q2955" s="6">
        <f>0</f>
        <v>0</v>
      </c>
      <c r="S2955" s="6">
        <f>0</f>
        <v>0</v>
      </c>
      <c r="T2955" s="6">
        <f>1</f>
        <v>1</v>
      </c>
      <c r="U2955" s="5" t="s">
        <v>245</v>
      </c>
      <c r="V2955" s="4" t="s">
        <v>270</v>
      </c>
      <c r="W2955" s="4" t="s">
        <v>271</v>
      </c>
      <c r="X2955" s="4" t="s">
        <v>273</v>
      </c>
      <c r="Y2955" s="4" t="s">
        <v>241</v>
      </c>
      <c r="AB2955" s="4" t="s">
        <v>241</v>
      </c>
      <c r="AD2955" s="5" t="s">
        <v>241</v>
      </c>
      <c r="AG2955" s="5" t="s">
        <v>246</v>
      </c>
      <c r="AH2955" s="4" t="s">
        <v>241</v>
      </c>
      <c r="AI2955" s="4" t="s">
        <v>247</v>
      </c>
      <c r="AJ2955" s="4" t="s">
        <v>248</v>
      </c>
      <c r="AZ2955" s="4" t="s">
        <v>249</v>
      </c>
      <c r="BA2955" s="4" t="s">
        <v>241</v>
      </c>
      <c r="BB2955" s="4" t="s">
        <v>250</v>
      </c>
      <c r="BC2955" s="4" t="s">
        <v>241</v>
      </c>
      <c r="BD2955" s="4" t="s">
        <v>252</v>
      </c>
      <c r="BE2955" s="4" t="s">
        <v>241</v>
      </c>
      <c r="BI2955" s="4" t="s">
        <v>253</v>
      </c>
      <c r="BJ2955" s="5" t="s">
        <v>246</v>
      </c>
      <c r="BK2955" s="4" t="s">
        <v>254</v>
      </c>
      <c r="BL2955" s="4" t="s">
        <v>255</v>
      </c>
      <c r="BM2955" s="4" t="s">
        <v>241</v>
      </c>
      <c r="BN2955" s="6">
        <f>0</f>
        <v>0</v>
      </c>
      <c r="BO2955" s="6">
        <f>0</f>
        <v>0</v>
      </c>
      <c r="BP2955" s="4" t="s">
        <v>256</v>
      </c>
      <c r="BQ2955" s="4" t="s">
        <v>257</v>
      </c>
      <c r="CE2955" s="4" t="s">
        <v>241</v>
      </c>
      <c r="CF2955" s="4" t="s">
        <v>241</v>
      </c>
      <c r="CJ2955" s="4" t="s">
        <v>276</v>
      </c>
      <c r="CK2955" s="4" t="s">
        <v>259</v>
      </c>
      <c r="CL2955" s="4" t="s">
        <v>241</v>
      </c>
      <c r="CO2955" s="5" t="s">
        <v>260</v>
      </c>
      <c r="CP2955" s="4" t="s">
        <v>241</v>
      </c>
      <c r="CQ2955" s="4" t="s">
        <v>261</v>
      </c>
      <c r="CR2955" s="4" t="s">
        <v>241</v>
      </c>
      <c r="CS2955" s="4" t="s">
        <v>241</v>
      </c>
      <c r="CT2955" s="4">
        <v>0</v>
      </c>
      <c r="CU2955" s="4" t="s">
        <v>262</v>
      </c>
      <c r="CV2955" s="4" t="s">
        <v>263</v>
      </c>
      <c r="CW2955" s="4" t="s">
        <v>263</v>
      </c>
      <c r="CX2955" s="4" t="s">
        <v>264</v>
      </c>
      <c r="DA2955" s="6">
        <f>1</f>
        <v>1</v>
      </c>
      <c r="DC2955" s="4" t="s">
        <v>325</v>
      </c>
      <c r="DD2955" s="4" t="s">
        <v>241</v>
      </c>
      <c r="DF2955" s="4" t="s">
        <v>325</v>
      </c>
      <c r="DG2955" s="6">
        <f>604</f>
        <v>604</v>
      </c>
      <c r="DI2955" s="4" t="s">
        <v>241</v>
      </c>
      <c r="DJ2955" s="4" t="s">
        <v>241</v>
      </c>
      <c r="DK2955" s="4" t="s">
        <v>241</v>
      </c>
      <c r="DL2955" s="4" t="s">
        <v>241</v>
      </c>
      <c r="DP2955" s="4" t="s">
        <v>241</v>
      </c>
      <c r="DQ2955" s="4" t="s">
        <v>241</v>
      </c>
      <c r="DR2955" s="4" t="s">
        <v>241</v>
      </c>
      <c r="DS2955" s="4" t="s">
        <v>241</v>
      </c>
      <c r="DV2955" s="4" t="s">
        <v>426</v>
      </c>
      <c r="DW2955" s="4" t="s">
        <v>1968</v>
      </c>
      <c r="HO2955" s="4" t="s">
        <v>267</v>
      </c>
    </row>
    <row r="2956" spans="1:223" ht="19.5" customHeight="1" x14ac:dyDescent="0.4">
      <c r="A2956" s="4">
        <v>1</v>
      </c>
      <c r="B2956" s="4" t="s">
        <v>239</v>
      </c>
      <c r="C2956" s="4">
        <v>4659</v>
      </c>
      <c r="D2956" s="4">
        <v>1</v>
      </c>
      <c r="E2956" s="4">
        <v>1</v>
      </c>
      <c r="F2956" s="4" t="s">
        <v>268</v>
      </c>
      <c r="G2956" s="4" t="s">
        <v>241</v>
      </c>
      <c r="H2956" s="4" t="s">
        <v>241</v>
      </c>
      <c r="I2956" s="4" t="s">
        <v>424</v>
      </c>
      <c r="J2956" s="4" t="s">
        <v>274</v>
      </c>
      <c r="K2956" s="4" t="s">
        <v>251</v>
      </c>
      <c r="L2956" s="4" t="s">
        <v>423</v>
      </c>
      <c r="M2956" s="5" t="s">
        <v>3665</v>
      </c>
      <c r="N2956" s="6">
        <f>1968</f>
        <v>1968</v>
      </c>
      <c r="O2956" s="4" t="s">
        <v>265</v>
      </c>
      <c r="P2956" s="6">
        <f>1</f>
        <v>1</v>
      </c>
      <c r="Q2956" s="6">
        <f>0</f>
        <v>0</v>
      </c>
      <c r="S2956" s="6">
        <f>0</f>
        <v>0</v>
      </c>
      <c r="T2956" s="6">
        <f>1</f>
        <v>1</v>
      </c>
      <c r="U2956" s="5" t="s">
        <v>245</v>
      </c>
      <c r="V2956" s="4" t="s">
        <v>270</v>
      </c>
      <c r="W2956" s="4" t="s">
        <v>271</v>
      </c>
      <c r="X2956" s="4" t="s">
        <v>273</v>
      </c>
      <c r="Y2956" s="4" t="s">
        <v>241</v>
      </c>
      <c r="AB2956" s="4" t="s">
        <v>241</v>
      </c>
      <c r="AD2956" s="5" t="s">
        <v>241</v>
      </c>
      <c r="AG2956" s="5" t="s">
        <v>246</v>
      </c>
      <c r="AH2956" s="4" t="s">
        <v>241</v>
      </c>
      <c r="AI2956" s="4" t="s">
        <v>247</v>
      </c>
      <c r="AJ2956" s="4" t="s">
        <v>248</v>
      </c>
      <c r="AZ2956" s="4" t="s">
        <v>249</v>
      </c>
      <c r="BA2956" s="4" t="s">
        <v>241</v>
      </c>
      <c r="BB2956" s="4" t="s">
        <v>250</v>
      </c>
      <c r="BC2956" s="4" t="s">
        <v>241</v>
      </c>
      <c r="BD2956" s="4" t="s">
        <v>252</v>
      </c>
      <c r="BE2956" s="4" t="s">
        <v>241</v>
      </c>
      <c r="BI2956" s="4" t="s">
        <v>253</v>
      </c>
      <c r="BJ2956" s="5" t="s">
        <v>246</v>
      </c>
      <c r="BK2956" s="4" t="s">
        <v>254</v>
      </c>
      <c r="BL2956" s="4" t="s">
        <v>255</v>
      </c>
      <c r="BM2956" s="4" t="s">
        <v>241</v>
      </c>
      <c r="BN2956" s="6">
        <f>0</f>
        <v>0</v>
      </c>
      <c r="BO2956" s="6">
        <f>0</f>
        <v>0</v>
      </c>
      <c r="BP2956" s="4" t="s">
        <v>256</v>
      </c>
      <c r="BQ2956" s="4" t="s">
        <v>257</v>
      </c>
      <c r="CE2956" s="4" t="s">
        <v>241</v>
      </c>
      <c r="CF2956" s="4" t="s">
        <v>241</v>
      </c>
      <c r="CJ2956" s="4" t="s">
        <v>276</v>
      </c>
      <c r="CK2956" s="4" t="s">
        <v>259</v>
      </c>
      <c r="CL2956" s="4" t="s">
        <v>241</v>
      </c>
      <c r="CO2956" s="5" t="s">
        <v>260</v>
      </c>
      <c r="CP2956" s="4" t="s">
        <v>241</v>
      </c>
      <c r="CQ2956" s="4" t="s">
        <v>261</v>
      </c>
      <c r="CR2956" s="4" t="s">
        <v>241</v>
      </c>
      <c r="CS2956" s="4" t="s">
        <v>241</v>
      </c>
      <c r="CT2956" s="4">
        <v>0</v>
      </c>
      <c r="CU2956" s="4" t="s">
        <v>262</v>
      </c>
      <c r="CV2956" s="4" t="s">
        <v>263</v>
      </c>
      <c r="CW2956" s="4" t="s">
        <v>263</v>
      </c>
      <c r="CX2956" s="4" t="s">
        <v>264</v>
      </c>
      <c r="DA2956" s="6">
        <f>1</f>
        <v>1</v>
      </c>
      <c r="DC2956" s="4" t="s">
        <v>325</v>
      </c>
      <c r="DD2956" s="4" t="s">
        <v>241</v>
      </c>
      <c r="DF2956" s="4" t="s">
        <v>325</v>
      </c>
      <c r="DG2956" s="6">
        <f>1968</f>
        <v>1968</v>
      </c>
      <c r="DI2956" s="4" t="s">
        <v>241</v>
      </c>
      <c r="DJ2956" s="4" t="s">
        <v>241</v>
      </c>
      <c r="DK2956" s="4" t="s">
        <v>241</v>
      </c>
      <c r="DL2956" s="4" t="s">
        <v>241</v>
      </c>
      <c r="DP2956" s="4" t="s">
        <v>241</v>
      </c>
      <c r="DQ2956" s="4" t="s">
        <v>241</v>
      </c>
      <c r="DR2956" s="4" t="s">
        <v>241</v>
      </c>
      <c r="DS2956" s="4" t="s">
        <v>241</v>
      </c>
      <c r="DV2956" s="4" t="s">
        <v>426</v>
      </c>
      <c r="DW2956" s="4" t="s">
        <v>1966</v>
      </c>
      <c r="HO2956" s="4" t="s">
        <v>267</v>
      </c>
    </row>
    <row r="2957" spans="1:223" ht="19.5" customHeight="1" x14ac:dyDescent="0.4">
      <c r="A2957" s="4">
        <v>1</v>
      </c>
      <c r="B2957" s="4" t="s">
        <v>239</v>
      </c>
      <c r="C2957" s="4">
        <v>4660</v>
      </c>
      <c r="D2957" s="4">
        <v>1</v>
      </c>
      <c r="E2957" s="4">
        <v>1</v>
      </c>
      <c r="F2957" s="4" t="s">
        <v>268</v>
      </c>
      <c r="G2957" s="4" t="s">
        <v>241</v>
      </c>
      <c r="H2957" s="4" t="s">
        <v>241</v>
      </c>
      <c r="I2957" s="4" t="s">
        <v>424</v>
      </c>
      <c r="J2957" s="4" t="s">
        <v>274</v>
      </c>
      <c r="K2957" s="4" t="s">
        <v>251</v>
      </c>
      <c r="L2957" s="4" t="s">
        <v>423</v>
      </c>
      <c r="M2957" s="5" t="s">
        <v>3661</v>
      </c>
      <c r="N2957" s="6">
        <f>2737</f>
        <v>2737</v>
      </c>
      <c r="O2957" s="4" t="s">
        <v>265</v>
      </c>
      <c r="P2957" s="6">
        <f>1</f>
        <v>1</v>
      </c>
      <c r="Q2957" s="6">
        <f>0</f>
        <v>0</v>
      </c>
      <c r="S2957" s="6">
        <f>0</f>
        <v>0</v>
      </c>
      <c r="T2957" s="6">
        <f>1</f>
        <v>1</v>
      </c>
      <c r="U2957" s="5" t="s">
        <v>245</v>
      </c>
      <c r="V2957" s="4" t="s">
        <v>270</v>
      </c>
      <c r="W2957" s="4" t="s">
        <v>271</v>
      </c>
      <c r="X2957" s="4" t="s">
        <v>273</v>
      </c>
      <c r="Y2957" s="4" t="s">
        <v>241</v>
      </c>
      <c r="AB2957" s="4" t="s">
        <v>241</v>
      </c>
      <c r="AD2957" s="5" t="s">
        <v>241</v>
      </c>
      <c r="AG2957" s="5" t="s">
        <v>246</v>
      </c>
      <c r="AH2957" s="4" t="s">
        <v>241</v>
      </c>
      <c r="AI2957" s="4" t="s">
        <v>247</v>
      </c>
      <c r="AJ2957" s="4" t="s">
        <v>248</v>
      </c>
      <c r="AZ2957" s="4" t="s">
        <v>249</v>
      </c>
      <c r="BA2957" s="4" t="s">
        <v>241</v>
      </c>
      <c r="BB2957" s="4" t="s">
        <v>250</v>
      </c>
      <c r="BC2957" s="4" t="s">
        <v>241</v>
      </c>
      <c r="BD2957" s="4" t="s">
        <v>252</v>
      </c>
      <c r="BE2957" s="4" t="s">
        <v>241</v>
      </c>
      <c r="BI2957" s="4" t="s">
        <v>253</v>
      </c>
      <c r="BJ2957" s="5" t="s">
        <v>246</v>
      </c>
      <c r="BK2957" s="4" t="s">
        <v>254</v>
      </c>
      <c r="BL2957" s="4" t="s">
        <v>255</v>
      </c>
      <c r="BM2957" s="4" t="s">
        <v>241</v>
      </c>
      <c r="BN2957" s="6">
        <f>0</f>
        <v>0</v>
      </c>
      <c r="BO2957" s="6">
        <f>0</f>
        <v>0</v>
      </c>
      <c r="BP2957" s="4" t="s">
        <v>256</v>
      </c>
      <c r="BQ2957" s="4" t="s">
        <v>257</v>
      </c>
      <c r="CE2957" s="4" t="s">
        <v>241</v>
      </c>
      <c r="CF2957" s="4" t="s">
        <v>241</v>
      </c>
      <c r="CJ2957" s="4" t="s">
        <v>276</v>
      </c>
      <c r="CK2957" s="4" t="s">
        <v>259</v>
      </c>
      <c r="CL2957" s="4" t="s">
        <v>241</v>
      </c>
      <c r="CO2957" s="5" t="s">
        <v>260</v>
      </c>
      <c r="CP2957" s="4" t="s">
        <v>241</v>
      </c>
      <c r="CQ2957" s="4" t="s">
        <v>261</v>
      </c>
      <c r="CR2957" s="4" t="s">
        <v>241</v>
      </c>
      <c r="CS2957" s="4" t="s">
        <v>241</v>
      </c>
      <c r="CT2957" s="4">
        <v>0</v>
      </c>
      <c r="CU2957" s="4" t="s">
        <v>262</v>
      </c>
      <c r="CV2957" s="4" t="s">
        <v>263</v>
      </c>
      <c r="CW2957" s="4" t="s">
        <v>263</v>
      </c>
      <c r="CX2957" s="4" t="s">
        <v>264</v>
      </c>
      <c r="DA2957" s="6">
        <f>1</f>
        <v>1</v>
      </c>
      <c r="DC2957" s="4" t="s">
        <v>325</v>
      </c>
      <c r="DD2957" s="4" t="s">
        <v>241</v>
      </c>
      <c r="DF2957" s="4" t="s">
        <v>325</v>
      </c>
      <c r="DG2957" s="6">
        <f>2737</f>
        <v>2737</v>
      </c>
      <c r="DI2957" s="4" t="s">
        <v>241</v>
      </c>
      <c r="DJ2957" s="4" t="s">
        <v>241</v>
      </c>
      <c r="DK2957" s="4" t="s">
        <v>241</v>
      </c>
      <c r="DL2957" s="4" t="s">
        <v>241</v>
      </c>
      <c r="DP2957" s="4" t="s">
        <v>241</v>
      </c>
      <c r="DQ2957" s="4" t="s">
        <v>241</v>
      </c>
      <c r="DR2957" s="4" t="s">
        <v>241</v>
      </c>
      <c r="DS2957" s="4" t="s">
        <v>241</v>
      </c>
      <c r="DV2957" s="4" t="s">
        <v>426</v>
      </c>
      <c r="DW2957" s="4" t="s">
        <v>1964</v>
      </c>
      <c r="HO2957" s="4" t="s">
        <v>267</v>
      </c>
    </row>
    <row r="2958" spans="1:223" ht="19.5" customHeight="1" x14ac:dyDescent="0.4">
      <c r="A2958" s="4">
        <v>1</v>
      </c>
      <c r="B2958" s="4" t="s">
        <v>239</v>
      </c>
      <c r="C2958" s="4">
        <v>4661</v>
      </c>
      <c r="D2958" s="4">
        <v>1</v>
      </c>
      <c r="E2958" s="4">
        <v>1</v>
      </c>
      <c r="F2958" s="4" t="s">
        <v>268</v>
      </c>
      <c r="G2958" s="4" t="s">
        <v>241</v>
      </c>
      <c r="H2958" s="4" t="s">
        <v>241</v>
      </c>
      <c r="I2958" s="4" t="s">
        <v>424</v>
      </c>
      <c r="J2958" s="4" t="s">
        <v>274</v>
      </c>
      <c r="K2958" s="4" t="s">
        <v>251</v>
      </c>
      <c r="L2958" s="4" t="s">
        <v>423</v>
      </c>
      <c r="M2958" s="5" t="s">
        <v>3657</v>
      </c>
      <c r="N2958" s="6">
        <f>2528</f>
        <v>2528</v>
      </c>
      <c r="O2958" s="4" t="s">
        <v>265</v>
      </c>
      <c r="P2958" s="6">
        <f>1</f>
        <v>1</v>
      </c>
      <c r="Q2958" s="6">
        <f>0</f>
        <v>0</v>
      </c>
      <c r="S2958" s="6">
        <f>0</f>
        <v>0</v>
      </c>
      <c r="T2958" s="6">
        <f>1</f>
        <v>1</v>
      </c>
      <c r="U2958" s="5" t="s">
        <v>245</v>
      </c>
      <c r="V2958" s="4" t="s">
        <v>270</v>
      </c>
      <c r="W2958" s="4" t="s">
        <v>271</v>
      </c>
      <c r="X2958" s="4" t="s">
        <v>273</v>
      </c>
      <c r="Y2958" s="4" t="s">
        <v>241</v>
      </c>
      <c r="AB2958" s="4" t="s">
        <v>241</v>
      </c>
      <c r="AD2958" s="5" t="s">
        <v>241</v>
      </c>
      <c r="AG2958" s="5" t="s">
        <v>246</v>
      </c>
      <c r="AH2958" s="4" t="s">
        <v>241</v>
      </c>
      <c r="AI2958" s="4" t="s">
        <v>247</v>
      </c>
      <c r="AJ2958" s="4" t="s">
        <v>248</v>
      </c>
      <c r="AZ2958" s="4" t="s">
        <v>249</v>
      </c>
      <c r="BA2958" s="4" t="s">
        <v>241</v>
      </c>
      <c r="BB2958" s="4" t="s">
        <v>250</v>
      </c>
      <c r="BC2958" s="4" t="s">
        <v>241</v>
      </c>
      <c r="BD2958" s="4" t="s">
        <v>252</v>
      </c>
      <c r="BE2958" s="4" t="s">
        <v>241</v>
      </c>
      <c r="BI2958" s="4" t="s">
        <v>253</v>
      </c>
      <c r="BJ2958" s="5" t="s">
        <v>246</v>
      </c>
      <c r="BK2958" s="4" t="s">
        <v>254</v>
      </c>
      <c r="BL2958" s="4" t="s">
        <v>255</v>
      </c>
      <c r="BM2958" s="4" t="s">
        <v>241</v>
      </c>
      <c r="BN2958" s="6">
        <f>0</f>
        <v>0</v>
      </c>
      <c r="BO2958" s="6">
        <f>0</f>
        <v>0</v>
      </c>
      <c r="BP2958" s="4" t="s">
        <v>256</v>
      </c>
      <c r="BQ2958" s="4" t="s">
        <v>257</v>
      </c>
      <c r="CE2958" s="4" t="s">
        <v>241</v>
      </c>
      <c r="CF2958" s="4" t="s">
        <v>241</v>
      </c>
      <c r="CJ2958" s="4" t="s">
        <v>276</v>
      </c>
      <c r="CK2958" s="4" t="s">
        <v>259</v>
      </c>
      <c r="CL2958" s="4" t="s">
        <v>241</v>
      </c>
      <c r="CO2958" s="5" t="s">
        <v>260</v>
      </c>
      <c r="CP2958" s="4" t="s">
        <v>241</v>
      </c>
      <c r="CQ2958" s="4" t="s">
        <v>261</v>
      </c>
      <c r="CR2958" s="4" t="s">
        <v>241</v>
      </c>
      <c r="CS2958" s="4" t="s">
        <v>241</v>
      </c>
      <c r="CT2958" s="4">
        <v>0</v>
      </c>
      <c r="CU2958" s="4" t="s">
        <v>262</v>
      </c>
      <c r="CV2958" s="4" t="s">
        <v>263</v>
      </c>
      <c r="CW2958" s="4" t="s">
        <v>263</v>
      </c>
      <c r="CX2958" s="4" t="s">
        <v>264</v>
      </c>
      <c r="DA2958" s="6">
        <f>1</f>
        <v>1</v>
      </c>
      <c r="DC2958" s="4" t="s">
        <v>325</v>
      </c>
      <c r="DD2958" s="4" t="s">
        <v>241</v>
      </c>
      <c r="DF2958" s="4" t="s">
        <v>325</v>
      </c>
      <c r="DG2958" s="6">
        <f>2528</f>
        <v>2528</v>
      </c>
      <c r="DI2958" s="4" t="s">
        <v>241</v>
      </c>
      <c r="DJ2958" s="4" t="s">
        <v>241</v>
      </c>
      <c r="DK2958" s="4" t="s">
        <v>241</v>
      </c>
      <c r="DL2958" s="4" t="s">
        <v>241</v>
      </c>
      <c r="DP2958" s="4" t="s">
        <v>241</v>
      </c>
      <c r="DQ2958" s="4" t="s">
        <v>241</v>
      </c>
      <c r="DR2958" s="4" t="s">
        <v>241</v>
      </c>
      <c r="DS2958" s="4" t="s">
        <v>241</v>
      </c>
      <c r="DV2958" s="4" t="s">
        <v>426</v>
      </c>
      <c r="DW2958" s="4" t="s">
        <v>1961</v>
      </c>
      <c r="HO2958" s="4" t="s">
        <v>267</v>
      </c>
    </row>
    <row r="2959" spans="1:223" ht="19.5" customHeight="1" x14ac:dyDescent="0.4">
      <c r="A2959" s="4">
        <v>1</v>
      </c>
      <c r="B2959" s="4" t="s">
        <v>239</v>
      </c>
      <c r="C2959" s="4">
        <v>4662</v>
      </c>
      <c r="D2959" s="4">
        <v>1</v>
      </c>
      <c r="E2959" s="4">
        <v>1</v>
      </c>
      <c r="F2959" s="4" t="s">
        <v>268</v>
      </c>
      <c r="G2959" s="4" t="s">
        <v>241</v>
      </c>
      <c r="H2959" s="4" t="s">
        <v>241</v>
      </c>
      <c r="I2959" s="4" t="s">
        <v>424</v>
      </c>
      <c r="J2959" s="4" t="s">
        <v>274</v>
      </c>
      <c r="K2959" s="4" t="s">
        <v>251</v>
      </c>
      <c r="L2959" s="4" t="s">
        <v>423</v>
      </c>
      <c r="M2959" s="5" t="s">
        <v>3649</v>
      </c>
      <c r="N2959" s="6">
        <f>446</f>
        <v>446</v>
      </c>
      <c r="O2959" s="4" t="s">
        <v>265</v>
      </c>
      <c r="P2959" s="6">
        <f>1</f>
        <v>1</v>
      </c>
      <c r="Q2959" s="6">
        <f>0</f>
        <v>0</v>
      </c>
      <c r="S2959" s="6">
        <f>0</f>
        <v>0</v>
      </c>
      <c r="T2959" s="6">
        <f>1</f>
        <v>1</v>
      </c>
      <c r="U2959" s="5" t="s">
        <v>245</v>
      </c>
      <c r="V2959" s="4" t="s">
        <v>270</v>
      </c>
      <c r="W2959" s="4" t="s">
        <v>271</v>
      </c>
      <c r="X2959" s="4" t="s">
        <v>273</v>
      </c>
      <c r="Y2959" s="4" t="s">
        <v>241</v>
      </c>
      <c r="AB2959" s="4" t="s">
        <v>241</v>
      </c>
      <c r="AD2959" s="5" t="s">
        <v>241</v>
      </c>
      <c r="AG2959" s="5" t="s">
        <v>246</v>
      </c>
      <c r="AH2959" s="4" t="s">
        <v>241</v>
      </c>
      <c r="AI2959" s="4" t="s">
        <v>247</v>
      </c>
      <c r="AJ2959" s="4" t="s">
        <v>248</v>
      </c>
      <c r="AZ2959" s="4" t="s">
        <v>249</v>
      </c>
      <c r="BA2959" s="4" t="s">
        <v>241</v>
      </c>
      <c r="BB2959" s="4" t="s">
        <v>250</v>
      </c>
      <c r="BC2959" s="4" t="s">
        <v>241</v>
      </c>
      <c r="BD2959" s="4" t="s">
        <v>252</v>
      </c>
      <c r="BE2959" s="4" t="s">
        <v>241</v>
      </c>
      <c r="BI2959" s="4" t="s">
        <v>253</v>
      </c>
      <c r="BJ2959" s="5" t="s">
        <v>246</v>
      </c>
      <c r="BK2959" s="4" t="s">
        <v>254</v>
      </c>
      <c r="BL2959" s="4" t="s">
        <v>255</v>
      </c>
      <c r="BM2959" s="4" t="s">
        <v>241</v>
      </c>
      <c r="BN2959" s="6">
        <f>0</f>
        <v>0</v>
      </c>
      <c r="BO2959" s="6">
        <f>0</f>
        <v>0</v>
      </c>
      <c r="BP2959" s="4" t="s">
        <v>256</v>
      </c>
      <c r="BQ2959" s="4" t="s">
        <v>257</v>
      </c>
      <c r="CE2959" s="4" t="s">
        <v>241</v>
      </c>
      <c r="CF2959" s="4" t="s">
        <v>241</v>
      </c>
      <c r="CJ2959" s="4" t="s">
        <v>276</v>
      </c>
      <c r="CK2959" s="4" t="s">
        <v>259</v>
      </c>
      <c r="CL2959" s="4" t="s">
        <v>241</v>
      </c>
      <c r="CO2959" s="5" t="s">
        <v>260</v>
      </c>
      <c r="CP2959" s="4" t="s">
        <v>241</v>
      </c>
      <c r="CQ2959" s="4" t="s">
        <v>261</v>
      </c>
      <c r="CR2959" s="4" t="s">
        <v>241</v>
      </c>
      <c r="CS2959" s="4" t="s">
        <v>241</v>
      </c>
      <c r="CT2959" s="4">
        <v>0</v>
      </c>
      <c r="CU2959" s="4" t="s">
        <v>262</v>
      </c>
      <c r="CV2959" s="4" t="s">
        <v>263</v>
      </c>
      <c r="CW2959" s="4" t="s">
        <v>263</v>
      </c>
      <c r="CX2959" s="4" t="s">
        <v>264</v>
      </c>
      <c r="DA2959" s="6">
        <f>1</f>
        <v>1</v>
      </c>
      <c r="DC2959" s="4" t="s">
        <v>325</v>
      </c>
      <c r="DD2959" s="4" t="s">
        <v>241</v>
      </c>
      <c r="DF2959" s="4" t="s">
        <v>325</v>
      </c>
      <c r="DG2959" s="6">
        <f>446</f>
        <v>446</v>
      </c>
      <c r="DI2959" s="4" t="s">
        <v>241</v>
      </c>
      <c r="DJ2959" s="4" t="s">
        <v>241</v>
      </c>
      <c r="DK2959" s="4" t="s">
        <v>241</v>
      </c>
      <c r="DL2959" s="4" t="s">
        <v>241</v>
      </c>
      <c r="DP2959" s="4" t="s">
        <v>241</v>
      </c>
      <c r="DQ2959" s="4" t="s">
        <v>241</v>
      </c>
      <c r="DR2959" s="4" t="s">
        <v>241</v>
      </c>
      <c r="DS2959" s="4" t="s">
        <v>241</v>
      </c>
      <c r="DV2959" s="4" t="s">
        <v>426</v>
      </c>
      <c r="DW2959" s="4" t="s">
        <v>396</v>
      </c>
      <c r="HO2959" s="4" t="s">
        <v>267</v>
      </c>
    </row>
    <row r="2960" spans="1:223" ht="19.5" customHeight="1" x14ac:dyDescent="0.4">
      <c r="A2960" s="4">
        <v>1</v>
      </c>
      <c r="B2960" s="4" t="s">
        <v>239</v>
      </c>
      <c r="C2960" s="4">
        <v>4663</v>
      </c>
      <c r="D2960" s="4">
        <v>1</v>
      </c>
      <c r="E2960" s="4">
        <v>1</v>
      </c>
      <c r="F2960" s="4" t="s">
        <v>268</v>
      </c>
      <c r="G2960" s="4" t="s">
        <v>241</v>
      </c>
      <c r="H2960" s="4" t="s">
        <v>241</v>
      </c>
      <c r="I2960" s="4" t="s">
        <v>424</v>
      </c>
      <c r="J2960" s="4" t="s">
        <v>274</v>
      </c>
      <c r="K2960" s="4" t="s">
        <v>251</v>
      </c>
      <c r="L2960" s="4" t="s">
        <v>423</v>
      </c>
      <c r="M2960" s="5" t="s">
        <v>3643</v>
      </c>
      <c r="N2960" s="6">
        <f>538</f>
        <v>538</v>
      </c>
      <c r="O2960" s="4" t="s">
        <v>265</v>
      </c>
      <c r="P2960" s="6">
        <f>1</f>
        <v>1</v>
      </c>
      <c r="Q2960" s="6">
        <f>0</f>
        <v>0</v>
      </c>
      <c r="S2960" s="6">
        <f>0</f>
        <v>0</v>
      </c>
      <c r="T2960" s="6">
        <f>1</f>
        <v>1</v>
      </c>
      <c r="U2960" s="5" t="s">
        <v>245</v>
      </c>
      <c r="V2960" s="4" t="s">
        <v>270</v>
      </c>
      <c r="W2960" s="4" t="s">
        <v>271</v>
      </c>
      <c r="X2960" s="4" t="s">
        <v>273</v>
      </c>
      <c r="Y2960" s="4" t="s">
        <v>241</v>
      </c>
      <c r="AB2960" s="4" t="s">
        <v>241</v>
      </c>
      <c r="AD2960" s="5" t="s">
        <v>241</v>
      </c>
      <c r="AG2960" s="5" t="s">
        <v>246</v>
      </c>
      <c r="AH2960" s="4" t="s">
        <v>241</v>
      </c>
      <c r="AI2960" s="4" t="s">
        <v>247</v>
      </c>
      <c r="AJ2960" s="4" t="s">
        <v>248</v>
      </c>
      <c r="AZ2960" s="4" t="s">
        <v>249</v>
      </c>
      <c r="BA2960" s="4" t="s">
        <v>241</v>
      </c>
      <c r="BB2960" s="4" t="s">
        <v>250</v>
      </c>
      <c r="BC2960" s="4" t="s">
        <v>241</v>
      </c>
      <c r="BD2960" s="4" t="s">
        <v>252</v>
      </c>
      <c r="BE2960" s="4" t="s">
        <v>241</v>
      </c>
      <c r="BI2960" s="4" t="s">
        <v>253</v>
      </c>
      <c r="BJ2960" s="5" t="s">
        <v>246</v>
      </c>
      <c r="BK2960" s="4" t="s">
        <v>254</v>
      </c>
      <c r="BL2960" s="4" t="s">
        <v>255</v>
      </c>
      <c r="BM2960" s="4" t="s">
        <v>241</v>
      </c>
      <c r="BN2960" s="6">
        <f>0</f>
        <v>0</v>
      </c>
      <c r="BO2960" s="6">
        <f>0</f>
        <v>0</v>
      </c>
      <c r="BP2960" s="4" t="s">
        <v>256</v>
      </c>
      <c r="BQ2960" s="4" t="s">
        <v>257</v>
      </c>
      <c r="CE2960" s="4" t="s">
        <v>241</v>
      </c>
      <c r="CF2960" s="4" t="s">
        <v>241</v>
      </c>
      <c r="CJ2960" s="4" t="s">
        <v>276</v>
      </c>
      <c r="CK2960" s="4" t="s">
        <v>259</v>
      </c>
      <c r="CL2960" s="4" t="s">
        <v>241</v>
      </c>
      <c r="CO2960" s="5" t="s">
        <v>260</v>
      </c>
      <c r="CP2960" s="4" t="s">
        <v>241</v>
      </c>
      <c r="CQ2960" s="4" t="s">
        <v>261</v>
      </c>
      <c r="CR2960" s="4" t="s">
        <v>241</v>
      </c>
      <c r="CS2960" s="4" t="s">
        <v>241</v>
      </c>
      <c r="CT2960" s="4">
        <v>0</v>
      </c>
      <c r="CU2960" s="4" t="s">
        <v>262</v>
      </c>
      <c r="CV2960" s="4" t="s">
        <v>263</v>
      </c>
      <c r="CW2960" s="4" t="s">
        <v>263</v>
      </c>
      <c r="CX2960" s="4" t="s">
        <v>264</v>
      </c>
      <c r="DA2960" s="6">
        <f>1</f>
        <v>1</v>
      </c>
      <c r="DC2960" s="4" t="s">
        <v>325</v>
      </c>
      <c r="DD2960" s="4" t="s">
        <v>241</v>
      </c>
      <c r="DF2960" s="4" t="s">
        <v>325</v>
      </c>
      <c r="DG2960" s="6">
        <f>538</f>
        <v>538</v>
      </c>
      <c r="DI2960" s="4" t="s">
        <v>241</v>
      </c>
      <c r="DJ2960" s="4" t="s">
        <v>241</v>
      </c>
      <c r="DK2960" s="4" t="s">
        <v>241</v>
      </c>
      <c r="DL2960" s="4" t="s">
        <v>241</v>
      </c>
      <c r="DP2960" s="4" t="s">
        <v>241</v>
      </c>
      <c r="DQ2960" s="4" t="s">
        <v>241</v>
      </c>
      <c r="DR2960" s="4" t="s">
        <v>241</v>
      </c>
      <c r="DS2960" s="4" t="s">
        <v>241</v>
      </c>
      <c r="DV2960" s="4" t="s">
        <v>426</v>
      </c>
      <c r="DW2960" s="4" t="s">
        <v>978</v>
      </c>
      <c r="HO2960" s="4" t="s">
        <v>267</v>
      </c>
    </row>
    <row r="2961" spans="1:223" ht="19.5" customHeight="1" x14ac:dyDescent="0.4">
      <c r="A2961" s="4">
        <v>1</v>
      </c>
      <c r="B2961" s="4" t="s">
        <v>239</v>
      </c>
      <c r="C2961" s="4">
        <v>4664</v>
      </c>
      <c r="D2961" s="4">
        <v>1</v>
      </c>
      <c r="E2961" s="4">
        <v>1</v>
      </c>
      <c r="F2961" s="4" t="s">
        <v>268</v>
      </c>
      <c r="G2961" s="4" t="s">
        <v>241</v>
      </c>
      <c r="H2961" s="4" t="s">
        <v>241</v>
      </c>
      <c r="I2961" s="4" t="s">
        <v>424</v>
      </c>
      <c r="J2961" s="4" t="s">
        <v>274</v>
      </c>
      <c r="K2961" s="4" t="s">
        <v>251</v>
      </c>
      <c r="L2961" s="4" t="s">
        <v>423</v>
      </c>
      <c r="M2961" s="5" t="s">
        <v>3636</v>
      </c>
      <c r="N2961" s="6">
        <f>2904</f>
        <v>2904</v>
      </c>
      <c r="O2961" s="4" t="s">
        <v>265</v>
      </c>
      <c r="P2961" s="6">
        <f>1</f>
        <v>1</v>
      </c>
      <c r="Q2961" s="6">
        <f>0</f>
        <v>0</v>
      </c>
      <c r="S2961" s="6">
        <f>0</f>
        <v>0</v>
      </c>
      <c r="T2961" s="6">
        <f>1</f>
        <v>1</v>
      </c>
      <c r="U2961" s="5" t="s">
        <v>245</v>
      </c>
      <c r="V2961" s="4" t="s">
        <v>270</v>
      </c>
      <c r="W2961" s="4" t="s">
        <v>271</v>
      </c>
      <c r="X2961" s="4" t="s">
        <v>273</v>
      </c>
      <c r="Y2961" s="4" t="s">
        <v>241</v>
      </c>
      <c r="AB2961" s="4" t="s">
        <v>241</v>
      </c>
      <c r="AD2961" s="5" t="s">
        <v>241</v>
      </c>
      <c r="AG2961" s="5" t="s">
        <v>246</v>
      </c>
      <c r="AH2961" s="4" t="s">
        <v>241</v>
      </c>
      <c r="AI2961" s="4" t="s">
        <v>247</v>
      </c>
      <c r="AJ2961" s="4" t="s">
        <v>248</v>
      </c>
      <c r="AZ2961" s="4" t="s">
        <v>249</v>
      </c>
      <c r="BA2961" s="4" t="s">
        <v>241</v>
      </c>
      <c r="BB2961" s="4" t="s">
        <v>250</v>
      </c>
      <c r="BC2961" s="4" t="s">
        <v>241</v>
      </c>
      <c r="BD2961" s="4" t="s">
        <v>252</v>
      </c>
      <c r="BE2961" s="4" t="s">
        <v>241</v>
      </c>
      <c r="BI2961" s="4" t="s">
        <v>253</v>
      </c>
      <c r="BJ2961" s="5" t="s">
        <v>246</v>
      </c>
      <c r="BK2961" s="4" t="s">
        <v>254</v>
      </c>
      <c r="BL2961" s="4" t="s">
        <v>255</v>
      </c>
      <c r="BM2961" s="4" t="s">
        <v>241</v>
      </c>
      <c r="BN2961" s="6">
        <f>0</f>
        <v>0</v>
      </c>
      <c r="BO2961" s="6">
        <f>0</f>
        <v>0</v>
      </c>
      <c r="BP2961" s="4" t="s">
        <v>256</v>
      </c>
      <c r="BQ2961" s="4" t="s">
        <v>257</v>
      </c>
      <c r="CE2961" s="4" t="s">
        <v>241</v>
      </c>
      <c r="CF2961" s="4" t="s">
        <v>241</v>
      </c>
      <c r="CJ2961" s="4" t="s">
        <v>276</v>
      </c>
      <c r="CK2961" s="4" t="s">
        <v>259</v>
      </c>
      <c r="CL2961" s="4" t="s">
        <v>241</v>
      </c>
      <c r="CO2961" s="5" t="s">
        <v>260</v>
      </c>
      <c r="CP2961" s="4" t="s">
        <v>241</v>
      </c>
      <c r="CQ2961" s="4" t="s">
        <v>261</v>
      </c>
      <c r="CR2961" s="4" t="s">
        <v>241</v>
      </c>
      <c r="CS2961" s="4" t="s">
        <v>241</v>
      </c>
      <c r="CT2961" s="4">
        <v>0</v>
      </c>
      <c r="CU2961" s="4" t="s">
        <v>262</v>
      </c>
      <c r="CV2961" s="4" t="s">
        <v>263</v>
      </c>
      <c r="CW2961" s="4" t="s">
        <v>263</v>
      </c>
      <c r="CX2961" s="4" t="s">
        <v>264</v>
      </c>
      <c r="DA2961" s="6">
        <f>1</f>
        <v>1</v>
      </c>
      <c r="DC2961" s="4" t="s">
        <v>325</v>
      </c>
      <c r="DD2961" s="4" t="s">
        <v>241</v>
      </c>
      <c r="DF2961" s="4" t="s">
        <v>325</v>
      </c>
      <c r="DG2961" s="6">
        <f>2904</f>
        <v>2904</v>
      </c>
      <c r="DI2961" s="4" t="s">
        <v>241</v>
      </c>
      <c r="DJ2961" s="4" t="s">
        <v>241</v>
      </c>
      <c r="DK2961" s="4" t="s">
        <v>241</v>
      </c>
      <c r="DL2961" s="4" t="s">
        <v>241</v>
      </c>
      <c r="DP2961" s="4" t="s">
        <v>241</v>
      </c>
      <c r="DQ2961" s="4" t="s">
        <v>241</v>
      </c>
      <c r="DR2961" s="4" t="s">
        <v>241</v>
      </c>
      <c r="DS2961" s="4" t="s">
        <v>241</v>
      </c>
      <c r="DV2961" s="4" t="s">
        <v>426</v>
      </c>
      <c r="DW2961" s="4" t="s">
        <v>2697</v>
      </c>
      <c r="HO2961" s="4" t="s">
        <v>267</v>
      </c>
    </row>
    <row r="2962" spans="1:223" ht="19.5" customHeight="1" x14ac:dyDescent="0.4">
      <c r="A2962" s="4">
        <v>1</v>
      </c>
      <c r="B2962" s="4" t="s">
        <v>239</v>
      </c>
      <c r="C2962" s="4">
        <v>4665</v>
      </c>
      <c r="D2962" s="4">
        <v>1</v>
      </c>
      <c r="E2962" s="4">
        <v>1</v>
      </c>
      <c r="F2962" s="4" t="s">
        <v>268</v>
      </c>
      <c r="G2962" s="4" t="s">
        <v>241</v>
      </c>
      <c r="H2962" s="4" t="s">
        <v>241</v>
      </c>
      <c r="I2962" s="4" t="s">
        <v>424</v>
      </c>
      <c r="J2962" s="4" t="s">
        <v>274</v>
      </c>
      <c r="K2962" s="4" t="s">
        <v>251</v>
      </c>
      <c r="L2962" s="4" t="s">
        <v>423</v>
      </c>
      <c r="M2962" s="5" t="s">
        <v>3631</v>
      </c>
      <c r="N2962" s="6">
        <f>894</f>
        <v>894</v>
      </c>
      <c r="O2962" s="4" t="s">
        <v>265</v>
      </c>
      <c r="P2962" s="6">
        <f>1</f>
        <v>1</v>
      </c>
      <c r="Q2962" s="6">
        <f>0</f>
        <v>0</v>
      </c>
      <c r="S2962" s="6">
        <f>0</f>
        <v>0</v>
      </c>
      <c r="T2962" s="6">
        <f>1</f>
        <v>1</v>
      </c>
      <c r="U2962" s="5" t="s">
        <v>245</v>
      </c>
      <c r="V2962" s="4" t="s">
        <v>270</v>
      </c>
      <c r="W2962" s="4" t="s">
        <v>271</v>
      </c>
      <c r="X2962" s="4" t="s">
        <v>273</v>
      </c>
      <c r="Y2962" s="4" t="s">
        <v>241</v>
      </c>
      <c r="AB2962" s="4" t="s">
        <v>241</v>
      </c>
      <c r="AD2962" s="5" t="s">
        <v>241</v>
      </c>
      <c r="AG2962" s="5" t="s">
        <v>246</v>
      </c>
      <c r="AH2962" s="4" t="s">
        <v>241</v>
      </c>
      <c r="AI2962" s="4" t="s">
        <v>247</v>
      </c>
      <c r="AJ2962" s="4" t="s">
        <v>248</v>
      </c>
      <c r="AZ2962" s="4" t="s">
        <v>249</v>
      </c>
      <c r="BA2962" s="4" t="s">
        <v>241</v>
      </c>
      <c r="BB2962" s="4" t="s">
        <v>250</v>
      </c>
      <c r="BC2962" s="4" t="s">
        <v>241</v>
      </c>
      <c r="BD2962" s="4" t="s">
        <v>252</v>
      </c>
      <c r="BE2962" s="4" t="s">
        <v>241</v>
      </c>
      <c r="BI2962" s="4" t="s">
        <v>253</v>
      </c>
      <c r="BJ2962" s="5" t="s">
        <v>246</v>
      </c>
      <c r="BK2962" s="4" t="s">
        <v>254</v>
      </c>
      <c r="BL2962" s="4" t="s">
        <v>255</v>
      </c>
      <c r="BM2962" s="4" t="s">
        <v>241</v>
      </c>
      <c r="BN2962" s="6">
        <f>0</f>
        <v>0</v>
      </c>
      <c r="BO2962" s="6">
        <f>0</f>
        <v>0</v>
      </c>
      <c r="BP2962" s="4" t="s">
        <v>256</v>
      </c>
      <c r="BQ2962" s="4" t="s">
        <v>257</v>
      </c>
      <c r="CE2962" s="4" t="s">
        <v>241</v>
      </c>
      <c r="CF2962" s="4" t="s">
        <v>241</v>
      </c>
      <c r="CJ2962" s="4" t="s">
        <v>276</v>
      </c>
      <c r="CK2962" s="4" t="s">
        <v>259</v>
      </c>
      <c r="CL2962" s="4" t="s">
        <v>241</v>
      </c>
      <c r="CO2962" s="5" t="s">
        <v>260</v>
      </c>
      <c r="CP2962" s="4" t="s">
        <v>241</v>
      </c>
      <c r="CQ2962" s="4" t="s">
        <v>261</v>
      </c>
      <c r="CR2962" s="4" t="s">
        <v>241</v>
      </c>
      <c r="CS2962" s="4" t="s">
        <v>241</v>
      </c>
      <c r="CT2962" s="4">
        <v>0</v>
      </c>
      <c r="CU2962" s="4" t="s">
        <v>262</v>
      </c>
      <c r="CV2962" s="4" t="s">
        <v>263</v>
      </c>
      <c r="CW2962" s="4" t="s">
        <v>263</v>
      </c>
      <c r="CX2962" s="4" t="s">
        <v>264</v>
      </c>
      <c r="DA2962" s="6">
        <f>1</f>
        <v>1</v>
      </c>
      <c r="DC2962" s="4" t="s">
        <v>325</v>
      </c>
      <c r="DD2962" s="4" t="s">
        <v>241</v>
      </c>
      <c r="DF2962" s="4" t="s">
        <v>325</v>
      </c>
      <c r="DG2962" s="6">
        <f>894</f>
        <v>894</v>
      </c>
      <c r="DI2962" s="4" t="s">
        <v>241</v>
      </c>
      <c r="DJ2962" s="4" t="s">
        <v>241</v>
      </c>
      <c r="DK2962" s="4" t="s">
        <v>241</v>
      </c>
      <c r="DL2962" s="4" t="s">
        <v>241</v>
      </c>
      <c r="DP2962" s="4" t="s">
        <v>241</v>
      </c>
      <c r="DQ2962" s="4" t="s">
        <v>241</v>
      </c>
      <c r="DR2962" s="4" t="s">
        <v>241</v>
      </c>
      <c r="DS2962" s="4" t="s">
        <v>241</v>
      </c>
      <c r="DV2962" s="4" t="s">
        <v>426</v>
      </c>
      <c r="DW2962" s="4" t="s">
        <v>369</v>
      </c>
      <c r="HO2962" s="4" t="s">
        <v>267</v>
      </c>
    </row>
    <row r="2963" spans="1:223" ht="19.5" customHeight="1" x14ac:dyDescent="0.4">
      <c r="A2963" s="4">
        <v>1</v>
      </c>
      <c r="B2963" s="4" t="s">
        <v>239</v>
      </c>
      <c r="C2963" s="4">
        <v>4666</v>
      </c>
      <c r="D2963" s="4">
        <v>1</v>
      </c>
      <c r="E2963" s="4">
        <v>1</v>
      </c>
      <c r="F2963" s="4" t="s">
        <v>268</v>
      </c>
      <c r="G2963" s="4" t="s">
        <v>241</v>
      </c>
      <c r="H2963" s="4" t="s">
        <v>241</v>
      </c>
      <c r="I2963" s="4" t="s">
        <v>424</v>
      </c>
      <c r="J2963" s="4" t="s">
        <v>274</v>
      </c>
      <c r="K2963" s="4" t="s">
        <v>251</v>
      </c>
      <c r="L2963" s="4" t="s">
        <v>423</v>
      </c>
      <c r="M2963" s="5" t="s">
        <v>3628</v>
      </c>
      <c r="N2963" s="6">
        <f>156</f>
        <v>156</v>
      </c>
      <c r="O2963" s="4" t="s">
        <v>265</v>
      </c>
      <c r="P2963" s="6">
        <f>1</f>
        <v>1</v>
      </c>
      <c r="Q2963" s="6">
        <f>0</f>
        <v>0</v>
      </c>
      <c r="S2963" s="6">
        <f>0</f>
        <v>0</v>
      </c>
      <c r="T2963" s="6">
        <f>1</f>
        <v>1</v>
      </c>
      <c r="U2963" s="5" t="s">
        <v>245</v>
      </c>
      <c r="V2963" s="4" t="s">
        <v>270</v>
      </c>
      <c r="W2963" s="4" t="s">
        <v>271</v>
      </c>
      <c r="X2963" s="4" t="s">
        <v>273</v>
      </c>
      <c r="Y2963" s="4" t="s">
        <v>241</v>
      </c>
      <c r="AB2963" s="4" t="s">
        <v>241</v>
      </c>
      <c r="AD2963" s="5" t="s">
        <v>241</v>
      </c>
      <c r="AG2963" s="5" t="s">
        <v>246</v>
      </c>
      <c r="AH2963" s="4" t="s">
        <v>241</v>
      </c>
      <c r="AI2963" s="4" t="s">
        <v>247</v>
      </c>
      <c r="AJ2963" s="4" t="s">
        <v>248</v>
      </c>
      <c r="AZ2963" s="4" t="s">
        <v>249</v>
      </c>
      <c r="BA2963" s="4" t="s">
        <v>241</v>
      </c>
      <c r="BB2963" s="4" t="s">
        <v>250</v>
      </c>
      <c r="BC2963" s="4" t="s">
        <v>241</v>
      </c>
      <c r="BD2963" s="4" t="s">
        <v>252</v>
      </c>
      <c r="BE2963" s="4" t="s">
        <v>241</v>
      </c>
      <c r="BI2963" s="4" t="s">
        <v>253</v>
      </c>
      <c r="BJ2963" s="5" t="s">
        <v>246</v>
      </c>
      <c r="BK2963" s="4" t="s">
        <v>254</v>
      </c>
      <c r="BL2963" s="4" t="s">
        <v>255</v>
      </c>
      <c r="BM2963" s="4" t="s">
        <v>241</v>
      </c>
      <c r="BN2963" s="6">
        <f>0</f>
        <v>0</v>
      </c>
      <c r="BO2963" s="6">
        <f>0</f>
        <v>0</v>
      </c>
      <c r="BP2963" s="4" t="s">
        <v>256</v>
      </c>
      <c r="BQ2963" s="4" t="s">
        <v>257</v>
      </c>
      <c r="CE2963" s="4" t="s">
        <v>241</v>
      </c>
      <c r="CF2963" s="4" t="s">
        <v>241</v>
      </c>
      <c r="CJ2963" s="4" t="s">
        <v>276</v>
      </c>
      <c r="CK2963" s="4" t="s">
        <v>259</v>
      </c>
      <c r="CL2963" s="4" t="s">
        <v>241</v>
      </c>
      <c r="CO2963" s="5" t="s">
        <v>260</v>
      </c>
      <c r="CP2963" s="4" t="s">
        <v>241</v>
      </c>
      <c r="CQ2963" s="4" t="s">
        <v>261</v>
      </c>
      <c r="CR2963" s="4" t="s">
        <v>241</v>
      </c>
      <c r="CS2963" s="4" t="s">
        <v>241</v>
      </c>
      <c r="CT2963" s="4">
        <v>0</v>
      </c>
      <c r="CU2963" s="4" t="s">
        <v>262</v>
      </c>
      <c r="CV2963" s="4" t="s">
        <v>263</v>
      </c>
      <c r="CW2963" s="4" t="s">
        <v>263</v>
      </c>
      <c r="CX2963" s="4" t="s">
        <v>264</v>
      </c>
      <c r="DA2963" s="6">
        <f>1</f>
        <v>1</v>
      </c>
      <c r="DC2963" s="4" t="s">
        <v>325</v>
      </c>
      <c r="DD2963" s="4" t="s">
        <v>241</v>
      </c>
      <c r="DF2963" s="4" t="s">
        <v>325</v>
      </c>
      <c r="DG2963" s="6">
        <f>156</f>
        <v>156</v>
      </c>
      <c r="DI2963" s="4" t="s">
        <v>241</v>
      </c>
      <c r="DJ2963" s="4" t="s">
        <v>241</v>
      </c>
      <c r="DK2963" s="4" t="s">
        <v>241</v>
      </c>
      <c r="DL2963" s="4" t="s">
        <v>241</v>
      </c>
      <c r="DP2963" s="4" t="s">
        <v>241</v>
      </c>
      <c r="DQ2963" s="4" t="s">
        <v>241</v>
      </c>
      <c r="DR2963" s="4" t="s">
        <v>241</v>
      </c>
      <c r="DS2963" s="4" t="s">
        <v>241</v>
      </c>
      <c r="DV2963" s="4" t="s">
        <v>426</v>
      </c>
      <c r="DW2963" s="4" t="s">
        <v>1177</v>
      </c>
      <c r="HO2963" s="4" t="s">
        <v>267</v>
      </c>
    </row>
    <row r="2964" spans="1:223" ht="19.5" customHeight="1" x14ac:dyDescent="0.4">
      <c r="A2964" s="4">
        <v>1</v>
      </c>
      <c r="B2964" s="4" t="s">
        <v>239</v>
      </c>
      <c r="C2964" s="4">
        <v>4667</v>
      </c>
      <c r="D2964" s="4">
        <v>1</v>
      </c>
      <c r="E2964" s="4">
        <v>1</v>
      </c>
      <c r="F2964" s="4" t="s">
        <v>268</v>
      </c>
      <c r="G2964" s="4" t="s">
        <v>241</v>
      </c>
      <c r="H2964" s="4" t="s">
        <v>241</v>
      </c>
      <c r="I2964" s="4" t="s">
        <v>424</v>
      </c>
      <c r="J2964" s="4" t="s">
        <v>274</v>
      </c>
      <c r="K2964" s="4" t="s">
        <v>251</v>
      </c>
      <c r="L2964" s="4" t="s">
        <v>423</v>
      </c>
      <c r="M2964" s="5" t="s">
        <v>3621</v>
      </c>
      <c r="N2964" s="6">
        <f>3185</f>
        <v>3185</v>
      </c>
      <c r="O2964" s="4" t="s">
        <v>265</v>
      </c>
      <c r="P2964" s="6">
        <f>1</f>
        <v>1</v>
      </c>
      <c r="Q2964" s="6">
        <f>0</f>
        <v>0</v>
      </c>
      <c r="S2964" s="6">
        <f>0</f>
        <v>0</v>
      </c>
      <c r="T2964" s="6">
        <f>1</f>
        <v>1</v>
      </c>
      <c r="U2964" s="5" t="s">
        <v>245</v>
      </c>
      <c r="V2964" s="4" t="s">
        <v>270</v>
      </c>
      <c r="W2964" s="4" t="s">
        <v>271</v>
      </c>
      <c r="X2964" s="4" t="s">
        <v>273</v>
      </c>
      <c r="Y2964" s="4" t="s">
        <v>241</v>
      </c>
      <c r="AB2964" s="4" t="s">
        <v>241</v>
      </c>
      <c r="AD2964" s="5" t="s">
        <v>241</v>
      </c>
      <c r="AG2964" s="5" t="s">
        <v>246</v>
      </c>
      <c r="AH2964" s="4" t="s">
        <v>241</v>
      </c>
      <c r="AI2964" s="4" t="s">
        <v>247</v>
      </c>
      <c r="AJ2964" s="4" t="s">
        <v>248</v>
      </c>
      <c r="AZ2964" s="4" t="s">
        <v>249</v>
      </c>
      <c r="BA2964" s="4" t="s">
        <v>241</v>
      </c>
      <c r="BB2964" s="4" t="s">
        <v>250</v>
      </c>
      <c r="BC2964" s="4" t="s">
        <v>241</v>
      </c>
      <c r="BD2964" s="4" t="s">
        <v>252</v>
      </c>
      <c r="BE2964" s="4" t="s">
        <v>241</v>
      </c>
      <c r="BI2964" s="4" t="s">
        <v>253</v>
      </c>
      <c r="BJ2964" s="5" t="s">
        <v>246</v>
      </c>
      <c r="BK2964" s="4" t="s">
        <v>254</v>
      </c>
      <c r="BL2964" s="4" t="s">
        <v>255</v>
      </c>
      <c r="BM2964" s="4" t="s">
        <v>241</v>
      </c>
      <c r="BN2964" s="6">
        <f>0</f>
        <v>0</v>
      </c>
      <c r="BO2964" s="6">
        <f>0</f>
        <v>0</v>
      </c>
      <c r="BP2964" s="4" t="s">
        <v>256</v>
      </c>
      <c r="BQ2964" s="4" t="s">
        <v>257</v>
      </c>
      <c r="CE2964" s="4" t="s">
        <v>241</v>
      </c>
      <c r="CF2964" s="4" t="s">
        <v>241</v>
      </c>
      <c r="CJ2964" s="4" t="s">
        <v>276</v>
      </c>
      <c r="CK2964" s="4" t="s">
        <v>259</v>
      </c>
      <c r="CL2964" s="4" t="s">
        <v>241</v>
      </c>
      <c r="CO2964" s="5" t="s">
        <v>260</v>
      </c>
      <c r="CP2964" s="4" t="s">
        <v>241</v>
      </c>
      <c r="CQ2964" s="4" t="s">
        <v>261</v>
      </c>
      <c r="CR2964" s="4" t="s">
        <v>241</v>
      </c>
      <c r="CS2964" s="4" t="s">
        <v>241</v>
      </c>
      <c r="CT2964" s="4">
        <v>0</v>
      </c>
      <c r="CU2964" s="4" t="s">
        <v>262</v>
      </c>
      <c r="CV2964" s="4" t="s">
        <v>263</v>
      </c>
      <c r="CW2964" s="4" t="s">
        <v>263</v>
      </c>
      <c r="CX2964" s="4" t="s">
        <v>264</v>
      </c>
      <c r="DA2964" s="6">
        <f>1</f>
        <v>1</v>
      </c>
      <c r="DC2964" s="4" t="s">
        <v>325</v>
      </c>
      <c r="DD2964" s="4" t="s">
        <v>241</v>
      </c>
      <c r="DF2964" s="4" t="s">
        <v>325</v>
      </c>
      <c r="DG2964" s="6">
        <f>3185</f>
        <v>3185</v>
      </c>
      <c r="DI2964" s="4" t="s">
        <v>241</v>
      </c>
      <c r="DJ2964" s="4" t="s">
        <v>241</v>
      </c>
      <c r="DK2964" s="4" t="s">
        <v>241</v>
      </c>
      <c r="DL2964" s="4" t="s">
        <v>241</v>
      </c>
      <c r="DP2964" s="4" t="s">
        <v>241</v>
      </c>
      <c r="DQ2964" s="4" t="s">
        <v>241</v>
      </c>
      <c r="DR2964" s="4" t="s">
        <v>241</v>
      </c>
      <c r="DS2964" s="4" t="s">
        <v>241</v>
      </c>
      <c r="DV2964" s="4" t="s">
        <v>426</v>
      </c>
      <c r="DW2964" s="4" t="s">
        <v>384</v>
      </c>
      <c r="HO2964" s="4" t="s">
        <v>267</v>
      </c>
    </row>
    <row r="2965" spans="1:223" ht="19.5" customHeight="1" x14ac:dyDescent="0.4">
      <c r="A2965" s="4">
        <v>1</v>
      </c>
      <c r="B2965" s="4" t="s">
        <v>239</v>
      </c>
      <c r="C2965" s="4">
        <v>4668</v>
      </c>
      <c r="D2965" s="4">
        <v>1</v>
      </c>
      <c r="E2965" s="4">
        <v>1</v>
      </c>
      <c r="F2965" s="4" t="s">
        <v>268</v>
      </c>
      <c r="G2965" s="4" t="s">
        <v>241</v>
      </c>
      <c r="H2965" s="4" t="s">
        <v>241</v>
      </c>
      <c r="I2965" s="4" t="s">
        <v>424</v>
      </c>
      <c r="J2965" s="4" t="s">
        <v>274</v>
      </c>
      <c r="K2965" s="4" t="s">
        <v>251</v>
      </c>
      <c r="L2965" s="4" t="s">
        <v>423</v>
      </c>
      <c r="M2965" s="5" t="s">
        <v>3612</v>
      </c>
      <c r="N2965" s="6">
        <f>1307</f>
        <v>1307</v>
      </c>
      <c r="O2965" s="4" t="s">
        <v>265</v>
      </c>
      <c r="P2965" s="6">
        <f>1</f>
        <v>1</v>
      </c>
      <c r="Q2965" s="6">
        <f>0</f>
        <v>0</v>
      </c>
      <c r="S2965" s="6">
        <f>0</f>
        <v>0</v>
      </c>
      <c r="T2965" s="6">
        <f>1</f>
        <v>1</v>
      </c>
      <c r="U2965" s="5" t="s">
        <v>245</v>
      </c>
      <c r="V2965" s="4" t="s">
        <v>270</v>
      </c>
      <c r="W2965" s="4" t="s">
        <v>271</v>
      </c>
      <c r="X2965" s="4" t="s">
        <v>273</v>
      </c>
      <c r="Y2965" s="4" t="s">
        <v>241</v>
      </c>
      <c r="AB2965" s="4" t="s">
        <v>241</v>
      </c>
      <c r="AD2965" s="5" t="s">
        <v>241</v>
      </c>
      <c r="AG2965" s="5" t="s">
        <v>246</v>
      </c>
      <c r="AH2965" s="4" t="s">
        <v>241</v>
      </c>
      <c r="AI2965" s="4" t="s">
        <v>247</v>
      </c>
      <c r="AJ2965" s="4" t="s">
        <v>248</v>
      </c>
      <c r="AZ2965" s="4" t="s">
        <v>249</v>
      </c>
      <c r="BA2965" s="4" t="s">
        <v>241</v>
      </c>
      <c r="BB2965" s="4" t="s">
        <v>250</v>
      </c>
      <c r="BC2965" s="4" t="s">
        <v>241</v>
      </c>
      <c r="BD2965" s="4" t="s">
        <v>252</v>
      </c>
      <c r="BE2965" s="4" t="s">
        <v>241</v>
      </c>
      <c r="BI2965" s="4" t="s">
        <v>253</v>
      </c>
      <c r="BJ2965" s="5" t="s">
        <v>246</v>
      </c>
      <c r="BK2965" s="4" t="s">
        <v>254</v>
      </c>
      <c r="BL2965" s="4" t="s">
        <v>255</v>
      </c>
      <c r="BM2965" s="4" t="s">
        <v>241</v>
      </c>
      <c r="BN2965" s="6">
        <f>0</f>
        <v>0</v>
      </c>
      <c r="BO2965" s="6">
        <f>0</f>
        <v>0</v>
      </c>
      <c r="BP2965" s="4" t="s">
        <v>256</v>
      </c>
      <c r="BQ2965" s="4" t="s">
        <v>257</v>
      </c>
      <c r="CE2965" s="4" t="s">
        <v>241</v>
      </c>
      <c r="CF2965" s="4" t="s">
        <v>241</v>
      </c>
      <c r="CJ2965" s="4" t="s">
        <v>276</v>
      </c>
      <c r="CK2965" s="4" t="s">
        <v>259</v>
      </c>
      <c r="CL2965" s="4" t="s">
        <v>241</v>
      </c>
      <c r="CO2965" s="5" t="s">
        <v>260</v>
      </c>
      <c r="CP2965" s="4" t="s">
        <v>241</v>
      </c>
      <c r="CQ2965" s="4" t="s">
        <v>261</v>
      </c>
      <c r="CR2965" s="4" t="s">
        <v>241</v>
      </c>
      <c r="CS2965" s="4" t="s">
        <v>241</v>
      </c>
      <c r="CT2965" s="4">
        <v>0</v>
      </c>
      <c r="CU2965" s="4" t="s">
        <v>262</v>
      </c>
      <c r="CV2965" s="4" t="s">
        <v>263</v>
      </c>
      <c r="CW2965" s="4" t="s">
        <v>263</v>
      </c>
      <c r="CX2965" s="4" t="s">
        <v>264</v>
      </c>
      <c r="DA2965" s="6">
        <f>1</f>
        <v>1</v>
      </c>
      <c r="DC2965" s="4" t="s">
        <v>325</v>
      </c>
      <c r="DD2965" s="4" t="s">
        <v>241</v>
      </c>
      <c r="DF2965" s="4" t="s">
        <v>325</v>
      </c>
      <c r="DG2965" s="6">
        <f>1307</f>
        <v>1307</v>
      </c>
      <c r="DI2965" s="4" t="s">
        <v>241</v>
      </c>
      <c r="DJ2965" s="4" t="s">
        <v>241</v>
      </c>
      <c r="DK2965" s="4" t="s">
        <v>241</v>
      </c>
      <c r="DL2965" s="4" t="s">
        <v>241</v>
      </c>
      <c r="DP2965" s="4" t="s">
        <v>241</v>
      </c>
      <c r="DQ2965" s="4" t="s">
        <v>241</v>
      </c>
      <c r="DR2965" s="4" t="s">
        <v>241</v>
      </c>
      <c r="DS2965" s="4" t="s">
        <v>241</v>
      </c>
      <c r="DV2965" s="4" t="s">
        <v>426</v>
      </c>
      <c r="DW2965" s="4" t="s">
        <v>1143</v>
      </c>
      <c r="HO2965" s="4" t="s">
        <v>267</v>
      </c>
    </row>
    <row r="2966" spans="1:223" ht="19.5" customHeight="1" x14ac:dyDescent="0.4">
      <c r="A2966" s="4">
        <v>1</v>
      </c>
      <c r="B2966" s="4" t="s">
        <v>239</v>
      </c>
      <c r="C2966" s="4">
        <v>4669</v>
      </c>
      <c r="D2966" s="4">
        <v>1</v>
      </c>
      <c r="E2966" s="4">
        <v>1</v>
      </c>
      <c r="F2966" s="4" t="s">
        <v>268</v>
      </c>
      <c r="G2966" s="4" t="s">
        <v>241</v>
      </c>
      <c r="H2966" s="4" t="s">
        <v>241</v>
      </c>
      <c r="I2966" s="4" t="s">
        <v>424</v>
      </c>
      <c r="J2966" s="4" t="s">
        <v>274</v>
      </c>
      <c r="K2966" s="4" t="s">
        <v>251</v>
      </c>
      <c r="L2966" s="4" t="s">
        <v>423</v>
      </c>
      <c r="M2966" s="5" t="s">
        <v>3604</v>
      </c>
      <c r="N2966" s="6">
        <f>1883</f>
        <v>1883</v>
      </c>
      <c r="O2966" s="4" t="s">
        <v>265</v>
      </c>
      <c r="P2966" s="6">
        <f>1</f>
        <v>1</v>
      </c>
      <c r="Q2966" s="6">
        <f>0</f>
        <v>0</v>
      </c>
      <c r="S2966" s="6">
        <f>0</f>
        <v>0</v>
      </c>
      <c r="T2966" s="6">
        <f>1</f>
        <v>1</v>
      </c>
      <c r="U2966" s="5" t="s">
        <v>245</v>
      </c>
      <c r="V2966" s="4" t="s">
        <v>270</v>
      </c>
      <c r="W2966" s="4" t="s">
        <v>271</v>
      </c>
      <c r="X2966" s="4" t="s">
        <v>273</v>
      </c>
      <c r="Y2966" s="4" t="s">
        <v>241</v>
      </c>
      <c r="AB2966" s="4" t="s">
        <v>241</v>
      </c>
      <c r="AD2966" s="5" t="s">
        <v>241</v>
      </c>
      <c r="AG2966" s="5" t="s">
        <v>246</v>
      </c>
      <c r="AH2966" s="4" t="s">
        <v>241</v>
      </c>
      <c r="AI2966" s="4" t="s">
        <v>247</v>
      </c>
      <c r="AJ2966" s="4" t="s">
        <v>248</v>
      </c>
      <c r="AZ2966" s="4" t="s">
        <v>249</v>
      </c>
      <c r="BA2966" s="4" t="s">
        <v>241</v>
      </c>
      <c r="BB2966" s="4" t="s">
        <v>250</v>
      </c>
      <c r="BC2966" s="4" t="s">
        <v>241</v>
      </c>
      <c r="BD2966" s="4" t="s">
        <v>252</v>
      </c>
      <c r="BE2966" s="4" t="s">
        <v>241</v>
      </c>
      <c r="BI2966" s="4" t="s">
        <v>253</v>
      </c>
      <c r="BJ2966" s="5" t="s">
        <v>246</v>
      </c>
      <c r="BK2966" s="4" t="s">
        <v>254</v>
      </c>
      <c r="BL2966" s="4" t="s">
        <v>255</v>
      </c>
      <c r="BM2966" s="4" t="s">
        <v>241</v>
      </c>
      <c r="BN2966" s="6">
        <f>0</f>
        <v>0</v>
      </c>
      <c r="BO2966" s="6">
        <f>0</f>
        <v>0</v>
      </c>
      <c r="BP2966" s="4" t="s">
        <v>256</v>
      </c>
      <c r="BQ2966" s="4" t="s">
        <v>257</v>
      </c>
      <c r="CE2966" s="4" t="s">
        <v>241</v>
      </c>
      <c r="CF2966" s="4" t="s">
        <v>241</v>
      </c>
      <c r="CJ2966" s="4" t="s">
        <v>276</v>
      </c>
      <c r="CK2966" s="4" t="s">
        <v>259</v>
      </c>
      <c r="CL2966" s="4" t="s">
        <v>241</v>
      </c>
      <c r="CO2966" s="5" t="s">
        <v>260</v>
      </c>
      <c r="CP2966" s="4" t="s">
        <v>241</v>
      </c>
      <c r="CQ2966" s="4" t="s">
        <v>261</v>
      </c>
      <c r="CR2966" s="4" t="s">
        <v>241</v>
      </c>
      <c r="CS2966" s="4" t="s">
        <v>241</v>
      </c>
      <c r="CT2966" s="4">
        <v>0</v>
      </c>
      <c r="CU2966" s="4" t="s">
        <v>262</v>
      </c>
      <c r="CV2966" s="4" t="s">
        <v>263</v>
      </c>
      <c r="CW2966" s="4" t="s">
        <v>263</v>
      </c>
      <c r="CX2966" s="4" t="s">
        <v>264</v>
      </c>
      <c r="DA2966" s="6">
        <f>1</f>
        <v>1</v>
      </c>
      <c r="DC2966" s="4" t="s">
        <v>325</v>
      </c>
      <c r="DD2966" s="4" t="s">
        <v>241</v>
      </c>
      <c r="DF2966" s="4" t="s">
        <v>325</v>
      </c>
      <c r="DG2966" s="6">
        <f>1883</f>
        <v>1883</v>
      </c>
      <c r="DI2966" s="4" t="s">
        <v>241</v>
      </c>
      <c r="DJ2966" s="4" t="s">
        <v>241</v>
      </c>
      <c r="DK2966" s="4" t="s">
        <v>241</v>
      </c>
      <c r="DL2966" s="4" t="s">
        <v>241</v>
      </c>
      <c r="DP2966" s="4" t="s">
        <v>241</v>
      </c>
      <c r="DQ2966" s="4" t="s">
        <v>241</v>
      </c>
      <c r="DR2966" s="4" t="s">
        <v>241</v>
      </c>
      <c r="DS2966" s="4" t="s">
        <v>241</v>
      </c>
      <c r="DV2966" s="4" t="s">
        <v>426</v>
      </c>
      <c r="DW2966" s="4" t="s">
        <v>971</v>
      </c>
      <c r="HO2966" s="4" t="s">
        <v>267</v>
      </c>
    </row>
    <row r="2967" spans="1:223" ht="19.5" customHeight="1" x14ac:dyDescent="0.4">
      <c r="A2967" s="4">
        <v>1</v>
      </c>
      <c r="B2967" s="4" t="s">
        <v>239</v>
      </c>
      <c r="C2967" s="4">
        <v>4670</v>
      </c>
      <c r="D2967" s="4">
        <v>1</v>
      </c>
      <c r="E2967" s="4">
        <v>1</v>
      </c>
      <c r="F2967" s="4" t="s">
        <v>268</v>
      </c>
      <c r="G2967" s="4" t="s">
        <v>241</v>
      </c>
      <c r="H2967" s="4" t="s">
        <v>241</v>
      </c>
      <c r="I2967" s="4" t="s">
        <v>424</v>
      </c>
      <c r="J2967" s="4" t="s">
        <v>274</v>
      </c>
      <c r="K2967" s="4" t="s">
        <v>251</v>
      </c>
      <c r="L2967" s="4" t="s">
        <v>423</v>
      </c>
      <c r="M2967" s="5" t="s">
        <v>3596</v>
      </c>
      <c r="N2967" s="6">
        <f>1816</f>
        <v>1816</v>
      </c>
      <c r="O2967" s="4" t="s">
        <v>265</v>
      </c>
      <c r="P2967" s="6">
        <f>1</f>
        <v>1</v>
      </c>
      <c r="Q2967" s="6">
        <f>0</f>
        <v>0</v>
      </c>
      <c r="S2967" s="6">
        <f>0</f>
        <v>0</v>
      </c>
      <c r="T2967" s="6">
        <f>1</f>
        <v>1</v>
      </c>
      <c r="U2967" s="5" t="s">
        <v>245</v>
      </c>
      <c r="V2967" s="4" t="s">
        <v>270</v>
      </c>
      <c r="W2967" s="4" t="s">
        <v>271</v>
      </c>
      <c r="X2967" s="4" t="s">
        <v>273</v>
      </c>
      <c r="Y2967" s="4" t="s">
        <v>241</v>
      </c>
      <c r="AB2967" s="4" t="s">
        <v>241</v>
      </c>
      <c r="AD2967" s="5" t="s">
        <v>241</v>
      </c>
      <c r="AG2967" s="5" t="s">
        <v>246</v>
      </c>
      <c r="AH2967" s="4" t="s">
        <v>241</v>
      </c>
      <c r="AI2967" s="4" t="s">
        <v>247</v>
      </c>
      <c r="AJ2967" s="4" t="s">
        <v>248</v>
      </c>
      <c r="AZ2967" s="4" t="s">
        <v>249</v>
      </c>
      <c r="BA2967" s="4" t="s">
        <v>241</v>
      </c>
      <c r="BB2967" s="4" t="s">
        <v>250</v>
      </c>
      <c r="BC2967" s="4" t="s">
        <v>241</v>
      </c>
      <c r="BD2967" s="4" t="s">
        <v>252</v>
      </c>
      <c r="BE2967" s="4" t="s">
        <v>241</v>
      </c>
      <c r="BI2967" s="4" t="s">
        <v>253</v>
      </c>
      <c r="BJ2967" s="5" t="s">
        <v>246</v>
      </c>
      <c r="BK2967" s="4" t="s">
        <v>254</v>
      </c>
      <c r="BL2967" s="4" t="s">
        <v>255</v>
      </c>
      <c r="BM2967" s="4" t="s">
        <v>241</v>
      </c>
      <c r="BN2967" s="6">
        <f>0</f>
        <v>0</v>
      </c>
      <c r="BO2967" s="6">
        <f>0</f>
        <v>0</v>
      </c>
      <c r="BP2967" s="4" t="s">
        <v>256</v>
      </c>
      <c r="BQ2967" s="4" t="s">
        <v>257</v>
      </c>
      <c r="CE2967" s="4" t="s">
        <v>241</v>
      </c>
      <c r="CF2967" s="4" t="s">
        <v>241</v>
      </c>
      <c r="CJ2967" s="4" t="s">
        <v>276</v>
      </c>
      <c r="CK2967" s="4" t="s">
        <v>259</v>
      </c>
      <c r="CL2967" s="4" t="s">
        <v>241</v>
      </c>
      <c r="CO2967" s="5" t="s">
        <v>260</v>
      </c>
      <c r="CP2967" s="4" t="s">
        <v>241</v>
      </c>
      <c r="CQ2967" s="4" t="s">
        <v>261</v>
      </c>
      <c r="CR2967" s="4" t="s">
        <v>241</v>
      </c>
      <c r="CS2967" s="4" t="s">
        <v>241</v>
      </c>
      <c r="CT2967" s="4">
        <v>0</v>
      </c>
      <c r="CU2967" s="4" t="s">
        <v>262</v>
      </c>
      <c r="CV2967" s="4" t="s">
        <v>263</v>
      </c>
      <c r="CW2967" s="4" t="s">
        <v>263</v>
      </c>
      <c r="CX2967" s="4" t="s">
        <v>264</v>
      </c>
      <c r="DA2967" s="6">
        <f>1</f>
        <v>1</v>
      </c>
      <c r="DC2967" s="4" t="s">
        <v>325</v>
      </c>
      <c r="DD2967" s="4" t="s">
        <v>241</v>
      </c>
      <c r="DF2967" s="4" t="s">
        <v>325</v>
      </c>
      <c r="DG2967" s="6">
        <f>1816</f>
        <v>1816</v>
      </c>
      <c r="DI2967" s="4" t="s">
        <v>241</v>
      </c>
      <c r="DJ2967" s="4" t="s">
        <v>241</v>
      </c>
      <c r="DK2967" s="4" t="s">
        <v>241</v>
      </c>
      <c r="DL2967" s="4" t="s">
        <v>241</v>
      </c>
      <c r="DP2967" s="4" t="s">
        <v>241</v>
      </c>
      <c r="DQ2967" s="4" t="s">
        <v>241</v>
      </c>
      <c r="DR2967" s="4" t="s">
        <v>241</v>
      </c>
      <c r="DS2967" s="4" t="s">
        <v>241</v>
      </c>
      <c r="DV2967" s="4" t="s">
        <v>426</v>
      </c>
      <c r="DW2967" s="4" t="s">
        <v>1265</v>
      </c>
      <c r="HO2967" s="4" t="s">
        <v>267</v>
      </c>
    </row>
    <row r="2968" spans="1:223" ht="19.5" customHeight="1" x14ac:dyDescent="0.4">
      <c r="A2968" s="4">
        <v>1</v>
      </c>
      <c r="B2968" s="4" t="s">
        <v>239</v>
      </c>
      <c r="C2968" s="4">
        <v>4671</v>
      </c>
      <c r="D2968" s="4">
        <v>1</v>
      </c>
      <c r="E2968" s="4">
        <v>1</v>
      </c>
      <c r="F2968" s="4" t="s">
        <v>268</v>
      </c>
      <c r="G2968" s="4" t="s">
        <v>241</v>
      </c>
      <c r="H2968" s="4" t="s">
        <v>241</v>
      </c>
      <c r="I2968" s="4" t="s">
        <v>424</v>
      </c>
      <c r="J2968" s="4" t="s">
        <v>274</v>
      </c>
      <c r="K2968" s="4" t="s">
        <v>251</v>
      </c>
      <c r="L2968" s="4" t="s">
        <v>423</v>
      </c>
      <c r="M2968" s="5" t="s">
        <v>3569</v>
      </c>
      <c r="N2968" s="6">
        <f>1759</f>
        <v>1759</v>
      </c>
      <c r="O2968" s="4" t="s">
        <v>265</v>
      </c>
      <c r="P2968" s="6">
        <f>1</f>
        <v>1</v>
      </c>
      <c r="Q2968" s="6">
        <f>0</f>
        <v>0</v>
      </c>
      <c r="S2968" s="6">
        <f>0</f>
        <v>0</v>
      </c>
      <c r="T2968" s="6">
        <f>1</f>
        <v>1</v>
      </c>
      <c r="U2968" s="5" t="s">
        <v>245</v>
      </c>
      <c r="V2968" s="4" t="s">
        <v>270</v>
      </c>
      <c r="W2968" s="4" t="s">
        <v>271</v>
      </c>
      <c r="X2968" s="4" t="s">
        <v>273</v>
      </c>
      <c r="Y2968" s="4" t="s">
        <v>241</v>
      </c>
      <c r="AB2968" s="4" t="s">
        <v>241</v>
      </c>
      <c r="AD2968" s="5" t="s">
        <v>241</v>
      </c>
      <c r="AG2968" s="5" t="s">
        <v>246</v>
      </c>
      <c r="AH2968" s="4" t="s">
        <v>241</v>
      </c>
      <c r="AI2968" s="4" t="s">
        <v>247</v>
      </c>
      <c r="AJ2968" s="4" t="s">
        <v>248</v>
      </c>
      <c r="AZ2968" s="4" t="s">
        <v>249</v>
      </c>
      <c r="BA2968" s="4" t="s">
        <v>241</v>
      </c>
      <c r="BB2968" s="4" t="s">
        <v>250</v>
      </c>
      <c r="BC2968" s="4" t="s">
        <v>241</v>
      </c>
      <c r="BD2968" s="4" t="s">
        <v>252</v>
      </c>
      <c r="BE2968" s="4" t="s">
        <v>241</v>
      </c>
      <c r="BI2968" s="4" t="s">
        <v>253</v>
      </c>
      <c r="BJ2968" s="5" t="s">
        <v>246</v>
      </c>
      <c r="BK2968" s="4" t="s">
        <v>254</v>
      </c>
      <c r="BL2968" s="4" t="s">
        <v>255</v>
      </c>
      <c r="BM2968" s="4" t="s">
        <v>241</v>
      </c>
      <c r="BN2968" s="6">
        <f>0</f>
        <v>0</v>
      </c>
      <c r="BO2968" s="6">
        <f>0</f>
        <v>0</v>
      </c>
      <c r="BP2968" s="4" t="s">
        <v>256</v>
      </c>
      <c r="BQ2968" s="4" t="s">
        <v>257</v>
      </c>
      <c r="CE2968" s="4" t="s">
        <v>241</v>
      </c>
      <c r="CF2968" s="4" t="s">
        <v>241</v>
      </c>
      <c r="CJ2968" s="4" t="s">
        <v>276</v>
      </c>
      <c r="CK2968" s="4" t="s">
        <v>259</v>
      </c>
      <c r="CL2968" s="4" t="s">
        <v>241</v>
      </c>
      <c r="CO2968" s="5" t="s">
        <v>260</v>
      </c>
      <c r="CP2968" s="4" t="s">
        <v>241</v>
      </c>
      <c r="CQ2968" s="4" t="s">
        <v>261</v>
      </c>
      <c r="CR2968" s="4" t="s">
        <v>241</v>
      </c>
      <c r="CS2968" s="4" t="s">
        <v>241</v>
      </c>
      <c r="CT2968" s="4">
        <v>0</v>
      </c>
      <c r="CU2968" s="4" t="s">
        <v>262</v>
      </c>
      <c r="CV2968" s="4" t="s">
        <v>263</v>
      </c>
      <c r="CW2968" s="4" t="s">
        <v>263</v>
      </c>
      <c r="CX2968" s="4" t="s">
        <v>264</v>
      </c>
      <c r="DA2968" s="6">
        <f>1</f>
        <v>1</v>
      </c>
      <c r="DC2968" s="4" t="s">
        <v>325</v>
      </c>
      <c r="DD2968" s="4" t="s">
        <v>241</v>
      </c>
      <c r="DF2968" s="4" t="s">
        <v>325</v>
      </c>
      <c r="DG2968" s="6">
        <f>1759</f>
        <v>1759</v>
      </c>
      <c r="DI2968" s="4" t="s">
        <v>241</v>
      </c>
      <c r="DJ2968" s="4" t="s">
        <v>241</v>
      </c>
      <c r="DK2968" s="4" t="s">
        <v>241</v>
      </c>
      <c r="DL2968" s="4" t="s">
        <v>241</v>
      </c>
      <c r="DP2968" s="4" t="s">
        <v>241</v>
      </c>
      <c r="DQ2968" s="4" t="s">
        <v>241</v>
      </c>
      <c r="DR2968" s="4" t="s">
        <v>241</v>
      </c>
      <c r="DS2968" s="4" t="s">
        <v>241</v>
      </c>
      <c r="DV2968" s="4" t="s">
        <v>426</v>
      </c>
      <c r="DW2968" s="4" t="s">
        <v>1166</v>
      </c>
      <c r="HO2968" s="4" t="s">
        <v>267</v>
      </c>
    </row>
    <row r="2969" spans="1:223" ht="19.5" customHeight="1" x14ac:dyDescent="0.4">
      <c r="A2969" s="4">
        <v>1</v>
      </c>
      <c r="B2969" s="4" t="s">
        <v>239</v>
      </c>
      <c r="C2969" s="4">
        <v>4672</v>
      </c>
      <c r="D2969" s="4">
        <v>1</v>
      </c>
      <c r="E2969" s="4">
        <v>1</v>
      </c>
      <c r="F2969" s="4" t="s">
        <v>268</v>
      </c>
      <c r="G2969" s="4" t="s">
        <v>241</v>
      </c>
      <c r="H2969" s="4" t="s">
        <v>241</v>
      </c>
      <c r="I2969" s="4" t="s">
        <v>424</v>
      </c>
      <c r="J2969" s="4" t="s">
        <v>274</v>
      </c>
      <c r="K2969" s="4" t="s">
        <v>251</v>
      </c>
      <c r="L2969" s="4" t="s">
        <v>423</v>
      </c>
      <c r="M2969" s="5" t="s">
        <v>3532</v>
      </c>
      <c r="N2969" s="6">
        <f>1207</f>
        <v>1207</v>
      </c>
      <c r="O2969" s="4" t="s">
        <v>265</v>
      </c>
      <c r="P2969" s="6">
        <f>1</f>
        <v>1</v>
      </c>
      <c r="Q2969" s="6">
        <f>0</f>
        <v>0</v>
      </c>
      <c r="S2969" s="6">
        <f>0</f>
        <v>0</v>
      </c>
      <c r="T2969" s="6">
        <f>1</f>
        <v>1</v>
      </c>
      <c r="U2969" s="5" t="s">
        <v>245</v>
      </c>
      <c r="V2969" s="4" t="s">
        <v>270</v>
      </c>
      <c r="W2969" s="4" t="s">
        <v>271</v>
      </c>
      <c r="X2969" s="4" t="s">
        <v>273</v>
      </c>
      <c r="Y2969" s="4" t="s">
        <v>241</v>
      </c>
      <c r="AB2969" s="4" t="s">
        <v>241</v>
      </c>
      <c r="AD2969" s="5" t="s">
        <v>241</v>
      </c>
      <c r="AG2969" s="5" t="s">
        <v>246</v>
      </c>
      <c r="AH2969" s="4" t="s">
        <v>241</v>
      </c>
      <c r="AI2969" s="4" t="s">
        <v>247</v>
      </c>
      <c r="AJ2969" s="4" t="s">
        <v>248</v>
      </c>
      <c r="AZ2969" s="4" t="s">
        <v>249</v>
      </c>
      <c r="BA2969" s="4" t="s">
        <v>241</v>
      </c>
      <c r="BB2969" s="4" t="s">
        <v>250</v>
      </c>
      <c r="BC2969" s="4" t="s">
        <v>241</v>
      </c>
      <c r="BD2969" s="4" t="s">
        <v>252</v>
      </c>
      <c r="BE2969" s="4" t="s">
        <v>241</v>
      </c>
      <c r="BI2969" s="4" t="s">
        <v>253</v>
      </c>
      <c r="BJ2969" s="5" t="s">
        <v>246</v>
      </c>
      <c r="BK2969" s="4" t="s">
        <v>254</v>
      </c>
      <c r="BL2969" s="4" t="s">
        <v>255</v>
      </c>
      <c r="BM2969" s="4" t="s">
        <v>241</v>
      </c>
      <c r="BN2969" s="6">
        <f>0</f>
        <v>0</v>
      </c>
      <c r="BO2969" s="6">
        <f>0</f>
        <v>0</v>
      </c>
      <c r="BP2969" s="4" t="s">
        <v>256</v>
      </c>
      <c r="BQ2969" s="4" t="s">
        <v>257</v>
      </c>
      <c r="CE2969" s="4" t="s">
        <v>241</v>
      </c>
      <c r="CF2969" s="4" t="s">
        <v>241</v>
      </c>
      <c r="CJ2969" s="4" t="s">
        <v>276</v>
      </c>
      <c r="CK2969" s="4" t="s">
        <v>259</v>
      </c>
      <c r="CL2969" s="4" t="s">
        <v>241</v>
      </c>
      <c r="CO2969" s="5" t="s">
        <v>260</v>
      </c>
      <c r="CP2969" s="4" t="s">
        <v>241</v>
      </c>
      <c r="CQ2969" s="4" t="s">
        <v>261</v>
      </c>
      <c r="CR2969" s="4" t="s">
        <v>241</v>
      </c>
      <c r="CS2969" s="4" t="s">
        <v>241</v>
      </c>
      <c r="CT2969" s="4">
        <v>0</v>
      </c>
      <c r="CU2969" s="4" t="s">
        <v>262</v>
      </c>
      <c r="CV2969" s="4" t="s">
        <v>263</v>
      </c>
      <c r="CW2969" s="4" t="s">
        <v>263</v>
      </c>
      <c r="CX2969" s="4" t="s">
        <v>264</v>
      </c>
      <c r="DA2969" s="6">
        <f>1</f>
        <v>1</v>
      </c>
      <c r="DC2969" s="4" t="s">
        <v>325</v>
      </c>
      <c r="DD2969" s="4" t="s">
        <v>241</v>
      </c>
      <c r="DF2969" s="4" t="s">
        <v>325</v>
      </c>
      <c r="DG2969" s="6">
        <f>1207</f>
        <v>1207</v>
      </c>
      <c r="DI2969" s="4" t="s">
        <v>241</v>
      </c>
      <c r="DJ2969" s="4" t="s">
        <v>241</v>
      </c>
      <c r="DK2969" s="4" t="s">
        <v>241</v>
      </c>
      <c r="DL2969" s="4" t="s">
        <v>241</v>
      </c>
      <c r="DP2969" s="4" t="s">
        <v>241</v>
      </c>
      <c r="DQ2969" s="4" t="s">
        <v>241</v>
      </c>
      <c r="DR2969" s="4" t="s">
        <v>241</v>
      </c>
      <c r="DS2969" s="4" t="s">
        <v>241</v>
      </c>
      <c r="DV2969" s="4" t="s">
        <v>426</v>
      </c>
      <c r="DW2969" s="4" t="s">
        <v>1398</v>
      </c>
      <c r="HO2969" s="4" t="s">
        <v>267</v>
      </c>
    </row>
    <row r="2970" spans="1:223" ht="19.5" customHeight="1" x14ac:dyDescent="0.4">
      <c r="A2970" s="4">
        <v>1</v>
      </c>
      <c r="B2970" s="4" t="s">
        <v>239</v>
      </c>
      <c r="C2970" s="4">
        <v>4673</v>
      </c>
      <c r="D2970" s="4">
        <v>1</v>
      </c>
      <c r="E2970" s="4">
        <v>1</v>
      </c>
      <c r="F2970" s="4" t="s">
        <v>268</v>
      </c>
      <c r="G2970" s="4" t="s">
        <v>241</v>
      </c>
      <c r="H2970" s="4" t="s">
        <v>241</v>
      </c>
      <c r="I2970" s="4" t="s">
        <v>424</v>
      </c>
      <c r="J2970" s="4" t="s">
        <v>274</v>
      </c>
      <c r="K2970" s="4" t="s">
        <v>251</v>
      </c>
      <c r="L2970" s="4" t="s">
        <v>423</v>
      </c>
      <c r="M2970" s="5" t="s">
        <v>3501</v>
      </c>
      <c r="N2970" s="6">
        <f>2000</f>
        <v>2000</v>
      </c>
      <c r="O2970" s="4" t="s">
        <v>265</v>
      </c>
      <c r="P2970" s="6">
        <f>1</f>
        <v>1</v>
      </c>
      <c r="Q2970" s="6">
        <f>0</f>
        <v>0</v>
      </c>
      <c r="S2970" s="6">
        <f>0</f>
        <v>0</v>
      </c>
      <c r="T2970" s="6">
        <f>1</f>
        <v>1</v>
      </c>
      <c r="U2970" s="5" t="s">
        <v>245</v>
      </c>
      <c r="V2970" s="4" t="s">
        <v>270</v>
      </c>
      <c r="W2970" s="4" t="s">
        <v>271</v>
      </c>
      <c r="X2970" s="4" t="s">
        <v>273</v>
      </c>
      <c r="Y2970" s="4" t="s">
        <v>241</v>
      </c>
      <c r="AB2970" s="4" t="s">
        <v>241</v>
      </c>
      <c r="AD2970" s="5" t="s">
        <v>241</v>
      </c>
      <c r="AG2970" s="5" t="s">
        <v>246</v>
      </c>
      <c r="AH2970" s="4" t="s">
        <v>241</v>
      </c>
      <c r="AI2970" s="4" t="s">
        <v>247</v>
      </c>
      <c r="AJ2970" s="4" t="s">
        <v>248</v>
      </c>
      <c r="AZ2970" s="4" t="s">
        <v>249</v>
      </c>
      <c r="BA2970" s="4" t="s">
        <v>241</v>
      </c>
      <c r="BB2970" s="4" t="s">
        <v>250</v>
      </c>
      <c r="BC2970" s="4" t="s">
        <v>241</v>
      </c>
      <c r="BD2970" s="4" t="s">
        <v>252</v>
      </c>
      <c r="BE2970" s="4" t="s">
        <v>241</v>
      </c>
      <c r="BI2970" s="4" t="s">
        <v>253</v>
      </c>
      <c r="BJ2970" s="5" t="s">
        <v>246</v>
      </c>
      <c r="BK2970" s="4" t="s">
        <v>254</v>
      </c>
      <c r="BL2970" s="4" t="s">
        <v>255</v>
      </c>
      <c r="BM2970" s="4" t="s">
        <v>241</v>
      </c>
      <c r="BN2970" s="6">
        <f>0</f>
        <v>0</v>
      </c>
      <c r="BO2970" s="6">
        <f>0</f>
        <v>0</v>
      </c>
      <c r="BP2970" s="4" t="s">
        <v>256</v>
      </c>
      <c r="BQ2970" s="4" t="s">
        <v>257</v>
      </c>
      <c r="CE2970" s="4" t="s">
        <v>241</v>
      </c>
      <c r="CF2970" s="4" t="s">
        <v>241</v>
      </c>
      <c r="CJ2970" s="4" t="s">
        <v>276</v>
      </c>
      <c r="CK2970" s="4" t="s">
        <v>259</v>
      </c>
      <c r="CL2970" s="4" t="s">
        <v>241</v>
      </c>
      <c r="CO2970" s="5" t="s">
        <v>260</v>
      </c>
      <c r="CP2970" s="4" t="s">
        <v>241</v>
      </c>
      <c r="CQ2970" s="4" t="s">
        <v>261</v>
      </c>
      <c r="CR2970" s="4" t="s">
        <v>241</v>
      </c>
      <c r="CS2970" s="4" t="s">
        <v>241</v>
      </c>
      <c r="CT2970" s="4">
        <v>0</v>
      </c>
      <c r="CU2970" s="4" t="s">
        <v>262</v>
      </c>
      <c r="CV2970" s="4" t="s">
        <v>263</v>
      </c>
      <c r="CW2970" s="4" t="s">
        <v>263</v>
      </c>
      <c r="CX2970" s="4" t="s">
        <v>264</v>
      </c>
      <c r="DA2970" s="6">
        <f>1</f>
        <v>1</v>
      </c>
      <c r="DC2970" s="4" t="s">
        <v>325</v>
      </c>
      <c r="DD2970" s="4" t="s">
        <v>241</v>
      </c>
      <c r="DF2970" s="4" t="s">
        <v>325</v>
      </c>
      <c r="DG2970" s="6">
        <f>2000</f>
        <v>2000</v>
      </c>
      <c r="DI2970" s="4" t="s">
        <v>241</v>
      </c>
      <c r="DJ2970" s="4" t="s">
        <v>241</v>
      </c>
      <c r="DK2970" s="4" t="s">
        <v>241</v>
      </c>
      <c r="DL2970" s="4" t="s">
        <v>241</v>
      </c>
      <c r="DP2970" s="4" t="s">
        <v>241</v>
      </c>
      <c r="DQ2970" s="4" t="s">
        <v>241</v>
      </c>
      <c r="DR2970" s="4" t="s">
        <v>241</v>
      </c>
      <c r="DS2970" s="4" t="s">
        <v>241</v>
      </c>
      <c r="DV2970" s="4" t="s">
        <v>426</v>
      </c>
      <c r="DW2970" s="4" t="s">
        <v>1289</v>
      </c>
      <c r="HO2970" s="4" t="s">
        <v>267</v>
      </c>
    </row>
    <row r="2971" spans="1:223" ht="19.5" customHeight="1" x14ac:dyDescent="0.4">
      <c r="A2971" s="4">
        <v>1</v>
      </c>
      <c r="B2971" s="4" t="s">
        <v>239</v>
      </c>
      <c r="C2971" s="4">
        <v>4674</v>
      </c>
      <c r="D2971" s="4">
        <v>1</v>
      </c>
      <c r="E2971" s="4">
        <v>1</v>
      </c>
      <c r="F2971" s="4" t="s">
        <v>268</v>
      </c>
      <c r="G2971" s="4" t="s">
        <v>241</v>
      </c>
      <c r="H2971" s="4" t="s">
        <v>241</v>
      </c>
      <c r="I2971" s="4" t="s">
        <v>424</v>
      </c>
      <c r="J2971" s="4" t="s">
        <v>274</v>
      </c>
      <c r="K2971" s="4" t="s">
        <v>251</v>
      </c>
      <c r="L2971" s="4" t="s">
        <v>423</v>
      </c>
      <c r="M2971" s="5" t="s">
        <v>3481</v>
      </c>
      <c r="N2971" s="6">
        <f>616</f>
        <v>616</v>
      </c>
      <c r="O2971" s="4" t="s">
        <v>265</v>
      </c>
      <c r="P2971" s="6">
        <f>1</f>
        <v>1</v>
      </c>
      <c r="Q2971" s="6">
        <f>0</f>
        <v>0</v>
      </c>
      <c r="S2971" s="6">
        <f>0</f>
        <v>0</v>
      </c>
      <c r="T2971" s="6">
        <f>1</f>
        <v>1</v>
      </c>
      <c r="U2971" s="5" t="s">
        <v>245</v>
      </c>
      <c r="V2971" s="4" t="s">
        <v>270</v>
      </c>
      <c r="W2971" s="4" t="s">
        <v>271</v>
      </c>
      <c r="X2971" s="4" t="s">
        <v>273</v>
      </c>
      <c r="Y2971" s="4" t="s">
        <v>241</v>
      </c>
      <c r="AB2971" s="4" t="s">
        <v>241</v>
      </c>
      <c r="AD2971" s="5" t="s">
        <v>241</v>
      </c>
      <c r="AG2971" s="5" t="s">
        <v>246</v>
      </c>
      <c r="AH2971" s="4" t="s">
        <v>241</v>
      </c>
      <c r="AI2971" s="4" t="s">
        <v>247</v>
      </c>
      <c r="AJ2971" s="4" t="s">
        <v>248</v>
      </c>
      <c r="AZ2971" s="4" t="s">
        <v>249</v>
      </c>
      <c r="BA2971" s="4" t="s">
        <v>241</v>
      </c>
      <c r="BB2971" s="4" t="s">
        <v>250</v>
      </c>
      <c r="BC2971" s="4" t="s">
        <v>241</v>
      </c>
      <c r="BD2971" s="4" t="s">
        <v>252</v>
      </c>
      <c r="BE2971" s="4" t="s">
        <v>241</v>
      </c>
      <c r="BI2971" s="4" t="s">
        <v>253</v>
      </c>
      <c r="BJ2971" s="5" t="s">
        <v>246</v>
      </c>
      <c r="BK2971" s="4" t="s">
        <v>254</v>
      </c>
      <c r="BL2971" s="4" t="s">
        <v>255</v>
      </c>
      <c r="BM2971" s="4" t="s">
        <v>241</v>
      </c>
      <c r="BN2971" s="6">
        <f>0</f>
        <v>0</v>
      </c>
      <c r="BO2971" s="6">
        <f>0</f>
        <v>0</v>
      </c>
      <c r="BP2971" s="4" t="s">
        <v>256</v>
      </c>
      <c r="BQ2971" s="4" t="s">
        <v>257</v>
      </c>
      <c r="CE2971" s="4" t="s">
        <v>241</v>
      </c>
      <c r="CF2971" s="4" t="s">
        <v>241</v>
      </c>
      <c r="CJ2971" s="4" t="s">
        <v>276</v>
      </c>
      <c r="CK2971" s="4" t="s">
        <v>259</v>
      </c>
      <c r="CL2971" s="4" t="s">
        <v>241</v>
      </c>
      <c r="CO2971" s="5" t="s">
        <v>260</v>
      </c>
      <c r="CP2971" s="4" t="s">
        <v>241</v>
      </c>
      <c r="CQ2971" s="4" t="s">
        <v>261</v>
      </c>
      <c r="CR2971" s="4" t="s">
        <v>241</v>
      </c>
      <c r="CS2971" s="4" t="s">
        <v>241</v>
      </c>
      <c r="CT2971" s="4">
        <v>0</v>
      </c>
      <c r="CU2971" s="4" t="s">
        <v>262</v>
      </c>
      <c r="CV2971" s="4" t="s">
        <v>263</v>
      </c>
      <c r="CW2971" s="4" t="s">
        <v>263</v>
      </c>
      <c r="CX2971" s="4" t="s">
        <v>264</v>
      </c>
      <c r="DA2971" s="6">
        <f>1</f>
        <v>1</v>
      </c>
      <c r="DC2971" s="4" t="s">
        <v>325</v>
      </c>
      <c r="DD2971" s="4" t="s">
        <v>241</v>
      </c>
      <c r="DF2971" s="4" t="s">
        <v>325</v>
      </c>
      <c r="DG2971" s="6">
        <f>616</f>
        <v>616</v>
      </c>
      <c r="DI2971" s="4" t="s">
        <v>241</v>
      </c>
      <c r="DJ2971" s="4" t="s">
        <v>241</v>
      </c>
      <c r="DK2971" s="4" t="s">
        <v>241</v>
      </c>
      <c r="DL2971" s="4" t="s">
        <v>241</v>
      </c>
      <c r="DP2971" s="4" t="s">
        <v>241</v>
      </c>
      <c r="DQ2971" s="4" t="s">
        <v>241</v>
      </c>
      <c r="DR2971" s="4" t="s">
        <v>241</v>
      </c>
      <c r="DS2971" s="4" t="s">
        <v>241</v>
      </c>
      <c r="DV2971" s="4" t="s">
        <v>426</v>
      </c>
      <c r="DW2971" s="4" t="s">
        <v>1057</v>
      </c>
      <c r="HO2971" s="4" t="s">
        <v>267</v>
      </c>
    </row>
    <row r="2972" spans="1:223" ht="19.5" customHeight="1" x14ac:dyDescent="0.4">
      <c r="A2972" s="4">
        <v>1</v>
      </c>
      <c r="B2972" s="4" t="s">
        <v>239</v>
      </c>
      <c r="C2972" s="4">
        <v>4675</v>
      </c>
      <c r="D2972" s="4">
        <v>1</v>
      </c>
      <c r="E2972" s="4">
        <v>1</v>
      </c>
      <c r="F2972" s="4" t="s">
        <v>268</v>
      </c>
      <c r="G2972" s="4" t="s">
        <v>241</v>
      </c>
      <c r="H2972" s="4" t="s">
        <v>241</v>
      </c>
      <c r="I2972" s="4" t="s">
        <v>424</v>
      </c>
      <c r="J2972" s="4" t="s">
        <v>274</v>
      </c>
      <c r="K2972" s="4" t="s">
        <v>251</v>
      </c>
      <c r="L2972" s="4" t="s">
        <v>423</v>
      </c>
      <c r="M2972" s="5" t="s">
        <v>3472</v>
      </c>
      <c r="N2972" s="6">
        <f>1350</f>
        <v>1350</v>
      </c>
      <c r="O2972" s="4" t="s">
        <v>265</v>
      </c>
      <c r="P2972" s="6">
        <f>1</f>
        <v>1</v>
      </c>
      <c r="Q2972" s="6">
        <f>0</f>
        <v>0</v>
      </c>
      <c r="S2972" s="6">
        <f>0</f>
        <v>0</v>
      </c>
      <c r="T2972" s="6">
        <f>1</f>
        <v>1</v>
      </c>
      <c r="U2972" s="5" t="s">
        <v>245</v>
      </c>
      <c r="V2972" s="4" t="s">
        <v>270</v>
      </c>
      <c r="W2972" s="4" t="s">
        <v>271</v>
      </c>
      <c r="X2972" s="4" t="s">
        <v>273</v>
      </c>
      <c r="Y2972" s="4" t="s">
        <v>241</v>
      </c>
      <c r="AB2972" s="4" t="s">
        <v>241</v>
      </c>
      <c r="AD2972" s="5" t="s">
        <v>241</v>
      </c>
      <c r="AG2972" s="5" t="s">
        <v>246</v>
      </c>
      <c r="AH2972" s="4" t="s">
        <v>241</v>
      </c>
      <c r="AI2972" s="4" t="s">
        <v>247</v>
      </c>
      <c r="AJ2972" s="4" t="s">
        <v>248</v>
      </c>
      <c r="AZ2972" s="4" t="s">
        <v>249</v>
      </c>
      <c r="BA2972" s="4" t="s">
        <v>241</v>
      </c>
      <c r="BB2972" s="4" t="s">
        <v>250</v>
      </c>
      <c r="BC2972" s="4" t="s">
        <v>241</v>
      </c>
      <c r="BD2972" s="4" t="s">
        <v>252</v>
      </c>
      <c r="BE2972" s="4" t="s">
        <v>241</v>
      </c>
      <c r="BI2972" s="4" t="s">
        <v>253</v>
      </c>
      <c r="BJ2972" s="5" t="s">
        <v>246</v>
      </c>
      <c r="BK2972" s="4" t="s">
        <v>254</v>
      </c>
      <c r="BL2972" s="4" t="s">
        <v>255</v>
      </c>
      <c r="BM2972" s="4" t="s">
        <v>241</v>
      </c>
      <c r="BN2972" s="6">
        <f>0</f>
        <v>0</v>
      </c>
      <c r="BO2972" s="6">
        <f>0</f>
        <v>0</v>
      </c>
      <c r="BP2972" s="4" t="s">
        <v>256</v>
      </c>
      <c r="BQ2972" s="4" t="s">
        <v>257</v>
      </c>
      <c r="CE2972" s="4" t="s">
        <v>241</v>
      </c>
      <c r="CF2972" s="4" t="s">
        <v>241</v>
      </c>
      <c r="CJ2972" s="4" t="s">
        <v>276</v>
      </c>
      <c r="CK2972" s="4" t="s">
        <v>259</v>
      </c>
      <c r="CL2972" s="4" t="s">
        <v>241</v>
      </c>
      <c r="CO2972" s="5" t="s">
        <v>260</v>
      </c>
      <c r="CP2972" s="4" t="s">
        <v>241</v>
      </c>
      <c r="CQ2972" s="4" t="s">
        <v>261</v>
      </c>
      <c r="CR2972" s="4" t="s">
        <v>241</v>
      </c>
      <c r="CS2972" s="4" t="s">
        <v>241</v>
      </c>
      <c r="CT2972" s="4">
        <v>0</v>
      </c>
      <c r="CU2972" s="4" t="s">
        <v>262</v>
      </c>
      <c r="CV2972" s="4" t="s">
        <v>263</v>
      </c>
      <c r="CW2972" s="4" t="s">
        <v>263</v>
      </c>
      <c r="CX2972" s="4" t="s">
        <v>264</v>
      </c>
      <c r="DA2972" s="6">
        <f>1</f>
        <v>1</v>
      </c>
      <c r="DC2972" s="4" t="s">
        <v>325</v>
      </c>
      <c r="DD2972" s="4" t="s">
        <v>241</v>
      </c>
      <c r="DF2972" s="4" t="s">
        <v>325</v>
      </c>
      <c r="DG2972" s="6">
        <f>1350</f>
        <v>1350</v>
      </c>
      <c r="DI2972" s="4" t="s">
        <v>241</v>
      </c>
      <c r="DJ2972" s="4" t="s">
        <v>241</v>
      </c>
      <c r="DK2972" s="4" t="s">
        <v>241</v>
      </c>
      <c r="DL2972" s="4" t="s">
        <v>241</v>
      </c>
      <c r="DP2972" s="4" t="s">
        <v>241</v>
      </c>
      <c r="DQ2972" s="4" t="s">
        <v>241</v>
      </c>
      <c r="DR2972" s="4" t="s">
        <v>241</v>
      </c>
      <c r="DS2972" s="4" t="s">
        <v>241</v>
      </c>
      <c r="DV2972" s="4" t="s">
        <v>426</v>
      </c>
      <c r="DW2972" s="4" t="s">
        <v>1401</v>
      </c>
      <c r="HO2972" s="4" t="s">
        <v>267</v>
      </c>
    </row>
    <row r="2973" spans="1:223" ht="19.5" customHeight="1" x14ac:dyDescent="0.4">
      <c r="A2973" s="4">
        <v>1</v>
      </c>
      <c r="B2973" s="4" t="s">
        <v>239</v>
      </c>
      <c r="C2973" s="4">
        <v>4676</v>
      </c>
      <c r="D2973" s="4">
        <v>1</v>
      </c>
      <c r="E2973" s="4">
        <v>1</v>
      </c>
      <c r="F2973" s="4" t="s">
        <v>268</v>
      </c>
      <c r="G2973" s="4" t="s">
        <v>241</v>
      </c>
      <c r="H2973" s="4" t="s">
        <v>241</v>
      </c>
      <c r="I2973" s="4" t="s">
        <v>424</v>
      </c>
      <c r="J2973" s="4" t="s">
        <v>274</v>
      </c>
      <c r="K2973" s="4" t="s">
        <v>251</v>
      </c>
      <c r="L2973" s="4" t="s">
        <v>423</v>
      </c>
      <c r="M2973" s="5" t="s">
        <v>3451</v>
      </c>
      <c r="N2973" s="6">
        <f>84</f>
        <v>84</v>
      </c>
      <c r="O2973" s="4" t="s">
        <v>265</v>
      </c>
      <c r="P2973" s="6">
        <f>1</f>
        <v>1</v>
      </c>
      <c r="Q2973" s="6">
        <f>0</f>
        <v>0</v>
      </c>
      <c r="S2973" s="6">
        <f>0</f>
        <v>0</v>
      </c>
      <c r="T2973" s="6">
        <f>1</f>
        <v>1</v>
      </c>
      <c r="U2973" s="5" t="s">
        <v>245</v>
      </c>
      <c r="V2973" s="4" t="s">
        <v>270</v>
      </c>
      <c r="W2973" s="4" t="s">
        <v>271</v>
      </c>
      <c r="X2973" s="4" t="s">
        <v>273</v>
      </c>
      <c r="Y2973" s="4" t="s">
        <v>241</v>
      </c>
      <c r="AB2973" s="4" t="s">
        <v>241</v>
      </c>
      <c r="AD2973" s="5" t="s">
        <v>241</v>
      </c>
      <c r="AG2973" s="5" t="s">
        <v>246</v>
      </c>
      <c r="AH2973" s="4" t="s">
        <v>241</v>
      </c>
      <c r="AI2973" s="4" t="s">
        <v>247</v>
      </c>
      <c r="AJ2973" s="4" t="s">
        <v>248</v>
      </c>
      <c r="AZ2973" s="4" t="s">
        <v>249</v>
      </c>
      <c r="BA2973" s="4" t="s">
        <v>241</v>
      </c>
      <c r="BB2973" s="4" t="s">
        <v>250</v>
      </c>
      <c r="BC2973" s="4" t="s">
        <v>241</v>
      </c>
      <c r="BD2973" s="4" t="s">
        <v>252</v>
      </c>
      <c r="BE2973" s="4" t="s">
        <v>241</v>
      </c>
      <c r="BI2973" s="4" t="s">
        <v>253</v>
      </c>
      <c r="BJ2973" s="5" t="s">
        <v>246</v>
      </c>
      <c r="BK2973" s="4" t="s">
        <v>254</v>
      </c>
      <c r="BL2973" s="4" t="s">
        <v>255</v>
      </c>
      <c r="BM2973" s="4" t="s">
        <v>241</v>
      </c>
      <c r="BN2973" s="6">
        <f>0</f>
        <v>0</v>
      </c>
      <c r="BO2973" s="6">
        <f>0</f>
        <v>0</v>
      </c>
      <c r="BP2973" s="4" t="s">
        <v>256</v>
      </c>
      <c r="BQ2973" s="4" t="s">
        <v>257</v>
      </c>
      <c r="CE2973" s="4" t="s">
        <v>241</v>
      </c>
      <c r="CF2973" s="4" t="s">
        <v>241</v>
      </c>
      <c r="CJ2973" s="4" t="s">
        <v>276</v>
      </c>
      <c r="CK2973" s="4" t="s">
        <v>259</v>
      </c>
      <c r="CL2973" s="4" t="s">
        <v>241</v>
      </c>
      <c r="CO2973" s="5" t="s">
        <v>260</v>
      </c>
      <c r="CP2973" s="4" t="s">
        <v>241</v>
      </c>
      <c r="CQ2973" s="4" t="s">
        <v>261</v>
      </c>
      <c r="CR2973" s="4" t="s">
        <v>241</v>
      </c>
      <c r="CS2973" s="4" t="s">
        <v>241</v>
      </c>
      <c r="CT2973" s="4">
        <v>0</v>
      </c>
      <c r="CU2973" s="4" t="s">
        <v>262</v>
      </c>
      <c r="CV2973" s="4" t="s">
        <v>263</v>
      </c>
      <c r="CW2973" s="4" t="s">
        <v>263</v>
      </c>
      <c r="CX2973" s="4" t="s">
        <v>264</v>
      </c>
      <c r="DA2973" s="6">
        <f>1</f>
        <v>1</v>
      </c>
      <c r="DC2973" s="4" t="s">
        <v>325</v>
      </c>
      <c r="DD2973" s="4" t="s">
        <v>241</v>
      </c>
      <c r="DF2973" s="4" t="s">
        <v>325</v>
      </c>
      <c r="DG2973" s="6">
        <f>84</f>
        <v>84</v>
      </c>
      <c r="DI2973" s="4" t="s">
        <v>241</v>
      </c>
      <c r="DJ2973" s="4" t="s">
        <v>241</v>
      </c>
      <c r="DK2973" s="4" t="s">
        <v>241</v>
      </c>
      <c r="DL2973" s="4" t="s">
        <v>241</v>
      </c>
      <c r="DP2973" s="4" t="s">
        <v>241</v>
      </c>
      <c r="DQ2973" s="4" t="s">
        <v>241</v>
      </c>
      <c r="DR2973" s="4" t="s">
        <v>241</v>
      </c>
      <c r="DS2973" s="4" t="s">
        <v>241</v>
      </c>
      <c r="DV2973" s="4" t="s">
        <v>426</v>
      </c>
      <c r="DW2973" s="4" t="s">
        <v>1309</v>
      </c>
      <c r="HO2973" s="4" t="s">
        <v>267</v>
      </c>
    </row>
    <row r="2974" spans="1:223" ht="19.5" customHeight="1" x14ac:dyDescent="0.4">
      <c r="A2974" s="4">
        <v>1</v>
      </c>
      <c r="B2974" s="4" t="s">
        <v>239</v>
      </c>
      <c r="C2974" s="4">
        <v>4677</v>
      </c>
      <c r="D2974" s="4">
        <v>1</v>
      </c>
      <c r="E2974" s="4">
        <v>1</v>
      </c>
      <c r="F2974" s="4" t="s">
        <v>268</v>
      </c>
      <c r="G2974" s="4" t="s">
        <v>241</v>
      </c>
      <c r="H2974" s="4" t="s">
        <v>241</v>
      </c>
      <c r="I2974" s="4" t="s">
        <v>424</v>
      </c>
      <c r="J2974" s="4" t="s">
        <v>274</v>
      </c>
      <c r="K2974" s="4" t="s">
        <v>251</v>
      </c>
      <c r="L2974" s="4" t="s">
        <v>423</v>
      </c>
      <c r="M2974" s="5" t="s">
        <v>3432</v>
      </c>
      <c r="N2974" s="6">
        <f>697</f>
        <v>697</v>
      </c>
      <c r="O2974" s="4" t="s">
        <v>265</v>
      </c>
      <c r="P2974" s="6">
        <f>1</f>
        <v>1</v>
      </c>
      <c r="Q2974" s="6">
        <f>0</f>
        <v>0</v>
      </c>
      <c r="S2974" s="6">
        <f>0</f>
        <v>0</v>
      </c>
      <c r="T2974" s="6">
        <f>1</f>
        <v>1</v>
      </c>
      <c r="U2974" s="5" t="s">
        <v>245</v>
      </c>
      <c r="V2974" s="4" t="s">
        <v>270</v>
      </c>
      <c r="W2974" s="4" t="s">
        <v>271</v>
      </c>
      <c r="X2974" s="4" t="s">
        <v>273</v>
      </c>
      <c r="Y2974" s="4" t="s">
        <v>241</v>
      </c>
      <c r="AB2974" s="4" t="s">
        <v>241</v>
      </c>
      <c r="AD2974" s="5" t="s">
        <v>241</v>
      </c>
      <c r="AG2974" s="5" t="s">
        <v>246</v>
      </c>
      <c r="AH2974" s="4" t="s">
        <v>241</v>
      </c>
      <c r="AI2974" s="4" t="s">
        <v>247</v>
      </c>
      <c r="AJ2974" s="4" t="s">
        <v>248</v>
      </c>
      <c r="AZ2974" s="4" t="s">
        <v>249</v>
      </c>
      <c r="BA2974" s="4" t="s">
        <v>241</v>
      </c>
      <c r="BB2974" s="4" t="s">
        <v>250</v>
      </c>
      <c r="BC2974" s="4" t="s">
        <v>241</v>
      </c>
      <c r="BD2974" s="4" t="s">
        <v>252</v>
      </c>
      <c r="BE2974" s="4" t="s">
        <v>241</v>
      </c>
      <c r="BI2974" s="4" t="s">
        <v>253</v>
      </c>
      <c r="BJ2974" s="5" t="s">
        <v>246</v>
      </c>
      <c r="BK2974" s="4" t="s">
        <v>254</v>
      </c>
      <c r="BL2974" s="4" t="s">
        <v>255</v>
      </c>
      <c r="BM2974" s="4" t="s">
        <v>241</v>
      </c>
      <c r="BN2974" s="6">
        <f>0</f>
        <v>0</v>
      </c>
      <c r="BO2974" s="6">
        <f>0</f>
        <v>0</v>
      </c>
      <c r="BP2974" s="4" t="s">
        <v>256</v>
      </c>
      <c r="BQ2974" s="4" t="s">
        <v>257</v>
      </c>
      <c r="CE2974" s="4" t="s">
        <v>241</v>
      </c>
      <c r="CF2974" s="4" t="s">
        <v>241</v>
      </c>
      <c r="CJ2974" s="4" t="s">
        <v>276</v>
      </c>
      <c r="CK2974" s="4" t="s">
        <v>259</v>
      </c>
      <c r="CL2974" s="4" t="s">
        <v>241</v>
      </c>
      <c r="CO2974" s="5" t="s">
        <v>260</v>
      </c>
      <c r="CP2974" s="4" t="s">
        <v>241</v>
      </c>
      <c r="CQ2974" s="4" t="s">
        <v>261</v>
      </c>
      <c r="CR2974" s="4" t="s">
        <v>241</v>
      </c>
      <c r="CS2974" s="4" t="s">
        <v>241</v>
      </c>
      <c r="CT2974" s="4">
        <v>0</v>
      </c>
      <c r="CU2974" s="4" t="s">
        <v>262</v>
      </c>
      <c r="CV2974" s="4" t="s">
        <v>263</v>
      </c>
      <c r="CW2974" s="4" t="s">
        <v>263</v>
      </c>
      <c r="CX2974" s="4" t="s">
        <v>264</v>
      </c>
      <c r="DA2974" s="6">
        <f>1</f>
        <v>1</v>
      </c>
      <c r="DC2974" s="4" t="s">
        <v>325</v>
      </c>
      <c r="DD2974" s="4" t="s">
        <v>241</v>
      </c>
      <c r="DF2974" s="4" t="s">
        <v>325</v>
      </c>
      <c r="DG2974" s="6">
        <f>697</f>
        <v>697</v>
      </c>
      <c r="DI2974" s="4" t="s">
        <v>241</v>
      </c>
      <c r="DJ2974" s="4" t="s">
        <v>241</v>
      </c>
      <c r="DK2974" s="4" t="s">
        <v>241</v>
      </c>
      <c r="DL2974" s="4" t="s">
        <v>241</v>
      </c>
      <c r="DP2974" s="4" t="s">
        <v>241</v>
      </c>
      <c r="DQ2974" s="4" t="s">
        <v>241</v>
      </c>
      <c r="DR2974" s="4" t="s">
        <v>241</v>
      </c>
      <c r="DS2974" s="4" t="s">
        <v>241</v>
      </c>
      <c r="DV2974" s="4" t="s">
        <v>426</v>
      </c>
      <c r="DW2974" s="4" t="s">
        <v>326</v>
      </c>
      <c r="HO2974" s="4" t="s">
        <v>267</v>
      </c>
    </row>
    <row r="2975" spans="1:223" ht="19.5" customHeight="1" x14ac:dyDescent="0.4">
      <c r="A2975" s="4">
        <v>1</v>
      </c>
      <c r="B2975" s="4" t="s">
        <v>239</v>
      </c>
      <c r="C2975" s="4">
        <v>4678</v>
      </c>
      <c r="D2975" s="4">
        <v>1</v>
      </c>
      <c r="E2975" s="4">
        <v>1</v>
      </c>
      <c r="F2975" s="4" t="s">
        <v>268</v>
      </c>
      <c r="G2975" s="4" t="s">
        <v>241</v>
      </c>
      <c r="H2975" s="4" t="s">
        <v>241</v>
      </c>
      <c r="I2975" s="4" t="s">
        <v>424</v>
      </c>
      <c r="J2975" s="4" t="s">
        <v>274</v>
      </c>
      <c r="K2975" s="4" t="s">
        <v>251</v>
      </c>
      <c r="L2975" s="4" t="s">
        <v>423</v>
      </c>
      <c r="M2975" s="5" t="s">
        <v>3419</v>
      </c>
      <c r="N2975" s="6">
        <f>271</f>
        <v>271</v>
      </c>
      <c r="O2975" s="4" t="s">
        <v>265</v>
      </c>
      <c r="P2975" s="6">
        <f>1</f>
        <v>1</v>
      </c>
      <c r="Q2975" s="6">
        <f>0</f>
        <v>0</v>
      </c>
      <c r="S2975" s="6">
        <f>0</f>
        <v>0</v>
      </c>
      <c r="T2975" s="6">
        <f>1</f>
        <v>1</v>
      </c>
      <c r="U2975" s="5" t="s">
        <v>245</v>
      </c>
      <c r="V2975" s="4" t="s">
        <v>270</v>
      </c>
      <c r="W2975" s="4" t="s">
        <v>271</v>
      </c>
      <c r="X2975" s="4" t="s">
        <v>273</v>
      </c>
      <c r="Y2975" s="4" t="s">
        <v>241</v>
      </c>
      <c r="AB2975" s="4" t="s">
        <v>241</v>
      </c>
      <c r="AD2975" s="5" t="s">
        <v>241</v>
      </c>
      <c r="AG2975" s="5" t="s">
        <v>246</v>
      </c>
      <c r="AH2975" s="4" t="s">
        <v>241</v>
      </c>
      <c r="AI2975" s="4" t="s">
        <v>247</v>
      </c>
      <c r="AJ2975" s="4" t="s">
        <v>248</v>
      </c>
      <c r="AZ2975" s="4" t="s">
        <v>249</v>
      </c>
      <c r="BA2975" s="4" t="s">
        <v>241</v>
      </c>
      <c r="BB2975" s="4" t="s">
        <v>250</v>
      </c>
      <c r="BC2975" s="4" t="s">
        <v>241</v>
      </c>
      <c r="BD2975" s="4" t="s">
        <v>252</v>
      </c>
      <c r="BE2975" s="4" t="s">
        <v>241</v>
      </c>
      <c r="BI2975" s="4" t="s">
        <v>253</v>
      </c>
      <c r="BJ2975" s="5" t="s">
        <v>246</v>
      </c>
      <c r="BK2975" s="4" t="s">
        <v>254</v>
      </c>
      <c r="BL2975" s="4" t="s">
        <v>255</v>
      </c>
      <c r="BM2975" s="4" t="s">
        <v>241</v>
      </c>
      <c r="BN2975" s="6">
        <f>0</f>
        <v>0</v>
      </c>
      <c r="BO2975" s="6">
        <f>0</f>
        <v>0</v>
      </c>
      <c r="BP2975" s="4" t="s">
        <v>256</v>
      </c>
      <c r="BQ2975" s="4" t="s">
        <v>257</v>
      </c>
      <c r="CE2975" s="4" t="s">
        <v>241</v>
      </c>
      <c r="CF2975" s="4" t="s">
        <v>241</v>
      </c>
      <c r="CJ2975" s="4" t="s">
        <v>276</v>
      </c>
      <c r="CK2975" s="4" t="s">
        <v>259</v>
      </c>
      <c r="CL2975" s="4" t="s">
        <v>241</v>
      </c>
      <c r="CO2975" s="5" t="s">
        <v>260</v>
      </c>
      <c r="CP2975" s="4" t="s">
        <v>241</v>
      </c>
      <c r="CQ2975" s="4" t="s">
        <v>261</v>
      </c>
      <c r="CR2975" s="4" t="s">
        <v>241</v>
      </c>
      <c r="CS2975" s="4" t="s">
        <v>241</v>
      </c>
      <c r="CT2975" s="4">
        <v>0</v>
      </c>
      <c r="CU2975" s="4" t="s">
        <v>262</v>
      </c>
      <c r="CV2975" s="4" t="s">
        <v>263</v>
      </c>
      <c r="CW2975" s="4" t="s">
        <v>263</v>
      </c>
      <c r="CX2975" s="4" t="s">
        <v>264</v>
      </c>
      <c r="DA2975" s="6">
        <f>1</f>
        <v>1</v>
      </c>
      <c r="DC2975" s="4" t="s">
        <v>325</v>
      </c>
      <c r="DD2975" s="4" t="s">
        <v>241</v>
      </c>
      <c r="DF2975" s="4" t="s">
        <v>325</v>
      </c>
      <c r="DG2975" s="6">
        <f>271</f>
        <v>271</v>
      </c>
      <c r="DI2975" s="4" t="s">
        <v>241</v>
      </c>
      <c r="DJ2975" s="4" t="s">
        <v>241</v>
      </c>
      <c r="DK2975" s="4" t="s">
        <v>241</v>
      </c>
      <c r="DL2975" s="4" t="s">
        <v>241</v>
      </c>
      <c r="DP2975" s="4" t="s">
        <v>241</v>
      </c>
      <c r="DQ2975" s="4" t="s">
        <v>241</v>
      </c>
      <c r="DR2975" s="4" t="s">
        <v>241</v>
      </c>
      <c r="DS2975" s="4" t="s">
        <v>241</v>
      </c>
      <c r="DV2975" s="4" t="s">
        <v>426</v>
      </c>
      <c r="DW2975" s="4" t="s">
        <v>1035</v>
      </c>
      <c r="HO2975" s="4" t="s">
        <v>267</v>
      </c>
    </row>
    <row r="2976" spans="1:223" ht="19.5" customHeight="1" x14ac:dyDescent="0.4">
      <c r="A2976" s="4">
        <v>1</v>
      </c>
      <c r="B2976" s="4" t="s">
        <v>239</v>
      </c>
      <c r="C2976" s="4">
        <v>4679</v>
      </c>
      <c r="D2976" s="4">
        <v>1</v>
      </c>
      <c r="E2976" s="4">
        <v>1</v>
      </c>
      <c r="F2976" s="4" t="s">
        <v>268</v>
      </c>
      <c r="G2976" s="4" t="s">
        <v>241</v>
      </c>
      <c r="H2976" s="4" t="s">
        <v>241</v>
      </c>
      <c r="I2976" s="4" t="s">
        <v>424</v>
      </c>
      <c r="J2976" s="4" t="s">
        <v>274</v>
      </c>
      <c r="K2976" s="4" t="s">
        <v>251</v>
      </c>
      <c r="L2976" s="4" t="s">
        <v>423</v>
      </c>
      <c r="M2976" s="5" t="s">
        <v>4673</v>
      </c>
      <c r="N2976" s="6">
        <f>79</f>
        <v>79</v>
      </c>
      <c r="O2976" s="4" t="s">
        <v>265</v>
      </c>
      <c r="P2976" s="6">
        <f>1</f>
        <v>1</v>
      </c>
      <c r="Q2976" s="6">
        <f>0</f>
        <v>0</v>
      </c>
      <c r="S2976" s="6">
        <f>0</f>
        <v>0</v>
      </c>
      <c r="T2976" s="6">
        <f>1</f>
        <v>1</v>
      </c>
      <c r="U2976" s="5" t="s">
        <v>245</v>
      </c>
      <c r="V2976" s="4" t="s">
        <v>270</v>
      </c>
      <c r="W2976" s="4" t="s">
        <v>271</v>
      </c>
      <c r="X2976" s="4" t="s">
        <v>273</v>
      </c>
      <c r="Y2976" s="4" t="s">
        <v>241</v>
      </c>
      <c r="AB2976" s="4" t="s">
        <v>241</v>
      </c>
      <c r="AD2976" s="5" t="s">
        <v>241</v>
      </c>
      <c r="AG2976" s="5" t="s">
        <v>246</v>
      </c>
      <c r="AH2976" s="4" t="s">
        <v>241</v>
      </c>
      <c r="AI2976" s="4" t="s">
        <v>247</v>
      </c>
      <c r="AJ2976" s="4" t="s">
        <v>248</v>
      </c>
      <c r="AZ2976" s="4" t="s">
        <v>249</v>
      </c>
      <c r="BA2976" s="4" t="s">
        <v>241</v>
      </c>
      <c r="BB2976" s="4" t="s">
        <v>250</v>
      </c>
      <c r="BC2976" s="4" t="s">
        <v>241</v>
      </c>
      <c r="BD2976" s="4" t="s">
        <v>252</v>
      </c>
      <c r="BE2976" s="4" t="s">
        <v>241</v>
      </c>
      <c r="BI2976" s="4" t="s">
        <v>253</v>
      </c>
      <c r="BJ2976" s="5" t="s">
        <v>246</v>
      </c>
      <c r="BK2976" s="4" t="s">
        <v>254</v>
      </c>
      <c r="BL2976" s="4" t="s">
        <v>255</v>
      </c>
      <c r="BM2976" s="4" t="s">
        <v>241</v>
      </c>
      <c r="BN2976" s="6">
        <f>0</f>
        <v>0</v>
      </c>
      <c r="BO2976" s="6">
        <f>0</f>
        <v>0</v>
      </c>
      <c r="BP2976" s="4" t="s">
        <v>256</v>
      </c>
      <c r="BQ2976" s="4" t="s">
        <v>257</v>
      </c>
      <c r="CE2976" s="4" t="s">
        <v>241</v>
      </c>
      <c r="CF2976" s="4" t="s">
        <v>241</v>
      </c>
      <c r="CJ2976" s="4" t="s">
        <v>276</v>
      </c>
      <c r="CK2976" s="4" t="s">
        <v>259</v>
      </c>
      <c r="CL2976" s="4" t="s">
        <v>241</v>
      </c>
      <c r="CO2976" s="5" t="s">
        <v>260</v>
      </c>
      <c r="CP2976" s="4" t="s">
        <v>241</v>
      </c>
      <c r="CQ2976" s="4" t="s">
        <v>261</v>
      </c>
      <c r="CR2976" s="4" t="s">
        <v>241</v>
      </c>
      <c r="CS2976" s="4" t="s">
        <v>241</v>
      </c>
      <c r="CT2976" s="4">
        <v>0</v>
      </c>
      <c r="CU2976" s="4" t="s">
        <v>262</v>
      </c>
      <c r="CV2976" s="4" t="s">
        <v>263</v>
      </c>
      <c r="CW2976" s="4" t="s">
        <v>263</v>
      </c>
      <c r="CX2976" s="4" t="s">
        <v>264</v>
      </c>
      <c r="DA2976" s="6">
        <f>1</f>
        <v>1</v>
      </c>
      <c r="DC2976" s="4" t="s">
        <v>325</v>
      </c>
      <c r="DD2976" s="4" t="s">
        <v>241</v>
      </c>
      <c r="DF2976" s="4" t="s">
        <v>325</v>
      </c>
      <c r="DG2976" s="6">
        <f>79</f>
        <v>79</v>
      </c>
      <c r="DI2976" s="4" t="s">
        <v>241</v>
      </c>
      <c r="DJ2976" s="4" t="s">
        <v>241</v>
      </c>
      <c r="DK2976" s="4" t="s">
        <v>241</v>
      </c>
      <c r="DL2976" s="4" t="s">
        <v>241</v>
      </c>
      <c r="DP2976" s="4" t="s">
        <v>241</v>
      </c>
      <c r="DQ2976" s="4" t="s">
        <v>241</v>
      </c>
      <c r="DR2976" s="4" t="s">
        <v>241</v>
      </c>
      <c r="DS2976" s="4" t="s">
        <v>241</v>
      </c>
      <c r="DV2976" s="4" t="s">
        <v>426</v>
      </c>
      <c r="DW2976" s="4" t="s">
        <v>1018</v>
      </c>
      <c r="HO2976" s="4" t="s">
        <v>267</v>
      </c>
    </row>
    <row r="2977" spans="1:223" ht="19.5" customHeight="1" x14ac:dyDescent="0.4">
      <c r="A2977" s="4">
        <v>1</v>
      </c>
      <c r="B2977" s="4" t="s">
        <v>239</v>
      </c>
      <c r="C2977" s="4">
        <v>4680</v>
      </c>
      <c r="D2977" s="4">
        <v>1</v>
      </c>
      <c r="E2977" s="4">
        <v>1</v>
      </c>
      <c r="F2977" s="4" t="s">
        <v>268</v>
      </c>
      <c r="G2977" s="4" t="s">
        <v>241</v>
      </c>
      <c r="H2977" s="4" t="s">
        <v>241</v>
      </c>
      <c r="I2977" s="4" t="s">
        <v>424</v>
      </c>
      <c r="J2977" s="4" t="s">
        <v>274</v>
      </c>
      <c r="K2977" s="4" t="s">
        <v>251</v>
      </c>
      <c r="L2977" s="4" t="s">
        <v>423</v>
      </c>
      <c r="M2977" s="5" t="s">
        <v>3403</v>
      </c>
      <c r="N2977" s="6">
        <f>472</f>
        <v>472</v>
      </c>
      <c r="O2977" s="4" t="s">
        <v>265</v>
      </c>
      <c r="P2977" s="6">
        <f>1</f>
        <v>1</v>
      </c>
      <c r="Q2977" s="6">
        <f>0</f>
        <v>0</v>
      </c>
      <c r="S2977" s="6">
        <f>0</f>
        <v>0</v>
      </c>
      <c r="T2977" s="6">
        <f>1</f>
        <v>1</v>
      </c>
      <c r="U2977" s="5" t="s">
        <v>245</v>
      </c>
      <c r="V2977" s="4" t="s">
        <v>270</v>
      </c>
      <c r="W2977" s="4" t="s">
        <v>271</v>
      </c>
      <c r="X2977" s="4" t="s">
        <v>273</v>
      </c>
      <c r="Y2977" s="4" t="s">
        <v>241</v>
      </c>
      <c r="AB2977" s="4" t="s">
        <v>241</v>
      </c>
      <c r="AD2977" s="5" t="s">
        <v>241</v>
      </c>
      <c r="AG2977" s="5" t="s">
        <v>246</v>
      </c>
      <c r="AH2977" s="4" t="s">
        <v>241</v>
      </c>
      <c r="AI2977" s="4" t="s">
        <v>247</v>
      </c>
      <c r="AJ2977" s="4" t="s">
        <v>248</v>
      </c>
      <c r="AZ2977" s="4" t="s">
        <v>249</v>
      </c>
      <c r="BA2977" s="4" t="s">
        <v>241</v>
      </c>
      <c r="BB2977" s="4" t="s">
        <v>250</v>
      </c>
      <c r="BC2977" s="4" t="s">
        <v>241</v>
      </c>
      <c r="BD2977" s="4" t="s">
        <v>252</v>
      </c>
      <c r="BE2977" s="4" t="s">
        <v>241</v>
      </c>
      <c r="BI2977" s="4" t="s">
        <v>253</v>
      </c>
      <c r="BJ2977" s="5" t="s">
        <v>246</v>
      </c>
      <c r="BK2977" s="4" t="s">
        <v>254</v>
      </c>
      <c r="BL2977" s="4" t="s">
        <v>255</v>
      </c>
      <c r="BM2977" s="4" t="s">
        <v>241</v>
      </c>
      <c r="BN2977" s="6">
        <f>0</f>
        <v>0</v>
      </c>
      <c r="BO2977" s="6">
        <f>0</f>
        <v>0</v>
      </c>
      <c r="BP2977" s="4" t="s">
        <v>256</v>
      </c>
      <c r="BQ2977" s="4" t="s">
        <v>257</v>
      </c>
      <c r="CE2977" s="4" t="s">
        <v>241</v>
      </c>
      <c r="CF2977" s="4" t="s">
        <v>241</v>
      </c>
      <c r="CJ2977" s="4" t="s">
        <v>276</v>
      </c>
      <c r="CK2977" s="4" t="s">
        <v>259</v>
      </c>
      <c r="CL2977" s="4" t="s">
        <v>241</v>
      </c>
      <c r="CO2977" s="5" t="s">
        <v>260</v>
      </c>
      <c r="CP2977" s="4" t="s">
        <v>241</v>
      </c>
      <c r="CQ2977" s="4" t="s">
        <v>261</v>
      </c>
      <c r="CR2977" s="4" t="s">
        <v>241</v>
      </c>
      <c r="CS2977" s="4" t="s">
        <v>241</v>
      </c>
      <c r="CT2977" s="4">
        <v>0</v>
      </c>
      <c r="CU2977" s="4" t="s">
        <v>262</v>
      </c>
      <c r="CV2977" s="4" t="s">
        <v>263</v>
      </c>
      <c r="CW2977" s="4" t="s">
        <v>263</v>
      </c>
      <c r="CX2977" s="4" t="s">
        <v>264</v>
      </c>
      <c r="DA2977" s="6">
        <f>1</f>
        <v>1</v>
      </c>
      <c r="DC2977" s="4" t="s">
        <v>325</v>
      </c>
      <c r="DD2977" s="4" t="s">
        <v>241</v>
      </c>
      <c r="DF2977" s="4" t="s">
        <v>325</v>
      </c>
      <c r="DG2977" s="6">
        <f>472</f>
        <v>472</v>
      </c>
      <c r="DI2977" s="4" t="s">
        <v>241</v>
      </c>
      <c r="DJ2977" s="4" t="s">
        <v>241</v>
      </c>
      <c r="DK2977" s="4" t="s">
        <v>241</v>
      </c>
      <c r="DL2977" s="4" t="s">
        <v>241</v>
      </c>
      <c r="DP2977" s="4" t="s">
        <v>241</v>
      </c>
      <c r="DQ2977" s="4" t="s">
        <v>241</v>
      </c>
      <c r="DR2977" s="4" t="s">
        <v>241</v>
      </c>
      <c r="DS2977" s="4" t="s">
        <v>241</v>
      </c>
      <c r="DV2977" s="4" t="s">
        <v>426</v>
      </c>
      <c r="DW2977" s="4" t="s">
        <v>3404</v>
      </c>
      <c r="HO2977" s="4" t="s">
        <v>267</v>
      </c>
    </row>
    <row r="2978" spans="1:223" ht="19.5" customHeight="1" x14ac:dyDescent="0.4">
      <c r="A2978" s="4">
        <v>1</v>
      </c>
      <c r="B2978" s="4" t="s">
        <v>239</v>
      </c>
      <c r="C2978" s="4">
        <v>4681</v>
      </c>
      <c r="D2978" s="4">
        <v>1</v>
      </c>
      <c r="E2978" s="4">
        <v>1</v>
      </c>
      <c r="F2978" s="4" t="s">
        <v>268</v>
      </c>
      <c r="G2978" s="4" t="s">
        <v>241</v>
      </c>
      <c r="H2978" s="4" t="s">
        <v>241</v>
      </c>
      <c r="I2978" s="4" t="s">
        <v>424</v>
      </c>
      <c r="J2978" s="4" t="s">
        <v>274</v>
      </c>
      <c r="K2978" s="4" t="s">
        <v>251</v>
      </c>
      <c r="L2978" s="4" t="s">
        <v>423</v>
      </c>
      <c r="M2978" s="5" t="s">
        <v>3393</v>
      </c>
      <c r="N2978" s="6">
        <f>500</f>
        <v>500</v>
      </c>
      <c r="O2978" s="4" t="s">
        <v>265</v>
      </c>
      <c r="P2978" s="6">
        <f>1</f>
        <v>1</v>
      </c>
      <c r="Q2978" s="6">
        <f>0</f>
        <v>0</v>
      </c>
      <c r="S2978" s="6">
        <f>0</f>
        <v>0</v>
      </c>
      <c r="T2978" s="6">
        <f>1</f>
        <v>1</v>
      </c>
      <c r="U2978" s="5" t="s">
        <v>245</v>
      </c>
      <c r="V2978" s="4" t="s">
        <v>270</v>
      </c>
      <c r="W2978" s="4" t="s">
        <v>271</v>
      </c>
      <c r="X2978" s="4" t="s">
        <v>273</v>
      </c>
      <c r="Y2978" s="4" t="s">
        <v>241</v>
      </c>
      <c r="AB2978" s="4" t="s">
        <v>241</v>
      </c>
      <c r="AD2978" s="5" t="s">
        <v>241</v>
      </c>
      <c r="AG2978" s="5" t="s">
        <v>246</v>
      </c>
      <c r="AH2978" s="4" t="s">
        <v>241</v>
      </c>
      <c r="AI2978" s="4" t="s">
        <v>247</v>
      </c>
      <c r="AJ2978" s="4" t="s">
        <v>248</v>
      </c>
      <c r="AZ2978" s="4" t="s">
        <v>249</v>
      </c>
      <c r="BA2978" s="4" t="s">
        <v>241</v>
      </c>
      <c r="BB2978" s="4" t="s">
        <v>250</v>
      </c>
      <c r="BC2978" s="4" t="s">
        <v>241</v>
      </c>
      <c r="BD2978" s="4" t="s">
        <v>252</v>
      </c>
      <c r="BE2978" s="4" t="s">
        <v>241</v>
      </c>
      <c r="BI2978" s="4" t="s">
        <v>253</v>
      </c>
      <c r="BJ2978" s="5" t="s">
        <v>246</v>
      </c>
      <c r="BK2978" s="4" t="s">
        <v>254</v>
      </c>
      <c r="BL2978" s="4" t="s">
        <v>255</v>
      </c>
      <c r="BM2978" s="4" t="s">
        <v>241</v>
      </c>
      <c r="BN2978" s="6">
        <f>0</f>
        <v>0</v>
      </c>
      <c r="BO2978" s="6">
        <f>0</f>
        <v>0</v>
      </c>
      <c r="BP2978" s="4" t="s">
        <v>256</v>
      </c>
      <c r="BQ2978" s="4" t="s">
        <v>257</v>
      </c>
      <c r="CE2978" s="4" t="s">
        <v>241</v>
      </c>
      <c r="CF2978" s="4" t="s">
        <v>241</v>
      </c>
      <c r="CJ2978" s="4" t="s">
        <v>276</v>
      </c>
      <c r="CK2978" s="4" t="s">
        <v>259</v>
      </c>
      <c r="CL2978" s="4" t="s">
        <v>241</v>
      </c>
      <c r="CO2978" s="5" t="s">
        <v>260</v>
      </c>
      <c r="CP2978" s="4" t="s">
        <v>241</v>
      </c>
      <c r="CQ2978" s="4" t="s">
        <v>261</v>
      </c>
      <c r="CR2978" s="4" t="s">
        <v>241</v>
      </c>
      <c r="CS2978" s="4" t="s">
        <v>241</v>
      </c>
      <c r="CT2978" s="4">
        <v>0</v>
      </c>
      <c r="CU2978" s="4" t="s">
        <v>262</v>
      </c>
      <c r="CV2978" s="4" t="s">
        <v>263</v>
      </c>
      <c r="CW2978" s="4" t="s">
        <v>263</v>
      </c>
      <c r="CX2978" s="4" t="s">
        <v>264</v>
      </c>
      <c r="DA2978" s="6">
        <f>1</f>
        <v>1</v>
      </c>
      <c r="DC2978" s="4" t="s">
        <v>325</v>
      </c>
      <c r="DD2978" s="4" t="s">
        <v>241</v>
      </c>
      <c r="DF2978" s="4" t="s">
        <v>325</v>
      </c>
      <c r="DG2978" s="6">
        <f>500</f>
        <v>500</v>
      </c>
      <c r="DI2978" s="4" t="s">
        <v>241</v>
      </c>
      <c r="DJ2978" s="4" t="s">
        <v>241</v>
      </c>
      <c r="DK2978" s="4" t="s">
        <v>241</v>
      </c>
      <c r="DL2978" s="4" t="s">
        <v>241</v>
      </c>
      <c r="DP2978" s="4" t="s">
        <v>241</v>
      </c>
      <c r="DQ2978" s="4" t="s">
        <v>241</v>
      </c>
      <c r="DR2978" s="4" t="s">
        <v>241</v>
      </c>
      <c r="DS2978" s="4" t="s">
        <v>241</v>
      </c>
      <c r="DV2978" s="4" t="s">
        <v>426</v>
      </c>
      <c r="DW2978" s="4" t="s">
        <v>1232</v>
      </c>
      <c r="HO2978" s="4" t="s">
        <v>267</v>
      </c>
    </row>
    <row r="2979" spans="1:223" ht="19.5" customHeight="1" x14ac:dyDescent="0.4">
      <c r="A2979" s="4">
        <v>1</v>
      </c>
      <c r="B2979" s="4" t="s">
        <v>239</v>
      </c>
      <c r="C2979" s="4">
        <v>4682</v>
      </c>
      <c r="D2979" s="4">
        <v>1</v>
      </c>
      <c r="E2979" s="4">
        <v>1</v>
      </c>
      <c r="F2979" s="4" t="s">
        <v>268</v>
      </c>
      <c r="G2979" s="4" t="s">
        <v>241</v>
      </c>
      <c r="H2979" s="4" t="s">
        <v>241</v>
      </c>
      <c r="I2979" s="4" t="s">
        <v>424</v>
      </c>
      <c r="J2979" s="4" t="s">
        <v>274</v>
      </c>
      <c r="K2979" s="4" t="s">
        <v>251</v>
      </c>
      <c r="L2979" s="4" t="s">
        <v>423</v>
      </c>
      <c r="M2979" s="5" t="s">
        <v>3384</v>
      </c>
      <c r="N2979" s="6">
        <f>138</f>
        <v>138</v>
      </c>
      <c r="O2979" s="4" t="s">
        <v>265</v>
      </c>
      <c r="P2979" s="6">
        <f>1</f>
        <v>1</v>
      </c>
      <c r="Q2979" s="6">
        <f>0</f>
        <v>0</v>
      </c>
      <c r="S2979" s="6">
        <f>0</f>
        <v>0</v>
      </c>
      <c r="T2979" s="6">
        <f>1</f>
        <v>1</v>
      </c>
      <c r="U2979" s="5" t="s">
        <v>245</v>
      </c>
      <c r="V2979" s="4" t="s">
        <v>270</v>
      </c>
      <c r="W2979" s="4" t="s">
        <v>271</v>
      </c>
      <c r="X2979" s="4" t="s">
        <v>273</v>
      </c>
      <c r="Y2979" s="4" t="s">
        <v>241</v>
      </c>
      <c r="AB2979" s="4" t="s">
        <v>241</v>
      </c>
      <c r="AD2979" s="5" t="s">
        <v>241</v>
      </c>
      <c r="AG2979" s="5" t="s">
        <v>246</v>
      </c>
      <c r="AH2979" s="4" t="s">
        <v>241</v>
      </c>
      <c r="AI2979" s="4" t="s">
        <v>247</v>
      </c>
      <c r="AJ2979" s="4" t="s">
        <v>248</v>
      </c>
      <c r="AZ2979" s="4" t="s">
        <v>249</v>
      </c>
      <c r="BA2979" s="4" t="s">
        <v>241</v>
      </c>
      <c r="BB2979" s="4" t="s">
        <v>250</v>
      </c>
      <c r="BC2979" s="4" t="s">
        <v>241</v>
      </c>
      <c r="BD2979" s="4" t="s">
        <v>252</v>
      </c>
      <c r="BE2979" s="4" t="s">
        <v>241</v>
      </c>
      <c r="BI2979" s="4" t="s">
        <v>253</v>
      </c>
      <c r="BJ2979" s="5" t="s">
        <v>246</v>
      </c>
      <c r="BK2979" s="4" t="s">
        <v>254</v>
      </c>
      <c r="BL2979" s="4" t="s">
        <v>255</v>
      </c>
      <c r="BM2979" s="4" t="s">
        <v>241</v>
      </c>
      <c r="BN2979" s="6">
        <f>0</f>
        <v>0</v>
      </c>
      <c r="BO2979" s="6">
        <f>0</f>
        <v>0</v>
      </c>
      <c r="BP2979" s="4" t="s">
        <v>256</v>
      </c>
      <c r="BQ2979" s="4" t="s">
        <v>257</v>
      </c>
      <c r="CE2979" s="4" t="s">
        <v>241</v>
      </c>
      <c r="CF2979" s="4" t="s">
        <v>241</v>
      </c>
      <c r="CJ2979" s="4" t="s">
        <v>276</v>
      </c>
      <c r="CK2979" s="4" t="s">
        <v>259</v>
      </c>
      <c r="CL2979" s="4" t="s">
        <v>241</v>
      </c>
      <c r="CO2979" s="5" t="s">
        <v>260</v>
      </c>
      <c r="CP2979" s="4" t="s">
        <v>241</v>
      </c>
      <c r="CQ2979" s="4" t="s">
        <v>261</v>
      </c>
      <c r="CR2979" s="4" t="s">
        <v>241</v>
      </c>
      <c r="CS2979" s="4" t="s">
        <v>241</v>
      </c>
      <c r="CT2979" s="4">
        <v>0</v>
      </c>
      <c r="CU2979" s="4" t="s">
        <v>262</v>
      </c>
      <c r="CV2979" s="4" t="s">
        <v>263</v>
      </c>
      <c r="CW2979" s="4" t="s">
        <v>263</v>
      </c>
      <c r="CX2979" s="4" t="s">
        <v>264</v>
      </c>
      <c r="DA2979" s="6">
        <f>1</f>
        <v>1</v>
      </c>
      <c r="DC2979" s="4" t="s">
        <v>325</v>
      </c>
      <c r="DD2979" s="4" t="s">
        <v>241</v>
      </c>
      <c r="DF2979" s="4" t="s">
        <v>325</v>
      </c>
      <c r="DG2979" s="6">
        <f>138</f>
        <v>138</v>
      </c>
      <c r="DI2979" s="4" t="s">
        <v>241</v>
      </c>
      <c r="DJ2979" s="4" t="s">
        <v>241</v>
      </c>
      <c r="DK2979" s="4" t="s">
        <v>241</v>
      </c>
      <c r="DL2979" s="4" t="s">
        <v>241</v>
      </c>
      <c r="DP2979" s="4" t="s">
        <v>241</v>
      </c>
      <c r="DQ2979" s="4" t="s">
        <v>241</v>
      </c>
      <c r="DR2979" s="4" t="s">
        <v>241</v>
      </c>
      <c r="DS2979" s="4" t="s">
        <v>241</v>
      </c>
      <c r="DV2979" s="4" t="s">
        <v>426</v>
      </c>
      <c r="DW2979" s="4" t="s">
        <v>1325</v>
      </c>
      <c r="HO2979" s="4" t="s">
        <v>267</v>
      </c>
    </row>
    <row r="2980" spans="1:223" ht="19.5" customHeight="1" x14ac:dyDescent="0.4">
      <c r="A2980" s="4">
        <v>1</v>
      </c>
      <c r="B2980" s="4" t="s">
        <v>239</v>
      </c>
      <c r="C2980" s="4">
        <v>4683</v>
      </c>
      <c r="D2980" s="4">
        <v>1</v>
      </c>
      <c r="E2980" s="4">
        <v>1</v>
      </c>
      <c r="F2980" s="4" t="s">
        <v>268</v>
      </c>
      <c r="G2980" s="4" t="s">
        <v>241</v>
      </c>
      <c r="H2980" s="4" t="s">
        <v>241</v>
      </c>
      <c r="I2980" s="4" t="s">
        <v>424</v>
      </c>
      <c r="J2980" s="4" t="s">
        <v>274</v>
      </c>
      <c r="K2980" s="4" t="s">
        <v>251</v>
      </c>
      <c r="L2980" s="4" t="s">
        <v>423</v>
      </c>
      <c r="M2980" s="5" t="s">
        <v>3376</v>
      </c>
      <c r="N2980" s="6">
        <f>278</f>
        <v>278</v>
      </c>
      <c r="O2980" s="4" t="s">
        <v>265</v>
      </c>
      <c r="P2980" s="6">
        <f>1</f>
        <v>1</v>
      </c>
      <c r="Q2980" s="6">
        <f>0</f>
        <v>0</v>
      </c>
      <c r="S2980" s="6">
        <f>0</f>
        <v>0</v>
      </c>
      <c r="T2980" s="6">
        <f>1</f>
        <v>1</v>
      </c>
      <c r="U2980" s="5" t="s">
        <v>245</v>
      </c>
      <c r="V2980" s="4" t="s">
        <v>270</v>
      </c>
      <c r="W2980" s="4" t="s">
        <v>271</v>
      </c>
      <c r="X2980" s="4" t="s">
        <v>273</v>
      </c>
      <c r="Y2980" s="4" t="s">
        <v>241</v>
      </c>
      <c r="AB2980" s="4" t="s">
        <v>241</v>
      </c>
      <c r="AD2980" s="5" t="s">
        <v>241</v>
      </c>
      <c r="AG2980" s="5" t="s">
        <v>246</v>
      </c>
      <c r="AH2980" s="4" t="s">
        <v>241</v>
      </c>
      <c r="AI2980" s="4" t="s">
        <v>247</v>
      </c>
      <c r="AJ2980" s="4" t="s">
        <v>248</v>
      </c>
      <c r="AZ2980" s="4" t="s">
        <v>249</v>
      </c>
      <c r="BA2980" s="4" t="s">
        <v>241</v>
      </c>
      <c r="BB2980" s="4" t="s">
        <v>250</v>
      </c>
      <c r="BC2980" s="4" t="s">
        <v>241</v>
      </c>
      <c r="BD2980" s="4" t="s">
        <v>252</v>
      </c>
      <c r="BE2980" s="4" t="s">
        <v>241</v>
      </c>
      <c r="BI2980" s="4" t="s">
        <v>253</v>
      </c>
      <c r="BJ2980" s="5" t="s">
        <v>246</v>
      </c>
      <c r="BK2980" s="4" t="s">
        <v>254</v>
      </c>
      <c r="BL2980" s="4" t="s">
        <v>255</v>
      </c>
      <c r="BM2980" s="4" t="s">
        <v>241</v>
      </c>
      <c r="BN2980" s="6">
        <f>0</f>
        <v>0</v>
      </c>
      <c r="BO2980" s="6">
        <f>0</f>
        <v>0</v>
      </c>
      <c r="BP2980" s="4" t="s">
        <v>256</v>
      </c>
      <c r="BQ2980" s="4" t="s">
        <v>257</v>
      </c>
      <c r="CE2980" s="4" t="s">
        <v>241</v>
      </c>
      <c r="CF2980" s="4" t="s">
        <v>241</v>
      </c>
      <c r="CJ2980" s="4" t="s">
        <v>276</v>
      </c>
      <c r="CK2980" s="4" t="s">
        <v>259</v>
      </c>
      <c r="CL2980" s="4" t="s">
        <v>241</v>
      </c>
      <c r="CO2980" s="5" t="s">
        <v>260</v>
      </c>
      <c r="CP2980" s="4" t="s">
        <v>241</v>
      </c>
      <c r="CQ2980" s="4" t="s">
        <v>261</v>
      </c>
      <c r="CR2980" s="4" t="s">
        <v>241</v>
      </c>
      <c r="CS2980" s="4" t="s">
        <v>241</v>
      </c>
      <c r="CT2980" s="4">
        <v>0</v>
      </c>
      <c r="CU2980" s="4" t="s">
        <v>262</v>
      </c>
      <c r="CV2980" s="4" t="s">
        <v>263</v>
      </c>
      <c r="CW2980" s="4" t="s">
        <v>263</v>
      </c>
      <c r="CX2980" s="4" t="s">
        <v>264</v>
      </c>
      <c r="DA2980" s="6">
        <f>1</f>
        <v>1</v>
      </c>
      <c r="DC2980" s="4" t="s">
        <v>325</v>
      </c>
      <c r="DD2980" s="4" t="s">
        <v>241</v>
      </c>
      <c r="DF2980" s="4" t="s">
        <v>325</v>
      </c>
      <c r="DG2980" s="6">
        <f>278</f>
        <v>278</v>
      </c>
      <c r="DI2980" s="4" t="s">
        <v>241</v>
      </c>
      <c r="DJ2980" s="4" t="s">
        <v>241</v>
      </c>
      <c r="DK2980" s="4" t="s">
        <v>241</v>
      </c>
      <c r="DL2980" s="4" t="s">
        <v>241</v>
      </c>
      <c r="DP2980" s="4" t="s">
        <v>241</v>
      </c>
      <c r="DQ2980" s="4" t="s">
        <v>241</v>
      </c>
      <c r="DR2980" s="4" t="s">
        <v>241</v>
      </c>
      <c r="DS2980" s="4" t="s">
        <v>241</v>
      </c>
      <c r="DV2980" s="4" t="s">
        <v>426</v>
      </c>
      <c r="DW2980" s="4" t="s">
        <v>1021</v>
      </c>
      <c r="HO2980" s="4" t="s">
        <v>267</v>
      </c>
    </row>
    <row r="2981" spans="1:223" ht="19.5" customHeight="1" x14ac:dyDescent="0.4">
      <c r="A2981" s="4">
        <v>1</v>
      </c>
      <c r="B2981" s="4" t="s">
        <v>239</v>
      </c>
      <c r="C2981" s="4">
        <v>4684</v>
      </c>
      <c r="D2981" s="4">
        <v>1</v>
      </c>
      <c r="E2981" s="4">
        <v>1</v>
      </c>
      <c r="F2981" s="4" t="s">
        <v>268</v>
      </c>
      <c r="G2981" s="4" t="s">
        <v>241</v>
      </c>
      <c r="H2981" s="4" t="s">
        <v>241</v>
      </c>
      <c r="I2981" s="4" t="s">
        <v>424</v>
      </c>
      <c r="J2981" s="4" t="s">
        <v>274</v>
      </c>
      <c r="K2981" s="4" t="s">
        <v>251</v>
      </c>
      <c r="L2981" s="4" t="s">
        <v>423</v>
      </c>
      <c r="M2981" s="5" t="s">
        <v>3367</v>
      </c>
      <c r="N2981" s="6">
        <f>178</f>
        <v>178</v>
      </c>
      <c r="O2981" s="4" t="s">
        <v>265</v>
      </c>
      <c r="P2981" s="6">
        <f>1</f>
        <v>1</v>
      </c>
      <c r="Q2981" s="6">
        <f>0</f>
        <v>0</v>
      </c>
      <c r="S2981" s="6">
        <f>0</f>
        <v>0</v>
      </c>
      <c r="T2981" s="6">
        <f>1</f>
        <v>1</v>
      </c>
      <c r="U2981" s="5" t="s">
        <v>245</v>
      </c>
      <c r="V2981" s="4" t="s">
        <v>270</v>
      </c>
      <c r="W2981" s="4" t="s">
        <v>271</v>
      </c>
      <c r="X2981" s="4" t="s">
        <v>273</v>
      </c>
      <c r="Y2981" s="4" t="s">
        <v>241</v>
      </c>
      <c r="AB2981" s="4" t="s">
        <v>241</v>
      </c>
      <c r="AD2981" s="5" t="s">
        <v>241</v>
      </c>
      <c r="AG2981" s="5" t="s">
        <v>246</v>
      </c>
      <c r="AH2981" s="4" t="s">
        <v>241</v>
      </c>
      <c r="AI2981" s="4" t="s">
        <v>247</v>
      </c>
      <c r="AJ2981" s="4" t="s">
        <v>248</v>
      </c>
      <c r="AZ2981" s="4" t="s">
        <v>249</v>
      </c>
      <c r="BA2981" s="4" t="s">
        <v>241</v>
      </c>
      <c r="BB2981" s="4" t="s">
        <v>250</v>
      </c>
      <c r="BC2981" s="4" t="s">
        <v>241</v>
      </c>
      <c r="BD2981" s="4" t="s">
        <v>252</v>
      </c>
      <c r="BE2981" s="4" t="s">
        <v>241</v>
      </c>
      <c r="BI2981" s="4" t="s">
        <v>253</v>
      </c>
      <c r="BJ2981" s="5" t="s">
        <v>246</v>
      </c>
      <c r="BK2981" s="4" t="s">
        <v>254</v>
      </c>
      <c r="BL2981" s="4" t="s">
        <v>255</v>
      </c>
      <c r="BM2981" s="4" t="s">
        <v>241</v>
      </c>
      <c r="BN2981" s="6">
        <f>0</f>
        <v>0</v>
      </c>
      <c r="BO2981" s="6">
        <f>0</f>
        <v>0</v>
      </c>
      <c r="BP2981" s="4" t="s">
        <v>256</v>
      </c>
      <c r="BQ2981" s="4" t="s">
        <v>257</v>
      </c>
      <c r="CE2981" s="4" t="s">
        <v>241</v>
      </c>
      <c r="CF2981" s="4" t="s">
        <v>241</v>
      </c>
      <c r="CJ2981" s="4" t="s">
        <v>276</v>
      </c>
      <c r="CK2981" s="4" t="s">
        <v>259</v>
      </c>
      <c r="CL2981" s="4" t="s">
        <v>241</v>
      </c>
      <c r="CO2981" s="5" t="s">
        <v>260</v>
      </c>
      <c r="CP2981" s="4" t="s">
        <v>241</v>
      </c>
      <c r="CQ2981" s="4" t="s">
        <v>261</v>
      </c>
      <c r="CR2981" s="4" t="s">
        <v>241</v>
      </c>
      <c r="CS2981" s="4" t="s">
        <v>241</v>
      </c>
      <c r="CT2981" s="4">
        <v>0</v>
      </c>
      <c r="CU2981" s="4" t="s">
        <v>262</v>
      </c>
      <c r="CV2981" s="4" t="s">
        <v>263</v>
      </c>
      <c r="CW2981" s="4" t="s">
        <v>263</v>
      </c>
      <c r="CX2981" s="4" t="s">
        <v>264</v>
      </c>
      <c r="DA2981" s="6">
        <f>1</f>
        <v>1</v>
      </c>
      <c r="DC2981" s="4" t="s">
        <v>325</v>
      </c>
      <c r="DD2981" s="4" t="s">
        <v>241</v>
      </c>
      <c r="DF2981" s="4" t="s">
        <v>325</v>
      </c>
      <c r="DG2981" s="6">
        <f>178</f>
        <v>178</v>
      </c>
      <c r="DI2981" s="4" t="s">
        <v>241</v>
      </c>
      <c r="DJ2981" s="4" t="s">
        <v>241</v>
      </c>
      <c r="DK2981" s="4" t="s">
        <v>241</v>
      </c>
      <c r="DL2981" s="4" t="s">
        <v>241</v>
      </c>
      <c r="DP2981" s="4" t="s">
        <v>241</v>
      </c>
      <c r="DQ2981" s="4" t="s">
        <v>241</v>
      </c>
      <c r="DR2981" s="4" t="s">
        <v>241</v>
      </c>
      <c r="DS2981" s="4" t="s">
        <v>241</v>
      </c>
      <c r="DV2981" s="4" t="s">
        <v>426</v>
      </c>
      <c r="DW2981" s="4" t="s">
        <v>1358</v>
      </c>
      <c r="HO2981" s="4" t="s">
        <v>267</v>
      </c>
    </row>
    <row r="2982" spans="1:223" ht="19.5" customHeight="1" x14ac:dyDescent="0.4">
      <c r="A2982" s="4">
        <v>1</v>
      </c>
      <c r="B2982" s="4" t="s">
        <v>239</v>
      </c>
      <c r="C2982" s="4">
        <v>4685</v>
      </c>
      <c r="D2982" s="4">
        <v>1</v>
      </c>
      <c r="E2982" s="4">
        <v>1</v>
      </c>
      <c r="F2982" s="4" t="s">
        <v>268</v>
      </c>
      <c r="G2982" s="4" t="s">
        <v>241</v>
      </c>
      <c r="H2982" s="4" t="s">
        <v>241</v>
      </c>
      <c r="I2982" s="4" t="s">
        <v>424</v>
      </c>
      <c r="J2982" s="4" t="s">
        <v>274</v>
      </c>
      <c r="K2982" s="4" t="s">
        <v>251</v>
      </c>
      <c r="L2982" s="4" t="s">
        <v>423</v>
      </c>
      <c r="M2982" s="5" t="s">
        <v>3361</v>
      </c>
      <c r="N2982" s="6">
        <f>2292</f>
        <v>2292</v>
      </c>
      <c r="O2982" s="4" t="s">
        <v>265</v>
      </c>
      <c r="P2982" s="6">
        <f>1</f>
        <v>1</v>
      </c>
      <c r="Q2982" s="6">
        <f>0</f>
        <v>0</v>
      </c>
      <c r="S2982" s="6">
        <f>0</f>
        <v>0</v>
      </c>
      <c r="T2982" s="6">
        <f>1</f>
        <v>1</v>
      </c>
      <c r="U2982" s="5" t="s">
        <v>245</v>
      </c>
      <c r="V2982" s="4" t="s">
        <v>270</v>
      </c>
      <c r="W2982" s="4" t="s">
        <v>271</v>
      </c>
      <c r="X2982" s="4" t="s">
        <v>273</v>
      </c>
      <c r="Y2982" s="4" t="s">
        <v>241</v>
      </c>
      <c r="AB2982" s="4" t="s">
        <v>241</v>
      </c>
      <c r="AD2982" s="5" t="s">
        <v>241</v>
      </c>
      <c r="AG2982" s="5" t="s">
        <v>246</v>
      </c>
      <c r="AH2982" s="4" t="s">
        <v>241</v>
      </c>
      <c r="AI2982" s="4" t="s">
        <v>247</v>
      </c>
      <c r="AJ2982" s="4" t="s">
        <v>248</v>
      </c>
      <c r="AZ2982" s="4" t="s">
        <v>249</v>
      </c>
      <c r="BA2982" s="4" t="s">
        <v>241</v>
      </c>
      <c r="BB2982" s="4" t="s">
        <v>250</v>
      </c>
      <c r="BC2982" s="4" t="s">
        <v>241</v>
      </c>
      <c r="BD2982" s="4" t="s">
        <v>252</v>
      </c>
      <c r="BE2982" s="4" t="s">
        <v>241</v>
      </c>
      <c r="BI2982" s="4" t="s">
        <v>253</v>
      </c>
      <c r="BJ2982" s="5" t="s">
        <v>246</v>
      </c>
      <c r="BK2982" s="4" t="s">
        <v>254</v>
      </c>
      <c r="BL2982" s="4" t="s">
        <v>255</v>
      </c>
      <c r="BM2982" s="4" t="s">
        <v>241</v>
      </c>
      <c r="BN2982" s="6">
        <f>0</f>
        <v>0</v>
      </c>
      <c r="BO2982" s="6">
        <f>0</f>
        <v>0</v>
      </c>
      <c r="BP2982" s="4" t="s">
        <v>256</v>
      </c>
      <c r="BQ2982" s="4" t="s">
        <v>257</v>
      </c>
      <c r="CE2982" s="4" t="s">
        <v>241</v>
      </c>
      <c r="CF2982" s="4" t="s">
        <v>241</v>
      </c>
      <c r="CJ2982" s="4" t="s">
        <v>276</v>
      </c>
      <c r="CK2982" s="4" t="s">
        <v>259</v>
      </c>
      <c r="CL2982" s="4" t="s">
        <v>241</v>
      </c>
      <c r="CO2982" s="5" t="s">
        <v>260</v>
      </c>
      <c r="CP2982" s="4" t="s">
        <v>241</v>
      </c>
      <c r="CQ2982" s="4" t="s">
        <v>261</v>
      </c>
      <c r="CR2982" s="4" t="s">
        <v>241</v>
      </c>
      <c r="CS2982" s="4" t="s">
        <v>241</v>
      </c>
      <c r="CT2982" s="4">
        <v>0</v>
      </c>
      <c r="CU2982" s="4" t="s">
        <v>262</v>
      </c>
      <c r="CV2982" s="4" t="s">
        <v>263</v>
      </c>
      <c r="CW2982" s="4" t="s">
        <v>263</v>
      </c>
      <c r="CX2982" s="4" t="s">
        <v>264</v>
      </c>
      <c r="DA2982" s="6">
        <f>1</f>
        <v>1</v>
      </c>
      <c r="DC2982" s="4" t="s">
        <v>325</v>
      </c>
      <c r="DD2982" s="4" t="s">
        <v>241</v>
      </c>
      <c r="DF2982" s="4" t="s">
        <v>325</v>
      </c>
      <c r="DG2982" s="6">
        <f>2292</f>
        <v>2292</v>
      </c>
      <c r="DI2982" s="4" t="s">
        <v>241</v>
      </c>
      <c r="DJ2982" s="4" t="s">
        <v>241</v>
      </c>
      <c r="DK2982" s="4" t="s">
        <v>241</v>
      </c>
      <c r="DL2982" s="4" t="s">
        <v>241</v>
      </c>
      <c r="DP2982" s="4" t="s">
        <v>241</v>
      </c>
      <c r="DQ2982" s="4" t="s">
        <v>241</v>
      </c>
      <c r="DR2982" s="4" t="s">
        <v>241</v>
      </c>
      <c r="DS2982" s="4" t="s">
        <v>241</v>
      </c>
      <c r="DV2982" s="4" t="s">
        <v>426</v>
      </c>
      <c r="DW2982" s="4" t="s">
        <v>1292</v>
      </c>
      <c r="HO2982" s="4" t="s">
        <v>267</v>
      </c>
    </row>
    <row r="2983" spans="1:223" ht="19.5" customHeight="1" x14ac:dyDescent="0.4">
      <c r="A2983" s="4">
        <v>1</v>
      </c>
      <c r="B2983" s="4" t="s">
        <v>239</v>
      </c>
      <c r="C2983" s="4">
        <v>4686</v>
      </c>
      <c r="D2983" s="4">
        <v>1</v>
      </c>
      <c r="E2983" s="4">
        <v>1</v>
      </c>
      <c r="F2983" s="4" t="s">
        <v>268</v>
      </c>
      <c r="G2983" s="4" t="s">
        <v>241</v>
      </c>
      <c r="H2983" s="4" t="s">
        <v>241</v>
      </c>
      <c r="I2983" s="4" t="s">
        <v>424</v>
      </c>
      <c r="J2983" s="4" t="s">
        <v>274</v>
      </c>
      <c r="K2983" s="4" t="s">
        <v>251</v>
      </c>
      <c r="L2983" s="4" t="s">
        <v>423</v>
      </c>
      <c r="M2983" s="5" t="s">
        <v>3351</v>
      </c>
      <c r="N2983" s="6">
        <f>41</f>
        <v>41</v>
      </c>
      <c r="O2983" s="4" t="s">
        <v>265</v>
      </c>
      <c r="P2983" s="6">
        <f>1</f>
        <v>1</v>
      </c>
      <c r="Q2983" s="6">
        <f>0</f>
        <v>0</v>
      </c>
      <c r="S2983" s="6">
        <f>0</f>
        <v>0</v>
      </c>
      <c r="T2983" s="6">
        <f>1</f>
        <v>1</v>
      </c>
      <c r="U2983" s="5" t="s">
        <v>245</v>
      </c>
      <c r="V2983" s="4" t="s">
        <v>270</v>
      </c>
      <c r="W2983" s="4" t="s">
        <v>271</v>
      </c>
      <c r="X2983" s="4" t="s">
        <v>273</v>
      </c>
      <c r="Y2983" s="4" t="s">
        <v>241</v>
      </c>
      <c r="AB2983" s="4" t="s">
        <v>241</v>
      </c>
      <c r="AD2983" s="5" t="s">
        <v>241</v>
      </c>
      <c r="AG2983" s="5" t="s">
        <v>246</v>
      </c>
      <c r="AH2983" s="4" t="s">
        <v>241</v>
      </c>
      <c r="AI2983" s="4" t="s">
        <v>247</v>
      </c>
      <c r="AJ2983" s="4" t="s">
        <v>248</v>
      </c>
      <c r="AZ2983" s="4" t="s">
        <v>249</v>
      </c>
      <c r="BA2983" s="4" t="s">
        <v>241</v>
      </c>
      <c r="BB2983" s="4" t="s">
        <v>250</v>
      </c>
      <c r="BC2983" s="4" t="s">
        <v>241</v>
      </c>
      <c r="BD2983" s="4" t="s">
        <v>252</v>
      </c>
      <c r="BE2983" s="4" t="s">
        <v>241</v>
      </c>
      <c r="BI2983" s="4" t="s">
        <v>253</v>
      </c>
      <c r="BJ2983" s="5" t="s">
        <v>246</v>
      </c>
      <c r="BK2983" s="4" t="s">
        <v>254</v>
      </c>
      <c r="BL2983" s="4" t="s">
        <v>255</v>
      </c>
      <c r="BM2983" s="4" t="s">
        <v>241</v>
      </c>
      <c r="BN2983" s="6">
        <f>0</f>
        <v>0</v>
      </c>
      <c r="BO2983" s="6">
        <f>0</f>
        <v>0</v>
      </c>
      <c r="BP2983" s="4" t="s">
        <v>256</v>
      </c>
      <c r="BQ2983" s="4" t="s">
        <v>257</v>
      </c>
      <c r="CE2983" s="4" t="s">
        <v>241</v>
      </c>
      <c r="CF2983" s="4" t="s">
        <v>241</v>
      </c>
      <c r="CJ2983" s="4" t="s">
        <v>276</v>
      </c>
      <c r="CK2983" s="4" t="s">
        <v>259</v>
      </c>
      <c r="CL2983" s="4" t="s">
        <v>241</v>
      </c>
      <c r="CO2983" s="5" t="s">
        <v>260</v>
      </c>
      <c r="CP2983" s="4" t="s">
        <v>241</v>
      </c>
      <c r="CQ2983" s="4" t="s">
        <v>261</v>
      </c>
      <c r="CR2983" s="4" t="s">
        <v>241</v>
      </c>
      <c r="CS2983" s="4" t="s">
        <v>241</v>
      </c>
      <c r="CT2983" s="4">
        <v>0</v>
      </c>
      <c r="CU2983" s="4" t="s">
        <v>262</v>
      </c>
      <c r="CV2983" s="4" t="s">
        <v>263</v>
      </c>
      <c r="CW2983" s="4" t="s">
        <v>263</v>
      </c>
      <c r="CX2983" s="4" t="s">
        <v>264</v>
      </c>
      <c r="DA2983" s="6">
        <f>1</f>
        <v>1</v>
      </c>
      <c r="DC2983" s="4" t="s">
        <v>325</v>
      </c>
      <c r="DD2983" s="4" t="s">
        <v>241</v>
      </c>
      <c r="DF2983" s="4" t="s">
        <v>325</v>
      </c>
      <c r="DG2983" s="6">
        <f>41</f>
        <v>41</v>
      </c>
      <c r="DI2983" s="4" t="s">
        <v>241</v>
      </c>
      <c r="DJ2983" s="4" t="s">
        <v>241</v>
      </c>
      <c r="DK2983" s="4" t="s">
        <v>241</v>
      </c>
      <c r="DL2983" s="4" t="s">
        <v>241</v>
      </c>
      <c r="DP2983" s="4" t="s">
        <v>241</v>
      </c>
      <c r="DQ2983" s="4" t="s">
        <v>241</v>
      </c>
      <c r="DR2983" s="4" t="s">
        <v>241</v>
      </c>
      <c r="DS2983" s="4" t="s">
        <v>241</v>
      </c>
      <c r="DV2983" s="4" t="s">
        <v>426</v>
      </c>
      <c r="DW2983" s="4" t="s">
        <v>1307</v>
      </c>
      <c r="HO2983" s="4" t="s">
        <v>267</v>
      </c>
    </row>
    <row r="2984" spans="1:223" ht="19.5" customHeight="1" x14ac:dyDescent="0.4">
      <c r="A2984" s="4">
        <v>1</v>
      </c>
      <c r="B2984" s="4" t="s">
        <v>239</v>
      </c>
      <c r="C2984" s="4">
        <v>4687</v>
      </c>
      <c r="D2984" s="4">
        <v>1</v>
      </c>
      <c r="E2984" s="4">
        <v>1</v>
      </c>
      <c r="F2984" s="4" t="s">
        <v>268</v>
      </c>
      <c r="G2984" s="4" t="s">
        <v>241</v>
      </c>
      <c r="H2984" s="4" t="s">
        <v>241</v>
      </c>
      <c r="I2984" s="4" t="s">
        <v>424</v>
      </c>
      <c r="J2984" s="4" t="s">
        <v>274</v>
      </c>
      <c r="K2984" s="4" t="s">
        <v>251</v>
      </c>
      <c r="L2984" s="4" t="s">
        <v>423</v>
      </c>
      <c r="M2984" s="5" t="s">
        <v>3340</v>
      </c>
      <c r="N2984" s="6">
        <f>132</f>
        <v>132</v>
      </c>
      <c r="O2984" s="4" t="s">
        <v>265</v>
      </c>
      <c r="P2984" s="6">
        <f>1</f>
        <v>1</v>
      </c>
      <c r="Q2984" s="6">
        <f>0</f>
        <v>0</v>
      </c>
      <c r="S2984" s="6">
        <f>0</f>
        <v>0</v>
      </c>
      <c r="T2984" s="6">
        <f>1</f>
        <v>1</v>
      </c>
      <c r="U2984" s="5" t="s">
        <v>245</v>
      </c>
      <c r="V2984" s="4" t="s">
        <v>270</v>
      </c>
      <c r="W2984" s="4" t="s">
        <v>271</v>
      </c>
      <c r="X2984" s="4" t="s">
        <v>273</v>
      </c>
      <c r="Y2984" s="4" t="s">
        <v>241</v>
      </c>
      <c r="AB2984" s="4" t="s">
        <v>241</v>
      </c>
      <c r="AD2984" s="5" t="s">
        <v>241</v>
      </c>
      <c r="AG2984" s="5" t="s">
        <v>246</v>
      </c>
      <c r="AH2984" s="4" t="s">
        <v>241</v>
      </c>
      <c r="AI2984" s="4" t="s">
        <v>247</v>
      </c>
      <c r="AJ2984" s="4" t="s">
        <v>248</v>
      </c>
      <c r="AZ2984" s="4" t="s">
        <v>249</v>
      </c>
      <c r="BA2984" s="4" t="s">
        <v>241</v>
      </c>
      <c r="BB2984" s="4" t="s">
        <v>250</v>
      </c>
      <c r="BC2984" s="4" t="s">
        <v>241</v>
      </c>
      <c r="BD2984" s="4" t="s">
        <v>252</v>
      </c>
      <c r="BE2984" s="4" t="s">
        <v>241</v>
      </c>
      <c r="BI2984" s="4" t="s">
        <v>253</v>
      </c>
      <c r="BJ2984" s="5" t="s">
        <v>246</v>
      </c>
      <c r="BK2984" s="4" t="s">
        <v>254</v>
      </c>
      <c r="BL2984" s="4" t="s">
        <v>255</v>
      </c>
      <c r="BM2984" s="4" t="s">
        <v>241</v>
      </c>
      <c r="BN2984" s="6">
        <f>0</f>
        <v>0</v>
      </c>
      <c r="BO2984" s="6">
        <f>0</f>
        <v>0</v>
      </c>
      <c r="BP2984" s="4" t="s">
        <v>256</v>
      </c>
      <c r="BQ2984" s="4" t="s">
        <v>257</v>
      </c>
      <c r="CE2984" s="4" t="s">
        <v>241</v>
      </c>
      <c r="CF2984" s="4" t="s">
        <v>241</v>
      </c>
      <c r="CJ2984" s="4" t="s">
        <v>276</v>
      </c>
      <c r="CK2984" s="4" t="s">
        <v>259</v>
      </c>
      <c r="CL2984" s="4" t="s">
        <v>241</v>
      </c>
      <c r="CO2984" s="5" t="s">
        <v>260</v>
      </c>
      <c r="CP2984" s="4" t="s">
        <v>241</v>
      </c>
      <c r="CQ2984" s="4" t="s">
        <v>261</v>
      </c>
      <c r="CR2984" s="4" t="s">
        <v>241</v>
      </c>
      <c r="CS2984" s="4" t="s">
        <v>241</v>
      </c>
      <c r="CT2984" s="4">
        <v>0</v>
      </c>
      <c r="CU2984" s="4" t="s">
        <v>262</v>
      </c>
      <c r="CV2984" s="4" t="s">
        <v>263</v>
      </c>
      <c r="CW2984" s="4" t="s">
        <v>263</v>
      </c>
      <c r="CX2984" s="4" t="s">
        <v>264</v>
      </c>
      <c r="DA2984" s="6">
        <f>1</f>
        <v>1</v>
      </c>
      <c r="DC2984" s="4" t="s">
        <v>325</v>
      </c>
      <c r="DD2984" s="4" t="s">
        <v>241</v>
      </c>
      <c r="DF2984" s="4" t="s">
        <v>325</v>
      </c>
      <c r="DG2984" s="6">
        <f>132</f>
        <v>132</v>
      </c>
      <c r="DI2984" s="4" t="s">
        <v>241</v>
      </c>
      <c r="DJ2984" s="4" t="s">
        <v>241</v>
      </c>
      <c r="DK2984" s="4" t="s">
        <v>241</v>
      </c>
      <c r="DL2984" s="4" t="s">
        <v>241</v>
      </c>
      <c r="DP2984" s="4" t="s">
        <v>241</v>
      </c>
      <c r="DQ2984" s="4" t="s">
        <v>241</v>
      </c>
      <c r="DR2984" s="4" t="s">
        <v>241</v>
      </c>
      <c r="DS2984" s="4" t="s">
        <v>241</v>
      </c>
      <c r="DV2984" s="4" t="s">
        <v>426</v>
      </c>
      <c r="DW2984" s="4" t="s">
        <v>1009</v>
      </c>
      <c r="HO2984" s="4" t="s">
        <v>267</v>
      </c>
    </row>
    <row r="2985" spans="1:223" ht="19.5" customHeight="1" x14ac:dyDescent="0.4">
      <c r="A2985" s="4">
        <v>1</v>
      </c>
      <c r="B2985" s="4" t="s">
        <v>239</v>
      </c>
      <c r="C2985" s="4">
        <v>4688</v>
      </c>
      <c r="D2985" s="4">
        <v>1</v>
      </c>
      <c r="E2985" s="4">
        <v>1</v>
      </c>
      <c r="F2985" s="4" t="s">
        <v>268</v>
      </c>
      <c r="G2985" s="4" t="s">
        <v>241</v>
      </c>
      <c r="H2985" s="4" t="s">
        <v>241</v>
      </c>
      <c r="I2985" s="4" t="s">
        <v>424</v>
      </c>
      <c r="J2985" s="4" t="s">
        <v>274</v>
      </c>
      <c r="K2985" s="4" t="s">
        <v>251</v>
      </c>
      <c r="L2985" s="4" t="s">
        <v>423</v>
      </c>
      <c r="M2985" s="5" t="s">
        <v>3331</v>
      </c>
      <c r="N2985" s="6">
        <f>169</f>
        <v>169</v>
      </c>
      <c r="O2985" s="4" t="s">
        <v>265</v>
      </c>
      <c r="P2985" s="6">
        <f>1</f>
        <v>1</v>
      </c>
      <c r="Q2985" s="6">
        <f>0</f>
        <v>0</v>
      </c>
      <c r="S2985" s="6">
        <f>0</f>
        <v>0</v>
      </c>
      <c r="T2985" s="6">
        <f>1</f>
        <v>1</v>
      </c>
      <c r="U2985" s="5" t="s">
        <v>245</v>
      </c>
      <c r="V2985" s="4" t="s">
        <v>270</v>
      </c>
      <c r="W2985" s="4" t="s">
        <v>271</v>
      </c>
      <c r="X2985" s="4" t="s">
        <v>273</v>
      </c>
      <c r="Y2985" s="4" t="s">
        <v>241</v>
      </c>
      <c r="AB2985" s="4" t="s">
        <v>241</v>
      </c>
      <c r="AD2985" s="5" t="s">
        <v>241</v>
      </c>
      <c r="AG2985" s="5" t="s">
        <v>246</v>
      </c>
      <c r="AH2985" s="4" t="s">
        <v>241</v>
      </c>
      <c r="AI2985" s="4" t="s">
        <v>247</v>
      </c>
      <c r="AJ2985" s="4" t="s">
        <v>248</v>
      </c>
      <c r="AZ2985" s="4" t="s">
        <v>249</v>
      </c>
      <c r="BA2985" s="4" t="s">
        <v>241</v>
      </c>
      <c r="BB2985" s="4" t="s">
        <v>250</v>
      </c>
      <c r="BC2985" s="4" t="s">
        <v>241</v>
      </c>
      <c r="BD2985" s="4" t="s">
        <v>252</v>
      </c>
      <c r="BE2985" s="4" t="s">
        <v>241</v>
      </c>
      <c r="BI2985" s="4" t="s">
        <v>253</v>
      </c>
      <c r="BJ2985" s="5" t="s">
        <v>246</v>
      </c>
      <c r="BK2985" s="4" t="s">
        <v>254</v>
      </c>
      <c r="BL2985" s="4" t="s">
        <v>255</v>
      </c>
      <c r="BM2985" s="4" t="s">
        <v>241</v>
      </c>
      <c r="BN2985" s="6">
        <f>0</f>
        <v>0</v>
      </c>
      <c r="BO2985" s="6">
        <f>0</f>
        <v>0</v>
      </c>
      <c r="BP2985" s="4" t="s">
        <v>256</v>
      </c>
      <c r="BQ2985" s="4" t="s">
        <v>257</v>
      </c>
      <c r="CE2985" s="4" t="s">
        <v>241</v>
      </c>
      <c r="CF2985" s="4" t="s">
        <v>241</v>
      </c>
      <c r="CJ2985" s="4" t="s">
        <v>276</v>
      </c>
      <c r="CK2985" s="4" t="s">
        <v>259</v>
      </c>
      <c r="CL2985" s="4" t="s">
        <v>241</v>
      </c>
      <c r="CO2985" s="5" t="s">
        <v>260</v>
      </c>
      <c r="CP2985" s="4" t="s">
        <v>241</v>
      </c>
      <c r="CQ2985" s="4" t="s">
        <v>261</v>
      </c>
      <c r="CR2985" s="4" t="s">
        <v>241</v>
      </c>
      <c r="CS2985" s="4" t="s">
        <v>241</v>
      </c>
      <c r="CT2985" s="4">
        <v>0</v>
      </c>
      <c r="CU2985" s="4" t="s">
        <v>262</v>
      </c>
      <c r="CV2985" s="4" t="s">
        <v>263</v>
      </c>
      <c r="CW2985" s="4" t="s">
        <v>263</v>
      </c>
      <c r="CX2985" s="4" t="s">
        <v>264</v>
      </c>
      <c r="DA2985" s="6">
        <f>1</f>
        <v>1</v>
      </c>
      <c r="DC2985" s="4" t="s">
        <v>325</v>
      </c>
      <c r="DD2985" s="4" t="s">
        <v>241</v>
      </c>
      <c r="DF2985" s="4" t="s">
        <v>325</v>
      </c>
      <c r="DG2985" s="6">
        <f>169</f>
        <v>169</v>
      </c>
      <c r="DI2985" s="4" t="s">
        <v>241</v>
      </c>
      <c r="DJ2985" s="4" t="s">
        <v>241</v>
      </c>
      <c r="DK2985" s="4" t="s">
        <v>241</v>
      </c>
      <c r="DL2985" s="4" t="s">
        <v>241</v>
      </c>
      <c r="DP2985" s="4" t="s">
        <v>241</v>
      </c>
      <c r="DQ2985" s="4" t="s">
        <v>241</v>
      </c>
      <c r="DR2985" s="4" t="s">
        <v>241</v>
      </c>
      <c r="DS2985" s="4" t="s">
        <v>241</v>
      </c>
      <c r="DV2985" s="4" t="s">
        <v>426</v>
      </c>
      <c r="DW2985" s="4" t="s">
        <v>1417</v>
      </c>
      <c r="HO2985" s="4" t="s">
        <v>267</v>
      </c>
    </row>
    <row r="2986" spans="1:223" ht="19.5" customHeight="1" x14ac:dyDescent="0.4">
      <c r="A2986" s="4">
        <v>1</v>
      </c>
      <c r="B2986" s="4" t="s">
        <v>239</v>
      </c>
      <c r="C2986" s="4">
        <v>4689</v>
      </c>
      <c r="D2986" s="4">
        <v>1</v>
      </c>
      <c r="E2986" s="4">
        <v>1</v>
      </c>
      <c r="F2986" s="4" t="s">
        <v>268</v>
      </c>
      <c r="G2986" s="4" t="s">
        <v>241</v>
      </c>
      <c r="H2986" s="4" t="s">
        <v>241</v>
      </c>
      <c r="I2986" s="4" t="s">
        <v>424</v>
      </c>
      <c r="J2986" s="4" t="s">
        <v>274</v>
      </c>
      <c r="K2986" s="4" t="s">
        <v>251</v>
      </c>
      <c r="L2986" s="4" t="s">
        <v>423</v>
      </c>
      <c r="M2986" s="5" t="s">
        <v>3321</v>
      </c>
      <c r="N2986" s="6">
        <f>119</f>
        <v>119</v>
      </c>
      <c r="O2986" s="4" t="s">
        <v>265</v>
      </c>
      <c r="P2986" s="6">
        <f>1</f>
        <v>1</v>
      </c>
      <c r="Q2986" s="6">
        <f>0</f>
        <v>0</v>
      </c>
      <c r="S2986" s="6">
        <f>0</f>
        <v>0</v>
      </c>
      <c r="T2986" s="6">
        <f>1</f>
        <v>1</v>
      </c>
      <c r="U2986" s="5" t="s">
        <v>245</v>
      </c>
      <c r="V2986" s="4" t="s">
        <v>270</v>
      </c>
      <c r="W2986" s="4" t="s">
        <v>271</v>
      </c>
      <c r="X2986" s="4" t="s">
        <v>273</v>
      </c>
      <c r="Y2986" s="4" t="s">
        <v>241</v>
      </c>
      <c r="AB2986" s="4" t="s">
        <v>241</v>
      </c>
      <c r="AD2986" s="5" t="s">
        <v>241</v>
      </c>
      <c r="AG2986" s="5" t="s">
        <v>246</v>
      </c>
      <c r="AH2986" s="4" t="s">
        <v>241</v>
      </c>
      <c r="AI2986" s="4" t="s">
        <v>247</v>
      </c>
      <c r="AJ2986" s="4" t="s">
        <v>248</v>
      </c>
      <c r="AZ2986" s="4" t="s">
        <v>249</v>
      </c>
      <c r="BA2986" s="4" t="s">
        <v>241</v>
      </c>
      <c r="BB2986" s="4" t="s">
        <v>250</v>
      </c>
      <c r="BC2986" s="4" t="s">
        <v>241</v>
      </c>
      <c r="BD2986" s="4" t="s">
        <v>252</v>
      </c>
      <c r="BE2986" s="4" t="s">
        <v>241</v>
      </c>
      <c r="BI2986" s="4" t="s">
        <v>253</v>
      </c>
      <c r="BJ2986" s="5" t="s">
        <v>246</v>
      </c>
      <c r="BK2986" s="4" t="s">
        <v>254</v>
      </c>
      <c r="BL2986" s="4" t="s">
        <v>255</v>
      </c>
      <c r="BM2986" s="4" t="s">
        <v>241</v>
      </c>
      <c r="BN2986" s="6">
        <f>0</f>
        <v>0</v>
      </c>
      <c r="BO2986" s="6">
        <f>0</f>
        <v>0</v>
      </c>
      <c r="BP2986" s="4" t="s">
        <v>256</v>
      </c>
      <c r="BQ2986" s="4" t="s">
        <v>257</v>
      </c>
      <c r="CE2986" s="4" t="s">
        <v>241</v>
      </c>
      <c r="CF2986" s="4" t="s">
        <v>241</v>
      </c>
      <c r="CJ2986" s="4" t="s">
        <v>276</v>
      </c>
      <c r="CK2986" s="4" t="s">
        <v>259</v>
      </c>
      <c r="CL2986" s="4" t="s">
        <v>241</v>
      </c>
      <c r="CO2986" s="5" t="s">
        <v>260</v>
      </c>
      <c r="CP2986" s="4" t="s">
        <v>241</v>
      </c>
      <c r="CQ2986" s="4" t="s">
        <v>261</v>
      </c>
      <c r="CR2986" s="4" t="s">
        <v>241</v>
      </c>
      <c r="CS2986" s="4" t="s">
        <v>241</v>
      </c>
      <c r="CT2986" s="4">
        <v>0</v>
      </c>
      <c r="CU2986" s="4" t="s">
        <v>262</v>
      </c>
      <c r="CV2986" s="4" t="s">
        <v>263</v>
      </c>
      <c r="CW2986" s="4" t="s">
        <v>263</v>
      </c>
      <c r="CX2986" s="4" t="s">
        <v>264</v>
      </c>
      <c r="DA2986" s="6">
        <f>1</f>
        <v>1</v>
      </c>
      <c r="DC2986" s="4" t="s">
        <v>325</v>
      </c>
      <c r="DD2986" s="4" t="s">
        <v>241</v>
      </c>
      <c r="DF2986" s="4" t="s">
        <v>325</v>
      </c>
      <c r="DG2986" s="6">
        <f>119</f>
        <v>119</v>
      </c>
      <c r="DI2986" s="4" t="s">
        <v>241</v>
      </c>
      <c r="DJ2986" s="4" t="s">
        <v>241</v>
      </c>
      <c r="DK2986" s="4" t="s">
        <v>241</v>
      </c>
      <c r="DL2986" s="4" t="s">
        <v>241</v>
      </c>
      <c r="DP2986" s="4" t="s">
        <v>241</v>
      </c>
      <c r="DQ2986" s="4" t="s">
        <v>241</v>
      </c>
      <c r="DR2986" s="4" t="s">
        <v>241</v>
      </c>
      <c r="DS2986" s="4" t="s">
        <v>241</v>
      </c>
      <c r="DV2986" s="4" t="s">
        <v>426</v>
      </c>
      <c r="DW2986" s="4" t="s">
        <v>3322</v>
      </c>
      <c r="HO2986" s="4" t="s">
        <v>267</v>
      </c>
    </row>
    <row r="2987" spans="1:223" ht="19.5" customHeight="1" x14ac:dyDescent="0.4">
      <c r="A2987" s="4">
        <v>1</v>
      </c>
      <c r="B2987" s="4" t="s">
        <v>239</v>
      </c>
      <c r="C2987" s="4">
        <v>4690</v>
      </c>
      <c r="D2987" s="4">
        <v>1</v>
      </c>
      <c r="E2987" s="4">
        <v>1</v>
      </c>
      <c r="F2987" s="4" t="s">
        <v>268</v>
      </c>
      <c r="G2987" s="4" t="s">
        <v>241</v>
      </c>
      <c r="H2987" s="4" t="s">
        <v>241</v>
      </c>
      <c r="I2987" s="4" t="s">
        <v>424</v>
      </c>
      <c r="J2987" s="4" t="s">
        <v>274</v>
      </c>
      <c r="K2987" s="4" t="s">
        <v>251</v>
      </c>
      <c r="L2987" s="4" t="s">
        <v>423</v>
      </c>
      <c r="M2987" s="5" t="s">
        <v>3313</v>
      </c>
      <c r="N2987" s="6">
        <f>219</f>
        <v>219</v>
      </c>
      <c r="O2987" s="4" t="s">
        <v>265</v>
      </c>
      <c r="P2987" s="6">
        <f>1</f>
        <v>1</v>
      </c>
      <c r="Q2987" s="6">
        <f>0</f>
        <v>0</v>
      </c>
      <c r="S2987" s="6">
        <f>0</f>
        <v>0</v>
      </c>
      <c r="T2987" s="6">
        <f>1</f>
        <v>1</v>
      </c>
      <c r="U2987" s="5" t="s">
        <v>245</v>
      </c>
      <c r="V2987" s="4" t="s">
        <v>270</v>
      </c>
      <c r="W2987" s="4" t="s">
        <v>271</v>
      </c>
      <c r="X2987" s="4" t="s">
        <v>273</v>
      </c>
      <c r="Y2987" s="4" t="s">
        <v>241</v>
      </c>
      <c r="AB2987" s="4" t="s">
        <v>241</v>
      </c>
      <c r="AD2987" s="5" t="s">
        <v>241</v>
      </c>
      <c r="AG2987" s="5" t="s">
        <v>246</v>
      </c>
      <c r="AH2987" s="4" t="s">
        <v>241</v>
      </c>
      <c r="AI2987" s="4" t="s">
        <v>247</v>
      </c>
      <c r="AJ2987" s="4" t="s">
        <v>248</v>
      </c>
      <c r="AZ2987" s="4" t="s">
        <v>249</v>
      </c>
      <c r="BA2987" s="4" t="s">
        <v>241</v>
      </c>
      <c r="BB2987" s="4" t="s">
        <v>250</v>
      </c>
      <c r="BC2987" s="4" t="s">
        <v>241</v>
      </c>
      <c r="BD2987" s="4" t="s">
        <v>252</v>
      </c>
      <c r="BE2987" s="4" t="s">
        <v>241</v>
      </c>
      <c r="BI2987" s="4" t="s">
        <v>253</v>
      </c>
      <c r="BJ2987" s="5" t="s">
        <v>246</v>
      </c>
      <c r="BK2987" s="4" t="s">
        <v>254</v>
      </c>
      <c r="BL2987" s="4" t="s">
        <v>255</v>
      </c>
      <c r="BM2987" s="4" t="s">
        <v>241</v>
      </c>
      <c r="BN2987" s="6">
        <f>0</f>
        <v>0</v>
      </c>
      <c r="BO2987" s="6">
        <f>0</f>
        <v>0</v>
      </c>
      <c r="BP2987" s="4" t="s">
        <v>256</v>
      </c>
      <c r="BQ2987" s="4" t="s">
        <v>257</v>
      </c>
      <c r="CE2987" s="4" t="s">
        <v>241</v>
      </c>
      <c r="CF2987" s="4" t="s">
        <v>241</v>
      </c>
      <c r="CJ2987" s="4" t="s">
        <v>276</v>
      </c>
      <c r="CK2987" s="4" t="s">
        <v>259</v>
      </c>
      <c r="CL2987" s="4" t="s">
        <v>241</v>
      </c>
      <c r="CO2987" s="5" t="s">
        <v>260</v>
      </c>
      <c r="CP2987" s="4" t="s">
        <v>241</v>
      </c>
      <c r="CQ2987" s="4" t="s">
        <v>261</v>
      </c>
      <c r="CR2987" s="4" t="s">
        <v>241</v>
      </c>
      <c r="CS2987" s="4" t="s">
        <v>241</v>
      </c>
      <c r="CT2987" s="4">
        <v>0</v>
      </c>
      <c r="CU2987" s="4" t="s">
        <v>262</v>
      </c>
      <c r="CV2987" s="4" t="s">
        <v>263</v>
      </c>
      <c r="CW2987" s="4" t="s">
        <v>263</v>
      </c>
      <c r="CX2987" s="4" t="s">
        <v>264</v>
      </c>
      <c r="DA2987" s="6">
        <f>1</f>
        <v>1</v>
      </c>
      <c r="DC2987" s="4" t="s">
        <v>325</v>
      </c>
      <c r="DD2987" s="4" t="s">
        <v>241</v>
      </c>
      <c r="DF2987" s="4" t="s">
        <v>325</v>
      </c>
      <c r="DG2987" s="6">
        <f>219</f>
        <v>219</v>
      </c>
      <c r="DI2987" s="4" t="s">
        <v>241</v>
      </c>
      <c r="DJ2987" s="4" t="s">
        <v>241</v>
      </c>
      <c r="DK2987" s="4" t="s">
        <v>241</v>
      </c>
      <c r="DL2987" s="4" t="s">
        <v>241</v>
      </c>
      <c r="DP2987" s="4" t="s">
        <v>241</v>
      </c>
      <c r="DQ2987" s="4" t="s">
        <v>241</v>
      </c>
      <c r="DR2987" s="4" t="s">
        <v>241</v>
      </c>
      <c r="DS2987" s="4" t="s">
        <v>241</v>
      </c>
      <c r="DV2987" s="4" t="s">
        <v>426</v>
      </c>
      <c r="DW2987" s="4" t="s">
        <v>1004</v>
      </c>
      <c r="HO2987" s="4" t="s">
        <v>267</v>
      </c>
    </row>
    <row r="2988" spans="1:223" ht="19.5" customHeight="1" x14ac:dyDescent="0.4">
      <c r="A2988" s="4">
        <v>1</v>
      </c>
      <c r="B2988" s="4" t="s">
        <v>239</v>
      </c>
      <c r="C2988" s="4">
        <v>4691</v>
      </c>
      <c r="D2988" s="4">
        <v>1</v>
      </c>
      <c r="E2988" s="4">
        <v>1</v>
      </c>
      <c r="F2988" s="4" t="s">
        <v>268</v>
      </c>
      <c r="G2988" s="4" t="s">
        <v>241</v>
      </c>
      <c r="H2988" s="4" t="s">
        <v>241</v>
      </c>
      <c r="I2988" s="4" t="s">
        <v>424</v>
      </c>
      <c r="J2988" s="4" t="s">
        <v>274</v>
      </c>
      <c r="K2988" s="4" t="s">
        <v>251</v>
      </c>
      <c r="L2988" s="4" t="s">
        <v>423</v>
      </c>
      <c r="M2988" s="5" t="s">
        <v>3305</v>
      </c>
      <c r="N2988" s="6">
        <f>17</f>
        <v>17</v>
      </c>
      <c r="O2988" s="4" t="s">
        <v>265</v>
      </c>
      <c r="P2988" s="6">
        <f>1</f>
        <v>1</v>
      </c>
      <c r="Q2988" s="6">
        <f>0</f>
        <v>0</v>
      </c>
      <c r="S2988" s="6">
        <f>0</f>
        <v>0</v>
      </c>
      <c r="T2988" s="6">
        <f>1</f>
        <v>1</v>
      </c>
      <c r="U2988" s="5" t="s">
        <v>245</v>
      </c>
      <c r="V2988" s="4" t="s">
        <v>270</v>
      </c>
      <c r="W2988" s="4" t="s">
        <v>271</v>
      </c>
      <c r="X2988" s="4" t="s">
        <v>273</v>
      </c>
      <c r="Y2988" s="4" t="s">
        <v>241</v>
      </c>
      <c r="AB2988" s="4" t="s">
        <v>241</v>
      </c>
      <c r="AD2988" s="5" t="s">
        <v>241</v>
      </c>
      <c r="AG2988" s="5" t="s">
        <v>246</v>
      </c>
      <c r="AH2988" s="4" t="s">
        <v>241</v>
      </c>
      <c r="AI2988" s="4" t="s">
        <v>247</v>
      </c>
      <c r="AJ2988" s="4" t="s">
        <v>248</v>
      </c>
      <c r="AZ2988" s="4" t="s">
        <v>249</v>
      </c>
      <c r="BA2988" s="4" t="s">
        <v>241</v>
      </c>
      <c r="BB2988" s="4" t="s">
        <v>250</v>
      </c>
      <c r="BC2988" s="4" t="s">
        <v>241</v>
      </c>
      <c r="BD2988" s="4" t="s">
        <v>252</v>
      </c>
      <c r="BE2988" s="4" t="s">
        <v>241</v>
      </c>
      <c r="BI2988" s="4" t="s">
        <v>253</v>
      </c>
      <c r="BJ2988" s="5" t="s">
        <v>246</v>
      </c>
      <c r="BK2988" s="4" t="s">
        <v>254</v>
      </c>
      <c r="BL2988" s="4" t="s">
        <v>255</v>
      </c>
      <c r="BM2988" s="4" t="s">
        <v>241</v>
      </c>
      <c r="BN2988" s="6">
        <f>0</f>
        <v>0</v>
      </c>
      <c r="BO2988" s="6">
        <f>0</f>
        <v>0</v>
      </c>
      <c r="BP2988" s="4" t="s">
        <v>256</v>
      </c>
      <c r="BQ2988" s="4" t="s">
        <v>257</v>
      </c>
      <c r="CE2988" s="4" t="s">
        <v>241</v>
      </c>
      <c r="CF2988" s="4" t="s">
        <v>241</v>
      </c>
      <c r="CJ2988" s="4" t="s">
        <v>276</v>
      </c>
      <c r="CK2988" s="4" t="s">
        <v>259</v>
      </c>
      <c r="CL2988" s="4" t="s">
        <v>241</v>
      </c>
      <c r="CO2988" s="5" t="s">
        <v>260</v>
      </c>
      <c r="CP2988" s="4" t="s">
        <v>241</v>
      </c>
      <c r="CQ2988" s="4" t="s">
        <v>261</v>
      </c>
      <c r="CR2988" s="4" t="s">
        <v>241</v>
      </c>
      <c r="CS2988" s="4" t="s">
        <v>241</v>
      </c>
      <c r="CT2988" s="4">
        <v>0</v>
      </c>
      <c r="CU2988" s="4" t="s">
        <v>262</v>
      </c>
      <c r="CV2988" s="4" t="s">
        <v>263</v>
      </c>
      <c r="CW2988" s="4" t="s">
        <v>263</v>
      </c>
      <c r="CX2988" s="4" t="s">
        <v>264</v>
      </c>
      <c r="DA2988" s="6">
        <f>1</f>
        <v>1</v>
      </c>
      <c r="DC2988" s="4" t="s">
        <v>325</v>
      </c>
      <c r="DD2988" s="4" t="s">
        <v>241</v>
      </c>
      <c r="DF2988" s="4" t="s">
        <v>325</v>
      </c>
      <c r="DG2988" s="6">
        <f>17</f>
        <v>17</v>
      </c>
      <c r="DI2988" s="4" t="s">
        <v>241</v>
      </c>
      <c r="DJ2988" s="4" t="s">
        <v>241</v>
      </c>
      <c r="DK2988" s="4" t="s">
        <v>241</v>
      </c>
      <c r="DL2988" s="4" t="s">
        <v>241</v>
      </c>
      <c r="DP2988" s="4" t="s">
        <v>241</v>
      </c>
      <c r="DQ2988" s="4" t="s">
        <v>241</v>
      </c>
      <c r="DR2988" s="4" t="s">
        <v>241</v>
      </c>
      <c r="DS2988" s="4" t="s">
        <v>241</v>
      </c>
      <c r="DV2988" s="4" t="s">
        <v>426</v>
      </c>
      <c r="DW2988" s="4" t="s">
        <v>3306</v>
      </c>
      <c r="HO2988" s="4" t="s">
        <v>267</v>
      </c>
    </row>
    <row r="2989" spans="1:223" ht="19.5" customHeight="1" x14ac:dyDescent="0.4">
      <c r="A2989" s="4">
        <v>1</v>
      </c>
      <c r="B2989" s="4" t="s">
        <v>239</v>
      </c>
      <c r="C2989" s="4">
        <v>4692</v>
      </c>
      <c r="D2989" s="4">
        <v>1</v>
      </c>
      <c r="E2989" s="4">
        <v>1</v>
      </c>
      <c r="F2989" s="4" t="s">
        <v>268</v>
      </c>
      <c r="G2989" s="4" t="s">
        <v>241</v>
      </c>
      <c r="H2989" s="4" t="s">
        <v>241</v>
      </c>
      <c r="I2989" s="4" t="s">
        <v>424</v>
      </c>
      <c r="J2989" s="4" t="s">
        <v>274</v>
      </c>
      <c r="K2989" s="4" t="s">
        <v>251</v>
      </c>
      <c r="L2989" s="4" t="s">
        <v>423</v>
      </c>
      <c r="M2989" s="5" t="s">
        <v>3298</v>
      </c>
      <c r="N2989" s="6">
        <f>130</f>
        <v>130</v>
      </c>
      <c r="O2989" s="4" t="s">
        <v>265</v>
      </c>
      <c r="P2989" s="6">
        <f>1</f>
        <v>1</v>
      </c>
      <c r="Q2989" s="6">
        <f>0</f>
        <v>0</v>
      </c>
      <c r="S2989" s="6">
        <f>0</f>
        <v>0</v>
      </c>
      <c r="T2989" s="6">
        <f>1</f>
        <v>1</v>
      </c>
      <c r="U2989" s="5" t="s">
        <v>245</v>
      </c>
      <c r="V2989" s="4" t="s">
        <v>270</v>
      </c>
      <c r="W2989" s="4" t="s">
        <v>271</v>
      </c>
      <c r="X2989" s="4" t="s">
        <v>273</v>
      </c>
      <c r="Y2989" s="4" t="s">
        <v>241</v>
      </c>
      <c r="AB2989" s="4" t="s">
        <v>241</v>
      </c>
      <c r="AD2989" s="5" t="s">
        <v>241</v>
      </c>
      <c r="AG2989" s="5" t="s">
        <v>246</v>
      </c>
      <c r="AH2989" s="4" t="s">
        <v>241</v>
      </c>
      <c r="AI2989" s="4" t="s">
        <v>247</v>
      </c>
      <c r="AJ2989" s="4" t="s">
        <v>248</v>
      </c>
      <c r="AZ2989" s="4" t="s">
        <v>249</v>
      </c>
      <c r="BA2989" s="4" t="s">
        <v>241</v>
      </c>
      <c r="BB2989" s="4" t="s">
        <v>250</v>
      </c>
      <c r="BC2989" s="4" t="s">
        <v>241</v>
      </c>
      <c r="BD2989" s="4" t="s">
        <v>252</v>
      </c>
      <c r="BE2989" s="4" t="s">
        <v>241</v>
      </c>
      <c r="BI2989" s="4" t="s">
        <v>253</v>
      </c>
      <c r="BJ2989" s="5" t="s">
        <v>246</v>
      </c>
      <c r="BK2989" s="4" t="s">
        <v>254</v>
      </c>
      <c r="BL2989" s="4" t="s">
        <v>255</v>
      </c>
      <c r="BM2989" s="4" t="s">
        <v>241</v>
      </c>
      <c r="BN2989" s="6">
        <f>0</f>
        <v>0</v>
      </c>
      <c r="BO2989" s="6">
        <f>0</f>
        <v>0</v>
      </c>
      <c r="BP2989" s="4" t="s">
        <v>256</v>
      </c>
      <c r="BQ2989" s="4" t="s">
        <v>257</v>
      </c>
      <c r="CE2989" s="4" t="s">
        <v>241</v>
      </c>
      <c r="CF2989" s="4" t="s">
        <v>241</v>
      </c>
      <c r="CJ2989" s="4" t="s">
        <v>276</v>
      </c>
      <c r="CK2989" s="4" t="s">
        <v>259</v>
      </c>
      <c r="CL2989" s="4" t="s">
        <v>241</v>
      </c>
      <c r="CO2989" s="5" t="s">
        <v>260</v>
      </c>
      <c r="CP2989" s="4" t="s">
        <v>241</v>
      </c>
      <c r="CQ2989" s="4" t="s">
        <v>261</v>
      </c>
      <c r="CR2989" s="4" t="s">
        <v>241</v>
      </c>
      <c r="CS2989" s="4" t="s">
        <v>241</v>
      </c>
      <c r="CT2989" s="4">
        <v>0</v>
      </c>
      <c r="CU2989" s="4" t="s">
        <v>262</v>
      </c>
      <c r="CV2989" s="4" t="s">
        <v>263</v>
      </c>
      <c r="CW2989" s="4" t="s">
        <v>263</v>
      </c>
      <c r="CX2989" s="4" t="s">
        <v>264</v>
      </c>
      <c r="DA2989" s="6">
        <f>1</f>
        <v>1</v>
      </c>
      <c r="DC2989" s="4" t="s">
        <v>325</v>
      </c>
      <c r="DD2989" s="4" t="s">
        <v>241</v>
      </c>
      <c r="DF2989" s="4" t="s">
        <v>325</v>
      </c>
      <c r="DG2989" s="6">
        <f>130</f>
        <v>130</v>
      </c>
      <c r="DI2989" s="4" t="s">
        <v>241</v>
      </c>
      <c r="DJ2989" s="4" t="s">
        <v>241</v>
      </c>
      <c r="DK2989" s="4" t="s">
        <v>241</v>
      </c>
      <c r="DL2989" s="4" t="s">
        <v>241</v>
      </c>
      <c r="DP2989" s="4" t="s">
        <v>241</v>
      </c>
      <c r="DQ2989" s="4" t="s">
        <v>241</v>
      </c>
      <c r="DR2989" s="4" t="s">
        <v>241</v>
      </c>
      <c r="DS2989" s="4" t="s">
        <v>241</v>
      </c>
      <c r="DV2989" s="4" t="s">
        <v>426</v>
      </c>
      <c r="DW2989" s="4" t="s">
        <v>1000</v>
      </c>
      <c r="HO2989" s="4" t="s">
        <v>267</v>
      </c>
    </row>
    <row r="2990" spans="1:223" ht="19.5" customHeight="1" x14ac:dyDescent="0.4">
      <c r="A2990" s="4">
        <v>1</v>
      </c>
      <c r="B2990" s="4" t="s">
        <v>239</v>
      </c>
      <c r="C2990" s="4">
        <v>4693</v>
      </c>
      <c r="D2990" s="4">
        <v>1</v>
      </c>
      <c r="E2990" s="4">
        <v>1</v>
      </c>
      <c r="F2990" s="4" t="s">
        <v>268</v>
      </c>
      <c r="G2990" s="4" t="s">
        <v>241</v>
      </c>
      <c r="H2990" s="4" t="s">
        <v>241</v>
      </c>
      <c r="I2990" s="4" t="s">
        <v>424</v>
      </c>
      <c r="J2990" s="4" t="s">
        <v>274</v>
      </c>
      <c r="K2990" s="4" t="s">
        <v>251</v>
      </c>
      <c r="L2990" s="4" t="s">
        <v>423</v>
      </c>
      <c r="M2990" s="5" t="s">
        <v>3291</v>
      </c>
      <c r="N2990" s="6">
        <f>206</f>
        <v>206</v>
      </c>
      <c r="O2990" s="4" t="s">
        <v>265</v>
      </c>
      <c r="P2990" s="6">
        <f>1</f>
        <v>1</v>
      </c>
      <c r="Q2990" s="6">
        <f>0</f>
        <v>0</v>
      </c>
      <c r="S2990" s="6">
        <f>0</f>
        <v>0</v>
      </c>
      <c r="T2990" s="6">
        <f>1</f>
        <v>1</v>
      </c>
      <c r="U2990" s="5" t="s">
        <v>245</v>
      </c>
      <c r="V2990" s="4" t="s">
        <v>270</v>
      </c>
      <c r="W2990" s="4" t="s">
        <v>271</v>
      </c>
      <c r="X2990" s="4" t="s">
        <v>273</v>
      </c>
      <c r="Y2990" s="4" t="s">
        <v>241</v>
      </c>
      <c r="AB2990" s="4" t="s">
        <v>241</v>
      </c>
      <c r="AD2990" s="5" t="s">
        <v>241</v>
      </c>
      <c r="AG2990" s="5" t="s">
        <v>246</v>
      </c>
      <c r="AH2990" s="4" t="s">
        <v>241</v>
      </c>
      <c r="AI2990" s="4" t="s">
        <v>247</v>
      </c>
      <c r="AJ2990" s="4" t="s">
        <v>248</v>
      </c>
      <c r="AZ2990" s="4" t="s">
        <v>249</v>
      </c>
      <c r="BA2990" s="4" t="s">
        <v>241</v>
      </c>
      <c r="BB2990" s="4" t="s">
        <v>250</v>
      </c>
      <c r="BC2990" s="4" t="s">
        <v>241</v>
      </c>
      <c r="BD2990" s="4" t="s">
        <v>252</v>
      </c>
      <c r="BE2990" s="4" t="s">
        <v>241</v>
      </c>
      <c r="BI2990" s="4" t="s">
        <v>253</v>
      </c>
      <c r="BJ2990" s="5" t="s">
        <v>246</v>
      </c>
      <c r="BK2990" s="4" t="s">
        <v>254</v>
      </c>
      <c r="BL2990" s="4" t="s">
        <v>255</v>
      </c>
      <c r="BM2990" s="4" t="s">
        <v>241</v>
      </c>
      <c r="BN2990" s="6">
        <f>0</f>
        <v>0</v>
      </c>
      <c r="BO2990" s="6">
        <f>0</f>
        <v>0</v>
      </c>
      <c r="BP2990" s="4" t="s">
        <v>256</v>
      </c>
      <c r="BQ2990" s="4" t="s">
        <v>257</v>
      </c>
      <c r="CE2990" s="4" t="s">
        <v>241</v>
      </c>
      <c r="CF2990" s="4" t="s">
        <v>241</v>
      </c>
      <c r="CJ2990" s="4" t="s">
        <v>276</v>
      </c>
      <c r="CK2990" s="4" t="s">
        <v>259</v>
      </c>
      <c r="CL2990" s="4" t="s">
        <v>241</v>
      </c>
      <c r="CO2990" s="5" t="s">
        <v>260</v>
      </c>
      <c r="CP2990" s="4" t="s">
        <v>241</v>
      </c>
      <c r="CQ2990" s="4" t="s">
        <v>261</v>
      </c>
      <c r="CR2990" s="4" t="s">
        <v>241</v>
      </c>
      <c r="CS2990" s="4" t="s">
        <v>241</v>
      </c>
      <c r="CT2990" s="4">
        <v>0</v>
      </c>
      <c r="CU2990" s="4" t="s">
        <v>262</v>
      </c>
      <c r="CV2990" s="4" t="s">
        <v>263</v>
      </c>
      <c r="CW2990" s="4" t="s">
        <v>263</v>
      </c>
      <c r="CX2990" s="4" t="s">
        <v>264</v>
      </c>
      <c r="DA2990" s="6">
        <f>1</f>
        <v>1</v>
      </c>
      <c r="DC2990" s="4" t="s">
        <v>325</v>
      </c>
      <c r="DD2990" s="4" t="s">
        <v>241</v>
      </c>
      <c r="DF2990" s="4" t="s">
        <v>325</v>
      </c>
      <c r="DG2990" s="6">
        <f>206</f>
        <v>206</v>
      </c>
      <c r="DI2990" s="4" t="s">
        <v>241</v>
      </c>
      <c r="DJ2990" s="4" t="s">
        <v>241</v>
      </c>
      <c r="DK2990" s="4" t="s">
        <v>241</v>
      </c>
      <c r="DL2990" s="4" t="s">
        <v>241</v>
      </c>
      <c r="DP2990" s="4" t="s">
        <v>241</v>
      </c>
      <c r="DQ2990" s="4" t="s">
        <v>241</v>
      </c>
      <c r="DR2990" s="4" t="s">
        <v>241</v>
      </c>
      <c r="DS2990" s="4" t="s">
        <v>241</v>
      </c>
      <c r="DV2990" s="4" t="s">
        <v>426</v>
      </c>
      <c r="DW2990" s="4" t="s">
        <v>1041</v>
      </c>
      <c r="HO2990" s="4" t="s">
        <v>267</v>
      </c>
    </row>
    <row r="2991" spans="1:223" ht="19.5" customHeight="1" x14ac:dyDescent="0.4">
      <c r="A2991" s="4">
        <v>1</v>
      </c>
      <c r="B2991" s="4" t="s">
        <v>239</v>
      </c>
      <c r="C2991" s="4">
        <v>4694</v>
      </c>
      <c r="D2991" s="4">
        <v>1</v>
      </c>
      <c r="E2991" s="4">
        <v>1</v>
      </c>
      <c r="F2991" s="4" t="s">
        <v>268</v>
      </c>
      <c r="G2991" s="4" t="s">
        <v>241</v>
      </c>
      <c r="H2991" s="4" t="s">
        <v>241</v>
      </c>
      <c r="I2991" s="4" t="s">
        <v>424</v>
      </c>
      <c r="J2991" s="4" t="s">
        <v>274</v>
      </c>
      <c r="K2991" s="4" t="s">
        <v>251</v>
      </c>
      <c r="L2991" s="4" t="s">
        <v>423</v>
      </c>
      <c r="M2991" s="5" t="s">
        <v>3283</v>
      </c>
      <c r="N2991" s="6">
        <f>1857</f>
        <v>1857</v>
      </c>
      <c r="O2991" s="4" t="s">
        <v>265</v>
      </c>
      <c r="P2991" s="6">
        <f>1</f>
        <v>1</v>
      </c>
      <c r="Q2991" s="6">
        <f>0</f>
        <v>0</v>
      </c>
      <c r="S2991" s="6">
        <f>0</f>
        <v>0</v>
      </c>
      <c r="T2991" s="6">
        <f>1</f>
        <v>1</v>
      </c>
      <c r="U2991" s="5" t="s">
        <v>245</v>
      </c>
      <c r="V2991" s="4" t="s">
        <v>270</v>
      </c>
      <c r="W2991" s="4" t="s">
        <v>271</v>
      </c>
      <c r="X2991" s="4" t="s">
        <v>273</v>
      </c>
      <c r="Y2991" s="4" t="s">
        <v>241</v>
      </c>
      <c r="AB2991" s="4" t="s">
        <v>241</v>
      </c>
      <c r="AD2991" s="5" t="s">
        <v>241</v>
      </c>
      <c r="AG2991" s="5" t="s">
        <v>246</v>
      </c>
      <c r="AH2991" s="4" t="s">
        <v>241</v>
      </c>
      <c r="AI2991" s="4" t="s">
        <v>247</v>
      </c>
      <c r="AJ2991" s="4" t="s">
        <v>248</v>
      </c>
      <c r="AZ2991" s="4" t="s">
        <v>249</v>
      </c>
      <c r="BA2991" s="4" t="s">
        <v>241</v>
      </c>
      <c r="BB2991" s="4" t="s">
        <v>250</v>
      </c>
      <c r="BC2991" s="4" t="s">
        <v>241</v>
      </c>
      <c r="BD2991" s="4" t="s">
        <v>252</v>
      </c>
      <c r="BE2991" s="4" t="s">
        <v>241</v>
      </c>
      <c r="BI2991" s="4" t="s">
        <v>253</v>
      </c>
      <c r="BJ2991" s="5" t="s">
        <v>246</v>
      </c>
      <c r="BK2991" s="4" t="s">
        <v>254</v>
      </c>
      <c r="BL2991" s="4" t="s">
        <v>255</v>
      </c>
      <c r="BM2991" s="4" t="s">
        <v>241</v>
      </c>
      <c r="BN2991" s="6">
        <f>0</f>
        <v>0</v>
      </c>
      <c r="BO2991" s="6">
        <f>0</f>
        <v>0</v>
      </c>
      <c r="BP2991" s="4" t="s">
        <v>256</v>
      </c>
      <c r="BQ2991" s="4" t="s">
        <v>257</v>
      </c>
      <c r="CE2991" s="4" t="s">
        <v>241</v>
      </c>
      <c r="CF2991" s="4" t="s">
        <v>241</v>
      </c>
      <c r="CJ2991" s="4" t="s">
        <v>276</v>
      </c>
      <c r="CK2991" s="4" t="s">
        <v>259</v>
      </c>
      <c r="CL2991" s="4" t="s">
        <v>241</v>
      </c>
      <c r="CO2991" s="5" t="s">
        <v>260</v>
      </c>
      <c r="CP2991" s="4" t="s">
        <v>241</v>
      </c>
      <c r="CQ2991" s="4" t="s">
        <v>261</v>
      </c>
      <c r="CR2991" s="4" t="s">
        <v>241</v>
      </c>
      <c r="CS2991" s="4" t="s">
        <v>241</v>
      </c>
      <c r="CT2991" s="4">
        <v>0</v>
      </c>
      <c r="CU2991" s="4" t="s">
        <v>262</v>
      </c>
      <c r="CV2991" s="4" t="s">
        <v>263</v>
      </c>
      <c r="CW2991" s="4" t="s">
        <v>263</v>
      </c>
      <c r="CX2991" s="4" t="s">
        <v>264</v>
      </c>
      <c r="DA2991" s="6">
        <f>1</f>
        <v>1</v>
      </c>
      <c r="DC2991" s="4" t="s">
        <v>325</v>
      </c>
      <c r="DD2991" s="4" t="s">
        <v>241</v>
      </c>
      <c r="DF2991" s="4" t="s">
        <v>325</v>
      </c>
      <c r="DG2991" s="6">
        <f>1857</f>
        <v>1857</v>
      </c>
      <c r="DI2991" s="4" t="s">
        <v>241</v>
      </c>
      <c r="DJ2991" s="4" t="s">
        <v>241</v>
      </c>
      <c r="DK2991" s="4" t="s">
        <v>241</v>
      </c>
      <c r="DL2991" s="4" t="s">
        <v>241</v>
      </c>
      <c r="DP2991" s="4" t="s">
        <v>241</v>
      </c>
      <c r="DQ2991" s="4" t="s">
        <v>241</v>
      </c>
      <c r="DR2991" s="4" t="s">
        <v>241</v>
      </c>
      <c r="DS2991" s="4" t="s">
        <v>241</v>
      </c>
      <c r="DV2991" s="4" t="s">
        <v>426</v>
      </c>
      <c r="DW2991" s="4" t="s">
        <v>1121</v>
      </c>
      <c r="HO2991" s="4" t="s">
        <v>267</v>
      </c>
    </row>
    <row r="2992" spans="1:223" ht="19.5" customHeight="1" x14ac:dyDescent="0.4">
      <c r="A2992" s="4">
        <v>1</v>
      </c>
      <c r="B2992" s="4" t="s">
        <v>239</v>
      </c>
      <c r="C2992" s="4">
        <v>4695</v>
      </c>
      <c r="D2992" s="4">
        <v>1</v>
      </c>
      <c r="E2992" s="4">
        <v>1</v>
      </c>
      <c r="F2992" s="4" t="s">
        <v>268</v>
      </c>
      <c r="G2992" s="4" t="s">
        <v>241</v>
      </c>
      <c r="H2992" s="4" t="s">
        <v>241</v>
      </c>
      <c r="I2992" s="4" t="s">
        <v>424</v>
      </c>
      <c r="J2992" s="4" t="s">
        <v>274</v>
      </c>
      <c r="K2992" s="4" t="s">
        <v>251</v>
      </c>
      <c r="L2992" s="4" t="s">
        <v>423</v>
      </c>
      <c r="M2992" s="5" t="s">
        <v>3276</v>
      </c>
      <c r="N2992" s="6">
        <f>232</f>
        <v>232</v>
      </c>
      <c r="O2992" s="4" t="s">
        <v>265</v>
      </c>
      <c r="P2992" s="6">
        <f>1</f>
        <v>1</v>
      </c>
      <c r="Q2992" s="6">
        <f>0</f>
        <v>0</v>
      </c>
      <c r="S2992" s="6">
        <f>0</f>
        <v>0</v>
      </c>
      <c r="T2992" s="6">
        <f>1</f>
        <v>1</v>
      </c>
      <c r="U2992" s="5" t="s">
        <v>245</v>
      </c>
      <c r="V2992" s="4" t="s">
        <v>270</v>
      </c>
      <c r="W2992" s="4" t="s">
        <v>271</v>
      </c>
      <c r="X2992" s="4" t="s">
        <v>273</v>
      </c>
      <c r="Y2992" s="4" t="s">
        <v>241</v>
      </c>
      <c r="AB2992" s="4" t="s">
        <v>241</v>
      </c>
      <c r="AD2992" s="5" t="s">
        <v>241</v>
      </c>
      <c r="AG2992" s="5" t="s">
        <v>246</v>
      </c>
      <c r="AH2992" s="4" t="s">
        <v>241</v>
      </c>
      <c r="AI2992" s="4" t="s">
        <v>247</v>
      </c>
      <c r="AJ2992" s="4" t="s">
        <v>248</v>
      </c>
      <c r="AZ2992" s="4" t="s">
        <v>249</v>
      </c>
      <c r="BA2992" s="4" t="s">
        <v>241</v>
      </c>
      <c r="BB2992" s="4" t="s">
        <v>250</v>
      </c>
      <c r="BC2992" s="4" t="s">
        <v>241</v>
      </c>
      <c r="BD2992" s="4" t="s">
        <v>252</v>
      </c>
      <c r="BE2992" s="4" t="s">
        <v>241</v>
      </c>
      <c r="BI2992" s="4" t="s">
        <v>253</v>
      </c>
      <c r="BJ2992" s="5" t="s">
        <v>246</v>
      </c>
      <c r="BK2992" s="4" t="s">
        <v>254</v>
      </c>
      <c r="BL2992" s="4" t="s">
        <v>255</v>
      </c>
      <c r="BM2992" s="4" t="s">
        <v>241</v>
      </c>
      <c r="BN2992" s="6">
        <f>0</f>
        <v>0</v>
      </c>
      <c r="BO2992" s="6">
        <f>0</f>
        <v>0</v>
      </c>
      <c r="BP2992" s="4" t="s">
        <v>256</v>
      </c>
      <c r="BQ2992" s="4" t="s">
        <v>257</v>
      </c>
      <c r="CE2992" s="4" t="s">
        <v>241</v>
      </c>
      <c r="CF2992" s="4" t="s">
        <v>241</v>
      </c>
      <c r="CJ2992" s="4" t="s">
        <v>276</v>
      </c>
      <c r="CK2992" s="4" t="s">
        <v>259</v>
      </c>
      <c r="CL2992" s="4" t="s">
        <v>241</v>
      </c>
      <c r="CO2992" s="5" t="s">
        <v>260</v>
      </c>
      <c r="CP2992" s="4" t="s">
        <v>241</v>
      </c>
      <c r="CQ2992" s="4" t="s">
        <v>261</v>
      </c>
      <c r="CR2992" s="4" t="s">
        <v>241</v>
      </c>
      <c r="CS2992" s="4" t="s">
        <v>241</v>
      </c>
      <c r="CT2992" s="4">
        <v>0</v>
      </c>
      <c r="CU2992" s="4" t="s">
        <v>262</v>
      </c>
      <c r="CV2992" s="4" t="s">
        <v>263</v>
      </c>
      <c r="CW2992" s="4" t="s">
        <v>263</v>
      </c>
      <c r="CX2992" s="4" t="s">
        <v>264</v>
      </c>
      <c r="DA2992" s="6">
        <f>1</f>
        <v>1</v>
      </c>
      <c r="DC2992" s="4" t="s">
        <v>325</v>
      </c>
      <c r="DD2992" s="4" t="s">
        <v>241</v>
      </c>
      <c r="DF2992" s="4" t="s">
        <v>325</v>
      </c>
      <c r="DG2992" s="6">
        <f>232</f>
        <v>232</v>
      </c>
      <c r="DI2992" s="4" t="s">
        <v>241</v>
      </c>
      <c r="DJ2992" s="4" t="s">
        <v>241</v>
      </c>
      <c r="DK2992" s="4" t="s">
        <v>241</v>
      </c>
      <c r="DL2992" s="4" t="s">
        <v>241</v>
      </c>
      <c r="DP2992" s="4" t="s">
        <v>241</v>
      </c>
      <c r="DQ2992" s="4" t="s">
        <v>241</v>
      </c>
      <c r="DR2992" s="4" t="s">
        <v>241</v>
      </c>
      <c r="DS2992" s="4" t="s">
        <v>241</v>
      </c>
      <c r="DV2992" s="4" t="s">
        <v>426</v>
      </c>
      <c r="DW2992" s="4" t="s">
        <v>1413</v>
      </c>
      <c r="HO2992" s="4" t="s">
        <v>267</v>
      </c>
    </row>
    <row r="2993" spans="1:223" ht="19.5" customHeight="1" x14ac:dyDescent="0.4">
      <c r="A2993" s="4">
        <v>1</v>
      </c>
      <c r="B2993" s="4" t="s">
        <v>239</v>
      </c>
      <c r="C2993" s="4">
        <v>4696</v>
      </c>
      <c r="D2993" s="4">
        <v>1</v>
      </c>
      <c r="E2993" s="4">
        <v>1</v>
      </c>
      <c r="F2993" s="4" t="s">
        <v>268</v>
      </c>
      <c r="G2993" s="4" t="s">
        <v>241</v>
      </c>
      <c r="H2993" s="4" t="s">
        <v>241</v>
      </c>
      <c r="I2993" s="4" t="s">
        <v>424</v>
      </c>
      <c r="J2993" s="4" t="s">
        <v>274</v>
      </c>
      <c r="K2993" s="4" t="s">
        <v>251</v>
      </c>
      <c r="L2993" s="4" t="s">
        <v>423</v>
      </c>
      <c r="M2993" s="5" t="s">
        <v>3267</v>
      </c>
      <c r="N2993" s="6">
        <f>97</f>
        <v>97</v>
      </c>
      <c r="O2993" s="4" t="s">
        <v>265</v>
      </c>
      <c r="P2993" s="6">
        <f>1</f>
        <v>1</v>
      </c>
      <c r="Q2993" s="6">
        <f>0</f>
        <v>0</v>
      </c>
      <c r="S2993" s="6">
        <f>0</f>
        <v>0</v>
      </c>
      <c r="T2993" s="6">
        <f>1</f>
        <v>1</v>
      </c>
      <c r="U2993" s="5" t="s">
        <v>245</v>
      </c>
      <c r="V2993" s="4" t="s">
        <v>270</v>
      </c>
      <c r="W2993" s="4" t="s">
        <v>271</v>
      </c>
      <c r="X2993" s="4" t="s">
        <v>273</v>
      </c>
      <c r="Y2993" s="4" t="s">
        <v>241</v>
      </c>
      <c r="AB2993" s="4" t="s">
        <v>241</v>
      </c>
      <c r="AD2993" s="5" t="s">
        <v>241</v>
      </c>
      <c r="AG2993" s="5" t="s">
        <v>246</v>
      </c>
      <c r="AH2993" s="4" t="s">
        <v>241</v>
      </c>
      <c r="AI2993" s="4" t="s">
        <v>247</v>
      </c>
      <c r="AJ2993" s="4" t="s">
        <v>248</v>
      </c>
      <c r="AZ2993" s="4" t="s">
        <v>249</v>
      </c>
      <c r="BA2993" s="4" t="s">
        <v>241</v>
      </c>
      <c r="BB2993" s="4" t="s">
        <v>250</v>
      </c>
      <c r="BC2993" s="4" t="s">
        <v>241</v>
      </c>
      <c r="BD2993" s="4" t="s">
        <v>252</v>
      </c>
      <c r="BE2993" s="4" t="s">
        <v>241</v>
      </c>
      <c r="BI2993" s="4" t="s">
        <v>253</v>
      </c>
      <c r="BJ2993" s="5" t="s">
        <v>246</v>
      </c>
      <c r="BK2993" s="4" t="s">
        <v>254</v>
      </c>
      <c r="BL2993" s="4" t="s">
        <v>255</v>
      </c>
      <c r="BM2993" s="4" t="s">
        <v>241</v>
      </c>
      <c r="BN2993" s="6">
        <f>0</f>
        <v>0</v>
      </c>
      <c r="BO2993" s="6">
        <f>0</f>
        <v>0</v>
      </c>
      <c r="BP2993" s="4" t="s">
        <v>256</v>
      </c>
      <c r="BQ2993" s="4" t="s">
        <v>257</v>
      </c>
      <c r="CE2993" s="4" t="s">
        <v>241</v>
      </c>
      <c r="CF2993" s="4" t="s">
        <v>241</v>
      </c>
      <c r="CJ2993" s="4" t="s">
        <v>276</v>
      </c>
      <c r="CK2993" s="4" t="s">
        <v>259</v>
      </c>
      <c r="CL2993" s="4" t="s">
        <v>241</v>
      </c>
      <c r="CO2993" s="5" t="s">
        <v>260</v>
      </c>
      <c r="CP2993" s="4" t="s">
        <v>241</v>
      </c>
      <c r="CQ2993" s="4" t="s">
        <v>261</v>
      </c>
      <c r="CR2993" s="4" t="s">
        <v>241</v>
      </c>
      <c r="CS2993" s="4" t="s">
        <v>241</v>
      </c>
      <c r="CT2993" s="4">
        <v>0</v>
      </c>
      <c r="CU2993" s="4" t="s">
        <v>262</v>
      </c>
      <c r="CV2993" s="4" t="s">
        <v>263</v>
      </c>
      <c r="CW2993" s="4" t="s">
        <v>263</v>
      </c>
      <c r="CX2993" s="4" t="s">
        <v>264</v>
      </c>
      <c r="DA2993" s="6">
        <f>1</f>
        <v>1</v>
      </c>
      <c r="DC2993" s="4" t="s">
        <v>325</v>
      </c>
      <c r="DD2993" s="4" t="s">
        <v>241</v>
      </c>
      <c r="DF2993" s="4" t="s">
        <v>325</v>
      </c>
      <c r="DG2993" s="6">
        <f>97</f>
        <v>97</v>
      </c>
      <c r="DI2993" s="4" t="s">
        <v>241</v>
      </c>
      <c r="DJ2993" s="4" t="s">
        <v>241</v>
      </c>
      <c r="DK2993" s="4" t="s">
        <v>241</v>
      </c>
      <c r="DL2993" s="4" t="s">
        <v>241</v>
      </c>
      <c r="DP2993" s="4" t="s">
        <v>241</v>
      </c>
      <c r="DQ2993" s="4" t="s">
        <v>241</v>
      </c>
      <c r="DR2993" s="4" t="s">
        <v>241</v>
      </c>
      <c r="DS2993" s="4" t="s">
        <v>241</v>
      </c>
      <c r="DV2993" s="4" t="s">
        <v>426</v>
      </c>
      <c r="DW2993" s="4" t="s">
        <v>1381</v>
      </c>
      <c r="HO2993" s="4" t="s">
        <v>267</v>
      </c>
    </row>
    <row r="2994" spans="1:223" ht="19.5" customHeight="1" x14ac:dyDescent="0.4">
      <c r="A2994" s="4">
        <v>1</v>
      </c>
      <c r="B2994" s="4" t="s">
        <v>239</v>
      </c>
      <c r="C2994" s="4">
        <v>4697</v>
      </c>
      <c r="D2994" s="4">
        <v>1</v>
      </c>
      <c r="E2994" s="4">
        <v>1</v>
      </c>
      <c r="F2994" s="4" t="s">
        <v>268</v>
      </c>
      <c r="G2994" s="4" t="s">
        <v>241</v>
      </c>
      <c r="H2994" s="4" t="s">
        <v>241</v>
      </c>
      <c r="I2994" s="4" t="s">
        <v>424</v>
      </c>
      <c r="J2994" s="4" t="s">
        <v>274</v>
      </c>
      <c r="K2994" s="4" t="s">
        <v>251</v>
      </c>
      <c r="L2994" s="4" t="s">
        <v>423</v>
      </c>
      <c r="M2994" s="5" t="s">
        <v>3260</v>
      </c>
      <c r="N2994" s="6">
        <f>189</f>
        <v>189</v>
      </c>
      <c r="O2994" s="4" t="s">
        <v>265</v>
      </c>
      <c r="P2994" s="6">
        <f>1</f>
        <v>1</v>
      </c>
      <c r="Q2994" s="6">
        <f>0</f>
        <v>0</v>
      </c>
      <c r="S2994" s="6">
        <f>0</f>
        <v>0</v>
      </c>
      <c r="T2994" s="6">
        <f>1</f>
        <v>1</v>
      </c>
      <c r="U2994" s="5" t="s">
        <v>245</v>
      </c>
      <c r="V2994" s="4" t="s">
        <v>270</v>
      </c>
      <c r="W2994" s="4" t="s">
        <v>271</v>
      </c>
      <c r="X2994" s="4" t="s">
        <v>273</v>
      </c>
      <c r="Y2994" s="4" t="s">
        <v>241</v>
      </c>
      <c r="AB2994" s="4" t="s">
        <v>241</v>
      </c>
      <c r="AD2994" s="5" t="s">
        <v>241</v>
      </c>
      <c r="AG2994" s="5" t="s">
        <v>246</v>
      </c>
      <c r="AH2994" s="4" t="s">
        <v>241</v>
      </c>
      <c r="AI2994" s="4" t="s">
        <v>247</v>
      </c>
      <c r="AJ2994" s="4" t="s">
        <v>248</v>
      </c>
      <c r="AZ2994" s="4" t="s">
        <v>249</v>
      </c>
      <c r="BA2994" s="4" t="s">
        <v>241</v>
      </c>
      <c r="BB2994" s="4" t="s">
        <v>250</v>
      </c>
      <c r="BC2994" s="4" t="s">
        <v>241</v>
      </c>
      <c r="BD2994" s="4" t="s">
        <v>252</v>
      </c>
      <c r="BE2994" s="4" t="s">
        <v>241</v>
      </c>
      <c r="BI2994" s="4" t="s">
        <v>253</v>
      </c>
      <c r="BJ2994" s="5" t="s">
        <v>246</v>
      </c>
      <c r="BK2994" s="4" t="s">
        <v>254</v>
      </c>
      <c r="BL2994" s="4" t="s">
        <v>255</v>
      </c>
      <c r="BM2994" s="4" t="s">
        <v>241</v>
      </c>
      <c r="BN2994" s="6">
        <f>0</f>
        <v>0</v>
      </c>
      <c r="BO2994" s="6">
        <f>0</f>
        <v>0</v>
      </c>
      <c r="BP2994" s="4" t="s">
        <v>256</v>
      </c>
      <c r="BQ2994" s="4" t="s">
        <v>257</v>
      </c>
      <c r="CE2994" s="4" t="s">
        <v>241</v>
      </c>
      <c r="CF2994" s="4" t="s">
        <v>241</v>
      </c>
      <c r="CJ2994" s="4" t="s">
        <v>276</v>
      </c>
      <c r="CK2994" s="4" t="s">
        <v>259</v>
      </c>
      <c r="CL2994" s="4" t="s">
        <v>241</v>
      </c>
      <c r="CO2994" s="5" t="s">
        <v>260</v>
      </c>
      <c r="CP2994" s="4" t="s">
        <v>241</v>
      </c>
      <c r="CQ2994" s="4" t="s">
        <v>261</v>
      </c>
      <c r="CR2994" s="4" t="s">
        <v>241</v>
      </c>
      <c r="CS2994" s="4" t="s">
        <v>241</v>
      </c>
      <c r="CT2994" s="4">
        <v>0</v>
      </c>
      <c r="CU2994" s="4" t="s">
        <v>262</v>
      </c>
      <c r="CV2994" s="4" t="s">
        <v>263</v>
      </c>
      <c r="CW2994" s="4" t="s">
        <v>263</v>
      </c>
      <c r="CX2994" s="4" t="s">
        <v>264</v>
      </c>
      <c r="DA2994" s="6">
        <f>1</f>
        <v>1</v>
      </c>
      <c r="DC2994" s="4" t="s">
        <v>325</v>
      </c>
      <c r="DD2994" s="4" t="s">
        <v>241</v>
      </c>
      <c r="DF2994" s="4" t="s">
        <v>325</v>
      </c>
      <c r="DG2994" s="6">
        <f>189</f>
        <v>189</v>
      </c>
      <c r="DI2994" s="4" t="s">
        <v>241</v>
      </c>
      <c r="DJ2994" s="4" t="s">
        <v>241</v>
      </c>
      <c r="DK2994" s="4" t="s">
        <v>241</v>
      </c>
      <c r="DL2994" s="4" t="s">
        <v>241</v>
      </c>
      <c r="DP2994" s="4" t="s">
        <v>241</v>
      </c>
      <c r="DQ2994" s="4" t="s">
        <v>241</v>
      </c>
      <c r="DR2994" s="4" t="s">
        <v>241</v>
      </c>
      <c r="DS2994" s="4" t="s">
        <v>241</v>
      </c>
      <c r="DV2994" s="4" t="s">
        <v>426</v>
      </c>
      <c r="DW2994" s="4" t="s">
        <v>1015</v>
      </c>
      <c r="HO2994" s="4" t="s">
        <v>267</v>
      </c>
    </row>
    <row r="2995" spans="1:223" ht="19.5" customHeight="1" x14ac:dyDescent="0.4">
      <c r="A2995" s="4">
        <v>1</v>
      </c>
      <c r="B2995" s="4" t="s">
        <v>239</v>
      </c>
      <c r="C2995" s="4">
        <v>4698</v>
      </c>
      <c r="D2995" s="4">
        <v>1</v>
      </c>
      <c r="E2995" s="4">
        <v>1</v>
      </c>
      <c r="F2995" s="4" t="s">
        <v>268</v>
      </c>
      <c r="G2995" s="4" t="s">
        <v>241</v>
      </c>
      <c r="H2995" s="4" t="s">
        <v>241</v>
      </c>
      <c r="I2995" s="4" t="s">
        <v>424</v>
      </c>
      <c r="J2995" s="4" t="s">
        <v>274</v>
      </c>
      <c r="K2995" s="4" t="s">
        <v>251</v>
      </c>
      <c r="L2995" s="4" t="s">
        <v>423</v>
      </c>
      <c r="M2995" s="5" t="s">
        <v>3251</v>
      </c>
      <c r="N2995" s="6">
        <f>453</f>
        <v>453</v>
      </c>
      <c r="O2995" s="4" t="s">
        <v>265</v>
      </c>
      <c r="P2995" s="6">
        <f>1</f>
        <v>1</v>
      </c>
      <c r="Q2995" s="6">
        <f>0</f>
        <v>0</v>
      </c>
      <c r="S2995" s="6">
        <f>0</f>
        <v>0</v>
      </c>
      <c r="T2995" s="6">
        <f>1</f>
        <v>1</v>
      </c>
      <c r="U2995" s="5" t="s">
        <v>245</v>
      </c>
      <c r="V2995" s="4" t="s">
        <v>270</v>
      </c>
      <c r="W2995" s="4" t="s">
        <v>271</v>
      </c>
      <c r="X2995" s="4" t="s">
        <v>273</v>
      </c>
      <c r="Y2995" s="4" t="s">
        <v>241</v>
      </c>
      <c r="AB2995" s="4" t="s">
        <v>241</v>
      </c>
      <c r="AD2995" s="5" t="s">
        <v>241</v>
      </c>
      <c r="AG2995" s="5" t="s">
        <v>246</v>
      </c>
      <c r="AH2995" s="4" t="s">
        <v>241</v>
      </c>
      <c r="AI2995" s="4" t="s">
        <v>247</v>
      </c>
      <c r="AJ2995" s="4" t="s">
        <v>248</v>
      </c>
      <c r="AZ2995" s="4" t="s">
        <v>249</v>
      </c>
      <c r="BA2995" s="4" t="s">
        <v>241</v>
      </c>
      <c r="BB2995" s="4" t="s">
        <v>250</v>
      </c>
      <c r="BC2995" s="4" t="s">
        <v>241</v>
      </c>
      <c r="BD2995" s="4" t="s">
        <v>252</v>
      </c>
      <c r="BE2995" s="4" t="s">
        <v>241</v>
      </c>
      <c r="BI2995" s="4" t="s">
        <v>253</v>
      </c>
      <c r="BJ2995" s="5" t="s">
        <v>246</v>
      </c>
      <c r="BK2995" s="4" t="s">
        <v>254</v>
      </c>
      <c r="BL2995" s="4" t="s">
        <v>255</v>
      </c>
      <c r="BM2995" s="4" t="s">
        <v>241</v>
      </c>
      <c r="BN2995" s="6">
        <f>0</f>
        <v>0</v>
      </c>
      <c r="BO2995" s="6">
        <f>0</f>
        <v>0</v>
      </c>
      <c r="BP2995" s="4" t="s">
        <v>256</v>
      </c>
      <c r="BQ2995" s="4" t="s">
        <v>257</v>
      </c>
      <c r="CE2995" s="4" t="s">
        <v>241</v>
      </c>
      <c r="CF2995" s="4" t="s">
        <v>241</v>
      </c>
      <c r="CJ2995" s="4" t="s">
        <v>276</v>
      </c>
      <c r="CK2995" s="4" t="s">
        <v>259</v>
      </c>
      <c r="CL2995" s="4" t="s">
        <v>241</v>
      </c>
      <c r="CO2995" s="5" t="s">
        <v>260</v>
      </c>
      <c r="CP2995" s="4" t="s">
        <v>241</v>
      </c>
      <c r="CQ2995" s="4" t="s">
        <v>261</v>
      </c>
      <c r="CR2995" s="4" t="s">
        <v>241</v>
      </c>
      <c r="CS2995" s="4" t="s">
        <v>241</v>
      </c>
      <c r="CT2995" s="4">
        <v>0</v>
      </c>
      <c r="CU2995" s="4" t="s">
        <v>262</v>
      </c>
      <c r="CV2995" s="4" t="s">
        <v>263</v>
      </c>
      <c r="CW2995" s="4" t="s">
        <v>263</v>
      </c>
      <c r="CX2995" s="4" t="s">
        <v>264</v>
      </c>
      <c r="DA2995" s="6">
        <f>1</f>
        <v>1</v>
      </c>
      <c r="DC2995" s="4" t="s">
        <v>325</v>
      </c>
      <c r="DD2995" s="4" t="s">
        <v>241</v>
      </c>
      <c r="DF2995" s="4" t="s">
        <v>325</v>
      </c>
      <c r="DG2995" s="6">
        <f>453</f>
        <v>453</v>
      </c>
      <c r="DI2995" s="4" t="s">
        <v>241</v>
      </c>
      <c r="DJ2995" s="4" t="s">
        <v>241</v>
      </c>
      <c r="DK2995" s="4" t="s">
        <v>241</v>
      </c>
      <c r="DL2995" s="4" t="s">
        <v>241</v>
      </c>
      <c r="DP2995" s="4" t="s">
        <v>241</v>
      </c>
      <c r="DQ2995" s="4" t="s">
        <v>241</v>
      </c>
      <c r="DR2995" s="4" t="s">
        <v>241</v>
      </c>
      <c r="DS2995" s="4" t="s">
        <v>241</v>
      </c>
      <c r="DV2995" s="4" t="s">
        <v>426</v>
      </c>
      <c r="DW2995" s="4" t="s">
        <v>1195</v>
      </c>
      <c r="HO2995" s="4" t="s">
        <v>267</v>
      </c>
    </row>
    <row r="2996" spans="1:223" ht="19.5" customHeight="1" x14ac:dyDescent="0.4">
      <c r="A2996" s="4">
        <v>1</v>
      </c>
      <c r="B2996" s="4" t="s">
        <v>239</v>
      </c>
      <c r="C2996" s="4">
        <v>4699</v>
      </c>
      <c r="D2996" s="4">
        <v>1</v>
      </c>
      <c r="E2996" s="4">
        <v>1</v>
      </c>
      <c r="F2996" s="4" t="s">
        <v>268</v>
      </c>
      <c r="G2996" s="4" t="s">
        <v>241</v>
      </c>
      <c r="H2996" s="4" t="s">
        <v>241</v>
      </c>
      <c r="I2996" s="4" t="s">
        <v>424</v>
      </c>
      <c r="J2996" s="4" t="s">
        <v>274</v>
      </c>
      <c r="K2996" s="4" t="s">
        <v>251</v>
      </c>
      <c r="L2996" s="4" t="s">
        <v>423</v>
      </c>
      <c r="M2996" s="5" t="s">
        <v>3242</v>
      </c>
      <c r="N2996" s="6">
        <f>983</f>
        <v>983</v>
      </c>
      <c r="O2996" s="4" t="s">
        <v>265</v>
      </c>
      <c r="P2996" s="6">
        <f>1</f>
        <v>1</v>
      </c>
      <c r="Q2996" s="6">
        <f>0</f>
        <v>0</v>
      </c>
      <c r="S2996" s="6">
        <f>0</f>
        <v>0</v>
      </c>
      <c r="T2996" s="6">
        <f>1</f>
        <v>1</v>
      </c>
      <c r="U2996" s="5" t="s">
        <v>245</v>
      </c>
      <c r="V2996" s="4" t="s">
        <v>270</v>
      </c>
      <c r="W2996" s="4" t="s">
        <v>271</v>
      </c>
      <c r="X2996" s="4" t="s">
        <v>273</v>
      </c>
      <c r="Y2996" s="4" t="s">
        <v>241</v>
      </c>
      <c r="AB2996" s="4" t="s">
        <v>241</v>
      </c>
      <c r="AD2996" s="5" t="s">
        <v>241</v>
      </c>
      <c r="AG2996" s="5" t="s">
        <v>246</v>
      </c>
      <c r="AH2996" s="4" t="s">
        <v>241</v>
      </c>
      <c r="AI2996" s="4" t="s">
        <v>247</v>
      </c>
      <c r="AJ2996" s="4" t="s">
        <v>248</v>
      </c>
      <c r="AZ2996" s="4" t="s">
        <v>249</v>
      </c>
      <c r="BA2996" s="4" t="s">
        <v>241</v>
      </c>
      <c r="BB2996" s="4" t="s">
        <v>250</v>
      </c>
      <c r="BC2996" s="4" t="s">
        <v>241</v>
      </c>
      <c r="BD2996" s="4" t="s">
        <v>252</v>
      </c>
      <c r="BE2996" s="4" t="s">
        <v>241</v>
      </c>
      <c r="BI2996" s="4" t="s">
        <v>253</v>
      </c>
      <c r="BJ2996" s="5" t="s">
        <v>246</v>
      </c>
      <c r="BK2996" s="4" t="s">
        <v>254</v>
      </c>
      <c r="BL2996" s="4" t="s">
        <v>255</v>
      </c>
      <c r="BM2996" s="4" t="s">
        <v>241</v>
      </c>
      <c r="BN2996" s="6">
        <f>0</f>
        <v>0</v>
      </c>
      <c r="BO2996" s="6">
        <f>0</f>
        <v>0</v>
      </c>
      <c r="BP2996" s="4" t="s">
        <v>256</v>
      </c>
      <c r="BQ2996" s="4" t="s">
        <v>257</v>
      </c>
      <c r="CE2996" s="4" t="s">
        <v>241</v>
      </c>
      <c r="CF2996" s="4" t="s">
        <v>241</v>
      </c>
      <c r="CJ2996" s="4" t="s">
        <v>276</v>
      </c>
      <c r="CK2996" s="4" t="s">
        <v>259</v>
      </c>
      <c r="CL2996" s="4" t="s">
        <v>241</v>
      </c>
      <c r="CO2996" s="5" t="s">
        <v>260</v>
      </c>
      <c r="CP2996" s="4" t="s">
        <v>241</v>
      </c>
      <c r="CQ2996" s="4" t="s">
        <v>261</v>
      </c>
      <c r="CR2996" s="4" t="s">
        <v>241</v>
      </c>
      <c r="CS2996" s="4" t="s">
        <v>241</v>
      </c>
      <c r="CT2996" s="4">
        <v>0</v>
      </c>
      <c r="CU2996" s="4" t="s">
        <v>262</v>
      </c>
      <c r="CV2996" s="4" t="s">
        <v>263</v>
      </c>
      <c r="CW2996" s="4" t="s">
        <v>263</v>
      </c>
      <c r="CX2996" s="4" t="s">
        <v>264</v>
      </c>
      <c r="DA2996" s="6">
        <f>1</f>
        <v>1</v>
      </c>
      <c r="DC2996" s="4" t="s">
        <v>325</v>
      </c>
      <c r="DD2996" s="4" t="s">
        <v>241</v>
      </c>
      <c r="DF2996" s="4" t="s">
        <v>325</v>
      </c>
      <c r="DG2996" s="6">
        <f>983</f>
        <v>983</v>
      </c>
      <c r="DI2996" s="4" t="s">
        <v>241</v>
      </c>
      <c r="DJ2996" s="4" t="s">
        <v>241</v>
      </c>
      <c r="DK2996" s="4" t="s">
        <v>241</v>
      </c>
      <c r="DL2996" s="4" t="s">
        <v>241</v>
      </c>
      <c r="DP2996" s="4" t="s">
        <v>241</v>
      </c>
      <c r="DQ2996" s="4" t="s">
        <v>241</v>
      </c>
      <c r="DR2996" s="4" t="s">
        <v>241</v>
      </c>
      <c r="DS2996" s="4" t="s">
        <v>241</v>
      </c>
      <c r="DV2996" s="4" t="s">
        <v>426</v>
      </c>
      <c r="DW2996" s="4" t="s">
        <v>1350</v>
      </c>
      <c r="HO2996" s="4" t="s">
        <v>267</v>
      </c>
    </row>
    <row r="2997" spans="1:223" ht="19.5" customHeight="1" x14ac:dyDescent="0.4">
      <c r="A2997" s="4">
        <v>1</v>
      </c>
      <c r="B2997" s="4" t="s">
        <v>239</v>
      </c>
      <c r="C2997" s="4">
        <v>4700</v>
      </c>
      <c r="D2997" s="4">
        <v>1</v>
      </c>
      <c r="E2997" s="4">
        <v>1</v>
      </c>
      <c r="F2997" s="4" t="s">
        <v>268</v>
      </c>
      <c r="G2997" s="4" t="s">
        <v>241</v>
      </c>
      <c r="H2997" s="4" t="s">
        <v>241</v>
      </c>
      <c r="I2997" s="4" t="s">
        <v>424</v>
      </c>
      <c r="J2997" s="4" t="s">
        <v>274</v>
      </c>
      <c r="K2997" s="4" t="s">
        <v>251</v>
      </c>
      <c r="L2997" s="4" t="s">
        <v>423</v>
      </c>
      <c r="M2997" s="5" t="s">
        <v>3234</v>
      </c>
      <c r="N2997" s="6">
        <f>957</f>
        <v>957</v>
      </c>
      <c r="O2997" s="4" t="s">
        <v>265</v>
      </c>
      <c r="P2997" s="6">
        <f>1</f>
        <v>1</v>
      </c>
      <c r="Q2997" s="6">
        <f>0</f>
        <v>0</v>
      </c>
      <c r="S2997" s="6">
        <f>0</f>
        <v>0</v>
      </c>
      <c r="T2997" s="6">
        <f>1</f>
        <v>1</v>
      </c>
      <c r="U2997" s="5" t="s">
        <v>245</v>
      </c>
      <c r="V2997" s="4" t="s">
        <v>270</v>
      </c>
      <c r="W2997" s="4" t="s">
        <v>271</v>
      </c>
      <c r="X2997" s="4" t="s">
        <v>273</v>
      </c>
      <c r="Y2997" s="4" t="s">
        <v>241</v>
      </c>
      <c r="AB2997" s="4" t="s">
        <v>241</v>
      </c>
      <c r="AD2997" s="5" t="s">
        <v>241</v>
      </c>
      <c r="AG2997" s="5" t="s">
        <v>246</v>
      </c>
      <c r="AH2997" s="4" t="s">
        <v>241</v>
      </c>
      <c r="AI2997" s="4" t="s">
        <v>247</v>
      </c>
      <c r="AJ2997" s="4" t="s">
        <v>248</v>
      </c>
      <c r="AZ2997" s="4" t="s">
        <v>249</v>
      </c>
      <c r="BA2997" s="4" t="s">
        <v>241</v>
      </c>
      <c r="BB2997" s="4" t="s">
        <v>250</v>
      </c>
      <c r="BC2997" s="4" t="s">
        <v>241</v>
      </c>
      <c r="BD2997" s="4" t="s">
        <v>252</v>
      </c>
      <c r="BE2997" s="4" t="s">
        <v>241</v>
      </c>
      <c r="BI2997" s="4" t="s">
        <v>253</v>
      </c>
      <c r="BJ2997" s="5" t="s">
        <v>246</v>
      </c>
      <c r="BK2997" s="4" t="s">
        <v>254</v>
      </c>
      <c r="BL2997" s="4" t="s">
        <v>255</v>
      </c>
      <c r="BM2997" s="4" t="s">
        <v>241</v>
      </c>
      <c r="BN2997" s="6">
        <f>0</f>
        <v>0</v>
      </c>
      <c r="BO2997" s="6">
        <f>0</f>
        <v>0</v>
      </c>
      <c r="BP2997" s="4" t="s">
        <v>256</v>
      </c>
      <c r="BQ2997" s="4" t="s">
        <v>257</v>
      </c>
      <c r="CE2997" s="4" t="s">
        <v>241</v>
      </c>
      <c r="CF2997" s="4" t="s">
        <v>241</v>
      </c>
      <c r="CJ2997" s="4" t="s">
        <v>276</v>
      </c>
      <c r="CK2997" s="4" t="s">
        <v>259</v>
      </c>
      <c r="CL2997" s="4" t="s">
        <v>241</v>
      </c>
      <c r="CO2997" s="5" t="s">
        <v>260</v>
      </c>
      <c r="CP2997" s="4" t="s">
        <v>241</v>
      </c>
      <c r="CQ2997" s="4" t="s">
        <v>261</v>
      </c>
      <c r="CR2997" s="4" t="s">
        <v>241</v>
      </c>
      <c r="CS2997" s="4" t="s">
        <v>241</v>
      </c>
      <c r="CT2997" s="4">
        <v>0</v>
      </c>
      <c r="CU2997" s="4" t="s">
        <v>262</v>
      </c>
      <c r="CV2997" s="4" t="s">
        <v>263</v>
      </c>
      <c r="CW2997" s="4" t="s">
        <v>263</v>
      </c>
      <c r="CX2997" s="4" t="s">
        <v>264</v>
      </c>
      <c r="DA2997" s="6">
        <f>1</f>
        <v>1</v>
      </c>
      <c r="DC2997" s="4" t="s">
        <v>325</v>
      </c>
      <c r="DD2997" s="4" t="s">
        <v>241</v>
      </c>
      <c r="DF2997" s="4" t="s">
        <v>325</v>
      </c>
      <c r="DG2997" s="6">
        <f>957</f>
        <v>957</v>
      </c>
      <c r="DI2997" s="4" t="s">
        <v>241</v>
      </c>
      <c r="DJ2997" s="4" t="s">
        <v>241</v>
      </c>
      <c r="DK2997" s="4" t="s">
        <v>241</v>
      </c>
      <c r="DL2997" s="4" t="s">
        <v>241</v>
      </c>
      <c r="DP2997" s="4" t="s">
        <v>241</v>
      </c>
      <c r="DQ2997" s="4" t="s">
        <v>241</v>
      </c>
      <c r="DR2997" s="4" t="s">
        <v>241</v>
      </c>
      <c r="DS2997" s="4" t="s">
        <v>241</v>
      </c>
      <c r="DV2997" s="4" t="s">
        <v>426</v>
      </c>
      <c r="DW2997" s="4" t="s">
        <v>1438</v>
      </c>
      <c r="HO2997" s="4" t="s">
        <v>267</v>
      </c>
    </row>
    <row r="2998" spans="1:223" ht="19.5" customHeight="1" x14ac:dyDescent="0.4">
      <c r="A2998" s="4">
        <v>1</v>
      </c>
      <c r="B2998" s="4" t="s">
        <v>239</v>
      </c>
      <c r="C2998" s="4">
        <v>4701</v>
      </c>
      <c r="D2998" s="4">
        <v>1</v>
      </c>
      <c r="E2998" s="4">
        <v>1</v>
      </c>
      <c r="F2998" s="4" t="s">
        <v>268</v>
      </c>
      <c r="G2998" s="4" t="s">
        <v>241</v>
      </c>
      <c r="H2998" s="4" t="s">
        <v>241</v>
      </c>
      <c r="I2998" s="4" t="s">
        <v>424</v>
      </c>
      <c r="J2998" s="4" t="s">
        <v>274</v>
      </c>
      <c r="K2998" s="4" t="s">
        <v>251</v>
      </c>
      <c r="L2998" s="4" t="s">
        <v>423</v>
      </c>
      <c r="M2998" s="5" t="s">
        <v>3227</v>
      </c>
      <c r="N2998" s="6">
        <f>422</f>
        <v>422</v>
      </c>
      <c r="O2998" s="4" t="s">
        <v>265</v>
      </c>
      <c r="P2998" s="6">
        <f>1</f>
        <v>1</v>
      </c>
      <c r="Q2998" s="6">
        <f>0</f>
        <v>0</v>
      </c>
      <c r="S2998" s="6">
        <f>0</f>
        <v>0</v>
      </c>
      <c r="T2998" s="6">
        <f>1</f>
        <v>1</v>
      </c>
      <c r="U2998" s="5" t="s">
        <v>245</v>
      </c>
      <c r="V2998" s="4" t="s">
        <v>270</v>
      </c>
      <c r="W2998" s="4" t="s">
        <v>271</v>
      </c>
      <c r="X2998" s="4" t="s">
        <v>273</v>
      </c>
      <c r="Y2998" s="4" t="s">
        <v>241</v>
      </c>
      <c r="AB2998" s="4" t="s">
        <v>241</v>
      </c>
      <c r="AD2998" s="5" t="s">
        <v>241</v>
      </c>
      <c r="AG2998" s="5" t="s">
        <v>246</v>
      </c>
      <c r="AH2998" s="4" t="s">
        <v>241</v>
      </c>
      <c r="AI2998" s="4" t="s">
        <v>247</v>
      </c>
      <c r="AJ2998" s="4" t="s">
        <v>248</v>
      </c>
      <c r="AZ2998" s="4" t="s">
        <v>249</v>
      </c>
      <c r="BA2998" s="4" t="s">
        <v>241</v>
      </c>
      <c r="BB2998" s="4" t="s">
        <v>250</v>
      </c>
      <c r="BC2998" s="4" t="s">
        <v>241</v>
      </c>
      <c r="BD2998" s="4" t="s">
        <v>252</v>
      </c>
      <c r="BE2998" s="4" t="s">
        <v>241</v>
      </c>
      <c r="BI2998" s="4" t="s">
        <v>253</v>
      </c>
      <c r="BJ2998" s="5" t="s">
        <v>246</v>
      </c>
      <c r="BK2998" s="4" t="s">
        <v>254</v>
      </c>
      <c r="BL2998" s="4" t="s">
        <v>255</v>
      </c>
      <c r="BM2998" s="4" t="s">
        <v>241</v>
      </c>
      <c r="BN2998" s="6">
        <f>0</f>
        <v>0</v>
      </c>
      <c r="BO2998" s="6">
        <f>0</f>
        <v>0</v>
      </c>
      <c r="BP2998" s="4" t="s">
        <v>256</v>
      </c>
      <c r="BQ2998" s="4" t="s">
        <v>257</v>
      </c>
      <c r="CE2998" s="4" t="s">
        <v>241</v>
      </c>
      <c r="CF2998" s="4" t="s">
        <v>241</v>
      </c>
      <c r="CJ2998" s="4" t="s">
        <v>276</v>
      </c>
      <c r="CK2998" s="4" t="s">
        <v>259</v>
      </c>
      <c r="CL2998" s="4" t="s">
        <v>241</v>
      </c>
      <c r="CO2998" s="5" t="s">
        <v>260</v>
      </c>
      <c r="CP2998" s="4" t="s">
        <v>241</v>
      </c>
      <c r="CQ2998" s="4" t="s">
        <v>261</v>
      </c>
      <c r="CR2998" s="4" t="s">
        <v>241</v>
      </c>
      <c r="CS2998" s="4" t="s">
        <v>241</v>
      </c>
      <c r="CT2998" s="4">
        <v>0</v>
      </c>
      <c r="CU2998" s="4" t="s">
        <v>262</v>
      </c>
      <c r="CV2998" s="4" t="s">
        <v>263</v>
      </c>
      <c r="CW2998" s="4" t="s">
        <v>263</v>
      </c>
      <c r="CX2998" s="4" t="s">
        <v>264</v>
      </c>
      <c r="DA2998" s="6">
        <f>1</f>
        <v>1</v>
      </c>
      <c r="DC2998" s="4" t="s">
        <v>325</v>
      </c>
      <c r="DD2998" s="4" t="s">
        <v>241</v>
      </c>
      <c r="DF2998" s="4" t="s">
        <v>325</v>
      </c>
      <c r="DG2998" s="6">
        <f>422</f>
        <v>422</v>
      </c>
      <c r="DI2998" s="4" t="s">
        <v>241</v>
      </c>
      <c r="DJ2998" s="4" t="s">
        <v>241</v>
      </c>
      <c r="DK2998" s="4" t="s">
        <v>241</v>
      </c>
      <c r="DL2998" s="4" t="s">
        <v>241</v>
      </c>
      <c r="DP2998" s="4" t="s">
        <v>241</v>
      </c>
      <c r="DQ2998" s="4" t="s">
        <v>241</v>
      </c>
      <c r="DR2998" s="4" t="s">
        <v>241</v>
      </c>
      <c r="DS2998" s="4" t="s">
        <v>241</v>
      </c>
      <c r="DV2998" s="4" t="s">
        <v>426</v>
      </c>
      <c r="DW2998" s="4" t="s">
        <v>1032</v>
      </c>
      <c r="HO2998" s="4" t="s">
        <v>267</v>
      </c>
    </row>
    <row r="2999" spans="1:223" ht="19.5" customHeight="1" x14ac:dyDescent="0.4">
      <c r="A2999" s="4">
        <v>1</v>
      </c>
      <c r="B2999" s="4" t="s">
        <v>239</v>
      </c>
      <c r="C2999" s="4">
        <v>4702</v>
      </c>
      <c r="D2999" s="4">
        <v>1</v>
      </c>
      <c r="E2999" s="4">
        <v>1</v>
      </c>
      <c r="F2999" s="4" t="s">
        <v>268</v>
      </c>
      <c r="G2999" s="4" t="s">
        <v>241</v>
      </c>
      <c r="H2999" s="4" t="s">
        <v>241</v>
      </c>
      <c r="I2999" s="4" t="s">
        <v>424</v>
      </c>
      <c r="J2999" s="4" t="s">
        <v>274</v>
      </c>
      <c r="K2999" s="4" t="s">
        <v>251</v>
      </c>
      <c r="L2999" s="4" t="s">
        <v>423</v>
      </c>
      <c r="M2999" s="5" t="s">
        <v>3218</v>
      </c>
      <c r="N2999" s="6">
        <f>316</f>
        <v>316</v>
      </c>
      <c r="O2999" s="4" t="s">
        <v>265</v>
      </c>
      <c r="P2999" s="6">
        <f>1</f>
        <v>1</v>
      </c>
      <c r="Q2999" s="6">
        <f>0</f>
        <v>0</v>
      </c>
      <c r="S2999" s="6">
        <f>0</f>
        <v>0</v>
      </c>
      <c r="T2999" s="6">
        <f>1</f>
        <v>1</v>
      </c>
      <c r="U2999" s="5" t="s">
        <v>245</v>
      </c>
      <c r="V2999" s="4" t="s">
        <v>270</v>
      </c>
      <c r="W2999" s="4" t="s">
        <v>271</v>
      </c>
      <c r="X2999" s="4" t="s">
        <v>273</v>
      </c>
      <c r="Y2999" s="4" t="s">
        <v>241</v>
      </c>
      <c r="AB2999" s="4" t="s">
        <v>241</v>
      </c>
      <c r="AD2999" s="5" t="s">
        <v>241</v>
      </c>
      <c r="AG2999" s="5" t="s">
        <v>246</v>
      </c>
      <c r="AH2999" s="4" t="s">
        <v>241</v>
      </c>
      <c r="AI2999" s="4" t="s">
        <v>247</v>
      </c>
      <c r="AJ2999" s="4" t="s">
        <v>248</v>
      </c>
      <c r="AZ2999" s="4" t="s">
        <v>249</v>
      </c>
      <c r="BA2999" s="4" t="s">
        <v>241</v>
      </c>
      <c r="BB2999" s="4" t="s">
        <v>250</v>
      </c>
      <c r="BC2999" s="4" t="s">
        <v>241</v>
      </c>
      <c r="BD2999" s="4" t="s">
        <v>252</v>
      </c>
      <c r="BE2999" s="4" t="s">
        <v>241</v>
      </c>
      <c r="BI2999" s="4" t="s">
        <v>253</v>
      </c>
      <c r="BJ2999" s="5" t="s">
        <v>246</v>
      </c>
      <c r="BK2999" s="4" t="s">
        <v>254</v>
      </c>
      <c r="BL2999" s="4" t="s">
        <v>255</v>
      </c>
      <c r="BM2999" s="4" t="s">
        <v>241</v>
      </c>
      <c r="BN2999" s="6">
        <f>0</f>
        <v>0</v>
      </c>
      <c r="BO2999" s="6">
        <f>0</f>
        <v>0</v>
      </c>
      <c r="BP2999" s="4" t="s">
        <v>256</v>
      </c>
      <c r="BQ2999" s="4" t="s">
        <v>257</v>
      </c>
      <c r="CE2999" s="4" t="s">
        <v>241</v>
      </c>
      <c r="CF2999" s="4" t="s">
        <v>241</v>
      </c>
      <c r="CJ2999" s="4" t="s">
        <v>276</v>
      </c>
      <c r="CK2999" s="4" t="s">
        <v>259</v>
      </c>
      <c r="CL2999" s="4" t="s">
        <v>241</v>
      </c>
      <c r="CO2999" s="5" t="s">
        <v>260</v>
      </c>
      <c r="CP2999" s="4" t="s">
        <v>241</v>
      </c>
      <c r="CQ2999" s="4" t="s">
        <v>261</v>
      </c>
      <c r="CR2999" s="4" t="s">
        <v>241</v>
      </c>
      <c r="CS2999" s="4" t="s">
        <v>241</v>
      </c>
      <c r="CT2999" s="4">
        <v>0</v>
      </c>
      <c r="CU2999" s="4" t="s">
        <v>262</v>
      </c>
      <c r="CV2999" s="4" t="s">
        <v>263</v>
      </c>
      <c r="CW2999" s="4" t="s">
        <v>263</v>
      </c>
      <c r="CX2999" s="4" t="s">
        <v>264</v>
      </c>
      <c r="DA2999" s="6">
        <f>1</f>
        <v>1</v>
      </c>
      <c r="DC2999" s="4" t="s">
        <v>325</v>
      </c>
      <c r="DD2999" s="4" t="s">
        <v>241</v>
      </c>
      <c r="DF2999" s="4" t="s">
        <v>325</v>
      </c>
      <c r="DG2999" s="6">
        <f>316</f>
        <v>316</v>
      </c>
      <c r="DI2999" s="4" t="s">
        <v>241</v>
      </c>
      <c r="DJ2999" s="4" t="s">
        <v>241</v>
      </c>
      <c r="DK2999" s="4" t="s">
        <v>241</v>
      </c>
      <c r="DL2999" s="4" t="s">
        <v>241</v>
      </c>
      <c r="DP2999" s="4" t="s">
        <v>241</v>
      </c>
      <c r="DQ2999" s="4" t="s">
        <v>241</v>
      </c>
      <c r="DR2999" s="4" t="s">
        <v>241</v>
      </c>
      <c r="DS2999" s="4" t="s">
        <v>241</v>
      </c>
      <c r="DV2999" s="4" t="s">
        <v>426</v>
      </c>
      <c r="DW2999" s="4" t="s">
        <v>366</v>
      </c>
      <c r="HO2999" s="4" t="s">
        <v>267</v>
      </c>
    </row>
    <row r="3000" spans="1:223" ht="19.5" customHeight="1" x14ac:dyDescent="0.4">
      <c r="A3000" s="4">
        <v>1</v>
      </c>
      <c r="B3000" s="4" t="s">
        <v>239</v>
      </c>
      <c r="C3000" s="4">
        <v>4703</v>
      </c>
      <c r="D3000" s="4">
        <v>1</v>
      </c>
      <c r="E3000" s="4">
        <v>1</v>
      </c>
      <c r="F3000" s="4" t="s">
        <v>268</v>
      </c>
      <c r="G3000" s="4" t="s">
        <v>241</v>
      </c>
      <c r="H3000" s="4" t="s">
        <v>241</v>
      </c>
      <c r="I3000" s="4" t="s">
        <v>424</v>
      </c>
      <c r="J3000" s="4" t="s">
        <v>274</v>
      </c>
      <c r="K3000" s="4" t="s">
        <v>251</v>
      </c>
      <c r="L3000" s="4" t="s">
        <v>423</v>
      </c>
      <c r="M3000" s="5" t="s">
        <v>3210</v>
      </c>
      <c r="N3000" s="6">
        <f>718</f>
        <v>718</v>
      </c>
      <c r="O3000" s="4" t="s">
        <v>265</v>
      </c>
      <c r="P3000" s="6">
        <f>1</f>
        <v>1</v>
      </c>
      <c r="Q3000" s="6">
        <f>0</f>
        <v>0</v>
      </c>
      <c r="S3000" s="6">
        <f>0</f>
        <v>0</v>
      </c>
      <c r="T3000" s="6">
        <f>1</f>
        <v>1</v>
      </c>
      <c r="U3000" s="5" t="s">
        <v>245</v>
      </c>
      <c r="V3000" s="4" t="s">
        <v>270</v>
      </c>
      <c r="W3000" s="4" t="s">
        <v>271</v>
      </c>
      <c r="X3000" s="4" t="s">
        <v>273</v>
      </c>
      <c r="Y3000" s="4" t="s">
        <v>241</v>
      </c>
      <c r="AB3000" s="4" t="s">
        <v>241</v>
      </c>
      <c r="AD3000" s="5" t="s">
        <v>241</v>
      </c>
      <c r="AG3000" s="5" t="s">
        <v>246</v>
      </c>
      <c r="AH3000" s="4" t="s">
        <v>241</v>
      </c>
      <c r="AI3000" s="4" t="s">
        <v>247</v>
      </c>
      <c r="AJ3000" s="4" t="s">
        <v>248</v>
      </c>
      <c r="AZ3000" s="4" t="s">
        <v>249</v>
      </c>
      <c r="BA3000" s="4" t="s">
        <v>241</v>
      </c>
      <c r="BB3000" s="4" t="s">
        <v>250</v>
      </c>
      <c r="BC3000" s="4" t="s">
        <v>241</v>
      </c>
      <c r="BD3000" s="4" t="s">
        <v>252</v>
      </c>
      <c r="BE3000" s="4" t="s">
        <v>241</v>
      </c>
      <c r="BI3000" s="4" t="s">
        <v>253</v>
      </c>
      <c r="BJ3000" s="5" t="s">
        <v>246</v>
      </c>
      <c r="BK3000" s="4" t="s">
        <v>254</v>
      </c>
      <c r="BL3000" s="4" t="s">
        <v>255</v>
      </c>
      <c r="BM3000" s="4" t="s">
        <v>241</v>
      </c>
      <c r="BN3000" s="6">
        <f>0</f>
        <v>0</v>
      </c>
      <c r="BO3000" s="6">
        <f>0</f>
        <v>0</v>
      </c>
      <c r="BP3000" s="4" t="s">
        <v>256</v>
      </c>
      <c r="BQ3000" s="4" t="s">
        <v>257</v>
      </c>
      <c r="CE3000" s="4" t="s">
        <v>241</v>
      </c>
      <c r="CF3000" s="4" t="s">
        <v>241</v>
      </c>
      <c r="CJ3000" s="4" t="s">
        <v>276</v>
      </c>
      <c r="CK3000" s="4" t="s">
        <v>259</v>
      </c>
      <c r="CL3000" s="4" t="s">
        <v>241</v>
      </c>
      <c r="CO3000" s="5" t="s">
        <v>260</v>
      </c>
      <c r="CP3000" s="4" t="s">
        <v>241</v>
      </c>
      <c r="CQ3000" s="4" t="s">
        <v>261</v>
      </c>
      <c r="CR3000" s="4" t="s">
        <v>241</v>
      </c>
      <c r="CS3000" s="4" t="s">
        <v>241</v>
      </c>
      <c r="CT3000" s="4">
        <v>0</v>
      </c>
      <c r="CU3000" s="4" t="s">
        <v>262</v>
      </c>
      <c r="CV3000" s="4" t="s">
        <v>263</v>
      </c>
      <c r="CW3000" s="4" t="s">
        <v>263</v>
      </c>
      <c r="CX3000" s="4" t="s">
        <v>264</v>
      </c>
      <c r="DA3000" s="6">
        <f>1</f>
        <v>1</v>
      </c>
      <c r="DC3000" s="4" t="s">
        <v>325</v>
      </c>
      <c r="DD3000" s="4" t="s">
        <v>241</v>
      </c>
      <c r="DF3000" s="4" t="s">
        <v>325</v>
      </c>
      <c r="DG3000" s="6">
        <f>718</f>
        <v>718</v>
      </c>
      <c r="DI3000" s="4" t="s">
        <v>241</v>
      </c>
      <c r="DJ3000" s="4" t="s">
        <v>241</v>
      </c>
      <c r="DK3000" s="4" t="s">
        <v>241</v>
      </c>
      <c r="DL3000" s="4" t="s">
        <v>241</v>
      </c>
      <c r="DP3000" s="4" t="s">
        <v>241</v>
      </c>
      <c r="DQ3000" s="4" t="s">
        <v>241</v>
      </c>
      <c r="DR3000" s="4" t="s">
        <v>241</v>
      </c>
      <c r="DS3000" s="4" t="s">
        <v>241</v>
      </c>
      <c r="DV3000" s="4" t="s">
        <v>426</v>
      </c>
      <c r="DW3000" s="4" t="s">
        <v>1334</v>
      </c>
      <c r="HO3000" s="4" t="s">
        <v>267</v>
      </c>
    </row>
    <row r="3001" spans="1:223" ht="19.5" customHeight="1" x14ac:dyDescent="0.4">
      <c r="A3001" s="4">
        <v>1</v>
      </c>
      <c r="B3001" s="4" t="s">
        <v>239</v>
      </c>
      <c r="C3001" s="4">
        <v>4704</v>
      </c>
      <c r="D3001" s="4">
        <v>1</v>
      </c>
      <c r="E3001" s="4">
        <v>1</v>
      </c>
      <c r="F3001" s="4" t="s">
        <v>268</v>
      </c>
      <c r="G3001" s="4" t="s">
        <v>241</v>
      </c>
      <c r="H3001" s="4" t="s">
        <v>241</v>
      </c>
      <c r="I3001" s="4" t="s">
        <v>424</v>
      </c>
      <c r="J3001" s="4" t="s">
        <v>274</v>
      </c>
      <c r="K3001" s="4" t="s">
        <v>251</v>
      </c>
      <c r="L3001" s="4" t="s">
        <v>423</v>
      </c>
      <c r="M3001" s="5" t="s">
        <v>3202</v>
      </c>
      <c r="N3001" s="6">
        <f>1021</f>
        <v>1021</v>
      </c>
      <c r="O3001" s="4" t="s">
        <v>265</v>
      </c>
      <c r="P3001" s="6">
        <f>1</f>
        <v>1</v>
      </c>
      <c r="Q3001" s="6">
        <f>0</f>
        <v>0</v>
      </c>
      <c r="S3001" s="6">
        <f>0</f>
        <v>0</v>
      </c>
      <c r="T3001" s="6">
        <f>1</f>
        <v>1</v>
      </c>
      <c r="U3001" s="5" t="s">
        <v>245</v>
      </c>
      <c r="V3001" s="4" t="s">
        <v>270</v>
      </c>
      <c r="W3001" s="4" t="s">
        <v>271</v>
      </c>
      <c r="X3001" s="4" t="s">
        <v>273</v>
      </c>
      <c r="Y3001" s="4" t="s">
        <v>241</v>
      </c>
      <c r="AB3001" s="4" t="s">
        <v>241</v>
      </c>
      <c r="AD3001" s="5" t="s">
        <v>241</v>
      </c>
      <c r="AG3001" s="5" t="s">
        <v>246</v>
      </c>
      <c r="AH3001" s="4" t="s">
        <v>241</v>
      </c>
      <c r="AI3001" s="4" t="s">
        <v>247</v>
      </c>
      <c r="AJ3001" s="4" t="s">
        <v>248</v>
      </c>
      <c r="AZ3001" s="4" t="s">
        <v>249</v>
      </c>
      <c r="BA3001" s="4" t="s">
        <v>241</v>
      </c>
      <c r="BB3001" s="4" t="s">
        <v>250</v>
      </c>
      <c r="BC3001" s="4" t="s">
        <v>241</v>
      </c>
      <c r="BD3001" s="4" t="s">
        <v>252</v>
      </c>
      <c r="BE3001" s="4" t="s">
        <v>241</v>
      </c>
      <c r="BI3001" s="4" t="s">
        <v>253</v>
      </c>
      <c r="BJ3001" s="5" t="s">
        <v>246</v>
      </c>
      <c r="BK3001" s="4" t="s">
        <v>254</v>
      </c>
      <c r="BL3001" s="4" t="s">
        <v>255</v>
      </c>
      <c r="BM3001" s="4" t="s">
        <v>241</v>
      </c>
      <c r="BN3001" s="6">
        <f>0</f>
        <v>0</v>
      </c>
      <c r="BO3001" s="6">
        <f>0</f>
        <v>0</v>
      </c>
      <c r="BP3001" s="4" t="s">
        <v>256</v>
      </c>
      <c r="BQ3001" s="4" t="s">
        <v>257</v>
      </c>
      <c r="CE3001" s="4" t="s">
        <v>241</v>
      </c>
      <c r="CF3001" s="4" t="s">
        <v>241</v>
      </c>
      <c r="CJ3001" s="4" t="s">
        <v>276</v>
      </c>
      <c r="CK3001" s="4" t="s">
        <v>259</v>
      </c>
      <c r="CL3001" s="4" t="s">
        <v>241</v>
      </c>
      <c r="CO3001" s="5" t="s">
        <v>260</v>
      </c>
      <c r="CP3001" s="4" t="s">
        <v>241</v>
      </c>
      <c r="CQ3001" s="4" t="s">
        <v>261</v>
      </c>
      <c r="CR3001" s="4" t="s">
        <v>241</v>
      </c>
      <c r="CS3001" s="4" t="s">
        <v>241</v>
      </c>
      <c r="CT3001" s="4">
        <v>0</v>
      </c>
      <c r="CU3001" s="4" t="s">
        <v>262</v>
      </c>
      <c r="CV3001" s="4" t="s">
        <v>263</v>
      </c>
      <c r="CW3001" s="4" t="s">
        <v>263</v>
      </c>
      <c r="CX3001" s="4" t="s">
        <v>264</v>
      </c>
      <c r="DA3001" s="6">
        <f>1</f>
        <v>1</v>
      </c>
      <c r="DC3001" s="4" t="s">
        <v>325</v>
      </c>
      <c r="DD3001" s="4" t="s">
        <v>241</v>
      </c>
      <c r="DF3001" s="4" t="s">
        <v>325</v>
      </c>
      <c r="DG3001" s="6">
        <f>1021</f>
        <v>1021</v>
      </c>
      <c r="DI3001" s="4" t="s">
        <v>241</v>
      </c>
      <c r="DJ3001" s="4" t="s">
        <v>241</v>
      </c>
      <c r="DK3001" s="4" t="s">
        <v>241</v>
      </c>
      <c r="DL3001" s="4" t="s">
        <v>241</v>
      </c>
      <c r="DP3001" s="4" t="s">
        <v>241</v>
      </c>
      <c r="DQ3001" s="4" t="s">
        <v>241</v>
      </c>
      <c r="DR3001" s="4" t="s">
        <v>241</v>
      </c>
      <c r="DS3001" s="4" t="s">
        <v>241</v>
      </c>
      <c r="DV3001" s="4" t="s">
        <v>426</v>
      </c>
      <c r="DW3001" s="4" t="s">
        <v>1393</v>
      </c>
      <c r="HO3001" s="4" t="s">
        <v>267</v>
      </c>
    </row>
    <row r="3002" spans="1:223" ht="19.5" customHeight="1" x14ac:dyDescent="0.4">
      <c r="A3002" s="4">
        <v>1</v>
      </c>
      <c r="B3002" s="4" t="s">
        <v>239</v>
      </c>
      <c r="C3002" s="4">
        <v>4705</v>
      </c>
      <c r="D3002" s="4">
        <v>1</v>
      </c>
      <c r="E3002" s="4">
        <v>1</v>
      </c>
      <c r="F3002" s="4" t="s">
        <v>268</v>
      </c>
      <c r="G3002" s="4" t="s">
        <v>241</v>
      </c>
      <c r="H3002" s="4" t="s">
        <v>241</v>
      </c>
      <c r="I3002" s="4" t="s">
        <v>424</v>
      </c>
      <c r="J3002" s="4" t="s">
        <v>274</v>
      </c>
      <c r="K3002" s="4" t="s">
        <v>251</v>
      </c>
      <c r="L3002" s="4" t="s">
        <v>423</v>
      </c>
      <c r="M3002" s="5" t="s">
        <v>4561</v>
      </c>
      <c r="N3002" s="6">
        <f>58</f>
        <v>58</v>
      </c>
      <c r="O3002" s="4" t="s">
        <v>265</v>
      </c>
      <c r="P3002" s="6">
        <f>1</f>
        <v>1</v>
      </c>
      <c r="Q3002" s="6">
        <f>0</f>
        <v>0</v>
      </c>
      <c r="S3002" s="6">
        <f>0</f>
        <v>0</v>
      </c>
      <c r="T3002" s="6">
        <f>1</f>
        <v>1</v>
      </c>
      <c r="U3002" s="5" t="s">
        <v>245</v>
      </c>
      <c r="V3002" s="4" t="s">
        <v>270</v>
      </c>
      <c r="W3002" s="4" t="s">
        <v>271</v>
      </c>
      <c r="X3002" s="4" t="s">
        <v>273</v>
      </c>
      <c r="Y3002" s="4" t="s">
        <v>241</v>
      </c>
      <c r="AB3002" s="4" t="s">
        <v>241</v>
      </c>
      <c r="AD3002" s="5" t="s">
        <v>241</v>
      </c>
      <c r="AG3002" s="5" t="s">
        <v>246</v>
      </c>
      <c r="AH3002" s="4" t="s">
        <v>241</v>
      </c>
      <c r="AI3002" s="4" t="s">
        <v>247</v>
      </c>
      <c r="AJ3002" s="4" t="s">
        <v>248</v>
      </c>
      <c r="AZ3002" s="4" t="s">
        <v>249</v>
      </c>
      <c r="BA3002" s="4" t="s">
        <v>241</v>
      </c>
      <c r="BB3002" s="4" t="s">
        <v>250</v>
      </c>
      <c r="BC3002" s="4" t="s">
        <v>241</v>
      </c>
      <c r="BD3002" s="4" t="s">
        <v>252</v>
      </c>
      <c r="BE3002" s="4" t="s">
        <v>241</v>
      </c>
      <c r="BI3002" s="4" t="s">
        <v>253</v>
      </c>
      <c r="BJ3002" s="5" t="s">
        <v>246</v>
      </c>
      <c r="BK3002" s="4" t="s">
        <v>254</v>
      </c>
      <c r="BL3002" s="4" t="s">
        <v>255</v>
      </c>
      <c r="BM3002" s="4" t="s">
        <v>241</v>
      </c>
      <c r="BN3002" s="6">
        <f>0</f>
        <v>0</v>
      </c>
      <c r="BO3002" s="6">
        <f>0</f>
        <v>0</v>
      </c>
      <c r="BP3002" s="4" t="s">
        <v>256</v>
      </c>
      <c r="BQ3002" s="4" t="s">
        <v>257</v>
      </c>
      <c r="CE3002" s="4" t="s">
        <v>241</v>
      </c>
      <c r="CF3002" s="4" t="s">
        <v>241</v>
      </c>
      <c r="CJ3002" s="4" t="s">
        <v>276</v>
      </c>
      <c r="CK3002" s="4" t="s">
        <v>259</v>
      </c>
      <c r="CL3002" s="4" t="s">
        <v>241</v>
      </c>
      <c r="CO3002" s="5" t="s">
        <v>260</v>
      </c>
      <c r="CP3002" s="4" t="s">
        <v>241</v>
      </c>
      <c r="CQ3002" s="4" t="s">
        <v>261</v>
      </c>
      <c r="CR3002" s="4" t="s">
        <v>241</v>
      </c>
      <c r="CS3002" s="4" t="s">
        <v>241</v>
      </c>
      <c r="CT3002" s="4">
        <v>0</v>
      </c>
      <c r="CU3002" s="4" t="s">
        <v>262</v>
      </c>
      <c r="CV3002" s="4" t="s">
        <v>263</v>
      </c>
      <c r="CW3002" s="4" t="s">
        <v>263</v>
      </c>
      <c r="CX3002" s="4" t="s">
        <v>264</v>
      </c>
      <c r="DA3002" s="6">
        <f>1</f>
        <v>1</v>
      </c>
      <c r="DC3002" s="4" t="s">
        <v>325</v>
      </c>
      <c r="DD3002" s="4" t="s">
        <v>241</v>
      </c>
      <c r="DF3002" s="4" t="s">
        <v>325</v>
      </c>
      <c r="DG3002" s="6">
        <f>58</f>
        <v>58</v>
      </c>
      <c r="DI3002" s="4" t="s">
        <v>241</v>
      </c>
      <c r="DJ3002" s="4" t="s">
        <v>241</v>
      </c>
      <c r="DK3002" s="4" t="s">
        <v>241</v>
      </c>
      <c r="DL3002" s="4" t="s">
        <v>241</v>
      </c>
      <c r="DP3002" s="4" t="s">
        <v>241</v>
      </c>
      <c r="DQ3002" s="4" t="s">
        <v>241</v>
      </c>
      <c r="DR3002" s="4" t="s">
        <v>241</v>
      </c>
      <c r="DS3002" s="4" t="s">
        <v>241</v>
      </c>
      <c r="DV3002" s="4" t="s">
        <v>426</v>
      </c>
      <c r="DW3002" s="4" t="s">
        <v>1314</v>
      </c>
      <c r="HO3002" s="4" t="s">
        <v>267</v>
      </c>
    </row>
    <row r="3003" spans="1:223" ht="19.5" customHeight="1" x14ac:dyDescent="0.4">
      <c r="A3003" s="4">
        <v>1</v>
      </c>
      <c r="B3003" s="4" t="s">
        <v>239</v>
      </c>
      <c r="C3003" s="4">
        <v>4706</v>
      </c>
      <c r="D3003" s="4">
        <v>1</v>
      </c>
      <c r="E3003" s="4">
        <v>1</v>
      </c>
      <c r="F3003" s="4" t="s">
        <v>268</v>
      </c>
      <c r="G3003" s="4" t="s">
        <v>241</v>
      </c>
      <c r="H3003" s="4" t="s">
        <v>241</v>
      </c>
      <c r="I3003" s="4" t="s">
        <v>424</v>
      </c>
      <c r="J3003" s="4" t="s">
        <v>274</v>
      </c>
      <c r="K3003" s="4" t="s">
        <v>251</v>
      </c>
      <c r="L3003" s="4" t="s">
        <v>423</v>
      </c>
      <c r="M3003" s="5" t="s">
        <v>965</v>
      </c>
      <c r="N3003" s="6">
        <f>1033</f>
        <v>1033</v>
      </c>
      <c r="O3003" s="4" t="s">
        <v>265</v>
      </c>
      <c r="P3003" s="6">
        <f>1</f>
        <v>1</v>
      </c>
      <c r="Q3003" s="6">
        <f>0</f>
        <v>0</v>
      </c>
      <c r="S3003" s="6">
        <f>0</f>
        <v>0</v>
      </c>
      <c r="T3003" s="6">
        <f>1</f>
        <v>1</v>
      </c>
      <c r="U3003" s="5" t="s">
        <v>245</v>
      </c>
      <c r="V3003" s="4" t="s">
        <v>270</v>
      </c>
      <c r="W3003" s="4" t="s">
        <v>271</v>
      </c>
      <c r="X3003" s="4" t="s">
        <v>273</v>
      </c>
      <c r="Y3003" s="4" t="s">
        <v>241</v>
      </c>
      <c r="AB3003" s="4" t="s">
        <v>241</v>
      </c>
      <c r="AD3003" s="5" t="s">
        <v>241</v>
      </c>
      <c r="AG3003" s="5" t="s">
        <v>246</v>
      </c>
      <c r="AH3003" s="4" t="s">
        <v>241</v>
      </c>
      <c r="AI3003" s="4" t="s">
        <v>247</v>
      </c>
      <c r="AJ3003" s="4" t="s">
        <v>248</v>
      </c>
      <c r="AZ3003" s="4" t="s">
        <v>249</v>
      </c>
      <c r="BA3003" s="4" t="s">
        <v>241</v>
      </c>
      <c r="BB3003" s="4" t="s">
        <v>250</v>
      </c>
      <c r="BC3003" s="4" t="s">
        <v>241</v>
      </c>
      <c r="BD3003" s="4" t="s">
        <v>252</v>
      </c>
      <c r="BE3003" s="4" t="s">
        <v>241</v>
      </c>
      <c r="BI3003" s="4" t="s">
        <v>253</v>
      </c>
      <c r="BJ3003" s="5" t="s">
        <v>246</v>
      </c>
      <c r="BK3003" s="4" t="s">
        <v>254</v>
      </c>
      <c r="BL3003" s="4" t="s">
        <v>255</v>
      </c>
      <c r="BM3003" s="4" t="s">
        <v>241</v>
      </c>
      <c r="BN3003" s="6">
        <f>0</f>
        <v>0</v>
      </c>
      <c r="BO3003" s="6">
        <f>0</f>
        <v>0</v>
      </c>
      <c r="BP3003" s="4" t="s">
        <v>256</v>
      </c>
      <c r="BQ3003" s="4" t="s">
        <v>257</v>
      </c>
      <c r="CE3003" s="4" t="s">
        <v>241</v>
      </c>
      <c r="CF3003" s="4" t="s">
        <v>241</v>
      </c>
      <c r="CJ3003" s="4" t="s">
        <v>276</v>
      </c>
      <c r="CK3003" s="4" t="s">
        <v>259</v>
      </c>
      <c r="CL3003" s="4" t="s">
        <v>241</v>
      </c>
      <c r="CO3003" s="5" t="s">
        <v>260</v>
      </c>
      <c r="CP3003" s="4" t="s">
        <v>241</v>
      </c>
      <c r="CQ3003" s="4" t="s">
        <v>261</v>
      </c>
      <c r="CR3003" s="4" t="s">
        <v>241</v>
      </c>
      <c r="CS3003" s="4" t="s">
        <v>241</v>
      </c>
      <c r="CT3003" s="4">
        <v>0</v>
      </c>
      <c r="CU3003" s="4" t="s">
        <v>262</v>
      </c>
      <c r="CV3003" s="4" t="s">
        <v>263</v>
      </c>
      <c r="CW3003" s="4" t="s">
        <v>263</v>
      </c>
      <c r="CX3003" s="4" t="s">
        <v>264</v>
      </c>
      <c r="DA3003" s="6">
        <f>1</f>
        <v>1</v>
      </c>
      <c r="DC3003" s="4" t="s">
        <v>325</v>
      </c>
      <c r="DD3003" s="4" t="s">
        <v>241</v>
      </c>
      <c r="DF3003" s="4" t="s">
        <v>325</v>
      </c>
      <c r="DG3003" s="6">
        <f>1033</f>
        <v>1033</v>
      </c>
      <c r="DI3003" s="4" t="s">
        <v>241</v>
      </c>
      <c r="DJ3003" s="4" t="s">
        <v>241</v>
      </c>
      <c r="DK3003" s="4" t="s">
        <v>241</v>
      </c>
      <c r="DL3003" s="4" t="s">
        <v>241</v>
      </c>
      <c r="DP3003" s="4" t="s">
        <v>241</v>
      </c>
      <c r="DQ3003" s="4" t="s">
        <v>241</v>
      </c>
      <c r="DR3003" s="4" t="s">
        <v>241</v>
      </c>
      <c r="DS3003" s="4" t="s">
        <v>241</v>
      </c>
      <c r="DV3003" s="4" t="s">
        <v>426</v>
      </c>
      <c r="DW3003" s="4" t="s">
        <v>966</v>
      </c>
      <c r="HO3003" s="4" t="s">
        <v>267</v>
      </c>
    </row>
    <row r="3004" spans="1:223" ht="19.5" customHeight="1" x14ac:dyDescent="0.4">
      <c r="A3004" s="4">
        <v>1</v>
      </c>
      <c r="B3004" s="4" t="s">
        <v>239</v>
      </c>
      <c r="C3004" s="4">
        <v>4707</v>
      </c>
      <c r="D3004" s="4">
        <v>1</v>
      </c>
      <c r="E3004" s="4">
        <v>1</v>
      </c>
      <c r="F3004" s="4" t="s">
        <v>268</v>
      </c>
      <c r="G3004" s="4" t="s">
        <v>241</v>
      </c>
      <c r="H3004" s="4" t="s">
        <v>241</v>
      </c>
      <c r="I3004" s="4" t="s">
        <v>424</v>
      </c>
      <c r="J3004" s="4" t="s">
        <v>274</v>
      </c>
      <c r="K3004" s="4" t="s">
        <v>251</v>
      </c>
      <c r="L3004" s="4" t="s">
        <v>423</v>
      </c>
      <c r="M3004" s="5" t="s">
        <v>952</v>
      </c>
      <c r="N3004" s="6">
        <f>936</f>
        <v>936</v>
      </c>
      <c r="O3004" s="4" t="s">
        <v>265</v>
      </c>
      <c r="P3004" s="6">
        <f>1</f>
        <v>1</v>
      </c>
      <c r="Q3004" s="6">
        <f>0</f>
        <v>0</v>
      </c>
      <c r="S3004" s="6">
        <f>0</f>
        <v>0</v>
      </c>
      <c r="T3004" s="6">
        <f>1</f>
        <v>1</v>
      </c>
      <c r="U3004" s="5" t="s">
        <v>245</v>
      </c>
      <c r="V3004" s="4" t="s">
        <v>270</v>
      </c>
      <c r="W3004" s="4" t="s">
        <v>271</v>
      </c>
      <c r="X3004" s="4" t="s">
        <v>273</v>
      </c>
      <c r="Y3004" s="4" t="s">
        <v>241</v>
      </c>
      <c r="AB3004" s="4" t="s">
        <v>241</v>
      </c>
      <c r="AD3004" s="5" t="s">
        <v>241</v>
      </c>
      <c r="AG3004" s="5" t="s">
        <v>246</v>
      </c>
      <c r="AH3004" s="4" t="s">
        <v>241</v>
      </c>
      <c r="AI3004" s="4" t="s">
        <v>247</v>
      </c>
      <c r="AJ3004" s="4" t="s">
        <v>248</v>
      </c>
      <c r="AZ3004" s="4" t="s">
        <v>249</v>
      </c>
      <c r="BA3004" s="4" t="s">
        <v>241</v>
      </c>
      <c r="BB3004" s="4" t="s">
        <v>250</v>
      </c>
      <c r="BC3004" s="4" t="s">
        <v>241</v>
      </c>
      <c r="BD3004" s="4" t="s">
        <v>252</v>
      </c>
      <c r="BE3004" s="4" t="s">
        <v>241</v>
      </c>
      <c r="BI3004" s="4" t="s">
        <v>253</v>
      </c>
      <c r="BJ3004" s="5" t="s">
        <v>246</v>
      </c>
      <c r="BK3004" s="4" t="s">
        <v>254</v>
      </c>
      <c r="BL3004" s="4" t="s">
        <v>255</v>
      </c>
      <c r="BM3004" s="4" t="s">
        <v>241</v>
      </c>
      <c r="BN3004" s="6">
        <f>0</f>
        <v>0</v>
      </c>
      <c r="BO3004" s="6">
        <f>0</f>
        <v>0</v>
      </c>
      <c r="BP3004" s="4" t="s">
        <v>256</v>
      </c>
      <c r="BQ3004" s="4" t="s">
        <v>257</v>
      </c>
      <c r="CE3004" s="4" t="s">
        <v>241</v>
      </c>
      <c r="CF3004" s="4" t="s">
        <v>241</v>
      </c>
      <c r="CJ3004" s="4" t="s">
        <v>276</v>
      </c>
      <c r="CK3004" s="4" t="s">
        <v>259</v>
      </c>
      <c r="CL3004" s="4" t="s">
        <v>241</v>
      </c>
      <c r="CO3004" s="5" t="s">
        <v>260</v>
      </c>
      <c r="CP3004" s="4" t="s">
        <v>241</v>
      </c>
      <c r="CQ3004" s="4" t="s">
        <v>261</v>
      </c>
      <c r="CR3004" s="4" t="s">
        <v>241</v>
      </c>
      <c r="CS3004" s="4" t="s">
        <v>241</v>
      </c>
      <c r="CT3004" s="4">
        <v>0</v>
      </c>
      <c r="CU3004" s="4" t="s">
        <v>262</v>
      </c>
      <c r="CV3004" s="4" t="s">
        <v>263</v>
      </c>
      <c r="CW3004" s="4" t="s">
        <v>263</v>
      </c>
      <c r="CX3004" s="4" t="s">
        <v>264</v>
      </c>
      <c r="DA3004" s="6">
        <f>1</f>
        <v>1</v>
      </c>
      <c r="DC3004" s="4" t="s">
        <v>325</v>
      </c>
      <c r="DD3004" s="4" t="s">
        <v>241</v>
      </c>
      <c r="DF3004" s="4" t="s">
        <v>325</v>
      </c>
      <c r="DG3004" s="6">
        <f>936</f>
        <v>936</v>
      </c>
      <c r="DI3004" s="4" t="s">
        <v>241</v>
      </c>
      <c r="DJ3004" s="4" t="s">
        <v>241</v>
      </c>
      <c r="DK3004" s="4" t="s">
        <v>241</v>
      </c>
      <c r="DL3004" s="4" t="s">
        <v>241</v>
      </c>
      <c r="DP3004" s="4" t="s">
        <v>241</v>
      </c>
      <c r="DQ3004" s="4" t="s">
        <v>241</v>
      </c>
      <c r="DR3004" s="4" t="s">
        <v>241</v>
      </c>
      <c r="DS3004" s="4" t="s">
        <v>241</v>
      </c>
      <c r="DV3004" s="4" t="s">
        <v>426</v>
      </c>
      <c r="DW3004" s="4" t="s">
        <v>953</v>
      </c>
      <c r="HO3004" s="4" t="s">
        <v>267</v>
      </c>
    </row>
    <row r="3005" spans="1:223" ht="19.5" customHeight="1" x14ac:dyDescent="0.4">
      <c r="A3005" s="4">
        <v>1</v>
      </c>
      <c r="B3005" s="4" t="s">
        <v>239</v>
      </c>
      <c r="C3005" s="4">
        <v>4708</v>
      </c>
      <c r="D3005" s="4">
        <v>1</v>
      </c>
      <c r="E3005" s="4">
        <v>1</v>
      </c>
      <c r="F3005" s="4" t="s">
        <v>268</v>
      </c>
      <c r="G3005" s="4" t="s">
        <v>241</v>
      </c>
      <c r="H3005" s="4" t="s">
        <v>241</v>
      </c>
      <c r="I3005" s="4" t="s">
        <v>424</v>
      </c>
      <c r="J3005" s="4" t="s">
        <v>274</v>
      </c>
      <c r="K3005" s="4" t="s">
        <v>251</v>
      </c>
      <c r="L3005" s="4" t="s">
        <v>423</v>
      </c>
      <c r="M3005" s="5" t="s">
        <v>939</v>
      </c>
      <c r="N3005" s="6">
        <f>502</f>
        <v>502</v>
      </c>
      <c r="O3005" s="4" t="s">
        <v>265</v>
      </c>
      <c r="P3005" s="6">
        <f>1</f>
        <v>1</v>
      </c>
      <c r="Q3005" s="6">
        <f>0</f>
        <v>0</v>
      </c>
      <c r="S3005" s="6">
        <f>0</f>
        <v>0</v>
      </c>
      <c r="T3005" s="6">
        <f>1</f>
        <v>1</v>
      </c>
      <c r="U3005" s="5" t="s">
        <v>245</v>
      </c>
      <c r="V3005" s="4" t="s">
        <v>270</v>
      </c>
      <c r="W3005" s="4" t="s">
        <v>271</v>
      </c>
      <c r="X3005" s="4" t="s">
        <v>273</v>
      </c>
      <c r="Y3005" s="4" t="s">
        <v>241</v>
      </c>
      <c r="AB3005" s="4" t="s">
        <v>241</v>
      </c>
      <c r="AD3005" s="5" t="s">
        <v>241</v>
      </c>
      <c r="AG3005" s="5" t="s">
        <v>246</v>
      </c>
      <c r="AH3005" s="4" t="s">
        <v>241</v>
      </c>
      <c r="AI3005" s="4" t="s">
        <v>247</v>
      </c>
      <c r="AJ3005" s="4" t="s">
        <v>248</v>
      </c>
      <c r="AZ3005" s="4" t="s">
        <v>249</v>
      </c>
      <c r="BA3005" s="4" t="s">
        <v>241</v>
      </c>
      <c r="BB3005" s="4" t="s">
        <v>250</v>
      </c>
      <c r="BC3005" s="4" t="s">
        <v>241</v>
      </c>
      <c r="BD3005" s="4" t="s">
        <v>252</v>
      </c>
      <c r="BE3005" s="4" t="s">
        <v>241</v>
      </c>
      <c r="BI3005" s="4" t="s">
        <v>253</v>
      </c>
      <c r="BJ3005" s="5" t="s">
        <v>246</v>
      </c>
      <c r="BK3005" s="4" t="s">
        <v>254</v>
      </c>
      <c r="BL3005" s="4" t="s">
        <v>255</v>
      </c>
      <c r="BM3005" s="4" t="s">
        <v>241</v>
      </c>
      <c r="BN3005" s="6">
        <f>0</f>
        <v>0</v>
      </c>
      <c r="BO3005" s="6">
        <f>0</f>
        <v>0</v>
      </c>
      <c r="BP3005" s="4" t="s">
        <v>256</v>
      </c>
      <c r="BQ3005" s="4" t="s">
        <v>257</v>
      </c>
      <c r="CE3005" s="4" t="s">
        <v>241</v>
      </c>
      <c r="CF3005" s="4" t="s">
        <v>241</v>
      </c>
      <c r="CJ3005" s="4" t="s">
        <v>276</v>
      </c>
      <c r="CK3005" s="4" t="s">
        <v>259</v>
      </c>
      <c r="CL3005" s="4" t="s">
        <v>241</v>
      </c>
      <c r="CO3005" s="5" t="s">
        <v>260</v>
      </c>
      <c r="CP3005" s="4" t="s">
        <v>241</v>
      </c>
      <c r="CQ3005" s="4" t="s">
        <v>261</v>
      </c>
      <c r="CR3005" s="4" t="s">
        <v>241</v>
      </c>
      <c r="CS3005" s="4" t="s">
        <v>241</v>
      </c>
      <c r="CT3005" s="4">
        <v>0</v>
      </c>
      <c r="CU3005" s="4" t="s">
        <v>262</v>
      </c>
      <c r="CV3005" s="4" t="s">
        <v>263</v>
      </c>
      <c r="CW3005" s="4" t="s">
        <v>263</v>
      </c>
      <c r="CX3005" s="4" t="s">
        <v>264</v>
      </c>
      <c r="DA3005" s="6">
        <f>1</f>
        <v>1</v>
      </c>
      <c r="DC3005" s="4" t="s">
        <v>325</v>
      </c>
      <c r="DD3005" s="4" t="s">
        <v>241</v>
      </c>
      <c r="DF3005" s="4" t="s">
        <v>325</v>
      </c>
      <c r="DG3005" s="6">
        <f>502</f>
        <v>502</v>
      </c>
      <c r="DI3005" s="4" t="s">
        <v>241</v>
      </c>
      <c r="DJ3005" s="4" t="s">
        <v>241</v>
      </c>
      <c r="DK3005" s="4" t="s">
        <v>241</v>
      </c>
      <c r="DL3005" s="4" t="s">
        <v>241</v>
      </c>
      <c r="DP3005" s="4" t="s">
        <v>241</v>
      </c>
      <c r="DQ3005" s="4" t="s">
        <v>241</v>
      </c>
      <c r="DR3005" s="4" t="s">
        <v>241</v>
      </c>
      <c r="DS3005" s="4" t="s">
        <v>241</v>
      </c>
      <c r="DV3005" s="4" t="s">
        <v>426</v>
      </c>
      <c r="DW3005" s="4" t="s">
        <v>940</v>
      </c>
      <c r="HO3005" s="4" t="s">
        <v>267</v>
      </c>
    </row>
    <row r="3006" spans="1:223" ht="19.5" customHeight="1" x14ac:dyDescent="0.4">
      <c r="A3006" s="4">
        <v>1</v>
      </c>
      <c r="B3006" s="4" t="s">
        <v>239</v>
      </c>
      <c r="C3006" s="4">
        <v>4709</v>
      </c>
      <c r="D3006" s="4">
        <v>1</v>
      </c>
      <c r="E3006" s="4">
        <v>1</v>
      </c>
      <c r="F3006" s="4" t="s">
        <v>268</v>
      </c>
      <c r="G3006" s="4" t="s">
        <v>241</v>
      </c>
      <c r="H3006" s="4" t="s">
        <v>241</v>
      </c>
      <c r="I3006" s="4" t="s">
        <v>424</v>
      </c>
      <c r="J3006" s="4" t="s">
        <v>274</v>
      </c>
      <c r="K3006" s="4" t="s">
        <v>251</v>
      </c>
      <c r="L3006" s="4" t="s">
        <v>423</v>
      </c>
      <c r="M3006" s="5" t="s">
        <v>927</v>
      </c>
      <c r="N3006" s="6">
        <f>154</f>
        <v>154</v>
      </c>
      <c r="O3006" s="4" t="s">
        <v>265</v>
      </c>
      <c r="P3006" s="6">
        <f>1</f>
        <v>1</v>
      </c>
      <c r="Q3006" s="6">
        <f>0</f>
        <v>0</v>
      </c>
      <c r="S3006" s="6">
        <f>0</f>
        <v>0</v>
      </c>
      <c r="T3006" s="6">
        <f>1</f>
        <v>1</v>
      </c>
      <c r="U3006" s="5" t="s">
        <v>245</v>
      </c>
      <c r="V3006" s="4" t="s">
        <v>270</v>
      </c>
      <c r="W3006" s="4" t="s">
        <v>271</v>
      </c>
      <c r="X3006" s="4" t="s">
        <v>273</v>
      </c>
      <c r="Y3006" s="4" t="s">
        <v>241</v>
      </c>
      <c r="AB3006" s="4" t="s">
        <v>241</v>
      </c>
      <c r="AD3006" s="5" t="s">
        <v>241</v>
      </c>
      <c r="AG3006" s="5" t="s">
        <v>246</v>
      </c>
      <c r="AH3006" s="4" t="s">
        <v>241</v>
      </c>
      <c r="AI3006" s="4" t="s">
        <v>247</v>
      </c>
      <c r="AJ3006" s="4" t="s">
        <v>248</v>
      </c>
      <c r="AZ3006" s="4" t="s">
        <v>249</v>
      </c>
      <c r="BA3006" s="4" t="s">
        <v>241</v>
      </c>
      <c r="BB3006" s="4" t="s">
        <v>250</v>
      </c>
      <c r="BC3006" s="4" t="s">
        <v>241</v>
      </c>
      <c r="BD3006" s="4" t="s">
        <v>252</v>
      </c>
      <c r="BE3006" s="4" t="s">
        <v>241</v>
      </c>
      <c r="BI3006" s="4" t="s">
        <v>253</v>
      </c>
      <c r="BJ3006" s="5" t="s">
        <v>246</v>
      </c>
      <c r="BK3006" s="4" t="s">
        <v>254</v>
      </c>
      <c r="BL3006" s="4" t="s">
        <v>255</v>
      </c>
      <c r="BM3006" s="4" t="s">
        <v>241</v>
      </c>
      <c r="BN3006" s="6">
        <f>0</f>
        <v>0</v>
      </c>
      <c r="BO3006" s="6">
        <f>0</f>
        <v>0</v>
      </c>
      <c r="BP3006" s="4" t="s">
        <v>256</v>
      </c>
      <c r="BQ3006" s="4" t="s">
        <v>257</v>
      </c>
      <c r="CE3006" s="4" t="s">
        <v>241</v>
      </c>
      <c r="CF3006" s="4" t="s">
        <v>241</v>
      </c>
      <c r="CJ3006" s="4" t="s">
        <v>276</v>
      </c>
      <c r="CK3006" s="4" t="s">
        <v>259</v>
      </c>
      <c r="CL3006" s="4" t="s">
        <v>241</v>
      </c>
      <c r="CO3006" s="5" t="s">
        <v>260</v>
      </c>
      <c r="CP3006" s="4" t="s">
        <v>241</v>
      </c>
      <c r="CQ3006" s="4" t="s">
        <v>261</v>
      </c>
      <c r="CR3006" s="4" t="s">
        <v>241</v>
      </c>
      <c r="CS3006" s="4" t="s">
        <v>241</v>
      </c>
      <c r="CT3006" s="4">
        <v>0</v>
      </c>
      <c r="CU3006" s="4" t="s">
        <v>262</v>
      </c>
      <c r="CV3006" s="4" t="s">
        <v>263</v>
      </c>
      <c r="CW3006" s="4" t="s">
        <v>263</v>
      </c>
      <c r="CX3006" s="4" t="s">
        <v>264</v>
      </c>
      <c r="DA3006" s="6">
        <f>1</f>
        <v>1</v>
      </c>
      <c r="DC3006" s="4" t="s">
        <v>325</v>
      </c>
      <c r="DD3006" s="4" t="s">
        <v>241</v>
      </c>
      <c r="DF3006" s="4" t="s">
        <v>325</v>
      </c>
      <c r="DG3006" s="6">
        <f>154</f>
        <v>154</v>
      </c>
      <c r="DI3006" s="4" t="s">
        <v>241</v>
      </c>
      <c r="DJ3006" s="4" t="s">
        <v>241</v>
      </c>
      <c r="DK3006" s="4" t="s">
        <v>241</v>
      </c>
      <c r="DL3006" s="4" t="s">
        <v>241</v>
      </c>
      <c r="DP3006" s="4" t="s">
        <v>241</v>
      </c>
      <c r="DQ3006" s="4" t="s">
        <v>241</v>
      </c>
      <c r="DR3006" s="4" t="s">
        <v>241</v>
      </c>
      <c r="DS3006" s="4" t="s">
        <v>241</v>
      </c>
      <c r="DV3006" s="4" t="s">
        <v>426</v>
      </c>
      <c r="DW3006" s="4" t="s">
        <v>928</v>
      </c>
      <c r="HO3006" s="4" t="s">
        <v>267</v>
      </c>
    </row>
    <row r="3007" spans="1:223" ht="19.5" customHeight="1" x14ac:dyDescent="0.4">
      <c r="A3007" s="4">
        <v>1</v>
      </c>
      <c r="B3007" s="4" t="s">
        <v>239</v>
      </c>
      <c r="C3007" s="4">
        <v>4710</v>
      </c>
      <c r="D3007" s="4">
        <v>1</v>
      </c>
      <c r="E3007" s="4">
        <v>1</v>
      </c>
      <c r="F3007" s="4" t="s">
        <v>268</v>
      </c>
      <c r="G3007" s="4" t="s">
        <v>241</v>
      </c>
      <c r="H3007" s="4" t="s">
        <v>241</v>
      </c>
      <c r="I3007" s="4" t="s">
        <v>424</v>
      </c>
      <c r="J3007" s="4" t="s">
        <v>274</v>
      </c>
      <c r="K3007" s="4" t="s">
        <v>251</v>
      </c>
      <c r="L3007" s="4" t="s">
        <v>423</v>
      </c>
      <c r="M3007" s="5" t="s">
        <v>4541</v>
      </c>
      <c r="N3007" s="6">
        <f>80</f>
        <v>80</v>
      </c>
      <c r="O3007" s="4" t="s">
        <v>265</v>
      </c>
      <c r="P3007" s="6">
        <f>1</f>
        <v>1</v>
      </c>
      <c r="Q3007" s="6">
        <f>0</f>
        <v>0</v>
      </c>
      <c r="S3007" s="6">
        <f>0</f>
        <v>0</v>
      </c>
      <c r="T3007" s="6">
        <f>1</f>
        <v>1</v>
      </c>
      <c r="U3007" s="5" t="s">
        <v>245</v>
      </c>
      <c r="V3007" s="4" t="s">
        <v>270</v>
      </c>
      <c r="W3007" s="4" t="s">
        <v>271</v>
      </c>
      <c r="X3007" s="4" t="s">
        <v>273</v>
      </c>
      <c r="Y3007" s="4" t="s">
        <v>241</v>
      </c>
      <c r="AB3007" s="4" t="s">
        <v>241</v>
      </c>
      <c r="AD3007" s="5" t="s">
        <v>241</v>
      </c>
      <c r="AG3007" s="5" t="s">
        <v>246</v>
      </c>
      <c r="AH3007" s="4" t="s">
        <v>241</v>
      </c>
      <c r="AI3007" s="4" t="s">
        <v>247</v>
      </c>
      <c r="AJ3007" s="4" t="s">
        <v>248</v>
      </c>
      <c r="AZ3007" s="4" t="s">
        <v>249</v>
      </c>
      <c r="BA3007" s="4" t="s">
        <v>241</v>
      </c>
      <c r="BB3007" s="4" t="s">
        <v>250</v>
      </c>
      <c r="BC3007" s="4" t="s">
        <v>241</v>
      </c>
      <c r="BD3007" s="4" t="s">
        <v>252</v>
      </c>
      <c r="BE3007" s="4" t="s">
        <v>241</v>
      </c>
      <c r="BI3007" s="4" t="s">
        <v>253</v>
      </c>
      <c r="BJ3007" s="5" t="s">
        <v>246</v>
      </c>
      <c r="BK3007" s="4" t="s">
        <v>254</v>
      </c>
      <c r="BL3007" s="4" t="s">
        <v>255</v>
      </c>
      <c r="BM3007" s="4" t="s">
        <v>241</v>
      </c>
      <c r="BN3007" s="6">
        <f>0</f>
        <v>0</v>
      </c>
      <c r="BO3007" s="6">
        <f>0</f>
        <v>0</v>
      </c>
      <c r="BP3007" s="4" t="s">
        <v>256</v>
      </c>
      <c r="BQ3007" s="4" t="s">
        <v>257</v>
      </c>
      <c r="CE3007" s="4" t="s">
        <v>241</v>
      </c>
      <c r="CF3007" s="4" t="s">
        <v>241</v>
      </c>
      <c r="CJ3007" s="4" t="s">
        <v>276</v>
      </c>
      <c r="CK3007" s="4" t="s">
        <v>259</v>
      </c>
      <c r="CL3007" s="4" t="s">
        <v>241</v>
      </c>
      <c r="CO3007" s="5" t="s">
        <v>260</v>
      </c>
      <c r="CP3007" s="4" t="s">
        <v>241</v>
      </c>
      <c r="CQ3007" s="4" t="s">
        <v>261</v>
      </c>
      <c r="CR3007" s="4" t="s">
        <v>241</v>
      </c>
      <c r="CS3007" s="4" t="s">
        <v>241</v>
      </c>
      <c r="CT3007" s="4">
        <v>0</v>
      </c>
      <c r="CU3007" s="4" t="s">
        <v>262</v>
      </c>
      <c r="CV3007" s="4" t="s">
        <v>263</v>
      </c>
      <c r="CW3007" s="4" t="s">
        <v>263</v>
      </c>
      <c r="CX3007" s="4" t="s">
        <v>264</v>
      </c>
      <c r="DA3007" s="6">
        <f>1</f>
        <v>1</v>
      </c>
      <c r="DC3007" s="4" t="s">
        <v>325</v>
      </c>
      <c r="DD3007" s="4" t="s">
        <v>241</v>
      </c>
      <c r="DF3007" s="4" t="s">
        <v>325</v>
      </c>
      <c r="DG3007" s="6">
        <f>80</f>
        <v>80</v>
      </c>
      <c r="DI3007" s="4" t="s">
        <v>241</v>
      </c>
      <c r="DJ3007" s="4" t="s">
        <v>241</v>
      </c>
      <c r="DK3007" s="4" t="s">
        <v>241</v>
      </c>
      <c r="DL3007" s="4" t="s">
        <v>241</v>
      </c>
      <c r="DP3007" s="4" t="s">
        <v>241</v>
      </c>
      <c r="DQ3007" s="4" t="s">
        <v>241</v>
      </c>
      <c r="DR3007" s="4" t="s">
        <v>241</v>
      </c>
      <c r="DS3007" s="4" t="s">
        <v>241</v>
      </c>
      <c r="DV3007" s="4" t="s">
        <v>426</v>
      </c>
      <c r="DW3007" s="4" t="s">
        <v>313</v>
      </c>
      <c r="HO3007" s="4" t="s">
        <v>267</v>
      </c>
    </row>
    <row r="3008" spans="1:223" ht="19.5" customHeight="1" x14ac:dyDescent="0.4">
      <c r="A3008" s="4">
        <v>1</v>
      </c>
      <c r="B3008" s="4" t="s">
        <v>239</v>
      </c>
      <c r="C3008" s="4">
        <v>4711</v>
      </c>
      <c r="D3008" s="4">
        <v>1</v>
      </c>
      <c r="E3008" s="4">
        <v>1</v>
      </c>
      <c r="F3008" s="4" t="s">
        <v>268</v>
      </c>
      <c r="G3008" s="4" t="s">
        <v>241</v>
      </c>
      <c r="H3008" s="4" t="s">
        <v>241</v>
      </c>
      <c r="I3008" s="4" t="s">
        <v>424</v>
      </c>
      <c r="J3008" s="4" t="s">
        <v>274</v>
      </c>
      <c r="K3008" s="4" t="s">
        <v>251</v>
      </c>
      <c r="L3008" s="4" t="s">
        <v>423</v>
      </c>
      <c r="M3008" s="5" t="s">
        <v>900</v>
      </c>
      <c r="N3008" s="6">
        <f>3161</f>
        <v>3161</v>
      </c>
      <c r="O3008" s="4" t="s">
        <v>265</v>
      </c>
      <c r="P3008" s="6">
        <f>1</f>
        <v>1</v>
      </c>
      <c r="Q3008" s="6">
        <f>0</f>
        <v>0</v>
      </c>
      <c r="S3008" s="6">
        <f>0</f>
        <v>0</v>
      </c>
      <c r="T3008" s="6">
        <f>1</f>
        <v>1</v>
      </c>
      <c r="U3008" s="5" t="s">
        <v>245</v>
      </c>
      <c r="V3008" s="4" t="s">
        <v>270</v>
      </c>
      <c r="W3008" s="4" t="s">
        <v>271</v>
      </c>
      <c r="X3008" s="4" t="s">
        <v>273</v>
      </c>
      <c r="Y3008" s="4" t="s">
        <v>241</v>
      </c>
      <c r="AB3008" s="4" t="s">
        <v>241</v>
      </c>
      <c r="AD3008" s="5" t="s">
        <v>241</v>
      </c>
      <c r="AG3008" s="5" t="s">
        <v>246</v>
      </c>
      <c r="AH3008" s="4" t="s">
        <v>241</v>
      </c>
      <c r="AI3008" s="4" t="s">
        <v>247</v>
      </c>
      <c r="AJ3008" s="4" t="s">
        <v>248</v>
      </c>
      <c r="AZ3008" s="4" t="s">
        <v>249</v>
      </c>
      <c r="BA3008" s="4" t="s">
        <v>241</v>
      </c>
      <c r="BB3008" s="4" t="s">
        <v>250</v>
      </c>
      <c r="BC3008" s="4" t="s">
        <v>241</v>
      </c>
      <c r="BD3008" s="4" t="s">
        <v>252</v>
      </c>
      <c r="BE3008" s="4" t="s">
        <v>241</v>
      </c>
      <c r="BI3008" s="4" t="s">
        <v>253</v>
      </c>
      <c r="BJ3008" s="5" t="s">
        <v>246</v>
      </c>
      <c r="BK3008" s="4" t="s">
        <v>254</v>
      </c>
      <c r="BL3008" s="4" t="s">
        <v>255</v>
      </c>
      <c r="BM3008" s="4" t="s">
        <v>241</v>
      </c>
      <c r="BN3008" s="6">
        <f>0</f>
        <v>0</v>
      </c>
      <c r="BO3008" s="6">
        <f>0</f>
        <v>0</v>
      </c>
      <c r="BP3008" s="4" t="s">
        <v>256</v>
      </c>
      <c r="BQ3008" s="4" t="s">
        <v>257</v>
      </c>
      <c r="CE3008" s="4" t="s">
        <v>241</v>
      </c>
      <c r="CF3008" s="4" t="s">
        <v>241</v>
      </c>
      <c r="CJ3008" s="4" t="s">
        <v>276</v>
      </c>
      <c r="CK3008" s="4" t="s">
        <v>259</v>
      </c>
      <c r="CL3008" s="4" t="s">
        <v>241</v>
      </c>
      <c r="CO3008" s="5" t="s">
        <v>260</v>
      </c>
      <c r="CP3008" s="4" t="s">
        <v>241</v>
      </c>
      <c r="CQ3008" s="4" t="s">
        <v>261</v>
      </c>
      <c r="CR3008" s="4" t="s">
        <v>241</v>
      </c>
      <c r="CS3008" s="4" t="s">
        <v>241</v>
      </c>
      <c r="CT3008" s="4">
        <v>0</v>
      </c>
      <c r="CU3008" s="4" t="s">
        <v>262</v>
      </c>
      <c r="CV3008" s="4" t="s">
        <v>263</v>
      </c>
      <c r="CW3008" s="4" t="s">
        <v>263</v>
      </c>
      <c r="CX3008" s="4" t="s">
        <v>264</v>
      </c>
      <c r="DA3008" s="6">
        <f>1</f>
        <v>1</v>
      </c>
      <c r="DC3008" s="4" t="s">
        <v>325</v>
      </c>
      <c r="DD3008" s="4" t="s">
        <v>241</v>
      </c>
      <c r="DF3008" s="4" t="s">
        <v>325</v>
      </c>
      <c r="DG3008" s="6">
        <f>3161</f>
        <v>3161</v>
      </c>
      <c r="DI3008" s="4" t="s">
        <v>241</v>
      </c>
      <c r="DJ3008" s="4" t="s">
        <v>241</v>
      </c>
      <c r="DK3008" s="4" t="s">
        <v>241</v>
      </c>
      <c r="DL3008" s="4" t="s">
        <v>241</v>
      </c>
      <c r="DP3008" s="4" t="s">
        <v>241</v>
      </c>
      <c r="DQ3008" s="4" t="s">
        <v>241</v>
      </c>
      <c r="DR3008" s="4" t="s">
        <v>241</v>
      </c>
      <c r="DS3008" s="4" t="s">
        <v>241</v>
      </c>
      <c r="DV3008" s="4" t="s">
        <v>426</v>
      </c>
      <c r="DW3008" s="4" t="s">
        <v>296</v>
      </c>
      <c r="HO3008" s="4" t="s">
        <v>267</v>
      </c>
    </row>
    <row r="3009" spans="1:223" ht="19.5" customHeight="1" x14ac:dyDescent="0.4">
      <c r="A3009" s="4">
        <v>1</v>
      </c>
      <c r="B3009" s="4" t="s">
        <v>239</v>
      </c>
      <c r="C3009" s="4">
        <v>4712</v>
      </c>
      <c r="D3009" s="4">
        <v>1</v>
      </c>
      <c r="E3009" s="4">
        <v>1</v>
      </c>
      <c r="F3009" s="4" t="s">
        <v>268</v>
      </c>
      <c r="G3009" s="4" t="s">
        <v>241</v>
      </c>
      <c r="H3009" s="4" t="s">
        <v>241</v>
      </c>
      <c r="I3009" s="4" t="s">
        <v>424</v>
      </c>
      <c r="J3009" s="4" t="s">
        <v>274</v>
      </c>
      <c r="K3009" s="4" t="s">
        <v>251</v>
      </c>
      <c r="L3009" s="4" t="s">
        <v>423</v>
      </c>
      <c r="M3009" s="5" t="s">
        <v>889</v>
      </c>
      <c r="N3009" s="6">
        <f>1173</f>
        <v>1173</v>
      </c>
      <c r="O3009" s="4" t="s">
        <v>265</v>
      </c>
      <c r="P3009" s="6">
        <f>1</f>
        <v>1</v>
      </c>
      <c r="Q3009" s="6">
        <f>0</f>
        <v>0</v>
      </c>
      <c r="S3009" s="6">
        <f>0</f>
        <v>0</v>
      </c>
      <c r="T3009" s="6">
        <f>1</f>
        <v>1</v>
      </c>
      <c r="U3009" s="5" t="s">
        <v>245</v>
      </c>
      <c r="V3009" s="4" t="s">
        <v>270</v>
      </c>
      <c r="W3009" s="4" t="s">
        <v>271</v>
      </c>
      <c r="X3009" s="4" t="s">
        <v>273</v>
      </c>
      <c r="Y3009" s="4" t="s">
        <v>241</v>
      </c>
      <c r="AB3009" s="4" t="s">
        <v>241</v>
      </c>
      <c r="AD3009" s="5" t="s">
        <v>241</v>
      </c>
      <c r="AG3009" s="5" t="s">
        <v>246</v>
      </c>
      <c r="AH3009" s="4" t="s">
        <v>241</v>
      </c>
      <c r="AI3009" s="4" t="s">
        <v>247</v>
      </c>
      <c r="AJ3009" s="4" t="s">
        <v>248</v>
      </c>
      <c r="AZ3009" s="4" t="s">
        <v>249</v>
      </c>
      <c r="BA3009" s="4" t="s">
        <v>241</v>
      </c>
      <c r="BB3009" s="4" t="s">
        <v>250</v>
      </c>
      <c r="BC3009" s="4" t="s">
        <v>241</v>
      </c>
      <c r="BD3009" s="4" t="s">
        <v>252</v>
      </c>
      <c r="BE3009" s="4" t="s">
        <v>241</v>
      </c>
      <c r="BI3009" s="4" t="s">
        <v>253</v>
      </c>
      <c r="BJ3009" s="5" t="s">
        <v>246</v>
      </c>
      <c r="BK3009" s="4" t="s">
        <v>254</v>
      </c>
      <c r="BL3009" s="4" t="s">
        <v>255</v>
      </c>
      <c r="BM3009" s="4" t="s">
        <v>241</v>
      </c>
      <c r="BN3009" s="6">
        <f>0</f>
        <v>0</v>
      </c>
      <c r="BO3009" s="6">
        <f>0</f>
        <v>0</v>
      </c>
      <c r="BP3009" s="4" t="s">
        <v>256</v>
      </c>
      <c r="BQ3009" s="4" t="s">
        <v>257</v>
      </c>
      <c r="CE3009" s="4" t="s">
        <v>241</v>
      </c>
      <c r="CF3009" s="4" t="s">
        <v>241</v>
      </c>
      <c r="CJ3009" s="4" t="s">
        <v>276</v>
      </c>
      <c r="CK3009" s="4" t="s">
        <v>259</v>
      </c>
      <c r="CL3009" s="4" t="s">
        <v>241</v>
      </c>
      <c r="CO3009" s="5" t="s">
        <v>260</v>
      </c>
      <c r="CP3009" s="4" t="s">
        <v>241</v>
      </c>
      <c r="CQ3009" s="4" t="s">
        <v>261</v>
      </c>
      <c r="CR3009" s="4" t="s">
        <v>241</v>
      </c>
      <c r="CS3009" s="4" t="s">
        <v>241</v>
      </c>
      <c r="CT3009" s="4">
        <v>0</v>
      </c>
      <c r="CU3009" s="4" t="s">
        <v>262</v>
      </c>
      <c r="CV3009" s="4" t="s">
        <v>263</v>
      </c>
      <c r="CW3009" s="4" t="s">
        <v>263</v>
      </c>
      <c r="CX3009" s="4" t="s">
        <v>264</v>
      </c>
      <c r="DA3009" s="6">
        <f>1</f>
        <v>1</v>
      </c>
      <c r="DC3009" s="4" t="s">
        <v>325</v>
      </c>
      <c r="DD3009" s="4" t="s">
        <v>241</v>
      </c>
      <c r="DF3009" s="4" t="s">
        <v>325</v>
      </c>
      <c r="DG3009" s="6">
        <f>1173</f>
        <v>1173</v>
      </c>
      <c r="DI3009" s="4" t="s">
        <v>241</v>
      </c>
      <c r="DJ3009" s="4" t="s">
        <v>241</v>
      </c>
      <c r="DK3009" s="4" t="s">
        <v>241</v>
      </c>
      <c r="DL3009" s="4" t="s">
        <v>241</v>
      </c>
      <c r="DP3009" s="4" t="s">
        <v>241</v>
      </c>
      <c r="DQ3009" s="4" t="s">
        <v>241</v>
      </c>
      <c r="DR3009" s="4" t="s">
        <v>241</v>
      </c>
      <c r="DS3009" s="4" t="s">
        <v>241</v>
      </c>
      <c r="DV3009" s="4" t="s">
        <v>426</v>
      </c>
      <c r="DW3009" s="4" t="s">
        <v>360</v>
      </c>
      <c r="HO3009" s="4" t="s">
        <v>267</v>
      </c>
    </row>
    <row r="3010" spans="1:223" ht="19.5" customHeight="1" x14ac:dyDescent="0.4">
      <c r="A3010" s="4">
        <v>1</v>
      </c>
      <c r="B3010" s="4" t="s">
        <v>239</v>
      </c>
      <c r="C3010" s="4">
        <v>4713</v>
      </c>
      <c r="D3010" s="4">
        <v>1</v>
      </c>
      <c r="E3010" s="4">
        <v>1</v>
      </c>
      <c r="F3010" s="4" t="s">
        <v>268</v>
      </c>
      <c r="G3010" s="4" t="s">
        <v>241</v>
      </c>
      <c r="H3010" s="4" t="s">
        <v>241</v>
      </c>
      <c r="I3010" s="4" t="s">
        <v>424</v>
      </c>
      <c r="J3010" s="4" t="s">
        <v>274</v>
      </c>
      <c r="K3010" s="4" t="s">
        <v>251</v>
      </c>
      <c r="L3010" s="4" t="s">
        <v>423</v>
      </c>
      <c r="M3010" s="5" t="s">
        <v>873</v>
      </c>
      <c r="N3010" s="6">
        <f>18</f>
        <v>18</v>
      </c>
      <c r="O3010" s="4" t="s">
        <v>265</v>
      </c>
      <c r="P3010" s="6">
        <f>1</f>
        <v>1</v>
      </c>
      <c r="Q3010" s="6">
        <f>0</f>
        <v>0</v>
      </c>
      <c r="S3010" s="6">
        <f>0</f>
        <v>0</v>
      </c>
      <c r="T3010" s="6">
        <f>1</f>
        <v>1</v>
      </c>
      <c r="U3010" s="5" t="s">
        <v>245</v>
      </c>
      <c r="V3010" s="4" t="s">
        <v>270</v>
      </c>
      <c r="W3010" s="4" t="s">
        <v>271</v>
      </c>
      <c r="X3010" s="4" t="s">
        <v>273</v>
      </c>
      <c r="Y3010" s="4" t="s">
        <v>241</v>
      </c>
      <c r="AB3010" s="4" t="s">
        <v>241</v>
      </c>
      <c r="AD3010" s="5" t="s">
        <v>241</v>
      </c>
      <c r="AG3010" s="5" t="s">
        <v>246</v>
      </c>
      <c r="AH3010" s="4" t="s">
        <v>241</v>
      </c>
      <c r="AI3010" s="4" t="s">
        <v>247</v>
      </c>
      <c r="AJ3010" s="4" t="s">
        <v>248</v>
      </c>
      <c r="AZ3010" s="4" t="s">
        <v>249</v>
      </c>
      <c r="BA3010" s="4" t="s">
        <v>241</v>
      </c>
      <c r="BB3010" s="4" t="s">
        <v>250</v>
      </c>
      <c r="BC3010" s="4" t="s">
        <v>241</v>
      </c>
      <c r="BD3010" s="4" t="s">
        <v>252</v>
      </c>
      <c r="BE3010" s="4" t="s">
        <v>241</v>
      </c>
      <c r="BI3010" s="4" t="s">
        <v>253</v>
      </c>
      <c r="BJ3010" s="5" t="s">
        <v>246</v>
      </c>
      <c r="BK3010" s="4" t="s">
        <v>254</v>
      </c>
      <c r="BL3010" s="4" t="s">
        <v>255</v>
      </c>
      <c r="BM3010" s="4" t="s">
        <v>241</v>
      </c>
      <c r="BN3010" s="6">
        <f>0</f>
        <v>0</v>
      </c>
      <c r="BO3010" s="6">
        <f>0</f>
        <v>0</v>
      </c>
      <c r="BP3010" s="4" t="s">
        <v>256</v>
      </c>
      <c r="BQ3010" s="4" t="s">
        <v>257</v>
      </c>
      <c r="CE3010" s="4" t="s">
        <v>241</v>
      </c>
      <c r="CF3010" s="4" t="s">
        <v>241</v>
      </c>
      <c r="CJ3010" s="4" t="s">
        <v>276</v>
      </c>
      <c r="CK3010" s="4" t="s">
        <v>259</v>
      </c>
      <c r="CL3010" s="4" t="s">
        <v>241</v>
      </c>
      <c r="CO3010" s="5" t="s">
        <v>260</v>
      </c>
      <c r="CP3010" s="4" t="s">
        <v>241</v>
      </c>
      <c r="CQ3010" s="4" t="s">
        <v>261</v>
      </c>
      <c r="CR3010" s="4" t="s">
        <v>241</v>
      </c>
      <c r="CS3010" s="4" t="s">
        <v>241</v>
      </c>
      <c r="CT3010" s="4">
        <v>0</v>
      </c>
      <c r="CU3010" s="4" t="s">
        <v>262</v>
      </c>
      <c r="CV3010" s="4" t="s">
        <v>263</v>
      </c>
      <c r="CW3010" s="4" t="s">
        <v>263</v>
      </c>
      <c r="CX3010" s="4" t="s">
        <v>264</v>
      </c>
      <c r="DA3010" s="6">
        <f>1</f>
        <v>1</v>
      </c>
      <c r="DC3010" s="4" t="s">
        <v>325</v>
      </c>
      <c r="DD3010" s="4" t="s">
        <v>241</v>
      </c>
      <c r="DF3010" s="4" t="s">
        <v>325</v>
      </c>
      <c r="DG3010" s="6">
        <f>18</f>
        <v>18</v>
      </c>
      <c r="DI3010" s="4" t="s">
        <v>241</v>
      </c>
      <c r="DJ3010" s="4" t="s">
        <v>241</v>
      </c>
      <c r="DK3010" s="4" t="s">
        <v>241</v>
      </c>
      <c r="DL3010" s="4" t="s">
        <v>241</v>
      </c>
      <c r="DP3010" s="4" t="s">
        <v>241</v>
      </c>
      <c r="DQ3010" s="4" t="s">
        <v>241</v>
      </c>
      <c r="DR3010" s="4" t="s">
        <v>241</v>
      </c>
      <c r="DS3010" s="4" t="s">
        <v>241</v>
      </c>
      <c r="DV3010" s="4" t="s">
        <v>426</v>
      </c>
      <c r="DW3010" s="4" t="s">
        <v>874</v>
      </c>
      <c r="HO3010" s="4" t="s">
        <v>267</v>
      </c>
    </row>
    <row r="3011" spans="1:223" ht="19.5" customHeight="1" x14ac:dyDescent="0.4">
      <c r="A3011" s="4">
        <v>1</v>
      </c>
      <c r="B3011" s="4" t="s">
        <v>239</v>
      </c>
      <c r="C3011" s="4">
        <v>4714</v>
      </c>
      <c r="D3011" s="4">
        <v>1</v>
      </c>
      <c r="E3011" s="4">
        <v>1</v>
      </c>
      <c r="F3011" s="4" t="s">
        <v>268</v>
      </c>
      <c r="G3011" s="4" t="s">
        <v>241</v>
      </c>
      <c r="H3011" s="4" t="s">
        <v>241</v>
      </c>
      <c r="I3011" s="4" t="s">
        <v>424</v>
      </c>
      <c r="J3011" s="4" t="s">
        <v>274</v>
      </c>
      <c r="K3011" s="4" t="s">
        <v>251</v>
      </c>
      <c r="L3011" s="4" t="s">
        <v>423</v>
      </c>
      <c r="M3011" s="5" t="s">
        <v>3216</v>
      </c>
      <c r="N3011" s="6">
        <f>641</f>
        <v>641</v>
      </c>
      <c r="O3011" s="4" t="s">
        <v>265</v>
      </c>
      <c r="P3011" s="6">
        <f>1</f>
        <v>1</v>
      </c>
      <c r="Q3011" s="6">
        <f>0</f>
        <v>0</v>
      </c>
      <c r="S3011" s="6">
        <f>0</f>
        <v>0</v>
      </c>
      <c r="T3011" s="6">
        <f>1</f>
        <v>1</v>
      </c>
      <c r="U3011" s="5" t="s">
        <v>245</v>
      </c>
      <c r="V3011" s="4" t="s">
        <v>270</v>
      </c>
      <c r="W3011" s="4" t="s">
        <v>271</v>
      </c>
      <c r="X3011" s="4" t="s">
        <v>273</v>
      </c>
      <c r="Y3011" s="4" t="s">
        <v>241</v>
      </c>
      <c r="AB3011" s="4" t="s">
        <v>241</v>
      </c>
      <c r="AD3011" s="5" t="s">
        <v>241</v>
      </c>
      <c r="AG3011" s="5" t="s">
        <v>246</v>
      </c>
      <c r="AH3011" s="4" t="s">
        <v>241</v>
      </c>
      <c r="AI3011" s="4" t="s">
        <v>247</v>
      </c>
      <c r="AJ3011" s="4" t="s">
        <v>248</v>
      </c>
      <c r="AZ3011" s="4" t="s">
        <v>249</v>
      </c>
      <c r="BA3011" s="4" t="s">
        <v>241</v>
      </c>
      <c r="BB3011" s="4" t="s">
        <v>250</v>
      </c>
      <c r="BC3011" s="4" t="s">
        <v>241</v>
      </c>
      <c r="BD3011" s="4" t="s">
        <v>252</v>
      </c>
      <c r="BE3011" s="4" t="s">
        <v>241</v>
      </c>
      <c r="BI3011" s="4" t="s">
        <v>253</v>
      </c>
      <c r="BJ3011" s="5" t="s">
        <v>246</v>
      </c>
      <c r="BK3011" s="4" t="s">
        <v>254</v>
      </c>
      <c r="BL3011" s="4" t="s">
        <v>255</v>
      </c>
      <c r="BM3011" s="4" t="s">
        <v>241</v>
      </c>
      <c r="BN3011" s="6">
        <f>0</f>
        <v>0</v>
      </c>
      <c r="BO3011" s="6">
        <f>0</f>
        <v>0</v>
      </c>
      <c r="BP3011" s="4" t="s">
        <v>256</v>
      </c>
      <c r="BQ3011" s="4" t="s">
        <v>257</v>
      </c>
      <c r="CE3011" s="4" t="s">
        <v>241</v>
      </c>
      <c r="CF3011" s="4" t="s">
        <v>241</v>
      </c>
      <c r="CJ3011" s="4" t="s">
        <v>276</v>
      </c>
      <c r="CK3011" s="4" t="s">
        <v>259</v>
      </c>
      <c r="CL3011" s="4" t="s">
        <v>241</v>
      </c>
      <c r="CO3011" s="5" t="s">
        <v>260</v>
      </c>
      <c r="CP3011" s="4" t="s">
        <v>241</v>
      </c>
      <c r="CQ3011" s="4" t="s">
        <v>261</v>
      </c>
      <c r="CR3011" s="4" t="s">
        <v>241</v>
      </c>
      <c r="CS3011" s="4" t="s">
        <v>241</v>
      </c>
      <c r="CT3011" s="4">
        <v>0</v>
      </c>
      <c r="CU3011" s="4" t="s">
        <v>262</v>
      </c>
      <c r="CV3011" s="4" t="s">
        <v>263</v>
      </c>
      <c r="CW3011" s="4" t="s">
        <v>263</v>
      </c>
      <c r="CX3011" s="4" t="s">
        <v>264</v>
      </c>
      <c r="DA3011" s="6">
        <f>1</f>
        <v>1</v>
      </c>
      <c r="DC3011" s="4" t="s">
        <v>325</v>
      </c>
      <c r="DD3011" s="4" t="s">
        <v>241</v>
      </c>
      <c r="DF3011" s="4" t="s">
        <v>325</v>
      </c>
      <c r="DG3011" s="6">
        <f>641</f>
        <v>641</v>
      </c>
      <c r="DI3011" s="4" t="s">
        <v>241</v>
      </c>
      <c r="DJ3011" s="4" t="s">
        <v>241</v>
      </c>
      <c r="DK3011" s="4" t="s">
        <v>241</v>
      </c>
      <c r="DL3011" s="4" t="s">
        <v>241</v>
      </c>
      <c r="DP3011" s="4" t="s">
        <v>241</v>
      </c>
      <c r="DQ3011" s="4" t="s">
        <v>241</v>
      </c>
      <c r="DR3011" s="4" t="s">
        <v>241</v>
      </c>
      <c r="DS3011" s="4" t="s">
        <v>241</v>
      </c>
      <c r="DV3011" s="4" t="s">
        <v>426</v>
      </c>
      <c r="DW3011" s="4" t="s">
        <v>1396</v>
      </c>
      <c r="HO3011" s="4" t="s">
        <v>267</v>
      </c>
    </row>
    <row r="3012" spans="1:223" ht="19.5" customHeight="1" x14ac:dyDescent="0.4">
      <c r="A3012" s="4">
        <v>1</v>
      </c>
      <c r="B3012" s="4" t="s">
        <v>239</v>
      </c>
      <c r="C3012" s="4">
        <v>4715</v>
      </c>
      <c r="D3012" s="4">
        <v>1</v>
      </c>
      <c r="E3012" s="4">
        <v>1</v>
      </c>
      <c r="F3012" s="4" t="s">
        <v>268</v>
      </c>
      <c r="G3012" s="4" t="s">
        <v>241</v>
      </c>
      <c r="H3012" s="4" t="s">
        <v>241</v>
      </c>
      <c r="I3012" s="4" t="s">
        <v>424</v>
      </c>
      <c r="J3012" s="4" t="s">
        <v>274</v>
      </c>
      <c r="K3012" s="4" t="s">
        <v>251</v>
      </c>
      <c r="L3012" s="4" t="s">
        <v>423</v>
      </c>
      <c r="M3012" s="5" t="s">
        <v>855</v>
      </c>
      <c r="N3012" s="6">
        <f>625</f>
        <v>625</v>
      </c>
      <c r="O3012" s="4" t="s">
        <v>265</v>
      </c>
      <c r="P3012" s="6">
        <f>1</f>
        <v>1</v>
      </c>
      <c r="Q3012" s="6">
        <f>0</f>
        <v>0</v>
      </c>
      <c r="S3012" s="6">
        <f>0</f>
        <v>0</v>
      </c>
      <c r="T3012" s="6">
        <f>1</f>
        <v>1</v>
      </c>
      <c r="U3012" s="5" t="s">
        <v>245</v>
      </c>
      <c r="V3012" s="4" t="s">
        <v>270</v>
      </c>
      <c r="W3012" s="4" t="s">
        <v>271</v>
      </c>
      <c r="X3012" s="4" t="s">
        <v>273</v>
      </c>
      <c r="Y3012" s="4" t="s">
        <v>241</v>
      </c>
      <c r="AB3012" s="4" t="s">
        <v>241</v>
      </c>
      <c r="AD3012" s="5" t="s">
        <v>241</v>
      </c>
      <c r="AG3012" s="5" t="s">
        <v>246</v>
      </c>
      <c r="AH3012" s="4" t="s">
        <v>241</v>
      </c>
      <c r="AI3012" s="4" t="s">
        <v>247</v>
      </c>
      <c r="AJ3012" s="4" t="s">
        <v>248</v>
      </c>
      <c r="AZ3012" s="4" t="s">
        <v>249</v>
      </c>
      <c r="BA3012" s="4" t="s">
        <v>241</v>
      </c>
      <c r="BB3012" s="4" t="s">
        <v>250</v>
      </c>
      <c r="BC3012" s="4" t="s">
        <v>241</v>
      </c>
      <c r="BD3012" s="4" t="s">
        <v>252</v>
      </c>
      <c r="BE3012" s="4" t="s">
        <v>241</v>
      </c>
      <c r="BI3012" s="4" t="s">
        <v>253</v>
      </c>
      <c r="BJ3012" s="5" t="s">
        <v>246</v>
      </c>
      <c r="BK3012" s="4" t="s">
        <v>254</v>
      </c>
      <c r="BL3012" s="4" t="s">
        <v>255</v>
      </c>
      <c r="BM3012" s="4" t="s">
        <v>241</v>
      </c>
      <c r="BN3012" s="6">
        <f>0</f>
        <v>0</v>
      </c>
      <c r="BO3012" s="6">
        <f>0</f>
        <v>0</v>
      </c>
      <c r="BP3012" s="4" t="s">
        <v>256</v>
      </c>
      <c r="BQ3012" s="4" t="s">
        <v>257</v>
      </c>
      <c r="CE3012" s="4" t="s">
        <v>241</v>
      </c>
      <c r="CF3012" s="4" t="s">
        <v>241</v>
      </c>
      <c r="CJ3012" s="4" t="s">
        <v>276</v>
      </c>
      <c r="CK3012" s="4" t="s">
        <v>259</v>
      </c>
      <c r="CL3012" s="4" t="s">
        <v>241</v>
      </c>
      <c r="CO3012" s="5" t="s">
        <v>260</v>
      </c>
      <c r="CP3012" s="4" t="s">
        <v>241</v>
      </c>
      <c r="CQ3012" s="4" t="s">
        <v>261</v>
      </c>
      <c r="CR3012" s="4" t="s">
        <v>241</v>
      </c>
      <c r="CS3012" s="4" t="s">
        <v>241</v>
      </c>
      <c r="CT3012" s="4">
        <v>0</v>
      </c>
      <c r="CU3012" s="4" t="s">
        <v>262</v>
      </c>
      <c r="CV3012" s="4" t="s">
        <v>263</v>
      </c>
      <c r="CW3012" s="4" t="s">
        <v>263</v>
      </c>
      <c r="CX3012" s="4" t="s">
        <v>264</v>
      </c>
      <c r="DA3012" s="6">
        <f>1</f>
        <v>1</v>
      </c>
      <c r="DC3012" s="4" t="s">
        <v>325</v>
      </c>
      <c r="DD3012" s="4" t="s">
        <v>241</v>
      </c>
      <c r="DF3012" s="4" t="s">
        <v>325</v>
      </c>
      <c r="DG3012" s="6">
        <f>625</f>
        <v>625</v>
      </c>
      <c r="DI3012" s="4" t="s">
        <v>241</v>
      </c>
      <c r="DJ3012" s="4" t="s">
        <v>241</v>
      </c>
      <c r="DK3012" s="4" t="s">
        <v>241</v>
      </c>
      <c r="DL3012" s="4" t="s">
        <v>241</v>
      </c>
      <c r="DP3012" s="4" t="s">
        <v>241</v>
      </c>
      <c r="DQ3012" s="4" t="s">
        <v>241</v>
      </c>
      <c r="DR3012" s="4" t="s">
        <v>241</v>
      </c>
      <c r="DS3012" s="4" t="s">
        <v>241</v>
      </c>
      <c r="DV3012" s="4" t="s">
        <v>426</v>
      </c>
      <c r="DW3012" s="4" t="s">
        <v>856</v>
      </c>
      <c r="HO3012" s="4" t="s">
        <v>267</v>
      </c>
    </row>
    <row r="3013" spans="1:223" ht="19.5" customHeight="1" x14ac:dyDescent="0.4">
      <c r="A3013" s="4">
        <v>1</v>
      </c>
      <c r="B3013" s="4" t="s">
        <v>239</v>
      </c>
      <c r="C3013" s="4">
        <v>4716</v>
      </c>
      <c r="D3013" s="4">
        <v>1</v>
      </c>
      <c r="E3013" s="4">
        <v>1</v>
      </c>
      <c r="F3013" s="4" t="s">
        <v>268</v>
      </c>
      <c r="G3013" s="4" t="s">
        <v>241</v>
      </c>
      <c r="H3013" s="4" t="s">
        <v>241</v>
      </c>
      <c r="I3013" s="4" t="s">
        <v>424</v>
      </c>
      <c r="J3013" s="4" t="s">
        <v>274</v>
      </c>
      <c r="K3013" s="4" t="s">
        <v>251</v>
      </c>
      <c r="L3013" s="4" t="s">
        <v>423</v>
      </c>
      <c r="M3013" s="5" t="s">
        <v>4521</v>
      </c>
      <c r="N3013" s="6">
        <f>428</f>
        <v>428</v>
      </c>
      <c r="O3013" s="4" t="s">
        <v>265</v>
      </c>
      <c r="P3013" s="6">
        <f>1</f>
        <v>1</v>
      </c>
      <c r="Q3013" s="6">
        <f>0</f>
        <v>0</v>
      </c>
      <c r="S3013" s="6">
        <f>0</f>
        <v>0</v>
      </c>
      <c r="T3013" s="6">
        <f>1</f>
        <v>1</v>
      </c>
      <c r="U3013" s="5" t="s">
        <v>245</v>
      </c>
      <c r="V3013" s="4" t="s">
        <v>270</v>
      </c>
      <c r="W3013" s="4" t="s">
        <v>271</v>
      </c>
      <c r="X3013" s="4" t="s">
        <v>273</v>
      </c>
      <c r="Y3013" s="4" t="s">
        <v>241</v>
      </c>
      <c r="AB3013" s="4" t="s">
        <v>241</v>
      </c>
      <c r="AD3013" s="5" t="s">
        <v>241</v>
      </c>
      <c r="AG3013" s="5" t="s">
        <v>246</v>
      </c>
      <c r="AH3013" s="4" t="s">
        <v>241</v>
      </c>
      <c r="AI3013" s="4" t="s">
        <v>247</v>
      </c>
      <c r="AJ3013" s="4" t="s">
        <v>248</v>
      </c>
      <c r="AZ3013" s="4" t="s">
        <v>249</v>
      </c>
      <c r="BA3013" s="4" t="s">
        <v>241</v>
      </c>
      <c r="BB3013" s="4" t="s">
        <v>250</v>
      </c>
      <c r="BC3013" s="4" t="s">
        <v>241</v>
      </c>
      <c r="BD3013" s="4" t="s">
        <v>252</v>
      </c>
      <c r="BE3013" s="4" t="s">
        <v>241</v>
      </c>
      <c r="BI3013" s="4" t="s">
        <v>253</v>
      </c>
      <c r="BJ3013" s="5" t="s">
        <v>246</v>
      </c>
      <c r="BK3013" s="4" t="s">
        <v>254</v>
      </c>
      <c r="BL3013" s="4" t="s">
        <v>255</v>
      </c>
      <c r="BM3013" s="4" t="s">
        <v>241</v>
      </c>
      <c r="BN3013" s="6">
        <f>0</f>
        <v>0</v>
      </c>
      <c r="BO3013" s="6">
        <f>0</f>
        <v>0</v>
      </c>
      <c r="BP3013" s="4" t="s">
        <v>256</v>
      </c>
      <c r="BQ3013" s="4" t="s">
        <v>257</v>
      </c>
      <c r="CE3013" s="4" t="s">
        <v>241</v>
      </c>
      <c r="CF3013" s="4" t="s">
        <v>241</v>
      </c>
      <c r="CJ3013" s="4" t="s">
        <v>276</v>
      </c>
      <c r="CK3013" s="4" t="s">
        <v>259</v>
      </c>
      <c r="CL3013" s="4" t="s">
        <v>241</v>
      </c>
      <c r="CO3013" s="5" t="s">
        <v>260</v>
      </c>
      <c r="CP3013" s="4" t="s">
        <v>241</v>
      </c>
      <c r="CQ3013" s="4" t="s">
        <v>261</v>
      </c>
      <c r="CR3013" s="4" t="s">
        <v>241</v>
      </c>
      <c r="CS3013" s="4" t="s">
        <v>241</v>
      </c>
      <c r="CT3013" s="4">
        <v>0</v>
      </c>
      <c r="CU3013" s="4" t="s">
        <v>262</v>
      </c>
      <c r="CV3013" s="4" t="s">
        <v>263</v>
      </c>
      <c r="CW3013" s="4" t="s">
        <v>263</v>
      </c>
      <c r="CX3013" s="4" t="s">
        <v>264</v>
      </c>
      <c r="DA3013" s="6">
        <f>1</f>
        <v>1</v>
      </c>
      <c r="DC3013" s="4" t="s">
        <v>325</v>
      </c>
      <c r="DD3013" s="4" t="s">
        <v>241</v>
      </c>
      <c r="DF3013" s="4" t="s">
        <v>325</v>
      </c>
      <c r="DG3013" s="6">
        <f>428</f>
        <v>428</v>
      </c>
      <c r="DI3013" s="4" t="s">
        <v>241</v>
      </c>
      <c r="DJ3013" s="4" t="s">
        <v>241</v>
      </c>
      <c r="DK3013" s="4" t="s">
        <v>241</v>
      </c>
      <c r="DL3013" s="4" t="s">
        <v>241</v>
      </c>
      <c r="DP3013" s="4" t="s">
        <v>241</v>
      </c>
      <c r="DQ3013" s="4" t="s">
        <v>241</v>
      </c>
      <c r="DR3013" s="4" t="s">
        <v>241</v>
      </c>
      <c r="DS3013" s="4" t="s">
        <v>241</v>
      </c>
      <c r="DV3013" s="4" t="s">
        <v>426</v>
      </c>
      <c r="DW3013" s="4" t="s">
        <v>1090</v>
      </c>
      <c r="HO3013" s="4" t="s">
        <v>267</v>
      </c>
    </row>
    <row r="3014" spans="1:223" ht="19.5" customHeight="1" x14ac:dyDescent="0.4">
      <c r="A3014" s="4">
        <v>1</v>
      </c>
      <c r="B3014" s="4" t="s">
        <v>239</v>
      </c>
      <c r="C3014" s="4">
        <v>4717</v>
      </c>
      <c r="D3014" s="4">
        <v>1</v>
      </c>
      <c r="E3014" s="4">
        <v>1</v>
      </c>
      <c r="F3014" s="4" t="s">
        <v>268</v>
      </c>
      <c r="G3014" s="4" t="s">
        <v>241</v>
      </c>
      <c r="H3014" s="4" t="s">
        <v>241</v>
      </c>
      <c r="I3014" s="4" t="s">
        <v>424</v>
      </c>
      <c r="J3014" s="4" t="s">
        <v>274</v>
      </c>
      <c r="K3014" s="4" t="s">
        <v>251</v>
      </c>
      <c r="L3014" s="4" t="s">
        <v>423</v>
      </c>
      <c r="M3014" s="5" t="s">
        <v>3840</v>
      </c>
      <c r="N3014" s="6">
        <f>1701</f>
        <v>1701</v>
      </c>
      <c r="O3014" s="4" t="s">
        <v>265</v>
      </c>
      <c r="P3014" s="6">
        <f>1</f>
        <v>1</v>
      </c>
      <c r="Q3014" s="6">
        <f>0</f>
        <v>0</v>
      </c>
      <c r="S3014" s="6">
        <f>0</f>
        <v>0</v>
      </c>
      <c r="T3014" s="6">
        <f>1</f>
        <v>1</v>
      </c>
      <c r="U3014" s="5" t="s">
        <v>245</v>
      </c>
      <c r="V3014" s="4" t="s">
        <v>270</v>
      </c>
      <c r="W3014" s="4" t="s">
        <v>271</v>
      </c>
      <c r="X3014" s="4" t="s">
        <v>273</v>
      </c>
      <c r="Y3014" s="4" t="s">
        <v>241</v>
      </c>
      <c r="AB3014" s="4" t="s">
        <v>241</v>
      </c>
      <c r="AD3014" s="5" t="s">
        <v>241</v>
      </c>
      <c r="AG3014" s="5" t="s">
        <v>246</v>
      </c>
      <c r="AH3014" s="4" t="s">
        <v>241</v>
      </c>
      <c r="AI3014" s="4" t="s">
        <v>247</v>
      </c>
      <c r="AJ3014" s="4" t="s">
        <v>248</v>
      </c>
      <c r="AZ3014" s="4" t="s">
        <v>249</v>
      </c>
      <c r="BA3014" s="4" t="s">
        <v>241</v>
      </c>
      <c r="BB3014" s="4" t="s">
        <v>250</v>
      </c>
      <c r="BC3014" s="4" t="s">
        <v>241</v>
      </c>
      <c r="BD3014" s="4" t="s">
        <v>252</v>
      </c>
      <c r="BE3014" s="4" t="s">
        <v>241</v>
      </c>
      <c r="BI3014" s="4" t="s">
        <v>253</v>
      </c>
      <c r="BJ3014" s="5" t="s">
        <v>246</v>
      </c>
      <c r="BK3014" s="4" t="s">
        <v>254</v>
      </c>
      <c r="BL3014" s="4" t="s">
        <v>255</v>
      </c>
      <c r="BM3014" s="4" t="s">
        <v>241</v>
      </c>
      <c r="BN3014" s="6">
        <f>0</f>
        <v>0</v>
      </c>
      <c r="BO3014" s="6">
        <f>0</f>
        <v>0</v>
      </c>
      <c r="BP3014" s="4" t="s">
        <v>256</v>
      </c>
      <c r="BQ3014" s="4" t="s">
        <v>257</v>
      </c>
      <c r="CE3014" s="4" t="s">
        <v>241</v>
      </c>
      <c r="CF3014" s="4" t="s">
        <v>241</v>
      </c>
      <c r="CJ3014" s="4" t="s">
        <v>276</v>
      </c>
      <c r="CK3014" s="4" t="s">
        <v>259</v>
      </c>
      <c r="CL3014" s="4" t="s">
        <v>241</v>
      </c>
      <c r="CO3014" s="5" t="s">
        <v>260</v>
      </c>
      <c r="CP3014" s="4" t="s">
        <v>241</v>
      </c>
      <c r="CQ3014" s="4" t="s">
        <v>261</v>
      </c>
      <c r="CR3014" s="4" t="s">
        <v>241</v>
      </c>
      <c r="CS3014" s="4" t="s">
        <v>241</v>
      </c>
      <c r="CT3014" s="4">
        <v>0</v>
      </c>
      <c r="CU3014" s="4" t="s">
        <v>262</v>
      </c>
      <c r="CV3014" s="4" t="s">
        <v>263</v>
      </c>
      <c r="CW3014" s="4" t="s">
        <v>263</v>
      </c>
      <c r="CX3014" s="4" t="s">
        <v>264</v>
      </c>
      <c r="DA3014" s="6">
        <f>1</f>
        <v>1</v>
      </c>
      <c r="DC3014" s="4" t="s">
        <v>325</v>
      </c>
      <c r="DD3014" s="4" t="s">
        <v>241</v>
      </c>
      <c r="DF3014" s="4" t="s">
        <v>325</v>
      </c>
      <c r="DG3014" s="6">
        <f>1701</f>
        <v>1701</v>
      </c>
      <c r="DI3014" s="4" t="s">
        <v>241</v>
      </c>
      <c r="DJ3014" s="4" t="s">
        <v>241</v>
      </c>
      <c r="DK3014" s="4" t="s">
        <v>241</v>
      </c>
      <c r="DL3014" s="4" t="s">
        <v>241</v>
      </c>
      <c r="DP3014" s="4" t="s">
        <v>241</v>
      </c>
      <c r="DQ3014" s="4" t="s">
        <v>241</v>
      </c>
      <c r="DR3014" s="4" t="s">
        <v>241</v>
      </c>
      <c r="DS3014" s="4" t="s">
        <v>241</v>
      </c>
      <c r="DV3014" s="4" t="s">
        <v>426</v>
      </c>
      <c r="DW3014" s="4" t="s">
        <v>1376</v>
      </c>
      <c r="HO3014" s="4" t="s">
        <v>267</v>
      </c>
    </row>
    <row r="3015" spans="1:223" ht="19.5" customHeight="1" x14ac:dyDescent="0.4">
      <c r="A3015" s="4">
        <v>1</v>
      </c>
      <c r="B3015" s="4" t="s">
        <v>239</v>
      </c>
      <c r="C3015" s="4">
        <v>4718</v>
      </c>
      <c r="D3015" s="4">
        <v>1</v>
      </c>
      <c r="E3015" s="4">
        <v>1</v>
      </c>
      <c r="F3015" s="4" t="s">
        <v>268</v>
      </c>
      <c r="G3015" s="4" t="s">
        <v>241</v>
      </c>
      <c r="H3015" s="4" t="s">
        <v>241</v>
      </c>
      <c r="I3015" s="4" t="s">
        <v>424</v>
      </c>
      <c r="J3015" s="4" t="s">
        <v>274</v>
      </c>
      <c r="K3015" s="4" t="s">
        <v>251</v>
      </c>
      <c r="L3015" s="4" t="s">
        <v>423</v>
      </c>
      <c r="M3015" s="5" t="s">
        <v>3632</v>
      </c>
      <c r="N3015" s="6">
        <f>470</f>
        <v>470</v>
      </c>
      <c r="O3015" s="4" t="s">
        <v>265</v>
      </c>
      <c r="P3015" s="6">
        <f>1</f>
        <v>1</v>
      </c>
      <c r="Q3015" s="6">
        <f>0</f>
        <v>0</v>
      </c>
      <c r="S3015" s="6">
        <f>0</f>
        <v>0</v>
      </c>
      <c r="T3015" s="6">
        <f>1</f>
        <v>1</v>
      </c>
      <c r="U3015" s="5" t="s">
        <v>245</v>
      </c>
      <c r="V3015" s="4" t="s">
        <v>270</v>
      </c>
      <c r="W3015" s="4" t="s">
        <v>271</v>
      </c>
      <c r="X3015" s="4" t="s">
        <v>273</v>
      </c>
      <c r="Y3015" s="4" t="s">
        <v>241</v>
      </c>
      <c r="AB3015" s="4" t="s">
        <v>241</v>
      </c>
      <c r="AD3015" s="5" t="s">
        <v>241</v>
      </c>
      <c r="AG3015" s="5" t="s">
        <v>246</v>
      </c>
      <c r="AH3015" s="4" t="s">
        <v>241</v>
      </c>
      <c r="AI3015" s="4" t="s">
        <v>247</v>
      </c>
      <c r="AJ3015" s="4" t="s">
        <v>248</v>
      </c>
      <c r="AZ3015" s="4" t="s">
        <v>249</v>
      </c>
      <c r="BA3015" s="4" t="s">
        <v>241</v>
      </c>
      <c r="BB3015" s="4" t="s">
        <v>250</v>
      </c>
      <c r="BC3015" s="4" t="s">
        <v>241</v>
      </c>
      <c r="BD3015" s="4" t="s">
        <v>252</v>
      </c>
      <c r="BE3015" s="4" t="s">
        <v>241</v>
      </c>
      <c r="BI3015" s="4" t="s">
        <v>253</v>
      </c>
      <c r="BJ3015" s="5" t="s">
        <v>246</v>
      </c>
      <c r="BK3015" s="4" t="s">
        <v>254</v>
      </c>
      <c r="BL3015" s="4" t="s">
        <v>255</v>
      </c>
      <c r="BM3015" s="4" t="s">
        <v>241</v>
      </c>
      <c r="BN3015" s="6">
        <f>0</f>
        <v>0</v>
      </c>
      <c r="BO3015" s="6">
        <f>0</f>
        <v>0</v>
      </c>
      <c r="BP3015" s="4" t="s">
        <v>256</v>
      </c>
      <c r="BQ3015" s="4" t="s">
        <v>257</v>
      </c>
      <c r="CE3015" s="4" t="s">
        <v>241</v>
      </c>
      <c r="CF3015" s="4" t="s">
        <v>241</v>
      </c>
      <c r="CJ3015" s="4" t="s">
        <v>276</v>
      </c>
      <c r="CK3015" s="4" t="s">
        <v>259</v>
      </c>
      <c r="CL3015" s="4" t="s">
        <v>241</v>
      </c>
      <c r="CO3015" s="5" t="s">
        <v>260</v>
      </c>
      <c r="CP3015" s="4" t="s">
        <v>241</v>
      </c>
      <c r="CQ3015" s="4" t="s">
        <v>261</v>
      </c>
      <c r="CR3015" s="4" t="s">
        <v>241</v>
      </c>
      <c r="CS3015" s="4" t="s">
        <v>241</v>
      </c>
      <c r="CT3015" s="4">
        <v>0</v>
      </c>
      <c r="CU3015" s="4" t="s">
        <v>262</v>
      </c>
      <c r="CV3015" s="4" t="s">
        <v>263</v>
      </c>
      <c r="CW3015" s="4" t="s">
        <v>263</v>
      </c>
      <c r="CX3015" s="4" t="s">
        <v>264</v>
      </c>
      <c r="DA3015" s="6">
        <f>1</f>
        <v>1</v>
      </c>
      <c r="DC3015" s="4" t="s">
        <v>325</v>
      </c>
      <c r="DD3015" s="4" t="s">
        <v>241</v>
      </c>
      <c r="DF3015" s="4" t="s">
        <v>325</v>
      </c>
      <c r="DG3015" s="6">
        <f>470</f>
        <v>470</v>
      </c>
      <c r="DI3015" s="4" t="s">
        <v>241</v>
      </c>
      <c r="DJ3015" s="4" t="s">
        <v>241</v>
      </c>
      <c r="DK3015" s="4" t="s">
        <v>241</v>
      </c>
      <c r="DL3015" s="4" t="s">
        <v>241</v>
      </c>
      <c r="DP3015" s="4" t="s">
        <v>241</v>
      </c>
      <c r="DQ3015" s="4" t="s">
        <v>241</v>
      </c>
      <c r="DR3015" s="4" t="s">
        <v>241</v>
      </c>
      <c r="DS3015" s="4" t="s">
        <v>241</v>
      </c>
      <c r="DV3015" s="4" t="s">
        <v>426</v>
      </c>
      <c r="DW3015" s="4" t="s">
        <v>3633</v>
      </c>
      <c r="HO3015" s="4" t="s">
        <v>267</v>
      </c>
    </row>
    <row r="3016" spans="1:223" ht="19.5" customHeight="1" x14ac:dyDescent="0.4">
      <c r="A3016" s="4">
        <v>1</v>
      </c>
      <c r="B3016" s="4" t="s">
        <v>239</v>
      </c>
      <c r="C3016" s="4">
        <v>4719</v>
      </c>
      <c r="D3016" s="4">
        <v>1</v>
      </c>
      <c r="E3016" s="4">
        <v>1</v>
      </c>
      <c r="F3016" s="4" t="s">
        <v>268</v>
      </c>
      <c r="G3016" s="4" t="s">
        <v>241</v>
      </c>
      <c r="H3016" s="4" t="s">
        <v>241</v>
      </c>
      <c r="I3016" s="4" t="s">
        <v>424</v>
      </c>
      <c r="J3016" s="4" t="s">
        <v>274</v>
      </c>
      <c r="K3016" s="4" t="s">
        <v>251</v>
      </c>
      <c r="L3016" s="4" t="s">
        <v>423</v>
      </c>
      <c r="M3016" s="5" t="s">
        <v>4823</v>
      </c>
      <c r="N3016" s="6">
        <f>1191</f>
        <v>1191</v>
      </c>
      <c r="O3016" s="4" t="s">
        <v>265</v>
      </c>
      <c r="P3016" s="6">
        <f>1</f>
        <v>1</v>
      </c>
      <c r="Q3016" s="6">
        <f>0</f>
        <v>0</v>
      </c>
      <c r="S3016" s="6">
        <f>0</f>
        <v>0</v>
      </c>
      <c r="T3016" s="6">
        <f>1</f>
        <v>1</v>
      </c>
      <c r="U3016" s="5" t="s">
        <v>245</v>
      </c>
      <c r="V3016" s="4" t="s">
        <v>270</v>
      </c>
      <c r="W3016" s="4" t="s">
        <v>271</v>
      </c>
      <c r="X3016" s="4" t="s">
        <v>273</v>
      </c>
      <c r="Y3016" s="4" t="s">
        <v>241</v>
      </c>
      <c r="AB3016" s="4" t="s">
        <v>241</v>
      </c>
      <c r="AD3016" s="5" t="s">
        <v>241</v>
      </c>
      <c r="AG3016" s="5" t="s">
        <v>246</v>
      </c>
      <c r="AH3016" s="4" t="s">
        <v>241</v>
      </c>
      <c r="AI3016" s="4" t="s">
        <v>247</v>
      </c>
      <c r="AJ3016" s="4" t="s">
        <v>248</v>
      </c>
      <c r="AZ3016" s="4" t="s">
        <v>249</v>
      </c>
      <c r="BA3016" s="4" t="s">
        <v>241</v>
      </c>
      <c r="BB3016" s="4" t="s">
        <v>250</v>
      </c>
      <c r="BC3016" s="4" t="s">
        <v>241</v>
      </c>
      <c r="BD3016" s="4" t="s">
        <v>252</v>
      </c>
      <c r="BE3016" s="4" t="s">
        <v>241</v>
      </c>
      <c r="BI3016" s="4" t="s">
        <v>253</v>
      </c>
      <c r="BJ3016" s="5" t="s">
        <v>246</v>
      </c>
      <c r="BK3016" s="4" t="s">
        <v>254</v>
      </c>
      <c r="BL3016" s="4" t="s">
        <v>255</v>
      </c>
      <c r="BM3016" s="4" t="s">
        <v>241</v>
      </c>
      <c r="BN3016" s="6">
        <f>0</f>
        <v>0</v>
      </c>
      <c r="BO3016" s="6">
        <f>0</f>
        <v>0</v>
      </c>
      <c r="BP3016" s="4" t="s">
        <v>256</v>
      </c>
      <c r="BQ3016" s="4" t="s">
        <v>257</v>
      </c>
      <c r="CE3016" s="4" t="s">
        <v>241</v>
      </c>
      <c r="CF3016" s="4" t="s">
        <v>241</v>
      </c>
      <c r="CJ3016" s="4" t="s">
        <v>276</v>
      </c>
      <c r="CK3016" s="4" t="s">
        <v>259</v>
      </c>
      <c r="CL3016" s="4" t="s">
        <v>241</v>
      </c>
      <c r="CO3016" s="5" t="s">
        <v>260</v>
      </c>
      <c r="CP3016" s="4" t="s">
        <v>241</v>
      </c>
      <c r="CQ3016" s="4" t="s">
        <v>261</v>
      </c>
      <c r="CR3016" s="4" t="s">
        <v>241</v>
      </c>
      <c r="CS3016" s="4" t="s">
        <v>241</v>
      </c>
      <c r="CT3016" s="4">
        <v>0</v>
      </c>
      <c r="CU3016" s="4" t="s">
        <v>262</v>
      </c>
      <c r="CV3016" s="4" t="s">
        <v>263</v>
      </c>
      <c r="CW3016" s="4" t="s">
        <v>263</v>
      </c>
      <c r="CX3016" s="4" t="s">
        <v>264</v>
      </c>
      <c r="DA3016" s="6">
        <f>1</f>
        <v>1</v>
      </c>
      <c r="DC3016" s="4" t="s">
        <v>325</v>
      </c>
      <c r="DD3016" s="4" t="s">
        <v>241</v>
      </c>
      <c r="DF3016" s="4" t="s">
        <v>325</v>
      </c>
      <c r="DG3016" s="6">
        <f>1191</f>
        <v>1191</v>
      </c>
      <c r="DI3016" s="4" t="s">
        <v>241</v>
      </c>
      <c r="DJ3016" s="4" t="s">
        <v>241</v>
      </c>
      <c r="DK3016" s="4" t="s">
        <v>241</v>
      </c>
      <c r="DL3016" s="4" t="s">
        <v>241</v>
      </c>
      <c r="DP3016" s="4" t="s">
        <v>241</v>
      </c>
      <c r="DQ3016" s="4" t="s">
        <v>241</v>
      </c>
      <c r="DR3016" s="4" t="s">
        <v>241</v>
      </c>
      <c r="DS3016" s="4" t="s">
        <v>241</v>
      </c>
      <c r="DV3016" s="4" t="s">
        <v>426</v>
      </c>
      <c r="DW3016" s="4" t="s">
        <v>354</v>
      </c>
      <c r="HO3016" s="4" t="s">
        <v>267</v>
      </c>
    </row>
    <row r="3017" spans="1:223" ht="19.5" customHeight="1" x14ac:dyDescent="0.4">
      <c r="A3017" s="4">
        <v>1</v>
      </c>
      <c r="B3017" s="4" t="s">
        <v>239</v>
      </c>
      <c r="C3017" s="4">
        <v>4720</v>
      </c>
      <c r="D3017" s="4">
        <v>1</v>
      </c>
      <c r="E3017" s="4">
        <v>1</v>
      </c>
      <c r="F3017" s="4" t="s">
        <v>268</v>
      </c>
      <c r="G3017" s="4" t="s">
        <v>241</v>
      </c>
      <c r="H3017" s="4" t="s">
        <v>241</v>
      </c>
      <c r="I3017" s="4" t="s">
        <v>424</v>
      </c>
      <c r="J3017" s="4" t="s">
        <v>274</v>
      </c>
      <c r="K3017" s="4" t="s">
        <v>251</v>
      </c>
      <c r="L3017" s="4" t="s">
        <v>423</v>
      </c>
      <c r="M3017" s="5" t="s">
        <v>677</v>
      </c>
      <c r="N3017" s="6">
        <f>1744</f>
        <v>1744</v>
      </c>
      <c r="O3017" s="4" t="s">
        <v>265</v>
      </c>
      <c r="P3017" s="6">
        <f>1</f>
        <v>1</v>
      </c>
      <c r="Q3017" s="6">
        <f>0</f>
        <v>0</v>
      </c>
      <c r="S3017" s="6">
        <f>0</f>
        <v>0</v>
      </c>
      <c r="T3017" s="6">
        <f>1</f>
        <v>1</v>
      </c>
      <c r="U3017" s="5" t="s">
        <v>245</v>
      </c>
      <c r="V3017" s="4" t="s">
        <v>270</v>
      </c>
      <c r="W3017" s="4" t="s">
        <v>271</v>
      </c>
      <c r="X3017" s="4" t="s">
        <v>273</v>
      </c>
      <c r="Y3017" s="4" t="s">
        <v>241</v>
      </c>
      <c r="AB3017" s="4" t="s">
        <v>241</v>
      </c>
      <c r="AD3017" s="5" t="s">
        <v>241</v>
      </c>
      <c r="AG3017" s="5" t="s">
        <v>246</v>
      </c>
      <c r="AH3017" s="4" t="s">
        <v>241</v>
      </c>
      <c r="AI3017" s="4" t="s">
        <v>247</v>
      </c>
      <c r="AJ3017" s="4" t="s">
        <v>248</v>
      </c>
      <c r="AZ3017" s="4" t="s">
        <v>249</v>
      </c>
      <c r="BA3017" s="4" t="s">
        <v>241</v>
      </c>
      <c r="BB3017" s="4" t="s">
        <v>250</v>
      </c>
      <c r="BC3017" s="4" t="s">
        <v>241</v>
      </c>
      <c r="BD3017" s="4" t="s">
        <v>252</v>
      </c>
      <c r="BE3017" s="4" t="s">
        <v>241</v>
      </c>
      <c r="BI3017" s="4" t="s">
        <v>253</v>
      </c>
      <c r="BJ3017" s="5" t="s">
        <v>246</v>
      </c>
      <c r="BK3017" s="4" t="s">
        <v>254</v>
      </c>
      <c r="BL3017" s="4" t="s">
        <v>255</v>
      </c>
      <c r="BM3017" s="4" t="s">
        <v>241</v>
      </c>
      <c r="BN3017" s="6">
        <f>0</f>
        <v>0</v>
      </c>
      <c r="BO3017" s="6">
        <f>0</f>
        <v>0</v>
      </c>
      <c r="BP3017" s="4" t="s">
        <v>256</v>
      </c>
      <c r="BQ3017" s="4" t="s">
        <v>257</v>
      </c>
      <c r="CE3017" s="4" t="s">
        <v>241</v>
      </c>
      <c r="CF3017" s="4" t="s">
        <v>241</v>
      </c>
      <c r="CJ3017" s="4" t="s">
        <v>276</v>
      </c>
      <c r="CK3017" s="4" t="s">
        <v>259</v>
      </c>
      <c r="CL3017" s="4" t="s">
        <v>241</v>
      </c>
      <c r="CO3017" s="5" t="s">
        <v>260</v>
      </c>
      <c r="CP3017" s="4" t="s">
        <v>241</v>
      </c>
      <c r="CQ3017" s="4" t="s">
        <v>261</v>
      </c>
      <c r="CR3017" s="4" t="s">
        <v>241</v>
      </c>
      <c r="CS3017" s="4" t="s">
        <v>241</v>
      </c>
      <c r="CT3017" s="4">
        <v>0</v>
      </c>
      <c r="CU3017" s="4" t="s">
        <v>262</v>
      </c>
      <c r="CV3017" s="4" t="s">
        <v>263</v>
      </c>
      <c r="CW3017" s="4" t="s">
        <v>263</v>
      </c>
      <c r="CX3017" s="4" t="s">
        <v>264</v>
      </c>
      <c r="DA3017" s="6">
        <f>1</f>
        <v>1</v>
      </c>
      <c r="DC3017" s="4" t="s">
        <v>325</v>
      </c>
      <c r="DD3017" s="4" t="s">
        <v>241</v>
      </c>
      <c r="DF3017" s="4" t="s">
        <v>325</v>
      </c>
      <c r="DG3017" s="6">
        <f>1744</f>
        <v>1744</v>
      </c>
      <c r="DI3017" s="4" t="s">
        <v>241</v>
      </c>
      <c r="DJ3017" s="4" t="s">
        <v>241</v>
      </c>
      <c r="DK3017" s="4" t="s">
        <v>241</v>
      </c>
      <c r="DL3017" s="4" t="s">
        <v>241</v>
      </c>
      <c r="DP3017" s="4" t="s">
        <v>241</v>
      </c>
      <c r="DQ3017" s="4" t="s">
        <v>241</v>
      </c>
      <c r="DR3017" s="4" t="s">
        <v>241</v>
      </c>
      <c r="DS3017" s="4" t="s">
        <v>241</v>
      </c>
      <c r="DV3017" s="4" t="s">
        <v>426</v>
      </c>
      <c r="DW3017" s="4" t="s">
        <v>345</v>
      </c>
      <c r="HO3017" s="4" t="s">
        <v>267</v>
      </c>
    </row>
    <row r="3018" spans="1:223" ht="19.5" customHeight="1" x14ac:dyDescent="0.4">
      <c r="A3018" s="4">
        <v>1</v>
      </c>
      <c r="B3018" s="4" t="s">
        <v>239</v>
      </c>
      <c r="C3018" s="4">
        <v>4721</v>
      </c>
      <c r="D3018" s="4">
        <v>1</v>
      </c>
      <c r="E3018" s="4">
        <v>1</v>
      </c>
      <c r="F3018" s="4" t="s">
        <v>268</v>
      </c>
      <c r="G3018" s="4" t="s">
        <v>241</v>
      </c>
      <c r="H3018" s="4" t="s">
        <v>241</v>
      </c>
      <c r="I3018" s="4" t="s">
        <v>424</v>
      </c>
      <c r="J3018" s="4" t="s">
        <v>274</v>
      </c>
      <c r="K3018" s="4" t="s">
        <v>251</v>
      </c>
      <c r="L3018" s="4" t="s">
        <v>423</v>
      </c>
      <c r="M3018" s="5" t="s">
        <v>791</v>
      </c>
      <c r="N3018" s="6">
        <f>941</f>
        <v>941</v>
      </c>
      <c r="O3018" s="4" t="s">
        <v>265</v>
      </c>
      <c r="P3018" s="6">
        <f>1</f>
        <v>1</v>
      </c>
      <c r="Q3018" s="6">
        <f>0</f>
        <v>0</v>
      </c>
      <c r="S3018" s="6">
        <f>0</f>
        <v>0</v>
      </c>
      <c r="T3018" s="6">
        <f>1</f>
        <v>1</v>
      </c>
      <c r="U3018" s="5" t="s">
        <v>245</v>
      </c>
      <c r="V3018" s="4" t="s">
        <v>270</v>
      </c>
      <c r="W3018" s="4" t="s">
        <v>271</v>
      </c>
      <c r="X3018" s="4" t="s">
        <v>273</v>
      </c>
      <c r="Y3018" s="4" t="s">
        <v>241</v>
      </c>
      <c r="AB3018" s="4" t="s">
        <v>241</v>
      </c>
      <c r="AD3018" s="5" t="s">
        <v>241</v>
      </c>
      <c r="AG3018" s="5" t="s">
        <v>246</v>
      </c>
      <c r="AH3018" s="4" t="s">
        <v>241</v>
      </c>
      <c r="AI3018" s="4" t="s">
        <v>247</v>
      </c>
      <c r="AJ3018" s="4" t="s">
        <v>248</v>
      </c>
      <c r="AZ3018" s="4" t="s">
        <v>249</v>
      </c>
      <c r="BA3018" s="4" t="s">
        <v>241</v>
      </c>
      <c r="BB3018" s="4" t="s">
        <v>250</v>
      </c>
      <c r="BC3018" s="4" t="s">
        <v>241</v>
      </c>
      <c r="BD3018" s="4" t="s">
        <v>252</v>
      </c>
      <c r="BE3018" s="4" t="s">
        <v>241</v>
      </c>
      <c r="BI3018" s="4" t="s">
        <v>253</v>
      </c>
      <c r="BJ3018" s="5" t="s">
        <v>246</v>
      </c>
      <c r="BK3018" s="4" t="s">
        <v>254</v>
      </c>
      <c r="BL3018" s="4" t="s">
        <v>255</v>
      </c>
      <c r="BM3018" s="4" t="s">
        <v>241</v>
      </c>
      <c r="BN3018" s="6">
        <f>0</f>
        <v>0</v>
      </c>
      <c r="BO3018" s="6">
        <f>0</f>
        <v>0</v>
      </c>
      <c r="BP3018" s="4" t="s">
        <v>256</v>
      </c>
      <c r="BQ3018" s="4" t="s">
        <v>257</v>
      </c>
      <c r="CE3018" s="4" t="s">
        <v>241</v>
      </c>
      <c r="CF3018" s="4" t="s">
        <v>241</v>
      </c>
      <c r="CJ3018" s="4" t="s">
        <v>276</v>
      </c>
      <c r="CK3018" s="4" t="s">
        <v>259</v>
      </c>
      <c r="CL3018" s="4" t="s">
        <v>241</v>
      </c>
      <c r="CO3018" s="5" t="s">
        <v>260</v>
      </c>
      <c r="CP3018" s="4" t="s">
        <v>241</v>
      </c>
      <c r="CQ3018" s="4" t="s">
        <v>261</v>
      </c>
      <c r="CR3018" s="4" t="s">
        <v>241</v>
      </c>
      <c r="CS3018" s="4" t="s">
        <v>241</v>
      </c>
      <c r="CT3018" s="4">
        <v>0</v>
      </c>
      <c r="CU3018" s="4" t="s">
        <v>262</v>
      </c>
      <c r="CV3018" s="4" t="s">
        <v>263</v>
      </c>
      <c r="CW3018" s="4" t="s">
        <v>263</v>
      </c>
      <c r="CX3018" s="4" t="s">
        <v>264</v>
      </c>
      <c r="DA3018" s="6">
        <f>1</f>
        <v>1</v>
      </c>
      <c r="DC3018" s="4" t="s">
        <v>325</v>
      </c>
      <c r="DD3018" s="4" t="s">
        <v>241</v>
      </c>
      <c r="DF3018" s="4" t="s">
        <v>325</v>
      </c>
      <c r="DG3018" s="6">
        <f>941</f>
        <v>941</v>
      </c>
      <c r="DI3018" s="4" t="s">
        <v>241</v>
      </c>
      <c r="DJ3018" s="4" t="s">
        <v>241</v>
      </c>
      <c r="DK3018" s="4" t="s">
        <v>241</v>
      </c>
      <c r="DL3018" s="4" t="s">
        <v>241</v>
      </c>
      <c r="DP3018" s="4" t="s">
        <v>241</v>
      </c>
      <c r="DQ3018" s="4" t="s">
        <v>241</v>
      </c>
      <c r="DR3018" s="4" t="s">
        <v>241</v>
      </c>
      <c r="DS3018" s="4" t="s">
        <v>241</v>
      </c>
      <c r="DV3018" s="4" t="s">
        <v>426</v>
      </c>
      <c r="DW3018" s="4" t="s">
        <v>792</v>
      </c>
      <c r="HO3018" s="4" t="s">
        <v>267</v>
      </c>
    </row>
    <row r="3019" spans="1:223" ht="19.5" customHeight="1" x14ac:dyDescent="0.4">
      <c r="A3019" s="4">
        <v>1</v>
      </c>
      <c r="B3019" s="4" t="s">
        <v>239</v>
      </c>
      <c r="C3019" s="4">
        <v>4722</v>
      </c>
      <c r="D3019" s="4">
        <v>1</v>
      </c>
      <c r="E3019" s="4">
        <v>1</v>
      </c>
      <c r="F3019" s="4" t="s">
        <v>268</v>
      </c>
      <c r="G3019" s="4" t="s">
        <v>241</v>
      </c>
      <c r="H3019" s="4" t="s">
        <v>241</v>
      </c>
      <c r="I3019" s="4" t="s">
        <v>424</v>
      </c>
      <c r="J3019" s="4" t="s">
        <v>274</v>
      </c>
      <c r="K3019" s="4" t="s">
        <v>251</v>
      </c>
      <c r="L3019" s="4" t="s">
        <v>423</v>
      </c>
      <c r="M3019" s="5" t="s">
        <v>765</v>
      </c>
      <c r="N3019" s="6">
        <f>463</f>
        <v>463</v>
      </c>
      <c r="O3019" s="4" t="s">
        <v>265</v>
      </c>
      <c r="P3019" s="6">
        <f>1</f>
        <v>1</v>
      </c>
      <c r="Q3019" s="6">
        <f>0</f>
        <v>0</v>
      </c>
      <c r="S3019" s="6">
        <f>0</f>
        <v>0</v>
      </c>
      <c r="T3019" s="6">
        <f>1</f>
        <v>1</v>
      </c>
      <c r="U3019" s="5" t="s">
        <v>245</v>
      </c>
      <c r="V3019" s="4" t="s">
        <v>270</v>
      </c>
      <c r="W3019" s="4" t="s">
        <v>271</v>
      </c>
      <c r="X3019" s="4" t="s">
        <v>273</v>
      </c>
      <c r="Y3019" s="4" t="s">
        <v>241</v>
      </c>
      <c r="AB3019" s="4" t="s">
        <v>241</v>
      </c>
      <c r="AD3019" s="5" t="s">
        <v>241</v>
      </c>
      <c r="AG3019" s="5" t="s">
        <v>246</v>
      </c>
      <c r="AH3019" s="4" t="s">
        <v>241</v>
      </c>
      <c r="AI3019" s="4" t="s">
        <v>247</v>
      </c>
      <c r="AJ3019" s="4" t="s">
        <v>248</v>
      </c>
      <c r="AZ3019" s="4" t="s">
        <v>249</v>
      </c>
      <c r="BA3019" s="4" t="s">
        <v>241</v>
      </c>
      <c r="BB3019" s="4" t="s">
        <v>250</v>
      </c>
      <c r="BC3019" s="4" t="s">
        <v>241</v>
      </c>
      <c r="BD3019" s="4" t="s">
        <v>252</v>
      </c>
      <c r="BE3019" s="4" t="s">
        <v>241</v>
      </c>
      <c r="BI3019" s="4" t="s">
        <v>253</v>
      </c>
      <c r="BJ3019" s="5" t="s">
        <v>246</v>
      </c>
      <c r="BK3019" s="4" t="s">
        <v>254</v>
      </c>
      <c r="BL3019" s="4" t="s">
        <v>255</v>
      </c>
      <c r="BM3019" s="4" t="s">
        <v>241</v>
      </c>
      <c r="BN3019" s="6">
        <f>0</f>
        <v>0</v>
      </c>
      <c r="BO3019" s="6">
        <f>0</f>
        <v>0</v>
      </c>
      <c r="BP3019" s="4" t="s">
        <v>256</v>
      </c>
      <c r="BQ3019" s="4" t="s">
        <v>257</v>
      </c>
      <c r="CE3019" s="4" t="s">
        <v>241</v>
      </c>
      <c r="CF3019" s="4" t="s">
        <v>241</v>
      </c>
      <c r="CJ3019" s="4" t="s">
        <v>276</v>
      </c>
      <c r="CK3019" s="4" t="s">
        <v>259</v>
      </c>
      <c r="CL3019" s="4" t="s">
        <v>241</v>
      </c>
      <c r="CO3019" s="5" t="s">
        <v>260</v>
      </c>
      <c r="CP3019" s="4" t="s">
        <v>241</v>
      </c>
      <c r="CQ3019" s="4" t="s">
        <v>261</v>
      </c>
      <c r="CR3019" s="4" t="s">
        <v>241</v>
      </c>
      <c r="CS3019" s="4" t="s">
        <v>241</v>
      </c>
      <c r="CT3019" s="4">
        <v>0</v>
      </c>
      <c r="CU3019" s="4" t="s">
        <v>262</v>
      </c>
      <c r="CV3019" s="4" t="s">
        <v>263</v>
      </c>
      <c r="CW3019" s="4" t="s">
        <v>263</v>
      </c>
      <c r="CX3019" s="4" t="s">
        <v>264</v>
      </c>
      <c r="DA3019" s="6">
        <f>1</f>
        <v>1</v>
      </c>
      <c r="DC3019" s="4" t="s">
        <v>325</v>
      </c>
      <c r="DD3019" s="4" t="s">
        <v>241</v>
      </c>
      <c r="DF3019" s="4" t="s">
        <v>325</v>
      </c>
      <c r="DG3019" s="6">
        <f>463</f>
        <v>463</v>
      </c>
      <c r="DI3019" s="4" t="s">
        <v>241</v>
      </c>
      <c r="DJ3019" s="4" t="s">
        <v>241</v>
      </c>
      <c r="DK3019" s="4" t="s">
        <v>241</v>
      </c>
      <c r="DL3019" s="4" t="s">
        <v>241</v>
      </c>
      <c r="DP3019" s="4" t="s">
        <v>241</v>
      </c>
      <c r="DQ3019" s="4" t="s">
        <v>241</v>
      </c>
      <c r="DR3019" s="4" t="s">
        <v>241</v>
      </c>
      <c r="DS3019" s="4" t="s">
        <v>241</v>
      </c>
      <c r="DV3019" s="4" t="s">
        <v>426</v>
      </c>
      <c r="DW3019" s="4" t="s">
        <v>766</v>
      </c>
      <c r="HO3019" s="4" t="s">
        <v>267</v>
      </c>
    </row>
    <row r="3020" spans="1:223" ht="19.5" customHeight="1" x14ac:dyDescent="0.4">
      <c r="A3020" s="4">
        <v>1</v>
      </c>
      <c r="B3020" s="4" t="s">
        <v>239</v>
      </c>
      <c r="C3020" s="4">
        <v>4723</v>
      </c>
      <c r="D3020" s="4">
        <v>1</v>
      </c>
      <c r="E3020" s="4">
        <v>1</v>
      </c>
      <c r="F3020" s="4" t="s">
        <v>268</v>
      </c>
      <c r="G3020" s="4" t="s">
        <v>241</v>
      </c>
      <c r="H3020" s="4" t="s">
        <v>241</v>
      </c>
      <c r="I3020" s="4" t="s">
        <v>424</v>
      </c>
      <c r="J3020" s="4" t="s">
        <v>274</v>
      </c>
      <c r="K3020" s="4" t="s">
        <v>251</v>
      </c>
      <c r="L3020" s="4" t="s">
        <v>423</v>
      </c>
      <c r="M3020" s="5" t="s">
        <v>732</v>
      </c>
      <c r="N3020" s="6">
        <f>624</f>
        <v>624</v>
      </c>
      <c r="O3020" s="4" t="s">
        <v>265</v>
      </c>
      <c r="P3020" s="6">
        <f>1</f>
        <v>1</v>
      </c>
      <c r="Q3020" s="6">
        <f>0</f>
        <v>0</v>
      </c>
      <c r="S3020" s="6">
        <f>0</f>
        <v>0</v>
      </c>
      <c r="T3020" s="6">
        <f>1</f>
        <v>1</v>
      </c>
      <c r="U3020" s="5" t="s">
        <v>245</v>
      </c>
      <c r="V3020" s="4" t="s">
        <v>270</v>
      </c>
      <c r="W3020" s="4" t="s">
        <v>271</v>
      </c>
      <c r="X3020" s="4" t="s">
        <v>273</v>
      </c>
      <c r="Y3020" s="4" t="s">
        <v>241</v>
      </c>
      <c r="AB3020" s="4" t="s">
        <v>241</v>
      </c>
      <c r="AD3020" s="5" t="s">
        <v>241</v>
      </c>
      <c r="AG3020" s="5" t="s">
        <v>246</v>
      </c>
      <c r="AH3020" s="4" t="s">
        <v>241</v>
      </c>
      <c r="AI3020" s="4" t="s">
        <v>247</v>
      </c>
      <c r="AJ3020" s="4" t="s">
        <v>248</v>
      </c>
      <c r="AZ3020" s="4" t="s">
        <v>249</v>
      </c>
      <c r="BA3020" s="4" t="s">
        <v>241</v>
      </c>
      <c r="BB3020" s="4" t="s">
        <v>250</v>
      </c>
      <c r="BC3020" s="4" t="s">
        <v>241</v>
      </c>
      <c r="BD3020" s="4" t="s">
        <v>252</v>
      </c>
      <c r="BE3020" s="4" t="s">
        <v>241</v>
      </c>
      <c r="BI3020" s="4" t="s">
        <v>253</v>
      </c>
      <c r="BJ3020" s="5" t="s">
        <v>246</v>
      </c>
      <c r="BK3020" s="4" t="s">
        <v>254</v>
      </c>
      <c r="BL3020" s="4" t="s">
        <v>255</v>
      </c>
      <c r="BM3020" s="4" t="s">
        <v>241</v>
      </c>
      <c r="BN3020" s="6">
        <f>0</f>
        <v>0</v>
      </c>
      <c r="BO3020" s="6">
        <f>0</f>
        <v>0</v>
      </c>
      <c r="BP3020" s="4" t="s">
        <v>256</v>
      </c>
      <c r="BQ3020" s="4" t="s">
        <v>257</v>
      </c>
      <c r="CE3020" s="4" t="s">
        <v>241</v>
      </c>
      <c r="CF3020" s="4" t="s">
        <v>241</v>
      </c>
      <c r="CJ3020" s="4" t="s">
        <v>276</v>
      </c>
      <c r="CK3020" s="4" t="s">
        <v>259</v>
      </c>
      <c r="CL3020" s="4" t="s">
        <v>241</v>
      </c>
      <c r="CO3020" s="5" t="s">
        <v>260</v>
      </c>
      <c r="CP3020" s="4" t="s">
        <v>241</v>
      </c>
      <c r="CQ3020" s="4" t="s">
        <v>261</v>
      </c>
      <c r="CR3020" s="4" t="s">
        <v>241</v>
      </c>
      <c r="CS3020" s="4" t="s">
        <v>241</v>
      </c>
      <c r="CT3020" s="4">
        <v>0</v>
      </c>
      <c r="CU3020" s="4" t="s">
        <v>262</v>
      </c>
      <c r="CV3020" s="4" t="s">
        <v>263</v>
      </c>
      <c r="CW3020" s="4" t="s">
        <v>263</v>
      </c>
      <c r="CX3020" s="4" t="s">
        <v>264</v>
      </c>
      <c r="DA3020" s="6">
        <f>1</f>
        <v>1</v>
      </c>
      <c r="DC3020" s="4" t="s">
        <v>325</v>
      </c>
      <c r="DD3020" s="4" t="s">
        <v>241</v>
      </c>
      <c r="DF3020" s="4" t="s">
        <v>325</v>
      </c>
      <c r="DG3020" s="6">
        <f>624</f>
        <v>624</v>
      </c>
      <c r="DI3020" s="4" t="s">
        <v>241</v>
      </c>
      <c r="DJ3020" s="4" t="s">
        <v>241</v>
      </c>
      <c r="DK3020" s="4" t="s">
        <v>241</v>
      </c>
      <c r="DL3020" s="4" t="s">
        <v>241</v>
      </c>
      <c r="DP3020" s="4" t="s">
        <v>241</v>
      </c>
      <c r="DQ3020" s="4" t="s">
        <v>241</v>
      </c>
      <c r="DR3020" s="4" t="s">
        <v>241</v>
      </c>
      <c r="DS3020" s="4" t="s">
        <v>241</v>
      </c>
      <c r="DV3020" s="4" t="s">
        <v>426</v>
      </c>
      <c r="DW3020" s="4" t="s">
        <v>733</v>
      </c>
      <c r="HO3020" s="4" t="s">
        <v>267</v>
      </c>
    </row>
    <row r="3021" spans="1:223" ht="19.5" customHeight="1" x14ac:dyDescent="0.4">
      <c r="A3021" s="4">
        <v>1</v>
      </c>
      <c r="B3021" s="4" t="s">
        <v>239</v>
      </c>
      <c r="C3021" s="4">
        <v>4724</v>
      </c>
      <c r="D3021" s="4">
        <v>1</v>
      </c>
      <c r="E3021" s="4">
        <v>1</v>
      </c>
      <c r="F3021" s="4" t="s">
        <v>268</v>
      </c>
      <c r="G3021" s="4" t="s">
        <v>241</v>
      </c>
      <c r="H3021" s="4" t="s">
        <v>241</v>
      </c>
      <c r="I3021" s="4" t="s">
        <v>424</v>
      </c>
      <c r="J3021" s="4" t="s">
        <v>274</v>
      </c>
      <c r="K3021" s="4" t="s">
        <v>251</v>
      </c>
      <c r="L3021" s="4" t="s">
        <v>423</v>
      </c>
      <c r="M3021" s="5" t="s">
        <v>726</v>
      </c>
      <c r="N3021" s="6">
        <f>258</f>
        <v>258</v>
      </c>
      <c r="O3021" s="4" t="s">
        <v>265</v>
      </c>
      <c r="P3021" s="6">
        <f>1</f>
        <v>1</v>
      </c>
      <c r="Q3021" s="6">
        <f>0</f>
        <v>0</v>
      </c>
      <c r="S3021" s="6">
        <f>0</f>
        <v>0</v>
      </c>
      <c r="T3021" s="6">
        <f>1</f>
        <v>1</v>
      </c>
      <c r="U3021" s="5" t="s">
        <v>245</v>
      </c>
      <c r="V3021" s="4" t="s">
        <v>270</v>
      </c>
      <c r="W3021" s="4" t="s">
        <v>271</v>
      </c>
      <c r="X3021" s="4" t="s">
        <v>273</v>
      </c>
      <c r="Y3021" s="4" t="s">
        <v>241</v>
      </c>
      <c r="AB3021" s="4" t="s">
        <v>241</v>
      </c>
      <c r="AD3021" s="5" t="s">
        <v>241</v>
      </c>
      <c r="AG3021" s="5" t="s">
        <v>246</v>
      </c>
      <c r="AH3021" s="4" t="s">
        <v>241</v>
      </c>
      <c r="AI3021" s="4" t="s">
        <v>247</v>
      </c>
      <c r="AJ3021" s="4" t="s">
        <v>248</v>
      </c>
      <c r="AZ3021" s="4" t="s">
        <v>249</v>
      </c>
      <c r="BA3021" s="4" t="s">
        <v>241</v>
      </c>
      <c r="BB3021" s="4" t="s">
        <v>250</v>
      </c>
      <c r="BC3021" s="4" t="s">
        <v>241</v>
      </c>
      <c r="BD3021" s="4" t="s">
        <v>252</v>
      </c>
      <c r="BE3021" s="4" t="s">
        <v>241</v>
      </c>
      <c r="BI3021" s="4" t="s">
        <v>253</v>
      </c>
      <c r="BJ3021" s="5" t="s">
        <v>246</v>
      </c>
      <c r="BK3021" s="4" t="s">
        <v>254</v>
      </c>
      <c r="BL3021" s="4" t="s">
        <v>255</v>
      </c>
      <c r="BM3021" s="4" t="s">
        <v>241</v>
      </c>
      <c r="BN3021" s="6">
        <f>0</f>
        <v>0</v>
      </c>
      <c r="BO3021" s="6">
        <f>0</f>
        <v>0</v>
      </c>
      <c r="BP3021" s="4" t="s">
        <v>256</v>
      </c>
      <c r="BQ3021" s="4" t="s">
        <v>257</v>
      </c>
      <c r="CE3021" s="4" t="s">
        <v>241</v>
      </c>
      <c r="CF3021" s="4" t="s">
        <v>241</v>
      </c>
      <c r="CJ3021" s="4" t="s">
        <v>276</v>
      </c>
      <c r="CK3021" s="4" t="s">
        <v>259</v>
      </c>
      <c r="CL3021" s="4" t="s">
        <v>241</v>
      </c>
      <c r="CO3021" s="5" t="s">
        <v>260</v>
      </c>
      <c r="CP3021" s="4" t="s">
        <v>241</v>
      </c>
      <c r="CQ3021" s="4" t="s">
        <v>261</v>
      </c>
      <c r="CR3021" s="4" t="s">
        <v>241</v>
      </c>
      <c r="CS3021" s="4" t="s">
        <v>241</v>
      </c>
      <c r="CT3021" s="4">
        <v>0</v>
      </c>
      <c r="CU3021" s="4" t="s">
        <v>262</v>
      </c>
      <c r="CV3021" s="4" t="s">
        <v>263</v>
      </c>
      <c r="CW3021" s="4" t="s">
        <v>263</v>
      </c>
      <c r="CX3021" s="4" t="s">
        <v>264</v>
      </c>
      <c r="DA3021" s="6">
        <f>1</f>
        <v>1</v>
      </c>
      <c r="DC3021" s="4" t="s">
        <v>325</v>
      </c>
      <c r="DD3021" s="4" t="s">
        <v>241</v>
      </c>
      <c r="DF3021" s="4" t="s">
        <v>325</v>
      </c>
      <c r="DG3021" s="6">
        <f>258</f>
        <v>258</v>
      </c>
      <c r="DI3021" s="4" t="s">
        <v>241</v>
      </c>
      <c r="DJ3021" s="4" t="s">
        <v>241</v>
      </c>
      <c r="DK3021" s="4" t="s">
        <v>241</v>
      </c>
      <c r="DL3021" s="4" t="s">
        <v>241</v>
      </c>
      <c r="DP3021" s="4" t="s">
        <v>241</v>
      </c>
      <c r="DQ3021" s="4" t="s">
        <v>241</v>
      </c>
      <c r="DR3021" s="4" t="s">
        <v>241</v>
      </c>
      <c r="DS3021" s="4" t="s">
        <v>241</v>
      </c>
      <c r="DV3021" s="4" t="s">
        <v>426</v>
      </c>
      <c r="DW3021" s="4" t="s">
        <v>727</v>
      </c>
      <c r="HO3021" s="4" t="s">
        <v>267</v>
      </c>
    </row>
    <row r="3022" spans="1:223" ht="19.5" customHeight="1" x14ac:dyDescent="0.4">
      <c r="A3022" s="4">
        <v>1</v>
      </c>
      <c r="B3022" s="4" t="s">
        <v>239</v>
      </c>
      <c r="C3022" s="4">
        <v>4725</v>
      </c>
      <c r="D3022" s="4">
        <v>1</v>
      </c>
      <c r="E3022" s="4">
        <v>1</v>
      </c>
      <c r="F3022" s="4" t="s">
        <v>268</v>
      </c>
      <c r="G3022" s="4" t="s">
        <v>241</v>
      </c>
      <c r="H3022" s="4" t="s">
        <v>241</v>
      </c>
      <c r="I3022" s="4" t="s">
        <v>424</v>
      </c>
      <c r="J3022" s="4" t="s">
        <v>274</v>
      </c>
      <c r="K3022" s="4" t="s">
        <v>251</v>
      </c>
      <c r="L3022" s="4" t="s">
        <v>423</v>
      </c>
      <c r="M3022" s="5" t="s">
        <v>711</v>
      </c>
      <c r="N3022" s="6">
        <f>366</f>
        <v>366</v>
      </c>
      <c r="O3022" s="4" t="s">
        <v>265</v>
      </c>
      <c r="P3022" s="6">
        <f>1</f>
        <v>1</v>
      </c>
      <c r="Q3022" s="6">
        <f>0</f>
        <v>0</v>
      </c>
      <c r="S3022" s="6">
        <f>0</f>
        <v>0</v>
      </c>
      <c r="T3022" s="6">
        <f>1</f>
        <v>1</v>
      </c>
      <c r="U3022" s="5" t="s">
        <v>245</v>
      </c>
      <c r="V3022" s="4" t="s">
        <v>270</v>
      </c>
      <c r="W3022" s="4" t="s">
        <v>271</v>
      </c>
      <c r="X3022" s="4" t="s">
        <v>273</v>
      </c>
      <c r="Y3022" s="4" t="s">
        <v>241</v>
      </c>
      <c r="AB3022" s="4" t="s">
        <v>241</v>
      </c>
      <c r="AD3022" s="5" t="s">
        <v>241</v>
      </c>
      <c r="AG3022" s="5" t="s">
        <v>246</v>
      </c>
      <c r="AH3022" s="4" t="s">
        <v>241</v>
      </c>
      <c r="AI3022" s="4" t="s">
        <v>247</v>
      </c>
      <c r="AJ3022" s="4" t="s">
        <v>248</v>
      </c>
      <c r="AZ3022" s="4" t="s">
        <v>249</v>
      </c>
      <c r="BA3022" s="4" t="s">
        <v>241</v>
      </c>
      <c r="BB3022" s="4" t="s">
        <v>250</v>
      </c>
      <c r="BC3022" s="4" t="s">
        <v>241</v>
      </c>
      <c r="BD3022" s="4" t="s">
        <v>252</v>
      </c>
      <c r="BE3022" s="4" t="s">
        <v>241</v>
      </c>
      <c r="BI3022" s="4" t="s">
        <v>253</v>
      </c>
      <c r="BJ3022" s="5" t="s">
        <v>246</v>
      </c>
      <c r="BK3022" s="4" t="s">
        <v>254</v>
      </c>
      <c r="BL3022" s="4" t="s">
        <v>255</v>
      </c>
      <c r="BM3022" s="4" t="s">
        <v>241</v>
      </c>
      <c r="BN3022" s="6">
        <f>0</f>
        <v>0</v>
      </c>
      <c r="BO3022" s="6">
        <f>0</f>
        <v>0</v>
      </c>
      <c r="BP3022" s="4" t="s">
        <v>256</v>
      </c>
      <c r="BQ3022" s="4" t="s">
        <v>257</v>
      </c>
      <c r="CE3022" s="4" t="s">
        <v>241</v>
      </c>
      <c r="CF3022" s="4" t="s">
        <v>241</v>
      </c>
      <c r="CJ3022" s="4" t="s">
        <v>276</v>
      </c>
      <c r="CK3022" s="4" t="s">
        <v>259</v>
      </c>
      <c r="CL3022" s="4" t="s">
        <v>241</v>
      </c>
      <c r="CO3022" s="5" t="s">
        <v>260</v>
      </c>
      <c r="CP3022" s="4" t="s">
        <v>241</v>
      </c>
      <c r="CQ3022" s="4" t="s">
        <v>261</v>
      </c>
      <c r="CR3022" s="4" t="s">
        <v>241</v>
      </c>
      <c r="CS3022" s="4" t="s">
        <v>241</v>
      </c>
      <c r="CT3022" s="4">
        <v>0</v>
      </c>
      <c r="CU3022" s="4" t="s">
        <v>262</v>
      </c>
      <c r="CV3022" s="4" t="s">
        <v>263</v>
      </c>
      <c r="CW3022" s="4" t="s">
        <v>263</v>
      </c>
      <c r="CX3022" s="4" t="s">
        <v>264</v>
      </c>
      <c r="DA3022" s="6">
        <f>1</f>
        <v>1</v>
      </c>
      <c r="DC3022" s="4" t="s">
        <v>325</v>
      </c>
      <c r="DD3022" s="4" t="s">
        <v>241</v>
      </c>
      <c r="DF3022" s="4" t="s">
        <v>325</v>
      </c>
      <c r="DG3022" s="6">
        <f>366</f>
        <v>366</v>
      </c>
      <c r="DI3022" s="4" t="s">
        <v>241</v>
      </c>
      <c r="DJ3022" s="4" t="s">
        <v>241</v>
      </c>
      <c r="DK3022" s="4" t="s">
        <v>241</v>
      </c>
      <c r="DL3022" s="4" t="s">
        <v>241</v>
      </c>
      <c r="DP3022" s="4" t="s">
        <v>241</v>
      </c>
      <c r="DQ3022" s="4" t="s">
        <v>241</v>
      </c>
      <c r="DR3022" s="4" t="s">
        <v>241</v>
      </c>
      <c r="DS3022" s="4" t="s">
        <v>241</v>
      </c>
      <c r="DV3022" s="4" t="s">
        <v>426</v>
      </c>
      <c r="DW3022" s="4" t="s">
        <v>712</v>
      </c>
      <c r="HO3022" s="4" t="s">
        <v>267</v>
      </c>
    </row>
    <row r="3023" spans="1:223" ht="19.5" customHeight="1" x14ac:dyDescent="0.4">
      <c r="A3023" s="4">
        <v>1</v>
      </c>
      <c r="B3023" s="4" t="s">
        <v>239</v>
      </c>
      <c r="C3023" s="4">
        <v>4726</v>
      </c>
      <c r="D3023" s="4">
        <v>1</v>
      </c>
      <c r="E3023" s="4">
        <v>1</v>
      </c>
      <c r="F3023" s="4" t="s">
        <v>268</v>
      </c>
      <c r="G3023" s="4" t="s">
        <v>241</v>
      </c>
      <c r="H3023" s="4" t="s">
        <v>241</v>
      </c>
      <c r="I3023" s="4" t="s">
        <v>424</v>
      </c>
      <c r="J3023" s="4" t="s">
        <v>274</v>
      </c>
      <c r="K3023" s="4" t="s">
        <v>251</v>
      </c>
      <c r="L3023" s="4" t="s">
        <v>423</v>
      </c>
      <c r="M3023" s="5" t="s">
        <v>688</v>
      </c>
      <c r="N3023" s="6">
        <f>574</f>
        <v>574</v>
      </c>
      <c r="O3023" s="4" t="s">
        <v>265</v>
      </c>
      <c r="P3023" s="6">
        <f>1</f>
        <v>1</v>
      </c>
      <c r="Q3023" s="6">
        <f>0</f>
        <v>0</v>
      </c>
      <c r="S3023" s="6">
        <f>0</f>
        <v>0</v>
      </c>
      <c r="T3023" s="6">
        <f>1</f>
        <v>1</v>
      </c>
      <c r="U3023" s="5" t="s">
        <v>245</v>
      </c>
      <c r="V3023" s="4" t="s">
        <v>270</v>
      </c>
      <c r="W3023" s="4" t="s">
        <v>271</v>
      </c>
      <c r="X3023" s="4" t="s">
        <v>273</v>
      </c>
      <c r="Y3023" s="4" t="s">
        <v>241</v>
      </c>
      <c r="AB3023" s="4" t="s">
        <v>241</v>
      </c>
      <c r="AD3023" s="5" t="s">
        <v>241</v>
      </c>
      <c r="AG3023" s="5" t="s">
        <v>246</v>
      </c>
      <c r="AH3023" s="4" t="s">
        <v>241</v>
      </c>
      <c r="AI3023" s="4" t="s">
        <v>247</v>
      </c>
      <c r="AJ3023" s="4" t="s">
        <v>248</v>
      </c>
      <c r="AZ3023" s="4" t="s">
        <v>249</v>
      </c>
      <c r="BA3023" s="4" t="s">
        <v>241</v>
      </c>
      <c r="BB3023" s="4" t="s">
        <v>250</v>
      </c>
      <c r="BC3023" s="4" t="s">
        <v>241</v>
      </c>
      <c r="BD3023" s="4" t="s">
        <v>252</v>
      </c>
      <c r="BE3023" s="4" t="s">
        <v>241</v>
      </c>
      <c r="BI3023" s="4" t="s">
        <v>253</v>
      </c>
      <c r="BJ3023" s="5" t="s">
        <v>246</v>
      </c>
      <c r="BK3023" s="4" t="s">
        <v>254</v>
      </c>
      <c r="BL3023" s="4" t="s">
        <v>255</v>
      </c>
      <c r="BM3023" s="4" t="s">
        <v>241</v>
      </c>
      <c r="BN3023" s="6">
        <f>0</f>
        <v>0</v>
      </c>
      <c r="BO3023" s="6">
        <f>0</f>
        <v>0</v>
      </c>
      <c r="BP3023" s="4" t="s">
        <v>256</v>
      </c>
      <c r="BQ3023" s="4" t="s">
        <v>257</v>
      </c>
      <c r="CE3023" s="4" t="s">
        <v>241</v>
      </c>
      <c r="CF3023" s="4" t="s">
        <v>241</v>
      </c>
      <c r="CJ3023" s="4" t="s">
        <v>276</v>
      </c>
      <c r="CK3023" s="4" t="s">
        <v>259</v>
      </c>
      <c r="CL3023" s="4" t="s">
        <v>241</v>
      </c>
      <c r="CO3023" s="5" t="s">
        <v>260</v>
      </c>
      <c r="CP3023" s="4" t="s">
        <v>241</v>
      </c>
      <c r="CQ3023" s="4" t="s">
        <v>261</v>
      </c>
      <c r="CR3023" s="4" t="s">
        <v>241</v>
      </c>
      <c r="CS3023" s="4" t="s">
        <v>241</v>
      </c>
      <c r="CT3023" s="4">
        <v>0</v>
      </c>
      <c r="CU3023" s="4" t="s">
        <v>262</v>
      </c>
      <c r="CV3023" s="4" t="s">
        <v>263</v>
      </c>
      <c r="CW3023" s="4" t="s">
        <v>263</v>
      </c>
      <c r="CX3023" s="4" t="s">
        <v>264</v>
      </c>
      <c r="DA3023" s="6">
        <f>1</f>
        <v>1</v>
      </c>
      <c r="DC3023" s="4" t="s">
        <v>325</v>
      </c>
      <c r="DD3023" s="4" t="s">
        <v>241</v>
      </c>
      <c r="DF3023" s="4" t="s">
        <v>325</v>
      </c>
      <c r="DG3023" s="6">
        <f>574</f>
        <v>574</v>
      </c>
      <c r="DI3023" s="4" t="s">
        <v>241</v>
      </c>
      <c r="DJ3023" s="4" t="s">
        <v>241</v>
      </c>
      <c r="DK3023" s="4" t="s">
        <v>241</v>
      </c>
      <c r="DL3023" s="4" t="s">
        <v>241</v>
      </c>
      <c r="DP3023" s="4" t="s">
        <v>241</v>
      </c>
      <c r="DQ3023" s="4" t="s">
        <v>241</v>
      </c>
      <c r="DR3023" s="4" t="s">
        <v>241</v>
      </c>
      <c r="DS3023" s="4" t="s">
        <v>241</v>
      </c>
      <c r="DV3023" s="4" t="s">
        <v>426</v>
      </c>
      <c r="DW3023" s="4" t="s">
        <v>689</v>
      </c>
      <c r="HO3023" s="4" t="s">
        <v>267</v>
      </c>
    </row>
    <row r="3024" spans="1:223" ht="19.5" customHeight="1" x14ac:dyDescent="0.4">
      <c r="A3024" s="4">
        <v>1</v>
      </c>
      <c r="B3024" s="4" t="s">
        <v>239</v>
      </c>
      <c r="C3024" s="4">
        <v>4727</v>
      </c>
      <c r="D3024" s="4">
        <v>1</v>
      </c>
      <c r="E3024" s="4">
        <v>1</v>
      </c>
      <c r="F3024" s="4" t="s">
        <v>268</v>
      </c>
      <c r="G3024" s="4" t="s">
        <v>241</v>
      </c>
      <c r="H3024" s="4" t="s">
        <v>241</v>
      </c>
      <c r="I3024" s="4" t="s">
        <v>424</v>
      </c>
      <c r="J3024" s="4" t="s">
        <v>274</v>
      </c>
      <c r="K3024" s="4" t="s">
        <v>251</v>
      </c>
      <c r="L3024" s="4" t="s">
        <v>423</v>
      </c>
      <c r="M3024" s="5" t="s">
        <v>3692</v>
      </c>
      <c r="N3024" s="6">
        <f>752</f>
        <v>752</v>
      </c>
      <c r="O3024" s="4" t="s">
        <v>265</v>
      </c>
      <c r="P3024" s="6">
        <f>1</f>
        <v>1</v>
      </c>
      <c r="Q3024" s="6">
        <f>0</f>
        <v>0</v>
      </c>
      <c r="S3024" s="6">
        <f>0</f>
        <v>0</v>
      </c>
      <c r="T3024" s="6">
        <f>1</f>
        <v>1</v>
      </c>
      <c r="U3024" s="5" t="s">
        <v>245</v>
      </c>
      <c r="V3024" s="4" t="s">
        <v>270</v>
      </c>
      <c r="W3024" s="4" t="s">
        <v>271</v>
      </c>
      <c r="X3024" s="4" t="s">
        <v>273</v>
      </c>
      <c r="Y3024" s="4" t="s">
        <v>241</v>
      </c>
      <c r="AB3024" s="4" t="s">
        <v>241</v>
      </c>
      <c r="AD3024" s="5" t="s">
        <v>241</v>
      </c>
      <c r="AG3024" s="5" t="s">
        <v>246</v>
      </c>
      <c r="AH3024" s="4" t="s">
        <v>241</v>
      </c>
      <c r="AI3024" s="4" t="s">
        <v>247</v>
      </c>
      <c r="AJ3024" s="4" t="s">
        <v>248</v>
      </c>
      <c r="AZ3024" s="4" t="s">
        <v>249</v>
      </c>
      <c r="BA3024" s="4" t="s">
        <v>241</v>
      </c>
      <c r="BB3024" s="4" t="s">
        <v>250</v>
      </c>
      <c r="BC3024" s="4" t="s">
        <v>241</v>
      </c>
      <c r="BD3024" s="4" t="s">
        <v>252</v>
      </c>
      <c r="BE3024" s="4" t="s">
        <v>241</v>
      </c>
      <c r="BI3024" s="4" t="s">
        <v>253</v>
      </c>
      <c r="BJ3024" s="5" t="s">
        <v>246</v>
      </c>
      <c r="BK3024" s="4" t="s">
        <v>254</v>
      </c>
      <c r="BL3024" s="4" t="s">
        <v>255</v>
      </c>
      <c r="BM3024" s="4" t="s">
        <v>241</v>
      </c>
      <c r="BN3024" s="6">
        <f>0</f>
        <v>0</v>
      </c>
      <c r="BO3024" s="6">
        <f>0</f>
        <v>0</v>
      </c>
      <c r="BP3024" s="4" t="s">
        <v>256</v>
      </c>
      <c r="BQ3024" s="4" t="s">
        <v>257</v>
      </c>
      <c r="CE3024" s="4" t="s">
        <v>241</v>
      </c>
      <c r="CF3024" s="4" t="s">
        <v>241</v>
      </c>
      <c r="CJ3024" s="4" t="s">
        <v>276</v>
      </c>
      <c r="CK3024" s="4" t="s">
        <v>259</v>
      </c>
      <c r="CL3024" s="4" t="s">
        <v>241</v>
      </c>
      <c r="CO3024" s="5" t="s">
        <v>260</v>
      </c>
      <c r="CP3024" s="4" t="s">
        <v>241</v>
      </c>
      <c r="CQ3024" s="4" t="s">
        <v>261</v>
      </c>
      <c r="CR3024" s="4" t="s">
        <v>241</v>
      </c>
      <c r="CS3024" s="4" t="s">
        <v>241</v>
      </c>
      <c r="CT3024" s="4">
        <v>0</v>
      </c>
      <c r="CU3024" s="4" t="s">
        <v>262</v>
      </c>
      <c r="CV3024" s="4" t="s">
        <v>263</v>
      </c>
      <c r="CW3024" s="4" t="s">
        <v>263</v>
      </c>
      <c r="CX3024" s="4" t="s">
        <v>264</v>
      </c>
      <c r="DA3024" s="6">
        <f>1</f>
        <v>1</v>
      </c>
      <c r="DC3024" s="4" t="s">
        <v>325</v>
      </c>
      <c r="DD3024" s="4" t="s">
        <v>241</v>
      </c>
      <c r="DF3024" s="4" t="s">
        <v>325</v>
      </c>
      <c r="DG3024" s="6">
        <f>752</f>
        <v>752</v>
      </c>
      <c r="DI3024" s="4" t="s">
        <v>241</v>
      </c>
      <c r="DJ3024" s="4" t="s">
        <v>241</v>
      </c>
      <c r="DK3024" s="4" t="s">
        <v>241</v>
      </c>
      <c r="DL3024" s="4" t="s">
        <v>241</v>
      </c>
      <c r="DP3024" s="4" t="s">
        <v>241</v>
      </c>
      <c r="DQ3024" s="4" t="s">
        <v>241</v>
      </c>
      <c r="DR3024" s="4" t="s">
        <v>241</v>
      </c>
      <c r="DS3024" s="4" t="s">
        <v>241</v>
      </c>
      <c r="DV3024" s="4" t="s">
        <v>426</v>
      </c>
      <c r="DW3024" s="4" t="s">
        <v>984</v>
      </c>
      <c r="HO3024" s="4" t="s">
        <v>267</v>
      </c>
    </row>
    <row r="3025" spans="1:223" ht="19.5" customHeight="1" x14ac:dyDescent="0.4">
      <c r="A3025" s="4">
        <v>1</v>
      </c>
      <c r="B3025" s="4" t="s">
        <v>239</v>
      </c>
      <c r="C3025" s="4">
        <v>4728</v>
      </c>
      <c r="D3025" s="4">
        <v>1</v>
      </c>
      <c r="E3025" s="4">
        <v>1</v>
      </c>
      <c r="F3025" s="4" t="s">
        <v>268</v>
      </c>
      <c r="G3025" s="4" t="s">
        <v>241</v>
      </c>
      <c r="H3025" s="4" t="s">
        <v>241</v>
      </c>
      <c r="I3025" s="4" t="s">
        <v>424</v>
      </c>
      <c r="J3025" s="4" t="s">
        <v>274</v>
      </c>
      <c r="K3025" s="4" t="s">
        <v>251</v>
      </c>
      <c r="L3025" s="4" t="s">
        <v>423</v>
      </c>
      <c r="M3025" s="5" t="s">
        <v>3357</v>
      </c>
      <c r="N3025" s="6">
        <f>1146</f>
        <v>1146</v>
      </c>
      <c r="O3025" s="4" t="s">
        <v>265</v>
      </c>
      <c r="P3025" s="6">
        <f>1</f>
        <v>1</v>
      </c>
      <c r="Q3025" s="6">
        <f>0</f>
        <v>0</v>
      </c>
      <c r="S3025" s="6">
        <f>0</f>
        <v>0</v>
      </c>
      <c r="T3025" s="6">
        <f>1</f>
        <v>1</v>
      </c>
      <c r="U3025" s="5" t="s">
        <v>245</v>
      </c>
      <c r="V3025" s="4" t="s">
        <v>270</v>
      </c>
      <c r="W3025" s="4" t="s">
        <v>271</v>
      </c>
      <c r="X3025" s="4" t="s">
        <v>273</v>
      </c>
      <c r="Y3025" s="4" t="s">
        <v>241</v>
      </c>
      <c r="AB3025" s="4" t="s">
        <v>241</v>
      </c>
      <c r="AD3025" s="5" t="s">
        <v>241</v>
      </c>
      <c r="AG3025" s="5" t="s">
        <v>246</v>
      </c>
      <c r="AH3025" s="4" t="s">
        <v>241</v>
      </c>
      <c r="AI3025" s="4" t="s">
        <v>247</v>
      </c>
      <c r="AJ3025" s="4" t="s">
        <v>248</v>
      </c>
      <c r="AZ3025" s="4" t="s">
        <v>249</v>
      </c>
      <c r="BA3025" s="4" t="s">
        <v>241</v>
      </c>
      <c r="BB3025" s="4" t="s">
        <v>250</v>
      </c>
      <c r="BC3025" s="4" t="s">
        <v>241</v>
      </c>
      <c r="BD3025" s="4" t="s">
        <v>252</v>
      </c>
      <c r="BE3025" s="4" t="s">
        <v>241</v>
      </c>
      <c r="BI3025" s="4" t="s">
        <v>253</v>
      </c>
      <c r="BJ3025" s="5" t="s">
        <v>246</v>
      </c>
      <c r="BK3025" s="4" t="s">
        <v>254</v>
      </c>
      <c r="BL3025" s="4" t="s">
        <v>255</v>
      </c>
      <c r="BM3025" s="4" t="s">
        <v>241</v>
      </c>
      <c r="BN3025" s="6">
        <f>0</f>
        <v>0</v>
      </c>
      <c r="BO3025" s="6">
        <f>0</f>
        <v>0</v>
      </c>
      <c r="BP3025" s="4" t="s">
        <v>256</v>
      </c>
      <c r="BQ3025" s="4" t="s">
        <v>257</v>
      </c>
      <c r="CE3025" s="4" t="s">
        <v>241</v>
      </c>
      <c r="CF3025" s="4" t="s">
        <v>241</v>
      </c>
      <c r="CJ3025" s="4" t="s">
        <v>276</v>
      </c>
      <c r="CK3025" s="4" t="s">
        <v>259</v>
      </c>
      <c r="CL3025" s="4" t="s">
        <v>241</v>
      </c>
      <c r="CO3025" s="5" t="s">
        <v>260</v>
      </c>
      <c r="CP3025" s="4" t="s">
        <v>241</v>
      </c>
      <c r="CQ3025" s="4" t="s">
        <v>261</v>
      </c>
      <c r="CR3025" s="4" t="s">
        <v>241</v>
      </c>
      <c r="CS3025" s="4" t="s">
        <v>241</v>
      </c>
      <c r="CT3025" s="4">
        <v>0</v>
      </c>
      <c r="CU3025" s="4" t="s">
        <v>262</v>
      </c>
      <c r="CV3025" s="4" t="s">
        <v>263</v>
      </c>
      <c r="CW3025" s="4" t="s">
        <v>263</v>
      </c>
      <c r="CX3025" s="4" t="s">
        <v>264</v>
      </c>
      <c r="DA3025" s="6">
        <f>1</f>
        <v>1</v>
      </c>
      <c r="DC3025" s="4" t="s">
        <v>325</v>
      </c>
      <c r="DD3025" s="4" t="s">
        <v>241</v>
      </c>
      <c r="DF3025" s="4" t="s">
        <v>325</v>
      </c>
      <c r="DG3025" s="6">
        <f>1146</f>
        <v>1146</v>
      </c>
      <c r="DI3025" s="4" t="s">
        <v>241</v>
      </c>
      <c r="DJ3025" s="4" t="s">
        <v>241</v>
      </c>
      <c r="DK3025" s="4" t="s">
        <v>241</v>
      </c>
      <c r="DL3025" s="4" t="s">
        <v>241</v>
      </c>
      <c r="DP3025" s="4" t="s">
        <v>241</v>
      </c>
      <c r="DQ3025" s="4" t="s">
        <v>241</v>
      </c>
      <c r="DR3025" s="4" t="s">
        <v>241</v>
      </c>
      <c r="DS3025" s="4" t="s">
        <v>241</v>
      </c>
      <c r="DV3025" s="4" t="s">
        <v>426</v>
      </c>
      <c r="DW3025" s="4" t="s">
        <v>1406</v>
      </c>
      <c r="HO3025" s="4" t="s">
        <v>267</v>
      </c>
    </row>
    <row r="3026" spans="1:223" ht="19.5" customHeight="1" x14ac:dyDescent="0.4">
      <c r="A3026" s="4">
        <v>1</v>
      </c>
      <c r="B3026" s="4" t="s">
        <v>239</v>
      </c>
      <c r="C3026" s="4">
        <v>4729</v>
      </c>
      <c r="D3026" s="4">
        <v>1</v>
      </c>
      <c r="E3026" s="4">
        <v>1</v>
      </c>
      <c r="F3026" s="4" t="s">
        <v>268</v>
      </c>
      <c r="G3026" s="4" t="s">
        <v>241</v>
      </c>
      <c r="H3026" s="4" t="s">
        <v>241</v>
      </c>
      <c r="I3026" s="4" t="s">
        <v>424</v>
      </c>
      <c r="J3026" s="4" t="s">
        <v>274</v>
      </c>
      <c r="K3026" s="4" t="s">
        <v>251</v>
      </c>
      <c r="L3026" s="4" t="s">
        <v>423</v>
      </c>
      <c r="M3026" s="5" t="s">
        <v>3599</v>
      </c>
      <c r="N3026" s="6">
        <f>541</f>
        <v>541</v>
      </c>
      <c r="O3026" s="4" t="s">
        <v>265</v>
      </c>
      <c r="P3026" s="6">
        <f>1</f>
        <v>1</v>
      </c>
      <c r="Q3026" s="6">
        <f>0</f>
        <v>0</v>
      </c>
      <c r="S3026" s="6">
        <f>0</f>
        <v>0</v>
      </c>
      <c r="T3026" s="6">
        <f>1</f>
        <v>1</v>
      </c>
      <c r="U3026" s="5" t="s">
        <v>245</v>
      </c>
      <c r="V3026" s="4" t="s">
        <v>270</v>
      </c>
      <c r="W3026" s="4" t="s">
        <v>271</v>
      </c>
      <c r="X3026" s="4" t="s">
        <v>273</v>
      </c>
      <c r="Y3026" s="4" t="s">
        <v>241</v>
      </c>
      <c r="AB3026" s="4" t="s">
        <v>241</v>
      </c>
      <c r="AD3026" s="5" t="s">
        <v>241</v>
      </c>
      <c r="AG3026" s="5" t="s">
        <v>246</v>
      </c>
      <c r="AH3026" s="4" t="s">
        <v>241</v>
      </c>
      <c r="AI3026" s="4" t="s">
        <v>247</v>
      </c>
      <c r="AJ3026" s="4" t="s">
        <v>248</v>
      </c>
      <c r="AZ3026" s="4" t="s">
        <v>249</v>
      </c>
      <c r="BA3026" s="4" t="s">
        <v>241</v>
      </c>
      <c r="BB3026" s="4" t="s">
        <v>250</v>
      </c>
      <c r="BC3026" s="4" t="s">
        <v>241</v>
      </c>
      <c r="BD3026" s="4" t="s">
        <v>252</v>
      </c>
      <c r="BE3026" s="4" t="s">
        <v>241</v>
      </c>
      <c r="BI3026" s="4" t="s">
        <v>253</v>
      </c>
      <c r="BJ3026" s="5" t="s">
        <v>246</v>
      </c>
      <c r="BK3026" s="4" t="s">
        <v>254</v>
      </c>
      <c r="BL3026" s="4" t="s">
        <v>255</v>
      </c>
      <c r="BM3026" s="4" t="s">
        <v>241</v>
      </c>
      <c r="BN3026" s="6">
        <f>0</f>
        <v>0</v>
      </c>
      <c r="BO3026" s="6">
        <f>0</f>
        <v>0</v>
      </c>
      <c r="BP3026" s="4" t="s">
        <v>256</v>
      </c>
      <c r="BQ3026" s="4" t="s">
        <v>257</v>
      </c>
      <c r="CE3026" s="4" t="s">
        <v>241</v>
      </c>
      <c r="CF3026" s="4" t="s">
        <v>241</v>
      </c>
      <c r="CJ3026" s="4" t="s">
        <v>276</v>
      </c>
      <c r="CK3026" s="4" t="s">
        <v>259</v>
      </c>
      <c r="CL3026" s="4" t="s">
        <v>241</v>
      </c>
      <c r="CO3026" s="5" t="s">
        <v>260</v>
      </c>
      <c r="CP3026" s="4" t="s">
        <v>241</v>
      </c>
      <c r="CQ3026" s="4" t="s">
        <v>261</v>
      </c>
      <c r="CR3026" s="4" t="s">
        <v>241</v>
      </c>
      <c r="CS3026" s="4" t="s">
        <v>241</v>
      </c>
      <c r="CT3026" s="4">
        <v>0</v>
      </c>
      <c r="CU3026" s="4" t="s">
        <v>262</v>
      </c>
      <c r="CV3026" s="4" t="s">
        <v>263</v>
      </c>
      <c r="CW3026" s="4" t="s">
        <v>263</v>
      </c>
      <c r="CX3026" s="4" t="s">
        <v>264</v>
      </c>
      <c r="DA3026" s="6">
        <f>1</f>
        <v>1</v>
      </c>
      <c r="DC3026" s="4" t="s">
        <v>325</v>
      </c>
      <c r="DD3026" s="4" t="s">
        <v>241</v>
      </c>
      <c r="DF3026" s="4" t="s">
        <v>325</v>
      </c>
      <c r="DG3026" s="6">
        <f>541</f>
        <v>541</v>
      </c>
      <c r="DI3026" s="4" t="s">
        <v>241</v>
      </c>
      <c r="DJ3026" s="4" t="s">
        <v>241</v>
      </c>
      <c r="DK3026" s="4" t="s">
        <v>241</v>
      </c>
      <c r="DL3026" s="4" t="s">
        <v>241</v>
      </c>
      <c r="DP3026" s="4" t="s">
        <v>241</v>
      </c>
      <c r="DQ3026" s="4" t="s">
        <v>241</v>
      </c>
      <c r="DR3026" s="4" t="s">
        <v>241</v>
      </c>
      <c r="DS3026" s="4" t="s">
        <v>241</v>
      </c>
      <c r="DV3026" s="4" t="s">
        <v>426</v>
      </c>
      <c r="DW3026" s="4" t="s">
        <v>3600</v>
      </c>
      <c r="HO3026" s="4" t="s">
        <v>267</v>
      </c>
    </row>
    <row r="3027" spans="1:223" ht="19.5" customHeight="1" x14ac:dyDescent="0.4">
      <c r="A3027" s="4">
        <v>1</v>
      </c>
      <c r="B3027" s="4" t="s">
        <v>239</v>
      </c>
      <c r="C3027" s="4">
        <v>4730</v>
      </c>
      <c r="D3027" s="4">
        <v>1</v>
      </c>
      <c r="E3027" s="4">
        <v>1</v>
      </c>
      <c r="F3027" s="4" t="s">
        <v>268</v>
      </c>
      <c r="G3027" s="4" t="s">
        <v>241</v>
      </c>
      <c r="H3027" s="4" t="s">
        <v>241</v>
      </c>
      <c r="I3027" s="4" t="s">
        <v>424</v>
      </c>
      <c r="J3027" s="4" t="s">
        <v>274</v>
      </c>
      <c r="K3027" s="4" t="s">
        <v>251</v>
      </c>
      <c r="L3027" s="4" t="s">
        <v>423</v>
      </c>
      <c r="M3027" s="5" t="s">
        <v>647</v>
      </c>
      <c r="N3027" s="6">
        <f>467</f>
        <v>467</v>
      </c>
      <c r="O3027" s="4" t="s">
        <v>265</v>
      </c>
      <c r="P3027" s="6">
        <f>1</f>
        <v>1</v>
      </c>
      <c r="Q3027" s="6">
        <f>0</f>
        <v>0</v>
      </c>
      <c r="S3027" s="6">
        <f>0</f>
        <v>0</v>
      </c>
      <c r="T3027" s="6">
        <f>1</f>
        <v>1</v>
      </c>
      <c r="U3027" s="5" t="s">
        <v>245</v>
      </c>
      <c r="V3027" s="4" t="s">
        <v>270</v>
      </c>
      <c r="W3027" s="4" t="s">
        <v>271</v>
      </c>
      <c r="X3027" s="4" t="s">
        <v>273</v>
      </c>
      <c r="Y3027" s="4" t="s">
        <v>241</v>
      </c>
      <c r="AB3027" s="4" t="s">
        <v>241</v>
      </c>
      <c r="AD3027" s="5" t="s">
        <v>241</v>
      </c>
      <c r="AG3027" s="5" t="s">
        <v>246</v>
      </c>
      <c r="AH3027" s="4" t="s">
        <v>241</v>
      </c>
      <c r="AI3027" s="4" t="s">
        <v>247</v>
      </c>
      <c r="AJ3027" s="4" t="s">
        <v>248</v>
      </c>
      <c r="AZ3027" s="4" t="s">
        <v>249</v>
      </c>
      <c r="BA3027" s="4" t="s">
        <v>241</v>
      </c>
      <c r="BB3027" s="4" t="s">
        <v>250</v>
      </c>
      <c r="BC3027" s="4" t="s">
        <v>241</v>
      </c>
      <c r="BD3027" s="4" t="s">
        <v>252</v>
      </c>
      <c r="BE3027" s="4" t="s">
        <v>241</v>
      </c>
      <c r="BI3027" s="4" t="s">
        <v>253</v>
      </c>
      <c r="BJ3027" s="5" t="s">
        <v>246</v>
      </c>
      <c r="BK3027" s="4" t="s">
        <v>254</v>
      </c>
      <c r="BL3027" s="4" t="s">
        <v>255</v>
      </c>
      <c r="BM3027" s="4" t="s">
        <v>241</v>
      </c>
      <c r="BN3027" s="6">
        <f>0</f>
        <v>0</v>
      </c>
      <c r="BO3027" s="6">
        <f>0</f>
        <v>0</v>
      </c>
      <c r="BP3027" s="4" t="s">
        <v>256</v>
      </c>
      <c r="BQ3027" s="4" t="s">
        <v>257</v>
      </c>
      <c r="CE3027" s="4" t="s">
        <v>241</v>
      </c>
      <c r="CF3027" s="4" t="s">
        <v>241</v>
      </c>
      <c r="CJ3027" s="4" t="s">
        <v>276</v>
      </c>
      <c r="CK3027" s="4" t="s">
        <v>259</v>
      </c>
      <c r="CL3027" s="4" t="s">
        <v>241</v>
      </c>
      <c r="CO3027" s="5" t="s">
        <v>260</v>
      </c>
      <c r="CP3027" s="4" t="s">
        <v>241</v>
      </c>
      <c r="CQ3027" s="4" t="s">
        <v>261</v>
      </c>
      <c r="CR3027" s="4" t="s">
        <v>241</v>
      </c>
      <c r="CS3027" s="4" t="s">
        <v>241</v>
      </c>
      <c r="CT3027" s="4">
        <v>0</v>
      </c>
      <c r="CU3027" s="4" t="s">
        <v>262</v>
      </c>
      <c r="CV3027" s="4" t="s">
        <v>263</v>
      </c>
      <c r="CW3027" s="4" t="s">
        <v>263</v>
      </c>
      <c r="CX3027" s="4" t="s">
        <v>264</v>
      </c>
      <c r="DA3027" s="6">
        <f>1</f>
        <v>1</v>
      </c>
      <c r="DC3027" s="4" t="s">
        <v>325</v>
      </c>
      <c r="DD3027" s="4" t="s">
        <v>241</v>
      </c>
      <c r="DF3027" s="4" t="s">
        <v>325</v>
      </c>
      <c r="DG3027" s="6">
        <f>467</f>
        <v>467</v>
      </c>
      <c r="DI3027" s="4" t="s">
        <v>241</v>
      </c>
      <c r="DJ3027" s="4" t="s">
        <v>241</v>
      </c>
      <c r="DK3027" s="4" t="s">
        <v>241</v>
      </c>
      <c r="DL3027" s="4" t="s">
        <v>241</v>
      </c>
      <c r="DP3027" s="4" t="s">
        <v>241</v>
      </c>
      <c r="DQ3027" s="4" t="s">
        <v>241</v>
      </c>
      <c r="DR3027" s="4" t="s">
        <v>241</v>
      </c>
      <c r="DS3027" s="4" t="s">
        <v>241</v>
      </c>
      <c r="DV3027" s="4" t="s">
        <v>426</v>
      </c>
      <c r="DW3027" s="4" t="s">
        <v>648</v>
      </c>
      <c r="HO3027" s="4" t="s">
        <v>267</v>
      </c>
    </row>
    <row r="3028" spans="1:223" ht="19.5" customHeight="1" x14ac:dyDescent="0.4">
      <c r="A3028" s="4">
        <v>1</v>
      </c>
      <c r="B3028" s="4" t="s">
        <v>239</v>
      </c>
      <c r="C3028" s="4">
        <v>4731</v>
      </c>
      <c r="D3028" s="4">
        <v>1</v>
      </c>
      <c r="E3028" s="4">
        <v>1</v>
      </c>
      <c r="F3028" s="4" t="s">
        <v>268</v>
      </c>
      <c r="G3028" s="4" t="s">
        <v>241</v>
      </c>
      <c r="H3028" s="4" t="s">
        <v>241</v>
      </c>
      <c r="I3028" s="4" t="s">
        <v>424</v>
      </c>
      <c r="J3028" s="4" t="s">
        <v>274</v>
      </c>
      <c r="K3028" s="4" t="s">
        <v>251</v>
      </c>
      <c r="L3028" s="4" t="s">
        <v>423</v>
      </c>
      <c r="M3028" s="5" t="s">
        <v>3597</v>
      </c>
      <c r="N3028" s="6">
        <f>1667</f>
        <v>1667</v>
      </c>
      <c r="O3028" s="4" t="s">
        <v>265</v>
      </c>
      <c r="P3028" s="6">
        <f>1</f>
        <v>1</v>
      </c>
      <c r="Q3028" s="6">
        <f>0</f>
        <v>0</v>
      </c>
      <c r="S3028" s="6">
        <f>0</f>
        <v>0</v>
      </c>
      <c r="T3028" s="6">
        <f>1</f>
        <v>1</v>
      </c>
      <c r="U3028" s="5" t="s">
        <v>245</v>
      </c>
      <c r="V3028" s="4" t="s">
        <v>270</v>
      </c>
      <c r="W3028" s="4" t="s">
        <v>271</v>
      </c>
      <c r="X3028" s="4" t="s">
        <v>273</v>
      </c>
      <c r="Y3028" s="4" t="s">
        <v>241</v>
      </c>
      <c r="AB3028" s="4" t="s">
        <v>241</v>
      </c>
      <c r="AD3028" s="5" t="s">
        <v>241</v>
      </c>
      <c r="AG3028" s="5" t="s">
        <v>246</v>
      </c>
      <c r="AH3028" s="4" t="s">
        <v>241</v>
      </c>
      <c r="AI3028" s="4" t="s">
        <v>247</v>
      </c>
      <c r="AJ3028" s="4" t="s">
        <v>248</v>
      </c>
      <c r="AZ3028" s="4" t="s">
        <v>249</v>
      </c>
      <c r="BA3028" s="4" t="s">
        <v>241</v>
      </c>
      <c r="BB3028" s="4" t="s">
        <v>250</v>
      </c>
      <c r="BC3028" s="4" t="s">
        <v>241</v>
      </c>
      <c r="BD3028" s="4" t="s">
        <v>252</v>
      </c>
      <c r="BE3028" s="4" t="s">
        <v>241</v>
      </c>
      <c r="BI3028" s="4" t="s">
        <v>253</v>
      </c>
      <c r="BJ3028" s="5" t="s">
        <v>246</v>
      </c>
      <c r="BK3028" s="4" t="s">
        <v>254</v>
      </c>
      <c r="BL3028" s="4" t="s">
        <v>255</v>
      </c>
      <c r="BM3028" s="4" t="s">
        <v>241</v>
      </c>
      <c r="BN3028" s="6">
        <f>0</f>
        <v>0</v>
      </c>
      <c r="BO3028" s="6">
        <f>0</f>
        <v>0</v>
      </c>
      <c r="BP3028" s="4" t="s">
        <v>256</v>
      </c>
      <c r="BQ3028" s="4" t="s">
        <v>257</v>
      </c>
      <c r="CE3028" s="4" t="s">
        <v>241</v>
      </c>
      <c r="CF3028" s="4" t="s">
        <v>241</v>
      </c>
      <c r="CJ3028" s="4" t="s">
        <v>276</v>
      </c>
      <c r="CK3028" s="4" t="s">
        <v>259</v>
      </c>
      <c r="CL3028" s="4" t="s">
        <v>241</v>
      </c>
      <c r="CO3028" s="5" t="s">
        <v>260</v>
      </c>
      <c r="CP3028" s="4" t="s">
        <v>241</v>
      </c>
      <c r="CQ3028" s="4" t="s">
        <v>261</v>
      </c>
      <c r="CR3028" s="4" t="s">
        <v>241</v>
      </c>
      <c r="CS3028" s="4" t="s">
        <v>241</v>
      </c>
      <c r="CT3028" s="4">
        <v>0</v>
      </c>
      <c r="CU3028" s="4" t="s">
        <v>262</v>
      </c>
      <c r="CV3028" s="4" t="s">
        <v>263</v>
      </c>
      <c r="CW3028" s="4" t="s">
        <v>263</v>
      </c>
      <c r="CX3028" s="4" t="s">
        <v>264</v>
      </c>
      <c r="DA3028" s="6">
        <f>1</f>
        <v>1</v>
      </c>
      <c r="DC3028" s="4" t="s">
        <v>325</v>
      </c>
      <c r="DD3028" s="4" t="s">
        <v>241</v>
      </c>
      <c r="DF3028" s="4" t="s">
        <v>325</v>
      </c>
      <c r="DG3028" s="6">
        <f>1667</f>
        <v>1667</v>
      </c>
      <c r="DI3028" s="4" t="s">
        <v>241</v>
      </c>
      <c r="DJ3028" s="4" t="s">
        <v>241</v>
      </c>
      <c r="DK3028" s="4" t="s">
        <v>241</v>
      </c>
      <c r="DL3028" s="4" t="s">
        <v>241</v>
      </c>
      <c r="DP3028" s="4" t="s">
        <v>241</v>
      </c>
      <c r="DQ3028" s="4" t="s">
        <v>241</v>
      </c>
      <c r="DR3028" s="4" t="s">
        <v>241</v>
      </c>
      <c r="DS3028" s="4" t="s">
        <v>241</v>
      </c>
      <c r="DV3028" s="4" t="s">
        <v>426</v>
      </c>
      <c r="DW3028" s="4" t="s">
        <v>1054</v>
      </c>
      <c r="HO3028" s="4" t="s">
        <v>267</v>
      </c>
    </row>
    <row r="3029" spans="1:223" ht="19.5" customHeight="1" x14ac:dyDescent="0.4">
      <c r="A3029" s="4">
        <v>1</v>
      </c>
      <c r="B3029" s="4" t="s">
        <v>239</v>
      </c>
      <c r="C3029" s="4">
        <v>4732</v>
      </c>
      <c r="D3029" s="4">
        <v>1</v>
      </c>
      <c r="E3029" s="4">
        <v>1</v>
      </c>
      <c r="F3029" s="4" t="s">
        <v>268</v>
      </c>
      <c r="G3029" s="4" t="s">
        <v>241</v>
      </c>
      <c r="H3029" s="4" t="s">
        <v>241</v>
      </c>
      <c r="I3029" s="4" t="s">
        <v>424</v>
      </c>
      <c r="J3029" s="4" t="s">
        <v>274</v>
      </c>
      <c r="K3029" s="4" t="s">
        <v>251</v>
      </c>
      <c r="L3029" s="4" t="s">
        <v>423</v>
      </c>
      <c r="M3029" s="5" t="s">
        <v>635</v>
      </c>
      <c r="N3029" s="6">
        <f>291</f>
        <v>291</v>
      </c>
      <c r="O3029" s="4" t="s">
        <v>265</v>
      </c>
      <c r="P3029" s="6">
        <f>1</f>
        <v>1</v>
      </c>
      <c r="Q3029" s="6">
        <f>0</f>
        <v>0</v>
      </c>
      <c r="S3029" s="6">
        <f>0</f>
        <v>0</v>
      </c>
      <c r="T3029" s="6">
        <f>1</f>
        <v>1</v>
      </c>
      <c r="U3029" s="5" t="s">
        <v>245</v>
      </c>
      <c r="V3029" s="4" t="s">
        <v>270</v>
      </c>
      <c r="W3029" s="4" t="s">
        <v>271</v>
      </c>
      <c r="X3029" s="4" t="s">
        <v>273</v>
      </c>
      <c r="Y3029" s="4" t="s">
        <v>241</v>
      </c>
      <c r="AB3029" s="4" t="s">
        <v>241</v>
      </c>
      <c r="AD3029" s="5" t="s">
        <v>241</v>
      </c>
      <c r="AG3029" s="5" t="s">
        <v>246</v>
      </c>
      <c r="AH3029" s="4" t="s">
        <v>241</v>
      </c>
      <c r="AI3029" s="4" t="s">
        <v>247</v>
      </c>
      <c r="AJ3029" s="4" t="s">
        <v>248</v>
      </c>
      <c r="AZ3029" s="4" t="s">
        <v>249</v>
      </c>
      <c r="BA3029" s="4" t="s">
        <v>241</v>
      </c>
      <c r="BB3029" s="4" t="s">
        <v>250</v>
      </c>
      <c r="BC3029" s="4" t="s">
        <v>241</v>
      </c>
      <c r="BD3029" s="4" t="s">
        <v>252</v>
      </c>
      <c r="BE3029" s="4" t="s">
        <v>241</v>
      </c>
      <c r="BI3029" s="4" t="s">
        <v>253</v>
      </c>
      <c r="BJ3029" s="5" t="s">
        <v>246</v>
      </c>
      <c r="BK3029" s="4" t="s">
        <v>254</v>
      </c>
      <c r="BL3029" s="4" t="s">
        <v>255</v>
      </c>
      <c r="BM3029" s="4" t="s">
        <v>241</v>
      </c>
      <c r="BN3029" s="6">
        <f>0</f>
        <v>0</v>
      </c>
      <c r="BO3029" s="6">
        <f>0</f>
        <v>0</v>
      </c>
      <c r="BP3029" s="4" t="s">
        <v>256</v>
      </c>
      <c r="BQ3029" s="4" t="s">
        <v>257</v>
      </c>
      <c r="CE3029" s="4" t="s">
        <v>241</v>
      </c>
      <c r="CF3029" s="4" t="s">
        <v>241</v>
      </c>
      <c r="CJ3029" s="4" t="s">
        <v>276</v>
      </c>
      <c r="CK3029" s="4" t="s">
        <v>259</v>
      </c>
      <c r="CL3029" s="4" t="s">
        <v>241</v>
      </c>
      <c r="CO3029" s="5" t="s">
        <v>260</v>
      </c>
      <c r="CP3029" s="4" t="s">
        <v>241</v>
      </c>
      <c r="CQ3029" s="4" t="s">
        <v>261</v>
      </c>
      <c r="CR3029" s="4" t="s">
        <v>241</v>
      </c>
      <c r="CS3029" s="4" t="s">
        <v>241</v>
      </c>
      <c r="CT3029" s="4">
        <v>0</v>
      </c>
      <c r="CU3029" s="4" t="s">
        <v>262</v>
      </c>
      <c r="CV3029" s="4" t="s">
        <v>263</v>
      </c>
      <c r="CW3029" s="4" t="s">
        <v>263</v>
      </c>
      <c r="CX3029" s="4" t="s">
        <v>264</v>
      </c>
      <c r="DA3029" s="6">
        <f>1</f>
        <v>1</v>
      </c>
      <c r="DC3029" s="4" t="s">
        <v>325</v>
      </c>
      <c r="DD3029" s="4" t="s">
        <v>241</v>
      </c>
      <c r="DF3029" s="4" t="s">
        <v>325</v>
      </c>
      <c r="DG3029" s="6">
        <f>291</f>
        <v>291</v>
      </c>
      <c r="DI3029" s="4" t="s">
        <v>241</v>
      </c>
      <c r="DJ3029" s="4" t="s">
        <v>241</v>
      </c>
      <c r="DK3029" s="4" t="s">
        <v>241</v>
      </c>
      <c r="DL3029" s="4" t="s">
        <v>241</v>
      </c>
      <c r="DP3029" s="4" t="s">
        <v>241</v>
      </c>
      <c r="DQ3029" s="4" t="s">
        <v>241</v>
      </c>
      <c r="DR3029" s="4" t="s">
        <v>241</v>
      </c>
      <c r="DS3029" s="4" t="s">
        <v>241</v>
      </c>
      <c r="DV3029" s="4" t="s">
        <v>426</v>
      </c>
      <c r="DW3029" s="4" t="s">
        <v>636</v>
      </c>
      <c r="HO3029" s="4" t="s">
        <v>267</v>
      </c>
    </row>
    <row r="3030" spans="1:223" ht="19.5" customHeight="1" x14ac:dyDescent="0.4">
      <c r="A3030" s="4">
        <v>1</v>
      </c>
      <c r="B3030" s="4" t="s">
        <v>239</v>
      </c>
      <c r="C3030" s="4">
        <v>4733</v>
      </c>
      <c r="D3030" s="4">
        <v>1</v>
      </c>
      <c r="E3030" s="4">
        <v>1</v>
      </c>
      <c r="F3030" s="4" t="s">
        <v>268</v>
      </c>
      <c r="G3030" s="4" t="s">
        <v>241</v>
      </c>
      <c r="H3030" s="4" t="s">
        <v>241</v>
      </c>
      <c r="I3030" s="4" t="s">
        <v>424</v>
      </c>
      <c r="J3030" s="4" t="s">
        <v>274</v>
      </c>
      <c r="K3030" s="4" t="s">
        <v>251</v>
      </c>
      <c r="L3030" s="4" t="s">
        <v>423</v>
      </c>
      <c r="M3030" s="5" t="s">
        <v>622</v>
      </c>
      <c r="N3030" s="6">
        <f>339</f>
        <v>339</v>
      </c>
      <c r="O3030" s="4" t="s">
        <v>265</v>
      </c>
      <c r="P3030" s="6">
        <f>1</f>
        <v>1</v>
      </c>
      <c r="Q3030" s="6">
        <f>0</f>
        <v>0</v>
      </c>
      <c r="S3030" s="6">
        <f>0</f>
        <v>0</v>
      </c>
      <c r="T3030" s="6">
        <f>1</f>
        <v>1</v>
      </c>
      <c r="U3030" s="5" t="s">
        <v>245</v>
      </c>
      <c r="V3030" s="4" t="s">
        <v>270</v>
      </c>
      <c r="W3030" s="4" t="s">
        <v>271</v>
      </c>
      <c r="X3030" s="4" t="s">
        <v>273</v>
      </c>
      <c r="Y3030" s="4" t="s">
        <v>241</v>
      </c>
      <c r="AB3030" s="4" t="s">
        <v>241</v>
      </c>
      <c r="AD3030" s="5" t="s">
        <v>241</v>
      </c>
      <c r="AG3030" s="5" t="s">
        <v>246</v>
      </c>
      <c r="AH3030" s="4" t="s">
        <v>241</v>
      </c>
      <c r="AI3030" s="4" t="s">
        <v>247</v>
      </c>
      <c r="AJ3030" s="4" t="s">
        <v>248</v>
      </c>
      <c r="AZ3030" s="4" t="s">
        <v>249</v>
      </c>
      <c r="BA3030" s="4" t="s">
        <v>241</v>
      </c>
      <c r="BB3030" s="4" t="s">
        <v>250</v>
      </c>
      <c r="BC3030" s="4" t="s">
        <v>241</v>
      </c>
      <c r="BD3030" s="4" t="s">
        <v>252</v>
      </c>
      <c r="BE3030" s="4" t="s">
        <v>241</v>
      </c>
      <c r="BI3030" s="4" t="s">
        <v>253</v>
      </c>
      <c r="BJ3030" s="5" t="s">
        <v>246</v>
      </c>
      <c r="BK3030" s="4" t="s">
        <v>254</v>
      </c>
      <c r="BL3030" s="4" t="s">
        <v>255</v>
      </c>
      <c r="BM3030" s="4" t="s">
        <v>241</v>
      </c>
      <c r="BN3030" s="6">
        <f>0</f>
        <v>0</v>
      </c>
      <c r="BO3030" s="6">
        <f>0</f>
        <v>0</v>
      </c>
      <c r="BP3030" s="4" t="s">
        <v>256</v>
      </c>
      <c r="BQ3030" s="4" t="s">
        <v>257</v>
      </c>
      <c r="CE3030" s="4" t="s">
        <v>241</v>
      </c>
      <c r="CF3030" s="4" t="s">
        <v>241</v>
      </c>
      <c r="CJ3030" s="4" t="s">
        <v>276</v>
      </c>
      <c r="CK3030" s="4" t="s">
        <v>259</v>
      </c>
      <c r="CL3030" s="4" t="s">
        <v>241</v>
      </c>
      <c r="CO3030" s="5" t="s">
        <v>260</v>
      </c>
      <c r="CP3030" s="4" t="s">
        <v>241</v>
      </c>
      <c r="CQ3030" s="4" t="s">
        <v>261</v>
      </c>
      <c r="CR3030" s="4" t="s">
        <v>241</v>
      </c>
      <c r="CS3030" s="4" t="s">
        <v>241</v>
      </c>
      <c r="CT3030" s="4">
        <v>0</v>
      </c>
      <c r="CU3030" s="4" t="s">
        <v>262</v>
      </c>
      <c r="CV3030" s="4" t="s">
        <v>263</v>
      </c>
      <c r="CW3030" s="4" t="s">
        <v>263</v>
      </c>
      <c r="CX3030" s="4" t="s">
        <v>264</v>
      </c>
      <c r="DA3030" s="6">
        <f>1</f>
        <v>1</v>
      </c>
      <c r="DC3030" s="4" t="s">
        <v>325</v>
      </c>
      <c r="DD3030" s="4" t="s">
        <v>241</v>
      </c>
      <c r="DF3030" s="4" t="s">
        <v>325</v>
      </c>
      <c r="DG3030" s="6">
        <f>339</f>
        <v>339</v>
      </c>
      <c r="DI3030" s="4" t="s">
        <v>241</v>
      </c>
      <c r="DJ3030" s="4" t="s">
        <v>241</v>
      </c>
      <c r="DK3030" s="4" t="s">
        <v>241</v>
      </c>
      <c r="DL3030" s="4" t="s">
        <v>241</v>
      </c>
      <c r="DP3030" s="4" t="s">
        <v>241</v>
      </c>
      <c r="DQ3030" s="4" t="s">
        <v>241</v>
      </c>
      <c r="DR3030" s="4" t="s">
        <v>241</v>
      </c>
      <c r="DS3030" s="4" t="s">
        <v>241</v>
      </c>
      <c r="DV3030" s="4" t="s">
        <v>426</v>
      </c>
      <c r="DW3030" s="4" t="s">
        <v>623</v>
      </c>
      <c r="HO3030" s="4" t="s">
        <v>267</v>
      </c>
    </row>
    <row r="3031" spans="1:223" ht="19.5" customHeight="1" x14ac:dyDescent="0.4">
      <c r="A3031" s="4">
        <v>1</v>
      </c>
      <c r="B3031" s="4" t="s">
        <v>239</v>
      </c>
      <c r="C3031" s="4">
        <v>4734</v>
      </c>
      <c r="D3031" s="4">
        <v>1</v>
      </c>
      <c r="E3031" s="4">
        <v>1</v>
      </c>
      <c r="F3031" s="4" t="s">
        <v>268</v>
      </c>
      <c r="G3031" s="4" t="s">
        <v>241</v>
      </c>
      <c r="H3031" s="4" t="s">
        <v>241</v>
      </c>
      <c r="I3031" s="4" t="s">
        <v>424</v>
      </c>
      <c r="J3031" s="4" t="s">
        <v>274</v>
      </c>
      <c r="K3031" s="4" t="s">
        <v>251</v>
      </c>
      <c r="L3031" s="4" t="s">
        <v>423</v>
      </c>
      <c r="M3031" s="5" t="s">
        <v>598</v>
      </c>
      <c r="N3031" s="6">
        <f>1637</f>
        <v>1637</v>
      </c>
      <c r="O3031" s="4" t="s">
        <v>265</v>
      </c>
      <c r="P3031" s="6">
        <f>1</f>
        <v>1</v>
      </c>
      <c r="Q3031" s="6">
        <f>0</f>
        <v>0</v>
      </c>
      <c r="S3031" s="6">
        <f>0</f>
        <v>0</v>
      </c>
      <c r="T3031" s="6">
        <f>1</f>
        <v>1</v>
      </c>
      <c r="U3031" s="5" t="s">
        <v>245</v>
      </c>
      <c r="V3031" s="4" t="s">
        <v>270</v>
      </c>
      <c r="W3031" s="4" t="s">
        <v>271</v>
      </c>
      <c r="X3031" s="4" t="s">
        <v>273</v>
      </c>
      <c r="Y3031" s="4" t="s">
        <v>241</v>
      </c>
      <c r="AB3031" s="4" t="s">
        <v>241</v>
      </c>
      <c r="AD3031" s="5" t="s">
        <v>241</v>
      </c>
      <c r="AG3031" s="5" t="s">
        <v>246</v>
      </c>
      <c r="AH3031" s="4" t="s">
        <v>241</v>
      </c>
      <c r="AI3031" s="4" t="s">
        <v>247</v>
      </c>
      <c r="AJ3031" s="4" t="s">
        <v>248</v>
      </c>
      <c r="AZ3031" s="4" t="s">
        <v>249</v>
      </c>
      <c r="BA3031" s="4" t="s">
        <v>241</v>
      </c>
      <c r="BB3031" s="4" t="s">
        <v>250</v>
      </c>
      <c r="BC3031" s="4" t="s">
        <v>241</v>
      </c>
      <c r="BD3031" s="4" t="s">
        <v>252</v>
      </c>
      <c r="BE3031" s="4" t="s">
        <v>241</v>
      </c>
      <c r="BI3031" s="4" t="s">
        <v>253</v>
      </c>
      <c r="BJ3031" s="5" t="s">
        <v>246</v>
      </c>
      <c r="BK3031" s="4" t="s">
        <v>254</v>
      </c>
      <c r="BL3031" s="4" t="s">
        <v>255</v>
      </c>
      <c r="BM3031" s="4" t="s">
        <v>241</v>
      </c>
      <c r="BN3031" s="6">
        <f>0</f>
        <v>0</v>
      </c>
      <c r="BO3031" s="6">
        <f>0</f>
        <v>0</v>
      </c>
      <c r="BP3031" s="4" t="s">
        <v>256</v>
      </c>
      <c r="BQ3031" s="4" t="s">
        <v>257</v>
      </c>
      <c r="CE3031" s="4" t="s">
        <v>241</v>
      </c>
      <c r="CF3031" s="4" t="s">
        <v>241</v>
      </c>
      <c r="CJ3031" s="4" t="s">
        <v>276</v>
      </c>
      <c r="CK3031" s="4" t="s">
        <v>259</v>
      </c>
      <c r="CL3031" s="4" t="s">
        <v>241</v>
      </c>
      <c r="CO3031" s="5" t="s">
        <v>260</v>
      </c>
      <c r="CP3031" s="4" t="s">
        <v>241</v>
      </c>
      <c r="CQ3031" s="4" t="s">
        <v>261</v>
      </c>
      <c r="CR3031" s="4" t="s">
        <v>241</v>
      </c>
      <c r="CS3031" s="4" t="s">
        <v>241</v>
      </c>
      <c r="CT3031" s="4">
        <v>0</v>
      </c>
      <c r="CU3031" s="4" t="s">
        <v>262</v>
      </c>
      <c r="CV3031" s="4" t="s">
        <v>263</v>
      </c>
      <c r="CW3031" s="4" t="s">
        <v>263</v>
      </c>
      <c r="CX3031" s="4" t="s">
        <v>264</v>
      </c>
      <c r="DA3031" s="6">
        <f>1</f>
        <v>1</v>
      </c>
      <c r="DC3031" s="4" t="s">
        <v>325</v>
      </c>
      <c r="DD3031" s="4" t="s">
        <v>241</v>
      </c>
      <c r="DF3031" s="4" t="s">
        <v>325</v>
      </c>
      <c r="DG3031" s="6">
        <f>1637</f>
        <v>1637</v>
      </c>
      <c r="DI3031" s="4" t="s">
        <v>241</v>
      </c>
      <c r="DJ3031" s="4" t="s">
        <v>241</v>
      </c>
      <c r="DK3031" s="4" t="s">
        <v>241</v>
      </c>
      <c r="DL3031" s="4" t="s">
        <v>241</v>
      </c>
      <c r="DP3031" s="4" t="s">
        <v>241</v>
      </c>
      <c r="DQ3031" s="4" t="s">
        <v>241</v>
      </c>
      <c r="DR3031" s="4" t="s">
        <v>241</v>
      </c>
      <c r="DS3031" s="4" t="s">
        <v>241</v>
      </c>
      <c r="DV3031" s="4" t="s">
        <v>426</v>
      </c>
      <c r="DW3031" s="4" t="s">
        <v>599</v>
      </c>
      <c r="HO3031" s="4" t="s">
        <v>267</v>
      </c>
    </row>
    <row r="3032" spans="1:223" ht="19.5" customHeight="1" x14ac:dyDescent="0.4">
      <c r="A3032" s="4">
        <v>1</v>
      </c>
      <c r="B3032" s="4" t="s">
        <v>239</v>
      </c>
      <c r="C3032" s="4">
        <v>4735</v>
      </c>
      <c r="D3032" s="4">
        <v>1</v>
      </c>
      <c r="E3032" s="4">
        <v>1</v>
      </c>
      <c r="F3032" s="4" t="s">
        <v>268</v>
      </c>
      <c r="G3032" s="4" t="s">
        <v>241</v>
      </c>
      <c r="H3032" s="4" t="s">
        <v>241</v>
      </c>
      <c r="I3032" s="4" t="s">
        <v>424</v>
      </c>
      <c r="J3032" s="4" t="s">
        <v>274</v>
      </c>
      <c r="K3032" s="4" t="s">
        <v>251</v>
      </c>
      <c r="L3032" s="4" t="s">
        <v>423</v>
      </c>
      <c r="M3032" s="5" t="s">
        <v>584</v>
      </c>
      <c r="N3032" s="6">
        <f>208</f>
        <v>208</v>
      </c>
      <c r="O3032" s="4" t="s">
        <v>265</v>
      </c>
      <c r="P3032" s="6">
        <f>1</f>
        <v>1</v>
      </c>
      <c r="Q3032" s="6">
        <f>0</f>
        <v>0</v>
      </c>
      <c r="S3032" s="6">
        <f>0</f>
        <v>0</v>
      </c>
      <c r="T3032" s="6">
        <f>1</f>
        <v>1</v>
      </c>
      <c r="U3032" s="5" t="s">
        <v>245</v>
      </c>
      <c r="V3032" s="4" t="s">
        <v>270</v>
      </c>
      <c r="W3032" s="4" t="s">
        <v>271</v>
      </c>
      <c r="X3032" s="4" t="s">
        <v>273</v>
      </c>
      <c r="Y3032" s="4" t="s">
        <v>241</v>
      </c>
      <c r="AB3032" s="4" t="s">
        <v>241</v>
      </c>
      <c r="AD3032" s="5" t="s">
        <v>241</v>
      </c>
      <c r="AG3032" s="5" t="s">
        <v>246</v>
      </c>
      <c r="AH3032" s="4" t="s">
        <v>241</v>
      </c>
      <c r="AI3032" s="4" t="s">
        <v>247</v>
      </c>
      <c r="AJ3032" s="4" t="s">
        <v>248</v>
      </c>
      <c r="AZ3032" s="4" t="s">
        <v>249</v>
      </c>
      <c r="BA3032" s="4" t="s">
        <v>241</v>
      </c>
      <c r="BB3032" s="4" t="s">
        <v>250</v>
      </c>
      <c r="BC3032" s="4" t="s">
        <v>241</v>
      </c>
      <c r="BD3032" s="4" t="s">
        <v>252</v>
      </c>
      <c r="BE3032" s="4" t="s">
        <v>241</v>
      </c>
      <c r="BI3032" s="4" t="s">
        <v>253</v>
      </c>
      <c r="BJ3032" s="5" t="s">
        <v>246</v>
      </c>
      <c r="BK3032" s="4" t="s">
        <v>254</v>
      </c>
      <c r="BL3032" s="4" t="s">
        <v>255</v>
      </c>
      <c r="BM3032" s="4" t="s">
        <v>241</v>
      </c>
      <c r="BN3032" s="6">
        <f>0</f>
        <v>0</v>
      </c>
      <c r="BO3032" s="6">
        <f>0</f>
        <v>0</v>
      </c>
      <c r="BP3032" s="4" t="s">
        <v>256</v>
      </c>
      <c r="BQ3032" s="4" t="s">
        <v>257</v>
      </c>
      <c r="CE3032" s="4" t="s">
        <v>241</v>
      </c>
      <c r="CF3032" s="4" t="s">
        <v>241</v>
      </c>
      <c r="CJ3032" s="4" t="s">
        <v>276</v>
      </c>
      <c r="CK3032" s="4" t="s">
        <v>259</v>
      </c>
      <c r="CL3032" s="4" t="s">
        <v>241</v>
      </c>
      <c r="CO3032" s="5" t="s">
        <v>260</v>
      </c>
      <c r="CP3032" s="4" t="s">
        <v>241</v>
      </c>
      <c r="CQ3032" s="4" t="s">
        <v>261</v>
      </c>
      <c r="CR3032" s="4" t="s">
        <v>241</v>
      </c>
      <c r="CS3032" s="4" t="s">
        <v>241</v>
      </c>
      <c r="CT3032" s="4">
        <v>0</v>
      </c>
      <c r="CU3032" s="4" t="s">
        <v>262</v>
      </c>
      <c r="CV3032" s="4" t="s">
        <v>263</v>
      </c>
      <c r="CW3032" s="4" t="s">
        <v>263</v>
      </c>
      <c r="CX3032" s="4" t="s">
        <v>264</v>
      </c>
      <c r="DA3032" s="6">
        <f>1</f>
        <v>1</v>
      </c>
      <c r="DC3032" s="4" t="s">
        <v>325</v>
      </c>
      <c r="DD3032" s="4" t="s">
        <v>241</v>
      </c>
      <c r="DF3032" s="4" t="s">
        <v>325</v>
      </c>
      <c r="DG3032" s="6">
        <f>208</f>
        <v>208</v>
      </c>
      <c r="DI3032" s="4" t="s">
        <v>241</v>
      </c>
      <c r="DJ3032" s="4" t="s">
        <v>241</v>
      </c>
      <c r="DK3032" s="4" t="s">
        <v>241</v>
      </c>
      <c r="DL3032" s="4" t="s">
        <v>241</v>
      </c>
      <c r="DP3032" s="4" t="s">
        <v>241</v>
      </c>
      <c r="DQ3032" s="4" t="s">
        <v>241</v>
      </c>
      <c r="DR3032" s="4" t="s">
        <v>241</v>
      </c>
      <c r="DS3032" s="4" t="s">
        <v>241</v>
      </c>
      <c r="DV3032" s="4" t="s">
        <v>426</v>
      </c>
      <c r="DW3032" s="4" t="s">
        <v>585</v>
      </c>
      <c r="HO3032" s="4" t="s">
        <v>267</v>
      </c>
    </row>
    <row r="3033" spans="1:223" ht="19.5" customHeight="1" x14ac:dyDescent="0.4">
      <c r="A3033" s="4">
        <v>1</v>
      </c>
      <c r="B3033" s="4" t="s">
        <v>239</v>
      </c>
      <c r="C3033" s="4">
        <v>4736</v>
      </c>
      <c r="D3033" s="4">
        <v>1</v>
      </c>
      <c r="E3033" s="4">
        <v>1</v>
      </c>
      <c r="F3033" s="4" t="s">
        <v>268</v>
      </c>
      <c r="G3033" s="4" t="s">
        <v>241</v>
      </c>
      <c r="H3033" s="4" t="s">
        <v>241</v>
      </c>
      <c r="I3033" s="4" t="s">
        <v>424</v>
      </c>
      <c r="J3033" s="4" t="s">
        <v>274</v>
      </c>
      <c r="K3033" s="4" t="s">
        <v>251</v>
      </c>
      <c r="L3033" s="4" t="s">
        <v>423</v>
      </c>
      <c r="M3033" s="5" t="s">
        <v>572</v>
      </c>
      <c r="N3033" s="6">
        <f>336</f>
        <v>336</v>
      </c>
      <c r="O3033" s="4" t="s">
        <v>265</v>
      </c>
      <c r="P3033" s="6">
        <f>1</f>
        <v>1</v>
      </c>
      <c r="Q3033" s="6">
        <f>0</f>
        <v>0</v>
      </c>
      <c r="S3033" s="6">
        <f>0</f>
        <v>0</v>
      </c>
      <c r="T3033" s="6">
        <f>1</f>
        <v>1</v>
      </c>
      <c r="U3033" s="5" t="s">
        <v>245</v>
      </c>
      <c r="V3033" s="4" t="s">
        <v>270</v>
      </c>
      <c r="W3033" s="4" t="s">
        <v>271</v>
      </c>
      <c r="X3033" s="4" t="s">
        <v>273</v>
      </c>
      <c r="Y3033" s="4" t="s">
        <v>241</v>
      </c>
      <c r="AB3033" s="4" t="s">
        <v>241</v>
      </c>
      <c r="AD3033" s="5" t="s">
        <v>241</v>
      </c>
      <c r="AG3033" s="5" t="s">
        <v>246</v>
      </c>
      <c r="AH3033" s="4" t="s">
        <v>241</v>
      </c>
      <c r="AI3033" s="4" t="s">
        <v>247</v>
      </c>
      <c r="AJ3033" s="4" t="s">
        <v>248</v>
      </c>
      <c r="AZ3033" s="4" t="s">
        <v>249</v>
      </c>
      <c r="BA3033" s="4" t="s">
        <v>241</v>
      </c>
      <c r="BB3033" s="4" t="s">
        <v>250</v>
      </c>
      <c r="BC3033" s="4" t="s">
        <v>241</v>
      </c>
      <c r="BD3033" s="4" t="s">
        <v>252</v>
      </c>
      <c r="BE3033" s="4" t="s">
        <v>241</v>
      </c>
      <c r="BI3033" s="4" t="s">
        <v>253</v>
      </c>
      <c r="BJ3033" s="5" t="s">
        <v>246</v>
      </c>
      <c r="BK3033" s="4" t="s">
        <v>254</v>
      </c>
      <c r="BL3033" s="4" t="s">
        <v>255</v>
      </c>
      <c r="BM3033" s="4" t="s">
        <v>241</v>
      </c>
      <c r="BN3033" s="6">
        <f>0</f>
        <v>0</v>
      </c>
      <c r="BO3033" s="6">
        <f>0</f>
        <v>0</v>
      </c>
      <c r="BP3033" s="4" t="s">
        <v>256</v>
      </c>
      <c r="BQ3033" s="4" t="s">
        <v>257</v>
      </c>
      <c r="CE3033" s="4" t="s">
        <v>241</v>
      </c>
      <c r="CF3033" s="4" t="s">
        <v>241</v>
      </c>
      <c r="CJ3033" s="4" t="s">
        <v>276</v>
      </c>
      <c r="CK3033" s="4" t="s">
        <v>259</v>
      </c>
      <c r="CL3033" s="4" t="s">
        <v>241</v>
      </c>
      <c r="CO3033" s="5" t="s">
        <v>260</v>
      </c>
      <c r="CP3033" s="4" t="s">
        <v>241</v>
      </c>
      <c r="CQ3033" s="4" t="s">
        <v>261</v>
      </c>
      <c r="CR3033" s="4" t="s">
        <v>241</v>
      </c>
      <c r="CS3033" s="4" t="s">
        <v>241</v>
      </c>
      <c r="CT3033" s="4">
        <v>0</v>
      </c>
      <c r="CU3033" s="4" t="s">
        <v>262</v>
      </c>
      <c r="CV3033" s="4" t="s">
        <v>263</v>
      </c>
      <c r="CW3033" s="4" t="s">
        <v>263</v>
      </c>
      <c r="CX3033" s="4" t="s">
        <v>264</v>
      </c>
      <c r="DA3033" s="6">
        <f>1</f>
        <v>1</v>
      </c>
      <c r="DC3033" s="4" t="s">
        <v>325</v>
      </c>
      <c r="DD3033" s="4" t="s">
        <v>241</v>
      </c>
      <c r="DF3033" s="4" t="s">
        <v>325</v>
      </c>
      <c r="DG3033" s="6">
        <f>336</f>
        <v>336</v>
      </c>
      <c r="DI3033" s="4" t="s">
        <v>241</v>
      </c>
      <c r="DJ3033" s="4" t="s">
        <v>241</v>
      </c>
      <c r="DK3033" s="4" t="s">
        <v>241</v>
      </c>
      <c r="DL3033" s="4" t="s">
        <v>241</v>
      </c>
      <c r="DP3033" s="4" t="s">
        <v>241</v>
      </c>
      <c r="DQ3033" s="4" t="s">
        <v>241</v>
      </c>
      <c r="DR3033" s="4" t="s">
        <v>241</v>
      </c>
      <c r="DS3033" s="4" t="s">
        <v>241</v>
      </c>
      <c r="DV3033" s="4" t="s">
        <v>426</v>
      </c>
      <c r="DW3033" s="4" t="s">
        <v>573</v>
      </c>
      <c r="HO3033" s="4" t="s">
        <v>267</v>
      </c>
    </row>
    <row r="3034" spans="1:223" ht="19.5" customHeight="1" x14ac:dyDescent="0.4">
      <c r="A3034" s="4">
        <v>1</v>
      </c>
      <c r="B3034" s="4" t="s">
        <v>239</v>
      </c>
      <c r="C3034" s="4">
        <v>4737</v>
      </c>
      <c r="D3034" s="4">
        <v>1</v>
      </c>
      <c r="E3034" s="4">
        <v>1</v>
      </c>
      <c r="F3034" s="4" t="s">
        <v>268</v>
      </c>
      <c r="G3034" s="4" t="s">
        <v>241</v>
      </c>
      <c r="H3034" s="4" t="s">
        <v>241</v>
      </c>
      <c r="I3034" s="4" t="s">
        <v>424</v>
      </c>
      <c r="J3034" s="4" t="s">
        <v>274</v>
      </c>
      <c r="K3034" s="4" t="s">
        <v>251</v>
      </c>
      <c r="L3034" s="4" t="s">
        <v>423</v>
      </c>
      <c r="M3034" s="5" t="s">
        <v>560</v>
      </c>
      <c r="N3034" s="6">
        <f>406</f>
        <v>406</v>
      </c>
      <c r="O3034" s="4" t="s">
        <v>265</v>
      </c>
      <c r="P3034" s="6">
        <f>1</f>
        <v>1</v>
      </c>
      <c r="Q3034" s="6">
        <f>0</f>
        <v>0</v>
      </c>
      <c r="S3034" s="6">
        <f>0</f>
        <v>0</v>
      </c>
      <c r="T3034" s="6">
        <f>1</f>
        <v>1</v>
      </c>
      <c r="U3034" s="5" t="s">
        <v>245</v>
      </c>
      <c r="V3034" s="4" t="s">
        <v>270</v>
      </c>
      <c r="W3034" s="4" t="s">
        <v>271</v>
      </c>
      <c r="X3034" s="4" t="s">
        <v>273</v>
      </c>
      <c r="Y3034" s="4" t="s">
        <v>241</v>
      </c>
      <c r="AB3034" s="4" t="s">
        <v>241</v>
      </c>
      <c r="AD3034" s="5" t="s">
        <v>241</v>
      </c>
      <c r="AG3034" s="5" t="s">
        <v>246</v>
      </c>
      <c r="AH3034" s="4" t="s">
        <v>241</v>
      </c>
      <c r="AI3034" s="4" t="s">
        <v>247</v>
      </c>
      <c r="AJ3034" s="4" t="s">
        <v>248</v>
      </c>
      <c r="AZ3034" s="4" t="s">
        <v>249</v>
      </c>
      <c r="BA3034" s="4" t="s">
        <v>241</v>
      </c>
      <c r="BB3034" s="4" t="s">
        <v>250</v>
      </c>
      <c r="BC3034" s="4" t="s">
        <v>241</v>
      </c>
      <c r="BD3034" s="4" t="s">
        <v>252</v>
      </c>
      <c r="BE3034" s="4" t="s">
        <v>241</v>
      </c>
      <c r="BI3034" s="4" t="s">
        <v>253</v>
      </c>
      <c r="BJ3034" s="5" t="s">
        <v>246</v>
      </c>
      <c r="BK3034" s="4" t="s">
        <v>254</v>
      </c>
      <c r="BL3034" s="4" t="s">
        <v>255</v>
      </c>
      <c r="BM3034" s="4" t="s">
        <v>241</v>
      </c>
      <c r="BN3034" s="6">
        <f>0</f>
        <v>0</v>
      </c>
      <c r="BO3034" s="6">
        <f>0</f>
        <v>0</v>
      </c>
      <c r="BP3034" s="4" t="s">
        <v>256</v>
      </c>
      <c r="BQ3034" s="4" t="s">
        <v>257</v>
      </c>
      <c r="CE3034" s="4" t="s">
        <v>241</v>
      </c>
      <c r="CF3034" s="4" t="s">
        <v>241</v>
      </c>
      <c r="CJ3034" s="4" t="s">
        <v>276</v>
      </c>
      <c r="CK3034" s="4" t="s">
        <v>259</v>
      </c>
      <c r="CL3034" s="4" t="s">
        <v>241</v>
      </c>
      <c r="CO3034" s="5" t="s">
        <v>260</v>
      </c>
      <c r="CP3034" s="4" t="s">
        <v>241</v>
      </c>
      <c r="CQ3034" s="4" t="s">
        <v>261</v>
      </c>
      <c r="CR3034" s="4" t="s">
        <v>241</v>
      </c>
      <c r="CS3034" s="4" t="s">
        <v>241</v>
      </c>
      <c r="CT3034" s="4">
        <v>0</v>
      </c>
      <c r="CU3034" s="4" t="s">
        <v>262</v>
      </c>
      <c r="CV3034" s="4" t="s">
        <v>263</v>
      </c>
      <c r="CW3034" s="4" t="s">
        <v>263</v>
      </c>
      <c r="CX3034" s="4" t="s">
        <v>264</v>
      </c>
      <c r="DA3034" s="6">
        <f>1</f>
        <v>1</v>
      </c>
      <c r="DC3034" s="4" t="s">
        <v>325</v>
      </c>
      <c r="DD3034" s="4" t="s">
        <v>241</v>
      </c>
      <c r="DF3034" s="4" t="s">
        <v>325</v>
      </c>
      <c r="DG3034" s="6">
        <f>406</f>
        <v>406</v>
      </c>
      <c r="DI3034" s="4" t="s">
        <v>241</v>
      </c>
      <c r="DJ3034" s="4" t="s">
        <v>241</v>
      </c>
      <c r="DK3034" s="4" t="s">
        <v>241</v>
      </c>
      <c r="DL3034" s="4" t="s">
        <v>241</v>
      </c>
      <c r="DP3034" s="4" t="s">
        <v>241</v>
      </c>
      <c r="DQ3034" s="4" t="s">
        <v>241</v>
      </c>
      <c r="DR3034" s="4" t="s">
        <v>241</v>
      </c>
      <c r="DS3034" s="4" t="s">
        <v>241</v>
      </c>
      <c r="DV3034" s="4" t="s">
        <v>426</v>
      </c>
      <c r="DW3034" s="4" t="s">
        <v>561</v>
      </c>
      <c r="HO3034" s="4" t="s">
        <v>267</v>
      </c>
    </row>
    <row r="3035" spans="1:223" ht="19.5" customHeight="1" x14ac:dyDescent="0.4">
      <c r="A3035" s="4">
        <v>1</v>
      </c>
      <c r="B3035" s="4" t="s">
        <v>239</v>
      </c>
      <c r="C3035" s="4">
        <v>4738</v>
      </c>
      <c r="D3035" s="4">
        <v>1</v>
      </c>
      <c r="E3035" s="4">
        <v>1</v>
      </c>
      <c r="F3035" s="4" t="s">
        <v>268</v>
      </c>
      <c r="G3035" s="4" t="s">
        <v>241</v>
      </c>
      <c r="H3035" s="4" t="s">
        <v>241</v>
      </c>
      <c r="I3035" s="4" t="s">
        <v>424</v>
      </c>
      <c r="J3035" s="4" t="s">
        <v>274</v>
      </c>
      <c r="K3035" s="4" t="s">
        <v>251</v>
      </c>
      <c r="L3035" s="4" t="s">
        <v>423</v>
      </c>
      <c r="M3035" s="5" t="s">
        <v>540</v>
      </c>
      <c r="N3035" s="6">
        <f>1938</f>
        <v>1938</v>
      </c>
      <c r="O3035" s="4" t="s">
        <v>265</v>
      </c>
      <c r="P3035" s="6">
        <f>1</f>
        <v>1</v>
      </c>
      <c r="Q3035" s="6">
        <f>0</f>
        <v>0</v>
      </c>
      <c r="S3035" s="6">
        <f>0</f>
        <v>0</v>
      </c>
      <c r="T3035" s="6">
        <f>1</f>
        <v>1</v>
      </c>
      <c r="U3035" s="5" t="s">
        <v>245</v>
      </c>
      <c r="V3035" s="4" t="s">
        <v>270</v>
      </c>
      <c r="W3035" s="4" t="s">
        <v>271</v>
      </c>
      <c r="X3035" s="4" t="s">
        <v>273</v>
      </c>
      <c r="Y3035" s="4" t="s">
        <v>241</v>
      </c>
      <c r="AB3035" s="4" t="s">
        <v>241</v>
      </c>
      <c r="AD3035" s="5" t="s">
        <v>241</v>
      </c>
      <c r="AG3035" s="5" t="s">
        <v>246</v>
      </c>
      <c r="AH3035" s="4" t="s">
        <v>241</v>
      </c>
      <c r="AI3035" s="4" t="s">
        <v>247</v>
      </c>
      <c r="AJ3035" s="4" t="s">
        <v>248</v>
      </c>
      <c r="AZ3035" s="4" t="s">
        <v>249</v>
      </c>
      <c r="BA3035" s="4" t="s">
        <v>241</v>
      </c>
      <c r="BB3035" s="4" t="s">
        <v>250</v>
      </c>
      <c r="BC3035" s="4" t="s">
        <v>241</v>
      </c>
      <c r="BD3035" s="4" t="s">
        <v>252</v>
      </c>
      <c r="BE3035" s="4" t="s">
        <v>241</v>
      </c>
      <c r="BI3035" s="4" t="s">
        <v>253</v>
      </c>
      <c r="BJ3035" s="5" t="s">
        <v>246</v>
      </c>
      <c r="BK3035" s="4" t="s">
        <v>254</v>
      </c>
      <c r="BL3035" s="4" t="s">
        <v>255</v>
      </c>
      <c r="BM3035" s="4" t="s">
        <v>241</v>
      </c>
      <c r="BN3035" s="6">
        <f>0</f>
        <v>0</v>
      </c>
      <c r="BO3035" s="6">
        <f>0</f>
        <v>0</v>
      </c>
      <c r="BP3035" s="4" t="s">
        <v>256</v>
      </c>
      <c r="BQ3035" s="4" t="s">
        <v>257</v>
      </c>
      <c r="CE3035" s="4" t="s">
        <v>241</v>
      </c>
      <c r="CF3035" s="4" t="s">
        <v>241</v>
      </c>
      <c r="CJ3035" s="4" t="s">
        <v>276</v>
      </c>
      <c r="CK3035" s="4" t="s">
        <v>259</v>
      </c>
      <c r="CL3035" s="4" t="s">
        <v>241</v>
      </c>
      <c r="CO3035" s="5" t="s">
        <v>260</v>
      </c>
      <c r="CP3035" s="4" t="s">
        <v>241</v>
      </c>
      <c r="CQ3035" s="4" t="s">
        <v>261</v>
      </c>
      <c r="CR3035" s="4" t="s">
        <v>241</v>
      </c>
      <c r="CS3035" s="4" t="s">
        <v>241</v>
      </c>
      <c r="CT3035" s="4">
        <v>0</v>
      </c>
      <c r="CU3035" s="4" t="s">
        <v>262</v>
      </c>
      <c r="CV3035" s="4" t="s">
        <v>263</v>
      </c>
      <c r="CW3035" s="4" t="s">
        <v>263</v>
      </c>
      <c r="CX3035" s="4" t="s">
        <v>264</v>
      </c>
      <c r="DA3035" s="6">
        <f>1</f>
        <v>1</v>
      </c>
      <c r="DC3035" s="4" t="s">
        <v>325</v>
      </c>
      <c r="DD3035" s="4" t="s">
        <v>241</v>
      </c>
      <c r="DF3035" s="4" t="s">
        <v>325</v>
      </c>
      <c r="DG3035" s="6">
        <f>1938</f>
        <v>1938</v>
      </c>
      <c r="DI3035" s="4" t="s">
        <v>241</v>
      </c>
      <c r="DJ3035" s="4" t="s">
        <v>241</v>
      </c>
      <c r="DK3035" s="4" t="s">
        <v>241</v>
      </c>
      <c r="DL3035" s="4" t="s">
        <v>241</v>
      </c>
      <c r="DP3035" s="4" t="s">
        <v>241</v>
      </c>
      <c r="DQ3035" s="4" t="s">
        <v>241</v>
      </c>
      <c r="DR3035" s="4" t="s">
        <v>241</v>
      </c>
      <c r="DS3035" s="4" t="s">
        <v>241</v>
      </c>
      <c r="DV3035" s="4" t="s">
        <v>426</v>
      </c>
      <c r="DW3035" s="4" t="s">
        <v>541</v>
      </c>
      <c r="HO3035" s="4" t="s">
        <v>267</v>
      </c>
    </row>
    <row r="3036" spans="1:223" ht="19.5" customHeight="1" x14ac:dyDescent="0.4">
      <c r="A3036" s="4">
        <v>1</v>
      </c>
      <c r="B3036" s="4" t="s">
        <v>239</v>
      </c>
      <c r="C3036" s="4">
        <v>4739</v>
      </c>
      <c r="D3036" s="4">
        <v>1</v>
      </c>
      <c r="E3036" s="4">
        <v>1</v>
      </c>
      <c r="F3036" s="4" t="s">
        <v>268</v>
      </c>
      <c r="G3036" s="4" t="s">
        <v>241</v>
      </c>
      <c r="H3036" s="4" t="s">
        <v>241</v>
      </c>
      <c r="I3036" s="4" t="s">
        <v>424</v>
      </c>
      <c r="J3036" s="4" t="s">
        <v>274</v>
      </c>
      <c r="K3036" s="4" t="s">
        <v>251</v>
      </c>
      <c r="L3036" s="4" t="s">
        <v>423</v>
      </c>
      <c r="M3036" s="5" t="s">
        <v>524</v>
      </c>
      <c r="N3036" s="6">
        <f>3040</f>
        <v>3040</v>
      </c>
      <c r="O3036" s="4" t="s">
        <v>265</v>
      </c>
      <c r="P3036" s="6">
        <f>1</f>
        <v>1</v>
      </c>
      <c r="Q3036" s="6">
        <f>0</f>
        <v>0</v>
      </c>
      <c r="S3036" s="6">
        <f>0</f>
        <v>0</v>
      </c>
      <c r="T3036" s="6">
        <f>1</f>
        <v>1</v>
      </c>
      <c r="U3036" s="5" t="s">
        <v>245</v>
      </c>
      <c r="V3036" s="4" t="s">
        <v>270</v>
      </c>
      <c r="W3036" s="4" t="s">
        <v>271</v>
      </c>
      <c r="X3036" s="4" t="s">
        <v>273</v>
      </c>
      <c r="Y3036" s="4" t="s">
        <v>241</v>
      </c>
      <c r="AB3036" s="4" t="s">
        <v>241</v>
      </c>
      <c r="AD3036" s="5" t="s">
        <v>241</v>
      </c>
      <c r="AG3036" s="5" t="s">
        <v>246</v>
      </c>
      <c r="AH3036" s="4" t="s">
        <v>241</v>
      </c>
      <c r="AI3036" s="4" t="s">
        <v>247</v>
      </c>
      <c r="AJ3036" s="4" t="s">
        <v>248</v>
      </c>
      <c r="AZ3036" s="4" t="s">
        <v>249</v>
      </c>
      <c r="BA3036" s="4" t="s">
        <v>241</v>
      </c>
      <c r="BB3036" s="4" t="s">
        <v>250</v>
      </c>
      <c r="BC3036" s="4" t="s">
        <v>241</v>
      </c>
      <c r="BD3036" s="4" t="s">
        <v>252</v>
      </c>
      <c r="BE3036" s="4" t="s">
        <v>241</v>
      </c>
      <c r="BI3036" s="4" t="s">
        <v>253</v>
      </c>
      <c r="BJ3036" s="5" t="s">
        <v>246</v>
      </c>
      <c r="BK3036" s="4" t="s">
        <v>254</v>
      </c>
      <c r="BL3036" s="4" t="s">
        <v>255</v>
      </c>
      <c r="BM3036" s="4" t="s">
        <v>241</v>
      </c>
      <c r="BN3036" s="6">
        <f>0</f>
        <v>0</v>
      </c>
      <c r="BO3036" s="6">
        <f>0</f>
        <v>0</v>
      </c>
      <c r="BP3036" s="4" t="s">
        <v>256</v>
      </c>
      <c r="BQ3036" s="4" t="s">
        <v>257</v>
      </c>
      <c r="CE3036" s="4" t="s">
        <v>241</v>
      </c>
      <c r="CF3036" s="4" t="s">
        <v>241</v>
      </c>
      <c r="CJ3036" s="4" t="s">
        <v>276</v>
      </c>
      <c r="CK3036" s="4" t="s">
        <v>259</v>
      </c>
      <c r="CL3036" s="4" t="s">
        <v>241</v>
      </c>
      <c r="CO3036" s="5" t="s">
        <v>260</v>
      </c>
      <c r="CP3036" s="4" t="s">
        <v>241</v>
      </c>
      <c r="CQ3036" s="4" t="s">
        <v>261</v>
      </c>
      <c r="CR3036" s="4" t="s">
        <v>241</v>
      </c>
      <c r="CS3036" s="4" t="s">
        <v>241</v>
      </c>
      <c r="CT3036" s="4">
        <v>0</v>
      </c>
      <c r="CU3036" s="4" t="s">
        <v>262</v>
      </c>
      <c r="CV3036" s="4" t="s">
        <v>263</v>
      </c>
      <c r="CW3036" s="4" t="s">
        <v>263</v>
      </c>
      <c r="CX3036" s="4" t="s">
        <v>264</v>
      </c>
      <c r="DA3036" s="6">
        <f>1</f>
        <v>1</v>
      </c>
      <c r="DC3036" s="4" t="s">
        <v>325</v>
      </c>
      <c r="DD3036" s="4" t="s">
        <v>241</v>
      </c>
      <c r="DF3036" s="4" t="s">
        <v>325</v>
      </c>
      <c r="DG3036" s="6">
        <f>3040</f>
        <v>3040</v>
      </c>
      <c r="DI3036" s="4" t="s">
        <v>241</v>
      </c>
      <c r="DJ3036" s="4" t="s">
        <v>241</v>
      </c>
      <c r="DK3036" s="4" t="s">
        <v>241</v>
      </c>
      <c r="DL3036" s="4" t="s">
        <v>241</v>
      </c>
      <c r="DP3036" s="4" t="s">
        <v>241</v>
      </c>
      <c r="DQ3036" s="4" t="s">
        <v>241</v>
      </c>
      <c r="DR3036" s="4" t="s">
        <v>241</v>
      </c>
      <c r="DS3036" s="4" t="s">
        <v>241</v>
      </c>
      <c r="DV3036" s="4" t="s">
        <v>426</v>
      </c>
      <c r="DW3036" s="4" t="s">
        <v>525</v>
      </c>
      <c r="HO3036" s="4" t="s">
        <v>267</v>
      </c>
    </row>
    <row r="3037" spans="1:223" ht="19.5" customHeight="1" x14ac:dyDescent="0.4">
      <c r="A3037" s="4">
        <v>1</v>
      </c>
      <c r="B3037" s="4" t="s">
        <v>239</v>
      </c>
      <c r="C3037" s="4">
        <v>4740</v>
      </c>
      <c r="D3037" s="4">
        <v>1</v>
      </c>
      <c r="E3037" s="4">
        <v>1</v>
      </c>
      <c r="F3037" s="4" t="s">
        <v>268</v>
      </c>
      <c r="G3037" s="4" t="s">
        <v>241</v>
      </c>
      <c r="H3037" s="4" t="s">
        <v>241</v>
      </c>
      <c r="I3037" s="4" t="s">
        <v>424</v>
      </c>
      <c r="J3037" s="4" t="s">
        <v>274</v>
      </c>
      <c r="K3037" s="4" t="s">
        <v>251</v>
      </c>
      <c r="L3037" s="4" t="s">
        <v>423</v>
      </c>
      <c r="M3037" s="5" t="s">
        <v>508</v>
      </c>
      <c r="N3037" s="6">
        <f>1993</f>
        <v>1993</v>
      </c>
      <c r="O3037" s="4" t="s">
        <v>265</v>
      </c>
      <c r="P3037" s="6">
        <f>1</f>
        <v>1</v>
      </c>
      <c r="Q3037" s="6">
        <f>0</f>
        <v>0</v>
      </c>
      <c r="S3037" s="6">
        <f>0</f>
        <v>0</v>
      </c>
      <c r="T3037" s="6">
        <f>1</f>
        <v>1</v>
      </c>
      <c r="U3037" s="5" t="s">
        <v>245</v>
      </c>
      <c r="V3037" s="4" t="s">
        <v>270</v>
      </c>
      <c r="W3037" s="4" t="s">
        <v>271</v>
      </c>
      <c r="X3037" s="4" t="s">
        <v>273</v>
      </c>
      <c r="Y3037" s="4" t="s">
        <v>241</v>
      </c>
      <c r="AB3037" s="4" t="s">
        <v>241</v>
      </c>
      <c r="AD3037" s="5" t="s">
        <v>241</v>
      </c>
      <c r="AG3037" s="5" t="s">
        <v>246</v>
      </c>
      <c r="AH3037" s="4" t="s">
        <v>241</v>
      </c>
      <c r="AI3037" s="4" t="s">
        <v>247</v>
      </c>
      <c r="AJ3037" s="4" t="s">
        <v>248</v>
      </c>
      <c r="AZ3037" s="4" t="s">
        <v>249</v>
      </c>
      <c r="BA3037" s="4" t="s">
        <v>241</v>
      </c>
      <c r="BB3037" s="4" t="s">
        <v>250</v>
      </c>
      <c r="BC3037" s="4" t="s">
        <v>241</v>
      </c>
      <c r="BD3037" s="4" t="s">
        <v>252</v>
      </c>
      <c r="BE3037" s="4" t="s">
        <v>241</v>
      </c>
      <c r="BI3037" s="4" t="s">
        <v>253</v>
      </c>
      <c r="BJ3037" s="5" t="s">
        <v>246</v>
      </c>
      <c r="BK3037" s="4" t="s">
        <v>254</v>
      </c>
      <c r="BL3037" s="4" t="s">
        <v>255</v>
      </c>
      <c r="BM3037" s="4" t="s">
        <v>241</v>
      </c>
      <c r="BN3037" s="6">
        <f>0</f>
        <v>0</v>
      </c>
      <c r="BO3037" s="6">
        <f>0</f>
        <v>0</v>
      </c>
      <c r="BP3037" s="4" t="s">
        <v>256</v>
      </c>
      <c r="BQ3037" s="4" t="s">
        <v>257</v>
      </c>
      <c r="CE3037" s="4" t="s">
        <v>241</v>
      </c>
      <c r="CF3037" s="4" t="s">
        <v>241</v>
      </c>
      <c r="CJ3037" s="4" t="s">
        <v>276</v>
      </c>
      <c r="CK3037" s="4" t="s">
        <v>259</v>
      </c>
      <c r="CL3037" s="4" t="s">
        <v>241</v>
      </c>
      <c r="CO3037" s="5" t="s">
        <v>260</v>
      </c>
      <c r="CP3037" s="4" t="s">
        <v>241</v>
      </c>
      <c r="CQ3037" s="4" t="s">
        <v>261</v>
      </c>
      <c r="CR3037" s="4" t="s">
        <v>241</v>
      </c>
      <c r="CS3037" s="4" t="s">
        <v>241</v>
      </c>
      <c r="CT3037" s="4">
        <v>0</v>
      </c>
      <c r="CU3037" s="4" t="s">
        <v>262</v>
      </c>
      <c r="CV3037" s="4" t="s">
        <v>263</v>
      </c>
      <c r="CW3037" s="4" t="s">
        <v>263</v>
      </c>
      <c r="CX3037" s="4" t="s">
        <v>264</v>
      </c>
      <c r="DA3037" s="6">
        <f>1</f>
        <v>1</v>
      </c>
      <c r="DC3037" s="4" t="s">
        <v>325</v>
      </c>
      <c r="DD3037" s="4" t="s">
        <v>241</v>
      </c>
      <c r="DF3037" s="4" t="s">
        <v>325</v>
      </c>
      <c r="DG3037" s="6">
        <f>1993</f>
        <v>1993</v>
      </c>
      <c r="DI3037" s="4" t="s">
        <v>241</v>
      </c>
      <c r="DJ3037" s="4" t="s">
        <v>241</v>
      </c>
      <c r="DK3037" s="4" t="s">
        <v>241</v>
      </c>
      <c r="DL3037" s="4" t="s">
        <v>241</v>
      </c>
      <c r="DP3037" s="4" t="s">
        <v>241</v>
      </c>
      <c r="DQ3037" s="4" t="s">
        <v>241</v>
      </c>
      <c r="DR3037" s="4" t="s">
        <v>241</v>
      </c>
      <c r="DS3037" s="4" t="s">
        <v>241</v>
      </c>
      <c r="DV3037" s="4" t="s">
        <v>426</v>
      </c>
      <c r="DW3037" s="4" t="s">
        <v>509</v>
      </c>
      <c r="HO3037" s="4" t="s">
        <v>267</v>
      </c>
    </row>
    <row r="3038" spans="1:223" ht="19.5" customHeight="1" x14ac:dyDescent="0.4">
      <c r="A3038" s="4">
        <v>1</v>
      </c>
      <c r="B3038" s="4" t="s">
        <v>239</v>
      </c>
      <c r="C3038" s="4">
        <v>4741</v>
      </c>
      <c r="D3038" s="4">
        <v>1</v>
      </c>
      <c r="E3038" s="4">
        <v>1</v>
      </c>
      <c r="F3038" s="4" t="s">
        <v>268</v>
      </c>
      <c r="G3038" s="4" t="s">
        <v>241</v>
      </c>
      <c r="H3038" s="4" t="s">
        <v>241</v>
      </c>
      <c r="I3038" s="4" t="s">
        <v>424</v>
      </c>
      <c r="J3038" s="4" t="s">
        <v>274</v>
      </c>
      <c r="K3038" s="4" t="s">
        <v>251</v>
      </c>
      <c r="L3038" s="4" t="s">
        <v>423</v>
      </c>
      <c r="M3038" s="5" t="s">
        <v>496</v>
      </c>
      <c r="N3038" s="6">
        <f>1418</f>
        <v>1418</v>
      </c>
      <c r="O3038" s="4" t="s">
        <v>265</v>
      </c>
      <c r="P3038" s="6">
        <f>1</f>
        <v>1</v>
      </c>
      <c r="Q3038" s="6">
        <f>0</f>
        <v>0</v>
      </c>
      <c r="S3038" s="6">
        <f>0</f>
        <v>0</v>
      </c>
      <c r="T3038" s="6">
        <f>1</f>
        <v>1</v>
      </c>
      <c r="U3038" s="5" t="s">
        <v>245</v>
      </c>
      <c r="V3038" s="4" t="s">
        <v>270</v>
      </c>
      <c r="W3038" s="4" t="s">
        <v>271</v>
      </c>
      <c r="X3038" s="4" t="s">
        <v>273</v>
      </c>
      <c r="Y3038" s="4" t="s">
        <v>241</v>
      </c>
      <c r="AB3038" s="4" t="s">
        <v>241</v>
      </c>
      <c r="AD3038" s="5" t="s">
        <v>241</v>
      </c>
      <c r="AG3038" s="5" t="s">
        <v>246</v>
      </c>
      <c r="AH3038" s="4" t="s">
        <v>241</v>
      </c>
      <c r="AI3038" s="4" t="s">
        <v>247</v>
      </c>
      <c r="AJ3038" s="4" t="s">
        <v>248</v>
      </c>
      <c r="AZ3038" s="4" t="s">
        <v>249</v>
      </c>
      <c r="BA3038" s="4" t="s">
        <v>241</v>
      </c>
      <c r="BB3038" s="4" t="s">
        <v>250</v>
      </c>
      <c r="BC3038" s="4" t="s">
        <v>241</v>
      </c>
      <c r="BD3038" s="4" t="s">
        <v>252</v>
      </c>
      <c r="BE3038" s="4" t="s">
        <v>241</v>
      </c>
      <c r="BI3038" s="4" t="s">
        <v>253</v>
      </c>
      <c r="BJ3038" s="5" t="s">
        <v>246</v>
      </c>
      <c r="BK3038" s="4" t="s">
        <v>254</v>
      </c>
      <c r="BL3038" s="4" t="s">
        <v>255</v>
      </c>
      <c r="BM3038" s="4" t="s">
        <v>241</v>
      </c>
      <c r="BN3038" s="6">
        <f>0</f>
        <v>0</v>
      </c>
      <c r="BO3038" s="6">
        <f>0</f>
        <v>0</v>
      </c>
      <c r="BP3038" s="4" t="s">
        <v>256</v>
      </c>
      <c r="BQ3038" s="4" t="s">
        <v>257</v>
      </c>
      <c r="CE3038" s="4" t="s">
        <v>241</v>
      </c>
      <c r="CF3038" s="4" t="s">
        <v>241</v>
      </c>
      <c r="CJ3038" s="4" t="s">
        <v>276</v>
      </c>
      <c r="CK3038" s="4" t="s">
        <v>259</v>
      </c>
      <c r="CL3038" s="4" t="s">
        <v>241</v>
      </c>
      <c r="CO3038" s="5" t="s">
        <v>260</v>
      </c>
      <c r="CP3038" s="4" t="s">
        <v>241</v>
      </c>
      <c r="CQ3038" s="4" t="s">
        <v>261</v>
      </c>
      <c r="CR3038" s="4" t="s">
        <v>241</v>
      </c>
      <c r="CS3038" s="4" t="s">
        <v>241</v>
      </c>
      <c r="CT3038" s="4">
        <v>0</v>
      </c>
      <c r="CU3038" s="4" t="s">
        <v>262</v>
      </c>
      <c r="CV3038" s="4" t="s">
        <v>263</v>
      </c>
      <c r="CW3038" s="4" t="s">
        <v>263</v>
      </c>
      <c r="CX3038" s="4" t="s">
        <v>264</v>
      </c>
      <c r="DA3038" s="6">
        <f>1</f>
        <v>1</v>
      </c>
      <c r="DC3038" s="4" t="s">
        <v>325</v>
      </c>
      <c r="DD3038" s="4" t="s">
        <v>241</v>
      </c>
      <c r="DF3038" s="4" t="s">
        <v>325</v>
      </c>
      <c r="DG3038" s="6">
        <f>1418</f>
        <v>1418</v>
      </c>
      <c r="DI3038" s="4" t="s">
        <v>241</v>
      </c>
      <c r="DJ3038" s="4" t="s">
        <v>241</v>
      </c>
      <c r="DK3038" s="4" t="s">
        <v>241</v>
      </c>
      <c r="DL3038" s="4" t="s">
        <v>241</v>
      </c>
      <c r="DP3038" s="4" t="s">
        <v>241</v>
      </c>
      <c r="DQ3038" s="4" t="s">
        <v>241</v>
      </c>
      <c r="DR3038" s="4" t="s">
        <v>241</v>
      </c>
      <c r="DS3038" s="4" t="s">
        <v>241</v>
      </c>
      <c r="DV3038" s="4" t="s">
        <v>426</v>
      </c>
      <c r="DW3038" s="4" t="s">
        <v>497</v>
      </c>
      <c r="HO3038" s="4" t="s">
        <v>267</v>
      </c>
    </row>
    <row r="3039" spans="1:223" ht="19.5" customHeight="1" x14ac:dyDescent="0.4">
      <c r="A3039" s="4">
        <v>1</v>
      </c>
      <c r="B3039" s="4" t="s">
        <v>239</v>
      </c>
      <c r="C3039" s="4">
        <v>4742</v>
      </c>
      <c r="D3039" s="4">
        <v>1</v>
      </c>
      <c r="E3039" s="4">
        <v>1</v>
      </c>
      <c r="F3039" s="4" t="s">
        <v>268</v>
      </c>
      <c r="G3039" s="4" t="s">
        <v>241</v>
      </c>
      <c r="H3039" s="4" t="s">
        <v>241</v>
      </c>
      <c r="I3039" s="4" t="s">
        <v>424</v>
      </c>
      <c r="J3039" s="4" t="s">
        <v>274</v>
      </c>
      <c r="K3039" s="4" t="s">
        <v>251</v>
      </c>
      <c r="L3039" s="4" t="s">
        <v>423</v>
      </c>
      <c r="M3039" s="5" t="s">
        <v>479</v>
      </c>
      <c r="N3039" s="6">
        <f>196</f>
        <v>196</v>
      </c>
      <c r="O3039" s="4" t="s">
        <v>265</v>
      </c>
      <c r="P3039" s="6">
        <f>1</f>
        <v>1</v>
      </c>
      <c r="Q3039" s="6">
        <f>0</f>
        <v>0</v>
      </c>
      <c r="S3039" s="6">
        <f>0</f>
        <v>0</v>
      </c>
      <c r="T3039" s="6">
        <f>1</f>
        <v>1</v>
      </c>
      <c r="U3039" s="5" t="s">
        <v>245</v>
      </c>
      <c r="V3039" s="4" t="s">
        <v>270</v>
      </c>
      <c r="W3039" s="4" t="s">
        <v>271</v>
      </c>
      <c r="X3039" s="4" t="s">
        <v>273</v>
      </c>
      <c r="Y3039" s="4" t="s">
        <v>241</v>
      </c>
      <c r="AB3039" s="4" t="s">
        <v>241</v>
      </c>
      <c r="AD3039" s="5" t="s">
        <v>241</v>
      </c>
      <c r="AG3039" s="5" t="s">
        <v>246</v>
      </c>
      <c r="AH3039" s="4" t="s">
        <v>241</v>
      </c>
      <c r="AI3039" s="4" t="s">
        <v>247</v>
      </c>
      <c r="AJ3039" s="4" t="s">
        <v>248</v>
      </c>
      <c r="AZ3039" s="4" t="s">
        <v>249</v>
      </c>
      <c r="BA3039" s="4" t="s">
        <v>241</v>
      </c>
      <c r="BB3039" s="4" t="s">
        <v>250</v>
      </c>
      <c r="BC3039" s="4" t="s">
        <v>241</v>
      </c>
      <c r="BD3039" s="4" t="s">
        <v>252</v>
      </c>
      <c r="BE3039" s="4" t="s">
        <v>241</v>
      </c>
      <c r="BI3039" s="4" t="s">
        <v>253</v>
      </c>
      <c r="BJ3039" s="5" t="s">
        <v>246</v>
      </c>
      <c r="BK3039" s="4" t="s">
        <v>254</v>
      </c>
      <c r="BL3039" s="4" t="s">
        <v>255</v>
      </c>
      <c r="BM3039" s="4" t="s">
        <v>241</v>
      </c>
      <c r="BN3039" s="6">
        <f>0</f>
        <v>0</v>
      </c>
      <c r="BO3039" s="6">
        <f>0</f>
        <v>0</v>
      </c>
      <c r="BP3039" s="4" t="s">
        <v>256</v>
      </c>
      <c r="BQ3039" s="4" t="s">
        <v>257</v>
      </c>
      <c r="CE3039" s="4" t="s">
        <v>241</v>
      </c>
      <c r="CF3039" s="4" t="s">
        <v>241</v>
      </c>
      <c r="CJ3039" s="4" t="s">
        <v>276</v>
      </c>
      <c r="CK3039" s="4" t="s">
        <v>259</v>
      </c>
      <c r="CL3039" s="4" t="s">
        <v>241</v>
      </c>
      <c r="CO3039" s="5" t="s">
        <v>260</v>
      </c>
      <c r="CP3039" s="4" t="s">
        <v>241</v>
      </c>
      <c r="CQ3039" s="4" t="s">
        <v>261</v>
      </c>
      <c r="CR3039" s="4" t="s">
        <v>241</v>
      </c>
      <c r="CS3039" s="4" t="s">
        <v>241</v>
      </c>
      <c r="CT3039" s="4">
        <v>0</v>
      </c>
      <c r="CU3039" s="4" t="s">
        <v>262</v>
      </c>
      <c r="CV3039" s="4" t="s">
        <v>263</v>
      </c>
      <c r="CW3039" s="4" t="s">
        <v>263</v>
      </c>
      <c r="CX3039" s="4" t="s">
        <v>264</v>
      </c>
      <c r="DA3039" s="6">
        <f>1</f>
        <v>1</v>
      </c>
      <c r="DC3039" s="4" t="s">
        <v>325</v>
      </c>
      <c r="DD3039" s="4" t="s">
        <v>241</v>
      </c>
      <c r="DF3039" s="4" t="s">
        <v>325</v>
      </c>
      <c r="DG3039" s="6">
        <f>196</f>
        <v>196</v>
      </c>
      <c r="DI3039" s="4" t="s">
        <v>241</v>
      </c>
      <c r="DJ3039" s="4" t="s">
        <v>241</v>
      </c>
      <c r="DK3039" s="4" t="s">
        <v>241</v>
      </c>
      <c r="DL3039" s="4" t="s">
        <v>241</v>
      </c>
      <c r="DP3039" s="4" t="s">
        <v>241</v>
      </c>
      <c r="DQ3039" s="4" t="s">
        <v>241</v>
      </c>
      <c r="DR3039" s="4" t="s">
        <v>241</v>
      </c>
      <c r="DS3039" s="4" t="s">
        <v>241</v>
      </c>
      <c r="DV3039" s="4" t="s">
        <v>426</v>
      </c>
      <c r="DW3039" s="4" t="s">
        <v>480</v>
      </c>
      <c r="HO3039" s="4" t="s">
        <v>267</v>
      </c>
    </row>
    <row r="3040" spans="1:223" ht="19.5" customHeight="1" x14ac:dyDescent="0.4">
      <c r="A3040" s="4">
        <v>1</v>
      </c>
      <c r="B3040" s="4" t="s">
        <v>239</v>
      </c>
      <c r="C3040" s="4">
        <v>4743</v>
      </c>
      <c r="D3040" s="4">
        <v>1</v>
      </c>
      <c r="E3040" s="4">
        <v>1</v>
      </c>
      <c r="F3040" s="4" t="s">
        <v>268</v>
      </c>
      <c r="G3040" s="4" t="s">
        <v>241</v>
      </c>
      <c r="H3040" s="4" t="s">
        <v>241</v>
      </c>
      <c r="I3040" s="4" t="s">
        <v>424</v>
      </c>
      <c r="J3040" s="4" t="s">
        <v>274</v>
      </c>
      <c r="K3040" s="4" t="s">
        <v>251</v>
      </c>
      <c r="L3040" s="4" t="s">
        <v>423</v>
      </c>
      <c r="M3040" s="5" t="s">
        <v>4154</v>
      </c>
      <c r="N3040" s="6">
        <f>903</f>
        <v>903</v>
      </c>
      <c r="O3040" s="4" t="s">
        <v>265</v>
      </c>
      <c r="P3040" s="6">
        <f>1</f>
        <v>1</v>
      </c>
      <c r="Q3040" s="6">
        <f>0</f>
        <v>0</v>
      </c>
      <c r="S3040" s="6">
        <f>0</f>
        <v>0</v>
      </c>
      <c r="T3040" s="6">
        <f>1</f>
        <v>1</v>
      </c>
      <c r="U3040" s="5" t="s">
        <v>245</v>
      </c>
      <c r="V3040" s="4" t="s">
        <v>270</v>
      </c>
      <c r="W3040" s="4" t="s">
        <v>271</v>
      </c>
      <c r="X3040" s="4" t="s">
        <v>273</v>
      </c>
      <c r="Y3040" s="4" t="s">
        <v>241</v>
      </c>
      <c r="AB3040" s="4" t="s">
        <v>241</v>
      </c>
      <c r="AD3040" s="5" t="s">
        <v>241</v>
      </c>
      <c r="AG3040" s="5" t="s">
        <v>246</v>
      </c>
      <c r="AH3040" s="4" t="s">
        <v>241</v>
      </c>
      <c r="AI3040" s="4" t="s">
        <v>247</v>
      </c>
      <c r="AJ3040" s="4" t="s">
        <v>248</v>
      </c>
      <c r="AZ3040" s="4" t="s">
        <v>249</v>
      </c>
      <c r="BA3040" s="4" t="s">
        <v>241</v>
      </c>
      <c r="BB3040" s="4" t="s">
        <v>250</v>
      </c>
      <c r="BC3040" s="4" t="s">
        <v>241</v>
      </c>
      <c r="BD3040" s="4" t="s">
        <v>252</v>
      </c>
      <c r="BE3040" s="4" t="s">
        <v>241</v>
      </c>
      <c r="BI3040" s="4" t="s">
        <v>253</v>
      </c>
      <c r="BJ3040" s="5" t="s">
        <v>246</v>
      </c>
      <c r="BK3040" s="4" t="s">
        <v>254</v>
      </c>
      <c r="BL3040" s="4" t="s">
        <v>255</v>
      </c>
      <c r="BM3040" s="4" t="s">
        <v>241</v>
      </c>
      <c r="BN3040" s="6">
        <f>0</f>
        <v>0</v>
      </c>
      <c r="BO3040" s="6">
        <f>0</f>
        <v>0</v>
      </c>
      <c r="BP3040" s="4" t="s">
        <v>256</v>
      </c>
      <c r="BQ3040" s="4" t="s">
        <v>257</v>
      </c>
      <c r="CE3040" s="4" t="s">
        <v>241</v>
      </c>
      <c r="CF3040" s="4" t="s">
        <v>241</v>
      </c>
      <c r="CJ3040" s="4" t="s">
        <v>276</v>
      </c>
      <c r="CK3040" s="4" t="s">
        <v>259</v>
      </c>
      <c r="CL3040" s="4" t="s">
        <v>241</v>
      </c>
      <c r="CO3040" s="5" t="s">
        <v>260</v>
      </c>
      <c r="CP3040" s="4" t="s">
        <v>241</v>
      </c>
      <c r="CQ3040" s="4" t="s">
        <v>261</v>
      </c>
      <c r="CR3040" s="4" t="s">
        <v>241</v>
      </c>
      <c r="CS3040" s="4" t="s">
        <v>241</v>
      </c>
      <c r="CT3040" s="4">
        <v>0</v>
      </c>
      <c r="CU3040" s="4" t="s">
        <v>262</v>
      </c>
      <c r="CV3040" s="4" t="s">
        <v>263</v>
      </c>
      <c r="CW3040" s="4" t="s">
        <v>263</v>
      </c>
      <c r="CX3040" s="4" t="s">
        <v>264</v>
      </c>
      <c r="DA3040" s="6">
        <f>1</f>
        <v>1</v>
      </c>
      <c r="DC3040" s="4" t="s">
        <v>325</v>
      </c>
      <c r="DD3040" s="4" t="s">
        <v>241</v>
      </c>
      <c r="DF3040" s="4" t="s">
        <v>325</v>
      </c>
      <c r="DG3040" s="6">
        <f>903</f>
        <v>903</v>
      </c>
      <c r="DI3040" s="4" t="s">
        <v>241</v>
      </c>
      <c r="DJ3040" s="4" t="s">
        <v>241</v>
      </c>
      <c r="DK3040" s="4" t="s">
        <v>241</v>
      </c>
      <c r="DL3040" s="4" t="s">
        <v>241</v>
      </c>
      <c r="DP3040" s="4" t="s">
        <v>241</v>
      </c>
      <c r="DQ3040" s="4" t="s">
        <v>241</v>
      </c>
      <c r="DR3040" s="4" t="s">
        <v>241</v>
      </c>
      <c r="DS3040" s="4" t="s">
        <v>241</v>
      </c>
      <c r="DV3040" s="4" t="s">
        <v>426</v>
      </c>
      <c r="DW3040" s="4" t="s">
        <v>2409</v>
      </c>
      <c r="HO3040" s="4" t="s">
        <v>267</v>
      </c>
    </row>
    <row r="3041" spans="1:223" ht="19.5" customHeight="1" x14ac:dyDescent="0.4">
      <c r="A3041" s="4">
        <v>1</v>
      </c>
      <c r="B3041" s="4" t="s">
        <v>239</v>
      </c>
      <c r="C3041" s="4">
        <v>4744</v>
      </c>
      <c r="D3041" s="4">
        <v>1</v>
      </c>
      <c r="E3041" s="4">
        <v>1</v>
      </c>
      <c r="F3041" s="4" t="s">
        <v>268</v>
      </c>
      <c r="G3041" s="4" t="s">
        <v>241</v>
      </c>
      <c r="H3041" s="4" t="s">
        <v>241</v>
      </c>
      <c r="I3041" s="4" t="s">
        <v>424</v>
      </c>
      <c r="J3041" s="4" t="s">
        <v>274</v>
      </c>
      <c r="K3041" s="4" t="s">
        <v>251</v>
      </c>
      <c r="L3041" s="4" t="s">
        <v>423</v>
      </c>
      <c r="M3041" s="5" t="s">
        <v>451</v>
      </c>
      <c r="N3041" s="6">
        <f>1385</f>
        <v>1385</v>
      </c>
      <c r="O3041" s="4" t="s">
        <v>265</v>
      </c>
      <c r="P3041" s="6">
        <f>1</f>
        <v>1</v>
      </c>
      <c r="Q3041" s="6">
        <f>0</f>
        <v>0</v>
      </c>
      <c r="S3041" s="6">
        <f>0</f>
        <v>0</v>
      </c>
      <c r="T3041" s="6">
        <f>1</f>
        <v>1</v>
      </c>
      <c r="U3041" s="5" t="s">
        <v>245</v>
      </c>
      <c r="V3041" s="4" t="s">
        <v>270</v>
      </c>
      <c r="W3041" s="4" t="s">
        <v>271</v>
      </c>
      <c r="X3041" s="4" t="s">
        <v>273</v>
      </c>
      <c r="Y3041" s="4" t="s">
        <v>241</v>
      </c>
      <c r="AB3041" s="4" t="s">
        <v>241</v>
      </c>
      <c r="AD3041" s="5" t="s">
        <v>241</v>
      </c>
      <c r="AG3041" s="5" t="s">
        <v>246</v>
      </c>
      <c r="AH3041" s="4" t="s">
        <v>241</v>
      </c>
      <c r="AI3041" s="4" t="s">
        <v>247</v>
      </c>
      <c r="AJ3041" s="4" t="s">
        <v>248</v>
      </c>
      <c r="AZ3041" s="4" t="s">
        <v>249</v>
      </c>
      <c r="BA3041" s="4" t="s">
        <v>241</v>
      </c>
      <c r="BB3041" s="4" t="s">
        <v>250</v>
      </c>
      <c r="BC3041" s="4" t="s">
        <v>241</v>
      </c>
      <c r="BD3041" s="4" t="s">
        <v>252</v>
      </c>
      <c r="BE3041" s="4" t="s">
        <v>241</v>
      </c>
      <c r="BI3041" s="4" t="s">
        <v>253</v>
      </c>
      <c r="BJ3041" s="5" t="s">
        <v>246</v>
      </c>
      <c r="BK3041" s="4" t="s">
        <v>254</v>
      </c>
      <c r="BL3041" s="4" t="s">
        <v>255</v>
      </c>
      <c r="BM3041" s="4" t="s">
        <v>241</v>
      </c>
      <c r="BN3041" s="6">
        <f>0</f>
        <v>0</v>
      </c>
      <c r="BO3041" s="6">
        <f>0</f>
        <v>0</v>
      </c>
      <c r="BP3041" s="4" t="s">
        <v>256</v>
      </c>
      <c r="BQ3041" s="4" t="s">
        <v>257</v>
      </c>
      <c r="CE3041" s="4" t="s">
        <v>241</v>
      </c>
      <c r="CF3041" s="4" t="s">
        <v>241</v>
      </c>
      <c r="CJ3041" s="4" t="s">
        <v>276</v>
      </c>
      <c r="CK3041" s="4" t="s">
        <v>259</v>
      </c>
      <c r="CL3041" s="4" t="s">
        <v>241</v>
      </c>
      <c r="CO3041" s="5" t="s">
        <v>260</v>
      </c>
      <c r="CP3041" s="4" t="s">
        <v>241</v>
      </c>
      <c r="CQ3041" s="4" t="s">
        <v>261</v>
      </c>
      <c r="CR3041" s="4" t="s">
        <v>241</v>
      </c>
      <c r="CS3041" s="4" t="s">
        <v>241</v>
      </c>
      <c r="CT3041" s="4">
        <v>0</v>
      </c>
      <c r="CU3041" s="4" t="s">
        <v>262</v>
      </c>
      <c r="CV3041" s="4" t="s">
        <v>263</v>
      </c>
      <c r="CW3041" s="4" t="s">
        <v>263</v>
      </c>
      <c r="CX3041" s="4" t="s">
        <v>264</v>
      </c>
      <c r="DA3041" s="6">
        <f>1</f>
        <v>1</v>
      </c>
      <c r="DC3041" s="4" t="s">
        <v>325</v>
      </c>
      <c r="DD3041" s="4" t="s">
        <v>241</v>
      </c>
      <c r="DF3041" s="4" t="s">
        <v>325</v>
      </c>
      <c r="DG3041" s="6">
        <f>1385</f>
        <v>1385</v>
      </c>
      <c r="DI3041" s="4" t="s">
        <v>241</v>
      </c>
      <c r="DJ3041" s="4" t="s">
        <v>241</v>
      </c>
      <c r="DK3041" s="4" t="s">
        <v>241</v>
      </c>
      <c r="DL3041" s="4" t="s">
        <v>241</v>
      </c>
      <c r="DP3041" s="4" t="s">
        <v>241</v>
      </c>
      <c r="DQ3041" s="4" t="s">
        <v>241</v>
      </c>
      <c r="DR3041" s="4" t="s">
        <v>241</v>
      </c>
      <c r="DS3041" s="4" t="s">
        <v>241</v>
      </c>
      <c r="DV3041" s="4" t="s">
        <v>426</v>
      </c>
      <c r="DW3041" s="4" t="s">
        <v>452</v>
      </c>
      <c r="HO3041" s="4" t="s">
        <v>267</v>
      </c>
    </row>
    <row r="3042" spans="1:223" ht="19.5" customHeight="1" x14ac:dyDescent="0.4">
      <c r="A3042" s="4">
        <v>1</v>
      </c>
      <c r="B3042" s="4" t="s">
        <v>239</v>
      </c>
      <c r="C3042" s="4">
        <v>4745</v>
      </c>
      <c r="D3042" s="4">
        <v>1</v>
      </c>
      <c r="E3042" s="4">
        <v>1</v>
      </c>
      <c r="F3042" s="4" t="s">
        <v>268</v>
      </c>
      <c r="G3042" s="4" t="s">
        <v>241</v>
      </c>
      <c r="H3042" s="4" t="s">
        <v>241</v>
      </c>
      <c r="I3042" s="4" t="s">
        <v>424</v>
      </c>
      <c r="J3042" s="4" t="s">
        <v>274</v>
      </c>
      <c r="K3042" s="4" t="s">
        <v>251</v>
      </c>
      <c r="L3042" s="4" t="s">
        <v>423</v>
      </c>
      <c r="M3042" s="5" t="s">
        <v>438</v>
      </c>
      <c r="N3042" s="6">
        <f>345</f>
        <v>345</v>
      </c>
      <c r="O3042" s="4" t="s">
        <v>265</v>
      </c>
      <c r="P3042" s="6">
        <f>1</f>
        <v>1</v>
      </c>
      <c r="Q3042" s="6">
        <f>0</f>
        <v>0</v>
      </c>
      <c r="S3042" s="6">
        <f>0</f>
        <v>0</v>
      </c>
      <c r="T3042" s="6">
        <f>1</f>
        <v>1</v>
      </c>
      <c r="U3042" s="5" t="s">
        <v>245</v>
      </c>
      <c r="V3042" s="4" t="s">
        <v>270</v>
      </c>
      <c r="W3042" s="4" t="s">
        <v>271</v>
      </c>
      <c r="X3042" s="4" t="s">
        <v>273</v>
      </c>
      <c r="Y3042" s="4" t="s">
        <v>241</v>
      </c>
      <c r="AB3042" s="4" t="s">
        <v>241</v>
      </c>
      <c r="AD3042" s="5" t="s">
        <v>241</v>
      </c>
      <c r="AG3042" s="5" t="s">
        <v>246</v>
      </c>
      <c r="AH3042" s="4" t="s">
        <v>241</v>
      </c>
      <c r="AI3042" s="4" t="s">
        <v>247</v>
      </c>
      <c r="AJ3042" s="4" t="s">
        <v>248</v>
      </c>
      <c r="AZ3042" s="4" t="s">
        <v>249</v>
      </c>
      <c r="BA3042" s="4" t="s">
        <v>241</v>
      </c>
      <c r="BB3042" s="4" t="s">
        <v>250</v>
      </c>
      <c r="BC3042" s="4" t="s">
        <v>241</v>
      </c>
      <c r="BD3042" s="4" t="s">
        <v>252</v>
      </c>
      <c r="BE3042" s="4" t="s">
        <v>241</v>
      </c>
      <c r="BI3042" s="4" t="s">
        <v>253</v>
      </c>
      <c r="BJ3042" s="5" t="s">
        <v>246</v>
      </c>
      <c r="BK3042" s="4" t="s">
        <v>254</v>
      </c>
      <c r="BL3042" s="4" t="s">
        <v>255</v>
      </c>
      <c r="BM3042" s="4" t="s">
        <v>241</v>
      </c>
      <c r="BN3042" s="6">
        <f>0</f>
        <v>0</v>
      </c>
      <c r="BO3042" s="6">
        <f>0</f>
        <v>0</v>
      </c>
      <c r="BP3042" s="4" t="s">
        <v>256</v>
      </c>
      <c r="BQ3042" s="4" t="s">
        <v>257</v>
      </c>
      <c r="CE3042" s="4" t="s">
        <v>241</v>
      </c>
      <c r="CF3042" s="4" t="s">
        <v>241</v>
      </c>
      <c r="CJ3042" s="4" t="s">
        <v>276</v>
      </c>
      <c r="CK3042" s="4" t="s">
        <v>259</v>
      </c>
      <c r="CL3042" s="4" t="s">
        <v>241</v>
      </c>
      <c r="CO3042" s="5" t="s">
        <v>260</v>
      </c>
      <c r="CP3042" s="4" t="s">
        <v>241</v>
      </c>
      <c r="CQ3042" s="4" t="s">
        <v>261</v>
      </c>
      <c r="CR3042" s="4" t="s">
        <v>241</v>
      </c>
      <c r="CS3042" s="4" t="s">
        <v>241</v>
      </c>
      <c r="CT3042" s="4">
        <v>0</v>
      </c>
      <c r="CU3042" s="4" t="s">
        <v>262</v>
      </c>
      <c r="CV3042" s="4" t="s">
        <v>263</v>
      </c>
      <c r="CW3042" s="4" t="s">
        <v>263</v>
      </c>
      <c r="CX3042" s="4" t="s">
        <v>264</v>
      </c>
      <c r="DA3042" s="6">
        <f>1</f>
        <v>1</v>
      </c>
      <c r="DC3042" s="4" t="s">
        <v>325</v>
      </c>
      <c r="DD3042" s="4" t="s">
        <v>241</v>
      </c>
      <c r="DF3042" s="4" t="s">
        <v>325</v>
      </c>
      <c r="DG3042" s="6">
        <f>345</f>
        <v>345</v>
      </c>
      <c r="DI3042" s="4" t="s">
        <v>241</v>
      </c>
      <c r="DJ3042" s="4" t="s">
        <v>241</v>
      </c>
      <c r="DK3042" s="4" t="s">
        <v>241</v>
      </c>
      <c r="DL3042" s="4" t="s">
        <v>241</v>
      </c>
      <c r="DP3042" s="4" t="s">
        <v>241</v>
      </c>
      <c r="DQ3042" s="4" t="s">
        <v>241</v>
      </c>
      <c r="DR3042" s="4" t="s">
        <v>241</v>
      </c>
      <c r="DS3042" s="4" t="s">
        <v>241</v>
      </c>
      <c r="DV3042" s="4" t="s">
        <v>426</v>
      </c>
      <c r="DW3042" s="4" t="s">
        <v>439</v>
      </c>
      <c r="HO3042" s="4" t="s">
        <v>267</v>
      </c>
    </row>
    <row r="3043" spans="1:223" ht="19.5" customHeight="1" x14ac:dyDescent="0.4">
      <c r="A3043" s="4">
        <v>1</v>
      </c>
      <c r="B3043" s="4" t="s">
        <v>239</v>
      </c>
      <c r="C3043" s="4">
        <v>4746</v>
      </c>
      <c r="D3043" s="4">
        <v>1</v>
      </c>
      <c r="E3043" s="4">
        <v>1</v>
      </c>
      <c r="F3043" s="4" t="s">
        <v>268</v>
      </c>
      <c r="G3043" s="4" t="s">
        <v>241</v>
      </c>
      <c r="H3043" s="4" t="s">
        <v>241</v>
      </c>
      <c r="I3043" s="4" t="s">
        <v>424</v>
      </c>
      <c r="J3043" s="4" t="s">
        <v>274</v>
      </c>
      <c r="K3043" s="4" t="s">
        <v>251</v>
      </c>
      <c r="L3043" s="4" t="s">
        <v>423</v>
      </c>
      <c r="M3043" s="5" t="s">
        <v>4209</v>
      </c>
      <c r="N3043" s="6">
        <f>180</f>
        <v>180</v>
      </c>
      <c r="O3043" s="4" t="s">
        <v>265</v>
      </c>
      <c r="P3043" s="6">
        <f>1</f>
        <v>1</v>
      </c>
      <c r="Q3043" s="6">
        <f>0</f>
        <v>0</v>
      </c>
      <c r="S3043" s="6">
        <f>0</f>
        <v>0</v>
      </c>
      <c r="T3043" s="6">
        <f>1</f>
        <v>1</v>
      </c>
      <c r="U3043" s="5" t="s">
        <v>245</v>
      </c>
      <c r="V3043" s="4" t="s">
        <v>270</v>
      </c>
      <c r="W3043" s="4" t="s">
        <v>271</v>
      </c>
      <c r="X3043" s="4" t="s">
        <v>273</v>
      </c>
      <c r="Y3043" s="4" t="s">
        <v>241</v>
      </c>
      <c r="AB3043" s="4" t="s">
        <v>241</v>
      </c>
      <c r="AD3043" s="5" t="s">
        <v>241</v>
      </c>
      <c r="AG3043" s="5" t="s">
        <v>246</v>
      </c>
      <c r="AH3043" s="4" t="s">
        <v>241</v>
      </c>
      <c r="AI3043" s="4" t="s">
        <v>247</v>
      </c>
      <c r="AJ3043" s="4" t="s">
        <v>248</v>
      </c>
      <c r="AZ3043" s="4" t="s">
        <v>249</v>
      </c>
      <c r="BA3043" s="4" t="s">
        <v>241</v>
      </c>
      <c r="BB3043" s="4" t="s">
        <v>250</v>
      </c>
      <c r="BC3043" s="4" t="s">
        <v>241</v>
      </c>
      <c r="BD3043" s="4" t="s">
        <v>252</v>
      </c>
      <c r="BE3043" s="4" t="s">
        <v>241</v>
      </c>
      <c r="BI3043" s="4" t="s">
        <v>253</v>
      </c>
      <c r="BJ3043" s="5" t="s">
        <v>246</v>
      </c>
      <c r="BK3043" s="4" t="s">
        <v>254</v>
      </c>
      <c r="BL3043" s="4" t="s">
        <v>255</v>
      </c>
      <c r="BM3043" s="4" t="s">
        <v>241</v>
      </c>
      <c r="BN3043" s="6">
        <f>0</f>
        <v>0</v>
      </c>
      <c r="BO3043" s="6">
        <f>0</f>
        <v>0</v>
      </c>
      <c r="BP3043" s="4" t="s">
        <v>256</v>
      </c>
      <c r="BQ3043" s="4" t="s">
        <v>257</v>
      </c>
      <c r="CE3043" s="4" t="s">
        <v>241</v>
      </c>
      <c r="CF3043" s="4" t="s">
        <v>241</v>
      </c>
      <c r="CJ3043" s="4" t="s">
        <v>276</v>
      </c>
      <c r="CK3043" s="4" t="s">
        <v>259</v>
      </c>
      <c r="CL3043" s="4" t="s">
        <v>241</v>
      </c>
      <c r="CO3043" s="5" t="s">
        <v>260</v>
      </c>
      <c r="CP3043" s="4" t="s">
        <v>241</v>
      </c>
      <c r="CQ3043" s="4" t="s">
        <v>261</v>
      </c>
      <c r="CR3043" s="4" t="s">
        <v>241</v>
      </c>
      <c r="CS3043" s="4" t="s">
        <v>241</v>
      </c>
      <c r="CT3043" s="4">
        <v>0</v>
      </c>
      <c r="CU3043" s="4" t="s">
        <v>262</v>
      </c>
      <c r="CV3043" s="4" t="s">
        <v>263</v>
      </c>
      <c r="CW3043" s="4" t="s">
        <v>263</v>
      </c>
      <c r="CX3043" s="4" t="s">
        <v>264</v>
      </c>
      <c r="DA3043" s="6">
        <f>1</f>
        <v>1</v>
      </c>
      <c r="DC3043" s="4" t="s">
        <v>325</v>
      </c>
      <c r="DD3043" s="4" t="s">
        <v>241</v>
      </c>
      <c r="DF3043" s="4" t="s">
        <v>325</v>
      </c>
      <c r="DG3043" s="6">
        <f>180</f>
        <v>180</v>
      </c>
      <c r="DI3043" s="4" t="s">
        <v>241</v>
      </c>
      <c r="DJ3043" s="4" t="s">
        <v>241</v>
      </c>
      <c r="DK3043" s="4" t="s">
        <v>241</v>
      </c>
      <c r="DL3043" s="4" t="s">
        <v>241</v>
      </c>
      <c r="DP3043" s="4" t="s">
        <v>241</v>
      </c>
      <c r="DQ3043" s="4" t="s">
        <v>241</v>
      </c>
      <c r="DR3043" s="4" t="s">
        <v>241</v>
      </c>
      <c r="DS3043" s="4" t="s">
        <v>241</v>
      </c>
      <c r="DV3043" s="4" t="s">
        <v>426</v>
      </c>
      <c r="DW3043" s="4" t="s">
        <v>1257</v>
      </c>
      <c r="HO3043" s="4" t="s">
        <v>267</v>
      </c>
    </row>
    <row r="3044" spans="1:223" ht="19.5" customHeight="1" x14ac:dyDescent="0.4">
      <c r="A3044" s="4">
        <v>1</v>
      </c>
      <c r="B3044" s="4" t="s">
        <v>239</v>
      </c>
      <c r="C3044" s="4">
        <v>4747</v>
      </c>
      <c r="D3044" s="4">
        <v>1</v>
      </c>
      <c r="E3044" s="4">
        <v>1</v>
      </c>
      <c r="F3044" s="4" t="s">
        <v>268</v>
      </c>
      <c r="G3044" s="4" t="s">
        <v>241</v>
      </c>
      <c r="H3044" s="4" t="s">
        <v>241</v>
      </c>
      <c r="I3044" s="4" t="s">
        <v>424</v>
      </c>
      <c r="J3044" s="4" t="s">
        <v>274</v>
      </c>
      <c r="K3044" s="4" t="s">
        <v>251</v>
      </c>
      <c r="L3044" s="4" t="s">
        <v>423</v>
      </c>
      <c r="M3044" s="5" t="s">
        <v>4195</v>
      </c>
      <c r="N3044" s="6">
        <f>119</f>
        <v>119</v>
      </c>
      <c r="O3044" s="4" t="s">
        <v>265</v>
      </c>
      <c r="P3044" s="6">
        <f>1</f>
        <v>1</v>
      </c>
      <c r="Q3044" s="6">
        <f>0</f>
        <v>0</v>
      </c>
      <c r="S3044" s="6">
        <f>0</f>
        <v>0</v>
      </c>
      <c r="T3044" s="6">
        <f>1</f>
        <v>1</v>
      </c>
      <c r="U3044" s="5" t="s">
        <v>245</v>
      </c>
      <c r="V3044" s="4" t="s">
        <v>270</v>
      </c>
      <c r="W3044" s="4" t="s">
        <v>271</v>
      </c>
      <c r="X3044" s="4" t="s">
        <v>273</v>
      </c>
      <c r="Y3044" s="4" t="s">
        <v>241</v>
      </c>
      <c r="AB3044" s="4" t="s">
        <v>241</v>
      </c>
      <c r="AD3044" s="5" t="s">
        <v>241</v>
      </c>
      <c r="AG3044" s="5" t="s">
        <v>246</v>
      </c>
      <c r="AH3044" s="4" t="s">
        <v>241</v>
      </c>
      <c r="AI3044" s="4" t="s">
        <v>247</v>
      </c>
      <c r="AJ3044" s="4" t="s">
        <v>248</v>
      </c>
      <c r="AZ3044" s="4" t="s">
        <v>249</v>
      </c>
      <c r="BA3044" s="4" t="s">
        <v>241</v>
      </c>
      <c r="BB3044" s="4" t="s">
        <v>250</v>
      </c>
      <c r="BC3044" s="4" t="s">
        <v>241</v>
      </c>
      <c r="BD3044" s="4" t="s">
        <v>252</v>
      </c>
      <c r="BE3044" s="4" t="s">
        <v>241</v>
      </c>
      <c r="BI3044" s="4" t="s">
        <v>253</v>
      </c>
      <c r="BJ3044" s="5" t="s">
        <v>246</v>
      </c>
      <c r="BK3044" s="4" t="s">
        <v>254</v>
      </c>
      <c r="BL3044" s="4" t="s">
        <v>255</v>
      </c>
      <c r="BM3044" s="4" t="s">
        <v>241</v>
      </c>
      <c r="BN3044" s="6">
        <f>0</f>
        <v>0</v>
      </c>
      <c r="BO3044" s="6">
        <f>0</f>
        <v>0</v>
      </c>
      <c r="BP3044" s="4" t="s">
        <v>256</v>
      </c>
      <c r="BQ3044" s="4" t="s">
        <v>257</v>
      </c>
      <c r="CE3044" s="4" t="s">
        <v>241</v>
      </c>
      <c r="CF3044" s="4" t="s">
        <v>241</v>
      </c>
      <c r="CJ3044" s="4" t="s">
        <v>276</v>
      </c>
      <c r="CK3044" s="4" t="s">
        <v>259</v>
      </c>
      <c r="CL3044" s="4" t="s">
        <v>241</v>
      </c>
      <c r="CO3044" s="5" t="s">
        <v>260</v>
      </c>
      <c r="CP3044" s="4" t="s">
        <v>241</v>
      </c>
      <c r="CQ3044" s="4" t="s">
        <v>261</v>
      </c>
      <c r="CR3044" s="4" t="s">
        <v>241</v>
      </c>
      <c r="CS3044" s="4" t="s">
        <v>241</v>
      </c>
      <c r="CT3044" s="4">
        <v>0</v>
      </c>
      <c r="CU3044" s="4" t="s">
        <v>262</v>
      </c>
      <c r="CV3044" s="4" t="s">
        <v>263</v>
      </c>
      <c r="CW3044" s="4" t="s">
        <v>263</v>
      </c>
      <c r="CX3044" s="4" t="s">
        <v>264</v>
      </c>
      <c r="DA3044" s="6">
        <f>1</f>
        <v>1</v>
      </c>
      <c r="DC3044" s="4" t="s">
        <v>325</v>
      </c>
      <c r="DD3044" s="4" t="s">
        <v>241</v>
      </c>
      <c r="DF3044" s="4" t="s">
        <v>325</v>
      </c>
      <c r="DG3044" s="6">
        <f>119</f>
        <v>119</v>
      </c>
      <c r="DI3044" s="4" t="s">
        <v>241</v>
      </c>
      <c r="DJ3044" s="4" t="s">
        <v>241</v>
      </c>
      <c r="DK3044" s="4" t="s">
        <v>241</v>
      </c>
      <c r="DL3044" s="4" t="s">
        <v>241</v>
      </c>
      <c r="DP3044" s="4" t="s">
        <v>241</v>
      </c>
      <c r="DQ3044" s="4" t="s">
        <v>241</v>
      </c>
      <c r="DR3044" s="4" t="s">
        <v>241</v>
      </c>
      <c r="DS3044" s="4" t="s">
        <v>241</v>
      </c>
      <c r="DV3044" s="4" t="s">
        <v>426</v>
      </c>
      <c r="DW3044" s="4" t="s">
        <v>2807</v>
      </c>
      <c r="HO3044" s="4" t="s">
        <v>267</v>
      </c>
    </row>
    <row r="3045" spans="1:223" ht="19.5" customHeight="1" x14ac:dyDescent="0.4">
      <c r="A3045" s="4">
        <v>1</v>
      </c>
      <c r="B3045" s="4" t="s">
        <v>239</v>
      </c>
      <c r="C3045" s="4">
        <v>4748</v>
      </c>
      <c r="D3045" s="4">
        <v>1</v>
      </c>
      <c r="E3045" s="4">
        <v>1</v>
      </c>
      <c r="F3045" s="4" t="s">
        <v>268</v>
      </c>
      <c r="G3045" s="4" t="s">
        <v>241</v>
      </c>
      <c r="H3045" s="4" t="s">
        <v>241</v>
      </c>
      <c r="I3045" s="4" t="s">
        <v>424</v>
      </c>
      <c r="J3045" s="4" t="s">
        <v>274</v>
      </c>
      <c r="K3045" s="4" t="s">
        <v>251</v>
      </c>
      <c r="L3045" s="4" t="s">
        <v>423</v>
      </c>
      <c r="M3045" s="5" t="s">
        <v>4181</v>
      </c>
      <c r="N3045" s="6">
        <f>176</f>
        <v>176</v>
      </c>
      <c r="O3045" s="4" t="s">
        <v>265</v>
      </c>
      <c r="P3045" s="6">
        <f>1</f>
        <v>1</v>
      </c>
      <c r="Q3045" s="6">
        <f>0</f>
        <v>0</v>
      </c>
      <c r="S3045" s="6">
        <f>0</f>
        <v>0</v>
      </c>
      <c r="T3045" s="6">
        <f>1</f>
        <v>1</v>
      </c>
      <c r="U3045" s="5" t="s">
        <v>245</v>
      </c>
      <c r="V3045" s="4" t="s">
        <v>270</v>
      </c>
      <c r="W3045" s="4" t="s">
        <v>271</v>
      </c>
      <c r="X3045" s="4" t="s">
        <v>273</v>
      </c>
      <c r="Y3045" s="4" t="s">
        <v>241</v>
      </c>
      <c r="AB3045" s="4" t="s">
        <v>241</v>
      </c>
      <c r="AD3045" s="5" t="s">
        <v>241</v>
      </c>
      <c r="AG3045" s="5" t="s">
        <v>246</v>
      </c>
      <c r="AH3045" s="4" t="s">
        <v>241</v>
      </c>
      <c r="AI3045" s="4" t="s">
        <v>247</v>
      </c>
      <c r="AJ3045" s="4" t="s">
        <v>248</v>
      </c>
      <c r="AZ3045" s="4" t="s">
        <v>249</v>
      </c>
      <c r="BA3045" s="4" t="s">
        <v>241</v>
      </c>
      <c r="BB3045" s="4" t="s">
        <v>250</v>
      </c>
      <c r="BC3045" s="4" t="s">
        <v>241</v>
      </c>
      <c r="BD3045" s="4" t="s">
        <v>252</v>
      </c>
      <c r="BE3045" s="4" t="s">
        <v>241</v>
      </c>
      <c r="BI3045" s="4" t="s">
        <v>253</v>
      </c>
      <c r="BJ3045" s="5" t="s">
        <v>246</v>
      </c>
      <c r="BK3045" s="4" t="s">
        <v>254</v>
      </c>
      <c r="BL3045" s="4" t="s">
        <v>255</v>
      </c>
      <c r="BM3045" s="4" t="s">
        <v>241</v>
      </c>
      <c r="BN3045" s="6">
        <f>0</f>
        <v>0</v>
      </c>
      <c r="BO3045" s="6">
        <f>0</f>
        <v>0</v>
      </c>
      <c r="BP3045" s="4" t="s">
        <v>256</v>
      </c>
      <c r="BQ3045" s="4" t="s">
        <v>257</v>
      </c>
      <c r="CE3045" s="4" t="s">
        <v>241</v>
      </c>
      <c r="CF3045" s="4" t="s">
        <v>241</v>
      </c>
      <c r="CJ3045" s="4" t="s">
        <v>276</v>
      </c>
      <c r="CK3045" s="4" t="s">
        <v>259</v>
      </c>
      <c r="CL3045" s="4" t="s">
        <v>241</v>
      </c>
      <c r="CO3045" s="5" t="s">
        <v>260</v>
      </c>
      <c r="CP3045" s="4" t="s">
        <v>241</v>
      </c>
      <c r="CQ3045" s="4" t="s">
        <v>261</v>
      </c>
      <c r="CR3045" s="4" t="s">
        <v>241</v>
      </c>
      <c r="CS3045" s="4" t="s">
        <v>241</v>
      </c>
      <c r="CT3045" s="4">
        <v>0</v>
      </c>
      <c r="CU3045" s="4" t="s">
        <v>262</v>
      </c>
      <c r="CV3045" s="4" t="s">
        <v>263</v>
      </c>
      <c r="CW3045" s="4" t="s">
        <v>263</v>
      </c>
      <c r="CX3045" s="4" t="s">
        <v>264</v>
      </c>
      <c r="DA3045" s="6">
        <f>1</f>
        <v>1</v>
      </c>
      <c r="DC3045" s="4" t="s">
        <v>325</v>
      </c>
      <c r="DD3045" s="4" t="s">
        <v>241</v>
      </c>
      <c r="DF3045" s="4" t="s">
        <v>325</v>
      </c>
      <c r="DG3045" s="6">
        <f>176</f>
        <v>176</v>
      </c>
      <c r="DI3045" s="4" t="s">
        <v>241</v>
      </c>
      <c r="DJ3045" s="4" t="s">
        <v>241</v>
      </c>
      <c r="DK3045" s="4" t="s">
        <v>241</v>
      </c>
      <c r="DL3045" s="4" t="s">
        <v>241</v>
      </c>
      <c r="DP3045" s="4" t="s">
        <v>241</v>
      </c>
      <c r="DQ3045" s="4" t="s">
        <v>241</v>
      </c>
      <c r="DR3045" s="4" t="s">
        <v>241</v>
      </c>
      <c r="DS3045" s="4" t="s">
        <v>241</v>
      </c>
      <c r="DV3045" s="4" t="s">
        <v>426</v>
      </c>
      <c r="DW3045" s="4" t="s">
        <v>1240</v>
      </c>
      <c r="HO3045" s="4" t="s">
        <v>267</v>
      </c>
    </row>
    <row r="3046" spans="1:223" ht="19.5" customHeight="1" x14ac:dyDescent="0.4">
      <c r="A3046" s="4">
        <v>1</v>
      </c>
      <c r="B3046" s="4" t="s">
        <v>239</v>
      </c>
      <c r="C3046" s="4">
        <v>4749</v>
      </c>
      <c r="D3046" s="4">
        <v>1</v>
      </c>
      <c r="E3046" s="4">
        <v>1</v>
      </c>
      <c r="F3046" s="4" t="s">
        <v>268</v>
      </c>
      <c r="G3046" s="4" t="s">
        <v>241</v>
      </c>
      <c r="H3046" s="4" t="s">
        <v>241</v>
      </c>
      <c r="I3046" s="4" t="s">
        <v>424</v>
      </c>
      <c r="J3046" s="4" t="s">
        <v>274</v>
      </c>
      <c r="K3046" s="4" t="s">
        <v>251</v>
      </c>
      <c r="L3046" s="4" t="s">
        <v>423</v>
      </c>
      <c r="M3046" s="5" t="s">
        <v>4164</v>
      </c>
      <c r="N3046" s="6">
        <f>385</f>
        <v>385</v>
      </c>
      <c r="O3046" s="4" t="s">
        <v>265</v>
      </c>
      <c r="P3046" s="6">
        <f>1</f>
        <v>1</v>
      </c>
      <c r="Q3046" s="6">
        <f>0</f>
        <v>0</v>
      </c>
      <c r="S3046" s="6">
        <f>0</f>
        <v>0</v>
      </c>
      <c r="T3046" s="6">
        <f>1</f>
        <v>1</v>
      </c>
      <c r="U3046" s="5" t="s">
        <v>245</v>
      </c>
      <c r="V3046" s="4" t="s">
        <v>270</v>
      </c>
      <c r="W3046" s="4" t="s">
        <v>271</v>
      </c>
      <c r="X3046" s="4" t="s">
        <v>273</v>
      </c>
      <c r="Y3046" s="4" t="s">
        <v>241</v>
      </c>
      <c r="AB3046" s="4" t="s">
        <v>241</v>
      </c>
      <c r="AD3046" s="5" t="s">
        <v>241</v>
      </c>
      <c r="AG3046" s="5" t="s">
        <v>246</v>
      </c>
      <c r="AH3046" s="4" t="s">
        <v>241</v>
      </c>
      <c r="AI3046" s="4" t="s">
        <v>247</v>
      </c>
      <c r="AJ3046" s="4" t="s">
        <v>248</v>
      </c>
      <c r="AZ3046" s="4" t="s">
        <v>249</v>
      </c>
      <c r="BA3046" s="4" t="s">
        <v>241</v>
      </c>
      <c r="BB3046" s="4" t="s">
        <v>250</v>
      </c>
      <c r="BC3046" s="4" t="s">
        <v>241</v>
      </c>
      <c r="BD3046" s="4" t="s">
        <v>252</v>
      </c>
      <c r="BE3046" s="4" t="s">
        <v>241</v>
      </c>
      <c r="BI3046" s="4" t="s">
        <v>253</v>
      </c>
      <c r="BJ3046" s="5" t="s">
        <v>246</v>
      </c>
      <c r="BK3046" s="4" t="s">
        <v>254</v>
      </c>
      <c r="BL3046" s="4" t="s">
        <v>255</v>
      </c>
      <c r="BM3046" s="4" t="s">
        <v>241</v>
      </c>
      <c r="BN3046" s="6">
        <f>0</f>
        <v>0</v>
      </c>
      <c r="BO3046" s="6">
        <f>0</f>
        <v>0</v>
      </c>
      <c r="BP3046" s="4" t="s">
        <v>256</v>
      </c>
      <c r="BQ3046" s="4" t="s">
        <v>257</v>
      </c>
      <c r="CE3046" s="4" t="s">
        <v>241</v>
      </c>
      <c r="CF3046" s="4" t="s">
        <v>241</v>
      </c>
      <c r="CJ3046" s="4" t="s">
        <v>276</v>
      </c>
      <c r="CK3046" s="4" t="s">
        <v>259</v>
      </c>
      <c r="CL3046" s="4" t="s">
        <v>241</v>
      </c>
      <c r="CO3046" s="5" t="s">
        <v>260</v>
      </c>
      <c r="CP3046" s="4" t="s">
        <v>241</v>
      </c>
      <c r="CQ3046" s="4" t="s">
        <v>261</v>
      </c>
      <c r="CR3046" s="4" t="s">
        <v>241</v>
      </c>
      <c r="CS3046" s="4" t="s">
        <v>241</v>
      </c>
      <c r="CT3046" s="4">
        <v>0</v>
      </c>
      <c r="CU3046" s="4" t="s">
        <v>262</v>
      </c>
      <c r="CV3046" s="4" t="s">
        <v>263</v>
      </c>
      <c r="CW3046" s="4" t="s">
        <v>263</v>
      </c>
      <c r="CX3046" s="4" t="s">
        <v>264</v>
      </c>
      <c r="DA3046" s="6">
        <f>1</f>
        <v>1</v>
      </c>
      <c r="DC3046" s="4" t="s">
        <v>325</v>
      </c>
      <c r="DD3046" s="4" t="s">
        <v>241</v>
      </c>
      <c r="DF3046" s="4" t="s">
        <v>325</v>
      </c>
      <c r="DG3046" s="6">
        <f>385</f>
        <v>385</v>
      </c>
      <c r="DI3046" s="4" t="s">
        <v>241</v>
      </c>
      <c r="DJ3046" s="4" t="s">
        <v>241</v>
      </c>
      <c r="DK3046" s="4" t="s">
        <v>241</v>
      </c>
      <c r="DL3046" s="4" t="s">
        <v>241</v>
      </c>
      <c r="DP3046" s="4" t="s">
        <v>241</v>
      </c>
      <c r="DQ3046" s="4" t="s">
        <v>241</v>
      </c>
      <c r="DR3046" s="4" t="s">
        <v>241</v>
      </c>
      <c r="DS3046" s="4" t="s">
        <v>241</v>
      </c>
      <c r="DV3046" s="4" t="s">
        <v>426</v>
      </c>
      <c r="DW3046" s="4" t="s">
        <v>1328</v>
      </c>
      <c r="HO3046" s="4" t="s">
        <v>267</v>
      </c>
    </row>
    <row r="3047" spans="1:223" ht="19.5" customHeight="1" x14ac:dyDescent="0.4">
      <c r="A3047" s="4">
        <v>1</v>
      </c>
      <c r="B3047" s="4" t="s">
        <v>239</v>
      </c>
      <c r="C3047" s="4">
        <v>4750</v>
      </c>
      <c r="D3047" s="4">
        <v>1</v>
      </c>
      <c r="E3047" s="4">
        <v>1</v>
      </c>
      <c r="F3047" s="4" t="s">
        <v>268</v>
      </c>
      <c r="G3047" s="4" t="s">
        <v>241</v>
      </c>
      <c r="H3047" s="4" t="s">
        <v>241</v>
      </c>
      <c r="I3047" s="4" t="s">
        <v>424</v>
      </c>
      <c r="J3047" s="4" t="s">
        <v>274</v>
      </c>
      <c r="K3047" s="4" t="s">
        <v>251</v>
      </c>
      <c r="L3047" s="4" t="s">
        <v>423</v>
      </c>
      <c r="M3047" s="5" t="s">
        <v>4143</v>
      </c>
      <c r="N3047" s="6">
        <f>402</f>
        <v>402</v>
      </c>
      <c r="O3047" s="4" t="s">
        <v>265</v>
      </c>
      <c r="P3047" s="6">
        <f>1</f>
        <v>1</v>
      </c>
      <c r="Q3047" s="6">
        <f>0</f>
        <v>0</v>
      </c>
      <c r="S3047" s="6">
        <f>0</f>
        <v>0</v>
      </c>
      <c r="T3047" s="6">
        <f>1</f>
        <v>1</v>
      </c>
      <c r="U3047" s="5" t="s">
        <v>245</v>
      </c>
      <c r="V3047" s="4" t="s">
        <v>270</v>
      </c>
      <c r="W3047" s="4" t="s">
        <v>271</v>
      </c>
      <c r="X3047" s="4" t="s">
        <v>273</v>
      </c>
      <c r="Y3047" s="4" t="s">
        <v>241</v>
      </c>
      <c r="AB3047" s="4" t="s">
        <v>241</v>
      </c>
      <c r="AD3047" s="5" t="s">
        <v>241</v>
      </c>
      <c r="AG3047" s="5" t="s">
        <v>246</v>
      </c>
      <c r="AH3047" s="4" t="s">
        <v>241</v>
      </c>
      <c r="AI3047" s="4" t="s">
        <v>247</v>
      </c>
      <c r="AJ3047" s="4" t="s">
        <v>248</v>
      </c>
      <c r="AZ3047" s="4" t="s">
        <v>249</v>
      </c>
      <c r="BA3047" s="4" t="s">
        <v>241</v>
      </c>
      <c r="BB3047" s="4" t="s">
        <v>250</v>
      </c>
      <c r="BC3047" s="4" t="s">
        <v>241</v>
      </c>
      <c r="BD3047" s="4" t="s">
        <v>252</v>
      </c>
      <c r="BE3047" s="4" t="s">
        <v>241</v>
      </c>
      <c r="BI3047" s="4" t="s">
        <v>253</v>
      </c>
      <c r="BJ3047" s="5" t="s">
        <v>246</v>
      </c>
      <c r="BK3047" s="4" t="s">
        <v>254</v>
      </c>
      <c r="BL3047" s="4" t="s">
        <v>255</v>
      </c>
      <c r="BM3047" s="4" t="s">
        <v>241</v>
      </c>
      <c r="BN3047" s="6">
        <f>0</f>
        <v>0</v>
      </c>
      <c r="BO3047" s="6">
        <f>0</f>
        <v>0</v>
      </c>
      <c r="BP3047" s="4" t="s">
        <v>256</v>
      </c>
      <c r="BQ3047" s="4" t="s">
        <v>257</v>
      </c>
      <c r="CE3047" s="4" t="s">
        <v>241</v>
      </c>
      <c r="CF3047" s="4" t="s">
        <v>241</v>
      </c>
      <c r="CJ3047" s="4" t="s">
        <v>276</v>
      </c>
      <c r="CK3047" s="4" t="s">
        <v>259</v>
      </c>
      <c r="CL3047" s="4" t="s">
        <v>241</v>
      </c>
      <c r="CO3047" s="5" t="s">
        <v>260</v>
      </c>
      <c r="CP3047" s="4" t="s">
        <v>241</v>
      </c>
      <c r="CQ3047" s="4" t="s">
        <v>261</v>
      </c>
      <c r="CR3047" s="4" t="s">
        <v>241</v>
      </c>
      <c r="CS3047" s="4" t="s">
        <v>241</v>
      </c>
      <c r="CT3047" s="4">
        <v>0</v>
      </c>
      <c r="CU3047" s="4" t="s">
        <v>262</v>
      </c>
      <c r="CV3047" s="4" t="s">
        <v>263</v>
      </c>
      <c r="CW3047" s="4" t="s">
        <v>263</v>
      </c>
      <c r="CX3047" s="4" t="s">
        <v>264</v>
      </c>
      <c r="DA3047" s="6">
        <f>1</f>
        <v>1</v>
      </c>
      <c r="DC3047" s="4" t="s">
        <v>325</v>
      </c>
      <c r="DD3047" s="4" t="s">
        <v>241</v>
      </c>
      <c r="DF3047" s="4" t="s">
        <v>325</v>
      </c>
      <c r="DG3047" s="6">
        <f>402</f>
        <v>402</v>
      </c>
      <c r="DI3047" s="4" t="s">
        <v>241</v>
      </c>
      <c r="DJ3047" s="4" t="s">
        <v>241</v>
      </c>
      <c r="DK3047" s="4" t="s">
        <v>241</v>
      </c>
      <c r="DL3047" s="4" t="s">
        <v>241</v>
      </c>
      <c r="DP3047" s="4" t="s">
        <v>241</v>
      </c>
      <c r="DQ3047" s="4" t="s">
        <v>241</v>
      </c>
      <c r="DR3047" s="4" t="s">
        <v>241</v>
      </c>
      <c r="DS3047" s="4" t="s">
        <v>241</v>
      </c>
      <c r="DV3047" s="4" t="s">
        <v>426</v>
      </c>
      <c r="DW3047" s="4" t="s">
        <v>1066</v>
      </c>
      <c r="HO3047" s="4" t="s">
        <v>267</v>
      </c>
    </row>
    <row r="3048" spans="1:223" ht="19.5" customHeight="1" x14ac:dyDescent="0.4">
      <c r="A3048" s="4">
        <v>1</v>
      </c>
      <c r="B3048" s="4" t="s">
        <v>239</v>
      </c>
      <c r="C3048" s="4">
        <v>4751</v>
      </c>
      <c r="D3048" s="4">
        <v>1</v>
      </c>
      <c r="E3048" s="4">
        <v>1</v>
      </c>
      <c r="F3048" s="4" t="s">
        <v>268</v>
      </c>
      <c r="G3048" s="4" t="s">
        <v>241</v>
      </c>
      <c r="H3048" s="4" t="s">
        <v>241</v>
      </c>
      <c r="I3048" s="4" t="s">
        <v>424</v>
      </c>
      <c r="J3048" s="4" t="s">
        <v>274</v>
      </c>
      <c r="K3048" s="4" t="s">
        <v>251</v>
      </c>
      <c r="L3048" s="4" t="s">
        <v>423</v>
      </c>
      <c r="M3048" s="5" t="s">
        <v>4132</v>
      </c>
      <c r="N3048" s="6">
        <f>465</f>
        <v>465</v>
      </c>
      <c r="O3048" s="4" t="s">
        <v>265</v>
      </c>
      <c r="P3048" s="6">
        <f>1</f>
        <v>1</v>
      </c>
      <c r="Q3048" s="6">
        <f>0</f>
        <v>0</v>
      </c>
      <c r="S3048" s="6">
        <f>0</f>
        <v>0</v>
      </c>
      <c r="T3048" s="6">
        <f>1</f>
        <v>1</v>
      </c>
      <c r="U3048" s="5" t="s">
        <v>245</v>
      </c>
      <c r="V3048" s="4" t="s">
        <v>270</v>
      </c>
      <c r="W3048" s="4" t="s">
        <v>271</v>
      </c>
      <c r="X3048" s="4" t="s">
        <v>273</v>
      </c>
      <c r="Y3048" s="4" t="s">
        <v>241</v>
      </c>
      <c r="AB3048" s="4" t="s">
        <v>241</v>
      </c>
      <c r="AD3048" s="5" t="s">
        <v>241</v>
      </c>
      <c r="AG3048" s="5" t="s">
        <v>246</v>
      </c>
      <c r="AH3048" s="4" t="s">
        <v>241</v>
      </c>
      <c r="AI3048" s="4" t="s">
        <v>247</v>
      </c>
      <c r="AJ3048" s="4" t="s">
        <v>248</v>
      </c>
      <c r="AZ3048" s="4" t="s">
        <v>249</v>
      </c>
      <c r="BA3048" s="4" t="s">
        <v>241</v>
      </c>
      <c r="BB3048" s="4" t="s">
        <v>250</v>
      </c>
      <c r="BC3048" s="4" t="s">
        <v>241</v>
      </c>
      <c r="BD3048" s="4" t="s">
        <v>252</v>
      </c>
      <c r="BE3048" s="4" t="s">
        <v>241</v>
      </c>
      <c r="BI3048" s="4" t="s">
        <v>253</v>
      </c>
      <c r="BJ3048" s="5" t="s">
        <v>246</v>
      </c>
      <c r="BK3048" s="4" t="s">
        <v>254</v>
      </c>
      <c r="BL3048" s="4" t="s">
        <v>255</v>
      </c>
      <c r="BM3048" s="4" t="s">
        <v>241</v>
      </c>
      <c r="BN3048" s="6">
        <f>0</f>
        <v>0</v>
      </c>
      <c r="BO3048" s="6">
        <f>0</f>
        <v>0</v>
      </c>
      <c r="BP3048" s="4" t="s">
        <v>256</v>
      </c>
      <c r="BQ3048" s="4" t="s">
        <v>257</v>
      </c>
      <c r="CE3048" s="4" t="s">
        <v>241</v>
      </c>
      <c r="CF3048" s="4" t="s">
        <v>241</v>
      </c>
      <c r="CJ3048" s="4" t="s">
        <v>276</v>
      </c>
      <c r="CK3048" s="4" t="s">
        <v>259</v>
      </c>
      <c r="CL3048" s="4" t="s">
        <v>241</v>
      </c>
      <c r="CO3048" s="5" t="s">
        <v>260</v>
      </c>
      <c r="CP3048" s="4" t="s">
        <v>241</v>
      </c>
      <c r="CQ3048" s="4" t="s">
        <v>261</v>
      </c>
      <c r="CR3048" s="4" t="s">
        <v>241</v>
      </c>
      <c r="CS3048" s="4" t="s">
        <v>241</v>
      </c>
      <c r="CT3048" s="4">
        <v>0</v>
      </c>
      <c r="CU3048" s="4" t="s">
        <v>262</v>
      </c>
      <c r="CV3048" s="4" t="s">
        <v>263</v>
      </c>
      <c r="CW3048" s="4" t="s">
        <v>263</v>
      </c>
      <c r="CX3048" s="4" t="s">
        <v>264</v>
      </c>
      <c r="DA3048" s="6">
        <f>1</f>
        <v>1</v>
      </c>
      <c r="DC3048" s="4" t="s">
        <v>325</v>
      </c>
      <c r="DD3048" s="4" t="s">
        <v>241</v>
      </c>
      <c r="DF3048" s="4" t="s">
        <v>325</v>
      </c>
      <c r="DG3048" s="6">
        <f>465</f>
        <v>465</v>
      </c>
      <c r="DI3048" s="4" t="s">
        <v>241</v>
      </c>
      <c r="DJ3048" s="4" t="s">
        <v>241</v>
      </c>
      <c r="DK3048" s="4" t="s">
        <v>241</v>
      </c>
      <c r="DL3048" s="4" t="s">
        <v>241</v>
      </c>
      <c r="DP3048" s="4" t="s">
        <v>241</v>
      </c>
      <c r="DQ3048" s="4" t="s">
        <v>241</v>
      </c>
      <c r="DR3048" s="4" t="s">
        <v>241</v>
      </c>
      <c r="DS3048" s="4" t="s">
        <v>241</v>
      </c>
      <c r="DV3048" s="4" t="s">
        <v>426</v>
      </c>
      <c r="DW3048" s="4" t="s">
        <v>2810</v>
      </c>
      <c r="HO3048" s="4" t="s">
        <v>267</v>
      </c>
    </row>
    <row r="3049" spans="1:223" ht="19.5" customHeight="1" x14ac:dyDescent="0.4">
      <c r="A3049" s="4">
        <v>1</v>
      </c>
      <c r="B3049" s="4" t="s">
        <v>239</v>
      </c>
      <c r="C3049" s="4">
        <v>4752</v>
      </c>
      <c r="D3049" s="4">
        <v>1</v>
      </c>
      <c r="E3049" s="4">
        <v>1</v>
      </c>
      <c r="F3049" s="4" t="s">
        <v>268</v>
      </c>
      <c r="G3049" s="4" t="s">
        <v>241</v>
      </c>
      <c r="H3049" s="4" t="s">
        <v>241</v>
      </c>
      <c r="I3049" s="4" t="s">
        <v>424</v>
      </c>
      <c r="J3049" s="4" t="s">
        <v>274</v>
      </c>
      <c r="K3049" s="4" t="s">
        <v>251</v>
      </c>
      <c r="L3049" s="4" t="s">
        <v>423</v>
      </c>
      <c r="M3049" s="5" t="s">
        <v>4121</v>
      </c>
      <c r="N3049" s="6">
        <f>625</f>
        <v>625</v>
      </c>
      <c r="O3049" s="4" t="s">
        <v>265</v>
      </c>
      <c r="P3049" s="6">
        <f>1</f>
        <v>1</v>
      </c>
      <c r="Q3049" s="6">
        <f>0</f>
        <v>0</v>
      </c>
      <c r="S3049" s="6">
        <f>0</f>
        <v>0</v>
      </c>
      <c r="T3049" s="6">
        <f>1</f>
        <v>1</v>
      </c>
      <c r="U3049" s="5" t="s">
        <v>245</v>
      </c>
      <c r="V3049" s="4" t="s">
        <v>270</v>
      </c>
      <c r="W3049" s="4" t="s">
        <v>271</v>
      </c>
      <c r="X3049" s="4" t="s">
        <v>273</v>
      </c>
      <c r="Y3049" s="4" t="s">
        <v>241</v>
      </c>
      <c r="AB3049" s="4" t="s">
        <v>241</v>
      </c>
      <c r="AD3049" s="5" t="s">
        <v>241</v>
      </c>
      <c r="AG3049" s="5" t="s">
        <v>246</v>
      </c>
      <c r="AH3049" s="4" t="s">
        <v>241</v>
      </c>
      <c r="AI3049" s="4" t="s">
        <v>247</v>
      </c>
      <c r="AJ3049" s="4" t="s">
        <v>248</v>
      </c>
      <c r="AZ3049" s="4" t="s">
        <v>249</v>
      </c>
      <c r="BA3049" s="4" t="s">
        <v>241</v>
      </c>
      <c r="BB3049" s="4" t="s">
        <v>250</v>
      </c>
      <c r="BC3049" s="4" t="s">
        <v>241</v>
      </c>
      <c r="BD3049" s="4" t="s">
        <v>252</v>
      </c>
      <c r="BE3049" s="4" t="s">
        <v>241</v>
      </c>
      <c r="BI3049" s="4" t="s">
        <v>253</v>
      </c>
      <c r="BJ3049" s="5" t="s">
        <v>246</v>
      </c>
      <c r="BK3049" s="4" t="s">
        <v>254</v>
      </c>
      <c r="BL3049" s="4" t="s">
        <v>255</v>
      </c>
      <c r="BM3049" s="4" t="s">
        <v>241</v>
      </c>
      <c r="BN3049" s="6">
        <f>0</f>
        <v>0</v>
      </c>
      <c r="BO3049" s="6">
        <f>0</f>
        <v>0</v>
      </c>
      <c r="BP3049" s="4" t="s">
        <v>256</v>
      </c>
      <c r="BQ3049" s="4" t="s">
        <v>257</v>
      </c>
      <c r="CE3049" s="4" t="s">
        <v>241</v>
      </c>
      <c r="CF3049" s="4" t="s">
        <v>241</v>
      </c>
      <c r="CJ3049" s="4" t="s">
        <v>276</v>
      </c>
      <c r="CK3049" s="4" t="s">
        <v>259</v>
      </c>
      <c r="CL3049" s="4" t="s">
        <v>241</v>
      </c>
      <c r="CO3049" s="5" t="s">
        <v>260</v>
      </c>
      <c r="CP3049" s="4" t="s">
        <v>241</v>
      </c>
      <c r="CQ3049" s="4" t="s">
        <v>261</v>
      </c>
      <c r="CR3049" s="4" t="s">
        <v>241</v>
      </c>
      <c r="CS3049" s="4" t="s">
        <v>241</v>
      </c>
      <c r="CT3049" s="4">
        <v>0</v>
      </c>
      <c r="CU3049" s="4" t="s">
        <v>262</v>
      </c>
      <c r="CV3049" s="4" t="s">
        <v>263</v>
      </c>
      <c r="CW3049" s="4" t="s">
        <v>263</v>
      </c>
      <c r="CX3049" s="4" t="s">
        <v>264</v>
      </c>
      <c r="DA3049" s="6">
        <f>1</f>
        <v>1</v>
      </c>
      <c r="DC3049" s="4" t="s">
        <v>325</v>
      </c>
      <c r="DD3049" s="4" t="s">
        <v>241</v>
      </c>
      <c r="DF3049" s="4" t="s">
        <v>325</v>
      </c>
      <c r="DG3049" s="6">
        <f>625</f>
        <v>625</v>
      </c>
      <c r="DI3049" s="4" t="s">
        <v>241</v>
      </c>
      <c r="DJ3049" s="4" t="s">
        <v>241</v>
      </c>
      <c r="DK3049" s="4" t="s">
        <v>241</v>
      </c>
      <c r="DL3049" s="4" t="s">
        <v>241</v>
      </c>
      <c r="DP3049" s="4" t="s">
        <v>241</v>
      </c>
      <c r="DQ3049" s="4" t="s">
        <v>241</v>
      </c>
      <c r="DR3049" s="4" t="s">
        <v>241</v>
      </c>
      <c r="DS3049" s="4" t="s">
        <v>241</v>
      </c>
      <c r="DV3049" s="4" t="s">
        <v>426</v>
      </c>
      <c r="DW3049" s="4" t="s">
        <v>1103</v>
      </c>
      <c r="HO3049" s="4" t="s">
        <v>267</v>
      </c>
    </row>
    <row r="3050" spans="1:223" ht="19.5" customHeight="1" x14ac:dyDescent="0.4">
      <c r="A3050" s="4">
        <v>1</v>
      </c>
      <c r="B3050" s="4" t="s">
        <v>239</v>
      </c>
      <c r="C3050" s="4">
        <v>4753</v>
      </c>
      <c r="D3050" s="4">
        <v>1</v>
      </c>
      <c r="E3050" s="4">
        <v>1</v>
      </c>
      <c r="F3050" s="4" t="s">
        <v>268</v>
      </c>
      <c r="G3050" s="4" t="s">
        <v>241</v>
      </c>
      <c r="H3050" s="4" t="s">
        <v>241</v>
      </c>
      <c r="I3050" s="4" t="s">
        <v>424</v>
      </c>
      <c r="J3050" s="4" t="s">
        <v>274</v>
      </c>
      <c r="K3050" s="4" t="s">
        <v>251</v>
      </c>
      <c r="L3050" s="4" t="s">
        <v>423</v>
      </c>
      <c r="M3050" s="5" t="s">
        <v>4113</v>
      </c>
      <c r="N3050" s="6">
        <f>291</f>
        <v>291</v>
      </c>
      <c r="O3050" s="4" t="s">
        <v>265</v>
      </c>
      <c r="P3050" s="6">
        <f>1</f>
        <v>1</v>
      </c>
      <c r="Q3050" s="6">
        <f>0</f>
        <v>0</v>
      </c>
      <c r="S3050" s="6">
        <f>0</f>
        <v>0</v>
      </c>
      <c r="T3050" s="6">
        <f>1</f>
        <v>1</v>
      </c>
      <c r="U3050" s="5" t="s">
        <v>245</v>
      </c>
      <c r="V3050" s="4" t="s">
        <v>270</v>
      </c>
      <c r="W3050" s="4" t="s">
        <v>271</v>
      </c>
      <c r="X3050" s="4" t="s">
        <v>273</v>
      </c>
      <c r="Y3050" s="4" t="s">
        <v>241</v>
      </c>
      <c r="AB3050" s="4" t="s">
        <v>241</v>
      </c>
      <c r="AD3050" s="5" t="s">
        <v>241</v>
      </c>
      <c r="AG3050" s="5" t="s">
        <v>246</v>
      </c>
      <c r="AH3050" s="4" t="s">
        <v>241</v>
      </c>
      <c r="AI3050" s="4" t="s">
        <v>247</v>
      </c>
      <c r="AJ3050" s="4" t="s">
        <v>248</v>
      </c>
      <c r="AZ3050" s="4" t="s">
        <v>249</v>
      </c>
      <c r="BA3050" s="4" t="s">
        <v>241</v>
      </c>
      <c r="BB3050" s="4" t="s">
        <v>250</v>
      </c>
      <c r="BC3050" s="4" t="s">
        <v>241</v>
      </c>
      <c r="BD3050" s="4" t="s">
        <v>252</v>
      </c>
      <c r="BE3050" s="4" t="s">
        <v>241</v>
      </c>
      <c r="BI3050" s="4" t="s">
        <v>253</v>
      </c>
      <c r="BJ3050" s="5" t="s">
        <v>246</v>
      </c>
      <c r="BK3050" s="4" t="s">
        <v>254</v>
      </c>
      <c r="BL3050" s="4" t="s">
        <v>255</v>
      </c>
      <c r="BM3050" s="4" t="s">
        <v>241</v>
      </c>
      <c r="BN3050" s="6">
        <f>0</f>
        <v>0</v>
      </c>
      <c r="BO3050" s="6">
        <f>0</f>
        <v>0</v>
      </c>
      <c r="BP3050" s="4" t="s">
        <v>256</v>
      </c>
      <c r="BQ3050" s="4" t="s">
        <v>257</v>
      </c>
      <c r="CE3050" s="4" t="s">
        <v>241</v>
      </c>
      <c r="CF3050" s="4" t="s">
        <v>241</v>
      </c>
      <c r="CJ3050" s="4" t="s">
        <v>276</v>
      </c>
      <c r="CK3050" s="4" t="s">
        <v>259</v>
      </c>
      <c r="CL3050" s="4" t="s">
        <v>241</v>
      </c>
      <c r="CO3050" s="5" t="s">
        <v>260</v>
      </c>
      <c r="CP3050" s="4" t="s">
        <v>241</v>
      </c>
      <c r="CQ3050" s="4" t="s">
        <v>261</v>
      </c>
      <c r="CR3050" s="4" t="s">
        <v>241</v>
      </c>
      <c r="CS3050" s="4" t="s">
        <v>241</v>
      </c>
      <c r="CT3050" s="4">
        <v>0</v>
      </c>
      <c r="CU3050" s="4" t="s">
        <v>262</v>
      </c>
      <c r="CV3050" s="4" t="s">
        <v>263</v>
      </c>
      <c r="CW3050" s="4" t="s">
        <v>263</v>
      </c>
      <c r="CX3050" s="4" t="s">
        <v>264</v>
      </c>
      <c r="DA3050" s="6">
        <f>1</f>
        <v>1</v>
      </c>
      <c r="DC3050" s="4" t="s">
        <v>325</v>
      </c>
      <c r="DD3050" s="4" t="s">
        <v>241</v>
      </c>
      <c r="DF3050" s="4" t="s">
        <v>325</v>
      </c>
      <c r="DG3050" s="6">
        <f>291</f>
        <v>291</v>
      </c>
      <c r="DI3050" s="4" t="s">
        <v>241</v>
      </c>
      <c r="DJ3050" s="4" t="s">
        <v>241</v>
      </c>
      <c r="DK3050" s="4" t="s">
        <v>241</v>
      </c>
      <c r="DL3050" s="4" t="s">
        <v>241</v>
      </c>
      <c r="DP3050" s="4" t="s">
        <v>241</v>
      </c>
      <c r="DQ3050" s="4" t="s">
        <v>241</v>
      </c>
      <c r="DR3050" s="4" t="s">
        <v>241</v>
      </c>
      <c r="DS3050" s="4" t="s">
        <v>241</v>
      </c>
      <c r="DV3050" s="4" t="s">
        <v>426</v>
      </c>
      <c r="DW3050" s="4" t="s">
        <v>374</v>
      </c>
      <c r="HO3050" s="4" t="s">
        <v>267</v>
      </c>
    </row>
    <row r="3051" spans="1:223" ht="19.5" customHeight="1" x14ac:dyDescent="0.4">
      <c r="A3051" s="4">
        <v>1</v>
      </c>
      <c r="B3051" s="4" t="s">
        <v>239</v>
      </c>
      <c r="C3051" s="4">
        <v>4754</v>
      </c>
      <c r="D3051" s="4">
        <v>1</v>
      </c>
      <c r="E3051" s="4">
        <v>1</v>
      </c>
      <c r="F3051" s="4" t="s">
        <v>268</v>
      </c>
      <c r="G3051" s="4" t="s">
        <v>241</v>
      </c>
      <c r="H3051" s="4" t="s">
        <v>241</v>
      </c>
      <c r="I3051" s="4" t="s">
        <v>424</v>
      </c>
      <c r="J3051" s="4" t="s">
        <v>274</v>
      </c>
      <c r="K3051" s="4" t="s">
        <v>251</v>
      </c>
      <c r="L3051" s="4" t="s">
        <v>423</v>
      </c>
      <c r="M3051" s="5" t="s">
        <v>4105</v>
      </c>
      <c r="N3051" s="6">
        <f>555</f>
        <v>555</v>
      </c>
      <c r="O3051" s="4" t="s">
        <v>265</v>
      </c>
      <c r="P3051" s="6">
        <f>1</f>
        <v>1</v>
      </c>
      <c r="Q3051" s="6">
        <f>0</f>
        <v>0</v>
      </c>
      <c r="S3051" s="6">
        <f>0</f>
        <v>0</v>
      </c>
      <c r="T3051" s="6">
        <f>1</f>
        <v>1</v>
      </c>
      <c r="U3051" s="5" t="s">
        <v>245</v>
      </c>
      <c r="V3051" s="4" t="s">
        <v>270</v>
      </c>
      <c r="W3051" s="4" t="s">
        <v>271</v>
      </c>
      <c r="X3051" s="4" t="s">
        <v>273</v>
      </c>
      <c r="Y3051" s="4" t="s">
        <v>241</v>
      </c>
      <c r="AB3051" s="4" t="s">
        <v>241</v>
      </c>
      <c r="AD3051" s="5" t="s">
        <v>241</v>
      </c>
      <c r="AG3051" s="5" t="s">
        <v>246</v>
      </c>
      <c r="AH3051" s="4" t="s">
        <v>241</v>
      </c>
      <c r="AI3051" s="4" t="s">
        <v>247</v>
      </c>
      <c r="AJ3051" s="4" t="s">
        <v>248</v>
      </c>
      <c r="AZ3051" s="4" t="s">
        <v>249</v>
      </c>
      <c r="BA3051" s="4" t="s">
        <v>241</v>
      </c>
      <c r="BB3051" s="4" t="s">
        <v>250</v>
      </c>
      <c r="BC3051" s="4" t="s">
        <v>241</v>
      </c>
      <c r="BD3051" s="4" t="s">
        <v>252</v>
      </c>
      <c r="BE3051" s="4" t="s">
        <v>241</v>
      </c>
      <c r="BI3051" s="4" t="s">
        <v>253</v>
      </c>
      <c r="BJ3051" s="5" t="s">
        <v>246</v>
      </c>
      <c r="BK3051" s="4" t="s">
        <v>254</v>
      </c>
      <c r="BL3051" s="4" t="s">
        <v>255</v>
      </c>
      <c r="BM3051" s="4" t="s">
        <v>241</v>
      </c>
      <c r="BN3051" s="6">
        <f>0</f>
        <v>0</v>
      </c>
      <c r="BO3051" s="6">
        <f>0</f>
        <v>0</v>
      </c>
      <c r="BP3051" s="4" t="s">
        <v>256</v>
      </c>
      <c r="BQ3051" s="4" t="s">
        <v>257</v>
      </c>
      <c r="CE3051" s="4" t="s">
        <v>241</v>
      </c>
      <c r="CF3051" s="4" t="s">
        <v>241</v>
      </c>
      <c r="CJ3051" s="4" t="s">
        <v>276</v>
      </c>
      <c r="CK3051" s="4" t="s">
        <v>259</v>
      </c>
      <c r="CL3051" s="4" t="s">
        <v>241</v>
      </c>
      <c r="CO3051" s="5" t="s">
        <v>260</v>
      </c>
      <c r="CP3051" s="4" t="s">
        <v>241</v>
      </c>
      <c r="CQ3051" s="4" t="s">
        <v>261</v>
      </c>
      <c r="CR3051" s="4" t="s">
        <v>241</v>
      </c>
      <c r="CS3051" s="4" t="s">
        <v>241</v>
      </c>
      <c r="CT3051" s="4">
        <v>0</v>
      </c>
      <c r="CU3051" s="4" t="s">
        <v>262</v>
      </c>
      <c r="CV3051" s="4" t="s">
        <v>263</v>
      </c>
      <c r="CW3051" s="4" t="s">
        <v>263</v>
      </c>
      <c r="CX3051" s="4" t="s">
        <v>264</v>
      </c>
      <c r="DA3051" s="6">
        <f>1</f>
        <v>1</v>
      </c>
      <c r="DC3051" s="4" t="s">
        <v>325</v>
      </c>
      <c r="DD3051" s="4" t="s">
        <v>241</v>
      </c>
      <c r="DF3051" s="4" t="s">
        <v>325</v>
      </c>
      <c r="DG3051" s="6">
        <f>555</f>
        <v>555</v>
      </c>
      <c r="DI3051" s="4" t="s">
        <v>241</v>
      </c>
      <c r="DJ3051" s="4" t="s">
        <v>241</v>
      </c>
      <c r="DK3051" s="4" t="s">
        <v>241</v>
      </c>
      <c r="DL3051" s="4" t="s">
        <v>241</v>
      </c>
      <c r="DP3051" s="4" t="s">
        <v>241</v>
      </c>
      <c r="DQ3051" s="4" t="s">
        <v>241</v>
      </c>
      <c r="DR3051" s="4" t="s">
        <v>241</v>
      </c>
      <c r="DS3051" s="4" t="s">
        <v>241</v>
      </c>
      <c r="DV3051" s="4" t="s">
        <v>426</v>
      </c>
      <c r="DW3051" s="4" t="s">
        <v>1098</v>
      </c>
      <c r="HO3051" s="4" t="s">
        <v>267</v>
      </c>
    </row>
    <row r="3052" spans="1:223" ht="19.5" customHeight="1" x14ac:dyDescent="0.4">
      <c r="A3052" s="4">
        <v>1</v>
      </c>
      <c r="B3052" s="4" t="s">
        <v>239</v>
      </c>
      <c r="C3052" s="4">
        <v>4755</v>
      </c>
      <c r="D3052" s="4">
        <v>1</v>
      </c>
      <c r="E3052" s="4">
        <v>1</v>
      </c>
      <c r="F3052" s="4" t="s">
        <v>268</v>
      </c>
      <c r="G3052" s="4" t="s">
        <v>241</v>
      </c>
      <c r="H3052" s="4" t="s">
        <v>241</v>
      </c>
      <c r="I3052" s="4" t="s">
        <v>424</v>
      </c>
      <c r="J3052" s="4" t="s">
        <v>274</v>
      </c>
      <c r="K3052" s="4" t="s">
        <v>251</v>
      </c>
      <c r="L3052" s="4" t="s">
        <v>423</v>
      </c>
      <c r="M3052" s="5" t="s">
        <v>4097</v>
      </c>
      <c r="N3052" s="6">
        <f>288</f>
        <v>288</v>
      </c>
      <c r="O3052" s="4" t="s">
        <v>265</v>
      </c>
      <c r="P3052" s="6">
        <f>1</f>
        <v>1</v>
      </c>
      <c r="Q3052" s="6">
        <f>0</f>
        <v>0</v>
      </c>
      <c r="S3052" s="6">
        <f>0</f>
        <v>0</v>
      </c>
      <c r="T3052" s="6">
        <f>1</f>
        <v>1</v>
      </c>
      <c r="U3052" s="5" t="s">
        <v>245</v>
      </c>
      <c r="V3052" s="4" t="s">
        <v>270</v>
      </c>
      <c r="W3052" s="4" t="s">
        <v>271</v>
      </c>
      <c r="X3052" s="4" t="s">
        <v>273</v>
      </c>
      <c r="Y3052" s="4" t="s">
        <v>241</v>
      </c>
      <c r="AB3052" s="4" t="s">
        <v>241</v>
      </c>
      <c r="AD3052" s="5" t="s">
        <v>241</v>
      </c>
      <c r="AG3052" s="5" t="s">
        <v>246</v>
      </c>
      <c r="AH3052" s="4" t="s">
        <v>241</v>
      </c>
      <c r="AI3052" s="4" t="s">
        <v>247</v>
      </c>
      <c r="AJ3052" s="4" t="s">
        <v>248</v>
      </c>
      <c r="AZ3052" s="4" t="s">
        <v>249</v>
      </c>
      <c r="BA3052" s="4" t="s">
        <v>241</v>
      </c>
      <c r="BB3052" s="4" t="s">
        <v>250</v>
      </c>
      <c r="BC3052" s="4" t="s">
        <v>241</v>
      </c>
      <c r="BD3052" s="4" t="s">
        <v>252</v>
      </c>
      <c r="BE3052" s="4" t="s">
        <v>241</v>
      </c>
      <c r="BI3052" s="4" t="s">
        <v>253</v>
      </c>
      <c r="BJ3052" s="5" t="s">
        <v>246</v>
      </c>
      <c r="BK3052" s="4" t="s">
        <v>254</v>
      </c>
      <c r="BL3052" s="4" t="s">
        <v>255</v>
      </c>
      <c r="BM3052" s="4" t="s">
        <v>241</v>
      </c>
      <c r="BN3052" s="6">
        <f>0</f>
        <v>0</v>
      </c>
      <c r="BO3052" s="6">
        <f>0</f>
        <v>0</v>
      </c>
      <c r="BP3052" s="4" t="s">
        <v>256</v>
      </c>
      <c r="BQ3052" s="4" t="s">
        <v>257</v>
      </c>
      <c r="CE3052" s="4" t="s">
        <v>241</v>
      </c>
      <c r="CF3052" s="4" t="s">
        <v>241</v>
      </c>
      <c r="CJ3052" s="4" t="s">
        <v>276</v>
      </c>
      <c r="CK3052" s="4" t="s">
        <v>259</v>
      </c>
      <c r="CL3052" s="4" t="s">
        <v>241</v>
      </c>
      <c r="CO3052" s="5" t="s">
        <v>260</v>
      </c>
      <c r="CP3052" s="4" t="s">
        <v>241</v>
      </c>
      <c r="CQ3052" s="4" t="s">
        <v>261</v>
      </c>
      <c r="CR3052" s="4" t="s">
        <v>241</v>
      </c>
      <c r="CS3052" s="4" t="s">
        <v>241</v>
      </c>
      <c r="CT3052" s="4">
        <v>0</v>
      </c>
      <c r="CU3052" s="4" t="s">
        <v>262</v>
      </c>
      <c r="CV3052" s="4" t="s">
        <v>263</v>
      </c>
      <c r="CW3052" s="4" t="s">
        <v>263</v>
      </c>
      <c r="CX3052" s="4" t="s">
        <v>264</v>
      </c>
      <c r="DA3052" s="6">
        <f>1</f>
        <v>1</v>
      </c>
      <c r="DC3052" s="4" t="s">
        <v>325</v>
      </c>
      <c r="DD3052" s="4" t="s">
        <v>241</v>
      </c>
      <c r="DF3052" s="4" t="s">
        <v>325</v>
      </c>
      <c r="DG3052" s="6">
        <f>288</f>
        <v>288</v>
      </c>
      <c r="DI3052" s="4" t="s">
        <v>241</v>
      </c>
      <c r="DJ3052" s="4" t="s">
        <v>241</v>
      </c>
      <c r="DK3052" s="4" t="s">
        <v>241</v>
      </c>
      <c r="DL3052" s="4" t="s">
        <v>241</v>
      </c>
      <c r="DP3052" s="4" t="s">
        <v>241</v>
      </c>
      <c r="DQ3052" s="4" t="s">
        <v>241</v>
      </c>
      <c r="DR3052" s="4" t="s">
        <v>241</v>
      </c>
      <c r="DS3052" s="4" t="s">
        <v>241</v>
      </c>
      <c r="DV3052" s="4" t="s">
        <v>426</v>
      </c>
      <c r="DW3052" s="4" t="s">
        <v>404</v>
      </c>
      <c r="HO3052" s="4" t="s">
        <v>267</v>
      </c>
    </row>
    <row r="3053" spans="1:223" ht="19.5" customHeight="1" x14ac:dyDescent="0.4">
      <c r="A3053" s="4">
        <v>1</v>
      </c>
      <c r="B3053" s="4" t="s">
        <v>239</v>
      </c>
      <c r="C3053" s="4">
        <v>4756</v>
      </c>
      <c r="D3053" s="4">
        <v>1</v>
      </c>
      <c r="E3053" s="4">
        <v>1</v>
      </c>
      <c r="F3053" s="4" t="s">
        <v>268</v>
      </c>
      <c r="G3053" s="4" t="s">
        <v>241</v>
      </c>
      <c r="H3053" s="4" t="s">
        <v>241</v>
      </c>
      <c r="I3053" s="4" t="s">
        <v>424</v>
      </c>
      <c r="J3053" s="4" t="s">
        <v>274</v>
      </c>
      <c r="K3053" s="4" t="s">
        <v>251</v>
      </c>
      <c r="L3053" s="4" t="s">
        <v>423</v>
      </c>
      <c r="M3053" s="5" t="s">
        <v>4090</v>
      </c>
      <c r="N3053" s="6">
        <f>182</f>
        <v>182</v>
      </c>
      <c r="O3053" s="4" t="s">
        <v>265</v>
      </c>
      <c r="P3053" s="6">
        <f>1</f>
        <v>1</v>
      </c>
      <c r="Q3053" s="6">
        <f>0</f>
        <v>0</v>
      </c>
      <c r="S3053" s="6">
        <f>0</f>
        <v>0</v>
      </c>
      <c r="T3053" s="6">
        <f>1</f>
        <v>1</v>
      </c>
      <c r="U3053" s="5" t="s">
        <v>245</v>
      </c>
      <c r="V3053" s="4" t="s">
        <v>270</v>
      </c>
      <c r="W3053" s="4" t="s">
        <v>271</v>
      </c>
      <c r="X3053" s="4" t="s">
        <v>273</v>
      </c>
      <c r="Y3053" s="4" t="s">
        <v>241</v>
      </c>
      <c r="AB3053" s="4" t="s">
        <v>241</v>
      </c>
      <c r="AD3053" s="5" t="s">
        <v>241</v>
      </c>
      <c r="AG3053" s="5" t="s">
        <v>246</v>
      </c>
      <c r="AH3053" s="4" t="s">
        <v>241</v>
      </c>
      <c r="AI3053" s="4" t="s">
        <v>247</v>
      </c>
      <c r="AJ3053" s="4" t="s">
        <v>248</v>
      </c>
      <c r="AZ3053" s="4" t="s">
        <v>249</v>
      </c>
      <c r="BA3053" s="4" t="s">
        <v>241</v>
      </c>
      <c r="BB3053" s="4" t="s">
        <v>250</v>
      </c>
      <c r="BC3053" s="4" t="s">
        <v>241</v>
      </c>
      <c r="BD3053" s="4" t="s">
        <v>252</v>
      </c>
      <c r="BE3053" s="4" t="s">
        <v>241</v>
      </c>
      <c r="BI3053" s="4" t="s">
        <v>253</v>
      </c>
      <c r="BJ3053" s="5" t="s">
        <v>246</v>
      </c>
      <c r="BK3053" s="4" t="s">
        <v>254</v>
      </c>
      <c r="BL3053" s="4" t="s">
        <v>255</v>
      </c>
      <c r="BM3053" s="4" t="s">
        <v>241</v>
      </c>
      <c r="BN3053" s="6">
        <f>0</f>
        <v>0</v>
      </c>
      <c r="BO3053" s="6">
        <f>0</f>
        <v>0</v>
      </c>
      <c r="BP3053" s="4" t="s">
        <v>256</v>
      </c>
      <c r="BQ3053" s="4" t="s">
        <v>257</v>
      </c>
      <c r="CE3053" s="4" t="s">
        <v>241</v>
      </c>
      <c r="CF3053" s="4" t="s">
        <v>241</v>
      </c>
      <c r="CJ3053" s="4" t="s">
        <v>276</v>
      </c>
      <c r="CK3053" s="4" t="s">
        <v>259</v>
      </c>
      <c r="CL3053" s="4" t="s">
        <v>241</v>
      </c>
      <c r="CO3053" s="5" t="s">
        <v>260</v>
      </c>
      <c r="CP3053" s="4" t="s">
        <v>241</v>
      </c>
      <c r="CQ3053" s="4" t="s">
        <v>261</v>
      </c>
      <c r="CR3053" s="4" t="s">
        <v>241</v>
      </c>
      <c r="CS3053" s="4" t="s">
        <v>241</v>
      </c>
      <c r="CT3053" s="4">
        <v>0</v>
      </c>
      <c r="CU3053" s="4" t="s">
        <v>262</v>
      </c>
      <c r="CV3053" s="4" t="s">
        <v>263</v>
      </c>
      <c r="CW3053" s="4" t="s">
        <v>263</v>
      </c>
      <c r="CX3053" s="4" t="s">
        <v>264</v>
      </c>
      <c r="DA3053" s="6">
        <f>1</f>
        <v>1</v>
      </c>
      <c r="DC3053" s="4" t="s">
        <v>325</v>
      </c>
      <c r="DD3053" s="4" t="s">
        <v>241</v>
      </c>
      <c r="DF3053" s="4" t="s">
        <v>325</v>
      </c>
      <c r="DG3053" s="6">
        <f>182</f>
        <v>182</v>
      </c>
      <c r="DI3053" s="4" t="s">
        <v>241</v>
      </c>
      <c r="DJ3053" s="4" t="s">
        <v>241</v>
      </c>
      <c r="DK3053" s="4" t="s">
        <v>241</v>
      </c>
      <c r="DL3053" s="4" t="s">
        <v>241</v>
      </c>
      <c r="DP3053" s="4" t="s">
        <v>241</v>
      </c>
      <c r="DQ3053" s="4" t="s">
        <v>241</v>
      </c>
      <c r="DR3053" s="4" t="s">
        <v>241</v>
      </c>
      <c r="DS3053" s="4" t="s">
        <v>241</v>
      </c>
      <c r="DV3053" s="4" t="s">
        <v>426</v>
      </c>
      <c r="DW3053" s="4" t="s">
        <v>1331</v>
      </c>
      <c r="HO3053" s="4" t="s">
        <v>267</v>
      </c>
    </row>
    <row r="3054" spans="1:223" ht="19.5" customHeight="1" x14ac:dyDescent="0.4">
      <c r="A3054" s="4">
        <v>1</v>
      </c>
      <c r="B3054" s="4" t="s">
        <v>239</v>
      </c>
      <c r="C3054" s="4">
        <v>4757</v>
      </c>
      <c r="D3054" s="4">
        <v>1</v>
      </c>
      <c r="E3054" s="4">
        <v>1</v>
      </c>
      <c r="F3054" s="4" t="s">
        <v>268</v>
      </c>
      <c r="G3054" s="4" t="s">
        <v>241</v>
      </c>
      <c r="H3054" s="4" t="s">
        <v>241</v>
      </c>
      <c r="I3054" s="4" t="s">
        <v>424</v>
      </c>
      <c r="J3054" s="4" t="s">
        <v>274</v>
      </c>
      <c r="K3054" s="4" t="s">
        <v>251</v>
      </c>
      <c r="L3054" s="4" t="s">
        <v>423</v>
      </c>
      <c r="M3054" s="5" t="s">
        <v>4083</v>
      </c>
      <c r="N3054" s="6">
        <f>1796</f>
        <v>1796</v>
      </c>
      <c r="O3054" s="4" t="s">
        <v>265</v>
      </c>
      <c r="P3054" s="6">
        <f>1</f>
        <v>1</v>
      </c>
      <c r="Q3054" s="6">
        <f>0</f>
        <v>0</v>
      </c>
      <c r="S3054" s="6">
        <f>0</f>
        <v>0</v>
      </c>
      <c r="T3054" s="6">
        <f>1</f>
        <v>1</v>
      </c>
      <c r="U3054" s="5" t="s">
        <v>245</v>
      </c>
      <c r="V3054" s="4" t="s">
        <v>270</v>
      </c>
      <c r="W3054" s="4" t="s">
        <v>271</v>
      </c>
      <c r="X3054" s="4" t="s">
        <v>273</v>
      </c>
      <c r="Y3054" s="4" t="s">
        <v>241</v>
      </c>
      <c r="AB3054" s="4" t="s">
        <v>241</v>
      </c>
      <c r="AD3054" s="5" t="s">
        <v>241</v>
      </c>
      <c r="AG3054" s="5" t="s">
        <v>246</v>
      </c>
      <c r="AH3054" s="4" t="s">
        <v>241</v>
      </c>
      <c r="AI3054" s="4" t="s">
        <v>247</v>
      </c>
      <c r="AJ3054" s="4" t="s">
        <v>248</v>
      </c>
      <c r="AZ3054" s="4" t="s">
        <v>249</v>
      </c>
      <c r="BA3054" s="4" t="s">
        <v>241</v>
      </c>
      <c r="BB3054" s="4" t="s">
        <v>250</v>
      </c>
      <c r="BC3054" s="4" t="s">
        <v>241</v>
      </c>
      <c r="BD3054" s="4" t="s">
        <v>252</v>
      </c>
      <c r="BE3054" s="4" t="s">
        <v>241</v>
      </c>
      <c r="BI3054" s="4" t="s">
        <v>253</v>
      </c>
      <c r="BJ3054" s="5" t="s">
        <v>246</v>
      </c>
      <c r="BK3054" s="4" t="s">
        <v>254</v>
      </c>
      <c r="BL3054" s="4" t="s">
        <v>255</v>
      </c>
      <c r="BM3054" s="4" t="s">
        <v>241</v>
      </c>
      <c r="BN3054" s="6">
        <f>0</f>
        <v>0</v>
      </c>
      <c r="BO3054" s="6">
        <f>0</f>
        <v>0</v>
      </c>
      <c r="BP3054" s="4" t="s">
        <v>256</v>
      </c>
      <c r="BQ3054" s="4" t="s">
        <v>257</v>
      </c>
      <c r="CE3054" s="4" t="s">
        <v>241</v>
      </c>
      <c r="CF3054" s="4" t="s">
        <v>241</v>
      </c>
      <c r="CJ3054" s="4" t="s">
        <v>276</v>
      </c>
      <c r="CK3054" s="4" t="s">
        <v>259</v>
      </c>
      <c r="CL3054" s="4" t="s">
        <v>241</v>
      </c>
      <c r="CO3054" s="5" t="s">
        <v>260</v>
      </c>
      <c r="CP3054" s="4" t="s">
        <v>241</v>
      </c>
      <c r="CQ3054" s="4" t="s">
        <v>261</v>
      </c>
      <c r="CR3054" s="4" t="s">
        <v>241</v>
      </c>
      <c r="CS3054" s="4" t="s">
        <v>241</v>
      </c>
      <c r="CT3054" s="4">
        <v>0</v>
      </c>
      <c r="CU3054" s="4" t="s">
        <v>262</v>
      </c>
      <c r="CV3054" s="4" t="s">
        <v>263</v>
      </c>
      <c r="CW3054" s="4" t="s">
        <v>263</v>
      </c>
      <c r="CX3054" s="4" t="s">
        <v>264</v>
      </c>
      <c r="DA3054" s="6">
        <f>1</f>
        <v>1</v>
      </c>
      <c r="DC3054" s="4" t="s">
        <v>325</v>
      </c>
      <c r="DD3054" s="4" t="s">
        <v>241</v>
      </c>
      <c r="DF3054" s="4" t="s">
        <v>325</v>
      </c>
      <c r="DG3054" s="6">
        <f>1796</f>
        <v>1796</v>
      </c>
      <c r="DI3054" s="4" t="s">
        <v>241</v>
      </c>
      <c r="DJ3054" s="4" t="s">
        <v>241</v>
      </c>
      <c r="DK3054" s="4" t="s">
        <v>241</v>
      </c>
      <c r="DL3054" s="4" t="s">
        <v>241</v>
      </c>
      <c r="DP3054" s="4" t="s">
        <v>241</v>
      </c>
      <c r="DQ3054" s="4" t="s">
        <v>241</v>
      </c>
      <c r="DR3054" s="4" t="s">
        <v>241</v>
      </c>
      <c r="DS3054" s="4" t="s">
        <v>241</v>
      </c>
      <c r="DV3054" s="4" t="s">
        <v>426</v>
      </c>
      <c r="DW3054" s="4" t="s">
        <v>1365</v>
      </c>
      <c r="HO3054" s="4" t="s">
        <v>267</v>
      </c>
    </row>
    <row r="3055" spans="1:223" ht="19.5" customHeight="1" x14ac:dyDescent="0.4">
      <c r="A3055" s="4">
        <v>1</v>
      </c>
      <c r="B3055" s="4" t="s">
        <v>239</v>
      </c>
      <c r="C3055" s="4">
        <v>4758</v>
      </c>
      <c r="D3055" s="4">
        <v>1</v>
      </c>
      <c r="E3055" s="4">
        <v>1</v>
      </c>
      <c r="F3055" s="4" t="s">
        <v>268</v>
      </c>
      <c r="G3055" s="4" t="s">
        <v>241</v>
      </c>
      <c r="H3055" s="4" t="s">
        <v>241</v>
      </c>
      <c r="I3055" s="4" t="s">
        <v>424</v>
      </c>
      <c r="J3055" s="4" t="s">
        <v>274</v>
      </c>
      <c r="K3055" s="4" t="s">
        <v>251</v>
      </c>
      <c r="L3055" s="4" t="s">
        <v>423</v>
      </c>
      <c r="M3055" s="5" t="s">
        <v>4075</v>
      </c>
      <c r="N3055" s="6">
        <f>1939</f>
        <v>1939</v>
      </c>
      <c r="O3055" s="4" t="s">
        <v>265</v>
      </c>
      <c r="P3055" s="6">
        <f>1</f>
        <v>1</v>
      </c>
      <c r="Q3055" s="6">
        <f>0</f>
        <v>0</v>
      </c>
      <c r="S3055" s="6">
        <f>0</f>
        <v>0</v>
      </c>
      <c r="T3055" s="6">
        <f>1</f>
        <v>1</v>
      </c>
      <c r="U3055" s="5" t="s">
        <v>245</v>
      </c>
      <c r="V3055" s="4" t="s">
        <v>270</v>
      </c>
      <c r="W3055" s="4" t="s">
        <v>271</v>
      </c>
      <c r="X3055" s="4" t="s">
        <v>273</v>
      </c>
      <c r="Y3055" s="4" t="s">
        <v>241</v>
      </c>
      <c r="AB3055" s="4" t="s">
        <v>241</v>
      </c>
      <c r="AD3055" s="5" t="s">
        <v>241</v>
      </c>
      <c r="AG3055" s="5" t="s">
        <v>246</v>
      </c>
      <c r="AH3055" s="4" t="s">
        <v>241</v>
      </c>
      <c r="AI3055" s="4" t="s">
        <v>247</v>
      </c>
      <c r="AJ3055" s="4" t="s">
        <v>248</v>
      </c>
      <c r="AZ3055" s="4" t="s">
        <v>249</v>
      </c>
      <c r="BA3055" s="4" t="s">
        <v>241</v>
      </c>
      <c r="BB3055" s="4" t="s">
        <v>250</v>
      </c>
      <c r="BC3055" s="4" t="s">
        <v>241</v>
      </c>
      <c r="BD3055" s="4" t="s">
        <v>252</v>
      </c>
      <c r="BE3055" s="4" t="s">
        <v>241</v>
      </c>
      <c r="BI3055" s="4" t="s">
        <v>253</v>
      </c>
      <c r="BJ3055" s="5" t="s">
        <v>246</v>
      </c>
      <c r="BK3055" s="4" t="s">
        <v>254</v>
      </c>
      <c r="BL3055" s="4" t="s">
        <v>255</v>
      </c>
      <c r="BM3055" s="4" t="s">
        <v>241</v>
      </c>
      <c r="BN3055" s="6">
        <f>0</f>
        <v>0</v>
      </c>
      <c r="BO3055" s="6">
        <f>0</f>
        <v>0</v>
      </c>
      <c r="BP3055" s="4" t="s">
        <v>256</v>
      </c>
      <c r="BQ3055" s="4" t="s">
        <v>257</v>
      </c>
      <c r="CE3055" s="4" t="s">
        <v>241</v>
      </c>
      <c r="CF3055" s="4" t="s">
        <v>241</v>
      </c>
      <c r="CJ3055" s="4" t="s">
        <v>276</v>
      </c>
      <c r="CK3055" s="4" t="s">
        <v>259</v>
      </c>
      <c r="CL3055" s="4" t="s">
        <v>241</v>
      </c>
      <c r="CO3055" s="5" t="s">
        <v>260</v>
      </c>
      <c r="CP3055" s="4" t="s">
        <v>241</v>
      </c>
      <c r="CQ3055" s="4" t="s">
        <v>261</v>
      </c>
      <c r="CR3055" s="4" t="s">
        <v>241</v>
      </c>
      <c r="CS3055" s="4" t="s">
        <v>241</v>
      </c>
      <c r="CT3055" s="4">
        <v>0</v>
      </c>
      <c r="CU3055" s="4" t="s">
        <v>262</v>
      </c>
      <c r="CV3055" s="4" t="s">
        <v>263</v>
      </c>
      <c r="CW3055" s="4" t="s">
        <v>263</v>
      </c>
      <c r="CX3055" s="4" t="s">
        <v>264</v>
      </c>
      <c r="DA3055" s="6">
        <f>1</f>
        <v>1</v>
      </c>
      <c r="DC3055" s="4" t="s">
        <v>325</v>
      </c>
      <c r="DD3055" s="4" t="s">
        <v>241</v>
      </c>
      <c r="DF3055" s="4" t="s">
        <v>325</v>
      </c>
      <c r="DG3055" s="6">
        <f>1939</f>
        <v>1939</v>
      </c>
      <c r="DI3055" s="4" t="s">
        <v>241</v>
      </c>
      <c r="DJ3055" s="4" t="s">
        <v>241</v>
      </c>
      <c r="DK3055" s="4" t="s">
        <v>241</v>
      </c>
      <c r="DL3055" s="4" t="s">
        <v>241</v>
      </c>
      <c r="DP3055" s="4" t="s">
        <v>241</v>
      </c>
      <c r="DQ3055" s="4" t="s">
        <v>241</v>
      </c>
      <c r="DR3055" s="4" t="s">
        <v>241</v>
      </c>
      <c r="DS3055" s="4" t="s">
        <v>241</v>
      </c>
      <c r="DV3055" s="4" t="s">
        <v>426</v>
      </c>
      <c r="DW3055" s="4" t="s">
        <v>1180</v>
      </c>
      <c r="HO3055" s="4" t="s">
        <v>267</v>
      </c>
    </row>
    <row r="3056" spans="1:223" ht="19.5" customHeight="1" x14ac:dyDescent="0.4">
      <c r="A3056" s="4">
        <v>1</v>
      </c>
      <c r="B3056" s="4" t="s">
        <v>239</v>
      </c>
      <c r="C3056" s="4">
        <v>4759</v>
      </c>
      <c r="D3056" s="4">
        <v>1</v>
      </c>
      <c r="E3056" s="4">
        <v>1</v>
      </c>
      <c r="F3056" s="4" t="s">
        <v>268</v>
      </c>
      <c r="G3056" s="4" t="s">
        <v>241</v>
      </c>
      <c r="H3056" s="4" t="s">
        <v>241</v>
      </c>
      <c r="I3056" s="4" t="s">
        <v>424</v>
      </c>
      <c r="J3056" s="4" t="s">
        <v>274</v>
      </c>
      <c r="K3056" s="4" t="s">
        <v>251</v>
      </c>
      <c r="L3056" s="4" t="s">
        <v>423</v>
      </c>
      <c r="M3056" s="5" t="s">
        <v>4065</v>
      </c>
      <c r="N3056" s="6">
        <f>239</f>
        <v>239</v>
      </c>
      <c r="O3056" s="4" t="s">
        <v>265</v>
      </c>
      <c r="P3056" s="6">
        <f>1</f>
        <v>1</v>
      </c>
      <c r="Q3056" s="6">
        <f>0</f>
        <v>0</v>
      </c>
      <c r="S3056" s="6">
        <f>0</f>
        <v>0</v>
      </c>
      <c r="T3056" s="6">
        <f>1</f>
        <v>1</v>
      </c>
      <c r="U3056" s="5" t="s">
        <v>245</v>
      </c>
      <c r="V3056" s="4" t="s">
        <v>270</v>
      </c>
      <c r="W3056" s="4" t="s">
        <v>271</v>
      </c>
      <c r="X3056" s="4" t="s">
        <v>273</v>
      </c>
      <c r="Y3056" s="4" t="s">
        <v>241</v>
      </c>
      <c r="AB3056" s="4" t="s">
        <v>241</v>
      </c>
      <c r="AD3056" s="5" t="s">
        <v>241</v>
      </c>
      <c r="AG3056" s="5" t="s">
        <v>246</v>
      </c>
      <c r="AH3056" s="4" t="s">
        <v>241</v>
      </c>
      <c r="AI3056" s="4" t="s">
        <v>247</v>
      </c>
      <c r="AJ3056" s="4" t="s">
        <v>248</v>
      </c>
      <c r="AZ3056" s="4" t="s">
        <v>249</v>
      </c>
      <c r="BA3056" s="4" t="s">
        <v>241</v>
      </c>
      <c r="BB3056" s="4" t="s">
        <v>250</v>
      </c>
      <c r="BC3056" s="4" t="s">
        <v>241</v>
      </c>
      <c r="BD3056" s="4" t="s">
        <v>252</v>
      </c>
      <c r="BE3056" s="4" t="s">
        <v>241</v>
      </c>
      <c r="BI3056" s="4" t="s">
        <v>253</v>
      </c>
      <c r="BJ3056" s="5" t="s">
        <v>246</v>
      </c>
      <c r="BK3056" s="4" t="s">
        <v>254</v>
      </c>
      <c r="BL3056" s="4" t="s">
        <v>255</v>
      </c>
      <c r="BM3056" s="4" t="s">
        <v>241</v>
      </c>
      <c r="BN3056" s="6">
        <f>0</f>
        <v>0</v>
      </c>
      <c r="BO3056" s="6">
        <f>0</f>
        <v>0</v>
      </c>
      <c r="BP3056" s="4" t="s">
        <v>256</v>
      </c>
      <c r="BQ3056" s="4" t="s">
        <v>257</v>
      </c>
      <c r="CE3056" s="4" t="s">
        <v>241</v>
      </c>
      <c r="CF3056" s="4" t="s">
        <v>241</v>
      </c>
      <c r="CJ3056" s="4" t="s">
        <v>276</v>
      </c>
      <c r="CK3056" s="4" t="s">
        <v>259</v>
      </c>
      <c r="CL3056" s="4" t="s">
        <v>241</v>
      </c>
      <c r="CO3056" s="5" t="s">
        <v>260</v>
      </c>
      <c r="CP3056" s="4" t="s">
        <v>241</v>
      </c>
      <c r="CQ3056" s="4" t="s">
        <v>261</v>
      </c>
      <c r="CR3056" s="4" t="s">
        <v>241</v>
      </c>
      <c r="CS3056" s="4" t="s">
        <v>241</v>
      </c>
      <c r="CT3056" s="4">
        <v>0</v>
      </c>
      <c r="CU3056" s="4" t="s">
        <v>262</v>
      </c>
      <c r="CV3056" s="4" t="s">
        <v>263</v>
      </c>
      <c r="CW3056" s="4" t="s">
        <v>263</v>
      </c>
      <c r="CX3056" s="4" t="s">
        <v>264</v>
      </c>
      <c r="DA3056" s="6">
        <f>1</f>
        <v>1</v>
      </c>
      <c r="DC3056" s="4" t="s">
        <v>325</v>
      </c>
      <c r="DD3056" s="4" t="s">
        <v>241</v>
      </c>
      <c r="DF3056" s="4" t="s">
        <v>325</v>
      </c>
      <c r="DG3056" s="6">
        <f>239</f>
        <v>239</v>
      </c>
      <c r="DI3056" s="4" t="s">
        <v>241</v>
      </c>
      <c r="DJ3056" s="4" t="s">
        <v>241</v>
      </c>
      <c r="DK3056" s="4" t="s">
        <v>241</v>
      </c>
      <c r="DL3056" s="4" t="s">
        <v>241</v>
      </c>
      <c r="DP3056" s="4" t="s">
        <v>241</v>
      </c>
      <c r="DQ3056" s="4" t="s">
        <v>241</v>
      </c>
      <c r="DR3056" s="4" t="s">
        <v>241</v>
      </c>
      <c r="DS3056" s="4" t="s">
        <v>241</v>
      </c>
      <c r="DV3056" s="4" t="s">
        <v>426</v>
      </c>
      <c r="DW3056" s="4" t="s">
        <v>333</v>
      </c>
      <c r="HO3056" s="4" t="s">
        <v>267</v>
      </c>
    </row>
    <row r="3057" spans="1:223" ht="19.5" customHeight="1" x14ac:dyDescent="0.4">
      <c r="A3057" s="4">
        <v>1</v>
      </c>
      <c r="B3057" s="4" t="s">
        <v>239</v>
      </c>
      <c r="C3057" s="4">
        <v>4760</v>
      </c>
      <c r="D3057" s="4">
        <v>1</v>
      </c>
      <c r="E3057" s="4">
        <v>1</v>
      </c>
      <c r="F3057" s="4" t="s">
        <v>268</v>
      </c>
      <c r="G3057" s="4" t="s">
        <v>241</v>
      </c>
      <c r="H3057" s="4" t="s">
        <v>241</v>
      </c>
      <c r="I3057" s="4" t="s">
        <v>424</v>
      </c>
      <c r="J3057" s="4" t="s">
        <v>274</v>
      </c>
      <c r="K3057" s="4" t="s">
        <v>251</v>
      </c>
      <c r="L3057" s="4" t="s">
        <v>423</v>
      </c>
      <c r="M3057" s="5" t="s">
        <v>4060</v>
      </c>
      <c r="N3057" s="6">
        <f>486</f>
        <v>486</v>
      </c>
      <c r="O3057" s="4" t="s">
        <v>265</v>
      </c>
      <c r="P3057" s="6">
        <f>1</f>
        <v>1</v>
      </c>
      <c r="Q3057" s="6">
        <f>0</f>
        <v>0</v>
      </c>
      <c r="S3057" s="6">
        <f>0</f>
        <v>0</v>
      </c>
      <c r="T3057" s="6">
        <f>1</f>
        <v>1</v>
      </c>
      <c r="U3057" s="5" t="s">
        <v>245</v>
      </c>
      <c r="V3057" s="4" t="s">
        <v>270</v>
      </c>
      <c r="W3057" s="4" t="s">
        <v>271</v>
      </c>
      <c r="X3057" s="4" t="s">
        <v>273</v>
      </c>
      <c r="Y3057" s="4" t="s">
        <v>241</v>
      </c>
      <c r="AB3057" s="4" t="s">
        <v>241</v>
      </c>
      <c r="AD3057" s="5" t="s">
        <v>241</v>
      </c>
      <c r="AG3057" s="5" t="s">
        <v>246</v>
      </c>
      <c r="AH3057" s="4" t="s">
        <v>241</v>
      </c>
      <c r="AI3057" s="4" t="s">
        <v>247</v>
      </c>
      <c r="AJ3057" s="4" t="s">
        <v>248</v>
      </c>
      <c r="AZ3057" s="4" t="s">
        <v>249</v>
      </c>
      <c r="BA3057" s="4" t="s">
        <v>241</v>
      </c>
      <c r="BB3057" s="4" t="s">
        <v>250</v>
      </c>
      <c r="BC3057" s="4" t="s">
        <v>241</v>
      </c>
      <c r="BD3057" s="4" t="s">
        <v>252</v>
      </c>
      <c r="BE3057" s="4" t="s">
        <v>241</v>
      </c>
      <c r="BI3057" s="4" t="s">
        <v>253</v>
      </c>
      <c r="BJ3057" s="5" t="s">
        <v>246</v>
      </c>
      <c r="BK3057" s="4" t="s">
        <v>254</v>
      </c>
      <c r="BL3057" s="4" t="s">
        <v>255</v>
      </c>
      <c r="BM3057" s="4" t="s">
        <v>241</v>
      </c>
      <c r="BN3057" s="6">
        <f>0</f>
        <v>0</v>
      </c>
      <c r="BO3057" s="6">
        <f>0</f>
        <v>0</v>
      </c>
      <c r="BP3057" s="4" t="s">
        <v>256</v>
      </c>
      <c r="BQ3057" s="4" t="s">
        <v>257</v>
      </c>
      <c r="CE3057" s="4" t="s">
        <v>241</v>
      </c>
      <c r="CF3057" s="4" t="s">
        <v>241</v>
      </c>
      <c r="CJ3057" s="4" t="s">
        <v>276</v>
      </c>
      <c r="CK3057" s="4" t="s">
        <v>259</v>
      </c>
      <c r="CL3057" s="4" t="s">
        <v>241</v>
      </c>
      <c r="CO3057" s="5" t="s">
        <v>260</v>
      </c>
      <c r="CP3057" s="4" t="s">
        <v>241</v>
      </c>
      <c r="CQ3057" s="4" t="s">
        <v>261</v>
      </c>
      <c r="CR3057" s="4" t="s">
        <v>241</v>
      </c>
      <c r="CS3057" s="4" t="s">
        <v>241</v>
      </c>
      <c r="CT3057" s="4">
        <v>0</v>
      </c>
      <c r="CU3057" s="4" t="s">
        <v>262</v>
      </c>
      <c r="CV3057" s="4" t="s">
        <v>263</v>
      </c>
      <c r="CW3057" s="4" t="s">
        <v>263</v>
      </c>
      <c r="CX3057" s="4" t="s">
        <v>264</v>
      </c>
      <c r="DA3057" s="6">
        <f>1</f>
        <v>1</v>
      </c>
      <c r="DC3057" s="4" t="s">
        <v>325</v>
      </c>
      <c r="DD3057" s="4" t="s">
        <v>241</v>
      </c>
      <c r="DF3057" s="4" t="s">
        <v>325</v>
      </c>
      <c r="DG3057" s="6">
        <f>486</f>
        <v>486</v>
      </c>
      <c r="DI3057" s="4" t="s">
        <v>241</v>
      </c>
      <c r="DJ3057" s="4" t="s">
        <v>241</v>
      </c>
      <c r="DK3057" s="4" t="s">
        <v>241</v>
      </c>
      <c r="DL3057" s="4" t="s">
        <v>241</v>
      </c>
      <c r="DP3057" s="4" t="s">
        <v>241</v>
      </c>
      <c r="DQ3057" s="4" t="s">
        <v>241</v>
      </c>
      <c r="DR3057" s="4" t="s">
        <v>241</v>
      </c>
      <c r="DS3057" s="4" t="s">
        <v>241</v>
      </c>
      <c r="DV3057" s="4" t="s">
        <v>426</v>
      </c>
      <c r="DW3057" s="4" t="s">
        <v>1252</v>
      </c>
      <c r="HO3057" s="4" t="s">
        <v>267</v>
      </c>
    </row>
    <row r="3058" spans="1:223" ht="19.5" customHeight="1" x14ac:dyDescent="0.4">
      <c r="A3058" s="4">
        <v>1</v>
      </c>
      <c r="B3058" s="4" t="s">
        <v>239</v>
      </c>
      <c r="C3058" s="4">
        <v>4761</v>
      </c>
      <c r="D3058" s="4">
        <v>1</v>
      </c>
      <c r="E3058" s="4">
        <v>1</v>
      </c>
      <c r="F3058" s="4" t="s">
        <v>268</v>
      </c>
      <c r="G3058" s="4" t="s">
        <v>241</v>
      </c>
      <c r="H3058" s="4" t="s">
        <v>241</v>
      </c>
      <c r="I3058" s="4" t="s">
        <v>424</v>
      </c>
      <c r="J3058" s="4" t="s">
        <v>274</v>
      </c>
      <c r="K3058" s="4" t="s">
        <v>251</v>
      </c>
      <c r="L3058" s="4" t="s">
        <v>423</v>
      </c>
      <c r="M3058" s="5" t="s">
        <v>4053</v>
      </c>
      <c r="N3058" s="6">
        <f>2578</f>
        <v>2578</v>
      </c>
      <c r="O3058" s="4" t="s">
        <v>265</v>
      </c>
      <c r="P3058" s="6">
        <f>1</f>
        <v>1</v>
      </c>
      <c r="Q3058" s="6">
        <f>0</f>
        <v>0</v>
      </c>
      <c r="S3058" s="6">
        <f>0</f>
        <v>0</v>
      </c>
      <c r="T3058" s="6">
        <f>1</f>
        <v>1</v>
      </c>
      <c r="U3058" s="5" t="s">
        <v>245</v>
      </c>
      <c r="V3058" s="4" t="s">
        <v>270</v>
      </c>
      <c r="W3058" s="4" t="s">
        <v>271</v>
      </c>
      <c r="X3058" s="4" t="s">
        <v>273</v>
      </c>
      <c r="Y3058" s="4" t="s">
        <v>241</v>
      </c>
      <c r="AB3058" s="4" t="s">
        <v>241</v>
      </c>
      <c r="AD3058" s="5" t="s">
        <v>241</v>
      </c>
      <c r="AG3058" s="5" t="s">
        <v>246</v>
      </c>
      <c r="AH3058" s="4" t="s">
        <v>241</v>
      </c>
      <c r="AI3058" s="4" t="s">
        <v>247</v>
      </c>
      <c r="AJ3058" s="4" t="s">
        <v>248</v>
      </c>
      <c r="AZ3058" s="4" t="s">
        <v>249</v>
      </c>
      <c r="BA3058" s="4" t="s">
        <v>241</v>
      </c>
      <c r="BB3058" s="4" t="s">
        <v>250</v>
      </c>
      <c r="BC3058" s="4" t="s">
        <v>241</v>
      </c>
      <c r="BD3058" s="4" t="s">
        <v>252</v>
      </c>
      <c r="BE3058" s="4" t="s">
        <v>241</v>
      </c>
      <c r="BI3058" s="4" t="s">
        <v>253</v>
      </c>
      <c r="BJ3058" s="5" t="s">
        <v>246</v>
      </c>
      <c r="BK3058" s="4" t="s">
        <v>254</v>
      </c>
      <c r="BL3058" s="4" t="s">
        <v>255</v>
      </c>
      <c r="BM3058" s="4" t="s">
        <v>241</v>
      </c>
      <c r="BN3058" s="6">
        <f>0</f>
        <v>0</v>
      </c>
      <c r="BO3058" s="6">
        <f>0</f>
        <v>0</v>
      </c>
      <c r="BP3058" s="4" t="s">
        <v>256</v>
      </c>
      <c r="BQ3058" s="4" t="s">
        <v>257</v>
      </c>
      <c r="CE3058" s="4" t="s">
        <v>241</v>
      </c>
      <c r="CF3058" s="4" t="s">
        <v>241</v>
      </c>
      <c r="CJ3058" s="4" t="s">
        <v>276</v>
      </c>
      <c r="CK3058" s="4" t="s">
        <v>259</v>
      </c>
      <c r="CL3058" s="4" t="s">
        <v>241</v>
      </c>
      <c r="CO3058" s="5" t="s">
        <v>260</v>
      </c>
      <c r="CP3058" s="4" t="s">
        <v>241</v>
      </c>
      <c r="CQ3058" s="4" t="s">
        <v>261</v>
      </c>
      <c r="CR3058" s="4" t="s">
        <v>241</v>
      </c>
      <c r="CS3058" s="4" t="s">
        <v>241</v>
      </c>
      <c r="CT3058" s="4">
        <v>0</v>
      </c>
      <c r="CU3058" s="4" t="s">
        <v>262</v>
      </c>
      <c r="CV3058" s="4" t="s">
        <v>263</v>
      </c>
      <c r="CW3058" s="4" t="s">
        <v>263</v>
      </c>
      <c r="CX3058" s="4" t="s">
        <v>264</v>
      </c>
      <c r="DA3058" s="6">
        <f>1</f>
        <v>1</v>
      </c>
      <c r="DC3058" s="4" t="s">
        <v>325</v>
      </c>
      <c r="DD3058" s="4" t="s">
        <v>241</v>
      </c>
      <c r="DF3058" s="4" t="s">
        <v>325</v>
      </c>
      <c r="DG3058" s="6">
        <f>2578</f>
        <v>2578</v>
      </c>
      <c r="DI3058" s="4" t="s">
        <v>241</v>
      </c>
      <c r="DJ3058" s="4" t="s">
        <v>241</v>
      </c>
      <c r="DK3058" s="4" t="s">
        <v>241</v>
      </c>
      <c r="DL3058" s="4" t="s">
        <v>241</v>
      </c>
      <c r="DP3058" s="4" t="s">
        <v>241</v>
      </c>
      <c r="DQ3058" s="4" t="s">
        <v>241</v>
      </c>
      <c r="DR3058" s="4" t="s">
        <v>241</v>
      </c>
      <c r="DS3058" s="4" t="s">
        <v>241</v>
      </c>
      <c r="DV3058" s="4" t="s">
        <v>426</v>
      </c>
      <c r="DW3058" s="4" t="s">
        <v>1298</v>
      </c>
      <c r="HO3058" s="4" t="s">
        <v>267</v>
      </c>
    </row>
    <row r="3059" spans="1:223" ht="19.5" customHeight="1" x14ac:dyDescent="0.4">
      <c r="A3059" s="4">
        <v>1</v>
      </c>
      <c r="B3059" s="4" t="s">
        <v>239</v>
      </c>
      <c r="C3059" s="4">
        <v>4762</v>
      </c>
      <c r="D3059" s="4">
        <v>1</v>
      </c>
      <c r="E3059" s="4">
        <v>1</v>
      </c>
      <c r="F3059" s="4" t="s">
        <v>268</v>
      </c>
      <c r="G3059" s="4" t="s">
        <v>241</v>
      </c>
      <c r="H3059" s="4" t="s">
        <v>241</v>
      </c>
      <c r="I3059" s="4" t="s">
        <v>424</v>
      </c>
      <c r="J3059" s="4" t="s">
        <v>274</v>
      </c>
      <c r="K3059" s="4" t="s">
        <v>251</v>
      </c>
      <c r="L3059" s="4" t="s">
        <v>423</v>
      </c>
      <c r="M3059" s="5" t="s">
        <v>4046</v>
      </c>
      <c r="N3059" s="6">
        <f>531</f>
        <v>531</v>
      </c>
      <c r="O3059" s="4" t="s">
        <v>265</v>
      </c>
      <c r="P3059" s="6">
        <f>1</f>
        <v>1</v>
      </c>
      <c r="Q3059" s="6">
        <f>0</f>
        <v>0</v>
      </c>
      <c r="S3059" s="6">
        <f>0</f>
        <v>0</v>
      </c>
      <c r="T3059" s="6">
        <f>1</f>
        <v>1</v>
      </c>
      <c r="U3059" s="5" t="s">
        <v>245</v>
      </c>
      <c r="V3059" s="4" t="s">
        <v>270</v>
      </c>
      <c r="W3059" s="4" t="s">
        <v>271</v>
      </c>
      <c r="X3059" s="4" t="s">
        <v>273</v>
      </c>
      <c r="Y3059" s="4" t="s">
        <v>241</v>
      </c>
      <c r="AB3059" s="4" t="s">
        <v>241</v>
      </c>
      <c r="AD3059" s="5" t="s">
        <v>241</v>
      </c>
      <c r="AG3059" s="5" t="s">
        <v>246</v>
      </c>
      <c r="AH3059" s="4" t="s">
        <v>241</v>
      </c>
      <c r="AI3059" s="4" t="s">
        <v>247</v>
      </c>
      <c r="AJ3059" s="4" t="s">
        <v>248</v>
      </c>
      <c r="AZ3059" s="4" t="s">
        <v>249</v>
      </c>
      <c r="BA3059" s="4" t="s">
        <v>241</v>
      </c>
      <c r="BB3059" s="4" t="s">
        <v>250</v>
      </c>
      <c r="BC3059" s="4" t="s">
        <v>241</v>
      </c>
      <c r="BD3059" s="4" t="s">
        <v>252</v>
      </c>
      <c r="BE3059" s="4" t="s">
        <v>241</v>
      </c>
      <c r="BI3059" s="4" t="s">
        <v>253</v>
      </c>
      <c r="BJ3059" s="5" t="s">
        <v>246</v>
      </c>
      <c r="BK3059" s="4" t="s">
        <v>254</v>
      </c>
      <c r="BL3059" s="4" t="s">
        <v>255</v>
      </c>
      <c r="BM3059" s="4" t="s">
        <v>241</v>
      </c>
      <c r="BN3059" s="6">
        <f>0</f>
        <v>0</v>
      </c>
      <c r="BO3059" s="6">
        <f>0</f>
        <v>0</v>
      </c>
      <c r="BP3059" s="4" t="s">
        <v>256</v>
      </c>
      <c r="BQ3059" s="4" t="s">
        <v>257</v>
      </c>
      <c r="CE3059" s="4" t="s">
        <v>241</v>
      </c>
      <c r="CF3059" s="4" t="s">
        <v>241</v>
      </c>
      <c r="CJ3059" s="4" t="s">
        <v>276</v>
      </c>
      <c r="CK3059" s="4" t="s">
        <v>259</v>
      </c>
      <c r="CL3059" s="4" t="s">
        <v>241</v>
      </c>
      <c r="CO3059" s="5" t="s">
        <v>260</v>
      </c>
      <c r="CP3059" s="4" t="s">
        <v>241</v>
      </c>
      <c r="CQ3059" s="4" t="s">
        <v>261</v>
      </c>
      <c r="CR3059" s="4" t="s">
        <v>241</v>
      </c>
      <c r="CS3059" s="4" t="s">
        <v>241</v>
      </c>
      <c r="CT3059" s="4">
        <v>0</v>
      </c>
      <c r="CU3059" s="4" t="s">
        <v>262</v>
      </c>
      <c r="CV3059" s="4" t="s">
        <v>263</v>
      </c>
      <c r="CW3059" s="4" t="s">
        <v>263</v>
      </c>
      <c r="CX3059" s="4" t="s">
        <v>264</v>
      </c>
      <c r="DA3059" s="6">
        <f>1</f>
        <v>1</v>
      </c>
      <c r="DC3059" s="4" t="s">
        <v>325</v>
      </c>
      <c r="DD3059" s="4" t="s">
        <v>241</v>
      </c>
      <c r="DF3059" s="4" t="s">
        <v>325</v>
      </c>
      <c r="DG3059" s="6">
        <f>531</f>
        <v>531</v>
      </c>
      <c r="DI3059" s="4" t="s">
        <v>241</v>
      </c>
      <c r="DJ3059" s="4" t="s">
        <v>241</v>
      </c>
      <c r="DK3059" s="4" t="s">
        <v>241</v>
      </c>
      <c r="DL3059" s="4" t="s">
        <v>241</v>
      </c>
      <c r="DP3059" s="4" t="s">
        <v>241</v>
      </c>
      <c r="DQ3059" s="4" t="s">
        <v>241</v>
      </c>
      <c r="DR3059" s="4" t="s">
        <v>241</v>
      </c>
      <c r="DS3059" s="4" t="s">
        <v>241</v>
      </c>
      <c r="DV3059" s="4" t="s">
        <v>426</v>
      </c>
      <c r="DW3059" s="4" t="s">
        <v>1373</v>
      </c>
      <c r="HO3059" s="4" t="s">
        <v>267</v>
      </c>
    </row>
    <row r="3060" spans="1:223" ht="19.5" customHeight="1" x14ac:dyDescent="0.4">
      <c r="A3060" s="4">
        <v>1</v>
      </c>
      <c r="B3060" s="4" t="s">
        <v>239</v>
      </c>
      <c r="C3060" s="4">
        <v>4763</v>
      </c>
      <c r="D3060" s="4">
        <v>1</v>
      </c>
      <c r="E3060" s="4">
        <v>1</v>
      </c>
      <c r="F3060" s="4" t="s">
        <v>268</v>
      </c>
      <c r="G3060" s="4" t="s">
        <v>241</v>
      </c>
      <c r="H3060" s="4" t="s">
        <v>241</v>
      </c>
      <c r="I3060" s="4" t="s">
        <v>424</v>
      </c>
      <c r="J3060" s="4" t="s">
        <v>274</v>
      </c>
      <c r="K3060" s="4" t="s">
        <v>251</v>
      </c>
      <c r="L3060" s="4" t="s">
        <v>423</v>
      </c>
      <c r="M3060" s="5" t="s">
        <v>4035</v>
      </c>
      <c r="N3060" s="6">
        <f>2783</f>
        <v>2783</v>
      </c>
      <c r="O3060" s="4" t="s">
        <v>265</v>
      </c>
      <c r="P3060" s="6">
        <f>1</f>
        <v>1</v>
      </c>
      <c r="Q3060" s="6">
        <f>0</f>
        <v>0</v>
      </c>
      <c r="S3060" s="6">
        <f>0</f>
        <v>0</v>
      </c>
      <c r="T3060" s="6">
        <f>1</f>
        <v>1</v>
      </c>
      <c r="U3060" s="5" t="s">
        <v>245</v>
      </c>
      <c r="V3060" s="4" t="s">
        <v>270</v>
      </c>
      <c r="W3060" s="4" t="s">
        <v>271</v>
      </c>
      <c r="X3060" s="4" t="s">
        <v>273</v>
      </c>
      <c r="Y3060" s="4" t="s">
        <v>241</v>
      </c>
      <c r="AB3060" s="4" t="s">
        <v>241</v>
      </c>
      <c r="AD3060" s="5" t="s">
        <v>241</v>
      </c>
      <c r="AG3060" s="5" t="s">
        <v>246</v>
      </c>
      <c r="AH3060" s="4" t="s">
        <v>241</v>
      </c>
      <c r="AI3060" s="4" t="s">
        <v>247</v>
      </c>
      <c r="AJ3060" s="4" t="s">
        <v>248</v>
      </c>
      <c r="AZ3060" s="4" t="s">
        <v>249</v>
      </c>
      <c r="BA3060" s="4" t="s">
        <v>241</v>
      </c>
      <c r="BB3060" s="4" t="s">
        <v>250</v>
      </c>
      <c r="BC3060" s="4" t="s">
        <v>241</v>
      </c>
      <c r="BD3060" s="4" t="s">
        <v>252</v>
      </c>
      <c r="BE3060" s="4" t="s">
        <v>241</v>
      </c>
      <c r="BI3060" s="4" t="s">
        <v>253</v>
      </c>
      <c r="BJ3060" s="5" t="s">
        <v>246</v>
      </c>
      <c r="BK3060" s="4" t="s">
        <v>254</v>
      </c>
      <c r="BL3060" s="4" t="s">
        <v>255</v>
      </c>
      <c r="BM3060" s="4" t="s">
        <v>241</v>
      </c>
      <c r="BN3060" s="6">
        <f>0</f>
        <v>0</v>
      </c>
      <c r="BO3060" s="6">
        <f>0</f>
        <v>0</v>
      </c>
      <c r="BP3060" s="4" t="s">
        <v>256</v>
      </c>
      <c r="BQ3060" s="4" t="s">
        <v>257</v>
      </c>
      <c r="CE3060" s="4" t="s">
        <v>241</v>
      </c>
      <c r="CF3060" s="4" t="s">
        <v>241</v>
      </c>
      <c r="CJ3060" s="4" t="s">
        <v>276</v>
      </c>
      <c r="CK3060" s="4" t="s">
        <v>259</v>
      </c>
      <c r="CL3060" s="4" t="s">
        <v>241</v>
      </c>
      <c r="CO3060" s="5" t="s">
        <v>260</v>
      </c>
      <c r="CP3060" s="4" t="s">
        <v>241</v>
      </c>
      <c r="CQ3060" s="4" t="s">
        <v>261</v>
      </c>
      <c r="CR3060" s="4" t="s">
        <v>241</v>
      </c>
      <c r="CS3060" s="4" t="s">
        <v>241</v>
      </c>
      <c r="CT3060" s="4">
        <v>0</v>
      </c>
      <c r="CU3060" s="4" t="s">
        <v>262</v>
      </c>
      <c r="CV3060" s="4" t="s">
        <v>263</v>
      </c>
      <c r="CW3060" s="4" t="s">
        <v>263</v>
      </c>
      <c r="CX3060" s="4" t="s">
        <v>264</v>
      </c>
      <c r="DA3060" s="6">
        <f>1</f>
        <v>1</v>
      </c>
      <c r="DC3060" s="4" t="s">
        <v>325</v>
      </c>
      <c r="DD3060" s="4" t="s">
        <v>241</v>
      </c>
      <c r="DF3060" s="4" t="s">
        <v>325</v>
      </c>
      <c r="DG3060" s="6">
        <f>2783</f>
        <v>2783</v>
      </c>
      <c r="DI3060" s="4" t="s">
        <v>241</v>
      </c>
      <c r="DJ3060" s="4" t="s">
        <v>241</v>
      </c>
      <c r="DK3060" s="4" t="s">
        <v>241</v>
      </c>
      <c r="DL3060" s="4" t="s">
        <v>241</v>
      </c>
      <c r="DP3060" s="4" t="s">
        <v>241</v>
      </c>
      <c r="DQ3060" s="4" t="s">
        <v>241</v>
      </c>
      <c r="DR3060" s="4" t="s">
        <v>241</v>
      </c>
      <c r="DS3060" s="4" t="s">
        <v>241</v>
      </c>
      <c r="DV3060" s="4" t="s">
        <v>426</v>
      </c>
      <c r="DW3060" s="4" t="s">
        <v>1221</v>
      </c>
      <c r="HO3060" s="4" t="s">
        <v>267</v>
      </c>
    </row>
    <row r="3061" spans="1:223" ht="19.5" customHeight="1" x14ac:dyDescent="0.4">
      <c r="A3061" s="4">
        <v>1</v>
      </c>
      <c r="B3061" s="4" t="s">
        <v>239</v>
      </c>
      <c r="C3061" s="4">
        <v>4764</v>
      </c>
      <c r="D3061" s="4">
        <v>1</v>
      </c>
      <c r="E3061" s="4">
        <v>1</v>
      </c>
      <c r="F3061" s="4" t="s">
        <v>268</v>
      </c>
      <c r="G3061" s="4" t="s">
        <v>241</v>
      </c>
      <c r="H3061" s="4" t="s">
        <v>241</v>
      </c>
      <c r="I3061" s="4" t="s">
        <v>424</v>
      </c>
      <c r="J3061" s="4" t="s">
        <v>274</v>
      </c>
      <c r="K3061" s="4" t="s">
        <v>251</v>
      </c>
      <c r="L3061" s="4" t="s">
        <v>423</v>
      </c>
      <c r="M3061" s="5" t="s">
        <v>4028</v>
      </c>
      <c r="N3061" s="6">
        <f>254</f>
        <v>254</v>
      </c>
      <c r="O3061" s="4" t="s">
        <v>265</v>
      </c>
      <c r="P3061" s="6">
        <f>1</f>
        <v>1</v>
      </c>
      <c r="Q3061" s="6">
        <f>0</f>
        <v>0</v>
      </c>
      <c r="S3061" s="6">
        <f>0</f>
        <v>0</v>
      </c>
      <c r="T3061" s="6">
        <f>1</f>
        <v>1</v>
      </c>
      <c r="U3061" s="5" t="s">
        <v>245</v>
      </c>
      <c r="V3061" s="4" t="s">
        <v>270</v>
      </c>
      <c r="W3061" s="4" t="s">
        <v>271</v>
      </c>
      <c r="X3061" s="4" t="s">
        <v>273</v>
      </c>
      <c r="Y3061" s="4" t="s">
        <v>241</v>
      </c>
      <c r="AB3061" s="4" t="s">
        <v>241</v>
      </c>
      <c r="AD3061" s="5" t="s">
        <v>241</v>
      </c>
      <c r="AG3061" s="5" t="s">
        <v>246</v>
      </c>
      <c r="AH3061" s="4" t="s">
        <v>241</v>
      </c>
      <c r="AI3061" s="4" t="s">
        <v>247</v>
      </c>
      <c r="AJ3061" s="4" t="s">
        <v>248</v>
      </c>
      <c r="AZ3061" s="4" t="s">
        <v>249</v>
      </c>
      <c r="BA3061" s="4" t="s">
        <v>241</v>
      </c>
      <c r="BB3061" s="4" t="s">
        <v>250</v>
      </c>
      <c r="BC3061" s="4" t="s">
        <v>241</v>
      </c>
      <c r="BD3061" s="4" t="s">
        <v>252</v>
      </c>
      <c r="BE3061" s="4" t="s">
        <v>241</v>
      </c>
      <c r="BI3061" s="4" t="s">
        <v>253</v>
      </c>
      <c r="BJ3061" s="5" t="s">
        <v>246</v>
      </c>
      <c r="BK3061" s="4" t="s">
        <v>254</v>
      </c>
      <c r="BL3061" s="4" t="s">
        <v>255</v>
      </c>
      <c r="BM3061" s="4" t="s">
        <v>241</v>
      </c>
      <c r="BN3061" s="6">
        <f>0</f>
        <v>0</v>
      </c>
      <c r="BO3061" s="6">
        <f>0</f>
        <v>0</v>
      </c>
      <c r="BP3061" s="4" t="s">
        <v>256</v>
      </c>
      <c r="BQ3061" s="4" t="s">
        <v>257</v>
      </c>
      <c r="CE3061" s="4" t="s">
        <v>241</v>
      </c>
      <c r="CF3061" s="4" t="s">
        <v>241</v>
      </c>
      <c r="CJ3061" s="4" t="s">
        <v>276</v>
      </c>
      <c r="CK3061" s="4" t="s">
        <v>259</v>
      </c>
      <c r="CL3061" s="4" t="s">
        <v>241</v>
      </c>
      <c r="CO3061" s="5" t="s">
        <v>260</v>
      </c>
      <c r="CP3061" s="4" t="s">
        <v>241</v>
      </c>
      <c r="CQ3061" s="4" t="s">
        <v>261</v>
      </c>
      <c r="CR3061" s="4" t="s">
        <v>241</v>
      </c>
      <c r="CS3061" s="4" t="s">
        <v>241</v>
      </c>
      <c r="CT3061" s="4">
        <v>0</v>
      </c>
      <c r="CU3061" s="4" t="s">
        <v>262</v>
      </c>
      <c r="CV3061" s="4" t="s">
        <v>263</v>
      </c>
      <c r="CW3061" s="4" t="s">
        <v>263</v>
      </c>
      <c r="CX3061" s="4" t="s">
        <v>264</v>
      </c>
      <c r="DA3061" s="6">
        <f>1</f>
        <v>1</v>
      </c>
      <c r="DC3061" s="4" t="s">
        <v>325</v>
      </c>
      <c r="DD3061" s="4" t="s">
        <v>241</v>
      </c>
      <c r="DF3061" s="4" t="s">
        <v>325</v>
      </c>
      <c r="DG3061" s="6">
        <f>254</f>
        <v>254</v>
      </c>
      <c r="DI3061" s="4" t="s">
        <v>241</v>
      </c>
      <c r="DJ3061" s="4" t="s">
        <v>241</v>
      </c>
      <c r="DK3061" s="4" t="s">
        <v>241</v>
      </c>
      <c r="DL3061" s="4" t="s">
        <v>241</v>
      </c>
      <c r="DP3061" s="4" t="s">
        <v>241</v>
      </c>
      <c r="DQ3061" s="4" t="s">
        <v>241</v>
      </c>
      <c r="DR3061" s="4" t="s">
        <v>241</v>
      </c>
      <c r="DS3061" s="4" t="s">
        <v>241</v>
      </c>
      <c r="DV3061" s="4" t="s">
        <v>426</v>
      </c>
      <c r="DW3061" s="4" t="s">
        <v>1140</v>
      </c>
      <c r="HO3061" s="4" t="s">
        <v>267</v>
      </c>
    </row>
    <row r="3062" spans="1:223" ht="19.5" customHeight="1" x14ac:dyDescent="0.4">
      <c r="A3062" s="4">
        <v>1</v>
      </c>
      <c r="B3062" s="4" t="s">
        <v>239</v>
      </c>
      <c r="C3062" s="4">
        <v>4765</v>
      </c>
      <c r="D3062" s="4">
        <v>1</v>
      </c>
      <c r="E3062" s="4">
        <v>1</v>
      </c>
      <c r="F3062" s="4" t="s">
        <v>268</v>
      </c>
      <c r="G3062" s="4" t="s">
        <v>241</v>
      </c>
      <c r="H3062" s="4" t="s">
        <v>241</v>
      </c>
      <c r="I3062" s="4" t="s">
        <v>424</v>
      </c>
      <c r="J3062" s="4" t="s">
        <v>274</v>
      </c>
      <c r="K3062" s="4" t="s">
        <v>251</v>
      </c>
      <c r="L3062" s="4" t="s">
        <v>423</v>
      </c>
      <c r="M3062" s="5" t="s">
        <v>4022</v>
      </c>
      <c r="N3062" s="6">
        <f>1076</f>
        <v>1076</v>
      </c>
      <c r="O3062" s="4" t="s">
        <v>265</v>
      </c>
      <c r="P3062" s="6">
        <f>1</f>
        <v>1</v>
      </c>
      <c r="Q3062" s="6">
        <f>0</f>
        <v>0</v>
      </c>
      <c r="S3062" s="6">
        <f>0</f>
        <v>0</v>
      </c>
      <c r="T3062" s="6">
        <f>1</f>
        <v>1</v>
      </c>
      <c r="U3062" s="5" t="s">
        <v>245</v>
      </c>
      <c r="V3062" s="4" t="s">
        <v>270</v>
      </c>
      <c r="W3062" s="4" t="s">
        <v>271</v>
      </c>
      <c r="X3062" s="4" t="s">
        <v>273</v>
      </c>
      <c r="Y3062" s="4" t="s">
        <v>241</v>
      </c>
      <c r="AB3062" s="4" t="s">
        <v>241</v>
      </c>
      <c r="AD3062" s="5" t="s">
        <v>241</v>
      </c>
      <c r="AG3062" s="5" t="s">
        <v>246</v>
      </c>
      <c r="AH3062" s="4" t="s">
        <v>241</v>
      </c>
      <c r="AI3062" s="4" t="s">
        <v>247</v>
      </c>
      <c r="AJ3062" s="4" t="s">
        <v>248</v>
      </c>
      <c r="AZ3062" s="4" t="s">
        <v>249</v>
      </c>
      <c r="BA3062" s="4" t="s">
        <v>241</v>
      </c>
      <c r="BB3062" s="4" t="s">
        <v>250</v>
      </c>
      <c r="BC3062" s="4" t="s">
        <v>241</v>
      </c>
      <c r="BD3062" s="4" t="s">
        <v>252</v>
      </c>
      <c r="BE3062" s="4" t="s">
        <v>241</v>
      </c>
      <c r="BI3062" s="4" t="s">
        <v>253</v>
      </c>
      <c r="BJ3062" s="5" t="s">
        <v>246</v>
      </c>
      <c r="BK3062" s="4" t="s">
        <v>254</v>
      </c>
      <c r="BL3062" s="4" t="s">
        <v>255</v>
      </c>
      <c r="BM3062" s="4" t="s">
        <v>241</v>
      </c>
      <c r="BN3062" s="6">
        <f>0</f>
        <v>0</v>
      </c>
      <c r="BO3062" s="6">
        <f>0</f>
        <v>0</v>
      </c>
      <c r="BP3062" s="4" t="s">
        <v>256</v>
      </c>
      <c r="BQ3062" s="4" t="s">
        <v>257</v>
      </c>
      <c r="CE3062" s="4" t="s">
        <v>241</v>
      </c>
      <c r="CF3062" s="4" t="s">
        <v>241</v>
      </c>
      <c r="CJ3062" s="4" t="s">
        <v>276</v>
      </c>
      <c r="CK3062" s="4" t="s">
        <v>259</v>
      </c>
      <c r="CL3062" s="4" t="s">
        <v>241</v>
      </c>
      <c r="CO3062" s="5" t="s">
        <v>260</v>
      </c>
      <c r="CP3062" s="4" t="s">
        <v>241</v>
      </c>
      <c r="CQ3062" s="4" t="s">
        <v>261</v>
      </c>
      <c r="CR3062" s="4" t="s">
        <v>241</v>
      </c>
      <c r="CS3062" s="4" t="s">
        <v>241</v>
      </c>
      <c r="CT3062" s="4">
        <v>0</v>
      </c>
      <c r="CU3062" s="4" t="s">
        <v>262</v>
      </c>
      <c r="CV3062" s="4" t="s">
        <v>263</v>
      </c>
      <c r="CW3062" s="4" t="s">
        <v>263</v>
      </c>
      <c r="CX3062" s="4" t="s">
        <v>264</v>
      </c>
      <c r="DA3062" s="6">
        <f>1</f>
        <v>1</v>
      </c>
      <c r="DC3062" s="4" t="s">
        <v>325</v>
      </c>
      <c r="DD3062" s="4" t="s">
        <v>241</v>
      </c>
      <c r="DF3062" s="4" t="s">
        <v>325</v>
      </c>
      <c r="DG3062" s="6">
        <f>1076</f>
        <v>1076</v>
      </c>
      <c r="DI3062" s="4" t="s">
        <v>241</v>
      </c>
      <c r="DJ3062" s="4" t="s">
        <v>241</v>
      </c>
      <c r="DK3062" s="4" t="s">
        <v>241</v>
      </c>
      <c r="DL3062" s="4" t="s">
        <v>241</v>
      </c>
      <c r="DP3062" s="4" t="s">
        <v>241</v>
      </c>
      <c r="DQ3062" s="4" t="s">
        <v>241</v>
      </c>
      <c r="DR3062" s="4" t="s">
        <v>241</v>
      </c>
      <c r="DS3062" s="4" t="s">
        <v>241</v>
      </c>
      <c r="DV3062" s="4" t="s">
        <v>426</v>
      </c>
      <c r="DW3062" s="4" t="s">
        <v>1048</v>
      </c>
      <c r="HO3062" s="4" t="s">
        <v>267</v>
      </c>
    </row>
    <row r="3063" spans="1:223" ht="19.5" customHeight="1" x14ac:dyDescent="0.4">
      <c r="A3063" s="4">
        <v>1</v>
      </c>
      <c r="B3063" s="4" t="s">
        <v>239</v>
      </c>
      <c r="C3063" s="4">
        <v>4766</v>
      </c>
      <c r="D3063" s="4">
        <v>1</v>
      </c>
      <c r="E3063" s="4">
        <v>1</v>
      </c>
      <c r="F3063" s="4" t="s">
        <v>268</v>
      </c>
      <c r="G3063" s="4" t="s">
        <v>241</v>
      </c>
      <c r="H3063" s="4" t="s">
        <v>241</v>
      </c>
      <c r="I3063" s="4" t="s">
        <v>424</v>
      </c>
      <c r="J3063" s="4" t="s">
        <v>274</v>
      </c>
      <c r="K3063" s="4" t="s">
        <v>251</v>
      </c>
      <c r="L3063" s="4" t="s">
        <v>423</v>
      </c>
      <c r="M3063" s="5" t="s">
        <v>4012</v>
      </c>
      <c r="N3063" s="6">
        <f>1191</f>
        <v>1191</v>
      </c>
      <c r="O3063" s="4" t="s">
        <v>265</v>
      </c>
      <c r="P3063" s="6">
        <f>1</f>
        <v>1</v>
      </c>
      <c r="Q3063" s="6">
        <f>0</f>
        <v>0</v>
      </c>
      <c r="S3063" s="6">
        <f>0</f>
        <v>0</v>
      </c>
      <c r="T3063" s="6">
        <f>1</f>
        <v>1</v>
      </c>
      <c r="U3063" s="5" t="s">
        <v>245</v>
      </c>
      <c r="V3063" s="4" t="s">
        <v>270</v>
      </c>
      <c r="W3063" s="4" t="s">
        <v>271</v>
      </c>
      <c r="X3063" s="4" t="s">
        <v>273</v>
      </c>
      <c r="Y3063" s="4" t="s">
        <v>241</v>
      </c>
      <c r="AB3063" s="4" t="s">
        <v>241</v>
      </c>
      <c r="AD3063" s="5" t="s">
        <v>241</v>
      </c>
      <c r="AG3063" s="5" t="s">
        <v>246</v>
      </c>
      <c r="AH3063" s="4" t="s">
        <v>241</v>
      </c>
      <c r="AI3063" s="4" t="s">
        <v>247</v>
      </c>
      <c r="AJ3063" s="4" t="s">
        <v>248</v>
      </c>
      <c r="AZ3063" s="4" t="s">
        <v>249</v>
      </c>
      <c r="BA3063" s="4" t="s">
        <v>241</v>
      </c>
      <c r="BB3063" s="4" t="s">
        <v>250</v>
      </c>
      <c r="BC3063" s="4" t="s">
        <v>241</v>
      </c>
      <c r="BD3063" s="4" t="s">
        <v>252</v>
      </c>
      <c r="BE3063" s="4" t="s">
        <v>241</v>
      </c>
      <c r="BI3063" s="4" t="s">
        <v>253</v>
      </c>
      <c r="BJ3063" s="5" t="s">
        <v>246</v>
      </c>
      <c r="BK3063" s="4" t="s">
        <v>254</v>
      </c>
      <c r="BL3063" s="4" t="s">
        <v>255</v>
      </c>
      <c r="BM3063" s="4" t="s">
        <v>241</v>
      </c>
      <c r="BN3063" s="6">
        <f>0</f>
        <v>0</v>
      </c>
      <c r="BO3063" s="6">
        <f>0</f>
        <v>0</v>
      </c>
      <c r="BP3063" s="4" t="s">
        <v>256</v>
      </c>
      <c r="BQ3063" s="4" t="s">
        <v>257</v>
      </c>
      <c r="CE3063" s="4" t="s">
        <v>241</v>
      </c>
      <c r="CF3063" s="4" t="s">
        <v>241</v>
      </c>
      <c r="CJ3063" s="4" t="s">
        <v>276</v>
      </c>
      <c r="CK3063" s="4" t="s">
        <v>259</v>
      </c>
      <c r="CL3063" s="4" t="s">
        <v>241</v>
      </c>
      <c r="CO3063" s="5" t="s">
        <v>260</v>
      </c>
      <c r="CP3063" s="4" t="s">
        <v>241</v>
      </c>
      <c r="CQ3063" s="4" t="s">
        <v>261</v>
      </c>
      <c r="CR3063" s="4" t="s">
        <v>241</v>
      </c>
      <c r="CS3063" s="4" t="s">
        <v>241</v>
      </c>
      <c r="CT3063" s="4">
        <v>0</v>
      </c>
      <c r="CU3063" s="4" t="s">
        <v>262</v>
      </c>
      <c r="CV3063" s="4" t="s">
        <v>263</v>
      </c>
      <c r="CW3063" s="4" t="s">
        <v>263</v>
      </c>
      <c r="CX3063" s="4" t="s">
        <v>264</v>
      </c>
      <c r="DA3063" s="6">
        <f>1</f>
        <v>1</v>
      </c>
      <c r="DC3063" s="4" t="s">
        <v>325</v>
      </c>
      <c r="DD3063" s="4" t="s">
        <v>241</v>
      </c>
      <c r="DF3063" s="4" t="s">
        <v>325</v>
      </c>
      <c r="DG3063" s="6">
        <f>1191</f>
        <v>1191</v>
      </c>
      <c r="DI3063" s="4" t="s">
        <v>241</v>
      </c>
      <c r="DJ3063" s="4" t="s">
        <v>241</v>
      </c>
      <c r="DK3063" s="4" t="s">
        <v>241</v>
      </c>
      <c r="DL3063" s="4" t="s">
        <v>241</v>
      </c>
      <c r="DP3063" s="4" t="s">
        <v>241</v>
      </c>
      <c r="DQ3063" s="4" t="s">
        <v>241</v>
      </c>
      <c r="DR3063" s="4" t="s">
        <v>241</v>
      </c>
      <c r="DS3063" s="4" t="s">
        <v>241</v>
      </c>
      <c r="DV3063" s="4" t="s">
        <v>426</v>
      </c>
      <c r="DW3063" s="4" t="s">
        <v>1303</v>
      </c>
      <c r="HO3063" s="4" t="s">
        <v>267</v>
      </c>
    </row>
    <row r="3064" spans="1:223" ht="19.5" customHeight="1" x14ac:dyDescent="0.4">
      <c r="A3064" s="4">
        <v>1</v>
      </c>
      <c r="B3064" s="4" t="s">
        <v>239</v>
      </c>
      <c r="C3064" s="4">
        <v>4767</v>
      </c>
      <c r="D3064" s="4">
        <v>1</v>
      </c>
      <c r="E3064" s="4">
        <v>1</v>
      </c>
      <c r="F3064" s="4" t="s">
        <v>268</v>
      </c>
      <c r="G3064" s="4" t="s">
        <v>241</v>
      </c>
      <c r="H3064" s="4" t="s">
        <v>241</v>
      </c>
      <c r="I3064" s="4" t="s">
        <v>424</v>
      </c>
      <c r="J3064" s="4" t="s">
        <v>274</v>
      </c>
      <c r="K3064" s="4" t="s">
        <v>251</v>
      </c>
      <c r="L3064" s="4" t="s">
        <v>423</v>
      </c>
      <c r="M3064" s="5" t="s">
        <v>4000</v>
      </c>
      <c r="N3064" s="6">
        <f>2217</f>
        <v>2217</v>
      </c>
      <c r="O3064" s="4" t="s">
        <v>265</v>
      </c>
      <c r="P3064" s="6">
        <f>1</f>
        <v>1</v>
      </c>
      <c r="Q3064" s="6">
        <f>0</f>
        <v>0</v>
      </c>
      <c r="S3064" s="6">
        <f>0</f>
        <v>0</v>
      </c>
      <c r="T3064" s="6">
        <f>1</f>
        <v>1</v>
      </c>
      <c r="U3064" s="5" t="s">
        <v>245</v>
      </c>
      <c r="V3064" s="4" t="s">
        <v>270</v>
      </c>
      <c r="W3064" s="4" t="s">
        <v>271</v>
      </c>
      <c r="X3064" s="4" t="s">
        <v>273</v>
      </c>
      <c r="Y3064" s="4" t="s">
        <v>241</v>
      </c>
      <c r="AB3064" s="4" t="s">
        <v>241</v>
      </c>
      <c r="AD3064" s="5" t="s">
        <v>241</v>
      </c>
      <c r="AG3064" s="5" t="s">
        <v>246</v>
      </c>
      <c r="AH3064" s="4" t="s">
        <v>241</v>
      </c>
      <c r="AI3064" s="4" t="s">
        <v>247</v>
      </c>
      <c r="AJ3064" s="4" t="s">
        <v>248</v>
      </c>
      <c r="AZ3064" s="4" t="s">
        <v>249</v>
      </c>
      <c r="BA3064" s="4" t="s">
        <v>241</v>
      </c>
      <c r="BB3064" s="4" t="s">
        <v>250</v>
      </c>
      <c r="BC3064" s="4" t="s">
        <v>241</v>
      </c>
      <c r="BD3064" s="4" t="s">
        <v>252</v>
      </c>
      <c r="BE3064" s="4" t="s">
        <v>241</v>
      </c>
      <c r="BI3064" s="4" t="s">
        <v>253</v>
      </c>
      <c r="BJ3064" s="5" t="s">
        <v>246</v>
      </c>
      <c r="BK3064" s="4" t="s">
        <v>254</v>
      </c>
      <c r="BL3064" s="4" t="s">
        <v>255</v>
      </c>
      <c r="BM3064" s="4" t="s">
        <v>241</v>
      </c>
      <c r="BN3064" s="6">
        <f>0</f>
        <v>0</v>
      </c>
      <c r="BO3064" s="6">
        <f>0</f>
        <v>0</v>
      </c>
      <c r="BP3064" s="4" t="s">
        <v>256</v>
      </c>
      <c r="BQ3064" s="4" t="s">
        <v>257</v>
      </c>
      <c r="CE3064" s="4" t="s">
        <v>241</v>
      </c>
      <c r="CF3064" s="4" t="s">
        <v>241</v>
      </c>
      <c r="CJ3064" s="4" t="s">
        <v>276</v>
      </c>
      <c r="CK3064" s="4" t="s">
        <v>259</v>
      </c>
      <c r="CL3064" s="4" t="s">
        <v>241</v>
      </c>
      <c r="CO3064" s="5" t="s">
        <v>260</v>
      </c>
      <c r="CP3064" s="4" t="s">
        <v>241</v>
      </c>
      <c r="CQ3064" s="4" t="s">
        <v>261</v>
      </c>
      <c r="CR3064" s="4" t="s">
        <v>241</v>
      </c>
      <c r="CS3064" s="4" t="s">
        <v>241</v>
      </c>
      <c r="CT3064" s="4">
        <v>0</v>
      </c>
      <c r="CU3064" s="4" t="s">
        <v>262</v>
      </c>
      <c r="CV3064" s="4" t="s">
        <v>263</v>
      </c>
      <c r="CW3064" s="4" t="s">
        <v>263</v>
      </c>
      <c r="CX3064" s="4" t="s">
        <v>264</v>
      </c>
      <c r="DA3064" s="6">
        <f>1</f>
        <v>1</v>
      </c>
      <c r="DC3064" s="4" t="s">
        <v>325</v>
      </c>
      <c r="DD3064" s="4" t="s">
        <v>241</v>
      </c>
      <c r="DF3064" s="4" t="s">
        <v>325</v>
      </c>
      <c r="DG3064" s="6">
        <f>2217</f>
        <v>2217</v>
      </c>
      <c r="DI3064" s="4" t="s">
        <v>241</v>
      </c>
      <c r="DJ3064" s="4" t="s">
        <v>241</v>
      </c>
      <c r="DK3064" s="4" t="s">
        <v>241</v>
      </c>
      <c r="DL3064" s="4" t="s">
        <v>241</v>
      </c>
      <c r="DP3064" s="4" t="s">
        <v>241</v>
      </c>
      <c r="DQ3064" s="4" t="s">
        <v>241</v>
      </c>
      <c r="DR3064" s="4" t="s">
        <v>241</v>
      </c>
      <c r="DS3064" s="4" t="s">
        <v>241</v>
      </c>
      <c r="DV3064" s="4" t="s">
        <v>426</v>
      </c>
      <c r="DW3064" s="4" t="s">
        <v>2816</v>
      </c>
      <c r="HO3064" s="4" t="s">
        <v>267</v>
      </c>
    </row>
    <row r="3065" spans="1:223" ht="19.5" customHeight="1" x14ac:dyDescent="0.4">
      <c r="A3065" s="4">
        <v>1</v>
      </c>
      <c r="B3065" s="4" t="s">
        <v>239</v>
      </c>
      <c r="C3065" s="4">
        <v>4768</v>
      </c>
      <c r="D3065" s="4">
        <v>1</v>
      </c>
      <c r="E3065" s="4">
        <v>1</v>
      </c>
      <c r="F3065" s="4" t="s">
        <v>268</v>
      </c>
      <c r="G3065" s="4" t="s">
        <v>241</v>
      </c>
      <c r="H3065" s="4" t="s">
        <v>241</v>
      </c>
      <c r="I3065" s="4" t="s">
        <v>424</v>
      </c>
      <c r="J3065" s="4" t="s">
        <v>274</v>
      </c>
      <c r="K3065" s="4" t="s">
        <v>251</v>
      </c>
      <c r="L3065" s="4" t="s">
        <v>423</v>
      </c>
      <c r="M3065" s="5" t="s">
        <v>3996</v>
      </c>
      <c r="N3065" s="6">
        <f>977</f>
        <v>977</v>
      </c>
      <c r="O3065" s="4" t="s">
        <v>265</v>
      </c>
      <c r="P3065" s="6">
        <f>1</f>
        <v>1</v>
      </c>
      <c r="Q3065" s="6">
        <f>0</f>
        <v>0</v>
      </c>
      <c r="S3065" s="6">
        <f>0</f>
        <v>0</v>
      </c>
      <c r="T3065" s="6">
        <f>1</f>
        <v>1</v>
      </c>
      <c r="U3065" s="5" t="s">
        <v>245</v>
      </c>
      <c r="V3065" s="4" t="s">
        <v>270</v>
      </c>
      <c r="W3065" s="4" t="s">
        <v>271</v>
      </c>
      <c r="X3065" s="4" t="s">
        <v>273</v>
      </c>
      <c r="Y3065" s="4" t="s">
        <v>241</v>
      </c>
      <c r="AB3065" s="4" t="s">
        <v>241</v>
      </c>
      <c r="AD3065" s="5" t="s">
        <v>241</v>
      </c>
      <c r="AG3065" s="5" t="s">
        <v>246</v>
      </c>
      <c r="AH3065" s="4" t="s">
        <v>241</v>
      </c>
      <c r="AI3065" s="4" t="s">
        <v>247</v>
      </c>
      <c r="AJ3065" s="4" t="s">
        <v>248</v>
      </c>
      <c r="AZ3065" s="4" t="s">
        <v>249</v>
      </c>
      <c r="BA3065" s="4" t="s">
        <v>241</v>
      </c>
      <c r="BB3065" s="4" t="s">
        <v>250</v>
      </c>
      <c r="BC3065" s="4" t="s">
        <v>241</v>
      </c>
      <c r="BD3065" s="4" t="s">
        <v>252</v>
      </c>
      <c r="BE3065" s="4" t="s">
        <v>241</v>
      </c>
      <c r="BI3065" s="4" t="s">
        <v>253</v>
      </c>
      <c r="BJ3065" s="5" t="s">
        <v>246</v>
      </c>
      <c r="BK3065" s="4" t="s">
        <v>254</v>
      </c>
      <c r="BL3065" s="4" t="s">
        <v>255</v>
      </c>
      <c r="BM3065" s="4" t="s">
        <v>241</v>
      </c>
      <c r="BN3065" s="6">
        <f>0</f>
        <v>0</v>
      </c>
      <c r="BO3065" s="6">
        <f>0</f>
        <v>0</v>
      </c>
      <c r="BP3065" s="4" t="s">
        <v>256</v>
      </c>
      <c r="BQ3065" s="4" t="s">
        <v>257</v>
      </c>
      <c r="CE3065" s="4" t="s">
        <v>241</v>
      </c>
      <c r="CF3065" s="4" t="s">
        <v>241</v>
      </c>
      <c r="CJ3065" s="4" t="s">
        <v>276</v>
      </c>
      <c r="CK3065" s="4" t="s">
        <v>259</v>
      </c>
      <c r="CL3065" s="4" t="s">
        <v>241</v>
      </c>
      <c r="CO3065" s="5" t="s">
        <v>260</v>
      </c>
      <c r="CP3065" s="4" t="s">
        <v>241</v>
      </c>
      <c r="CQ3065" s="4" t="s">
        <v>261</v>
      </c>
      <c r="CR3065" s="4" t="s">
        <v>241</v>
      </c>
      <c r="CS3065" s="4" t="s">
        <v>241</v>
      </c>
      <c r="CT3065" s="4">
        <v>0</v>
      </c>
      <c r="CU3065" s="4" t="s">
        <v>262</v>
      </c>
      <c r="CV3065" s="4" t="s">
        <v>263</v>
      </c>
      <c r="CW3065" s="4" t="s">
        <v>263</v>
      </c>
      <c r="CX3065" s="4" t="s">
        <v>264</v>
      </c>
      <c r="DA3065" s="6">
        <f>1</f>
        <v>1</v>
      </c>
      <c r="DC3065" s="4" t="s">
        <v>325</v>
      </c>
      <c r="DD3065" s="4" t="s">
        <v>241</v>
      </c>
      <c r="DF3065" s="4" t="s">
        <v>325</v>
      </c>
      <c r="DG3065" s="6">
        <f>977</f>
        <v>977</v>
      </c>
      <c r="DI3065" s="4" t="s">
        <v>241</v>
      </c>
      <c r="DJ3065" s="4" t="s">
        <v>241</v>
      </c>
      <c r="DK3065" s="4" t="s">
        <v>241</v>
      </c>
      <c r="DL3065" s="4" t="s">
        <v>241</v>
      </c>
      <c r="DP3065" s="4" t="s">
        <v>241</v>
      </c>
      <c r="DQ3065" s="4" t="s">
        <v>241</v>
      </c>
      <c r="DR3065" s="4" t="s">
        <v>241</v>
      </c>
      <c r="DS3065" s="4" t="s">
        <v>241</v>
      </c>
      <c r="DV3065" s="4" t="s">
        <v>426</v>
      </c>
      <c r="DW3065" s="4" t="s">
        <v>1230</v>
      </c>
      <c r="HO3065" s="4" t="s">
        <v>267</v>
      </c>
    </row>
    <row r="3066" spans="1:223" ht="19.5" customHeight="1" x14ac:dyDescent="0.4">
      <c r="A3066" s="4">
        <v>1</v>
      </c>
      <c r="B3066" s="4" t="s">
        <v>239</v>
      </c>
      <c r="C3066" s="4">
        <v>4769</v>
      </c>
      <c r="D3066" s="4">
        <v>1</v>
      </c>
      <c r="E3066" s="4">
        <v>1</v>
      </c>
      <c r="F3066" s="4" t="s">
        <v>268</v>
      </c>
      <c r="G3066" s="4" t="s">
        <v>241</v>
      </c>
      <c r="H3066" s="4" t="s">
        <v>241</v>
      </c>
      <c r="I3066" s="4" t="s">
        <v>424</v>
      </c>
      <c r="J3066" s="4" t="s">
        <v>274</v>
      </c>
      <c r="K3066" s="4" t="s">
        <v>251</v>
      </c>
      <c r="L3066" s="4" t="s">
        <v>423</v>
      </c>
      <c r="M3066" s="5" t="s">
        <v>3988</v>
      </c>
      <c r="N3066" s="6">
        <f>249</f>
        <v>249</v>
      </c>
      <c r="O3066" s="4" t="s">
        <v>265</v>
      </c>
      <c r="P3066" s="6">
        <f>1</f>
        <v>1</v>
      </c>
      <c r="Q3066" s="6">
        <f>0</f>
        <v>0</v>
      </c>
      <c r="S3066" s="6">
        <f>0</f>
        <v>0</v>
      </c>
      <c r="T3066" s="6">
        <f>1</f>
        <v>1</v>
      </c>
      <c r="U3066" s="5" t="s">
        <v>245</v>
      </c>
      <c r="V3066" s="4" t="s">
        <v>270</v>
      </c>
      <c r="W3066" s="4" t="s">
        <v>271</v>
      </c>
      <c r="X3066" s="4" t="s">
        <v>273</v>
      </c>
      <c r="Y3066" s="4" t="s">
        <v>241</v>
      </c>
      <c r="AB3066" s="4" t="s">
        <v>241</v>
      </c>
      <c r="AD3066" s="5" t="s">
        <v>241</v>
      </c>
      <c r="AG3066" s="5" t="s">
        <v>246</v>
      </c>
      <c r="AH3066" s="4" t="s">
        <v>241</v>
      </c>
      <c r="AI3066" s="4" t="s">
        <v>247</v>
      </c>
      <c r="AJ3066" s="4" t="s">
        <v>248</v>
      </c>
      <c r="AZ3066" s="4" t="s">
        <v>249</v>
      </c>
      <c r="BA3066" s="4" t="s">
        <v>241</v>
      </c>
      <c r="BB3066" s="4" t="s">
        <v>250</v>
      </c>
      <c r="BC3066" s="4" t="s">
        <v>241</v>
      </c>
      <c r="BD3066" s="4" t="s">
        <v>252</v>
      </c>
      <c r="BE3066" s="4" t="s">
        <v>241</v>
      </c>
      <c r="BI3066" s="4" t="s">
        <v>253</v>
      </c>
      <c r="BJ3066" s="5" t="s">
        <v>246</v>
      </c>
      <c r="BK3066" s="4" t="s">
        <v>254</v>
      </c>
      <c r="BL3066" s="4" t="s">
        <v>255</v>
      </c>
      <c r="BM3066" s="4" t="s">
        <v>241</v>
      </c>
      <c r="BN3066" s="6">
        <f>0</f>
        <v>0</v>
      </c>
      <c r="BO3066" s="6">
        <f>0</f>
        <v>0</v>
      </c>
      <c r="BP3066" s="4" t="s">
        <v>256</v>
      </c>
      <c r="BQ3066" s="4" t="s">
        <v>257</v>
      </c>
      <c r="CE3066" s="4" t="s">
        <v>241</v>
      </c>
      <c r="CF3066" s="4" t="s">
        <v>241</v>
      </c>
      <c r="CJ3066" s="4" t="s">
        <v>276</v>
      </c>
      <c r="CK3066" s="4" t="s">
        <v>259</v>
      </c>
      <c r="CL3066" s="4" t="s">
        <v>241</v>
      </c>
      <c r="CO3066" s="5" t="s">
        <v>260</v>
      </c>
      <c r="CP3066" s="4" t="s">
        <v>241</v>
      </c>
      <c r="CQ3066" s="4" t="s">
        <v>261</v>
      </c>
      <c r="CR3066" s="4" t="s">
        <v>241</v>
      </c>
      <c r="CS3066" s="4" t="s">
        <v>241</v>
      </c>
      <c r="CT3066" s="4">
        <v>0</v>
      </c>
      <c r="CU3066" s="4" t="s">
        <v>262</v>
      </c>
      <c r="CV3066" s="4" t="s">
        <v>263</v>
      </c>
      <c r="CW3066" s="4" t="s">
        <v>263</v>
      </c>
      <c r="CX3066" s="4" t="s">
        <v>264</v>
      </c>
      <c r="DA3066" s="6">
        <f>1</f>
        <v>1</v>
      </c>
      <c r="DC3066" s="4" t="s">
        <v>325</v>
      </c>
      <c r="DD3066" s="4" t="s">
        <v>241</v>
      </c>
      <c r="DF3066" s="4" t="s">
        <v>325</v>
      </c>
      <c r="DG3066" s="6">
        <f>249</f>
        <v>249</v>
      </c>
      <c r="DI3066" s="4" t="s">
        <v>241</v>
      </c>
      <c r="DJ3066" s="4" t="s">
        <v>241</v>
      </c>
      <c r="DK3066" s="4" t="s">
        <v>241</v>
      </c>
      <c r="DL3066" s="4" t="s">
        <v>241</v>
      </c>
      <c r="DP3066" s="4" t="s">
        <v>241</v>
      </c>
      <c r="DQ3066" s="4" t="s">
        <v>241</v>
      </c>
      <c r="DR3066" s="4" t="s">
        <v>241</v>
      </c>
      <c r="DS3066" s="4" t="s">
        <v>241</v>
      </c>
      <c r="DV3066" s="4" t="s">
        <v>426</v>
      </c>
      <c r="DW3066" s="4" t="s">
        <v>2568</v>
      </c>
      <c r="HO3066" s="4" t="s">
        <v>267</v>
      </c>
    </row>
    <row r="3067" spans="1:223" ht="19.5" customHeight="1" x14ac:dyDescent="0.4">
      <c r="A3067" s="4">
        <v>1</v>
      </c>
      <c r="B3067" s="4" t="s">
        <v>239</v>
      </c>
      <c r="C3067" s="4">
        <v>4770</v>
      </c>
      <c r="D3067" s="4">
        <v>1</v>
      </c>
      <c r="E3067" s="4">
        <v>1</v>
      </c>
      <c r="F3067" s="4" t="s">
        <v>268</v>
      </c>
      <c r="G3067" s="4" t="s">
        <v>241</v>
      </c>
      <c r="H3067" s="4" t="s">
        <v>241</v>
      </c>
      <c r="I3067" s="4" t="s">
        <v>424</v>
      </c>
      <c r="J3067" s="4" t="s">
        <v>274</v>
      </c>
      <c r="K3067" s="4" t="s">
        <v>251</v>
      </c>
      <c r="L3067" s="4" t="s">
        <v>423</v>
      </c>
      <c r="M3067" s="5" t="s">
        <v>3977</v>
      </c>
      <c r="N3067" s="6">
        <f>713</f>
        <v>713</v>
      </c>
      <c r="O3067" s="4" t="s">
        <v>265</v>
      </c>
      <c r="P3067" s="6">
        <f>1</f>
        <v>1</v>
      </c>
      <c r="Q3067" s="6">
        <f>0</f>
        <v>0</v>
      </c>
      <c r="S3067" s="6">
        <f>0</f>
        <v>0</v>
      </c>
      <c r="T3067" s="6">
        <f>1</f>
        <v>1</v>
      </c>
      <c r="U3067" s="5" t="s">
        <v>245</v>
      </c>
      <c r="V3067" s="4" t="s">
        <v>270</v>
      </c>
      <c r="W3067" s="4" t="s">
        <v>271</v>
      </c>
      <c r="X3067" s="4" t="s">
        <v>273</v>
      </c>
      <c r="Y3067" s="4" t="s">
        <v>241</v>
      </c>
      <c r="AB3067" s="4" t="s">
        <v>241</v>
      </c>
      <c r="AD3067" s="5" t="s">
        <v>241</v>
      </c>
      <c r="AG3067" s="5" t="s">
        <v>246</v>
      </c>
      <c r="AH3067" s="4" t="s">
        <v>241</v>
      </c>
      <c r="AI3067" s="4" t="s">
        <v>247</v>
      </c>
      <c r="AJ3067" s="4" t="s">
        <v>248</v>
      </c>
      <c r="AZ3067" s="4" t="s">
        <v>249</v>
      </c>
      <c r="BA3067" s="4" t="s">
        <v>241</v>
      </c>
      <c r="BB3067" s="4" t="s">
        <v>250</v>
      </c>
      <c r="BC3067" s="4" t="s">
        <v>241</v>
      </c>
      <c r="BD3067" s="4" t="s">
        <v>252</v>
      </c>
      <c r="BE3067" s="4" t="s">
        <v>241</v>
      </c>
      <c r="BI3067" s="4" t="s">
        <v>253</v>
      </c>
      <c r="BJ3067" s="5" t="s">
        <v>246</v>
      </c>
      <c r="BK3067" s="4" t="s">
        <v>254</v>
      </c>
      <c r="BL3067" s="4" t="s">
        <v>255</v>
      </c>
      <c r="BM3067" s="4" t="s">
        <v>241</v>
      </c>
      <c r="BN3067" s="6">
        <f>0</f>
        <v>0</v>
      </c>
      <c r="BO3067" s="6">
        <f>0</f>
        <v>0</v>
      </c>
      <c r="BP3067" s="4" t="s">
        <v>256</v>
      </c>
      <c r="BQ3067" s="4" t="s">
        <v>257</v>
      </c>
      <c r="CE3067" s="4" t="s">
        <v>241</v>
      </c>
      <c r="CF3067" s="4" t="s">
        <v>241</v>
      </c>
      <c r="CJ3067" s="4" t="s">
        <v>276</v>
      </c>
      <c r="CK3067" s="4" t="s">
        <v>259</v>
      </c>
      <c r="CL3067" s="4" t="s">
        <v>241</v>
      </c>
      <c r="CO3067" s="5" t="s">
        <v>260</v>
      </c>
      <c r="CP3067" s="4" t="s">
        <v>241</v>
      </c>
      <c r="CQ3067" s="4" t="s">
        <v>261</v>
      </c>
      <c r="CR3067" s="4" t="s">
        <v>241</v>
      </c>
      <c r="CS3067" s="4" t="s">
        <v>241</v>
      </c>
      <c r="CT3067" s="4">
        <v>0</v>
      </c>
      <c r="CU3067" s="4" t="s">
        <v>262</v>
      </c>
      <c r="CV3067" s="4" t="s">
        <v>263</v>
      </c>
      <c r="CW3067" s="4" t="s">
        <v>263</v>
      </c>
      <c r="CX3067" s="4" t="s">
        <v>264</v>
      </c>
      <c r="DA3067" s="6">
        <f>1</f>
        <v>1</v>
      </c>
      <c r="DC3067" s="4" t="s">
        <v>325</v>
      </c>
      <c r="DD3067" s="4" t="s">
        <v>241</v>
      </c>
      <c r="DF3067" s="4" t="s">
        <v>325</v>
      </c>
      <c r="DG3067" s="6">
        <f>713</f>
        <v>713</v>
      </c>
      <c r="DI3067" s="4" t="s">
        <v>241</v>
      </c>
      <c r="DJ3067" s="4" t="s">
        <v>241</v>
      </c>
      <c r="DK3067" s="4" t="s">
        <v>241</v>
      </c>
      <c r="DL3067" s="4" t="s">
        <v>241</v>
      </c>
      <c r="DP3067" s="4" t="s">
        <v>241</v>
      </c>
      <c r="DQ3067" s="4" t="s">
        <v>241</v>
      </c>
      <c r="DR3067" s="4" t="s">
        <v>241</v>
      </c>
      <c r="DS3067" s="4" t="s">
        <v>241</v>
      </c>
      <c r="DV3067" s="4" t="s">
        <v>426</v>
      </c>
      <c r="DW3067" s="4" t="s">
        <v>2580</v>
      </c>
      <c r="HO3067" s="4" t="s">
        <v>267</v>
      </c>
    </row>
    <row r="3068" spans="1:223" ht="19.5" customHeight="1" x14ac:dyDescent="0.4">
      <c r="A3068" s="4">
        <v>1</v>
      </c>
      <c r="B3068" s="4" t="s">
        <v>239</v>
      </c>
      <c r="C3068" s="4">
        <v>4771</v>
      </c>
      <c r="D3068" s="4">
        <v>1</v>
      </c>
      <c r="E3068" s="4">
        <v>1</v>
      </c>
      <c r="F3068" s="4" t="s">
        <v>268</v>
      </c>
      <c r="G3068" s="4" t="s">
        <v>241</v>
      </c>
      <c r="H3068" s="4" t="s">
        <v>241</v>
      </c>
      <c r="I3068" s="4" t="s">
        <v>424</v>
      </c>
      <c r="J3068" s="4" t="s">
        <v>274</v>
      </c>
      <c r="K3068" s="4" t="s">
        <v>251</v>
      </c>
      <c r="L3068" s="4" t="s">
        <v>423</v>
      </c>
      <c r="M3068" s="5" t="s">
        <v>3971</v>
      </c>
      <c r="N3068" s="6">
        <f>514</f>
        <v>514</v>
      </c>
      <c r="O3068" s="4" t="s">
        <v>265</v>
      </c>
      <c r="P3068" s="6">
        <f>1</f>
        <v>1</v>
      </c>
      <c r="Q3068" s="6">
        <f>0</f>
        <v>0</v>
      </c>
      <c r="S3068" s="6">
        <f>0</f>
        <v>0</v>
      </c>
      <c r="T3068" s="6">
        <f>1</f>
        <v>1</v>
      </c>
      <c r="U3068" s="5" t="s">
        <v>245</v>
      </c>
      <c r="V3068" s="4" t="s">
        <v>270</v>
      </c>
      <c r="W3068" s="4" t="s">
        <v>271</v>
      </c>
      <c r="X3068" s="4" t="s">
        <v>273</v>
      </c>
      <c r="Y3068" s="4" t="s">
        <v>241</v>
      </c>
      <c r="AB3068" s="4" t="s">
        <v>241</v>
      </c>
      <c r="AD3068" s="5" t="s">
        <v>241</v>
      </c>
      <c r="AG3068" s="5" t="s">
        <v>246</v>
      </c>
      <c r="AH3068" s="4" t="s">
        <v>241</v>
      </c>
      <c r="AI3068" s="4" t="s">
        <v>247</v>
      </c>
      <c r="AJ3068" s="4" t="s">
        <v>248</v>
      </c>
      <c r="AZ3068" s="4" t="s">
        <v>249</v>
      </c>
      <c r="BA3068" s="4" t="s">
        <v>241</v>
      </c>
      <c r="BB3068" s="4" t="s">
        <v>250</v>
      </c>
      <c r="BC3068" s="4" t="s">
        <v>241</v>
      </c>
      <c r="BD3068" s="4" t="s">
        <v>252</v>
      </c>
      <c r="BE3068" s="4" t="s">
        <v>241</v>
      </c>
      <c r="BI3068" s="4" t="s">
        <v>253</v>
      </c>
      <c r="BJ3068" s="5" t="s">
        <v>246</v>
      </c>
      <c r="BK3068" s="4" t="s">
        <v>254</v>
      </c>
      <c r="BL3068" s="4" t="s">
        <v>255</v>
      </c>
      <c r="BM3068" s="4" t="s">
        <v>241</v>
      </c>
      <c r="BN3068" s="6">
        <f>0</f>
        <v>0</v>
      </c>
      <c r="BO3068" s="6">
        <f>0</f>
        <v>0</v>
      </c>
      <c r="BP3068" s="4" t="s">
        <v>256</v>
      </c>
      <c r="BQ3068" s="4" t="s">
        <v>257</v>
      </c>
      <c r="CE3068" s="4" t="s">
        <v>241</v>
      </c>
      <c r="CF3068" s="4" t="s">
        <v>241</v>
      </c>
      <c r="CJ3068" s="4" t="s">
        <v>276</v>
      </c>
      <c r="CK3068" s="4" t="s">
        <v>259</v>
      </c>
      <c r="CL3068" s="4" t="s">
        <v>241</v>
      </c>
      <c r="CO3068" s="5" t="s">
        <v>260</v>
      </c>
      <c r="CP3068" s="4" t="s">
        <v>241</v>
      </c>
      <c r="CQ3068" s="4" t="s">
        <v>261</v>
      </c>
      <c r="CR3068" s="4" t="s">
        <v>241</v>
      </c>
      <c r="CS3068" s="4" t="s">
        <v>241</v>
      </c>
      <c r="CT3068" s="4">
        <v>0</v>
      </c>
      <c r="CU3068" s="4" t="s">
        <v>262</v>
      </c>
      <c r="CV3068" s="4" t="s">
        <v>263</v>
      </c>
      <c r="CW3068" s="4" t="s">
        <v>263</v>
      </c>
      <c r="CX3068" s="4" t="s">
        <v>264</v>
      </c>
      <c r="DA3068" s="6">
        <f>1</f>
        <v>1</v>
      </c>
      <c r="DC3068" s="4" t="s">
        <v>325</v>
      </c>
      <c r="DD3068" s="4" t="s">
        <v>241</v>
      </c>
      <c r="DF3068" s="4" t="s">
        <v>325</v>
      </c>
      <c r="DG3068" s="6">
        <f>514</f>
        <v>514</v>
      </c>
      <c r="DI3068" s="4" t="s">
        <v>241</v>
      </c>
      <c r="DJ3068" s="4" t="s">
        <v>241</v>
      </c>
      <c r="DK3068" s="4" t="s">
        <v>241</v>
      </c>
      <c r="DL3068" s="4" t="s">
        <v>241</v>
      </c>
      <c r="DP3068" s="4" t="s">
        <v>241</v>
      </c>
      <c r="DQ3068" s="4" t="s">
        <v>241</v>
      </c>
      <c r="DR3068" s="4" t="s">
        <v>241</v>
      </c>
      <c r="DS3068" s="4" t="s">
        <v>241</v>
      </c>
      <c r="DV3068" s="4" t="s">
        <v>426</v>
      </c>
      <c r="DW3068" s="4" t="s">
        <v>2820</v>
      </c>
      <c r="HO3068" s="4" t="s">
        <v>267</v>
      </c>
    </row>
    <row r="3069" spans="1:223" ht="19.5" customHeight="1" x14ac:dyDescent="0.4">
      <c r="A3069" s="4">
        <v>1</v>
      </c>
      <c r="B3069" s="4" t="s">
        <v>239</v>
      </c>
      <c r="C3069" s="4">
        <v>4772</v>
      </c>
      <c r="D3069" s="4">
        <v>1</v>
      </c>
      <c r="E3069" s="4">
        <v>1</v>
      </c>
      <c r="F3069" s="4" t="s">
        <v>268</v>
      </c>
      <c r="G3069" s="4" t="s">
        <v>241</v>
      </c>
      <c r="H3069" s="4" t="s">
        <v>241</v>
      </c>
      <c r="I3069" s="4" t="s">
        <v>424</v>
      </c>
      <c r="J3069" s="4" t="s">
        <v>274</v>
      </c>
      <c r="K3069" s="4" t="s">
        <v>251</v>
      </c>
      <c r="L3069" s="4" t="s">
        <v>423</v>
      </c>
      <c r="M3069" s="5" t="s">
        <v>3967</v>
      </c>
      <c r="N3069" s="6">
        <f>2934</f>
        <v>2934</v>
      </c>
      <c r="O3069" s="4" t="s">
        <v>265</v>
      </c>
      <c r="P3069" s="6">
        <f>1</f>
        <v>1</v>
      </c>
      <c r="Q3069" s="6">
        <f>0</f>
        <v>0</v>
      </c>
      <c r="S3069" s="6">
        <f>0</f>
        <v>0</v>
      </c>
      <c r="T3069" s="6">
        <f>1</f>
        <v>1</v>
      </c>
      <c r="U3069" s="5" t="s">
        <v>245</v>
      </c>
      <c r="V3069" s="4" t="s">
        <v>270</v>
      </c>
      <c r="W3069" s="4" t="s">
        <v>271</v>
      </c>
      <c r="X3069" s="4" t="s">
        <v>273</v>
      </c>
      <c r="Y3069" s="4" t="s">
        <v>241</v>
      </c>
      <c r="AB3069" s="4" t="s">
        <v>241</v>
      </c>
      <c r="AD3069" s="5" t="s">
        <v>241</v>
      </c>
      <c r="AG3069" s="5" t="s">
        <v>246</v>
      </c>
      <c r="AH3069" s="4" t="s">
        <v>241</v>
      </c>
      <c r="AI3069" s="4" t="s">
        <v>247</v>
      </c>
      <c r="AJ3069" s="4" t="s">
        <v>248</v>
      </c>
      <c r="AZ3069" s="4" t="s">
        <v>249</v>
      </c>
      <c r="BA3069" s="4" t="s">
        <v>241</v>
      </c>
      <c r="BB3069" s="4" t="s">
        <v>250</v>
      </c>
      <c r="BC3069" s="4" t="s">
        <v>241</v>
      </c>
      <c r="BD3069" s="4" t="s">
        <v>252</v>
      </c>
      <c r="BE3069" s="4" t="s">
        <v>241</v>
      </c>
      <c r="BI3069" s="4" t="s">
        <v>253</v>
      </c>
      <c r="BJ3069" s="5" t="s">
        <v>246</v>
      </c>
      <c r="BK3069" s="4" t="s">
        <v>254</v>
      </c>
      <c r="BL3069" s="4" t="s">
        <v>255</v>
      </c>
      <c r="BM3069" s="4" t="s">
        <v>241</v>
      </c>
      <c r="BN3069" s="6">
        <f>0</f>
        <v>0</v>
      </c>
      <c r="BO3069" s="6">
        <f>0</f>
        <v>0</v>
      </c>
      <c r="BP3069" s="4" t="s">
        <v>256</v>
      </c>
      <c r="BQ3069" s="4" t="s">
        <v>257</v>
      </c>
      <c r="CE3069" s="4" t="s">
        <v>241</v>
      </c>
      <c r="CF3069" s="4" t="s">
        <v>241</v>
      </c>
      <c r="CJ3069" s="4" t="s">
        <v>276</v>
      </c>
      <c r="CK3069" s="4" t="s">
        <v>259</v>
      </c>
      <c r="CL3069" s="4" t="s">
        <v>241</v>
      </c>
      <c r="CO3069" s="5" t="s">
        <v>260</v>
      </c>
      <c r="CP3069" s="4" t="s">
        <v>241</v>
      </c>
      <c r="CQ3069" s="4" t="s">
        <v>261</v>
      </c>
      <c r="CR3069" s="4" t="s">
        <v>241</v>
      </c>
      <c r="CS3069" s="4" t="s">
        <v>241</v>
      </c>
      <c r="CT3069" s="4">
        <v>0</v>
      </c>
      <c r="CU3069" s="4" t="s">
        <v>262</v>
      </c>
      <c r="CV3069" s="4" t="s">
        <v>263</v>
      </c>
      <c r="CW3069" s="4" t="s">
        <v>263</v>
      </c>
      <c r="CX3069" s="4" t="s">
        <v>264</v>
      </c>
      <c r="DA3069" s="6">
        <f>1</f>
        <v>1</v>
      </c>
      <c r="DC3069" s="4" t="s">
        <v>325</v>
      </c>
      <c r="DD3069" s="4" t="s">
        <v>241</v>
      </c>
      <c r="DF3069" s="4" t="s">
        <v>325</v>
      </c>
      <c r="DG3069" s="6">
        <f>2934</f>
        <v>2934</v>
      </c>
      <c r="DI3069" s="4" t="s">
        <v>241</v>
      </c>
      <c r="DJ3069" s="4" t="s">
        <v>241</v>
      </c>
      <c r="DK3069" s="4" t="s">
        <v>241</v>
      </c>
      <c r="DL3069" s="4" t="s">
        <v>241</v>
      </c>
      <c r="DP3069" s="4" t="s">
        <v>241</v>
      </c>
      <c r="DQ3069" s="4" t="s">
        <v>241</v>
      </c>
      <c r="DR3069" s="4" t="s">
        <v>241</v>
      </c>
      <c r="DS3069" s="4" t="s">
        <v>241</v>
      </c>
      <c r="DV3069" s="4" t="s">
        <v>426</v>
      </c>
      <c r="DW3069" s="4" t="s">
        <v>2609</v>
      </c>
      <c r="HO3069" s="4" t="s">
        <v>267</v>
      </c>
    </row>
    <row r="3070" spans="1:223" ht="19.5" customHeight="1" x14ac:dyDescent="0.4">
      <c r="A3070" s="4">
        <v>1</v>
      </c>
      <c r="B3070" s="4" t="s">
        <v>239</v>
      </c>
      <c r="C3070" s="4">
        <v>4773</v>
      </c>
      <c r="D3070" s="4">
        <v>1</v>
      </c>
      <c r="E3070" s="4">
        <v>1</v>
      </c>
      <c r="F3070" s="4" t="s">
        <v>268</v>
      </c>
      <c r="G3070" s="4" t="s">
        <v>241</v>
      </c>
      <c r="H3070" s="4" t="s">
        <v>241</v>
      </c>
      <c r="I3070" s="4" t="s">
        <v>424</v>
      </c>
      <c r="J3070" s="4" t="s">
        <v>274</v>
      </c>
      <c r="K3070" s="4" t="s">
        <v>251</v>
      </c>
      <c r="L3070" s="4" t="s">
        <v>423</v>
      </c>
      <c r="M3070" s="5" t="s">
        <v>3958</v>
      </c>
      <c r="N3070" s="6">
        <f>2774</f>
        <v>2774</v>
      </c>
      <c r="O3070" s="4" t="s">
        <v>265</v>
      </c>
      <c r="P3070" s="6">
        <f>1</f>
        <v>1</v>
      </c>
      <c r="Q3070" s="6">
        <f>0</f>
        <v>0</v>
      </c>
      <c r="S3070" s="6">
        <f>0</f>
        <v>0</v>
      </c>
      <c r="T3070" s="6">
        <f>1</f>
        <v>1</v>
      </c>
      <c r="U3070" s="5" t="s">
        <v>245</v>
      </c>
      <c r="V3070" s="4" t="s">
        <v>270</v>
      </c>
      <c r="W3070" s="4" t="s">
        <v>271</v>
      </c>
      <c r="X3070" s="4" t="s">
        <v>273</v>
      </c>
      <c r="Y3070" s="4" t="s">
        <v>241</v>
      </c>
      <c r="AB3070" s="4" t="s">
        <v>241</v>
      </c>
      <c r="AD3070" s="5" t="s">
        <v>241</v>
      </c>
      <c r="AG3070" s="5" t="s">
        <v>246</v>
      </c>
      <c r="AH3070" s="4" t="s">
        <v>241</v>
      </c>
      <c r="AI3070" s="4" t="s">
        <v>247</v>
      </c>
      <c r="AJ3070" s="4" t="s">
        <v>248</v>
      </c>
      <c r="AZ3070" s="4" t="s">
        <v>249</v>
      </c>
      <c r="BA3070" s="4" t="s">
        <v>241</v>
      </c>
      <c r="BB3070" s="4" t="s">
        <v>250</v>
      </c>
      <c r="BC3070" s="4" t="s">
        <v>241</v>
      </c>
      <c r="BD3070" s="4" t="s">
        <v>252</v>
      </c>
      <c r="BE3070" s="4" t="s">
        <v>241</v>
      </c>
      <c r="BI3070" s="4" t="s">
        <v>253</v>
      </c>
      <c r="BJ3070" s="5" t="s">
        <v>246</v>
      </c>
      <c r="BK3070" s="4" t="s">
        <v>254</v>
      </c>
      <c r="BL3070" s="4" t="s">
        <v>255</v>
      </c>
      <c r="BM3070" s="4" t="s">
        <v>241</v>
      </c>
      <c r="BN3070" s="6">
        <f>0</f>
        <v>0</v>
      </c>
      <c r="BO3070" s="6">
        <f>0</f>
        <v>0</v>
      </c>
      <c r="BP3070" s="4" t="s">
        <v>256</v>
      </c>
      <c r="BQ3070" s="4" t="s">
        <v>257</v>
      </c>
      <c r="CE3070" s="4" t="s">
        <v>241</v>
      </c>
      <c r="CF3070" s="4" t="s">
        <v>241</v>
      </c>
      <c r="CJ3070" s="4" t="s">
        <v>276</v>
      </c>
      <c r="CK3070" s="4" t="s">
        <v>259</v>
      </c>
      <c r="CL3070" s="4" t="s">
        <v>241</v>
      </c>
      <c r="CO3070" s="5" t="s">
        <v>260</v>
      </c>
      <c r="CP3070" s="4" t="s">
        <v>241</v>
      </c>
      <c r="CQ3070" s="4" t="s">
        <v>261</v>
      </c>
      <c r="CR3070" s="4" t="s">
        <v>241</v>
      </c>
      <c r="CS3070" s="4" t="s">
        <v>241</v>
      </c>
      <c r="CT3070" s="4">
        <v>0</v>
      </c>
      <c r="CU3070" s="4" t="s">
        <v>262</v>
      </c>
      <c r="CV3070" s="4" t="s">
        <v>263</v>
      </c>
      <c r="CW3070" s="4" t="s">
        <v>263</v>
      </c>
      <c r="CX3070" s="4" t="s">
        <v>264</v>
      </c>
      <c r="DA3070" s="6">
        <f>1</f>
        <v>1</v>
      </c>
      <c r="DC3070" s="4" t="s">
        <v>325</v>
      </c>
      <c r="DD3070" s="4" t="s">
        <v>241</v>
      </c>
      <c r="DF3070" s="4" t="s">
        <v>325</v>
      </c>
      <c r="DG3070" s="6">
        <f>2774</f>
        <v>2774</v>
      </c>
      <c r="DI3070" s="4" t="s">
        <v>241</v>
      </c>
      <c r="DJ3070" s="4" t="s">
        <v>241</v>
      </c>
      <c r="DK3070" s="4" t="s">
        <v>241</v>
      </c>
      <c r="DL3070" s="4" t="s">
        <v>241</v>
      </c>
      <c r="DP3070" s="4" t="s">
        <v>241</v>
      </c>
      <c r="DQ3070" s="4" t="s">
        <v>241</v>
      </c>
      <c r="DR3070" s="4" t="s">
        <v>241</v>
      </c>
      <c r="DS3070" s="4" t="s">
        <v>241</v>
      </c>
      <c r="DV3070" s="4" t="s">
        <v>426</v>
      </c>
      <c r="DW3070" s="4" t="s">
        <v>2624</v>
      </c>
      <c r="HO3070" s="4" t="s">
        <v>267</v>
      </c>
    </row>
    <row r="3071" spans="1:223" ht="19.5" customHeight="1" x14ac:dyDescent="0.4">
      <c r="A3071" s="4">
        <v>1</v>
      </c>
      <c r="B3071" s="4" t="s">
        <v>239</v>
      </c>
      <c r="C3071" s="4">
        <v>4774</v>
      </c>
      <c r="D3071" s="4">
        <v>1</v>
      </c>
      <c r="E3071" s="4">
        <v>1</v>
      </c>
      <c r="F3071" s="4" t="s">
        <v>268</v>
      </c>
      <c r="G3071" s="4" t="s">
        <v>241</v>
      </c>
      <c r="H3071" s="4" t="s">
        <v>241</v>
      </c>
      <c r="I3071" s="4" t="s">
        <v>424</v>
      </c>
      <c r="J3071" s="4" t="s">
        <v>274</v>
      </c>
      <c r="K3071" s="4" t="s">
        <v>251</v>
      </c>
      <c r="L3071" s="4" t="s">
        <v>423</v>
      </c>
      <c r="M3071" s="5" t="s">
        <v>3957</v>
      </c>
      <c r="N3071" s="6">
        <f>1508</f>
        <v>1508</v>
      </c>
      <c r="O3071" s="4" t="s">
        <v>265</v>
      </c>
      <c r="P3071" s="6">
        <f>1</f>
        <v>1</v>
      </c>
      <c r="Q3071" s="6">
        <f>0</f>
        <v>0</v>
      </c>
      <c r="S3071" s="6">
        <f>0</f>
        <v>0</v>
      </c>
      <c r="T3071" s="6">
        <f>1</f>
        <v>1</v>
      </c>
      <c r="U3071" s="5" t="s">
        <v>245</v>
      </c>
      <c r="V3071" s="4" t="s">
        <v>270</v>
      </c>
      <c r="W3071" s="4" t="s">
        <v>271</v>
      </c>
      <c r="X3071" s="4" t="s">
        <v>273</v>
      </c>
      <c r="Y3071" s="4" t="s">
        <v>241</v>
      </c>
      <c r="AB3071" s="4" t="s">
        <v>241</v>
      </c>
      <c r="AD3071" s="5" t="s">
        <v>241</v>
      </c>
      <c r="AG3071" s="5" t="s">
        <v>246</v>
      </c>
      <c r="AH3071" s="4" t="s">
        <v>241</v>
      </c>
      <c r="AI3071" s="4" t="s">
        <v>247</v>
      </c>
      <c r="AJ3071" s="4" t="s">
        <v>248</v>
      </c>
      <c r="AZ3071" s="4" t="s">
        <v>249</v>
      </c>
      <c r="BA3071" s="4" t="s">
        <v>241</v>
      </c>
      <c r="BB3071" s="4" t="s">
        <v>250</v>
      </c>
      <c r="BC3071" s="4" t="s">
        <v>241</v>
      </c>
      <c r="BD3071" s="4" t="s">
        <v>252</v>
      </c>
      <c r="BE3071" s="4" t="s">
        <v>241</v>
      </c>
      <c r="BI3071" s="4" t="s">
        <v>253</v>
      </c>
      <c r="BJ3071" s="5" t="s">
        <v>246</v>
      </c>
      <c r="BK3071" s="4" t="s">
        <v>254</v>
      </c>
      <c r="BL3071" s="4" t="s">
        <v>255</v>
      </c>
      <c r="BM3071" s="4" t="s">
        <v>241</v>
      </c>
      <c r="BN3071" s="6">
        <f>0</f>
        <v>0</v>
      </c>
      <c r="BO3071" s="6">
        <f>0</f>
        <v>0</v>
      </c>
      <c r="BP3071" s="4" t="s">
        <v>256</v>
      </c>
      <c r="BQ3071" s="4" t="s">
        <v>257</v>
      </c>
      <c r="CE3071" s="4" t="s">
        <v>241</v>
      </c>
      <c r="CF3071" s="4" t="s">
        <v>241</v>
      </c>
      <c r="CJ3071" s="4" t="s">
        <v>276</v>
      </c>
      <c r="CK3071" s="4" t="s">
        <v>259</v>
      </c>
      <c r="CL3071" s="4" t="s">
        <v>241</v>
      </c>
      <c r="CO3071" s="5" t="s">
        <v>260</v>
      </c>
      <c r="CP3071" s="4" t="s">
        <v>241</v>
      </c>
      <c r="CQ3071" s="4" t="s">
        <v>261</v>
      </c>
      <c r="CR3071" s="4" t="s">
        <v>241</v>
      </c>
      <c r="CS3071" s="4" t="s">
        <v>241</v>
      </c>
      <c r="CT3071" s="4">
        <v>0</v>
      </c>
      <c r="CU3071" s="4" t="s">
        <v>262</v>
      </c>
      <c r="CV3071" s="4" t="s">
        <v>263</v>
      </c>
      <c r="CW3071" s="4" t="s">
        <v>263</v>
      </c>
      <c r="CX3071" s="4" t="s">
        <v>264</v>
      </c>
      <c r="DA3071" s="6">
        <f>1</f>
        <v>1</v>
      </c>
      <c r="DC3071" s="4" t="s">
        <v>325</v>
      </c>
      <c r="DD3071" s="4" t="s">
        <v>241</v>
      </c>
      <c r="DF3071" s="4" t="s">
        <v>325</v>
      </c>
      <c r="DG3071" s="6">
        <f>1508</f>
        <v>1508</v>
      </c>
      <c r="DI3071" s="4" t="s">
        <v>241</v>
      </c>
      <c r="DJ3071" s="4" t="s">
        <v>241</v>
      </c>
      <c r="DK3071" s="4" t="s">
        <v>241</v>
      </c>
      <c r="DL3071" s="4" t="s">
        <v>241</v>
      </c>
      <c r="DP3071" s="4" t="s">
        <v>241</v>
      </c>
      <c r="DQ3071" s="4" t="s">
        <v>241</v>
      </c>
      <c r="DR3071" s="4" t="s">
        <v>241</v>
      </c>
      <c r="DS3071" s="4" t="s">
        <v>241</v>
      </c>
      <c r="DV3071" s="4" t="s">
        <v>426</v>
      </c>
      <c r="DW3071" s="4" t="s">
        <v>2644</v>
      </c>
      <c r="HO3071" s="4" t="s">
        <v>267</v>
      </c>
    </row>
    <row r="3072" spans="1:223" ht="19.5" customHeight="1" x14ac:dyDescent="0.4">
      <c r="A3072" s="4">
        <v>1</v>
      </c>
      <c r="B3072" s="4" t="s">
        <v>239</v>
      </c>
      <c r="C3072" s="4">
        <v>4775</v>
      </c>
      <c r="D3072" s="4">
        <v>1</v>
      </c>
      <c r="E3072" s="4">
        <v>1</v>
      </c>
      <c r="F3072" s="4" t="s">
        <v>268</v>
      </c>
      <c r="G3072" s="4" t="s">
        <v>241</v>
      </c>
      <c r="H3072" s="4" t="s">
        <v>241</v>
      </c>
      <c r="I3072" s="4" t="s">
        <v>424</v>
      </c>
      <c r="J3072" s="4" t="s">
        <v>274</v>
      </c>
      <c r="K3072" s="4" t="s">
        <v>251</v>
      </c>
      <c r="L3072" s="4" t="s">
        <v>423</v>
      </c>
      <c r="M3072" s="5" t="s">
        <v>4916</v>
      </c>
      <c r="N3072" s="6">
        <f>794</f>
        <v>794</v>
      </c>
      <c r="O3072" s="4" t="s">
        <v>265</v>
      </c>
      <c r="P3072" s="6">
        <f>1</f>
        <v>1</v>
      </c>
      <c r="Q3072" s="6">
        <f>0</f>
        <v>0</v>
      </c>
      <c r="S3072" s="6">
        <f>0</f>
        <v>0</v>
      </c>
      <c r="T3072" s="6">
        <f>1</f>
        <v>1</v>
      </c>
      <c r="U3072" s="5" t="s">
        <v>245</v>
      </c>
      <c r="V3072" s="4" t="s">
        <v>270</v>
      </c>
      <c r="W3072" s="4" t="s">
        <v>271</v>
      </c>
      <c r="X3072" s="4" t="s">
        <v>273</v>
      </c>
      <c r="Y3072" s="4" t="s">
        <v>241</v>
      </c>
      <c r="AB3072" s="4" t="s">
        <v>241</v>
      </c>
      <c r="AD3072" s="5" t="s">
        <v>241</v>
      </c>
      <c r="AG3072" s="5" t="s">
        <v>246</v>
      </c>
      <c r="AH3072" s="4" t="s">
        <v>241</v>
      </c>
      <c r="AI3072" s="4" t="s">
        <v>247</v>
      </c>
      <c r="AJ3072" s="4" t="s">
        <v>248</v>
      </c>
      <c r="AZ3072" s="4" t="s">
        <v>249</v>
      </c>
      <c r="BA3072" s="4" t="s">
        <v>241</v>
      </c>
      <c r="BB3072" s="4" t="s">
        <v>250</v>
      </c>
      <c r="BC3072" s="4" t="s">
        <v>241</v>
      </c>
      <c r="BD3072" s="4" t="s">
        <v>252</v>
      </c>
      <c r="BE3072" s="4" t="s">
        <v>241</v>
      </c>
      <c r="BI3072" s="4" t="s">
        <v>253</v>
      </c>
      <c r="BJ3072" s="5" t="s">
        <v>246</v>
      </c>
      <c r="BK3072" s="4" t="s">
        <v>254</v>
      </c>
      <c r="BL3072" s="4" t="s">
        <v>255</v>
      </c>
      <c r="BM3072" s="4" t="s">
        <v>241</v>
      </c>
      <c r="BN3072" s="6">
        <f>0</f>
        <v>0</v>
      </c>
      <c r="BO3072" s="6">
        <f>0</f>
        <v>0</v>
      </c>
      <c r="BP3072" s="4" t="s">
        <v>256</v>
      </c>
      <c r="BQ3072" s="4" t="s">
        <v>257</v>
      </c>
      <c r="CE3072" s="4" t="s">
        <v>241</v>
      </c>
      <c r="CF3072" s="4" t="s">
        <v>241</v>
      </c>
      <c r="CJ3072" s="4" t="s">
        <v>276</v>
      </c>
      <c r="CK3072" s="4" t="s">
        <v>259</v>
      </c>
      <c r="CL3072" s="4" t="s">
        <v>241</v>
      </c>
      <c r="CO3072" s="5" t="s">
        <v>260</v>
      </c>
      <c r="CP3072" s="4" t="s">
        <v>241</v>
      </c>
      <c r="CQ3072" s="4" t="s">
        <v>261</v>
      </c>
      <c r="CR3072" s="4" t="s">
        <v>241</v>
      </c>
      <c r="CS3072" s="4" t="s">
        <v>241</v>
      </c>
      <c r="CT3072" s="4">
        <v>0</v>
      </c>
      <c r="CU3072" s="4" t="s">
        <v>262</v>
      </c>
      <c r="CV3072" s="4" t="s">
        <v>263</v>
      </c>
      <c r="CW3072" s="4" t="s">
        <v>263</v>
      </c>
      <c r="CX3072" s="4" t="s">
        <v>264</v>
      </c>
      <c r="DA3072" s="6">
        <f>1</f>
        <v>1</v>
      </c>
      <c r="DC3072" s="4" t="s">
        <v>325</v>
      </c>
      <c r="DD3072" s="4" t="s">
        <v>241</v>
      </c>
      <c r="DF3072" s="4" t="s">
        <v>325</v>
      </c>
      <c r="DG3072" s="6">
        <f>794</f>
        <v>794</v>
      </c>
      <c r="DI3072" s="4" t="s">
        <v>241</v>
      </c>
      <c r="DJ3072" s="4" t="s">
        <v>241</v>
      </c>
      <c r="DK3072" s="4" t="s">
        <v>241</v>
      </c>
      <c r="DL3072" s="4" t="s">
        <v>241</v>
      </c>
      <c r="DP3072" s="4" t="s">
        <v>241</v>
      </c>
      <c r="DQ3072" s="4" t="s">
        <v>241</v>
      </c>
      <c r="DR3072" s="4" t="s">
        <v>241</v>
      </c>
      <c r="DS3072" s="4" t="s">
        <v>241</v>
      </c>
      <c r="DV3072" s="4" t="s">
        <v>426</v>
      </c>
      <c r="DW3072" s="4" t="s">
        <v>2661</v>
      </c>
      <c r="HO3072" s="4" t="s">
        <v>267</v>
      </c>
    </row>
    <row r="3073" spans="1:223" ht="19.5" customHeight="1" x14ac:dyDescent="0.4">
      <c r="A3073" s="4">
        <v>1</v>
      </c>
      <c r="B3073" s="4" t="s">
        <v>239</v>
      </c>
      <c r="C3073" s="4">
        <v>4776</v>
      </c>
      <c r="D3073" s="4">
        <v>1</v>
      </c>
      <c r="E3073" s="4">
        <v>1</v>
      </c>
      <c r="F3073" s="4" t="s">
        <v>268</v>
      </c>
      <c r="G3073" s="4" t="s">
        <v>241</v>
      </c>
      <c r="H3073" s="4" t="s">
        <v>241</v>
      </c>
      <c r="I3073" s="4" t="s">
        <v>424</v>
      </c>
      <c r="J3073" s="4" t="s">
        <v>274</v>
      </c>
      <c r="K3073" s="4" t="s">
        <v>251</v>
      </c>
      <c r="L3073" s="4" t="s">
        <v>423</v>
      </c>
      <c r="M3073" s="5" t="s">
        <v>3943</v>
      </c>
      <c r="N3073" s="6">
        <f>863</f>
        <v>863</v>
      </c>
      <c r="O3073" s="4" t="s">
        <v>265</v>
      </c>
      <c r="P3073" s="6">
        <f>1</f>
        <v>1</v>
      </c>
      <c r="Q3073" s="6">
        <f>0</f>
        <v>0</v>
      </c>
      <c r="S3073" s="6">
        <f>0</f>
        <v>0</v>
      </c>
      <c r="T3073" s="6">
        <f>1</f>
        <v>1</v>
      </c>
      <c r="U3073" s="5" t="s">
        <v>245</v>
      </c>
      <c r="V3073" s="4" t="s">
        <v>270</v>
      </c>
      <c r="W3073" s="4" t="s">
        <v>271</v>
      </c>
      <c r="X3073" s="4" t="s">
        <v>273</v>
      </c>
      <c r="Y3073" s="4" t="s">
        <v>241</v>
      </c>
      <c r="AB3073" s="4" t="s">
        <v>241</v>
      </c>
      <c r="AD3073" s="5" t="s">
        <v>241</v>
      </c>
      <c r="AG3073" s="5" t="s">
        <v>246</v>
      </c>
      <c r="AH3073" s="4" t="s">
        <v>241</v>
      </c>
      <c r="AI3073" s="4" t="s">
        <v>247</v>
      </c>
      <c r="AJ3073" s="4" t="s">
        <v>248</v>
      </c>
      <c r="AZ3073" s="4" t="s">
        <v>249</v>
      </c>
      <c r="BA3073" s="4" t="s">
        <v>241</v>
      </c>
      <c r="BB3073" s="4" t="s">
        <v>250</v>
      </c>
      <c r="BC3073" s="4" t="s">
        <v>241</v>
      </c>
      <c r="BD3073" s="4" t="s">
        <v>252</v>
      </c>
      <c r="BE3073" s="4" t="s">
        <v>241</v>
      </c>
      <c r="BI3073" s="4" t="s">
        <v>253</v>
      </c>
      <c r="BJ3073" s="5" t="s">
        <v>246</v>
      </c>
      <c r="BK3073" s="4" t="s">
        <v>254</v>
      </c>
      <c r="BL3073" s="4" t="s">
        <v>255</v>
      </c>
      <c r="BM3073" s="4" t="s">
        <v>241</v>
      </c>
      <c r="BN3073" s="6">
        <f>0</f>
        <v>0</v>
      </c>
      <c r="BO3073" s="6">
        <f>0</f>
        <v>0</v>
      </c>
      <c r="BP3073" s="4" t="s">
        <v>256</v>
      </c>
      <c r="BQ3073" s="4" t="s">
        <v>257</v>
      </c>
      <c r="CE3073" s="4" t="s">
        <v>241</v>
      </c>
      <c r="CF3073" s="4" t="s">
        <v>241</v>
      </c>
      <c r="CJ3073" s="4" t="s">
        <v>276</v>
      </c>
      <c r="CK3073" s="4" t="s">
        <v>259</v>
      </c>
      <c r="CL3073" s="4" t="s">
        <v>241</v>
      </c>
      <c r="CO3073" s="5" t="s">
        <v>260</v>
      </c>
      <c r="CP3073" s="4" t="s">
        <v>241</v>
      </c>
      <c r="CQ3073" s="4" t="s">
        <v>261</v>
      </c>
      <c r="CR3073" s="4" t="s">
        <v>241</v>
      </c>
      <c r="CS3073" s="4" t="s">
        <v>241</v>
      </c>
      <c r="CT3073" s="4">
        <v>0</v>
      </c>
      <c r="CU3073" s="4" t="s">
        <v>262</v>
      </c>
      <c r="CV3073" s="4" t="s">
        <v>263</v>
      </c>
      <c r="CW3073" s="4" t="s">
        <v>263</v>
      </c>
      <c r="CX3073" s="4" t="s">
        <v>264</v>
      </c>
      <c r="DA3073" s="6">
        <f>1</f>
        <v>1</v>
      </c>
      <c r="DC3073" s="4" t="s">
        <v>325</v>
      </c>
      <c r="DD3073" s="4" t="s">
        <v>241</v>
      </c>
      <c r="DF3073" s="4" t="s">
        <v>325</v>
      </c>
      <c r="DG3073" s="6">
        <f>863</f>
        <v>863</v>
      </c>
      <c r="DI3073" s="4" t="s">
        <v>241</v>
      </c>
      <c r="DJ3073" s="4" t="s">
        <v>241</v>
      </c>
      <c r="DK3073" s="4" t="s">
        <v>241</v>
      </c>
      <c r="DL3073" s="4" t="s">
        <v>241</v>
      </c>
      <c r="DP3073" s="4" t="s">
        <v>241</v>
      </c>
      <c r="DQ3073" s="4" t="s">
        <v>241</v>
      </c>
      <c r="DR3073" s="4" t="s">
        <v>241</v>
      </c>
      <c r="DS3073" s="4" t="s">
        <v>241</v>
      </c>
      <c r="DV3073" s="4" t="s">
        <v>426</v>
      </c>
      <c r="DW3073" s="4" t="s">
        <v>2677</v>
      </c>
      <c r="HO3073" s="4" t="s">
        <v>267</v>
      </c>
    </row>
    <row r="3074" spans="1:223" ht="19.5" customHeight="1" x14ac:dyDescent="0.4">
      <c r="A3074" s="4">
        <v>1</v>
      </c>
      <c r="B3074" s="4" t="s">
        <v>239</v>
      </c>
      <c r="C3074" s="4">
        <v>4777</v>
      </c>
      <c r="D3074" s="4">
        <v>1</v>
      </c>
      <c r="E3074" s="4">
        <v>1</v>
      </c>
      <c r="F3074" s="4" t="s">
        <v>268</v>
      </c>
      <c r="G3074" s="4" t="s">
        <v>241</v>
      </c>
      <c r="H3074" s="4" t="s">
        <v>241</v>
      </c>
      <c r="I3074" s="4" t="s">
        <v>424</v>
      </c>
      <c r="J3074" s="4" t="s">
        <v>274</v>
      </c>
      <c r="K3074" s="4" t="s">
        <v>251</v>
      </c>
      <c r="L3074" s="4" t="s">
        <v>423</v>
      </c>
      <c r="M3074" s="5" t="s">
        <v>3932</v>
      </c>
      <c r="N3074" s="6">
        <f>196</f>
        <v>196</v>
      </c>
      <c r="O3074" s="4" t="s">
        <v>265</v>
      </c>
      <c r="P3074" s="6">
        <f>1</f>
        <v>1</v>
      </c>
      <c r="Q3074" s="6">
        <f>0</f>
        <v>0</v>
      </c>
      <c r="S3074" s="6">
        <f>0</f>
        <v>0</v>
      </c>
      <c r="T3074" s="6">
        <f>1</f>
        <v>1</v>
      </c>
      <c r="U3074" s="5" t="s">
        <v>245</v>
      </c>
      <c r="V3074" s="4" t="s">
        <v>270</v>
      </c>
      <c r="W3074" s="4" t="s">
        <v>271</v>
      </c>
      <c r="X3074" s="4" t="s">
        <v>273</v>
      </c>
      <c r="Y3074" s="4" t="s">
        <v>241</v>
      </c>
      <c r="AB3074" s="4" t="s">
        <v>241</v>
      </c>
      <c r="AD3074" s="5" t="s">
        <v>241</v>
      </c>
      <c r="AG3074" s="5" t="s">
        <v>246</v>
      </c>
      <c r="AH3074" s="4" t="s">
        <v>241</v>
      </c>
      <c r="AI3074" s="4" t="s">
        <v>247</v>
      </c>
      <c r="AJ3074" s="4" t="s">
        <v>248</v>
      </c>
      <c r="AZ3074" s="4" t="s">
        <v>249</v>
      </c>
      <c r="BA3074" s="4" t="s">
        <v>241</v>
      </c>
      <c r="BB3074" s="4" t="s">
        <v>250</v>
      </c>
      <c r="BC3074" s="4" t="s">
        <v>241</v>
      </c>
      <c r="BD3074" s="4" t="s">
        <v>252</v>
      </c>
      <c r="BE3074" s="4" t="s">
        <v>241</v>
      </c>
      <c r="BI3074" s="4" t="s">
        <v>253</v>
      </c>
      <c r="BJ3074" s="5" t="s">
        <v>246</v>
      </c>
      <c r="BK3074" s="4" t="s">
        <v>254</v>
      </c>
      <c r="BL3074" s="4" t="s">
        <v>255</v>
      </c>
      <c r="BM3074" s="4" t="s">
        <v>241</v>
      </c>
      <c r="BN3074" s="6">
        <f>0</f>
        <v>0</v>
      </c>
      <c r="BO3074" s="6">
        <f>0</f>
        <v>0</v>
      </c>
      <c r="BP3074" s="4" t="s">
        <v>256</v>
      </c>
      <c r="BQ3074" s="4" t="s">
        <v>257</v>
      </c>
      <c r="CE3074" s="4" t="s">
        <v>241</v>
      </c>
      <c r="CF3074" s="4" t="s">
        <v>241</v>
      </c>
      <c r="CJ3074" s="4" t="s">
        <v>276</v>
      </c>
      <c r="CK3074" s="4" t="s">
        <v>259</v>
      </c>
      <c r="CL3074" s="4" t="s">
        <v>241</v>
      </c>
      <c r="CO3074" s="5" t="s">
        <v>260</v>
      </c>
      <c r="CP3074" s="4" t="s">
        <v>241</v>
      </c>
      <c r="CQ3074" s="4" t="s">
        <v>261</v>
      </c>
      <c r="CR3074" s="4" t="s">
        <v>241</v>
      </c>
      <c r="CS3074" s="4" t="s">
        <v>241</v>
      </c>
      <c r="CT3074" s="4">
        <v>0</v>
      </c>
      <c r="CU3074" s="4" t="s">
        <v>262</v>
      </c>
      <c r="CV3074" s="4" t="s">
        <v>263</v>
      </c>
      <c r="CW3074" s="4" t="s">
        <v>263</v>
      </c>
      <c r="CX3074" s="4" t="s">
        <v>264</v>
      </c>
      <c r="DA3074" s="6">
        <f>1</f>
        <v>1</v>
      </c>
      <c r="DC3074" s="4" t="s">
        <v>325</v>
      </c>
      <c r="DD3074" s="4" t="s">
        <v>241</v>
      </c>
      <c r="DF3074" s="4" t="s">
        <v>325</v>
      </c>
      <c r="DG3074" s="6">
        <f>196</f>
        <v>196</v>
      </c>
      <c r="DI3074" s="4" t="s">
        <v>241</v>
      </c>
      <c r="DJ3074" s="4" t="s">
        <v>241</v>
      </c>
      <c r="DK3074" s="4" t="s">
        <v>241</v>
      </c>
      <c r="DL3074" s="4" t="s">
        <v>241</v>
      </c>
      <c r="DP3074" s="4" t="s">
        <v>241</v>
      </c>
      <c r="DQ3074" s="4" t="s">
        <v>241</v>
      </c>
      <c r="DR3074" s="4" t="s">
        <v>241</v>
      </c>
      <c r="DS3074" s="4" t="s">
        <v>241</v>
      </c>
      <c r="DV3074" s="4" t="s">
        <v>426</v>
      </c>
      <c r="DW3074" s="4" t="s">
        <v>2691</v>
      </c>
      <c r="HO3074" s="4" t="s">
        <v>267</v>
      </c>
    </row>
    <row r="3075" spans="1:223" ht="19.5" customHeight="1" x14ac:dyDescent="0.4">
      <c r="A3075" s="4">
        <v>1</v>
      </c>
      <c r="B3075" s="4" t="s">
        <v>239</v>
      </c>
      <c r="C3075" s="4">
        <v>4778</v>
      </c>
      <c r="D3075" s="4">
        <v>1</v>
      </c>
      <c r="E3075" s="4">
        <v>1</v>
      </c>
      <c r="F3075" s="4" t="s">
        <v>268</v>
      </c>
      <c r="G3075" s="4" t="s">
        <v>241</v>
      </c>
      <c r="H3075" s="4" t="s">
        <v>241</v>
      </c>
      <c r="I3075" s="4" t="s">
        <v>424</v>
      </c>
      <c r="J3075" s="4" t="s">
        <v>274</v>
      </c>
      <c r="K3075" s="4" t="s">
        <v>251</v>
      </c>
      <c r="L3075" s="4" t="s">
        <v>423</v>
      </c>
      <c r="M3075" s="5" t="s">
        <v>4915</v>
      </c>
      <c r="N3075" s="6">
        <f>70</f>
        <v>70</v>
      </c>
      <c r="O3075" s="4" t="s">
        <v>265</v>
      </c>
      <c r="P3075" s="6">
        <f>1</f>
        <v>1</v>
      </c>
      <c r="Q3075" s="6">
        <f>0</f>
        <v>0</v>
      </c>
      <c r="S3075" s="6">
        <f>0</f>
        <v>0</v>
      </c>
      <c r="T3075" s="6">
        <f>1</f>
        <v>1</v>
      </c>
      <c r="U3075" s="5" t="s">
        <v>245</v>
      </c>
      <c r="V3075" s="4" t="s">
        <v>270</v>
      </c>
      <c r="W3075" s="4" t="s">
        <v>271</v>
      </c>
      <c r="X3075" s="4" t="s">
        <v>273</v>
      </c>
      <c r="Y3075" s="4" t="s">
        <v>241</v>
      </c>
      <c r="AB3075" s="4" t="s">
        <v>241</v>
      </c>
      <c r="AD3075" s="5" t="s">
        <v>241</v>
      </c>
      <c r="AG3075" s="5" t="s">
        <v>246</v>
      </c>
      <c r="AH3075" s="4" t="s">
        <v>241</v>
      </c>
      <c r="AI3075" s="4" t="s">
        <v>247</v>
      </c>
      <c r="AJ3075" s="4" t="s">
        <v>248</v>
      </c>
      <c r="AZ3075" s="4" t="s">
        <v>249</v>
      </c>
      <c r="BA3075" s="4" t="s">
        <v>241</v>
      </c>
      <c r="BB3075" s="4" t="s">
        <v>250</v>
      </c>
      <c r="BC3075" s="4" t="s">
        <v>241</v>
      </c>
      <c r="BD3075" s="4" t="s">
        <v>252</v>
      </c>
      <c r="BE3075" s="4" t="s">
        <v>241</v>
      </c>
      <c r="BI3075" s="4" t="s">
        <v>253</v>
      </c>
      <c r="BJ3075" s="5" t="s">
        <v>246</v>
      </c>
      <c r="BK3075" s="4" t="s">
        <v>254</v>
      </c>
      <c r="BL3075" s="4" t="s">
        <v>255</v>
      </c>
      <c r="BM3075" s="4" t="s">
        <v>241</v>
      </c>
      <c r="BN3075" s="6">
        <f>0</f>
        <v>0</v>
      </c>
      <c r="BO3075" s="6">
        <f>0</f>
        <v>0</v>
      </c>
      <c r="BP3075" s="4" t="s">
        <v>256</v>
      </c>
      <c r="BQ3075" s="4" t="s">
        <v>257</v>
      </c>
      <c r="CE3075" s="4" t="s">
        <v>241</v>
      </c>
      <c r="CF3075" s="4" t="s">
        <v>241</v>
      </c>
      <c r="CJ3075" s="4" t="s">
        <v>276</v>
      </c>
      <c r="CK3075" s="4" t="s">
        <v>259</v>
      </c>
      <c r="CL3075" s="4" t="s">
        <v>241</v>
      </c>
      <c r="CO3075" s="5" t="s">
        <v>260</v>
      </c>
      <c r="CP3075" s="4" t="s">
        <v>241</v>
      </c>
      <c r="CQ3075" s="4" t="s">
        <v>261</v>
      </c>
      <c r="CR3075" s="4" t="s">
        <v>241</v>
      </c>
      <c r="CS3075" s="4" t="s">
        <v>241</v>
      </c>
      <c r="CT3075" s="4">
        <v>0</v>
      </c>
      <c r="CU3075" s="4" t="s">
        <v>262</v>
      </c>
      <c r="CV3075" s="4" t="s">
        <v>263</v>
      </c>
      <c r="CW3075" s="4" t="s">
        <v>263</v>
      </c>
      <c r="CX3075" s="4" t="s">
        <v>264</v>
      </c>
      <c r="DA3075" s="6">
        <f>1</f>
        <v>1</v>
      </c>
      <c r="DC3075" s="4" t="s">
        <v>325</v>
      </c>
      <c r="DD3075" s="4" t="s">
        <v>241</v>
      </c>
      <c r="DF3075" s="4" t="s">
        <v>325</v>
      </c>
      <c r="DG3075" s="6">
        <f>70</f>
        <v>70</v>
      </c>
      <c r="DI3075" s="4" t="s">
        <v>241</v>
      </c>
      <c r="DJ3075" s="4" t="s">
        <v>241</v>
      </c>
      <c r="DK3075" s="4" t="s">
        <v>241</v>
      </c>
      <c r="DL3075" s="4" t="s">
        <v>241</v>
      </c>
      <c r="DP3075" s="4" t="s">
        <v>241</v>
      </c>
      <c r="DQ3075" s="4" t="s">
        <v>241</v>
      </c>
      <c r="DR3075" s="4" t="s">
        <v>241</v>
      </c>
      <c r="DS3075" s="4" t="s">
        <v>241</v>
      </c>
      <c r="DV3075" s="4" t="s">
        <v>426</v>
      </c>
      <c r="DW3075" s="4" t="s">
        <v>2705</v>
      </c>
      <c r="HO3075" s="4" t="s">
        <v>267</v>
      </c>
    </row>
    <row r="3076" spans="1:223" ht="19.5" customHeight="1" x14ac:dyDescent="0.4">
      <c r="A3076" s="4">
        <v>1</v>
      </c>
      <c r="B3076" s="4" t="s">
        <v>239</v>
      </c>
      <c r="C3076" s="4">
        <v>4779</v>
      </c>
      <c r="D3076" s="4">
        <v>1</v>
      </c>
      <c r="E3076" s="4">
        <v>1</v>
      </c>
      <c r="F3076" s="4" t="s">
        <v>268</v>
      </c>
      <c r="G3076" s="4" t="s">
        <v>241</v>
      </c>
      <c r="H3076" s="4" t="s">
        <v>241</v>
      </c>
      <c r="I3076" s="4" t="s">
        <v>424</v>
      </c>
      <c r="J3076" s="4" t="s">
        <v>274</v>
      </c>
      <c r="K3076" s="4" t="s">
        <v>251</v>
      </c>
      <c r="L3076" s="4" t="s">
        <v>423</v>
      </c>
      <c r="M3076" s="5" t="s">
        <v>3811</v>
      </c>
      <c r="N3076" s="6">
        <f>384</f>
        <v>384</v>
      </c>
      <c r="O3076" s="4" t="s">
        <v>265</v>
      </c>
      <c r="P3076" s="6">
        <f>1</f>
        <v>1</v>
      </c>
      <c r="Q3076" s="6">
        <f>0</f>
        <v>0</v>
      </c>
      <c r="S3076" s="6">
        <f>0</f>
        <v>0</v>
      </c>
      <c r="T3076" s="6">
        <f>1</f>
        <v>1</v>
      </c>
      <c r="U3076" s="5" t="s">
        <v>245</v>
      </c>
      <c r="V3076" s="4" t="s">
        <v>270</v>
      </c>
      <c r="W3076" s="4" t="s">
        <v>271</v>
      </c>
      <c r="X3076" s="4" t="s">
        <v>273</v>
      </c>
      <c r="Y3076" s="4" t="s">
        <v>241</v>
      </c>
      <c r="AB3076" s="4" t="s">
        <v>241</v>
      </c>
      <c r="AD3076" s="5" t="s">
        <v>241</v>
      </c>
      <c r="AG3076" s="5" t="s">
        <v>246</v>
      </c>
      <c r="AH3076" s="4" t="s">
        <v>241</v>
      </c>
      <c r="AI3076" s="4" t="s">
        <v>247</v>
      </c>
      <c r="AJ3076" s="4" t="s">
        <v>248</v>
      </c>
      <c r="AZ3076" s="4" t="s">
        <v>249</v>
      </c>
      <c r="BA3076" s="4" t="s">
        <v>241</v>
      </c>
      <c r="BB3076" s="4" t="s">
        <v>250</v>
      </c>
      <c r="BC3076" s="4" t="s">
        <v>241</v>
      </c>
      <c r="BD3076" s="4" t="s">
        <v>252</v>
      </c>
      <c r="BE3076" s="4" t="s">
        <v>241</v>
      </c>
      <c r="BI3076" s="4" t="s">
        <v>253</v>
      </c>
      <c r="BJ3076" s="5" t="s">
        <v>246</v>
      </c>
      <c r="BK3076" s="4" t="s">
        <v>254</v>
      </c>
      <c r="BL3076" s="4" t="s">
        <v>255</v>
      </c>
      <c r="BM3076" s="4" t="s">
        <v>241</v>
      </c>
      <c r="BN3076" s="6">
        <f>0</f>
        <v>0</v>
      </c>
      <c r="BO3076" s="6">
        <f>0</f>
        <v>0</v>
      </c>
      <c r="BP3076" s="4" t="s">
        <v>256</v>
      </c>
      <c r="BQ3076" s="4" t="s">
        <v>257</v>
      </c>
      <c r="CE3076" s="4" t="s">
        <v>241</v>
      </c>
      <c r="CF3076" s="4" t="s">
        <v>241</v>
      </c>
      <c r="CJ3076" s="4" t="s">
        <v>276</v>
      </c>
      <c r="CK3076" s="4" t="s">
        <v>259</v>
      </c>
      <c r="CL3076" s="4" t="s">
        <v>241</v>
      </c>
      <c r="CO3076" s="5" t="s">
        <v>260</v>
      </c>
      <c r="CP3076" s="4" t="s">
        <v>241</v>
      </c>
      <c r="CQ3076" s="4" t="s">
        <v>261</v>
      </c>
      <c r="CR3076" s="4" t="s">
        <v>241</v>
      </c>
      <c r="CS3076" s="4" t="s">
        <v>241</v>
      </c>
      <c r="CT3076" s="4">
        <v>0</v>
      </c>
      <c r="CU3076" s="4" t="s">
        <v>262</v>
      </c>
      <c r="CV3076" s="4" t="s">
        <v>263</v>
      </c>
      <c r="CW3076" s="4" t="s">
        <v>263</v>
      </c>
      <c r="CX3076" s="4" t="s">
        <v>264</v>
      </c>
      <c r="DA3076" s="6">
        <f>1</f>
        <v>1</v>
      </c>
      <c r="DC3076" s="4" t="s">
        <v>325</v>
      </c>
      <c r="DD3076" s="4" t="s">
        <v>241</v>
      </c>
      <c r="DF3076" s="4" t="s">
        <v>325</v>
      </c>
      <c r="DG3076" s="6">
        <f>384</f>
        <v>384</v>
      </c>
      <c r="DI3076" s="4" t="s">
        <v>241</v>
      </c>
      <c r="DJ3076" s="4" t="s">
        <v>241</v>
      </c>
      <c r="DK3076" s="4" t="s">
        <v>241</v>
      </c>
      <c r="DL3076" s="4" t="s">
        <v>241</v>
      </c>
      <c r="DP3076" s="4" t="s">
        <v>241</v>
      </c>
      <c r="DQ3076" s="4" t="s">
        <v>241</v>
      </c>
      <c r="DR3076" s="4" t="s">
        <v>241</v>
      </c>
      <c r="DS3076" s="4" t="s">
        <v>241</v>
      </c>
      <c r="DV3076" s="4" t="s">
        <v>426</v>
      </c>
      <c r="DW3076" s="4" t="s">
        <v>340</v>
      </c>
      <c r="HO3076" s="4" t="s">
        <v>267</v>
      </c>
    </row>
    <row r="3077" spans="1:223" ht="19.5" customHeight="1" x14ac:dyDescent="0.4">
      <c r="A3077" s="4">
        <v>1</v>
      </c>
      <c r="B3077" s="4" t="s">
        <v>239</v>
      </c>
      <c r="C3077" s="4">
        <v>4780</v>
      </c>
      <c r="D3077" s="4">
        <v>1</v>
      </c>
      <c r="E3077" s="4">
        <v>1</v>
      </c>
      <c r="F3077" s="4" t="s">
        <v>268</v>
      </c>
      <c r="G3077" s="4" t="s">
        <v>241</v>
      </c>
      <c r="H3077" s="4" t="s">
        <v>241</v>
      </c>
      <c r="I3077" s="4" t="s">
        <v>424</v>
      </c>
      <c r="J3077" s="4" t="s">
        <v>274</v>
      </c>
      <c r="K3077" s="4" t="s">
        <v>251</v>
      </c>
      <c r="L3077" s="4" t="s">
        <v>423</v>
      </c>
      <c r="M3077" s="5" t="s">
        <v>3915</v>
      </c>
      <c r="N3077" s="6">
        <f>179</f>
        <v>179</v>
      </c>
      <c r="O3077" s="4" t="s">
        <v>265</v>
      </c>
      <c r="P3077" s="6">
        <f>1</f>
        <v>1</v>
      </c>
      <c r="Q3077" s="6">
        <f>0</f>
        <v>0</v>
      </c>
      <c r="S3077" s="6">
        <f>0</f>
        <v>0</v>
      </c>
      <c r="T3077" s="6">
        <f>1</f>
        <v>1</v>
      </c>
      <c r="U3077" s="5" t="s">
        <v>245</v>
      </c>
      <c r="V3077" s="4" t="s">
        <v>270</v>
      </c>
      <c r="W3077" s="4" t="s">
        <v>271</v>
      </c>
      <c r="X3077" s="4" t="s">
        <v>273</v>
      </c>
      <c r="Y3077" s="4" t="s">
        <v>241</v>
      </c>
      <c r="AB3077" s="4" t="s">
        <v>241</v>
      </c>
      <c r="AD3077" s="5" t="s">
        <v>241</v>
      </c>
      <c r="AG3077" s="5" t="s">
        <v>246</v>
      </c>
      <c r="AH3077" s="4" t="s">
        <v>241</v>
      </c>
      <c r="AI3077" s="4" t="s">
        <v>247</v>
      </c>
      <c r="AJ3077" s="4" t="s">
        <v>248</v>
      </c>
      <c r="AZ3077" s="4" t="s">
        <v>249</v>
      </c>
      <c r="BA3077" s="4" t="s">
        <v>241</v>
      </c>
      <c r="BB3077" s="4" t="s">
        <v>250</v>
      </c>
      <c r="BC3077" s="4" t="s">
        <v>241</v>
      </c>
      <c r="BD3077" s="4" t="s">
        <v>252</v>
      </c>
      <c r="BE3077" s="4" t="s">
        <v>241</v>
      </c>
      <c r="BI3077" s="4" t="s">
        <v>253</v>
      </c>
      <c r="BJ3077" s="5" t="s">
        <v>246</v>
      </c>
      <c r="BK3077" s="4" t="s">
        <v>254</v>
      </c>
      <c r="BL3077" s="4" t="s">
        <v>255</v>
      </c>
      <c r="BM3077" s="4" t="s">
        <v>241</v>
      </c>
      <c r="BN3077" s="6">
        <f>0</f>
        <v>0</v>
      </c>
      <c r="BO3077" s="6">
        <f>0</f>
        <v>0</v>
      </c>
      <c r="BP3077" s="4" t="s">
        <v>256</v>
      </c>
      <c r="BQ3077" s="4" t="s">
        <v>257</v>
      </c>
      <c r="CE3077" s="4" t="s">
        <v>241</v>
      </c>
      <c r="CF3077" s="4" t="s">
        <v>241</v>
      </c>
      <c r="CJ3077" s="4" t="s">
        <v>276</v>
      </c>
      <c r="CK3077" s="4" t="s">
        <v>259</v>
      </c>
      <c r="CL3077" s="4" t="s">
        <v>241</v>
      </c>
      <c r="CO3077" s="5" t="s">
        <v>260</v>
      </c>
      <c r="CP3077" s="4" t="s">
        <v>241</v>
      </c>
      <c r="CQ3077" s="4" t="s">
        <v>261</v>
      </c>
      <c r="CR3077" s="4" t="s">
        <v>241</v>
      </c>
      <c r="CS3077" s="4" t="s">
        <v>241</v>
      </c>
      <c r="CT3077" s="4">
        <v>0</v>
      </c>
      <c r="CU3077" s="4" t="s">
        <v>262</v>
      </c>
      <c r="CV3077" s="4" t="s">
        <v>263</v>
      </c>
      <c r="CW3077" s="4" t="s">
        <v>263</v>
      </c>
      <c r="CX3077" s="4" t="s">
        <v>264</v>
      </c>
      <c r="DA3077" s="6">
        <f>1</f>
        <v>1</v>
      </c>
      <c r="DC3077" s="4" t="s">
        <v>325</v>
      </c>
      <c r="DD3077" s="4" t="s">
        <v>241</v>
      </c>
      <c r="DF3077" s="4" t="s">
        <v>325</v>
      </c>
      <c r="DG3077" s="6">
        <f>179</f>
        <v>179</v>
      </c>
      <c r="DI3077" s="4" t="s">
        <v>241</v>
      </c>
      <c r="DJ3077" s="4" t="s">
        <v>241</v>
      </c>
      <c r="DK3077" s="4" t="s">
        <v>241</v>
      </c>
      <c r="DL3077" s="4" t="s">
        <v>241</v>
      </c>
      <c r="DP3077" s="4" t="s">
        <v>241</v>
      </c>
      <c r="DQ3077" s="4" t="s">
        <v>241</v>
      </c>
      <c r="DR3077" s="4" t="s">
        <v>241</v>
      </c>
      <c r="DS3077" s="4" t="s">
        <v>241</v>
      </c>
      <c r="DV3077" s="4" t="s">
        <v>426</v>
      </c>
      <c r="DW3077" s="4" t="s">
        <v>990</v>
      </c>
      <c r="HO3077" s="4" t="s">
        <v>267</v>
      </c>
    </row>
    <row r="3078" spans="1:223" ht="19.5" customHeight="1" x14ac:dyDescent="0.4">
      <c r="A3078" s="4">
        <v>1</v>
      </c>
      <c r="B3078" s="4" t="s">
        <v>239</v>
      </c>
      <c r="C3078" s="4">
        <v>4781</v>
      </c>
      <c r="D3078" s="4">
        <v>1</v>
      </c>
      <c r="E3078" s="4">
        <v>1</v>
      </c>
      <c r="F3078" s="4" t="s">
        <v>268</v>
      </c>
      <c r="G3078" s="4" t="s">
        <v>241</v>
      </c>
      <c r="H3078" s="4" t="s">
        <v>241</v>
      </c>
      <c r="I3078" s="4" t="s">
        <v>424</v>
      </c>
      <c r="J3078" s="4" t="s">
        <v>274</v>
      </c>
      <c r="K3078" s="4" t="s">
        <v>251</v>
      </c>
      <c r="L3078" s="4" t="s">
        <v>423</v>
      </c>
      <c r="M3078" s="5" t="s">
        <v>3905</v>
      </c>
      <c r="N3078" s="6">
        <f>366</f>
        <v>366</v>
      </c>
      <c r="O3078" s="4" t="s">
        <v>265</v>
      </c>
      <c r="P3078" s="6">
        <f>1</f>
        <v>1</v>
      </c>
      <c r="Q3078" s="6">
        <f>0</f>
        <v>0</v>
      </c>
      <c r="S3078" s="6">
        <f>0</f>
        <v>0</v>
      </c>
      <c r="T3078" s="6">
        <f>1</f>
        <v>1</v>
      </c>
      <c r="U3078" s="5" t="s">
        <v>245</v>
      </c>
      <c r="V3078" s="4" t="s">
        <v>270</v>
      </c>
      <c r="W3078" s="4" t="s">
        <v>271</v>
      </c>
      <c r="X3078" s="4" t="s">
        <v>273</v>
      </c>
      <c r="Y3078" s="4" t="s">
        <v>241</v>
      </c>
      <c r="AB3078" s="4" t="s">
        <v>241</v>
      </c>
      <c r="AD3078" s="5" t="s">
        <v>241</v>
      </c>
      <c r="AG3078" s="5" t="s">
        <v>246</v>
      </c>
      <c r="AH3078" s="4" t="s">
        <v>241</v>
      </c>
      <c r="AI3078" s="4" t="s">
        <v>247</v>
      </c>
      <c r="AJ3078" s="4" t="s">
        <v>248</v>
      </c>
      <c r="AZ3078" s="4" t="s">
        <v>249</v>
      </c>
      <c r="BA3078" s="4" t="s">
        <v>241</v>
      </c>
      <c r="BB3078" s="4" t="s">
        <v>250</v>
      </c>
      <c r="BC3078" s="4" t="s">
        <v>241</v>
      </c>
      <c r="BD3078" s="4" t="s">
        <v>252</v>
      </c>
      <c r="BE3078" s="4" t="s">
        <v>241</v>
      </c>
      <c r="BI3078" s="4" t="s">
        <v>253</v>
      </c>
      <c r="BJ3078" s="5" t="s">
        <v>246</v>
      </c>
      <c r="BK3078" s="4" t="s">
        <v>254</v>
      </c>
      <c r="BL3078" s="4" t="s">
        <v>255</v>
      </c>
      <c r="BM3078" s="4" t="s">
        <v>241</v>
      </c>
      <c r="BN3078" s="6">
        <f>0</f>
        <v>0</v>
      </c>
      <c r="BO3078" s="6">
        <f>0</f>
        <v>0</v>
      </c>
      <c r="BP3078" s="4" t="s">
        <v>256</v>
      </c>
      <c r="BQ3078" s="4" t="s">
        <v>257</v>
      </c>
      <c r="CE3078" s="4" t="s">
        <v>241</v>
      </c>
      <c r="CF3078" s="4" t="s">
        <v>241</v>
      </c>
      <c r="CJ3078" s="4" t="s">
        <v>276</v>
      </c>
      <c r="CK3078" s="4" t="s">
        <v>259</v>
      </c>
      <c r="CL3078" s="4" t="s">
        <v>241</v>
      </c>
      <c r="CO3078" s="5" t="s">
        <v>260</v>
      </c>
      <c r="CP3078" s="4" t="s">
        <v>241</v>
      </c>
      <c r="CQ3078" s="4" t="s">
        <v>261</v>
      </c>
      <c r="CR3078" s="4" t="s">
        <v>241</v>
      </c>
      <c r="CS3078" s="4" t="s">
        <v>241</v>
      </c>
      <c r="CT3078" s="4">
        <v>0</v>
      </c>
      <c r="CU3078" s="4" t="s">
        <v>262</v>
      </c>
      <c r="CV3078" s="4" t="s">
        <v>263</v>
      </c>
      <c r="CW3078" s="4" t="s">
        <v>263</v>
      </c>
      <c r="CX3078" s="4" t="s">
        <v>264</v>
      </c>
      <c r="DA3078" s="6">
        <f>1</f>
        <v>1</v>
      </c>
      <c r="DC3078" s="4" t="s">
        <v>325</v>
      </c>
      <c r="DD3078" s="4" t="s">
        <v>241</v>
      </c>
      <c r="DF3078" s="4" t="s">
        <v>325</v>
      </c>
      <c r="DG3078" s="6">
        <f>366</f>
        <v>366</v>
      </c>
      <c r="DI3078" s="4" t="s">
        <v>241</v>
      </c>
      <c r="DJ3078" s="4" t="s">
        <v>241</v>
      </c>
      <c r="DK3078" s="4" t="s">
        <v>241</v>
      </c>
      <c r="DL3078" s="4" t="s">
        <v>241</v>
      </c>
      <c r="DP3078" s="4" t="s">
        <v>241</v>
      </c>
      <c r="DQ3078" s="4" t="s">
        <v>241</v>
      </c>
      <c r="DR3078" s="4" t="s">
        <v>241</v>
      </c>
      <c r="DS3078" s="4" t="s">
        <v>241</v>
      </c>
      <c r="DV3078" s="4" t="s">
        <v>426</v>
      </c>
      <c r="DW3078" s="4" t="s">
        <v>1085</v>
      </c>
      <c r="HO3078" s="4" t="s">
        <v>267</v>
      </c>
    </row>
    <row r="3079" spans="1:223" ht="19.5" customHeight="1" x14ac:dyDescent="0.4">
      <c r="A3079" s="4">
        <v>1</v>
      </c>
      <c r="B3079" s="4" t="s">
        <v>239</v>
      </c>
      <c r="C3079" s="4">
        <v>4782</v>
      </c>
      <c r="D3079" s="4">
        <v>1</v>
      </c>
      <c r="E3079" s="4">
        <v>1</v>
      </c>
      <c r="F3079" s="4" t="s">
        <v>268</v>
      </c>
      <c r="G3079" s="4" t="s">
        <v>241</v>
      </c>
      <c r="H3079" s="4" t="s">
        <v>241</v>
      </c>
      <c r="I3079" s="4" t="s">
        <v>424</v>
      </c>
      <c r="J3079" s="4" t="s">
        <v>274</v>
      </c>
      <c r="K3079" s="4" t="s">
        <v>251</v>
      </c>
      <c r="L3079" s="4" t="s">
        <v>423</v>
      </c>
      <c r="M3079" s="5" t="s">
        <v>3903</v>
      </c>
      <c r="N3079" s="6">
        <f>513</f>
        <v>513</v>
      </c>
      <c r="O3079" s="4" t="s">
        <v>265</v>
      </c>
      <c r="P3079" s="6">
        <f>1</f>
        <v>1</v>
      </c>
      <c r="Q3079" s="6">
        <f>0</f>
        <v>0</v>
      </c>
      <c r="S3079" s="6">
        <f>0</f>
        <v>0</v>
      </c>
      <c r="T3079" s="6">
        <f>1</f>
        <v>1</v>
      </c>
      <c r="U3079" s="5" t="s">
        <v>245</v>
      </c>
      <c r="V3079" s="4" t="s">
        <v>270</v>
      </c>
      <c r="W3079" s="4" t="s">
        <v>271</v>
      </c>
      <c r="X3079" s="4" t="s">
        <v>273</v>
      </c>
      <c r="Y3079" s="4" t="s">
        <v>241</v>
      </c>
      <c r="AB3079" s="4" t="s">
        <v>241</v>
      </c>
      <c r="AD3079" s="5" t="s">
        <v>241</v>
      </c>
      <c r="AG3079" s="5" t="s">
        <v>246</v>
      </c>
      <c r="AH3079" s="4" t="s">
        <v>241</v>
      </c>
      <c r="AI3079" s="4" t="s">
        <v>247</v>
      </c>
      <c r="AJ3079" s="4" t="s">
        <v>248</v>
      </c>
      <c r="AZ3079" s="4" t="s">
        <v>249</v>
      </c>
      <c r="BA3079" s="4" t="s">
        <v>241</v>
      </c>
      <c r="BB3079" s="4" t="s">
        <v>250</v>
      </c>
      <c r="BC3079" s="4" t="s">
        <v>241</v>
      </c>
      <c r="BD3079" s="4" t="s">
        <v>252</v>
      </c>
      <c r="BE3079" s="4" t="s">
        <v>241</v>
      </c>
      <c r="BI3079" s="4" t="s">
        <v>253</v>
      </c>
      <c r="BJ3079" s="5" t="s">
        <v>246</v>
      </c>
      <c r="BK3079" s="4" t="s">
        <v>254</v>
      </c>
      <c r="BL3079" s="4" t="s">
        <v>255</v>
      </c>
      <c r="BM3079" s="4" t="s">
        <v>241</v>
      </c>
      <c r="BN3079" s="6">
        <f>0</f>
        <v>0</v>
      </c>
      <c r="BO3079" s="6">
        <f>0</f>
        <v>0</v>
      </c>
      <c r="BP3079" s="4" t="s">
        <v>256</v>
      </c>
      <c r="BQ3079" s="4" t="s">
        <v>257</v>
      </c>
      <c r="CE3079" s="4" t="s">
        <v>241</v>
      </c>
      <c r="CF3079" s="4" t="s">
        <v>241</v>
      </c>
      <c r="CJ3079" s="4" t="s">
        <v>276</v>
      </c>
      <c r="CK3079" s="4" t="s">
        <v>259</v>
      </c>
      <c r="CL3079" s="4" t="s">
        <v>241</v>
      </c>
      <c r="CO3079" s="5" t="s">
        <v>260</v>
      </c>
      <c r="CP3079" s="4" t="s">
        <v>241</v>
      </c>
      <c r="CQ3079" s="4" t="s">
        <v>261</v>
      </c>
      <c r="CR3079" s="4" t="s">
        <v>241</v>
      </c>
      <c r="CS3079" s="4" t="s">
        <v>241</v>
      </c>
      <c r="CT3079" s="4">
        <v>0</v>
      </c>
      <c r="CU3079" s="4" t="s">
        <v>262</v>
      </c>
      <c r="CV3079" s="4" t="s">
        <v>263</v>
      </c>
      <c r="CW3079" s="4" t="s">
        <v>263</v>
      </c>
      <c r="CX3079" s="4" t="s">
        <v>264</v>
      </c>
      <c r="DA3079" s="6">
        <f>1</f>
        <v>1</v>
      </c>
      <c r="DC3079" s="4" t="s">
        <v>325</v>
      </c>
      <c r="DD3079" s="4" t="s">
        <v>241</v>
      </c>
      <c r="DF3079" s="4" t="s">
        <v>325</v>
      </c>
      <c r="DG3079" s="6">
        <f>513</f>
        <v>513</v>
      </c>
      <c r="DI3079" s="4" t="s">
        <v>241</v>
      </c>
      <c r="DJ3079" s="4" t="s">
        <v>241</v>
      </c>
      <c r="DK3079" s="4" t="s">
        <v>241</v>
      </c>
      <c r="DL3079" s="4" t="s">
        <v>241</v>
      </c>
      <c r="DP3079" s="4" t="s">
        <v>241</v>
      </c>
      <c r="DQ3079" s="4" t="s">
        <v>241</v>
      </c>
      <c r="DR3079" s="4" t="s">
        <v>241</v>
      </c>
      <c r="DS3079" s="4" t="s">
        <v>241</v>
      </c>
      <c r="DV3079" s="4" t="s">
        <v>426</v>
      </c>
      <c r="DW3079" s="4" t="s">
        <v>1165</v>
      </c>
      <c r="HO3079" s="4" t="s">
        <v>267</v>
      </c>
    </row>
    <row r="3080" spans="1:223" ht="19.5" customHeight="1" x14ac:dyDescent="0.4">
      <c r="A3080" s="4">
        <v>1</v>
      </c>
      <c r="B3080" s="4" t="s">
        <v>239</v>
      </c>
      <c r="C3080" s="4">
        <v>4783</v>
      </c>
      <c r="D3080" s="4">
        <v>1</v>
      </c>
      <c r="E3080" s="4">
        <v>1</v>
      </c>
      <c r="F3080" s="4" t="s">
        <v>268</v>
      </c>
      <c r="G3080" s="4" t="s">
        <v>241</v>
      </c>
      <c r="H3080" s="4" t="s">
        <v>241</v>
      </c>
      <c r="I3080" s="4" t="s">
        <v>424</v>
      </c>
      <c r="J3080" s="4" t="s">
        <v>274</v>
      </c>
      <c r="K3080" s="4" t="s">
        <v>251</v>
      </c>
      <c r="L3080" s="4" t="s">
        <v>423</v>
      </c>
      <c r="M3080" s="5" t="s">
        <v>3894</v>
      </c>
      <c r="N3080" s="6">
        <f>1692</f>
        <v>1692</v>
      </c>
      <c r="O3080" s="4" t="s">
        <v>265</v>
      </c>
      <c r="P3080" s="6">
        <f>1</f>
        <v>1</v>
      </c>
      <c r="Q3080" s="6">
        <f>0</f>
        <v>0</v>
      </c>
      <c r="S3080" s="6">
        <f>0</f>
        <v>0</v>
      </c>
      <c r="T3080" s="6">
        <f>1</f>
        <v>1</v>
      </c>
      <c r="U3080" s="5" t="s">
        <v>245</v>
      </c>
      <c r="V3080" s="4" t="s">
        <v>270</v>
      </c>
      <c r="W3080" s="4" t="s">
        <v>271</v>
      </c>
      <c r="X3080" s="4" t="s">
        <v>273</v>
      </c>
      <c r="Y3080" s="4" t="s">
        <v>241</v>
      </c>
      <c r="AB3080" s="4" t="s">
        <v>241</v>
      </c>
      <c r="AD3080" s="5" t="s">
        <v>241</v>
      </c>
      <c r="AG3080" s="5" t="s">
        <v>246</v>
      </c>
      <c r="AH3080" s="4" t="s">
        <v>241</v>
      </c>
      <c r="AI3080" s="4" t="s">
        <v>247</v>
      </c>
      <c r="AJ3080" s="4" t="s">
        <v>248</v>
      </c>
      <c r="AZ3080" s="4" t="s">
        <v>249</v>
      </c>
      <c r="BA3080" s="4" t="s">
        <v>241</v>
      </c>
      <c r="BB3080" s="4" t="s">
        <v>250</v>
      </c>
      <c r="BC3080" s="4" t="s">
        <v>241</v>
      </c>
      <c r="BD3080" s="4" t="s">
        <v>252</v>
      </c>
      <c r="BE3080" s="4" t="s">
        <v>241</v>
      </c>
      <c r="BI3080" s="4" t="s">
        <v>253</v>
      </c>
      <c r="BJ3080" s="5" t="s">
        <v>246</v>
      </c>
      <c r="BK3080" s="4" t="s">
        <v>254</v>
      </c>
      <c r="BL3080" s="4" t="s">
        <v>255</v>
      </c>
      <c r="BM3080" s="4" t="s">
        <v>241</v>
      </c>
      <c r="BN3080" s="6">
        <f>0</f>
        <v>0</v>
      </c>
      <c r="BO3080" s="6">
        <f>0</f>
        <v>0</v>
      </c>
      <c r="BP3080" s="4" t="s">
        <v>256</v>
      </c>
      <c r="BQ3080" s="4" t="s">
        <v>257</v>
      </c>
      <c r="CE3080" s="4" t="s">
        <v>241</v>
      </c>
      <c r="CF3080" s="4" t="s">
        <v>241</v>
      </c>
      <c r="CJ3080" s="4" t="s">
        <v>276</v>
      </c>
      <c r="CK3080" s="4" t="s">
        <v>259</v>
      </c>
      <c r="CL3080" s="4" t="s">
        <v>241</v>
      </c>
      <c r="CO3080" s="5" t="s">
        <v>260</v>
      </c>
      <c r="CP3080" s="4" t="s">
        <v>241</v>
      </c>
      <c r="CQ3080" s="4" t="s">
        <v>261</v>
      </c>
      <c r="CR3080" s="4" t="s">
        <v>241</v>
      </c>
      <c r="CS3080" s="4" t="s">
        <v>241</v>
      </c>
      <c r="CT3080" s="4">
        <v>0</v>
      </c>
      <c r="CU3080" s="4" t="s">
        <v>262</v>
      </c>
      <c r="CV3080" s="4" t="s">
        <v>263</v>
      </c>
      <c r="CW3080" s="4" t="s">
        <v>263</v>
      </c>
      <c r="CX3080" s="4" t="s">
        <v>264</v>
      </c>
      <c r="DA3080" s="6">
        <f>1</f>
        <v>1</v>
      </c>
      <c r="DC3080" s="4" t="s">
        <v>325</v>
      </c>
      <c r="DD3080" s="4" t="s">
        <v>241</v>
      </c>
      <c r="DF3080" s="4" t="s">
        <v>325</v>
      </c>
      <c r="DG3080" s="6">
        <f>1692</f>
        <v>1692</v>
      </c>
      <c r="DI3080" s="4" t="s">
        <v>241</v>
      </c>
      <c r="DJ3080" s="4" t="s">
        <v>241</v>
      </c>
      <c r="DK3080" s="4" t="s">
        <v>241</v>
      </c>
      <c r="DL3080" s="4" t="s">
        <v>241</v>
      </c>
      <c r="DP3080" s="4" t="s">
        <v>241</v>
      </c>
      <c r="DQ3080" s="4" t="s">
        <v>241</v>
      </c>
      <c r="DR3080" s="4" t="s">
        <v>241</v>
      </c>
      <c r="DS3080" s="4" t="s">
        <v>241</v>
      </c>
      <c r="DV3080" s="4" t="s">
        <v>426</v>
      </c>
      <c r="DW3080" s="4" t="s">
        <v>1385</v>
      </c>
      <c r="HO3080" s="4" t="s">
        <v>267</v>
      </c>
    </row>
    <row r="3081" spans="1:223" ht="19.5" customHeight="1" x14ac:dyDescent="0.4">
      <c r="A3081" s="4">
        <v>1</v>
      </c>
      <c r="B3081" s="4" t="s">
        <v>239</v>
      </c>
      <c r="C3081" s="4">
        <v>4784</v>
      </c>
      <c r="D3081" s="4">
        <v>1</v>
      </c>
      <c r="E3081" s="4">
        <v>1</v>
      </c>
      <c r="F3081" s="4" t="s">
        <v>268</v>
      </c>
      <c r="G3081" s="4" t="s">
        <v>241</v>
      </c>
      <c r="H3081" s="4" t="s">
        <v>241</v>
      </c>
      <c r="I3081" s="4" t="s">
        <v>424</v>
      </c>
      <c r="J3081" s="4" t="s">
        <v>274</v>
      </c>
      <c r="K3081" s="4" t="s">
        <v>251</v>
      </c>
      <c r="L3081" s="4" t="s">
        <v>423</v>
      </c>
      <c r="M3081" s="5" t="s">
        <v>3887</v>
      </c>
      <c r="N3081" s="6">
        <f>1068</f>
        <v>1068</v>
      </c>
      <c r="O3081" s="4" t="s">
        <v>265</v>
      </c>
      <c r="P3081" s="6">
        <f>1</f>
        <v>1</v>
      </c>
      <c r="Q3081" s="6">
        <f>0</f>
        <v>0</v>
      </c>
      <c r="S3081" s="6">
        <f>0</f>
        <v>0</v>
      </c>
      <c r="T3081" s="6">
        <f>1</f>
        <v>1</v>
      </c>
      <c r="U3081" s="5" t="s">
        <v>245</v>
      </c>
      <c r="V3081" s="4" t="s">
        <v>270</v>
      </c>
      <c r="W3081" s="4" t="s">
        <v>271</v>
      </c>
      <c r="X3081" s="4" t="s">
        <v>273</v>
      </c>
      <c r="Y3081" s="4" t="s">
        <v>241</v>
      </c>
      <c r="AB3081" s="4" t="s">
        <v>241</v>
      </c>
      <c r="AD3081" s="5" t="s">
        <v>241</v>
      </c>
      <c r="AG3081" s="5" t="s">
        <v>246</v>
      </c>
      <c r="AH3081" s="4" t="s">
        <v>241</v>
      </c>
      <c r="AI3081" s="4" t="s">
        <v>247</v>
      </c>
      <c r="AJ3081" s="4" t="s">
        <v>248</v>
      </c>
      <c r="AZ3081" s="4" t="s">
        <v>249</v>
      </c>
      <c r="BA3081" s="4" t="s">
        <v>241</v>
      </c>
      <c r="BB3081" s="4" t="s">
        <v>250</v>
      </c>
      <c r="BC3081" s="4" t="s">
        <v>241</v>
      </c>
      <c r="BD3081" s="4" t="s">
        <v>252</v>
      </c>
      <c r="BE3081" s="4" t="s">
        <v>241</v>
      </c>
      <c r="BI3081" s="4" t="s">
        <v>253</v>
      </c>
      <c r="BJ3081" s="5" t="s">
        <v>246</v>
      </c>
      <c r="BK3081" s="4" t="s">
        <v>254</v>
      </c>
      <c r="BL3081" s="4" t="s">
        <v>255</v>
      </c>
      <c r="BM3081" s="4" t="s">
        <v>241</v>
      </c>
      <c r="BN3081" s="6">
        <f>0</f>
        <v>0</v>
      </c>
      <c r="BO3081" s="6">
        <f>0</f>
        <v>0</v>
      </c>
      <c r="BP3081" s="4" t="s">
        <v>256</v>
      </c>
      <c r="BQ3081" s="4" t="s">
        <v>257</v>
      </c>
      <c r="CE3081" s="4" t="s">
        <v>241</v>
      </c>
      <c r="CF3081" s="4" t="s">
        <v>241</v>
      </c>
      <c r="CJ3081" s="4" t="s">
        <v>276</v>
      </c>
      <c r="CK3081" s="4" t="s">
        <v>259</v>
      </c>
      <c r="CL3081" s="4" t="s">
        <v>241</v>
      </c>
      <c r="CO3081" s="5" t="s">
        <v>260</v>
      </c>
      <c r="CP3081" s="4" t="s">
        <v>241</v>
      </c>
      <c r="CQ3081" s="4" t="s">
        <v>261</v>
      </c>
      <c r="CR3081" s="4" t="s">
        <v>241</v>
      </c>
      <c r="CS3081" s="4" t="s">
        <v>241</v>
      </c>
      <c r="CT3081" s="4">
        <v>0</v>
      </c>
      <c r="CU3081" s="4" t="s">
        <v>262</v>
      </c>
      <c r="CV3081" s="4" t="s">
        <v>263</v>
      </c>
      <c r="CW3081" s="4" t="s">
        <v>263</v>
      </c>
      <c r="CX3081" s="4" t="s">
        <v>264</v>
      </c>
      <c r="DA3081" s="6">
        <f>1</f>
        <v>1</v>
      </c>
      <c r="DC3081" s="4" t="s">
        <v>325</v>
      </c>
      <c r="DD3081" s="4" t="s">
        <v>241</v>
      </c>
      <c r="DF3081" s="4" t="s">
        <v>325</v>
      </c>
      <c r="DG3081" s="6">
        <f>1068</f>
        <v>1068</v>
      </c>
      <c r="DI3081" s="4" t="s">
        <v>241</v>
      </c>
      <c r="DJ3081" s="4" t="s">
        <v>241</v>
      </c>
      <c r="DK3081" s="4" t="s">
        <v>241</v>
      </c>
      <c r="DL3081" s="4" t="s">
        <v>241</v>
      </c>
      <c r="DP3081" s="4" t="s">
        <v>241</v>
      </c>
      <c r="DQ3081" s="4" t="s">
        <v>241</v>
      </c>
      <c r="DR3081" s="4" t="s">
        <v>241</v>
      </c>
      <c r="DS3081" s="4" t="s">
        <v>241</v>
      </c>
      <c r="DV3081" s="4" t="s">
        <v>426</v>
      </c>
      <c r="DW3081" s="4" t="s">
        <v>1362</v>
      </c>
      <c r="HO3081" s="4" t="s">
        <v>267</v>
      </c>
    </row>
    <row r="3082" spans="1:223" ht="19.5" customHeight="1" x14ac:dyDescent="0.4">
      <c r="A3082" s="4">
        <v>1</v>
      </c>
      <c r="B3082" s="4" t="s">
        <v>239</v>
      </c>
      <c r="C3082" s="4">
        <v>4785</v>
      </c>
      <c r="D3082" s="4">
        <v>1</v>
      </c>
      <c r="E3082" s="4">
        <v>1</v>
      </c>
      <c r="F3082" s="4" t="s">
        <v>268</v>
      </c>
      <c r="G3082" s="4" t="s">
        <v>241</v>
      </c>
      <c r="H3082" s="4" t="s">
        <v>241</v>
      </c>
      <c r="I3082" s="4" t="s">
        <v>424</v>
      </c>
      <c r="J3082" s="4" t="s">
        <v>274</v>
      </c>
      <c r="K3082" s="4" t="s">
        <v>251</v>
      </c>
      <c r="L3082" s="4" t="s">
        <v>423</v>
      </c>
      <c r="M3082" s="5" t="s">
        <v>3881</v>
      </c>
      <c r="N3082" s="6">
        <f>1005</f>
        <v>1005</v>
      </c>
      <c r="O3082" s="4" t="s">
        <v>265</v>
      </c>
      <c r="P3082" s="6">
        <f>1</f>
        <v>1</v>
      </c>
      <c r="Q3082" s="6">
        <f>0</f>
        <v>0</v>
      </c>
      <c r="S3082" s="6">
        <f>0</f>
        <v>0</v>
      </c>
      <c r="T3082" s="6">
        <f>1</f>
        <v>1</v>
      </c>
      <c r="U3082" s="5" t="s">
        <v>245</v>
      </c>
      <c r="V3082" s="4" t="s">
        <v>270</v>
      </c>
      <c r="W3082" s="4" t="s">
        <v>271</v>
      </c>
      <c r="X3082" s="4" t="s">
        <v>273</v>
      </c>
      <c r="Y3082" s="4" t="s">
        <v>241</v>
      </c>
      <c r="AB3082" s="4" t="s">
        <v>241</v>
      </c>
      <c r="AD3082" s="5" t="s">
        <v>241</v>
      </c>
      <c r="AG3082" s="5" t="s">
        <v>246</v>
      </c>
      <c r="AH3082" s="4" t="s">
        <v>241</v>
      </c>
      <c r="AI3082" s="4" t="s">
        <v>247</v>
      </c>
      <c r="AJ3082" s="4" t="s">
        <v>248</v>
      </c>
      <c r="AZ3082" s="4" t="s">
        <v>249</v>
      </c>
      <c r="BA3082" s="4" t="s">
        <v>241</v>
      </c>
      <c r="BB3082" s="4" t="s">
        <v>250</v>
      </c>
      <c r="BC3082" s="4" t="s">
        <v>241</v>
      </c>
      <c r="BD3082" s="4" t="s">
        <v>252</v>
      </c>
      <c r="BE3082" s="4" t="s">
        <v>241</v>
      </c>
      <c r="BI3082" s="4" t="s">
        <v>253</v>
      </c>
      <c r="BJ3082" s="5" t="s">
        <v>246</v>
      </c>
      <c r="BK3082" s="4" t="s">
        <v>254</v>
      </c>
      <c r="BL3082" s="4" t="s">
        <v>255</v>
      </c>
      <c r="BM3082" s="4" t="s">
        <v>241</v>
      </c>
      <c r="BN3082" s="6">
        <f>0</f>
        <v>0</v>
      </c>
      <c r="BO3082" s="6">
        <f>0</f>
        <v>0</v>
      </c>
      <c r="BP3082" s="4" t="s">
        <v>256</v>
      </c>
      <c r="BQ3082" s="4" t="s">
        <v>257</v>
      </c>
      <c r="CE3082" s="4" t="s">
        <v>241</v>
      </c>
      <c r="CF3082" s="4" t="s">
        <v>241</v>
      </c>
      <c r="CJ3082" s="4" t="s">
        <v>276</v>
      </c>
      <c r="CK3082" s="4" t="s">
        <v>259</v>
      </c>
      <c r="CL3082" s="4" t="s">
        <v>241</v>
      </c>
      <c r="CO3082" s="5" t="s">
        <v>260</v>
      </c>
      <c r="CP3082" s="4" t="s">
        <v>241</v>
      </c>
      <c r="CQ3082" s="4" t="s">
        <v>261</v>
      </c>
      <c r="CR3082" s="4" t="s">
        <v>241</v>
      </c>
      <c r="CS3082" s="4" t="s">
        <v>241</v>
      </c>
      <c r="CT3082" s="4">
        <v>0</v>
      </c>
      <c r="CU3082" s="4" t="s">
        <v>262</v>
      </c>
      <c r="CV3082" s="4" t="s">
        <v>263</v>
      </c>
      <c r="CW3082" s="4" t="s">
        <v>263</v>
      </c>
      <c r="CX3082" s="4" t="s">
        <v>264</v>
      </c>
      <c r="DA3082" s="6">
        <f>1</f>
        <v>1</v>
      </c>
      <c r="DC3082" s="4" t="s">
        <v>325</v>
      </c>
      <c r="DD3082" s="4" t="s">
        <v>241</v>
      </c>
      <c r="DF3082" s="4" t="s">
        <v>325</v>
      </c>
      <c r="DG3082" s="6">
        <f>1005</f>
        <v>1005</v>
      </c>
      <c r="DI3082" s="4" t="s">
        <v>241</v>
      </c>
      <c r="DJ3082" s="4" t="s">
        <v>241</v>
      </c>
      <c r="DK3082" s="4" t="s">
        <v>241</v>
      </c>
      <c r="DL3082" s="4" t="s">
        <v>241</v>
      </c>
      <c r="DP3082" s="4" t="s">
        <v>241</v>
      </c>
      <c r="DQ3082" s="4" t="s">
        <v>241</v>
      </c>
      <c r="DR3082" s="4" t="s">
        <v>241</v>
      </c>
      <c r="DS3082" s="4" t="s">
        <v>241</v>
      </c>
      <c r="DV3082" s="4" t="s">
        <v>426</v>
      </c>
      <c r="DW3082" s="4" t="s">
        <v>1185</v>
      </c>
      <c r="HO3082" s="4" t="s">
        <v>267</v>
      </c>
    </row>
    <row r="3083" spans="1:223" ht="19.5" customHeight="1" x14ac:dyDescent="0.4">
      <c r="A3083" s="4">
        <v>1</v>
      </c>
      <c r="B3083" s="4" t="s">
        <v>239</v>
      </c>
      <c r="C3083" s="4">
        <v>4786</v>
      </c>
      <c r="D3083" s="4">
        <v>1</v>
      </c>
      <c r="E3083" s="4">
        <v>1</v>
      </c>
      <c r="F3083" s="4" t="s">
        <v>268</v>
      </c>
      <c r="G3083" s="4" t="s">
        <v>241</v>
      </c>
      <c r="H3083" s="4" t="s">
        <v>241</v>
      </c>
      <c r="I3083" s="4" t="s">
        <v>424</v>
      </c>
      <c r="J3083" s="4" t="s">
        <v>274</v>
      </c>
      <c r="K3083" s="4" t="s">
        <v>251</v>
      </c>
      <c r="L3083" s="4" t="s">
        <v>423</v>
      </c>
      <c r="M3083" s="5" t="s">
        <v>4912</v>
      </c>
      <c r="N3083" s="6">
        <f>532</f>
        <v>532</v>
      </c>
      <c r="O3083" s="4" t="s">
        <v>265</v>
      </c>
      <c r="P3083" s="6">
        <f>1</f>
        <v>1</v>
      </c>
      <c r="Q3083" s="6">
        <f>0</f>
        <v>0</v>
      </c>
      <c r="S3083" s="6">
        <f>0</f>
        <v>0</v>
      </c>
      <c r="T3083" s="6">
        <f>1</f>
        <v>1</v>
      </c>
      <c r="U3083" s="5" t="s">
        <v>245</v>
      </c>
      <c r="V3083" s="4" t="s">
        <v>270</v>
      </c>
      <c r="W3083" s="4" t="s">
        <v>271</v>
      </c>
      <c r="X3083" s="4" t="s">
        <v>273</v>
      </c>
      <c r="Y3083" s="4" t="s">
        <v>241</v>
      </c>
      <c r="AB3083" s="4" t="s">
        <v>241</v>
      </c>
      <c r="AD3083" s="5" t="s">
        <v>241</v>
      </c>
      <c r="AG3083" s="5" t="s">
        <v>246</v>
      </c>
      <c r="AH3083" s="4" t="s">
        <v>241</v>
      </c>
      <c r="AI3083" s="4" t="s">
        <v>247</v>
      </c>
      <c r="AJ3083" s="4" t="s">
        <v>248</v>
      </c>
      <c r="AZ3083" s="4" t="s">
        <v>249</v>
      </c>
      <c r="BA3083" s="4" t="s">
        <v>241</v>
      </c>
      <c r="BB3083" s="4" t="s">
        <v>250</v>
      </c>
      <c r="BC3083" s="4" t="s">
        <v>241</v>
      </c>
      <c r="BD3083" s="4" t="s">
        <v>252</v>
      </c>
      <c r="BE3083" s="4" t="s">
        <v>241</v>
      </c>
      <c r="BI3083" s="4" t="s">
        <v>253</v>
      </c>
      <c r="BJ3083" s="5" t="s">
        <v>246</v>
      </c>
      <c r="BK3083" s="4" t="s">
        <v>254</v>
      </c>
      <c r="BL3083" s="4" t="s">
        <v>255</v>
      </c>
      <c r="BM3083" s="4" t="s">
        <v>241</v>
      </c>
      <c r="BN3083" s="6">
        <f>0</f>
        <v>0</v>
      </c>
      <c r="BO3083" s="6">
        <f>0</f>
        <v>0</v>
      </c>
      <c r="BP3083" s="4" t="s">
        <v>256</v>
      </c>
      <c r="BQ3083" s="4" t="s">
        <v>257</v>
      </c>
      <c r="CE3083" s="4" t="s">
        <v>241</v>
      </c>
      <c r="CF3083" s="4" t="s">
        <v>241</v>
      </c>
      <c r="CJ3083" s="4" t="s">
        <v>276</v>
      </c>
      <c r="CK3083" s="4" t="s">
        <v>259</v>
      </c>
      <c r="CL3083" s="4" t="s">
        <v>241</v>
      </c>
      <c r="CO3083" s="5" t="s">
        <v>260</v>
      </c>
      <c r="CP3083" s="4" t="s">
        <v>241</v>
      </c>
      <c r="CQ3083" s="4" t="s">
        <v>261</v>
      </c>
      <c r="CR3083" s="4" t="s">
        <v>241</v>
      </c>
      <c r="CS3083" s="4" t="s">
        <v>241</v>
      </c>
      <c r="CT3083" s="4">
        <v>0</v>
      </c>
      <c r="CU3083" s="4" t="s">
        <v>262</v>
      </c>
      <c r="CV3083" s="4" t="s">
        <v>263</v>
      </c>
      <c r="CW3083" s="4" t="s">
        <v>263</v>
      </c>
      <c r="CX3083" s="4" t="s">
        <v>264</v>
      </c>
      <c r="DA3083" s="6">
        <f>1</f>
        <v>1</v>
      </c>
      <c r="DC3083" s="4" t="s">
        <v>325</v>
      </c>
      <c r="DD3083" s="4" t="s">
        <v>241</v>
      </c>
      <c r="DF3083" s="4" t="s">
        <v>325</v>
      </c>
      <c r="DG3083" s="6">
        <f>532</f>
        <v>532</v>
      </c>
      <c r="DI3083" s="4" t="s">
        <v>241</v>
      </c>
      <c r="DJ3083" s="4" t="s">
        <v>241</v>
      </c>
      <c r="DK3083" s="4" t="s">
        <v>241</v>
      </c>
      <c r="DL3083" s="4" t="s">
        <v>241</v>
      </c>
      <c r="DP3083" s="4" t="s">
        <v>241</v>
      </c>
      <c r="DQ3083" s="4" t="s">
        <v>241</v>
      </c>
      <c r="DR3083" s="4" t="s">
        <v>241</v>
      </c>
      <c r="DS3083" s="4" t="s">
        <v>241</v>
      </c>
      <c r="DV3083" s="4" t="s">
        <v>426</v>
      </c>
      <c r="DW3083" s="4" t="s">
        <v>1338</v>
      </c>
      <c r="HO3083" s="4" t="s">
        <v>267</v>
      </c>
    </row>
    <row r="3084" spans="1:223" ht="19.5" customHeight="1" x14ac:dyDescent="0.4">
      <c r="A3084" s="4">
        <v>1</v>
      </c>
      <c r="B3084" s="4" t="s">
        <v>239</v>
      </c>
      <c r="C3084" s="4">
        <v>4787</v>
      </c>
      <c r="D3084" s="4">
        <v>1</v>
      </c>
      <c r="E3084" s="4">
        <v>1</v>
      </c>
      <c r="F3084" s="4" t="s">
        <v>268</v>
      </c>
      <c r="G3084" s="4" t="s">
        <v>241</v>
      </c>
      <c r="H3084" s="4" t="s">
        <v>241</v>
      </c>
      <c r="I3084" s="4" t="s">
        <v>424</v>
      </c>
      <c r="J3084" s="4" t="s">
        <v>274</v>
      </c>
      <c r="K3084" s="4" t="s">
        <v>251</v>
      </c>
      <c r="L3084" s="4" t="s">
        <v>423</v>
      </c>
      <c r="M3084" s="5" t="s">
        <v>3869</v>
      </c>
      <c r="N3084" s="6">
        <f>1273</f>
        <v>1273</v>
      </c>
      <c r="O3084" s="4" t="s">
        <v>265</v>
      </c>
      <c r="P3084" s="6">
        <f>1</f>
        <v>1</v>
      </c>
      <c r="Q3084" s="6">
        <f>0</f>
        <v>0</v>
      </c>
      <c r="S3084" s="6">
        <f>0</f>
        <v>0</v>
      </c>
      <c r="T3084" s="6">
        <f>1</f>
        <v>1</v>
      </c>
      <c r="U3084" s="5" t="s">
        <v>245</v>
      </c>
      <c r="V3084" s="4" t="s">
        <v>270</v>
      </c>
      <c r="W3084" s="4" t="s">
        <v>271</v>
      </c>
      <c r="X3084" s="4" t="s">
        <v>273</v>
      </c>
      <c r="Y3084" s="4" t="s">
        <v>241</v>
      </c>
      <c r="AB3084" s="4" t="s">
        <v>241</v>
      </c>
      <c r="AD3084" s="5" t="s">
        <v>241</v>
      </c>
      <c r="AG3084" s="5" t="s">
        <v>246</v>
      </c>
      <c r="AH3084" s="4" t="s">
        <v>241</v>
      </c>
      <c r="AI3084" s="4" t="s">
        <v>247</v>
      </c>
      <c r="AJ3084" s="4" t="s">
        <v>248</v>
      </c>
      <c r="AZ3084" s="4" t="s">
        <v>249</v>
      </c>
      <c r="BA3084" s="4" t="s">
        <v>241</v>
      </c>
      <c r="BB3084" s="4" t="s">
        <v>250</v>
      </c>
      <c r="BC3084" s="4" t="s">
        <v>241</v>
      </c>
      <c r="BD3084" s="4" t="s">
        <v>252</v>
      </c>
      <c r="BE3084" s="4" t="s">
        <v>241</v>
      </c>
      <c r="BI3084" s="4" t="s">
        <v>253</v>
      </c>
      <c r="BJ3084" s="5" t="s">
        <v>246</v>
      </c>
      <c r="BK3084" s="4" t="s">
        <v>254</v>
      </c>
      <c r="BL3084" s="4" t="s">
        <v>255</v>
      </c>
      <c r="BM3084" s="4" t="s">
        <v>241</v>
      </c>
      <c r="BN3084" s="6">
        <f>0</f>
        <v>0</v>
      </c>
      <c r="BO3084" s="6">
        <f>0</f>
        <v>0</v>
      </c>
      <c r="BP3084" s="4" t="s">
        <v>256</v>
      </c>
      <c r="BQ3084" s="4" t="s">
        <v>257</v>
      </c>
      <c r="CE3084" s="4" t="s">
        <v>241</v>
      </c>
      <c r="CF3084" s="4" t="s">
        <v>241</v>
      </c>
      <c r="CJ3084" s="4" t="s">
        <v>276</v>
      </c>
      <c r="CK3084" s="4" t="s">
        <v>259</v>
      </c>
      <c r="CL3084" s="4" t="s">
        <v>241</v>
      </c>
      <c r="CO3084" s="5" t="s">
        <v>260</v>
      </c>
      <c r="CP3084" s="4" t="s">
        <v>241</v>
      </c>
      <c r="CQ3084" s="4" t="s">
        <v>261</v>
      </c>
      <c r="CR3084" s="4" t="s">
        <v>241</v>
      </c>
      <c r="CS3084" s="4" t="s">
        <v>241</v>
      </c>
      <c r="CT3084" s="4">
        <v>0</v>
      </c>
      <c r="CU3084" s="4" t="s">
        <v>262</v>
      </c>
      <c r="CV3084" s="4" t="s">
        <v>263</v>
      </c>
      <c r="CW3084" s="4" t="s">
        <v>263</v>
      </c>
      <c r="CX3084" s="4" t="s">
        <v>264</v>
      </c>
      <c r="DA3084" s="6">
        <f>1</f>
        <v>1</v>
      </c>
      <c r="DC3084" s="4" t="s">
        <v>325</v>
      </c>
      <c r="DD3084" s="4" t="s">
        <v>241</v>
      </c>
      <c r="DF3084" s="4" t="s">
        <v>325</v>
      </c>
      <c r="DG3084" s="6">
        <f>1273</f>
        <v>1273</v>
      </c>
      <c r="DI3084" s="4" t="s">
        <v>241</v>
      </c>
      <c r="DJ3084" s="4" t="s">
        <v>241</v>
      </c>
      <c r="DK3084" s="4" t="s">
        <v>241</v>
      </c>
      <c r="DL3084" s="4" t="s">
        <v>241</v>
      </c>
      <c r="DP3084" s="4" t="s">
        <v>241</v>
      </c>
      <c r="DQ3084" s="4" t="s">
        <v>241</v>
      </c>
      <c r="DR3084" s="4" t="s">
        <v>241</v>
      </c>
      <c r="DS3084" s="4" t="s">
        <v>241</v>
      </c>
      <c r="DV3084" s="4" t="s">
        <v>426</v>
      </c>
      <c r="DW3084" s="4" t="s">
        <v>1191</v>
      </c>
      <c r="HO3084" s="4" t="s">
        <v>267</v>
      </c>
    </row>
    <row r="3085" spans="1:223" ht="19.5" customHeight="1" x14ac:dyDescent="0.4">
      <c r="A3085" s="4">
        <v>1</v>
      </c>
      <c r="B3085" s="4" t="s">
        <v>239</v>
      </c>
      <c r="C3085" s="4">
        <v>4788</v>
      </c>
      <c r="D3085" s="4">
        <v>1</v>
      </c>
      <c r="E3085" s="4">
        <v>1</v>
      </c>
      <c r="F3085" s="4" t="s">
        <v>268</v>
      </c>
      <c r="G3085" s="4" t="s">
        <v>241</v>
      </c>
      <c r="H3085" s="4" t="s">
        <v>241</v>
      </c>
      <c r="I3085" s="4" t="s">
        <v>424</v>
      </c>
      <c r="J3085" s="4" t="s">
        <v>274</v>
      </c>
      <c r="K3085" s="4" t="s">
        <v>251</v>
      </c>
      <c r="L3085" s="4" t="s">
        <v>423</v>
      </c>
      <c r="M3085" s="5" t="s">
        <v>3865</v>
      </c>
      <c r="N3085" s="6">
        <f>654</f>
        <v>654</v>
      </c>
      <c r="O3085" s="4" t="s">
        <v>265</v>
      </c>
      <c r="P3085" s="6">
        <f>1</f>
        <v>1</v>
      </c>
      <c r="Q3085" s="6">
        <f>0</f>
        <v>0</v>
      </c>
      <c r="S3085" s="6">
        <f>0</f>
        <v>0</v>
      </c>
      <c r="T3085" s="6">
        <f>1</f>
        <v>1</v>
      </c>
      <c r="U3085" s="5" t="s">
        <v>245</v>
      </c>
      <c r="V3085" s="4" t="s">
        <v>270</v>
      </c>
      <c r="W3085" s="4" t="s">
        <v>271</v>
      </c>
      <c r="X3085" s="4" t="s">
        <v>273</v>
      </c>
      <c r="Y3085" s="4" t="s">
        <v>241</v>
      </c>
      <c r="AB3085" s="4" t="s">
        <v>241</v>
      </c>
      <c r="AD3085" s="5" t="s">
        <v>241</v>
      </c>
      <c r="AG3085" s="5" t="s">
        <v>246</v>
      </c>
      <c r="AH3085" s="4" t="s">
        <v>241</v>
      </c>
      <c r="AI3085" s="4" t="s">
        <v>247</v>
      </c>
      <c r="AJ3085" s="4" t="s">
        <v>248</v>
      </c>
      <c r="AZ3085" s="4" t="s">
        <v>249</v>
      </c>
      <c r="BA3085" s="4" t="s">
        <v>241</v>
      </c>
      <c r="BB3085" s="4" t="s">
        <v>250</v>
      </c>
      <c r="BC3085" s="4" t="s">
        <v>241</v>
      </c>
      <c r="BD3085" s="4" t="s">
        <v>252</v>
      </c>
      <c r="BE3085" s="4" t="s">
        <v>241</v>
      </c>
      <c r="BI3085" s="4" t="s">
        <v>253</v>
      </c>
      <c r="BJ3085" s="5" t="s">
        <v>246</v>
      </c>
      <c r="BK3085" s="4" t="s">
        <v>254</v>
      </c>
      <c r="BL3085" s="4" t="s">
        <v>255</v>
      </c>
      <c r="BM3085" s="4" t="s">
        <v>241</v>
      </c>
      <c r="BN3085" s="6">
        <f>0</f>
        <v>0</v>
      </c>
      <c r="BO3085" s="6">
        <f>0</f>
        <v>0</v>
      </c>
      <c r="BP3085" s="4" t="s">
        <v>256</v>
      </c>
      <c r="BQ3085" s="4" t="s">
        <v>257</v>
      </c>
      <c r="CE3085" s="4" t="s">
        <v>241</v>
      </c>
      <c r="CF3085" s="4" t="s">
        <v>241</v>
      </c>
      <c r="CJ3085" s="4" t="s">
        <v>276</v>
      </c>
      <c r="CK3085" s="4" t="s">
        <v>259</v>
      </c>
      <c r="CL3085" s="4" t="s">
        <v>241</v>
      </c>
      <c r="CO3085" s="5" t="s">
        <v>260</v>
      </c>
      <c r="CP3085" s="4" t="s">
        <v>241</v>
      </c>
      <c r="CQ3085" s="4" t="s">
        <v>261</v>
      </c>
      <c r="CR3085" s="4" t="s">
        <v>241</v>
      </c>
      <c r="CS3085" s="4" t="s">
        <v>241</v>
      </c>
      <c r="CT3085" s="4">
        <v>0</v>
      </c>
      <c r="CU3085" s="4" t="s">
        <v>262</v>
      </c>
      <c r="CV3085" s="4" t="s">
        <v>263</v>
      </c>
      <c r="CW3085" s="4" t="s">
        <v>263</v>
      </c>
      <c r="CX3085" s="4" t="s">
        <v>264</v>
      </c>
      <c r="DA3085" s="6">
        <f>1</f>
        <v>1</v>
      </c>
      <c r="DC3085" s="4" t="s">
        <v>325</v>
      </c>
      <c r="DD3085" s="4" t="s">
        <v>241</v>
      </c>
      <c r="DF3085" s="4" t="s">
        <v>325</v>
      </c>
      <c r="DG3085" s="6">
        <f>654</f>
        <v>654</v>
      </c>
      <c r="DI3085" s="4" t="s">
        <v>241</v>
      </c>
      <c r="DJ3085" s="4" t="s">
        <v>241</v>
      </c>
      <c r="DK3085" s="4" t="s">
        <v>241</v>
      </c>
      <c r="DL3085" s="4" t="s">
        <v>241</v>
      </c>
      <c r="DP3085" s="4" t="s">
        <v>241</v>
      </c>
      <c r="DQ3085" s="4" t="s">
        <v>241</v>
      </c>
      <c r="DR3085" s="4" t="s">
        <v>241</v>
      </c>
      <c r="DS3085" s="4" t="s">
        <v>241</v>
      </c>
      <c r="DV3085" s="4" t="s">
        <v>426</v>
      </c>
      <c r="DW3085" s="4" t="s">
        <v>976</v>
      </c>
      <c r="HO3085" s="4" t="s">
        <v>267</v>
      </c>
    </row>
    <row r="3086" spans="1:223" ht="19.5" customHeight="1" x14ac:dyDescent="0.4">
      <c r="A3086" s="4">
        <v>1</v>
      </c>
      <c r="B3086" s="4" t="s">
        <v>239</v>
      </c>
      <c r="C3086" s="4">
        <v>4789</v>
      </c>
      <c r="D3086" s="4">
        <v>1</v>
      </c>
      <c r="E3086" s="4">
        <v>1</v>
      </c>
      <c r="F3086" s="4" t="s">
        <v>268</v>
      </c>
      <c r="G3086" s="4" t="s">
        <v>241</v>
      </c>
      <c r="H3086" s="4" t="s">
        <v>241</v>
      </c>
      <c r="I3086" s="4" t="s">
        <v>424</v>
      </c>
      <c r="J3086" s="4" t="s">
        <v>274</v>
      </c>
      <c r="K3086" s="4" t="s">
        <v>251</v>
      </c>
      <c r="L3086" s="4" t="s">
        <v>423</v>
      </c>
      <c r="M3086" s="5" t="s">
        <v>3852</v>
      </c>
      <c r="N3086" s="6">
        <f>125</f>
        <v>125</v>
      </c>
      <c r="O3086" s="4" t="s">
        <v>265</v>
      </c>
      <c r="P3086" s="6">
        <f>1</f>
        <v>1</v>
      </c>
      <c r="Q3086" s="6">
        <f>0</f>
        <v>0</v>
      </c>
      <c r="S3086" s="6">
        <f>0</f>
        <v>0</v>
      </c>
      <c r="T3086" s="6">
        <f>1</f>
        <v>1</v>
      </c>
      <c r="U3086" s="5" t="s">
        <v>245</v>
      </c>
      <c r="V3086" s="4" t="s">
        <v>270</v>
      </c>
      <c r="W3086" s="4" t="s">
        <v>271</v>
      </c>
      <c r="X3086" s="4" t="s">
        <v>273</v>
      </c>
      <c r="Y3086" s="4" t="s">
        <v>241</v>
      </c>
      <c r="AB3086" s="4" t="s">
        <v>241</v>
      </c>
      <c r="AD3086" s="5" t="s">
        <v>241</v>
      </c>
      <c r="AG3086" s="5" t="s">
        <v>246</v>
      </c>
      <c r="AH3086" s="4" t="s">
        <v>241</v>
      </c>
      <c r="AI3086" s="4" t="s">
        <v>247</v>
      </c>
      <c r="AJ3086" s="4" t="s">
        <v>248</v>
      </c>
      <c r="AZ3086" s="4" t="s">
        <v>249</v>
      </c>
      <c r="BA3086" s="4" t="s">
        <v>241</v>
      </c>
      <c r="BB3086" s="4" t="s">
        <v>250</v>
      </c>
      <c r="BC3086" s="4" t="s">
        <v>241</v>
      </c>
      <c r="BD3086" s="4" t="s">
        <v>252</v>
      </c>
      <c r="BE3086" s="4" t="s">
        <v>241</v>
      </c>
      <c r="BI3086" s="4" t="s">
        <v>253</v>
      </c>
      <c r="BJ3086" s="5" t="s">
        <v>246</v>
      </c>
      <c r="BK3086" s="4" t="s">
        <v>254</v>
      </c>
      <c r="BL3086" s="4" t="s">
        <v>255</v>
      </c>
      <c r="BM3086" s="4" t="s">
        <v>241</v>
      </c>
      <c r="BN3086" s="6">
        <f>0</f>
        <v>0</v>
      </c>
      <c r="BO3086" s="6">
        <f>0</f>
        <v>0</v>
      </c>
      <c r="BP3086" s="4" t="s">
        <v>256</v>
      </c>
      <c r="BQ3086" s="4" t="s">
        <v>257</v>
      </c>
      <c r="CE3086" s="4" t="s">
        <v>241</v>
      </c>
      <c r="CF3086" s="4" t="s">
        <v>241</v>
      </c>
      <c r="CJ3086" s="4" t="s">
        <v>276</v>
      </c>
      <c r="CK3086" s="4" t="s">
        <v>259</v>
      </c>
      <c r="CL3086" s="4" t="s">
        <v>241</v>
      </c>
      <c r="CO3086" s="5" t="s">
        <v>260</v>
      </c>
      <c r="CP3086" s="4" t="s">
        <v>241</v>
      </c>
      <c r="CQ3086" s="4" t="s">
        <v>261</v>
      </c>
      <c r="CR3086" s="4" t="s">
        <v>241</v>
      </c>
      <c r="CS3086" s="4" t="s">
        <v>241</v>
      </c>
      <c r="CT3086" s="4">
        <v>0</v>
      </c>
      <c r="CU3086" s="4" t="s">
        <v>262</v>
      </c>
      <c r="CV3086" s="4" t="s">
        <v>263</v>
      </c>
      <c r="CW3086" s="4" t="s">
        <v>263</v>
      </c>
      <c r="CX3086" s="4" t="s">
        <v>264</v>
      </c>
      <c r="DA3086" s="6">
        <f>1</f>
        <v>1</v>
      </c>
      <c r="DC3086" s="4" t="s">
        <v>325</v>
      </c>
      <c r="DD3086" s="4" t="s">
        <v>241</v>
      </c>
      <c r="DF3086" s="4" t="s">
        <v>325</v>
      </c>
      <c r="DG3086" s="6">
        <f>125</f>
        <v>125</v>
      </c>
      <c r="DI3086" s="4" t="s">
        <v>241</v>
      </c>
      <c r="DJ3086" s="4" t="s">
        <v>241</v>
      </c>
      <c r="DK3086" s="4" t="s">
        <v>241</v>
      </c>
      <c r="DL3086" s="4" t="s">
        <v>241</v>
      </c>
      <c r="DP3086" s="4" t="s">
        <v>241</v>
      </c>
      <c r="DQ3086" s="4" t="s">
        <v>241</v>
      </c>
      <c r="DR3086" s="4" t="s">
        <v>241</v>
      </c>
      <c r="DS3086" s="4" t="s">
        <v>241</v>
      </c>
      <c r="DV3086" s="4" t="s">
        <v>426</v>
      </c>
      <c r="DW3086" s="4" t="s">
        <v>1112</v>
      </c>
      <c r="HO3086" s="4" t="s">
        <v>267</v>
      </c>
    </row>
    <row r="3087" spans="1:223" ht="19.5" customHeight="1" x14ac:dyDescent="0.4">
      <c r="A3087" s="4">
        <v>1</v>
      </c>
      <c r="B3087" s="4" t="s">
        <v>239</v>
      </c>
      <c r="C3087" s="4">
        <v>4790</v>
      </c>
      <c r="D3087" s="4">
        <v>1</v>
      </c>
      <c r="E3087" s="4">
        <v>1</v>
      </c>
      <c r="F3087" s="4" t="s">
        <v>268</v>
      </c>
      <c r="G3087" s="4" t="s">
        <v>241</v>
      </c>
      <c r="H3087" s="4" t="s">
        <v>241</v>
      </c>
      <c r="I3087" s="4" t="s">
        <v>424</v>
      </c>
      <c r="J3087" s="4" t="s">
        <v>274</v>
      </c>
      <c r="K3087" s="4" t="s">
        <v>251</v>
      </c>
      <c r="L3087" s="4" t="s">
        <v>423</v>
      </c>
      <c r="M3087" s="5" t="s">
        <v>3848</v>
      </c>
      <c r="N3087" s="6">
        <f>822</f>
        <v>822</v>
      </c>
      <c r="O3087" s="4" t="s">
        <v>265</v>
      </c>
      <c r="P3087" s="6">
        <f>1</f>
        <v>1</v>
      </c>
      <c r="Q3087" s="6">
        <f>0</f>
        <v>0</v>
      </c>
      <c r="S3087" s="6">
        <f>0</f>
        <v>0</v>
      </c>
      <c r="T3087" s="6">
        <f>1</f>
        <v>1</v>
      </c>
      <c r="U3087" s="5" t="s">
        <v>245</v>
      </c>
      <c r="V3087" s="4" t="s">
        <v>270</v>
      </c>
      <c r="W3087" s="4" t="s">
        <v>271</v>
      </c>
      <c r="X3087" s="4" t="s">
        <v>273</v>
      </c>
      <c r="Y3087" s="4" t="s">
        <v>241</v>
      </c>
      <c r="AB3087" s="4" t="s">
        <v>241</v>
      </c>
      <c r="AD3087" s="5" t="s">
        <v>241</v>
      </c>
      <c r="AG3087" s="5" t="s">
        <v>246</v>
      </c>
      <c r="AH3087" s="4" t="s">
        <v>241</v>
      </c>
      <c r="AI3087" s="4" t="s">
        <v>247</v>
      </c>
      <c r="AJ3087" s="4" t="s">
        <v>248</v>
      </c>
      <c r="AZ3087" s="4" t="s">
        <v>249</v>
      </c>
      <c r="BA3087" s="4" t="s">
        <v>241</v>
      </c>
      <c r="BB3087" s="4" t="s">
        <v>250</v>
      </c>
      <c r="BC3087" s="4" t="s">
        <v>241</v>
      </c>
      <c r="BD3087" s="4" t="s">
        <v>252</v>
      </c>
      <c r="BE3087" s="4" t="s">
        <v>241</v>
      </c>
      <c r="BI3087" s="4" t="s">
        <v>253</v>
      </c>
      <c r="BJ3087" s="5" t="s">
        <v>246</v>
      </c>
      <c r="BK3087" s="4" t="s">
        <v>254</v>
      </c>
      <c r="BL3087" s="4" t="s">
        <v>255</v>
      </c>
      <c r="BM3087" s="4" t="s">
        <v>241</v>
      </c>
      <c r="BN3087" s="6">
        <f>0</f>
        <v>0</v>
      </c>
      <c r="BO3087" s="6">
        <f>0</f>
        <v>0</v>
      </c>
      <c r="BP3087" s="4" t="s">
        <v>256</v>
      </c>
      <c r="BQ3087" s="4" t="s">
        <v>257</v>
      </c>
      <c r="CE3087" s="4" t="s">
        <v>241</v>
      </c>
      <c r="CF3087" s="4" t="s">
        <v>241</v>
      </c>
      <c r="CJ3087" s="4" t="s">
        <v>276</v>
      </c>
      <c r="CK3087" s="4" t="s">
        <v>259</v>
      </c>
      <c r="CL3087" s="4" t="s">
        <v>241</v>
      </c>
      <c r="CO3087" s="5" t="s">
        <v>260</v>
      </c>
      <c r="CP3087" s="4" t="s">
        <v>241</v>
      </c>
      <c r="CQ3087" s="4" t="s">
        <v>261</v>
      </c>
      <c r="CR3087" s="4" t="s">
        <v>241</v>
      </c>
      <c r="CS3087" s="4" t="s">
        <v>241</v>
      </c>
      <c r="CT3087" s="4">
        <v>0</v>
      </c>
      <c r="CU3087" s="4" t="s">
        <v>262</v>
      </c>
      <c r="CV3087" s="4" t="s">
        <v>263</v>
      </c>
      <c r="CW3087" s="4" t="s">
        <v>263</v>
      </c>
      <c r="CX3087" s="4" t="s">
        <v>264</v>
      </c>
      <c r="DA3087" s="6">
        <f>1</f>
        <v>1</v>
      </c>
      <c r="DC3087" s="4" t="s">
        <v>325</v>
      </c>
      <c r="DD3087" s="4" t="s">
        <v>241</v>
      </c>
      <c r="DF3087" s="4" t="s">
        <v>325</v>
      </c>
      <c r="DG3087" s="6">
        <f>822</f>
        <v>822</v>
      </c>
      <c r="DI3087" s="4" t="s">
        <v>241</v>
      </c>
      <c r="DJ3087" s="4" t="s">
        <v>241</v>
      </c>
      <c r="DK3087" s="4" t="s">
        <v>241</v>
      </c>
      <c r="DL3087" s="4" t="s">
        <v>241</v>
      </c>
      <c r="DP3087" s="4" t="s">
        <v>241</v>
      </c>
      <c r="DQ3087" s="4" t="s">
        <v>241</v>
      </c>
      <c r="DR3087" s="4" t="s">
        <v>241</v>
      </c>
      <c r="DS3087" s="4" t="s">
        <v>241</v>
      </c>
      <c r="DV3087" s="4" t="s">
        <v>426</v>
      </c>
      <c r="DW3087" s="4" t="s">
        <v>1318</v>
      </c>
      <c r="HO3087" s="4" t="s">
        <v>267</v>
      </c>
    </row>
    <row r="3088" spans="1:223" ht="19.5" customHeight="1" x14ac:dyDescent="0.4">
      <c r="A3088" s="4">
        <v>1</v>
      </c>
      <c r="B3088" s="4" t="s">
        <v>239</v>
      </c>
      <c r="C3088" s="4">
        <v>4791</v>
      </c>
      <c r="D3088" s="4">
        <v>1</v>
      </c>
      <c r="E3088" s="4">
        <v>1</v>
      </c>
      <c r="F3088" s="4" t="s">
        <v>268</v>
      </c>
      <c r="G3088" s="4" t="s">
        <v>241</v>
      </c>
      <c r="H3088" s="4" t="s">
        <v>241</v>
      </c>
      <c r="I3088" s="4" t="s">
        <v>424</v>
      </c>
      <c r="J3088" s="4" t="s">
        <v>274</v>
      </c>
      <c r="K3088" s="4" t="s">
        <v>251</v>
      </c>
      <c r="L3088" s="4" t="s">
        <v>423</v>
      </c>
      <c r="M3088" s="5" t="s">
        <v>3835</v>
      </c>
      <c r="N3088" s="6">
        <f>723</f>
        <v>723</v>
      </c>
      <c r="O3088" s="4" t="s">
        <v>265</v>
      </c>
      <c r="P3088" s="6">
        <f>1</f>
        <v>1</v>
      </c>
      <c r="Q3088" s="6">
        <f>0</f>
        <v>0</v>
      </c>
      <c r="S3088" s="6">
        <f>0</f>
        <v>0</v>
      </c>
      <c r="T3088" s="6">
        <f>1</f>
        <v>1</v>
      </c>
      <c r="U3088" s="5" t="s">
        <v>245</v>
      </c>
      <c r="V3088" s="4" t="s">
        <v>270</v>
      </c>
      <c r="W3088" s="4" t="s">
        <v>271</v>
      </c>
      <c r="X3088" s="4" t="s">
        <v>273</v>
      </c>
      <c r="Y3088" s="4" t="s">
        <v>241</v>
      </c>
      <c r="AB3088" s="4" t="s">
        <v>241</v>
      </c>
      <c r="AD3088" s="5" t="s">
        <v>241</v>
      </c>
      <c r="AG3088" s="5" t="s">
        <v>246</v>
      </c>
      <c r="AH3088" s="4" t="s">
        <v>241</v>
      </c>
      <c r="AI3088" s="4" t="s">
        <v>247</v>
      </c>
      <c r="AJ3088" s="4" t="s">
        <v>248</v>
      </c>
      <c r="AZ3088" s="4" t="s">
        <v>249</v>
      </c>
      <c r="BA3088" s="4" t="s">
        <v>241</v>
      </c>
      <c r="BB3088" s="4" t="s">
        <v>250</v>
      </c>
      <c r="BC3088" s="4" t="s">
        <v>241</v>
      </c>
      <c r="BD3088" s="4" t="s">
        <v>252</v>
      </c>
      <c r="BE3088" s="4" t="s">
        <v>241</v>
      </c>
      <c r="BI3088" s="4" t="s">
        <v>253</v>
      </c>
      <c r="BJ3088" s="5" t="s">
        <v>246</v>
      </c>
      <c r="BK3088" s="4" t="s">
        <v>254</v>
      </c>
      <c r="BL3088" s="4" t="s">
        <v>255</v>
      </c>
      <c r="BM3088" s="4" t="s">
        <v>241</v>
      </c>
      <c r="BN3088" s="6">
        <f>0</f>
        <v>0</v>
      </c>
      <c r="BO3088" s="6">
        <f>0</f>
        <v>0</v>
      </c>
      <c r="BP3088" s="4" t="s">
        <v>256</v>
      </c>
      <c r="BQ3088" s="4" t="s">
        <v>257</v>
      </c>
      <c r="CE3088" s="4" t="s">
        <v>241</v>
      </c>
      <c r="CF3088" s="4" t="s">
        <v>241</v>
      </c>
      <c r="CJ3088" s="4" t="s">
        <v>276</v>
      </c>
      <c r="CK3088" s="4" t="s">
        <v>259</v>
      </c>
      <c r="CL3088" s="4" t="s">
        <v>241</v>
      </c>
      <c r="CO3088" s="5" t="s">
        <v>260</v>
      </c>
      <c r="CP3088" s="4" t="s">
        <v>241</v>
      </c>
      <c r="CQ3088" s="4" t="s">
        <v>261</v>
      </c>
      <c r="CR3088" s="4" t="s">
        <v>241</v>
      </c>
      <c r="CS3088" s="4" t="s">
        <v>241</v>
      </c>
      <c r="CT3088" s="4">
        <v>0</v>
      </c>
      <c r="CU3088" s="4" t="s">
        <v>262</v>
      </c>
      <c r="CV3088" s="4" t="s">
        <v>263</v>
      </c>
      <c r="CW3088" s="4" t="s">
        <v>263</v>
      </c>
      <c r="CX3088" s="4" t="s">
        <v>264</v>
      </c>
      <c r="DA3088" s="6">
        <f>1</f>
        <v>1</v>
      </c>
      <c r="DC3088" s="4" t="s">
        <v>325</v>
      </c>
      <c r="DD3088" s="4" t="s">
        <v>241</v>
      </c>
      <c r="DF3088" s="4" t="s">
        <v>325</v>
      </c>
      <c r="DG3088" s="6">
        <f>723</f>
        <v>723</v>
      </c>
      <c r="DI3088" s="4" t="s">
        <v>241</v>
      </c>
      <c r="DJ3088" s="4" t="s">
        <v>241</v>
      </c>
      <c r="DK3088" s="4" t="s">
        <v>241</v>
      </c>
      <c r="DL3088" s="4" t="s">
        <v>241</v>
      </c>
      <c r="DP3088" s="4" t="s">
        <v>241</v>
      </c>
      <c r="DQ3088" s="4" t="s">
        <v>241</v>
      </c>
      <c r="DR3088" s="4" t="s">
        <v>241</v>
      </c>
      <c r="DS3088" s="4" t="s">
        <v>241</v>
      </c>
      <c r="DV3088" s="4" t="s">
        <v>426</v>
      </c>
      <c r="DW3088" s="4" t="s">
        <v>1246</v>
      </c>
      <c r="HO3088" s="4" t="s">
        <v>267</v>
      </c>
    </row>
    <row r="3089" spans="1:223" ht="19.5" customHeight="1" x14ac:dyDescent="0.4">
      <c r="A3089" s="4">
        <v>1</v>
      </c>
      <c r="B3089" s="4" t="s">
        <v>239</v>
      </c>
      <c r="C3089" s="4">
        <v>4792</v>
      </c>
      <c r="D3089" s="4">
        <v>1</v>
      </c>
      <c r="E3089" s="4">
        <v>1</v>
      </c>
      <c r="F3089" s="4" t="s">
        <v>268</v>
      </c>
      <c r="G3089" s="4" t="s">
        <v>241</v>
      </c>
      <c r="H3089" s="4" t="s">
        <v>241</v>
      </c>
      <c r="I3089" s="4" t="s">
        <v>424</v>
      </c>
      <c r="J3089" s="4" t="s">
        <v>274</v>
      </c>
      <c r="K3089" s="4" t="s">
        <v>251</v>
      </c>
      <c r="L3089" s="4" t="s">
        <v>423</v>
      </c>
      <c r="M3089" s="5" t="s">
        <v>3832</v>
      </c>
      <c r="N3089" s="6">
        <f>201</f>
        <v>201</v>
      </c>
      <c r="O3089" s="4" t="s">
        <v>265</v>
      </c>
      <c r="P3089" s="6">
        <f>1</f>
        <v>1</v>
      </c>
      <c r="Q3089" s="6">
        <f>0</f>
        <v>0</v>
      </c>
      <c r="S3089" s="6">
        <f>0</f>
        <v>0</v>
      </c>
      <c r="T3089" s="6">
        <f>1</f>
        <v>1</v>
      </c>
      <c r="U3089" s="5" t="s">
        <v>245</v>
      </c>
      <c r="V3089" s="4" t="s">
        <v>270</v>
      </c>
      <c r="W3089" s="4" t="s">
        <v>271</v>
      </c>
      <c r="X3089" s="4" t="s">
        <v>273</v>
      </c>
      <c r="Y3089" s="4" t="s">
        <v>241</v>
      </c>
      <c r="AB3089" s="4" t="s">
        <v>241</v>
      </c>
      <c r="AD3089" s="5" t="s">
        <v>241</v>
      </c>
      <c r="AG3089" s="5" t="s">
        <v>246</v>
      </c>
      <c r="AH3089" s="4" t="s">
        <v>241</v>
      </c>
      <c r="AI3089" s="4" t="s">
        <v>247</v>
      </c>
      <c r="AJ3089" s="4" t="s">
        <v>248</v>
      </c>
      <c r="AZ3089" s="4" t="s">
        <v>249</v>
      </c>
      <c r="BA3089" s="4" t="s">
        <v>241</v>
      </c>
      <c r="BB3089" s="4" t="s">
        <v>250</v>
      </c>
      <c r="BC3089" s="4" t="s">
        <v>241</v>
      </c>
      <c r="BD3089" s="4" t="s">
        <v>252</v>
      </c>
      <c r="BE3089" s="4" t="s">
        <v>241</v>
      </c>
      <c r="BI3089" s="4" t="s">
        <v>253</v>
      </c>
      <c r="BJ3089" s="5" t="s">
        <v>246</v>
      </c>
      <c r="BK3089" s="4" t="s">
        <v>254</v>
      </c>
      <c r="BL3089" s="4" t="s">
        <v>255</v>
      </c>
      <c r="BM3089" s="4" t="s">
        <v>241</v>
      </c>
      <c r="BN3089" s="6">
        <f>0</f>
        <v>0</v>
      </c>
      <c r="BO3089" s="6">
        <f>0</f>
        <v>0</v>
      </c>
      <c r="BP3089" s="4" t="s">
        <v>256</v>
      </c>
      <c r="BQ3089" s="4" t="s">
        <v>257</v>
      </c>
      <c r="CE3089" s="4" t="s">
        <v>241</v>
      </c>
      <c r="CF3089" s="4" t="s">
        <v>241</v>
      </c>
      <c r="CJ3089" s="4" t="s">
        <v>276</v>
      </c>
      <c r="CK3089" s="4" t="s">
        <v>259</v>
      </c>
      <c r="CL3089" s="4" t="s">
        <v>241</v>
      </c>
      <c r="CO3089" s="5" t="s">
        <v>260</v>
      </c>
      <c r="CP3089" s="4" t="s">
        <v>241</v>
      </c>
      <c r="CQ3089" s="4" t="s">
        <v>261</v>
      </c>
      <c r="CR3089" s="4" t="s">
        <v>241</v>
      </c>
      <c r="CS3089" s="4" t="s">
        <v>241</v>
      </c>
      <c r="CT3089" s="4">
        <v>0</v>
      </c>
      <c r="CU3089" s="4" t="s">
        <v>262</v>
      </c>
      <c r="CV3089" s="4" t="s">
        <v>263</v>
      </c>
      <c r="CW3089" s="4" t="s">
        <v>263</v>
      </c>
      <c r="CX3089" s="4" t="s">
        <v>264</v>
      </c>
      <c r="DA3089" s="6">
        <f>1</f>
        <v>1</v>
      </c>
      <c r="DC3089" s="4" t="s">
        <v>325</v>
      </c>
      <c r="DD3089" s="4" t="s">
        <v>241</v>
      </c>
      <c r="DF3089" s="4" t="s">
        <v>325</v>
      </c>
      <c r="DG3089" s="6">
        <f>201</f>
        <v>201</v>
      </c>
      <c r="DI3089" s="4" t="s">
        <v>241</v>
      </c>
      <c r="DJ3089" s="4" t="s">
        <v>241</v>
      </c>
      <c r="DK3089" s="4" t="s">
        <v>241</v>
      </c>
      <c r="DL3089" s="4" t="s">
        <v>241</v>
      </c>
      <c r="DP3089" s="4" t="s">
        <v>241</v>
      </c>
      <c r="DQ3089" s="4" t="s">
        <v>241</v>
      </c>
      <c r="DR3089" s="4" t="s">
        <v>241</v>
      </c>
      <c r="DS3089" s="4" t="s">
        <v>241</v>
      </c>
      <c r="DV3089" s="4" t="s">
        <v>426</v>
      </c>
      <c r="DW3089" s="4" t="s">
        <v>2811</v>
      </c>
      <c r="HO3089" s="4" t="s">
        <v>267</v>
      </c>
    </row>
    <row r="3090" spans="1:223" ht="19.5" customHeight="1" x14ac:dyDescent="0.4">
      <c r="A3090" s="4">
        <v>1</v>
      </c>
      <c r="B3090" s="4" t="s">
        <v>239</v>
      </c>
      <c r="C3090" s="4">
        <v>4793</v>
      </c>
      <c r="D3090" s="4">
        <v>1</v>
      </c>
      <c r="E3090" s="4">
        <v>1</v>
      </c>
      <c r="F3090" s="4" t="s">
        <v>268</v>
      </c>
      <c r="G3090" s="4" t="s">
        <v>241</v>
      </c>
      <c r="H3090" s="4" t="s">
        <v>241</v>
      </c>
      <c r="I3090" s="4" t="s">
        <v>424</v>
      </c>
      <c r="J3090" s="4" t="s">
        <v>274</v>
      </c>
      <c r="K3090" s="4" t="s">
        <v>251</v>
      </c>
      <c r="L3090" s="4" t="s">
        <v>423</v>
      </c>
      <c r="M3090" s="5" t="s">
        <v>3824</v>
      </c>
      <c r="N3090" s="6">
        <f>122</f>
        <v>122</v>
      </c>
      <c r="O3090" s="4" t="s">
        <v>265</v>
      </c>
      <c r="P3090" s="6">
        <f>1</f>
        <v>1</v>
      </c>
      <c r="Q3090" s="6">
        <f>0</f>
        <v>0</v>
      </c>
      <c r="S3090" s="6">
        <f>0</f>
        <v>0</v>
      </c>
      <c r="T3090" s="6">
        <f>1</f>
        <v>1</v>
      </c>
      <c r="U3090" s="5" t="s">
        <v>245</v>
      </c>
      <c r="V3090" s="4" t="s">
        <v>270</v>
      </c>
      <c r="W3090" s="4" t="s">
        <v>271</v>
      </c>
      <c r="X3090" s="4" t="s">
        <v>273</v>
      </c>
      <c r="Y3090" s="4" t="s">
        <v>241</v>
      </c>
      <c r="AB3090" s="4" t="s">
        <v>241</v>
      </c>
      <c r="AD3090" s="5" t="s">
        <v>241</v>
      </c>
      <c r="AG3090" s="5" t="s">
        <v>246</v>
      </c>
      <c r="AH3090" s="4" t="s">
        <v>241</v>
      </c>
      <c r="AI3090" s="4" t="s">
        <v>247</v>
      </c>
      <c r="AJ3090" s="4" t="s">
        <v>248</v>
      </c>
      <c r="AZ3090" s="4" t="s">
        <v>249</v>
      </c>
      <c r="BA3090" s="4" t="s">
        <v>241</v>
      </c>
      <c r="BB3090" s="4" t="s">
        <v>250</v>
      </c>
      <c r="BC3090" s="4" t="s">
        <v>241</v>
      </c>
      <c r="BD3090" s="4" t="s">
        <v>252</v>
      </c>
      <c r="BE3090" s="4" t="s">
        <v>241</v>
      </c>
      <c r="BI3090" s="4" t="s">
        <v>253</v>
      </c>
      <c r="BJ3090" s="5" t="s">
        <v>246</v>
      </c>
      <c r="BK3090" s="4" t="s">
        <v>254</v>
      </c>
      <c r="BL3090" s="4" t="s">
        <v>255</v>
      </c>
      <c r="BM3090" s="4" t="s">
        <v>241</v>
      </c>
      <c r="BN3090" s="6">
        <f>0</f>
        <v>0</v>
      </c>
      <c r="BO3090" s="6">
        <f>0</f>
        <v>0</v>
      </c>
      <c r="BP3090" s="4" t="s">
        <v>256</v>
      </c>
      <c r="BQ3090" s="4" t="s">
        <v>257</v>
      </c>
      <c r="CE3090" s="4" t="s">
        <v>241</v>
      </c>
      <c r="CF3090" s="4" t="s">
        <v>241</v>
      </c>
      <c r="CJ3090" s="4" t="s">
        <v>276</v>
      </c>
      <c r="CK3090" s="4" t="s">
        <v>259</v>
      </c>
      <c r="CL3090" s="4" t="s">
        <v>241</v>
      </c>
      <c r="CO3090" s="5" t="s">
        <v>260</v>
      </c>
      <c r="CP3090" s="4" t="s">
        <v>241</v>
      </c>
      <c r="CQ3090" s="4" t="s">
        <v>261</v>
      </c>
      <c r="CR3090" s="4" t="s">
        <v>241</v>
      </c>
      <c r="CS3090" s="4" t="s">
        <v>241</v>
      </c>
      <c r="CT3090" s="4">
        <v>0</v>
      </c>
      <c r="CU3090" s="4" t="s">
        <v>262</v>
      </c>
      <c r="CV3090" s="4" t="s">
        <v>263</v>
      </c>
      <c r="CW3090" s="4" t="s">
        <v>263</v>
      </c>
      <c r="CX3090" s="4" t="s">
        <v>264</v>
      </c>
      <c r="DA3090" s="6">
        <f>1</f>
        <v>1</v>
      </c>
      <c r="DC3090" s="4" t="s">
        <v>325</v>
      </c>
      <c r="DD3090" s="4" t="s">
        <v>241</v>
      </c>
      <c r="DF3090" s="4" t="s">
        <v>325</v>
      </c>
      <c r="DG3090" s="6">
        <f>122</f>
        <v>122</v>
      </c>
      <c r="DI3090" s="4" t="s">
        <v>241</v>
      </c>
      <c r="DJ3090" s="4" t="s">
        <v>241</v>
      </c>
      <c r="DK3090" s="4" t="s">
        <v>241</v>
      </c>
      <c r="DL3090" s="4" t="s">
        <v>241</v>
      </c>
      <c r="DP3090" s="4" t="s">
        <v>241</v>
      </c>
      <c r="DQ3090" s="4" t="s">
        <v>241</v>
      </c>
      <c r="DR3090" s="4" t="s">
        <v>241</v>
      </c>
      <c r="DS3090" s="4" t="s">
        <v>241</v>
      </c>
      <c r="DV3090" s="4" t="s">
        <v>426</v>
      </c>
      <c r="DW3090" s="4" t="s">
        <v>2812</v>
      </c>
      <c r="HO3090" s="4" t="s">
        <v>267</v>
      </c>
    </row>
    <row r="3091" spans="1:223" ht="19.5" customHeight="1" x14ac:dyDescent="0.4">
      <c r="A3091" s="4">
        <v>1</v>
      </c>
      <c r="B3091" s="4" t="s">
        <v>239</v>
      </c>
      <c r="C3091" s="4">
        <v>4794</v>
      </c>
      <c r="D3091" s="4">
        <v>1</v>
      </c>
      <c r="E3091" s="4">
        <v>1</v>
      </c>
      <c r="F3091" s="4" t="s">
        <v>268</v>
      </c>
      <c r="G3091" s="4" t="s">
        <v>241</v>
      </c>
      <c r="H3091" s="4" t="s">
        <v>241</v>
      </c>
      <c r="I3091" s="4" t="s">
        <v>424</v>
      </c>
      <c r="J3091" s="4" t="s">
        <v>274</v>
      </c>
      <c r="K3091" s="4" t="s">
        <v>251</v>
      </c>
      <c r="L3091" s="4" t="s">
        <v>423</v>
      </c>
      <c r="M3091" s="5" t="s">
        <v>3818</v>
      </c>
      <c r="N3091" s="6">
        <f>17</f>
        <v>17</v>
      </c>
      <c r="O3091" s="4" t="s">
        <v>265</v>
      </c>
      <c r="P3091" s="6">
        <f>1</f>
        <v>1</v>
      </c>
      <c r="Q3091" s="6">
        <f>0</f>
        <v>0</v>
      </c>
      <c r="S3091" s="6">
        <f>0</f>
        <v>0</v>
      </c>
      <c r="T3091" s="6">
        <f>1</f>
        <v>1</v>
      </c>
      <c r="U3091" s="5" t="s">
        <v>245</v>
      </c>
      <c r="V3091" s="4" t="s">
        <v>270</v>
      </c>
      <c r="W3091" s="4" t="s">
        <v>271</v>
      </c>
      <c r="X3091" s="4" t="s">
        <v>273</v>
      </c>
      <c r="Y3091" s="4" t="s">
        <v>241</v>
      </c>
      <c r="AB3091" s="4" t="s">
        <v>241</v>
      </c>
      <c r="AD3091" s="5" t="s">
        <v>241</v>
      </c>
      <c r="AG3091" s="5" t="s">
        <v>246</v>
      </c>
      <c r="AH3091" s="4" t="s">
        <v>241</v>
      </c>
      <c r="AI3091" s="4" t="s">
        <v>247</v>
      </c>
      <c r="AJ3091" s="4" t="s">
        <v>248</v>
      </c>
      <c r="AZ3091" s="4" t="s">
        <v>249</v>
      </c>
      <c r="BA3091" s="4" t="s">
        <v>241</v>
      </c>
      <c r="BB3091" s="4" t="s">
        <v>250</v>
      </c>
      <c r="BC3091" s="4" t="s">
        <v>241</v>
      </c>
      <c r="BD3091" s="4" t="s">
        <v>252</v>
      </c>
      <c r="BE3091" s="4" t="s">
        <v>241</v>
      </c>
      <c r="BI3091" s="4" t="s">
        <v>253</v>
      </c>
      <c r="BJ3091" s="5" t="s">
        <v>246</v>
      </c>
      <c r="BK3091" s="4" t="s">
        <v>254</v>
      </c>
      <c r="BL3091" s="4" t="s">
        <v>255</v>
      </c>
      <c r="BM3091" s="4" t="s">
        <v>241</v>
      </c>
      <c r="BN3091" s="6">
        <f>0</f>
        <v>0</v>
      </c>
      <c r="BO3091" s="6">
        <f>0</f>
        <v>0</v>
      </c>
      <c r="BP3091" s="4" t="s">
        <v>256</v>
      </c>
      <c r="BQ3091" s="4" t="s">
        <v>257</v>
      </c>
      <c r="CE3091" s="4" t="s">
        <v>241</v>
      </c>
      <c r="CF3091" s="4" t="s">
        <v>241</v>
      </c>
      <c r="CJ3091" s="4" t="s">
        <v>276</v>
      </c>
      <c r="CK3091" s="4" t="s">
        <v>259</v>
      </c>
      <c r="CL3091" s="4" t="s">
        <v>241</v>
      </c>
      <c r="CO3091" s="5" t="s">
        <v>260</v>
      </c>
      <c r="CP3091" s="4" t="s">
        <v>241</v>
      </c>
      <c r="CQ3091" s="4" t="s">
        <v>261</v>
      </c>
      <c r="CR3091" s="4" t="s">
        <v>241</v>
      </c>
      <c r="CS3091" s="4" t="s">
        <v>241</v>
      </c>
      <c r="CT3091" s="4">
        <v>0</v>
      </c>
      <c r="CU3091" s="4" t="s">
        <v>262</v>
      </c>
      <c r="CV3091" s="4" t="s">
        <v>263</v>
      </c>
      <c r="CW3091" s="4" t="s">
        <v>263</v>
      </c>
      <c r="CX3091" s="4" t="s">
        <v>264</v>
      </c>
      <c r="DA3091" s="6">
        <f>1</f>
        <v>1</v>
      </c>
      <c r="DC3091" s="4" t="s">
        <v>325</v>
      </c>
      <c r="DD3091" s="4" t="s">
        <v>241</v>
      </c>
      <c r="DF3091" s="4" t="s">
        <v>325</v>
      </c>
      <c r="DG3091" s="6">
        <f>17</f>
        <v>17</v>
      </c>
      <c r="DI3091" s="4" t="s">
        <v>241</v>
      </c>
      <c r="DJ3091" s="4" t="s">
        <v>241</v>
      </c>
      <c r="DK3091" s="4" t="s">
        <v>241</v>
      </c>
      <c r="DL3091" s="4" t="s">
        <v>241</v>
      </c>
      <c r="DP3091" s="4" t="s">
        <v>241</v>
      </c>
      <c r="DQ3091" s="4" t="s">
        <v>241</v>
      </c>
      <c r="DR3091" s="4" t="s">
        <v>241</v>
      </c>
      <c r="DS3091" s="4" t="s">
        <v>241</v>
      </c>
      <c r="DV3091" s="4" t="s">
        <v>426</v>
      </c>
      <c r="DW3091" s="4" t="s">
        <v>2817</v>
      </c>
      <c r="HO3091" s="4" t="s">
        <v>267</v>
      </c>
    </row>
    <row r="3092" spans="1:223" ht="19.5" customHeight="1" x14ac:dyDescent="0.4">
      <c r="A3092" s="4">
        <v>1</v>
      </c>
      <c r="B3092" s="4" t="s">
        <v>239</v>
      </c>
      <c r="C3092" s="4">
        <v>4795</v>
      </c>
      <c r="D3092" s="4">
        <v>1</v>
      </c>
      <c r="E3092" s="4">
        <v>1</v>
      </c>
      <c r="F3092" s="4" t="s">
        <v>268</v>
      </c>
      <c r="G3092" s="4" t="s">
        <v>241</v>
      </c>
      <c r="H3092" s="4" t="s">
        <v>241</v>
      </c>
      <c r="I3092" s="4" t="s">
        <v>424</v>
      </c>
      <c r="J3092" s="4" t="s">
        <v>274</v>
      </c>
      <c r="K3092" s="4" t="s">
        <v>251</v>
      </c>
      <c r="L3092" s="4" t="s">
        <v>423</v>
      </c>
      <c r="M3092" s="5" t="s">
        <v>3809</v>
      </c>
      <c r="N3092" s="6">
        <f>111</f>
        <v>111</v>
      </c>
      <c r="O3092" s="4" t="s">
        <v>265</v>
      </c>
      <c r="P3092" s="6">
        <f>1</f>
        <v>1</v>
      </c>
      <c r="Q3092" s="6">
        <f>0</f>
        <v>0</v>
      </c>
      <c r="S3092" s="6">
        <f>0</f>
        <v>0</v>
      </c>
      <c r="T3092" s="6">
        <f>1</f>
        <v>1</v>
      </c>
      <c r="U3092" s="5" t="s">
        <v>245</v>
      </c>
      <c r="V3092" s="4" t="s">
        <v>270</v>
      </c>
      <c r="W3092" s="4" t="s">
        <v>271</v>
      </c>
      <c r="X3092" s="4" t="s">
        <v>273</v>
      </c>
      <c r="Y3092" s="4" t="s">
        <v>241</v>
      </c>
      <c r="AB3092" s="4" t="s">
        <v>241</v>
      </c>
      <c r="AD3092" s="5" t="s">
        <v>241</v>
      </c>
      <c r="AG3092" s="5" t="s">
        <v>246</v>
      </c>
      <c r="AH3092" s="4" t="s">
        <v>241</v>
      </c>
      <c r="AI3092" s="4" t="s">
        <v>247</v>
      </c>
      <c r="AJ3092" s="4" t="s">
        <v>248</v>
      </c>
      <c r="AZ3092" s="4" t="s">
        <v>249</v>
      </c>
      <c r="BA3092" s="4" t="s">
        <v>241</v>
      </c>
      <c r="BB3092" s="4" t="s">
        <v>250</v>
      </c>
      <c r="BC3092" s="4" t="s">
        <v>241</v>
      </c>
      <c r="BD3092" s="4" t="s">
        <v>252</v>
      </c>
      <c r="BE3092" s="4" t="s">
        <v>241</v>
      </c>
      <c r="BI3092" s="4" t="s">
        <v>253</v>
      </c>
      <c r="BJ3092" s="5" t="s">
        <v>246</v>
      </c>
      <c r="BK3092" s="4" t="s">
        <v>254</v>
      </c>
      <c r="BL3092" s="4" t="s">
        <v>255</v>
      </c>
      <c r="BM3092" s="4" t="s">
        <v>241</v>
      </c>
      <c r="BN3092" s="6">
        <f>0</f>
        <v>0</v>
      </c>
      <c r="BO3092" s="6">
        <f>0</f>
        <v>0</v>
      </c>
      <c r="BP3092" s="4" t="s">
        <v>256</v>
      </c>
      <c r="BQ3092" s="4" t="s">
        <v>257</v>
      </c>
      <c r="CE3092" s="4" t="s">
        <v>241</v>
      </c>
      <c r="CF3092" s="4" t="s">
        <v>241</v>
      </c>
      <c r="CJ3092" s="4" t="s">
        <v>276</v>
      </c>
      <c r="CK3092" s="4" t="s">
        <v>259</v>
      </c>
      <c r="CL3092" s="4" t="s">
        <v>241</v>
      </c>
      <c r="CO3092" s="5" t="s">
        <v>260</v>
      </c>
      <c r="CP3092" s="4" t="s">
        <v>241</v>
      </c>
      <c r="CQ3092" s="4" t="s">
        <v>261</v>
      </c>
      <c r="CR3092" s="4" t="s">
        <v>241</v>
      </c>
      <c r="CS3092" s="4" t="s">
        <v>241</v>
      </c>
      <c r="CT3092" s="4">
        <v>0</v>
      </c>
      <c r="CU3092" s="4" t="s">
        <v>262</v>
      </c>
      <c r="CV3092" s="4" t="s">
        <v>263</v>
      </c>
      <c r="CW3092" s="4" t="s">
        <v>263</v>
      </c>
      <c r="CX3092" s="4" t="s">
        <v>264</v>
      </c>
      <c r="DA3092" s="6">
        <f>1</f>
        <v>1</v>
      </c>
      <c r="DC3092" s="4" t="s">
        <v>325</v>
      </c>
      <c r="DD3092" s="4" t="s">
        <v>241</v>
      </c>
      <c r="DF3092" s="4" t="s">
        <v>325</v>
      </c>
      <c r="DG3092" s="6">
        <f>111</f>
        <v>111</v>
      </c>
      <c r="DI3092" s="4" t="s">
        <v>241</v>
      </c>
      <c r="DJ3092" s="4" t="s">
        <v>241</v>
      </c>
      <c r="DK3092" s="4" t="s">
        <v>241</v>
      </c>
      <c r="DL3092" s="4" t="s">
        <v>241</v>
      </c>
      <c r="DP3092" s="4" t="s">
        <v>241</v>
      </c>
      <c r="DQ3092" s="4" t="s">
        <v>241</v>
      </c>
      <c r="DR3092" s="4" t="s">
        <v>241</v>
      </c>
      <c r="DS3092" s="4" t="s">
        <v>241</v>
      </c>
      <c r="DV3092" s="4" t="s">
        <v>426</v>
      </c>
      <c r="DW3092" s="4" t="s">
        <v>1130</v>
      </c>
      <c r="HO3092" s="4" t="s">
        <v>267</v>
      </c>
    </row>
    <row r="3093" spans="1:223" ht="19.5" customHeight="1" x14ac:dyDescent="0.4">
      <c r="A3093" s="4">
        <v>1</v>
      </c>
      <c r="B3093" s="4" t="s">
        <v>239</v>
      </c>
      <c r="C3093" s="4">
        <v>4796</v>
      </c>
      <c r="D3093" s="4">
        <v>1</v>
      </c>
      <c r="E3093" s="4">
        <v>1</v>
      </c>
      <c r="F3093" s="4" t="s">
        <v>268</v>
      </c>
      <c r="G3093" s="4" t="s">
        <v>241</v>
      </c>
      <c r="H3093" s="4" t="s">
        <v>241</v>
      </c>
      <c r="I3093" s="4" t="s">
        <v>424</v>
      </c>
      <c r="J3093" s="4" t="s">
        <v>274</v>
      </c>
      <c r="K3093" s="4" t="s">
        <v>251</v>
      </c>
      <c r="L3093" s="4" t="s">
        <v>423</v>
      </c>
      <c r="M3093" s="5" t="s">
        <v>3796</v>
      </c>
      <c r="N3093" s="6">
        <f>876</f>
        <v>876</v>
      </c>
      <c r="O3093" s="4" t="s">
        <v>265</v>
      </c>
      <c r="P3093" s="6">
        <f>1</f>
        <v>1</v>
      </c>
      <c r="Q3093" s="6">
        <f>0</f>
        <v>0</v>
      </c>
      <c r="S3093" s="6">
        <f>0</f>
        <v>0</v>
      </c>
      <c r="T3093" s="6">
        <f>1</f>
        <v>1</v>
      </c>
      <c r="U3093" s="5" t="s">
        <v>245</v>
      </c>
      <c r="V3093" s="4" t="s">
        <v>270</v>
      </c>
      <c r="W3093" s="4" t="s">
        <v>271</v>
      </c>
      <c r="X3093" s="4" t="s">
        <v>273</v>
      </c>
      <c r="Y3093" s="4" t="s">
        <v>241</v>
      </c>
      <c r="AB3093" s="4" t="s">
        <v>241</v>
      </c>
      <c r="AD3093" s="5" t="s">
        <v>241</v>
      </c>
      <c r="AG3093" s="5" t="s">
        <v>246</v>
      </c>
      <c r="AH3093" s="4" t="s">
        <v>241</v>
      </c>
      <c r="AI3093" s="4" t="s">
        <v>247</v>
      </c>
      <c r="AJ3093" s="4" t="s">
        <v>248</v>
      </c>
      <c r="AZ3093" s="4" t="s">
        <v>249</v>
      </c>
      <c r="BA3093" s="4" t="s">
        <v>241</v>
      </c>
      <c r="BB3093" s="4" t="s">
        <v>250</v>
      </c>
      <c r="BC3093" s="4" t="s">
        <v>241</v>
      </c>
      <c r="BD3093" s="4" t="s">
        <v>252</v>
      </c>
      <c r="BE3093" s="4" t="s">
        <v>241</v>
      </c>
      <c r="BI3093" s="4" t="s">
        <v>253</v>
      </c>
      <c r="BJ3093" s="5" t="s">
        <v>246</v>
      </c>
      <c r="BK3093" s="4" t="s">
        <v>254</v>
      </c>
      <c r="BL3093" s="4" t="s">
        <v>255</v>
      </c>
      <c r="BM3093" s="4" t="s">
        <v>241</v>
      </c>
      <c r="BN3093" s="6">
        <f>0</f>
        <v>0</v>
      </c>
      <c r="BO3093" s="6">
        <f>0</f>
        <v>0</v>
      </c>
      <c r="BP3093" s="4" t="s">
        <v>256</v>
      </c>
      <c r="BQ3093" s="4" t="s">
        <v>257</v>
      </c>
      <c r="CE3093" s="4" t="s">
        <v>241</v>
      </c>
      <c r="CF3093" s="4" t="s">
        <v>241</v>
      </c>
      <c r="CJ3093" s="4" t="s">
        <v>276</v>
      </c>
      <c r="CK3093" s="4" t="s">
        <v>259</v>
      </c>
      <c r="CL3093" s="4" t="s">
        <v>241</v>
      </c>
      <c r="CO3093" s="5" t="s">
        <v>260</v>
      </c>
      <c r="CP3093" s="4" t="s">
        <v>241</v>
      </c>
      <c r="CQ3093" s="4" t="s">
        <v>261</v>
      </c>
      <c r="CR3093" s="4" t="s">
        <v>241</v>
      </c>
      <c r="CS3093" s="4" t="s">
        <v>241</v>
      </c>
      <c r="CT3093" s="4">
        <v>0</v>
      </c>
      <c r="CU3093" s="4" t="s">
        <v>262</v>
      </c>
      <c r="CV3093" s="4" t="s">
        <v>263</v>
      </c>
      <c r="CW3093" s="4" t="s">
        <v>263</v>
      </c>
      <c r="CX3093" s="4" t="s">
        <v>264</v>
      </c>
      <c r="DA3093" s="6">
        <f>1</f>
        <v>1</v>
      </c>
      <c r="DC3093" s="4" t="s">
        <v>325</v>
      </c>
      <c r="DD3093" s="4" t="s">
        <v>241</v>
      </c>
      <c r="DF3093" s="4" t="s">
        <v>325</v>
      </c>
      <c r="DG3093" s="6">
        <f>876</f>
        <v>876</v>
      </c>
      <c r="DI3093" s="4" t="s">
        <v>241</v>
      </c>
      <c r="DJ3093" s="4" t="s">
        <v>241</v>
      </c>
      <c r="DK3093" s="4" t="s">
        <v>241</v>
      </c>
      <c r="DL3093" s="4" t="s">
        <v>241</v>
      </c>
      <c r="DP3093" s="4" t="s">
        <v>241</v>
      </c>
      <c r="DQ3093" s="4" t="s">
        <v>241</v>
      </c>
      <c r="DR3093" s="4" t="s">
        <v>241</v>
      </c>
      <c r="DS3093" s="4" t="s">
        <v>241</v>
      </c>
      <c r="DV3093" s="4" t="s">
        <v>426</v>
      </c>
      <c r="DW3093" s="4" t="s">
        <v>381</v>
      </c>
      <c r="HO3093" s="4" t="s">
        <v>267</v>
      </c>
    </row>
    <row r="3094" spans="1:223" ht="19.5" customHeight="1" x14ac:dyDescent="0.4">
      <c r="A3094" s="4">
        <v>1</v>
      </c>
      <c r="B3094" s="4" t="s">
        <v>239</v>
      </c>
      <c r="C3094" s="4">
        <v>4797</v>
      </c>
      <c r="D3094" s="4">
        <v>1</v>
      </c>
      <c r="E3094" s="4">
        <v>1</v>
      </c>
      <c r="F3094" s="4" t="s">
        <v>268</v>
      </c>
      <c r="G3094" s="4" t="s">
        <v>241</v>
      </c>
      <c r="H3094" s="4" t="s">
        <v>241</v>
      </c>
      <c r="I3094" s="4" t="s">
        <v>424</v>
      </c>
      <c r="J3094" s="4" t="s">
        <v>274</v>
      </c>
      <c r="K3094" s="4" t="s">
        <v>251</v>
      </c>
      <c r="L3094" s="4" t="s">
        <v>423</v>
      </c>
      <c r="M3094" s="5" t="s">
        <v>3795</v>
      </c>
      <c r="N3094" s="6">
        <f>712</f>
        <v>712</v>
      </c>
      <c r="O3094" s="4" t="s">
        <v>265</v>
      </c>
      <c r="P3094" s="6">
        <f>1</f>
        <v>1</v>
      </c>
      <c r="Q3094" s="6">
        <f>0</f>
        <v>0</v>
      </c>
      <c r="S3094" s="6">
        <f>0</f>
        <v>0</v>
      </c>
      <c r="T3094" s="6">
        <f>1</f>
        <v>1</v>
      </c>
      <c r="U3094" s="5" t="s">
        <v>245</v>
      </c>
      <c r="V3094" s="4" t="s">
        <v>270</v>
      </c>
      <c r="W3094" s="4" t="s">
        <v>271</v>
      </c>
      <c r="X3094" s="4" t="s">
        <v>273</v>
      </c>
      <c r="Y3094" s="4" t="s">
        <v>241</v>
      </c>
      <c r="AB3094" s="4" t="s">
        <v>241</v>
      </c>
      <c r="AD3094" s="5" t="s">
        <v>241</v>
      </c>
      <c r="AG3094" s="5" t="s">
        <v>246</v>
      </c>
      <c r="AH3094" s="4" t="s">
        <v>241</v>
      </c>
      <c r="AI3094" s="4" t="s">
        <v>247</v>
      </c>
      <c r="AJ3094" s="4" t="s">
        <v>248</v>
      </c>
      <c r="AZ3094" s="4" t="s">
        <v>249</v>
      </c>
      <c r="BA3094" s="4" t="s">
        <v>241</v>
      </c>
      <c r="BB3094" s="4" t="s">
        <v>250</v>
      </c>
      <c r="BC3094" s="4" t="s">
        <v>241</v>
      </c>
      <c r="BD3094" s="4" t="s">
        <v>252</v>
      </c>
      <c r="BE3094" s="4" t="s">
        <v>241</v>
      </c>
      <c r="BI3094" s="4" t="s">
        <v>253</v>
      </c>
      <c r="BJ3094" s="5" t="s">
        <v>246</v>
      </c>
      <c r="BK3094" s="4" t="s">
        <v>254</v>
      </c>
      <c r="BL3094" s="4" t="s">
        <v>255</v>
      </c>
      <c r="BM3094" s="4" t="s">
        <v>241</v>
      </c>
      <c r="BN3094" s="6">
        <f>0</f>
        <v>0</v>
      </c>
      <c r="BO3094" s="6">
        <f>0</f>
        <v>0</v>
      </c>
      <c r="BP3094" s="4" t="s">
        <v>256</v>
      </c>
      <c r="BQ3094" s="4" t="s">
        <v>257</v>
      </c>
      <c r="CE3094" s="4" t="s">
        <v>241</v>
      </c>
      <c r="CF3094" s="4" t="s">
        <v>241</v>
      </c>
      <c r="CJ3094" s="4" t="s">
        <v>276</v>
      </c>
      <c r="CK3094" s="4" t="s">
        <v>259</v>
      </c>
      <c r="CL3094" s="4" t="s">
        <v>241</v>
      </c>
      <c r="CO3094" s="5" t="s">
        <v>260</v>
      </c>
      <c r="CP3094" s="4" t="s">
        <v>241</v>
      </c>
      <c r="CQ3094" s="4" t="s">
        <v>261</v>
      </c>
      <c r="CR3094" s="4" t="s">
        <v>241</v>
      </c>
      <c r="CS3094" s="4" t="s">
        <v>241</v>
      </c>
      <c r="CT3094" s="4">
        <v>0</v>
      </c>
      <c r="CU3094" s="4" t="s">
        <v>262</v>
      </c>
      <c r="CV3094" s="4" t="s">
        <v>263</v>
      </c>
      <c r="CW3094" s="4" t="s">
        <v>263</v>
      </c>
      <c r="CX3094" s="4" t="s">
        <v>264</v>
      </c>
      <c r="DA3094" s="6">
        <f>1</f>
        <v>1</v>
      </c>
      <c r="DC3094" s="4" t="s">
        <v>325</v>
      </c>
      <c r="DD3094" s="4" t="s">
        <v>241</v>
      </c>
      <c r="DF3094" s="4" t="s">
        <v>325</v>
      </c>
      <c r="DG3094" s="6">
        <f>712</f>
        <v>712</v>
      </c>
      <c r="DI3094" s="4" t="s">
        <v>241</v>
      </c>
      <c r="DJ3094" s="4" t="s">
        <v>241</v>
      </c>
      <c r="DK3094" s="4" t="s">
        <v>241</v>
      </c>
      <c r="DL3094" s="4" t="s">
        <v>241</v>
      </c>
      <c r="DP3094" s="4" t="s">
        <v>241</v>
      </c>
      <c r="DQ3094" s="4" t="s">
        <v>241</v>
      </c>
      <c r="DR3094" s="4" t="s">
        <v>241</v>
      </c>
      <c r="DS3094" s="4" t="s">
        <v>241</v>
      </c>
      <c r="DV3094" s="4" t="s">
        <v>426</v>
      </c>
      <c r="DW3094" s="4" t="s">
        <v>320</v>
      </c>
      <c r="HO3094" s="4" t="s">
        <v>267</v>
      </c>
    </row>
    <row r="3095" spans="1:223" ht="19.5" customHeight="1" x14ac:dyDescent="0.4">
      <c r="A3095" s="4">
        <v>1</v>
      </c>
      <c r="B3095" s="4" t="s">
        <v>239</v>
      </c>
      <c r="C3095" s="4">
        <v>4798</v>
      </c>
      <c r="D3095" s="4">
        <v>1</v>
      </c>
      <c r="E3095" s="4">
        <v>1</v>
      </c>
      <c r="F3095" s="4" t="s">
        <v>268</v>
      </c>
      <c r="G3095" s="4" t="s">
        <v>241</v>
      </c>
      <c r="H3095" s="4" t="s">
        <v>241</v>
      </c>
      <c r="I3095" s="4" t="s">
        <v>424</v>
      </c>
      <c r="J3095" s="4" t="s">
        <v>274</v>
      </c>
      <c r="K3095" s="4" t="s">
        <v>251</v>
      </c>
      <c r="L3095" s="4" t="s">
        <v>423</v>
      </c>
      <c r="M3095" s="5" t="s">
        <v>3788</v>
      </c>
      <c r="N3095" s="6">
        <f>86</f>
        <v>86</v>
      </c>
      <c r="O3095" s="4" t="s">
        <v>265</v>
      </c>
      <c r="P3095" s="6">
        <f>1</f>
        <v>1</v>
      </c>
      <c r="Q3095" s="6">
        <f>0</f>
        <v>0</v>
      </c>
      <c r="S3095" s="6">
        <f>0</f>
        <v>0</v>
      </c>
      <c r="T3095" s="6">
        <f>1</f>
        <v>1</v>
      </c>
      <c r="U3095" s="5" t="s">
        <v>245</v>
      </c>
      <c r="V3095" s="4" t="s">
        <v>270</v>
      </c>
      <c r="W3095" s="4" t="s">
        <v>271</v>
      </c>
      <c r="X3095" s="4" t="s">
        <v>273</v>
      </c>
      <c r="Y3095" s="4" t="s">
        <v>241</v>
      </c>
      <c r="AB3095" s="4" t="s">
        <v>241</v>
      </c>
      <c r="AD3095" s="5" t="s">
        <v>241</v>
      </c>
      <c r="AG3095" s="5" t="s">
        <v>246</v>
      </c>
      <c r="AH3095" s="4" t="s">
        <v>241</v>
      </c>
      <c r="AI3095" s="4" t="s">
        <v>247</v>
      </c>
      <c r="AJ3095" s="4" t="s">
        <v>248</v>
      </c>
      <c r="AZ3095" s="4" t="s">
        <v>249</v>
      </c>
      <c r="BA3095" s="4" t="s">
        <v>241</v>
      </c>
      <c r="BB3095" s="4" t="s">
        <v>250</v>
      </c>
      <c r="BC3095" s="4" t="s">
        <v>241</v>
      </c>
      <c r="BD3095" s="4" t="s">
        <v>252</v>
      </c>
      <c r="BE3095" s="4" t="s">
        <v>241</v>
      </c>
      <c r="BI3095" s="4" t="s">
        <v>253</v>
      </c>
      <c r="BJ3095" s="5" t="s">
        <v>246</v>
      </c>
      <c r="BK3095" s="4" t="s">
        <v>254</v>
      </c>
      <c r="BL3095" s="4" t="s">
        <v>255</v>
      </c>
      <c r="BM3095" s="4" t="s">
        <v>241</v>
      </c>
      <c r="BN3095" s="6">
        <f>0</f>
        <v>0</v>
      </c>
      <c r="BO3095" s="6">
        <f>0</f>
        <v>0</v>
      </c>
      <c r="BP3095" s="4" t="s">
        <v>256</v>
      </c>
      <c r="BQ3095" s="4" t="s">
        <v>257</v>
      </c>
      <c r="CE3095" s="4" t="s">
        <v>241</v>
      </c>
      <c r="CF3095" s="4" t="s">
        <v>241</v>
      </c>
      <c r="CJ3095" s="4" t="s">
        <v>276</v>
      </c>
      <c r="CK3095" s="4" t="s">
        <v>259</v>
      </c>
      <c r="CL3095" s="4" t="s">
        <v>241</v>
      </c>
      <c r="CO3095" s="5" t="s">
        <v>260</v>
      </c>
      <c r="CP3095" s="4" t="s">
        <v>241</v>
      </c>
      <c r="CQ3095" s="4" t="s">
        <v>261</v>
      </c>
      <c r="CR3095" s="4" t="s">
        <v>241</v>
      </c>
      <c r="CS3095" s="4" t="s">
        <v>241</v>
      </c>
      <c r="CT3095" s="4">
        <v>0</v>
      </c>
      <c r="CU3095" s="4" t="s">
        <v>262</v>
      </c>
      <c r="CV3095" s="4" t="s">
        <v>263</v>
      </c>
      <c r="CW3095" s="4" t="s">
        <v>263</v>
      </c>
      <c r="CX3095" s="4" t="s">
        <v>264</v>
      </c>
      <c r="DA3095" s="6">
        <f>1</f>
        <v>1</v>
      </c>
      <c r="DC3095" s="4" t="s">
        <v>325</v>
      </c>
      <c r="DD3095" s="4" t="s">
        <v>241</v>
      </c>
      <c r="DF3095" s="4" t="s">
        <v>325</v>
      </c>
      <c r="DG3095" s="6">
        <f>86</f>
        <v>86</v>
      </c>
      <c r="DI3095" s="4" t="s">
        <v>241</v>
      </c>
      <c r="DJ3095" s="4" t="s">
        <v>241</v>
      </c>
      <c r="DK3095" s="4" t="s">
        <v>241</v>
      </c>
      <c r="DL3095" s="4" t="s">
        <v>241</v>
      </c>
      <c r="DP3095" s="4" t="s">
        <v>241</v>
      </c>
      <c r="DQ3095" s="4" t="s">
        <v>241</v>
      </c>
      <c r="DR3095" s="4" t="s">
        <v>241</v>
      </c>
      <c r="DS3095" s="4" t="s">
        <v>241</v>
      </c>
      <c r="DV3095" s="4" t="s">
        <v>426</v>
      </c>
      <c r="DW3095" s="4" t="s">
        <v>1071</v>
      </c>
      <c r="HO3095" s="4" t="s">
        <v>267</v>
      </c>
    </row>
    <row r="3096" spans="1:223" ht="19.5" customHeight="1" x14ac:dyDescent="0.4">
      <c r="A3096" s="4">
        <v>1</v>
      </c>
      <c r="B3096" s="4" t="s">
        <v>239</v>
      </c>
      <c r="C3096" s="4">
        <v>4799</v>
      </c>
      <c r="D3096" s="4">
        <v>1</v>
      </c>
      <c r="E3096" s="4">
        <v>1</v>
      </c>
      <c r="F3096" s="4" t="s">
        <v>268</v>
      </c>
      <c r="G3096" s="4" t="s">
        <v>241</v>
      </c>
      <c r="H3096" s="4" t="s">
        <v>241</v>
      </c>
      <c r="I3096" s="4" t="s">
        <v>424</v>
      </c>
      <c r="J3096" s="4" t="s">
        <v>274</v>
      </c>
      <c r="K3096" s="4" t="s">
        <v>251</v>
      </c>
      <c r="L3096" s="4" t="s">
        <v>423</v>
      </c>
      <c r="M3096" s="5" t="s">
        <v>3785</v>
      </c>
      <c r="N3096" s="6">
        <f>1532</f>
        <v>1532</v>
      </c>
      <c r="O3096" s="4" t="s">
        <v>265</v>
      </c>
      <c r="P3096" s="6">
        <f>1</f>
        <v>1</v>
      </c>
      <c r="Q3096" s="6">
        <f>0</f>
        <v>0</v>
      </c>
      <c r="S3096" s="6">
        <f>0</f>
        <v>0</v>
      </c>
      <c r="T3096" s="6">
        <f>1</f>
        <v>1</v>
      </c>
      <c r="U3096" s="5" t="s">
        <v>245</v>
      </c>
      <c r="V3096" s="4" t="s">
        <v>270</v>
      </c>
      <c r="W3096" s="4" t="s">
        <v>271</v>
      </c>
      <c r="X3096" s="4" t="s">
        <v>273</v>
      </c>
      <c r="Y3096" s="4" t="s">
        <v>241</v>
      </c>
      <c r="AB3096" s="4" t="s">
        <v>241</v>
      </c>
      <c r="AD3096" s="5" t="s">
        <v>241</v>
      </c>
      <c r="AG3096" s="5" t="s">
        <v>246</v>
      </c>
      <c r="AH3096" s="4" t="s">
        <v>241</v>
      </c>
      <c r="AI3096" s="4" t="s">
        <v>247</v>
      </c>
      <c r="AJ3096" s="4" t="s">
        <v>248</v>
      </c>
      <c r="AZ3096" s="4" t="s">
        <v>249</v>
      </c>
      <c r="BA3096" s="4" t="s">
        <v>241</v>
      </c>
      <c r="BB3096" s="4" t="s">
        <v>250</v>
      </c>
      <c r="BC3096" s="4" t="s">
        <v>241</v>
      </c>
      <c r="BD3096" s="4" t="s">
        <v>252</v>
      </c>
      <c r="BE3096" s="4" t="s">
        <v>241</v>
      </c>
      <c r="BI3096" s="4" t="s">
        <v>253</v>
      </c>
      <c r="BJ3096" s="5" t="s">
        <v>246</v>
      </c>
      <c r="BK3096" s="4" t="s">
        <v>254</v>
      </c>
      <c r="BL3096" s="4" t="s">
        <v>255</v>
      </c>
      <c r="BM3096" s="4" t="s">
        <v>241</v>
      </c>
      <c r="BN3096" s="6">
        <f>0</f>
        <v>0</v>
      </c>
      <c r="BO3096" s="6">
        <f>0</f>
        <v>0</v>
      </c>
      <c r="BP3096" s="4" t="s">
        <v>256</v>
      </c>
      <c r="BQ3096" s="4" t="s">
        <v>257</v>
      </c>
      <c r="CE3096" s="4" t="s">
        <v>241</v>
      </c>
      <c r="CF3096" s="4" t="s">
        <v>241</v>
      </c>
      <c r="CJ3096" s="4" t="s">
        <v>276</v>
      </c>
      <c r="CK3096" s="4" t="s">
        <v>259</v>
      </c>
      <c r="CL3096" s="4" t="s">
        <v>241</v>
      </c>
      <c r="CO3096" s="5" t="s">
        <v>260</v>
      </c>
      <c r="CP3096" s="4" t="s">
        <v>241</v>
      </c>
      <c r="CQ3096" s="4" t="s">
        <v>261</v>
      </c>
      <c r="CR3096" s="4" t="s">
        <v>241</v>
      </c>
      <c r="CS3096" s="4" t="s">
        <v>241</v>
      </c>
      <c r="CT3096" s="4">
        <v>0</v>
      </c>
      <c r="CU3096" s="4" t="s">
        <v>262</v>
      </c>
      <c r="CV3096" s="4" t="s">
        <v>263</v>
      </c>
      <c r="CW3096" s="4" t="s">
        <v>263</v>
      </c>
      <c r="CX3096" s="4" t="s">
        <v>264</v>
      </c>
      <c r="DA3096" s="6">
        <f>1</f>
        <v>1</v>
      </c>
      <c r="DC3096" s="4" t="s">
        <v>325</v>
      </c>
      <c r="DD3096" s="4" t="s">
        <v>241</v>
      </c>
      <c r="DF3096" s="4" t="s">
        <v>325</v>
      </c>
      <c r="DG3096" s="6">
        <f>1532</f>
        <v>1532</v>
      </c>
      <c r="DI3096" s="4" t="s">
        <v>241</v>
      </c>
      <c r="DJ3096" s="4" t="s">
        <v>241</v>
      </c>
      <c r="DK3096" s="4" t="s">
        <v>241</v>
      </c>
      <c r="DL3096" s="4" t="s">
        <v>241</v>
      </c>
      <c r="DP3096" s="4" t="s">
        <v>241</v>
      </c>
      <c r="DQ3096" s="4" t="s">
        <v>241</v>
      </c>
      <c r="DR3096" s="4" t="s">
        <v>241</v>
      </c>
      <c r="DS3096" s="4" t="s">
        <v>241</v>
      </c>
      <c r="DV3096" s="4" t="s">
        <v>426</v>
      </c>
      <c r="DW3096" s="4" t="s">
        <v>3786</v>
      </c>
      <c r="HO3096" s="4" t="s">
        <v>267</v>
      </c>
    </row>
    <row r="3097" spans="1:223" ht="19.5" customHeight="1" x14ac:dyDescent="0.4">
      <c r="A3097" s="4">
        <v>1</v>
      </c>
      <c r="B3097" s="4" t="s">
        <v>239</v>
      </c>
      <c r="C3097" s="4">
        <v>4800</v>
      </c>
      <c r="D3097" s="4">
        <v>1</v>
      </c>
      <c r="E3097" s="4">
        <v>1</v>
      </c>
      <c r="F3097" s="4" t="s">
        <v>268</v>
      </c>
      <c r="G3097" s="4" t="s">
        <v>241</v>
      </c>
      <c r="H3097" s="4" t="s">
        <v>241</v>
      </c>
      <c r="I3097" s="4" t="s">
        <v>424</v>
      </c>
      <c r="J3097" s="4" t="s">
        <v>274</v>
      </c>
      <c r="K3097" s="4" t="s">
        <v>251</v>
      </c>
      <c r="L3097" s="4" t="s">
        <v>423</v>
      </c>
      <c r="M3097" s="5" t="s">
        <v>3781</v>
      </c>
      <c r="N3097" s="6">
        <f>808</f>
        <v>808</v>
      </c>
      <c r="O3097" s="4" t="s">
        <v>265</v>
      </c>
      <c r="P3097" s="6">
        <f>1</f>
        <v>1</v>
      </c>
      <c r="Q3097" s="6">
        <f>0</f>
        <v>0</v>
      </c>
      <c r="S3097" s="6">
        <f>0</f>
        <v>0</v>
      </c>
      <c r="T3097" s="6">
        <f>1</f>
        <v>1</v>
      </c>
      <c r="U3097" s="5" t="s">
        <v>245</v>
      </c>
      <c r="V3097" s="4" t="s">
        <v>270</v>
      </c>
      <c r="W3097" s="4" t="s">
        <v>271</v>
      </c>
      <c r="X3097" s="4" t="s">
        <v>273</v>
      </c>
      <c r="Y3097" s="4" t="s">
        <v>241</v>
      </c>
      <c r="AB3097" s="4" t="s">
        <v>241</v>
      </c>
      <c r="AD3097" s="5" t="s">
        <v>241</v>
      </c>
      <c r="AG3097" s="5" t="s">
        <v>246</v>
      </c>
      <c r="AH3097" s="4" t="s">
        <v>241</v>
      </c>
      <c r="AI3097" s="4" t="s">
        <v>247</v>
      </c>
      <c r="AJ3097" s="4" t="s">
        <v>248</v>
      </c>
      <c r="AZ3097" s="4" t="s">
        <v>249</v>
      </c>
      <c r="BA3097" s="4" t="s">
        <v>241</v>
      </c>
      <c r="BB3097" s="4" t="s">
        <v>250</v>
      </c>
      <c r="BC3097" s="4" t="s">
        <v>241</v>
      </c>
      <c r="BD3097" s="4" t="s">
        <v>252</v>
      </c>
      <c r="BE3097" s="4" t="s">
        <v>241</v>
      </c>
      <c r="BI3097" s="4" t="s">
        <v>253</v>
      </c>
      <c r="BJ3097" s="5" t="s">
        <v>246</v>
      </c>
      <c r="BK3097" s="4" t="s">
        <v>254</v>
      </c>
      <c r="BL3097" s="4" t="s">
        <v>255</v>
      </c>
      <c r="BM3097" s="4" t="s">
        <v>241</v>
      </c>
      <c r="BN3097" s="6">
        <f>0</f>
        <v>0</v>
      </c>
      <c r="BO3097" s="6">
        <f>0</f>
        <v>0</v>
      </c>
      <c r="BP3097" s="4" t="s">
        <v>256</v>
      </c>
      <c r="BQ3097" s="4" t="s">
        <v>257</v>
      </c>
      <c r="CE3097" s="4" t="s">
        <v>241</v>
      </c>
      <c r="CF3097" s="4" t="s">
        <v>241</v>
      </c>
      <c r="CJ3097" s="4" t="s">
        <v>276</v>
      </c>
      <c r="CK3097" s="4" t="s">
        <v>259</v>
      </c>
      <c r="CL3097" s="4" t="s">
        <v>241</v>
      </c>
      <c r="CO3097" s="5" t="s">
        <v>260</v>
      </c>
      <c r="CP3097" s="4" t="s">
        <v>241</v>
      </c>
      <c r="CQ3097" s="4" t="s">
        <v>261</v>
      </c>
      <c r="CR3097" s="4" t="s">
        <v>241</v>
      </c>
      <c r="CS3097" s="4" t="s">
        <v>241</v>
      </c>
      <c r="CT3097" s="4">
        <v>0</v>
      </c>
      <c r="CU3097" s="4" t="s">
        <v>262</v>
      </c>
      <c r="CV3097" s="4" t="s">
        <v>263</v>
      </c>
      <c r="CW3097" s="4" t="s">
        <v>263</v>
      </c>
      <c r="CX3097" s="4" t="s">
        <v>264</v>
      </c>
      <c r="DA3097" s="6">
        <f>1</f>
        <v>1</v>
      </c>
      <c r="DC3097" s="4" t="s">
        <v>325</v>
      </c>
      <c r="DD3097" s="4" t="s">
        <v>241</v>
      </c>
      <c r="DF3097" s="4" t="s">
        <v>325</v>
      </c>
      <c r="DG3097" s="6">
        <f>808</f>
        <v>808</v>
      </c>
      <c r="DI3097" s="4" t="s">
        <v>241</v>
      </c>
      <c r="DJ3097" s="4" t="s">
        <v>241</v>
      </c>
      <c r="DK3097" s="4" t="s">
        <v>241</v>
      </c>
      <c r="DL3097" s="4" t="s">
        <v>241</v>
      </c>
      <c r="DP3097" s="4" t="s">
        <v>241</v>
      </c>
      <c r="DQ3097" s="4" t="s">
        <v>241</v>
      </c>
      <c r="DR3097" s="4" t="s">
        <v>241</v>
      </c>
      <c r="DS3097" s="4" t="s">
        <v>241</v>
      </c>
      <c r="DV3097" s="4" t="s">
        <v>426</v>
      </c>
      <c r="DW3097" s="4" t="s">
        <v>288</v>
      </c>
      <c r="HO3097" s="4" t="s">
        <v>267</v>
      </c>
    </row>
    <row r="3098" spans="1:223" ht="19.5" customHeight="1" x14ac:dyDescent="0.4">
      <c r="A3098" s="4">
        <v>1</v>
      </c>
      <c r="B3098" s="4" t="s">
        <v>239</v>
      </c>
      <c r="C3098" s="4">
        <v>4801</v>
      </c>
      <c r="D3098" s="4">
        <v>1</v>
      </c>
      <c r="E3098" s="4">
        <v>1</v>
      </c>
      <c r="F3098" s="4" t="s">
        <v>268</v>
      </c>
      <c r="G3098" s="4" t="s">
        <v>241</v>
      </c>
      <c r="H3098" s="4" t="s">
        <v>241</v>
      </c>
      <c r="I3098" s="4" t="s">
        <v>424</v>
      </c>
      <c r="J3098" s="4" t="s">
        <v>274</v>
      </c>
      <c r="K3098" s="4" t="s">
        <v>251</v>
      </c>
      <c r="L3098" s="4" t="s">
        <v>423</v>
      </c>
      <c r="M3098" s="5" t="s">
        <v>3777</v>
      </c>
      <c r="N3098" s="6">
        <f>149</f>
        <v>149</v>
      </c>
      <c r="O3098" s="4" t="s">
        <v>265</v>
      </c>
      <c r="P3098" s="6">
        <f>1</f>
        <v>1</v>
      </c>
      <c r="Q3098" s="6">
        <f>0</f>
        <v>0</v>
      </c>
      <c r="S3098" s="6">
        <f>0</f>
        <v>0</v>
      </c>
      <c r="T3098" s="6">
        <f>1</f>
        <v>1</v>
      </c>
      <c r="U3098" s="5" t="s">
        <v>245</v>
      </c>
      <c r="V3098" s="4" t="s">
        <v>270</v>
      </c>
      <c r="W3098" s="4" t="s">
        <v>271</v>
      </c>
      <c r="X3098" s="4" t="s">
        <v>273</v>
      </c>
      <c r="Y3098" s="4" t="s">
        <v>241</v>
      </c>
      <c r="AB3098" s="4" t="s">
        <v>241</v>
      </c>
      <c r="AD3098" s="5" t="s">
        <v>241</v>
      </c>
      <c r="AG3098" s="5" t="s">
        <v>246</v>
      </c>
      <c r="AH3098" s="4" t="s">
        <v>241</v>
      </c>
      <c r="AI3098" s="4" t="s">
        <v>247</v>
      </c>
      <c r="AJ3098" s="4" t="s">
        <v>248</v>
      </c>
      <c r="AZ3098" s="4" t="s">
        <v>249</v>
      </c>
      <c r="BA3098" s="4" t="s">
        <v>241</v>
      </c>
      <c r="BB3098" s="4" t="s">
        <v>250</v>
      </c>
      <c r="BC3098" s="4" t="s">
        <v>241</v>
      </c>
      <c r="BD3098" s="4" t="s">
        <v>252</v>
      </c>
      <c r="BE3098" s="4" t="s">
        <v>241</v>
      </c>
      <c r="BI3098" s="4" t="s">
        <v>253</v>
      </c>
      <c r="BJ3098" s="5" t="s">
        <v>246</v>
      </c>
      <c r="BK3098" s="4" t="s">
        <v>254</v>
      </c>
      <c r="BL3098" s="4" t="s">
        <v>255</v>
      </c>
      <c r="BM3098" s="4" t="s">
        <v>241</v>
      </c>
      <c r="BN3098" s="6">
        <f>0</f>
        <v>0</v>
      </c>
      <c r="BO3098" s="6">
        <f>0</f>
        <v>0</v>
      </c>
      <c r="BP3098" s="4" t="s">
        <v>256</v>
      </c>
      <c r="BQ3098" s="4" t="s">
        <v>257</v>
      </c>
      <c r="CE3098" s="4" t="s">
        <v>241</v>
      </c>
      <c r="CF3098" s="4" t="s">
        <v>241</v>
      </c>
      <c r="CJ3098" s="4" t="s">
        <v>276</v>
      </c>
      <c r="CK3098" s="4" t="s">
        <v>259</v>
      </c>
      <c r="CL3098" s="4" t="s">
        <v>241</v>
      </c>
      <c r="CO3098" s="5" t="s">
        <v>260</v>
      </c>
      <c r="CP3098" s="4" t="s">
        <v>241</v>
      </c>
      <c r="CQ3098" s="4" t="s">
        <v>261</v>
      </c>
      <c r="CR3098" s="4" t="s">
        <v>241</v>
      </c>
      <c r="CS3098" s="4" t="s">
        <v>241</v>
      </c>
      <c r="CT3098" s="4">
        <v>0</v>
      </c>
      <c r="CU3098" s="4" t="s">
        <v>262</v>
      </c>
      <c r="CV3098" s="4" t="s">
        <v>263</v>
      </c>
      <c r="CW3098" s="4" t="s">
        <v>263</v>
      </c>
      <c r="CX3098" s="4" t="s">
        <v>264</v>
      </c>
      <c r="DA3098" s="6">
        <f>1</f>
        <v>1</v>
      </c>
      <c r="DC3098" s="4" t="s">
        <v>325</v>
      </c>
      <c r="DD3098" s="4" t="s">
        <v>241</v>
      </c>
      <c r="DF3098" s="4" t="s">
        <v>325</v>
      </c>
      <c r="DG3098" s="6">
        <f>149</f>
        <v>149</v>
      </c>
      <c r="DI3098" s="4" t="s">
        <v>241</v>
      </c>
      <c r="DJ3098" s="4" t="s">
        <v>241</v>
      </c>
      <c r="DK3098" s="4" t="s">
        <v>241</v>
      </c>
      <c r="DL3098" s="4" t="s">
        <v>241</v>
      </c>
      <c r="DP3098" s="4" t="s">
        <v>241</v>
      </c>
      <c r="DQ3098" s="4" t="s">
        <v>241</v>
      </c>
      <c r="DR3098" s="4" t="s">
        <v>241</v>
      </c>
      <c r="DS3098" s="4" t="s">
        <v>241</v>
      </c>
      <c r="DV3098" s="4" t="s">
        <v>426</v>
      </c>
      <c r="DW3098" s="4" t="s">
        <v>1117</v>
      </c>
      <c r="HO3098" s="4" t="s">
        <v>267</v>
      </c>
    </row>
    <row r="3099" spans="1:223" ht="19.5" customHeight="1" x14ac:dyDescent="0.4">
      <c r="A3099" s="4">
        <v>1</v>
      </c>
      <c r="B3099" s="4" t="s">
        <v>239</v>
      </c>
      <c r="C3099" s="4">
        <v>4802</v>
      </c>
      <c r="D3099" s="4">
        <v>1</v>
      </c>
      <c r="E3099" s="4">
        <v>1</v>
      </c>
      <c r="F3099" s="4" t="s">
        <v>268</v>
      </c>
      <c r="G3099" s="4" t="s">
        <v>241</v>
      </c>
      <c r="H3099" s="4" t="s">
        <v>241</v>
      </c>
      <c r="I3099" s="4" t="s">
        <v>424</v>
      </c>
      <c r="J3099" s="4" t="s">
        <v>274</v>
      </c>
      <c r="K3099" s="4" t="s">
        <v>251</v>
      </c>
      <c r="L3099" s="4" t="s">
        <v>423</v>
      </c>
      <c r="M3099" s="5" t="s">
        <v>3772</v>
      </c>
      <c r="N3099" s="6">
        <f>464</f>
        <v>464</v>
      </c>
      <c r="O3099" s="4" t="s">
        <v>265</v>
      </c>
      <c r="P3099" s="6">
        <f>1</f>
        <v>1</v>
      </c>
      <c r="Q3099" s="6">
        <f>0</f>
        <v>0</v>
      </c>
      <c r="S3099" s="6">
        <f>0</f>
        <v>0</v>
      </c>
      <c r="T3099" s="6">
        <f>1</f>
        <v>1</v>
      </c>
      <c r="U3099" s="5" t="s">
        <v>245</v>
      </c>
      <c r="V3099" s="4" t="s">
        <v>270</v>
      </c>
      <c r="W3099" s="4" t="s">
        <v>271</v>
      </c>
      <c r="X3099" s="4" t="s">
        <v>273</v>
      </c>
      <c r="Y3099" s="4" t="s">
        <v>241</v>
      </c>
      <c r="AB3099" s="4" t="s">
        <v>241</v>
      </c>
      <c r="AD3099" s="5" t="s">
        <v>241</v>
      </c>
      <c r="AG3099" s="5" t="s">
        <v>246</v>
      </c>
      <c r="AH3099" s="4" t="s">
        <v>241</v>
      </c>
      <c r="AI3099" s="4" t="s">
        <v>247</v>
      </c>
      <c r="AJ3099" s="4" t="s">
        <v>248</v>
      </c>
      <c r="AZ3099" s="4" t="s">
        <v>249</v>
      </c>
      <c r="BA3099" s="4" t="s">
        <v>241</v>
      </c>
      <c r="BB3099" s="4" t="s">
        <v>250</v>
      </c>
      <c r="BC3099" s="4" t="s">
        <v>241</v>
      </c>
      <c r="BD3099" s="4" t="s">
        <v>252</v>
      </c>
      <c r="BE3099" s="4" t="s">
        <v>241</v>
      </c>
      <c r="BI3099" s="4" t="s">
        <v>253</v>
      </c>
      <c r="BJ3099" s="5" t="s">
        <v>246</v>
      </c>
      <c r="BK3099" s="4" t="s">
        <v>254</v>
      </c>
      <c r="BL3099" s="4" t="s">
        <v>255</v>
      </c>
      <c r="BM3099" s="4" t="s">
        <v>241</v>
      </c>
      <c r="BN3099" s="6">
        <f>0</f>
        <v>0</v>
      </c>
      <c r="BO3099" s="6">
        <f>0</f>
        <v>0</v>
      </c>
      <c r="BP3099" s="4" t="s">
        <v>256</v>
      </c>
      <c r="BQ3099" s="4" t="s">
        <v>257</v>
      </c>
      <c r="CE3099" s="4" t="s">
        <v>241</v>
      </c>
      <c r="CF3099" s="4" t="s">
        <v>241</v>
      </c>
      <c r="CJ3099" s="4" t="s">
        <v>276</v>
      </c>
      <c r="CK3099" s="4" t="s">
        <v>259</v>
      </c>
      <c r="CL3099" s="4" t="s">
        <v>241</v>
      </c>
      <c r="CO3099" s="5" t="s">
        <v>260</v>
      </c>
      <c r="CP3099" s="4" t="s">
        <v>241</v>
      </c>
      <c r="CQ3099" s="4" t="s">
        <v>261</v>
      </c>
      <c r="CR3099" s="4" t="s">
        <v>241</v>
      </c>
      <c r="CS3099" s="4" t="s">
        <v>241</v>
      </c>
      <c r="CT3099" s="4">
        <v>0</v>
      </c>
      <c r="CU3099" s="4" t="s">
        <v>262</v>
      </c>
      <c r="CV3099" s="4" t="s">
        <v>263</v>
      </c>
      <c r="CW3099" s="4" t="s">
        <v>263</v>
      </c>
      <c r="CX3099" s="4" t="s">
        <v>264</v>
      </c>
      <c r="DA3099" s="6">
        <f>1</f>
        <v>1</v>
      </c>
      <c r="DC3099" s="4" t="s">
        <v>325</v>
      </c>
      <c r="DD3099" s="4" t="s">
        <v>241</v>
      </c>
      <c r="DF3099" s="4" t="s">
        <v>325</v>
      </c>
      <c r="DG3099" s="6">
        <f>464</f>
        <v>464</v>
      </c>
      <c r="DI3099" s="4" t="s">
        <v>241</v>
      </c>
      <c r="DJ3099" s="4" t="s">
        <v>241</v>
      </c>
      <c r="DK3099" s="4" t="s">
        <v>241</v>
      </c>
      <c r="DL3099" s="4" t="s">
        <v>241</v>
      </c>
      <c r="DP3099" s="4" t="s">
        <v>241</v>
      </c>
      <c r="DQ3099" s="4" t="s">
        <v>241</v>
      </c>
      <c r="DR3099" s="4" t="s">
        <v>241</v>
      </c>
      <c r="DS3099" s="4" t="s">
        <v>241</v>
      </c>
      <c r="DV3099" s="4" t="s">
        <v>426</v>
      </c>
      <c r="DW3099" s="4" t="s">
        <v>1226</v>
      </c>
      <c r="HO3099" s="4" t="s">
        <v>267</v>
      </c>
    </row>
    <row r="3100" spans="1:223" ht="19.5" customHeight="1" x14ac:dyDescent="0.4">
      <c r="A3100" s="4">
        <v>1</v>
      </c>
      <c r="B3100" s="4" t="s">
        <v>239</v>
      </c>
      <c r="C3100" s="4">
        <v>4803</v>
      </c>
      <c r="D3100" s="4">
        <v>1</v>
      </c>
      <c r="E3100" s="4">
        <v>1</v>
      </c>
      <c r="F3100" s="4" t="s">
        <v>268</v>
      </c>
      <c r="G3100" s="4" t="s">
        <v>241</v>
      </c>
      <c r="H3100" s="4" t="s">
        <v>241</v>
      </c>
      <c r="I3100" s="4" t="s">
        <v>424</v>
      </c>
      <c r="J3100" s="4" t="s">
        <v>274</v>
      </c>
      <c r="K3100" s="4" t="s">
        <v>251</v>
      </c>
      <c r="L3100" s="4" t="s">
        <v>423</v>
      </c>
      <c r="M3100" s="5" t="s">
        <v>3764</v>
      </c>
      <c r="N3100" s="6">
        <f>677</f>
        <v>677</v>
      </c>
      <c r="O3100" s="4" t="s">
        <v>265</v>
      </c>
      <c r="P3100" s="6">
        <f>1</f>
        <v>1</v>
      </c>
      <c r="Q3100" s="6">
        <f>0</f>
        <v>0</v>
      </c>
      <c r="S3100" s="6">
        <f>0</f>
        <v>0</v>
      </c>
      <c r="T3100" s="6">
        <f>1</f>
        <v>1</v>
      </c>
      <c r="U3100" s="5" t="s">
        <v>245</v>
      </c>
      <c r="V3100" s="4" t="s">
        <v>270</v>
      </c>
      <c r="W3100" s="4" t="s">
        <v>271</v>
      </c>
      <c r="X3100" s="4" t="s">
        <v>273</v>
      </c>
      <c r="Y3100" s="4" t="s">
        <v>241</v>
      </c>
      <c r="AB3100" s="4" t="s">
        <v>241</v>
      </c>
      <c r="AD3100" s="5" t="s">
        <v>241</v>
      </c>
      <c r="AG3100" s="5" t="s">
        <v>246</v>
      </c>
      <c r="AH3100" s="4" t="s">
        <v>241</v>
      </c>
      <c r="AI3100" s="4" t="s">
        <v>247</v>
      </c>
      <c r="AJ3100" s="4" t="s">
        <v>248</v>
      </c>
      <c r="AZ3100" s="4" t="s">
        <v>249</v>
      </c>
      <c r="BA3100" s="4" t="s">
        <v>241</v>
      </c>
      <c r="BB3100" s="4" t="s">
        <v>250</v>
      </c>
      <c r="BC3100" s="4" t="s">
        <v>241</v>
      </c>
      <c r="BD3100" s="4" t="s">
        <v>252</v>
      </c>
      <c r="BE3100" s="4" t="s">
        <v>241</v>
      </c>
      <c r="BI3100" s="4" t="s">
        <v>253</v>
      </c>
      <c r="BJ3100" s="5" t="s">
        <v>246</v>
      </c>
      <c r="BK3100" s="4" t="s">
        <v>254</v>
      </c>
      <c r="BL3100" s="4" t="s">
        <v>255</v>
      </c>
      <c r="BM3100" s="4" t="s">
        <v>241</v>
      </c>
      <c r="BN3100" s="6">
        <f>0</f>
        <v>0</v>
      </c>
      <c r="BO3100" s="6">
        <f>0</f>
        <v>0</v>
      </c>
      <c r="BP3100" s="4" t="s">
        <v>256</v>
      </c>
      <c r="BQ3100" s="4" t="s">
        <v>257</v>
      </c>
      <c r="CE3100" s="4" t="s">
        <v>241</v>
      </c>
      <c r="CF3100" s="4" t="s">
        <v>241</v>
      </c>
      <c r="CJ3100" s="4" t="s">
        <v>276</v>
      </c>
      <c r="CK3100" s="4" t="s">
        <v>259</v>
      </c>
      <c r="CL3100" s="4" t="s">
        <v>241</v>
      </c>
      <c r="CO3100" s="5" t="s">
        <v>260</v>
      </c>
      <c r="CP3100" s="4" t="s">
        <v>241</v>
      </c>
      <c r="CQ3100" s="4" t="s">
        <v>261</v>
      </c>
      <c r="CR3100" s="4" t="s">
        <v>241</v>
      </c>
      <c r="CS3100" s="4" t="s">
        <v>241</v>
      </c>
      <c r="CT3100" s="4">
        <v>0</v>
      </c>
      <c r="CU3100" s="4" t="s">
        <v>262</v>
      </c>
      <c r="CV3100" s="4" t="s">
        <v>263</v>
      </c>
      <c r="CW3100" s="4" t="s">
        <v>263</v>
      </c>
      <c r="CX3100" s="4" t="s">
        <v>264</v>
      </c>
      <c r="DA3100" s="6">
        <f>1</f>
        <v>1</v>
      </c>
      <c r="DC3100" s="4" t="s">
        <v>325</v>
      </c>
      <c r="DD3100" s="4" t="s">
        <v>241</v>
      </c>
      <c r="DF3100" s="4" t="s">
        <v>325</v>
      </c>
      <c r="DG3100" s="6">
        <f>677</f>
        <v>677</v>
      </c>
      <c r="DI3100" s="4" t="s">
        <v>241</v>
      </c>
      <c r="DJ3100" s="4" t="s">
        <v>241</v>
      </c>
      <c r="DK3100" s="4" t="s">
        <v>241</v>
      </c>
      <c r="DL3100" s="4" t="s">
        <v>241</v>
      </c>
      <c r="DP3100" s="4" t="s">
        <v>241</v>
      </c>
      <c r="DQ3100" s="4" t="s">
        <v>241</v>
      </c>
      <c r="DR3100" s="4" t="s">
        <v>241</v>
      </c>
      <c r="DS3100" s="4" t="s">
        <v>241</v>
      </c>
      <c r="DV3100" s="4" t="s">
        <v>426</v>
      </c>
      <c r="DW3100" s="4" t="s">
        <v>1368</v>
      </c>
      <c r="HO3100" s="4" t="s">
        <v>267</v>
      </c>
    </row>
    <row r="3101" spans="1:223" ht="19.5" customHeight="1" x14ac:dyDescent="0.4">
      <c r="A3101" s="4">
        <v>1</v>
      </c>
      <c r="B3101" s="4" t="s">
        <v>239</v>
      </c>
      <c r="C3101" s="4">
        <v>4804</v>
      </c>
      <c r="D3101" s="4">
        <v>1</v>
      </c>
      <c r="E3101" s="4">
        <v>1</v>
      </c>
      <c r="F3101" s="4" t="s">
        <v>268</v>
      </c>
      <c r="G3101" s="4" t="s">
        <v>241</v>
      </c>
      <c r="H3101" s="4" t="s">
        <v>241</v>
      </c>
      <c r="I3101" s="4" t="s">
        <v>424</v>
      </c>
      <c r="J3101" s="4" t="s">
        <v>274</v>
      </c>
      <c r="K3101" s="4" t="s">
        <v>251</v>
      </c>
      <c r="L3101" s="4" t="s">
        <v>423</v>
      </c>
      <c r="M3101" s="5" t="s">
        <v>3762</v>
      </c>
      <c r="N3101" s="6">
        <f>80</f>
        <v>80</v>
      </c>
      <c r="O3101" s="4" t="s">
        <v>265</v>
      </c>
      <c r="P3101" s="6">
        <f>1</f>
        <v>1</v>
      </c>
      <c r="Q3101" s="6">
        <f>0</f>
        <v>0</v>
      </c>
      <c r="S3101" s="6">
        <f>0</f>
        <v>0</v>
      </c>
      <c r="T3101" s="6">
        <f>1</f>
        <v>1</v>
      </c>
      <c r="U3101" s="5" t="s">
        <v>245</v>
      </c>
      <c r="V3101" s="4" t="s">
        <v>270</v>
      </c>
      <c r="W3101" s="4" t="s">
        <v>271</v>
      </c>
      <c r="X3101" s="4" t="s">
        <v>273</v>
      </c>
      <c r="Y3101" s="4" t="s">
        <v>241</v>
      </c>
      <c r="AB3101" s="4" t="s">
        <v>241</v>
      </c>
      <c r="AD3101" s="5" t="s">
        <v>241</v>
      </c>
      <c r="AG3101" s="5" t="s">
        <v>246</v>
      </c>
      <c r="AH3101" s="4" t="s">
        <v>241</v>
      </c>
      <c r="AI3101" s="4" t="s">
        <v>247</v>
      </c>
      <c r="AJ3101" s="4" t="s">
        <v>248</v>
      </c>
      <c r="AZ3101" s="4" t="s">
        <v>249</v>
      </c>
      <c r="BA3101" s="4" t="s">
        <v>241</v>
      </c>
      <c r="BB3101" s="4" t="s">
        <v>250</v>
      </c>
      <c r="BC3101" s="4" t="s">
        <v>241</v>
      </c>
      <c r="BD3101" s="4" t="s">
        <v>252</v>
      </c>
      <c r="BE3101" s="4" t="s">
        <v>241</v>
      </c>
      <c r="BI3101" s="4" t="s">
        <v>253</v>
      </c>
      <c r="BJ3101" s="5" t="s">
        <v>246</v>
      </c>
      <c r="BK3101" s="4" t="s">
        <v>254</v>
      </c>
      <c r="BL3101" s="4" t="s">
        <v>255</v>
      </c>
      <c r="BM3101" s="4" t="s">
        <v>241</v>
      </c>
      <c r="BN3101" s="6">
        <f>0</f>
        <v>0</v>
      </c>
      <c r="BO3101" s="6">
        <f>0</f>
        <v>0</v>
      </c>
      <c r="BP3101" s="4" t="s">
        <v>256</v>
      </c>
      <c r="BQ3101" s="4" t="s">
        <v>257</v>
      </c>
      <c r="CE3101" s="4" t="s">
        <v>241</v>
      </c>
      <c r="CF3101" s="4" t="s">
        <v>241</v>
      </c>
      <c r="CJ3101" s="4" t="s">
        <v>276</v>
      </c>
      <c r="CK3101" s="4" t="s">
        <v>259</v>
      </c>
      <c r="CL3101" s="4" t="s">
        <v>241</v>
      </c>
      <c r="CO3101" s="5" t="s">
        <v>260</v>
      </c>
      <c r="CP3101" s="4" t="s">
        <v>241</v>
      </c>
      <c r="CQ3101" s="4" t="s">
        <v>261</v>
      </c>
      <c r="CR3101" s="4" t="s">
        <v>241</v>
      </c>
      <c r="CS3101" s="4" t="s">
        <v>241</v>
      </c>
      <c r="CT3101" s="4">
        <v>0</v>
      </c>
      <c r="CU3101" s="4" t="s">
        <v>262</v>
      </c>
      <c r="CV3101" s="4" t="s">
        <v>263</v>
      </c>
      <c r="CW3101" s="4" t="s">
        <v>263</v>
      </c>
      <c r="CX3101" s="4" t="s">
        <v>264</v>
      </c>
      <c r="DA3101" s="6">
        <f>1</f>
        <v>1</v>
      </c>
      <c r="DC3101" s="4" t="s">
        <v>325</v>
      </c>
      <c r="DD3101" s="4" t="s">
        <v>241</v>
      </c>
      <c r="DF3101" s="4" t="s">
        <v>325</v>
      </c>
      <c r="DG3101" s="6">
        <f>80</f>
        <v>80</v>
      </c>
      <c r="DI3101" s="4" t="s">
        <v>241</v>
      </c>
      <c r="DJ3101" s="4" t="s">
        <v>241</v>
      </c>
      <c r="DK3101" s="4" t="s">
        <v>241</v>
      </c>
      <c r="DL3101" s="4" t="s">
        <v>241</v>
      </c>
      <c r="DP3101" s="4" t="s">
        <v>241</v>
      </c>
      <c r="DQ3101" s="4" t="s">
        <v>241</v>
      </c>
      <c r="DR3101" s="4" t="s">
        <v>241</v>
      </c>
      <c r="DS3101" s="4" t="s">
        <v>241</v>
      </c>
      <c r="DV3101" s="4" t="s">
        <v>426</v>
      </c>
      <c r="DW3101" s="4" t="s">
        <v>1263</v>
      </c>
      <c r="HO3101" s="4" t="s">
        <v>267</v>
      </c>
    </row>
    <row r="3102" spans="1:223" ht="19.5" customHeight="1" x14ac:dyDescent="0.4">
      <c r="A3102" s="4">
        <v>1</v>
      </c>
      <c r="B3102" s="4" t="s">
        <v>239</v>
      </c>
      <c r="C3102" s="4">
        <v>4805</v>
      </c>
      <c r="D3102" s="4">
        <v>1</v>
      </c>
      <c r="E3102" s="4">
        <v>1</v>
      </c>
      <c r="F3102" s="4" t="s">
        <v>268</v>
      </c>
      <c r="G3102" s="4" t="s">
        <v>241</v>
      </c>
      <c r="H3102" s="4" t="s">
        <v>241</v>
      </c>
      <c r="I3102" s="4" t="s">
        <v>424</v>
      </c>
      <c r="J3102" s="4" t="s">
        <v>274</v>
      </c>
      <c r="K3102" s="4" t="s">
        <v>251</v>
      </c>
      <c r="L3102" s="4" t="s">
        <v>423</v>
      </c>
      <c r="M3102" s="5" t="s">
        <v>4855</v>
      </c>
      <c r="N3102" s="6">
        <f>73</f>
        <v>73</v>
      </c>
      <c r="O3102" s="4" t="s">
        <v>265</v>
      </c>
      <c r="P3102" s="6">
        <f>1</f>
        <v>1</v>
      </c>
      <c r="Q3102" s="6">
        <f>0</f>
        <v>0</v>
      </c>
      <c r="S3102" s="6">
        <f>0</f>
        <v>0</v>
      </c>
      <c r="T3102" s="6">
        <f>1</f>
        <v>1</v>
      </c>
      <c r="U3102" s="5" t="s">
        <v>245</v>
      </c>
      <c r="V3102" s="4" t="s">
        <v>270</v>
      </c>
      <c r="W3102" s="4" t="s">
        <v>271</v>
      </c>
      <c r="X3102" s="4" t="s">
        <v>273</v>
      </c>
      <c r="Y3102" s="4" t="s">
        <v>241</v>
      </c>
      <c r="AB3102" s="4" t="s">
        <v>241</v>
      </c>
      <c r="AD3102" s="5" t="s">
        <v>241</v>
      </c>
      <c r="AG3102" s="5" t="s">
        <v>246</v>
      </c>
      <c r="AH3102" s="4" t="s">
        <v>241</v>
      </c>
      <c r="AI3102" s="4" t="s">
        <v>247</v>
      </c>
      <c r="AJ3102" s="4" t="s">
        <v>248</v>
      </c>
      <c r="AZ3102" s="4" t="s">
        <v>249</v>
      </c>
      <c r="BA3102" s="4" t="s">
        <v>241</v>
      </c>
      <c r="BB3102" s="4" t="s">
        <v>250</v>
      </c>
      <c r="BC3102" s="4" t="s">
        <v>241</v>
      </c>
      <c r="BD3102" s="4" t="s">
        <v>252</v>
      </c>
      <c r="BE3102" s="4" t="s">
        <v>241</v>
      </c>
      <c r="BI3102" s="4" t="s">
        <v>253</v>
      </c>
      <c r="BJ3102" s="5" t="s">
        <v>246</v>
      </c>
      <c r="BK3102" s="4" t="s">
        <v>254</v>
      </c>
      <c r="BL3102" s="4" t="s">
        <v>255</v>
      </c>
      <c r="BM3102" s="4" t="s">
        <v>241</v>
      </c>
      <c r="BN3102" s="6">
        <f>0</f>
        <v>0</v>
      </c>
      <c r="BO3102" s="6">
        <f>0</f>
        <v>0</v>
      </c>
      <c r="BP3102" s="4" t="s">
        <v>256</v>
      </c>
      <c r="BQ3102" s="4" t="s">
        <v>257</v>
      </c>
      <c r="CE3102" s="4" t="s">
        <v>241</v>
      </c>
      <c r="CF3102" s="4" t="s">
        <v>241</v>
      </c>
      <c r="CJ3102" s="4" t="s">
        <v>276</v>
      </c>
      <c r="CK3102" s="4" t="s">
        <v>259</v>
      </c>
      <c r="CL3102" s="4" t="s">
        <v>241</v>
      </c>
      <c r="CO3102" s="5" t="s">
        <v>260</v>
      </c>
      <c r="CP3102" s="4" t="s">
        <v>241</v>
      </c>
      <c r="CQ3102" s="4" t="s">
        <v>261</v>
      </c>
      <c r="CR3102" s="4" t="s">
        <v>241</v>
      </c>
      <c r="CS3102" s="4" t="s">
        <v>241</v>
      </c>
      <c r="CT3102" s="4">
        <v>0</v>
      </c>
      <c r="CU3102" s="4" t="s">
        <v>262</v>
      </c>
      <c r="CV3102" s="4" t="s">
        <v>263</v>
      </c>
      <c r="CW3102" s="4" t="s">
        <v>263</v>
      </c>
      <c r="CX3102" s="4" t="s">
        <v>264</v>
      </c>
      <c r="DA3102" s="6">
        <f>1</f>
        <v>1</v>
      </c>
      <c r="DC3102" s="4" t="s">
        <v>325</v>
      </c>
      <c r="DD3102" s="4" t="s">
        <v>241</v>
      </c>
      <c r="DF3102" s="4" t="s">
        <v>325</v>
      </c>
      <c r="DG3102" s="6">
        <f>73</f>
        <v>73</v>
      </c>
      <c r="DI3102" s="4" t="s">
        <v>241</v>
      </c>
      <c r="DJ3102" s="4" t="s">
        <v>241</v>
      </c>
      <c r="DK3102" s="4" t="s">
        <v>241</v>
      </c>
      <c r="DL3102" s="4" t="s">
        <v>241</v>
      </c>
      <c r="DP3102" s="4" t="s">
        <v>241</v>
      </c>
      <c r="DQ3102" s="4" t="s">
        <v>241</v>
      </c>
      <c r="DR3102" s="4" t="s">
        <v>241</v>
      </c>
      <c r="DS3102" s="4" t="s">
        <v>241</v>
      </c>
      <c r="DV3102" s="4" t="s">
        <v>426</v>
      </c>
      <c r="DW3102" s="4" t="s">
        <v>1279</v>
      </c>
      <c r="HO3102" s="4" t="s">
        <v>267</v>
      </c>
    </row>
    <row r="3103" spans="1:223" ht="19.5" customHeight="1" x14ac:dyDescent="0.4">
      <c r="A3103" s="4">
        <v>1</v>
      </c>
      <c r="B3103" s="4" t="s">
        <v>239</v>
      </c>
      <c r="C3103" s="4">
        <v>4806</v>
      </c>
      <c r="D3103" s="4">
        <v>1</v>
      </c>
      <c r="E3103" s="4">
        <v>1</v>
      </c>
      <c r="F3103" s="4" t="s">
        <v>268</v>
      </c>
      <c r="G3103" s="4" t="s">
        <v>241</v>
      </c>
      <c r="H3103" s="4" t="s">
        <v>241</v>
      </c>
      <c r="I3103" s="4" t="s">
        <v>424</v>
      </c>
      <c r="J3103" s="4" t="s">
        <v>274</v>
      </c>
      <c r="K3103" s="4" t="s">
        <v>251</v>
      </c>
      <c r="L3103" s="4" t="s">
        <v>423</v>
      </c>
      <c r="M3103" s="5" t="s">
        <v>4853</v>
      </c>
      <c r="N3103" s="6">
        <f>159</f>
        <v>159</v>
      </c>
      <c r="O3103" s="4" t="s">
        <v>265</v>
      </c>
      <c r="P3103" s="6">
        <f>1</f>
        <v>1</v>
      </c>
      <c r="Q3103" s="6">
        <f>0</f>
        <v>0</v>
      </c>
      <c r="S3103" s="6">
        <f>0</f>
        <v>0</v>
      </c>
      <c r="T3103" s="6">
        <f>1</f>
        <v>1</v>
      </c>
      <c r="U3103" s="5" t="s">
        <v>245</v>
      </c>
      <c r="V3103" s="4" t="s">
        <v>270</v>
      </c>
      <c r="W3103" s="4" t="s">
        <v>271</v>
      </c>
      <c r="X3103" s="4" t="s">
        <v>273</v>
      </c>
      <c r="Y3103" s="4" t="s">
        <v>241</v>
      </c>
      <c r="AB3103" s="4" t="s">
        <v>241</v>
      </c>
      <c r="AD3103" s="5" t="s">
        <v>241</v>
      </c>
      <c r="AG3103" s="5" t="s">
        <v>246</v>
      </c>
      <c r="AH3103" s="4" t="s">
        <v>241</v>
      </c>
      <c r="AI3103" s="4" t="s">
        <v>247</v>
      </c>
      <c r="AJ3103" s="4" t="s">
        <v>248</v>
      </c>
      <c r="AZ3103" s="4" t="s">
        <v>249</v>
      </c>
      <c r="BA3103" s="4" t="s">
        <v>241</v>
      </c>
      <c r="BB3103" s="4" t="s">
        <v>250</v>
      </c>
      <c r="BC3103" s="4" t="s">
        <v>241</v>
      </c>
      <c r="BD3103" s="4" t="s">
        <v>252</v>
      </c>
      <c r="BE3103" s="4" t="s">
        <v>241</v>
      </c>
      <c r="BI3103" s="4" t="s">
        <v>253</v>
      </c>
      <c r="BJ3103" s="5" t="s">
        <v>246</v>
      </c>
      <c r="BK3103" s="4" t="s">
        <v>254</v>
      </c>
      <c r="BL3103" s="4" t="s">
        <v>255</v>
      </c>
      <c r="BM3103" s="4" t="s">
        <v>241</v>
      </c>
      <c r="BN3103" s="6">
        <f>0</f>
        <v>0</v>
      </c>
      <c r="BO3103" s="6">
        <f>0</f>
        <v>0</v>
      </c>
      <c r="BP3103" s="4" t="s">
        <v>256</v>
      </c>
      <c r="BQ3103" s="4" t="s">
        <v>257</v>
      </c>
      <c r="CE3103" s="4" t="s">
        <v>241</v>
      </c>
      <c r="CF3103" s="4" t="s">
        <v>241</v>
      </c>
      <c r="CJ3103" s="4" t="s">
        <v>276</v>
      </c>
      <c r="CK3103" s="4" t="s">
        <v>259</v>
      </c>
      <c r="CL3103" s="4" t="s">
        <v>241</v>
      </c>
      <c r="CO3103" s="5" t="s">
        <v>260</v>
      </c>
      <c r="CP3103" s="4" t="s">
        <v>241</v>
      </c>
      <c r="CQ3103" s="4" t="s">
        <v>261</v>
      </c>
      <c r="CR3103" s="4" t="s">
        <v>241</v>
      </c>
      <c r="CS3103" s="4" t="s">
        <v>241</v>
      </c>
      <c r="CT3103" s="4">
        <v>0</v>
      </c>
      <c r="CU3103" s="4" t="s">
        <v>262</v>
      </c>
      <c r="CV3103" s="4" t="s">
        <v>263</v>
      </c>
      <c r="CW3103" s="4" t="s">
        <v>263</v>
      </c>
      <c r="CX3103" s="4" t="s">
        <v>264</v>
      </c>
      <c r="DA3103" s="6">
        <f>1</f>
        <v>1</v>
      </c>
      <c r="DC3103" s="4" t="s">
        <v>325</v>
      </c>
      <c r="DD3103" s="4" t="s">
        <v>241</v>
      </c>
      <c r="DF3103" s="4" t="s">
        <v>325</v>
      </c>
      <c r="DG3103" s="6">
        <f>159</f>
        <v>159</v>
      </c>
      <c r="DI3103" s="4" t="s">
        <v>241</v>
      </c>
      <c r="DJ3103" s="4" t="s">
        <v>241</v>
      </c>
      <c r="DK3103" s="4" t="s">
        <v>241</v>
      </c>
      <c r="DL3103" s="4" t="s">
        <v>241</v>
      </c>
      <c r="DP3103" s="4" t="s">
        <v>241</v>
      </c>
      <c r="DQ3103" s="4" t="s">
        <v>241</v>
      </c>
      <c r="DR3103" s="4" t="s">
        <v>241</v>
      </c>
      <c r="DS3103" s="4" t="s">
        <v>241</v>
      </c>
      <c r="DV3103" s="4" t="s">
        <v>426</v>
      </c>
      <c r="DW3103" s="4" t="s">
        <v>1095</v>
      </c>
      <c r="HO3103" s="4" t="s">
        <v>267</v>
      </c>
    </row>
    <row r="3104" spans="1:223" ht="19.5" customHeight="1" x14ac:dyDescent="0.4">
      <c r="A3104" s="4">
        <v>1</v>
      </c>
      <c r="B3104" s="4" t="s">
        <v>239</v>
      </c>
      <c r="C3104" s="4">
        <v>4807</v>
      </c>
      <c r="D3104" s="4">
        <v>1</v>
      </c>
      <c r="E3104" s="4">
        <v>1</v>
      </c>
      <c r="F3104" s="4" t="s">
        <v>268</v>
      </c>
      <c r="G3104" s="4" t="s">
        <v>241</v>
      </c>
      <c r="H3104" s="4" t="s">
        <v>241</v>
      </c>
      <c r="I3104" s="4" t="s">
        <v>424</v>
      </c>
      <c r="J3104" s="4" t="s">
        <v>274</v>
      </c>
      <c r="K3104" s="4" t="s">
        <v>251</v>
      </c>
      <c r="L3104" s="4" t="s">
        <v>423</v>
      </c>
      <c r="M3104" s="5" t="s">
        <v>4150</v>
      </c>
      <c r="N3104" s="6">
        <f>176</f>
        <v>176</v>
      </c>
      <c r="O3104" s="4" t="s">
        <v>265</v>
      </c>
      <c r="P3104" s="6">
        <f>1</f>
        <v>1</v>
      </c>
      <c r="Q3104" s="6">
        <f>0</f>
        <v>0</v>
      </c>
      <c r="S3104" s="6">
        <f>0</f>
        <v>0</v>
      </c>
      <c r="T3104" s="6">
        <f>1</f>
        <v>1</v>
      </c>
      <c r="U3104" s="5" t="s">
        <v>245</v>
      </c>
      <c r="V3104" s="4" t="s">
        <v>270</v>
      </c>
      <c r="W3104" s="4" t="s">
        <v>271</v>
      </c>
      <c r="X3104" s="4" t="s">
        <v>273</v>
      </c>
      <c r="Y3104" s="4" t="s">
        <v>241</v>
      </c>
      <c r="AB3104" s="4" t="s">
        <v>241</v>
      </c>
      <c r="AD3104" s="5" t="s">
        <v>241</v>
      </c>
      <c r="AG3104" s="5" t="s">
        <v>246</v>
      </c>
      <c r="AH3104" s="4" t="s">
        <v>241</v>
      </c>
      <c r="AI3104" s="4" t="s">
        <v>247</v>
      </c>
      <c r="AJ3104" s="4" t="s">
        <v>248</v>
      </c>
      <c r="AZ3104" s="4" t="s">
        <v>249</v>
      </c>
      <c r="BA3104" s="4" t="s">
        <v>241</v>
      </c>
      <c r="BB3104" s="4" t="s">
        <v>250</v>
      </c>
      <c r="BC3104" s="4" t="s">
        <v>241</v>
      </c>
      <c r="BD3104" s="4" t="s">
        <v>252</v>
      </c>
      <c r="BE3104" s="4" t="s">
        <v>241</v>
      </c>
      <c r="BI3104" s="4" t="s">
        <v>253</v>
      </c>
      <c r="BJ3104" s="5" t="s">
        <v>246</v>
      </c>
      <c r="BK3104" s="4" t="s">
        <v>254</v>
      </c>
      <c r="BL3104" s="4" t="s">
        <v>255</v>
      </c>
      <c r="BM3104" s="4" t="s">
        <v>241</v>
      </c>
      <c r="BN3104" s="6">
        <f>0</f>
        <v>0</v>
      </c>
      <c r="BO3104" s="6">
        <f>0</f>
        <v>0</v>
      </c>
      <c r="BP3104" s="4" t="s">
        <v>256</v>
      </c>
      <c r="BQ3104" s="4" t="s">
        <v>257</v>
      </c>
      <c r="CE3104" s="4" t="s">
        <v>241</v>
      </c>
      <c r="CF3104" s="4" t="s">
        <v>241</v>
      </c>
      <c r="CJ3104" s="4" t="s">
        <v>276</v>
      </c>
      <c r="CK3104" s="4" t="s">
        <v>259</v>
      </c>
      <c r="CL3104" s="4" t="s">
        <v>241</v>
      </c>
      <c r="CO3104" s="5" t="s">
        <v>260</v>
      </c>
      <c r="CP3104" s="4" t="s">
        <v>241</v>
      </c>
      <c r="CQ3104" s="4" t="s">
        <v>261</v>
      </c>
      <c r="CR3104" s="4" t="s">
        <v>241</v>
      </c>
      <c r="CS3104" s="4" t="s">
        <v>241</v>
      </c>
      <c r="CT3104" s="4">
        <v>0</v>
      </c>
      <c r="CU3104" s="4" t="s">
        <v>262</v>
      </c>
      <c r="CV3104" s="4" t="s">
        <v>263</v>
      </c>
      <c r="CW3104" s="4" t="s">
        <v>263</v>
      </c>
      <c r="CX3104" s="4" t="s">
        <v>264</v>
      </c>
      <c r="DA3104" s="6">
        <f>1</f>
        <v>1</v>
      </c>
      <c r="DC3104" s="4" t="s">
        <v>325</v>
      </c>
      <c r="DD3104" s="4" t="s">
        <v>241</v>
      </c>
      <c r="DF3104" s="4" t="s">
        <v>325</v>
      </c>
      <c r="DG3104" s="6">
        <f>176</f>
        <v>176</v>
      </c>
      <c r="DI3104" s="4" t="s">
        <v>241</v>
      </c>
      <c r="DJ3104" s="4" t="s">
        <v>241</v>
      </c>
      <c r="DK3104" s="4" t="s">
        <v>241</v>
      </c>
      <c r="DL3104" s="4" t="s">
        <v>241</v>
      </c>
      <c r="DP3104" s="4" t="s">
        <v>241</v>
      </c>
      <c r="DQ3104" s="4" t="s">
        <v>241</v>
      </c>
      <c r="DR3104" s="4" t="s">
        <v>241</v>
      </c>
      <c r="DS3104" s="4" t="s">
        <v>241</v>
      </c>
      <c r="DV3104" s="4" t="s">
        <v>426</v>
      </c>
      <c r="DW3104" s="4" t="s">
        <v>1343</v>
      </c>
      <c r="HO3104" s="4" t="s">
        <v>267</v>
      </c>
    </row>
    <row r="3105" spans="1:223" ht="19.5" customHeight="1" x14ac:dyDescent="0.4">
      <c r="A3105" s="4">
        <v>1</v>
      </c>
      <c r="B3105" s="4" t="s">
        <v>239</v>
      </c>
      <c r="C3105" s="4">
        <v>4808</v>
      </c>
      <c r="D3105" s="4">
        <v>1</v>
      </c>
      <c r="E3105" s="4">
        <v>1</v>
      </c>
      <c r="F3105" s="4" t="s">
        <v>268</v>
      </c>
      <c r="G3105" s="4" t="s">
        <v>241</v>
      </c>
      <c r="H3105" s="4" t="s">
        <v>241</v>
      </c>
      <c r="I3105" s="4" t="s">
        <v>424</v>
      </c>
      <c r="J3105" s="4" t="s">
        <v>274</v>
      </c>
      <c r="K3105" s="4" t="s">
        <v>251</v>
      </c>
      <c r="L3105" s="4" t="s">
        <v>423</v>
      </c>
      <c r="M3105" s="5" t="s">
        <v>3745</v>
      </c>
      <c r="N3105" s="6">
        <f>837</f>
        <v>837</v>
      </c>
      <c r="O3105" s="4" t="s">
        <v>265</v>
      </c>
      <c r="P3105" s="6">
        <f>1</f>
        <v>1</v>
      </c>
      <c r="Q3105" s="6">
        <f>0</f>
        <v>0</v>
      </c>
      <c r="S3105" s="6">
        <f>0</f>
        <v>0</v>
      </c>
      <c r="T3105" s="6">
        <f>1</f>
        <v>1</v>
      </c>
      <c r="U3105" s="5" t="s">
        <v>245</v>
      </c>
      <c r="V3105" s="4" t="s">
        <v>270</v>
      </c>
      <c r="W3105" s="4" t="s">
        <v>271</v>
      </c>
      <c r="X3105" s="4" t="s">
        <v>273</v>
      </c>
      <c r="Y3105" s="4" t="s">
        <v>241</v>
      </c>
      <c r="AB3105" s="4" t="s">
        <v>241</v>
      </c>
      <c r="AD3105" s="5" t="s">
        <v>241</v>
      </c>
      <c r="AG3105" s="5" t="s">
        <v>246</v>
      </c>
      <c r="AH3105" s="4" t="s">
        <v>241</v>
      </c>
      <c r="AI3105" s="4" t="s">
        <v>247</v>
      </c>
      <c r="AJ3105" s="4" t="s">
        <v>248</v>
      </c>
      <c r="AZ3105" s="4" t="s">
        <v>249</v>
      </c>
      <c r="BA3105" s="4" t="s">
        <v>241</v>
      </c>
      <c r="BB3105" s="4" t="s">
        <v>250</v>
      </c>
      <c r="BC3105" s="4" t="s">
        <v>241</v>
      </c>
      <c r="BD3105" s="4" t="s">
        <v>252</v>
      </c>
      <c r="BE3105" s="4" t="s">
        <v>241</v>
      </c>
      <c r="BI3105" s="4" t="s">
        <v>253</v>
      </c>
      <c r="BJ3105" s="5" t="s">
        <v>246</v>
      </c>
      <c r="BK3105" s="4" t="s">
        <v>254</v>
      </c>
      <c r="BL3105" s="4" t="s">
        <v>255</v>
      </c>
      <c r="BM3105" s="4" t="s">
        <v>241</v>
      </c>
      <c r="BN3105" s="6">
        <f>0</f>
        <v>0</v>
      </c>
      <c r="BO3105" s="6">
        <f>0</f>
        <v>0</v>
      </c>
      <c r="BP3105" s="4" t="s">
        <v>256</v>
      </c>
      <c r="BQ3105" s="4" t="s">
        <v>257</v>
      </c>
      <c r="CE3105" s="4" t="s">
        <v>241</v>
      </c>
      <c r="CF3105" s="4" t="s">
        <v>241</v>
      </c>
      <c r="CJ3105" s="4" t="s">
        <v>276</v>
      </c>
      <c r="CK3105" s="4" t="s">
        <v>259</v>
      </c>
      <c r="CL3105" s="4" t="s">
        <v>241</v>
      </c>
      <c r="CO3105" s="5" t="s">
        <v>260</v>
      </c>
      <c r="CP3105" s="4" t="s">
        <v>241</v>
      </c>
      <c r="CQ3105" s="4" t="s">
        <v>261</v>
      </c>
      <c r="CR3105" s="4" t="s">
        <v>241</v>
      </c>
      <c r="CS3105" s="4" t="s">
        <v>241</v>
      </c>
      <c r="CT3105" s="4">
        <v>0</v>
      </c>
      <c r="CU3105" s="4" t="s">
        <v>262</v>
      </c>
      <c r="CV3105" s="4" t="s">
        <v>263</v>
      </c>
      <c r="CW3105" s="4" t="s">
        <v>263</v>
      </c>
      <c r="CX3105" s="4" t="s">
        <v>264</v>
      </c>
      <c r="DA3105" s="6">
        <f>1</f>
        <v>1</v>
      </c>
      <c r="DC3105" s="4" t="s">
        <v>325</v>
      </c>
      <c r="DD3105" s="4" t="s">
        <v>241</v>
      </c>
      <c r="DF3105" s="4" t="s">
        <v>325</v>
      </c>
      <c r="DG3105" s="6">
        <f>837</f>
        <v>837</v>
      </c>
      <c r="DI3105" s="4" t="s">
        <v>241</v>
      </c>
      <c r="DJ3105" s="4" t="s">
        <v>241</v>
      </c>
      <c r="DK3105" s="4" t="s">
        <v>241</v>
      </c>
      <c r="DL3105" s="4" t="s">
        <v>241</v>
      </c>
      <c r="DP3105" s="4" t="s">
        <v>241</v>
      </c>
      <c r="DQ3105" s="4" t="s">
        <v>241</v>
      </c>
      <c r="DR3105" s="4" t="s">
        <v>241</v>
      </c>
      <c r="DS3105" s="4" t="s">
        <v>241</v>
      </c>
      <c r="DV3105" s="4" t="s">
        <v>426</v>
      </c>
      <c r="DW3105" s="4" t="s">
        <v>3746</v>
      </c>
      <c r="HO3105" s="4" t="s">
        <v>267</v>
      </c>
    </row>
    <row r="3106" spans="1:223" ht="19.5" customHeight="1" x14ac:dyDescent="0.4">
      <c r="A3106" s="4">
        <v>1</v>
      </c>
      <c r="B3106" s="4" t="s">
        <v>239</v>
      </c>
      <c r="C3106" s="4">
        <v>4809</v>
      </c>
      <c r="D3106" s="4">
        <v>1</v>
      </c>
      <c r="E3106" s="4">
        <v>1</v>
      </c>
      <c r="F3106" s="4" t="s">
        <v>268</v>
      </c>
      <c r="G3106" s="4" t="s">
        <v>241</v>
      </c>
      <c r="H3106" s="4" t="s">
        <v>241</v>
      </c>
      <c r="I3106" s="4" t="s">
        <v>424</v>
      </c>
      <c r="J3106" s="4" t="s">
        <v>274</v>
      </c>
      <c r="K3106" s="4" t="s">
        <v>251</v>
      </c>
      <c r="L3106" s="4" t="s">
        <v>423</v>
      </c>
      <c r="M3106" s="5" t="s">
        <v>3741</v>
      </c>
      <c r="N3106" s="6">
        <f>228</f>
        <v>228</v>
      </c>
      <c r="O3106" s="4" t="s">
        <v>265</v>
      </c>
      <c r="P3106" s="6">
        <f>1</f>
        <v>1</v>
      </c>
      <c r="Q3106" s="6">
        <f>0</f>
        <v>0</v>
      </c>
      <c r="S3106" s="6">
        <f>0</f>
        <v>0</v>
      </c>
      <c r="T3106" s="6">
        <f>1</f>
        <v>1</v>
      </c>
      <c r="U3106" s="5" t="s">
        <v>245</v>
      </c>
      <c r="V3106" s="4" t="s">
        <v>270</v>
      </c>
      <c r="W3106" s="4" t="s">
        <v>271</v>
      </c>
      <c r="X3106" s="4" t="s">
        <v>273</v>
      </c>
      <c r="Y3106" s="4" t="s">
        <v>241</v>
      </c>
      <c r="AB3106" s="4" t="s">
        <v>241</v>
      </c>
      <c r="AD3106" s="5" t="s">
        <v>241</v>
      </c>
      <c r="AG3106" s="5" t="s">
        <v>246</v>
      </c>
      <c r="AH3106" s="4" t="s">
        <v>241</v>
      </c>
      <c r="AI3106" s="4" t="s">
        <v>247</v>
      </c>
      <c r="AJ3106" s="4" t="s">
        <v>248</v>
      </c>
      <c r="AZ3106" s="4" t="s">
        <v>249</v>
      </c>
      <c r="BA3106" s="4" t="s">
        <v>241</v>
      </c>
      <c r="BB3106" s="4" t="s">
        <v>250</v>
      </c>
      <c r="BC3106" s="4" t="s">
        <v>241</v>
      </c>
      <c r="BD3106" s="4" t="s">
        <v>252</v>
      </c>
      <c r="BE3106" s="4" t="s">
        <v>241</v>
      </c>
      <c r="BI3106" s="4" t="s">
        <v>253</v>
      </c>
      <c r="BJ3106" s="5" t="s">
        <v>246</v>
      </c>
      <c r="BK3106" s="4" t="s">
        <v>254</v>
      </c>
      <c r="BL3106" s="4" t="s">
        <v>255</v>
      </c>
      <c r="BM3106" s="4" t="s">
        <v>241</v>
      </c>
      <c r="BN3106" s="6">
        <f>0</f>
        <v>0</v>
      </c>
      <c r="BO3106" s="6">
        <f>0</f>
        <v>0</v>
      </c>
      <c r="BP3106" s="4" t="s">
        <v>256</v>
      </c>
      <c r="BQ3106" s="4" t="s">
        <v>257</v>
      </c>
      <c r="CE3106" s="4" t="s">
        <v>241</v>
      </c>
      <c r="CF3106" s="4" t="s">
        <v>241</v>
      </c>
      <c r="CJ3106" s="4" t="s">
        <v>276</v>
      </c>
      <c r="CK3106" s="4" t="s">
        <v>259</v>
      </c>
      <c r="CL3106" s="4" t="s">
        <v>241</v>
      </c>
      <c r="CO3106" s="5" t="s">
        <v>260</v>
      </c>
      <c r="CP3106" s="4" t="s">
        <v>241</v>
      </c>
      <c r="CQ3106" s="4" t="s">
        <v>261</v>
      </c>
      <c r="CR3106" s="4" t="s">
        <v>241</v>
      </c>
      <c r="CS3106" s="4" t="s">
        <v>241</v>
      </c>
      <c r="CT3106" s="4">
        <v>0</v>
      </c>
      <c r="CU3106" s="4" t="s">
        <v>262</v>
      </c>
      <c r="CV3106" s="4" t="s">
        <v>263</v>
      </c>
      <c r="CW3106" s="4" t="s">
        <v>263</v>
      </c>
      <c r="CX3106" s="4" t="s">
        <v>264</v>
      </c>
      <c r="DA3106" s="6">
        <f>1</f>
        <v>1</v>
      </c>
      <c r="DC3106" s="4" t="s">
        <v>325</v>
      </c>
      <c r="DD3106" s="4" t="s">
        <v>241</v>
      </c>
      <c r="DF3106" s="4" t="s">
        <v>325</v>
      </c>
      <c r="DG3106" s="6">
        <f>228</f>
        <v>228</v>
      </c>
      <c r="DI3106" s="4" t="s">
        <v>241</v>
      </c>
      <c r="DJ3106" s="4" t="s">
        <v>241</v>
      </c>
      <c r="DK3106" s="4" t="s">
        <v>241</v>
      </c>
      <c r="DL3106" s="4" t="s">
        <v>241</v>
      </c>
      <c r="DP3106" s="4" t="s">
        <v>241</v>
      </c>
      <c r="DQ3106" s="4" t="s">
        <v>241</v>
      </c>
      <c r="DR3106" s="4" t="s">
        <v>241</v>
      </c>
      <c r="DS3106" s="4" t="s">
        <v>241</v>
      </c>
      <c r="DV3106" s="4" t="s">
        <v>426</v>
      </c>
      <c r="DW3106" s="4" t="s">
        <v>1211</v>
      </c>
      <c r="HO3106" s="4" t="s">
        <v>267</v>
      </c>
    </row>
    <row r="3107" spans="1:223" ht="19.5" customHeight="1" x14ac:dyDescent="0.4">
      <c r="A3107" s="4">
        <v>1</v>
      </c>
      <c r="B3107" s="4" t="s">
        <v>239</v>
      </c>
      <c r="C3107" s="4">
        <v>4810</v>
      </c>
      <c r="D3107" s="4">
        <v>1</v>
      </c>
      <c r="E3107" s="4">
        <v>1</v>
      </c>
      <c r="F3107" s="4" t="s">
        <v>268</v>
      </c>
      <c r="G3107" s="4" t="s">
        <v>241</v>
      </c>
      <c r="H3107" s="4" t="s">
        <v>241</v>
      </c>
      <c r="I3107" s="4" t="s">
        <v>424</v>
      </c>
      <c r="J3107" s="4" t="s">
        <v>274</v>
      </c>
      <c r="K3107" s="4" t="s">
        <v>251</v>
      </c>
      <c r="L3107" s="4" t="s">
        <v>423</v>
      </c>
      <c r="M3107" s="5" t="s">
        <v>3738</v>
      </c>
      <c r="N3107" s="6">
        <f>128</f>
        <v>128</v>
      </c>
      <c r="O3107" s="4" t="s">
        <v>265</v>
      </c>
      <c r="P3107" s="6">
        <f>1</f>
        <v>1</v>
      </c>
      <c r="Q3107" s="6">
        <f>0</f>
        <v>0</v>
      </c>
      <c r="S3107" s="6">
        <f>0</f>
        <v>0</v>
      </c>
      <c r="T3107" s="6">
        <f>1</f>
        <v>1</v>
      </c>
      <c r="U3107" s="5" t="s">
        <v>245</v>
      </c>
      <c r="V3107" s="4" t="s">
        <v>270</v>
      </c>
      <c r="W3107" s="4" t="s">
        <v>271</v>
      </c>
      <c r="X3107" s="4" t="s">
        <v>273</v>
      </c>
      <c r="Y3107" s="4" t="s">
        <v>241</v>
      </c>
      <c r="AB3107" s="4" t="s">
        <v>241</v>
      </c>
      <c r="AD3107" s="5" t="s">
        <v>241</v>
      </c>
      <c r="AG3107" s="5" t="s">
        <v>246</v>
      </c>
      <c r="AH3107" s="4" t="s">
        <v>241</v>
      </c>
      <c r="AI3107" s="4" t="s">
        <v>247</v>
      </c>
      <c r="AJ3107" s="4" t="s">
        <v>248</v>
      </c>
      <c r="AZ3107" s="4" t="s">
        <v>249</v>
      </c>
      <c r="BA3107" s="4" t="s">
        <v>241</v>
      </c>
      <c r="BB3107" s="4" t="s">
        <v>250</v>
      </c>
      <c r="BC3107" s="4" t="s">
        <v>241</v>
      </c>
      <c r="BD3107" s="4" t="s">
        <v>252</v>
      </c>
      <c r="BE3107" s="4" t="s">
        <v>241</v>
      </c>
      <c r="BI3107" s="4" t="s">
        <v>253</v>
      </c>
      <c r="BJ3107" s="5" t="s">
        <v>246</v>
      </c>
      <c r="BK3107" s="4" t="s">
        <v>254</v>
      </c>
      <c r="BL3107" s="4" t="s">
        <v>255</v>
      </c>
      <c r="BM3107" s="4" t="s">
        <v>241</v>
      </c>
      <c r="BN3107" s="6">
        <f>0</f>
        <v>0</v>
      </c>
      <c r="BO3107" s="6">
        <f>0</f>
        <v>0</v>
      </c>
      <c r="BP3107" s="4" t="s">
        <v>256</v>
      </c>
      <c r="BQ3107" s="4" t="s">
        <v>257</v>
      </c>
      <c r="CE3107" s="4" t="s">
        <v>241</v>
      </c>
      <c r="CF3107" s="4" t="s">
        <v>241</v>
      </c>
      <c r="CJ3107" s="4" t="s">
        <v>276</v>
      </c>
      <c r="CK3107" s="4" t="s">
        <v>259</v>
      </c>
      <c r="CL3107" s="4" t="s">
        <v>241</v>
      </c>
      <c r="CO3107" s="5" t="s">
        <v>260</v>
      </c>
      <c r="CP3107" s="4" t="s">
        <v>241</v>
      </c>
      <c r="CQ3107" s="4" t="s">
        <v>261</v>
      </c>
      <c r="CR3107" s="4" t="s">
        <v>241</v>
      </c>
      <c r="CS3107" s="4" t="s">
        <v>241</v>
      </c>
      <c r="CT3107" s="4">
        <v>0</v>
      </c>
      <c r="CU3107" s="4" t="s">
        <v>262</v>
      </c>
      <c r="CV3107" s="4" t="s">
        <v>263</v>
      </c>
      <c r="CW3107" s="4" t="s">
        <v>263</v>
      </c>
      <c r="CX3107" s="4" t="s">
        <v>264</v>
      </c>
      <c r="DA3107" s="6">
        <f>1</f>
        <v>1</v>
      </c>
      <c r="DC3107" s="4" t="s">
        <v>325</v>
      </c>
      <c r="DD3107" s="4" t="s">
        <v>241</v>
      </c>
      <c r="DF3107" s="4" t="s">
        <v>325</v>
      </c>
      <c r="DG3107" s="6">
        <f>128</f>
        <v>128</v>
      </c>
      <c r="DI3107" s="4" t="s">
        <v>241</v>
      </c>
      <c r="DJ3107" s="4" t="s">
        <v>241</v>
      </c>
      <c r="DK3107" s="4" t="s">
        <v>241</v>
      </c>
      <c r="DL3107" s="4" t="s">
        <v>241</v>
      </c>
      <c r="DP3107" s="4" t="s">
        <v>241</v>
      </c>
      <c r="DQ3107" s="4" t="s">
        <v>241</v>
      </c>
      <c r="DR3107" s="4" t="s">
        <v>241</v>
      </c>
      <c r="DS3107" s="4" t="s">
        <v>241</v>
      </c>
      <c r="DV3107" s="4" t="s">
        <v>426</v>
      </c>
      <c r="DW3107" s="4" t="s">
        <v>1062</v>
      </c>
      <c r="HO3107" s="4" t="s">
        <v>267</v>
      </c>
    </row>
    <row r="3108" spans="1:223" ht="19.5" customHeight="1" x14ac:dyDescent="0.4">
      <c r="A3108" s="4">
        <v>1</v>
      </c>
      <c r="B3108" s="4" t="s">
        <v>239</v>
      </c>
      <c r="C3108" s="4">
        <v>4811</v>
      </c>
      <c r="D3108" s="4">
        <v>1</v>
      </c>
      <c r="E3108" s="4">
        <v>1</v>
      </c>
      <c r="F3108" s="4" t="s">
        <v>268</v>
      </c>
      <c r="G3108" s="4" t="s">
        <v>241</v>
      </c>
      <c r="H3108" s="4" t="s">
        <v>241</v>
      </c>
      <c r="I3108" s="4" t="s">
        <v>424</v>
      </c>
      <c r="J3108" s="4" t="s">
        <v>274</v>
      </c>
      <c r="K3108" s="4" t="s">
        <v>251</v>
      </c>
      <c r="L3108" s="4" t="s">
        <v>423</v>
      </c>
      <c r="M3108" s="5" t="s">
        <v>3731</v>
      </c>
      <c r="N3108" s="6">
        <f>388</f>
        <v>388</v>
      </c>
      <c r="O3108" s="4" t="s">
        <v>265</v>
      </c>
      <c r="P3108" s="6">
        <f>1</f>
        <v>1</v>
      </c>
      <c r="Q3108" s="6">
        <f>0</f>
        <v>0</v>
      </c>
      <c r="S3108" s="6">
        <f>0</f>
        <v>0</v>
      </c>
      <c r="T3108" s="6">
        <f>1</f>
        <v>1</v>
      </c>
      <c r="U3108" s="5" t="s">
        <v>245</v>
      </c>
      <c r="V3108" s="4" t="s">
        <v>270</v>
      </c>
      <c r="W3108" s="4" t="s">
        <v>271</v>
      </c>
      <c r="X3108" s="4" t="s">
        <v>273</v>
      </c>
      <c r="Y3108" s="4" t="s">
        <v>241</v>
      </c>
      <c r="AB3108" s="4" t="s">
        <v>241</v>
      </c>
      <c r="AD3108" s="5" t="s">
        <v>241</v>
      </c>
      <c r="AG3108" s="5" t="s">
        <v>246</v>
      </c>
      <c r="AH3108" s="4" t="s">
        <v>241</v>
      </c>
      <c r="AI3108" s="4" t="s">
        <v>247</v>
      </c>
      <c r="AJ3108" s="4" t="s">
        <v>248</v>
      </c>
      <c r="AZ3108" s="4" t="s">
        <v>249</v>
      </c>
      <c r="BA3108" s="4" t="s">
        <v>241</v>
      </c>
      <c r="BB3108" s="4" t="s">
        <v>250</v>
      </c>
      <c r="BC3108" s="4" t="s">
        <v>241</v>
      </c>
      <c r="BD3108" s="4" t="s">
        <v>252</v>
      </c>
      <c r="BE3108" s="4" t="s">
        <v>241</v>
      </c>
      <c r="BI3108" s="4" t="s">
        <v>253</v>
      </c>
      <c r="BJ3108" s="5" t="s">
        <v>246</v>
      </c>
      <c r="BK3108" s="4" t="s">
        <v>254</v>
      </c>
      <c r="BL3108" s="4" t="s">
        <v>255</v>
      </c>
      <c r="BM3108" s="4" t="s">
        <v>241</v>
      </c>
      <c r="BN3108" s="6">
        <f>0</f>
        <v>0</v>
      </c>
      <c r="BO3108" s="6">
        <f>0</f>
        <v>0</v>
      </c>
      <c r="BP3108" s="4" t="s">
        <v>256</v>
      </c>
      <c r="BQ3108" s="4" t="s">
        <v>257</v>
      </c>
      <c r="CE3108" s="4" t="s">
        <v>241</v>
      </c>
      <c r="CF3108" s="4" t="s">
        <v>241</v>
      </c>
      <c r="CJ3108" s="4" t="s">
        <v>276</v>
      </c>
      <c r="CK3108" s="4" t="s">
        <v>259</v>
      </c>
      <c r="CL3108" s="4" t="s">
        <v>241</v>
      </c>
      <c r="CO3108" s="5" t="s">
        <v>260</v>
      </c>
      <c r="CP3108" s="4" t="s">
        <v>241</v>
      </c>
      <c r="CQ3108" s="4" t="s">
        <v>261</v>
      </c>
      <c r="CR3108" s="4" t="s">
        <v>241</v>
      </c>
      <c r="CS3108" s="4" t="s">
        <v>241</v>
      </c>
      <c r="CT3108" s="4">
        <v>0</v>
      </c>
      <c r="CU3108" s="4" t="s">
        <v>262</v>
      </c>
      <c r="CV3108" s="4" t="s">
        <v>263</v>
      </c>
      <c r="CW3108" s="4" t="s">
        <v>263</v>
      </c>
      <c r="CX3108" s="4" t="s">
        <v>264</v>
      </c>
      <c r="DA3108" s="6">
        <f>1</f>
        <v>1</v>
      </c>
      <c r="DC3108" s="4" t="s">
        <v>325</v>
      </c>
      <c r="DD3108" s="4" t="s">
        <v>241</v>
      </c>
      <c r="DF3108" s="4" t="s">
        <v>325</v>
      </c>
      <c r="DG3108" s="6">
        <f>388</f>
        <v>388</v>
      </c>
      <c r="DI3108" s="4" t="s">
        <v>241</v>
      </c>
      <c r="DJ3108" s="4" t="s">
        <v>241</v>
      </c>
      <c r="DK3108" s="4" t="s">
        <v>241</v>
      </c>
      <c r="DL3108" s="4" t="s">
        <v>241</v>
      </c>
      <c r="DP3108" s="4" t="s">
        <v>241</v>
      </c>
      <c r="DQ3108" s="4" t="s">
        <v>241</v>
      </c>
      <c r="DR3108" s="4" t="s">
        <v>241</v>
      </c>
      <c r="DS3108" s="4" t="s">
        <v>241</v>
      </c>
      <c r="DV3108" s="4" t="s">
        <v>426</v>
      </c>
      <c r="DW3108" s="4" t="s">
        <v>1216</v>
      </c>
      <c r="HO3108" s="4" t="s">
        <v>267</v>
      </c>
    </row>
    <row r="3109" spans="1:223" ht="19.5" customHeight="1" x14ac:dyDescent="0.4">
      <c r="A3109" s="4">
        <v>1</v>
      </c>
      <c r="B3109" s="4" t="s">
        <v>239</v>
      </c>
      <c r="C3109" s="4">
        <v>4812</v>
      </c>
      <c r="D3109" s="4">
        <v>1</v>
      </c>
      <c r="E3109" s="4">
        <v>1</v>
      </c>
      <c r="F3109" s="4" t="s">
        <v>268</v>
      </c>
      <c r="G3109" s="4" t="s">
        <v>241</v>
      </c>
      <c r="H3109" s="4" t="s">
        <v>241</v>
      </c>
      <c r="I3109" s="4" t="s">
        <v>424</v>
      </c>
      <c r="J3109" s="4" t="s">
        <v>274</v>
      </c>
      <c r="K3109" s="4" t="s">
        <v>251</v>
      </c>
      <c r="L3109" s="4" t="s">
        <v>423</v>
      </c>
      <c r="M3109" s="5" t="s">
        <v>3729</v>
      </c>
      <c r="N3109" s="6">
        <f>88</f>
        <v>88</v>
      </c>
      <c r="O3109" s="4" t="s">
        <v>265</v>
      </c>
      <c r="P3109" s="6">
        <f>1</f>
        <v>1</v>
      </c>
      <c r="Q3109" s="6">
        <f>0</f>
        <v>0</v>
      </c>
      <c r="S3109" s="6">
        <f>0</f>
        <v>0</v>
      </c>
      <c r="T3109" s="6">
        <f>1</f>
        <v>1</v>
      </c>
      <c r="U3109" s="5" t="s">
        <v>245</v>
      </c>
      <c r="V3109" s="4" t="s">
        <v>270</v>
      </c>
      <c r="W3109" s="4" t="s">
        <v>271</v>
      </c>
      <c r="X3109" s="4" t="s">
        <v>273</v>
      </c>
      <c r="Y3109" s="4" t="s">
        <v>241</v>
      </c>
      <c r="AB3109" s="4" t="s">
        <v>241</v>
      </c>
      <c r="AD3109" s="5" t="s">
        <v>241</v>
      </c>
      <c r="AG3109" s="5" t="s">
        <v>246</v>
      </c>
      <c r="AH3109" s="4" t="s">
        <v>241</v>
      </c>
      <c r="AI3109" s="4" t="s">
        <v>247</v>
      </c>
      <c r="AJ3109" s="4" t="s">
        <v>248</v>
      </c>
      <c r="AZ3109" s="4" t="s">
        <v>249</v>
      </c>
      <c r="BA3109" s="4" t="s">
        <v>241</v>
      </c>
      <c r="BB3109" s="4" t="s">
        <v>250</v>
      </c>
      <c r="BC3109" s="4" t="s">
        <v>241</v>
      </c>
      <c r="BD3109" s="4" t="s">
        <v>252</v>
      </c>
      <c r="BE3109" s="4" t="s">
        <v>241</v>
      </c>
      <c r="BI3109" s="4" t="s">
        <v>253</v>
      </c>
      <c r="BJ3109" s="5" t="s">
        <v>246</v>
      </c>
      <c r="BK3109" s="4" t="s">
        <v>254</v>
      </c>
      <c r="BL3109" s="4" t="s">
        <v>255</v>
      </c>
      <c r="BM3109" s="4" t="s">
        <v>241</v>
      </c>
      <c r="BN3109" s="6">
        <f>0</f>
        <v>0</v>
      </c>
      <c r="BO3109" s="6">
        <f>0</f>
        <v>0</v>
      </c>
      <c r="BP3109" s="4" t="s">
        <v>256</v>
      </c>
      <c r="BQ3109" s="4" t="s">
        <v>257</v>
      </c>
      <c r="CE3109" s="4" t="s">
        <v>241</v>
      </c>
      <c r="CF3109" s="4" t="s">
        <v>241</v>
      </c>
      <c r="CJ3109" s="4" t="s">
        <v>276</v>
      </c>
      <c r="CK3109" s="4" t="s">
        <v>259</v>
      </c>
      <c r="CL3109" s="4" t="s">
        <v>241</v>
      </c>
      <c r="CO3109" s="5" t="s">
        <v>260</v>
      </c>
      <c r="CP3109" s="4" t="s">
        <v>241</v>
      </c>
      <c r="CQ3109" s="4" t="s">
        <v>261</v>
      </c>
      <c r="CR3109" s="4" t="s">
        <v>241</v>
      </c>
      <c r="CS3109" s="4" t="s">
        <v>241</v>
      </c>
      <c r="CT3109" s="4">
        <v>0</v>
      </c>
      <c r="CU3109" s="4" t="s">
        <v>262</v>
      </c>
      <c r="CV3109" s="4" t="s">
        <v>263</v>
      </c>
      <c r="CW3109" s="4" t="s">
        <v>263</v>
      </c>
      <c r="CX3109" s="4" t="s">
        <v>264</v>
      </c>
      <c r="DA3109" s="6">
        <f>1</f>
        <v>1</v>
      </c>
      <c r="DC3109" s="4" t="s">
        <v>325</v>
      </c>
      <c r="DD3109" s="4" t="s">
        <v>241</v>
      </c>
      <c r="DF3109" s="4" t="s">
        <v>325</v>
      </c>
      <c r="DG3109" s="6">
        <f>88</f>
        <v>88</v>
      </c>
      <c r="DI3109" s="4" t="s">
        <v>241</v>
      </c>
      <c r="DJ3109" s="4" t="s">
        <v>241</v>
      </c>
      <c r="DK3109" s="4" t="s">
        <v>241</v>
      </c>
      <c r="DL3109" s="4" t="s">
        <v>241</v>
      </c>
      <c r="DP3109" s="4" t="s">
        <v>241</v>
      </c>
      <c r="DQ3109" s="4" t="s">
        <v>241</v>
      </c>
      <c r="DR3109" s="4" t="s">
        <v>241</v>
      </c>
      <c r="DS3109" s="4" t="s">
        <v>241</v>
      </c>
      <c r="DV3109" s="4" t="s">
        <v>426</v>
      </c>
      <c r="DW3109" s="4" t="s">
        <v>1160</v>
      </c>
      <c r="HO3109" s="4" t="s">
        <v>267</v>
      </c>
    </row>
    <row r="3110" spans="1:223" ht="19.5" customHeight="1" x14ac:dyDescent="0.4">
      <c r="A3110" s="4">
        <v>1</v>
      </c>
      <c r="B3110" s="4" t="s">
        <v>239</v>
      </c>
      <c r="C3110" s="4">
        <v>4813</v>
      </c>
      <c r="D3110" s="4">
        <v>1</v>
      </c>
      <c r="E3110" s="4">
        <v>1</v>
      </c>
      <c r="F3110" s="4" t="s">
        <v>268</v>
      </c>
      <c r="G3110" s="4" t="s">
        <v>241</v>
      </c>
      <c r="H3110" s="4" t="s">
        <v>241</v>
      </c>
      <c r="I3110" s="4" t="s">
        <v>424</v>
      </c>
      <c r="J3110" s="4" t="s">
        <v>274</v>
      </c>
      <c r="K3110" s="4" t="s">
        <v>251</v>
      </c>
      <c r="L3110" s="4" t="s">
        <v>423</v>
      </c>
      <c r="M3110" s="5" t="s">
        <v>3725</v>
      </c>
      <c r="N3110" s="6">
        <f>151</f>
        <v>151</v>
      </c>
      <c r="O3110" s="4" t="s">
        <v>265</v>
      </c>
      <c r="P3110" s="6">
        <f>1</f>
        <v>1</v>
      </c>
      <c r="Q3110" s="6">
        <f>0</f>
        <v>0</v>
      </c>
      <c r="S3110" s="6">
        <f>0</f>
        <v>0</v>
      </c>
      <c r="T3110" s="6">
        <f>1</f>
        <v>1</v>
      </c>
      <c r="U3110" s="5" t="s">
        <v>245</v>
      </c>
      <c r="V3110" s="4" t="s">
        <v>270</v>
      </c>
      <c r="W3110" s="4" t="s">
        <v>271</v>
      </c>
      <c r="X3110" s="4" t="s">
        <v>273</v>
      </c>
      <c r="Y3110" s="4" t="s">
        <v>241</v>
      </c>
      <c r="AB3110" s="4" t="s">
        <v>241</v>
      </c>
      <c r="AD3110" s="5" t="s">
        <v>241</v>
      </c>
      <c r="AG3110" s="5" t="s">
        <v>246</v>
      </c>
      <c r="AH3110" s="4" t="s">
        <v>241</v>
      </c>
      <c r="AI3110" s="4" t="s">
        <v>247</v>
      </c>
      <c r="AJ3110" s="4" t="s">
        <v>248</v>
      </c>
      <c r="AZ3110" s="4" t="s">
        <v>249</v>
      </c>
      <c r="BA3110" s="4" t="s">
        <v>241</v>
      </c>
      <c r="BB3110" s="4" t="s">
        <v>250</v>
      </c>
      <c r="BC3110" s="4" t="s">
        <v>241</v>
      </c>
      <c r="BD3110" s="4" t="s">
        <v>252</v>
      </c>
      <c r="BE3110" s="4" t="s">
        <v>241</v>
      </c>
      <c r="BI3110" s="4" t="s">
        <v>253</v>
      </c>
      <c r="BJ3110" s="5" t="s">
        <v>246</v>
      </c>
      <c r="BK3110" s="4" t="s">
        <v>254</v>
      </c>
      <c r="BL3110" s="4" t="s">
        <v>255</v>
      </c>
      <c r="BM3110" s="4" t="s">
        <v>241</v>
      </c>
      <c r="BN3110" s="6">
        <f>0</f>
        <v>0</v>
      </c>
      <c r="BO3110" s="6">
        <f>0</f>
        <v>0</v>
      </c>
      <c r="BP3110" s="4" t="s">
        <v>256</v>
      </c>
      <c r="BQ3110" s="4" t="s">
        <v>257</v>
      </c>
      <c r="CE3110" s="4" t="s">
        <v>241</v>
      </c>
      <c r="CF3110" s="4" t="s">
        <v>241</v>
      </c>
      <c r="CJ3110" s="4" t="s">
        <v>276</v>
      </c>
      <c r="CK3110" s="4" t="s">
        <v>259</v>
      </c>
      <c r="CL3110" s="4" t="s">
        <v>241</v>
      </c>
      <c r="CO3110" s="5" t="s">
        <v>260</v>
      </c>
      <c r="CP3110" s="4" t="s">
        <v>241</v>
      </c>
      <c r="CQ3110" s="4" t="s">
        <v>261</v>
      </c>
      <c r="CR3110" s="4" t="s">
        <v>241</v>
      </c>
      <c r="CS3110" s="4" t="s">
        <v>241</v>
      </c>
      <c r="CT3110" s="4">
        <v>0</v>
      </c>
      <c r="CU3110" s="4" t="s">
        <v>262</v>
      </c>
      <c r="CV3110" s="4" t="s">
        <v>263</v>
      </c>
      <c r="CW3110" s="4" t="s">
        <v>263</v>
      </c>
      <c r="CX3110" s="4" t="s">
        <v>264</v>
      </c>
      <c r="DA3110" s="6">
        <f>1</f>
        <v>1</v>
      </c>
      <c r="DC3110" s="4" t="s">
        <v>325</v>
      </c>
      <c r="DD3110" s="4" t="s">
        <v>241</v>
      </c>
      <c r="DF3110" s="4" t="s">
        <v>325</v>
      </c>
      <c r="DG3110" s="6">
        <f>151</f>
        <v>151</v>
      </c>
      <c r="DI3110" s="4" t="s">
        <v>241</v>
      </c>
      <c r="DJ3110" s="4" t="s">
        <v>241</v>
      </c>
      <c r="DK3110" s="4" t="s">
        <v>241</v>
      </c>
      <c r="DL3110" s="4" t="s">
        <v>241</v>
      </c>
      <c r="DP3110" s="4" t="s">
        <v>241</v>
      </c>
      <c r="DQ3110" s="4" t="s">
        <v>241</v>
      </c>
      <c r="DR3110" s="4" t="s">
        <v>241</v>
      </c>
      <c r="DS3110" s="4" t="s">
        <v>241</v>
      </c>
      <c r="DV3110" s="4" t="s">
        <v>426</v>
      </c>
      <c r="DW3110" s="4" t="s">
        <v>393</v>
      </c>
      <c r="HO3110" s="4" t="s">
        <v>267</v>
      </c>
    </row>
    <row r="3111" spans="1:223" ht="19.5" customHeight="1" x14ac:dyDescent="0.4">
      <c r="A3111" s="4">
        <v>1</v>
      </c>
      <c r="B3111" s="4" t="s">
        <v>239</v>
      </c>
      <c r="C3111" s="4">
        <v>4814</v>
      </c>
      <c r="D3111" s="4">
        <v>1</v>
      </c>
      <c r="E3111" s="4">
        <v>1</v>
      </c>
      <c r="F3111" s="4" t="s">
        <v>268</v>
      </c>
      <c r="G3111" s="4" t="s">
        <v>241</v>
      </c>
      <c r="H3111" s="4" t="s">
        <v>241</v>
      </c>
      <c r="I3111" s="4" t="s">
        <v>424</v>
      </c>
      <c r="J3111" s="4" t="s">
        <v>274</v>
      </c>
      <c r="K3111" s="4" t="s">
        <v>251</v>
      </c>
      <c r="L3111" s="4" t="s">
        <v>423</v>
      </c>
      <c r="M3111" s="5" t="s">
        <v>3720</v>
      </c>
      <c r="N3111" s="6">
        <f>152</f>
        <v>152</v>
      </c>
      <c r="O3111" s="4" t="s">
        <v>265</v>
      </c>
      <c r="P3111" s="6">
        <f>1</f>
        <v>1</v>
      </c>
      <c r="Q3111" s="6">
        <f>0</f>
        <v>0</v>
      </c>
      <c r="S3111" s="6">
        <f>0</f>
        <v>0</v>
      </c>
      <c r="T3111" s="6">
        <f>1</f>
        <v>1</v>
      </c>
      <c r="U3111" s="5" t="s">
        <v>245</v>
      </c>
      <c r="V3111" s="4" t="s">
        <v>270</v>
      </c>
      <c r="W3111" s="4" t="s">
        <v>271</v>
      </c>
      <c r="X3111" s="4" t="s">
        <v>273</v>
      </c>
      <c r="Y3111" s="4" t="s">
        <v>241</v>
      </c>
      <c r="AB3111" s="4" t="s">
        <v>241</v>
      </c>
      <c r="AD3111" s="5" t="s">
        <v>241</v>
      </c>
      <c r="AG3111" s="5" t="s">
        <v>246</v>
      </c>
      <c r="AH3111" s="4" t="s">
        <v>241</v>
      </c>
      <c r="AI3111" s="4" t="s">
        <v>247</v>
      </c>
      <c r="AJ3111" s="4" t="s">
        <v>248</v>
      </c>
      <c r="AZ3111" s="4" t="s">
        <v>249</v>
      </c>
      <c r="BA3111" s="4" t="s">
        <v>241</v>
      </c>
      <c r="BB3111" s="4" t="s">
        <v>250</v>
      </c>
      <c r="BC3111" s="4" t="s">
        <v>241</v>
      </c>
      <c r="BD3111" s="4" t="s">
        <v>252</v>
      </c>
      <c r="BE3111" s="4" t="s">
        <v>241</v>
      </c>
      <c r="BI3111" s="4" t="s">
        <v>253</v>
      </c>
      <c r="BJ3111" s="5" t="s">
        <v>246</v>
      </c>
      <c r="BK3111" s="4" t="s">
        <v>254</v>
      </c>
      <c r="BL3111" s="4" t="s">
        <v>255</v>
      </c>
      <c r="BM3111" s="4" t="s">
        <v>241</v>
      </c>
      <c r="BN3111" s="6">
        <f>0</f>
        <v>0</v>
      </c>
      <c r="BO3111" s="6">
        <f>0</f>
        <v>0</v>
      </c>
      <c r="BP3111" s="4" t="s">
        <v>256</v>
      </c>
      <c r="BQ3111" s="4" t="s">
        <v>257</v>
      </c>
      <c r="CE3111" s="4" t="s">
        <v>241</v>
      </c>
      <c r="CF3111" s="4" t="s">
        <v>241</v>
      </c>
      <c r="CJ3111" s="4" t="s">
        <v>276</v>
      </c>
      <c r="CK3111" s="4" t="s">
        <v>259</v>
      </c>
      <c r="CL3111" s="4" t="s">
        <v>241</v>
      </c>
      <c r="CO3111" s="5" t="s">
        <v>260</v>
      </c>
      <c r="CP3111" s="4" t="s">
        <v>241</v>
      </c>
      <c r="CQ3111" s="4" t="s">
        <v>261</v>
      </c>
      <c r="CR3111" s="4" t="s">
        <v>241</v>
      </c>
      <c r="CS3111" s="4" t="s">
        <v>241</v>
      </c>
      <c r="CT3111" s="4">
        <v>0</v>
      </c>
      <c r="CU3111" s="4" t="s">
        <v>262</v>
      </c>
      <c r="CV3111" s="4" t="s">
        <v>263</v>
      </c>
      <c r="CW3111" s="4" t="s">
        <v>263</v>
      </c>
      <c r="CX3111" s="4" t="s">
        <v>264</v>
      </c>
      <c r="DA3111" s="6">
        <f>1</f>
        <v>1</v>
      </c>
      <c r="DC3111" s="4" t="s">
        <v>325</v>
      </c>
      <c r="DD3111" s="4" t="s">
        <v>241</v>
      </c>
      <c r="DF3111" s="4" t="s">
        <v>325</v>
      </c>
      <c r="DG3111" s="6">
        <f>152</f>
        <v>152</v>
      </c>
      <c r="DI3111" s="4" t="s">
        <v>241</v>
      </c>
      <c r="DJ3111" s="4" t="s">
        <v>241</v>
      </c>
      <c r="DK3111" s="4" t="s">
        <v>241</v>
      </c>
      <c r="DL3111" s="4" t="s">
        <v>241</v>
      </c>
      <c r="DP3111" s="4" t="s">
        <v>241</v>
      </c>
      <c r="DQ3111" s="4" t="s">
        <v>241</v>
      </c>
      <c r="DR3111" s="4" t="s">
        <v>241</v>
      </c>
      <c r="DS3111" s="4" t="s">
        <v>241</v>
      </c>
      <c r="DV3111" s="4" t="s">
        <v>426</v>
      </c>
      <c r="DW3111" s="4" t="s">
        <v>409</v>
      </c>
      <c r="HO3111" s="4" t="s">
        <v>267</v>
      </c>
    </row>
    <row r="3112" spans="1:223" ht="19.5" customHeight="1" x14ac:dyDescent="0.4">
      <c r="A3112" s="4">
        <v>1</v>
      </c>
      <c r="B3112" s="4" t="s">
        <v>239</v>
      </c>
      <c r="C3112" s="4">
        <v>4815</v>
      </c>
      <c r="D3112" s="4">
        <v>1</v>
      </c>
      <c r="E3112" s="4">
        <v>1</v>
      </c>
      <c r="F3112" s="4" t="s">
        <v>268</v>
      </c>
      <c r="G3112" s="4" t="s">
        <v>241</v>
      </c>
      <c r="H3112" s="4" t="s">
        <v>241</v>
      </c>
      <c r="I3112" s="4" t="s">
        <v>424</v>
      </c>
      <c r="J3112" s="4" t="s">
        <v>274</v>
      </c>
      <c r="K3112" s="4" t="s">
        <v>251</v>
      </c>
      <c r="L3112" s="4" t="s">
        <v>423</v>
      </c>
      <c r="M3112" s="5" t="s">
        <v>3716</v>
      </c>
      <c r="N3112" s="6">
        <f>3424</f>
        <v>3424</v>
      </c>
      <c r="O3112" s="4" t="s">
        <v>265</v>
      </c>
      <c r="P3112" s="6">
        <f>1</f>
        <v>1</v>
      </c>
      <c r="Q3112" s="6">
        <f>0</f>
        <v>0</v>
      </c>
      <c r="S3112" s="6">
        <f>0</f>
        <v>0</v>
      </c>
      <c r="T3112" s="6">
        <f>1</f>
        <v>1</v>
      </c>
      <c r="U3112" s="5" t="s">
        <v>245</v>
      </c>
      <c r="V3112" s="4" t="s">
        <v>270</v>
      </c>
      <c r="W3112" s="4" t="s">
        <v>271</v>
      </c>
      <c r="X3112" s="4" t="s">
        <v>273</v>
      </c>
      <c r="Y3112" s="4" t="s">
        <v>241</v>
      </c>
      <c r="AB3112" s="4" t="s">
        <v>241</v>
      </c>
      <c r="AD3112" s="5" t="s">
        <v>241</v>
      </c>
      <c r="AG3112" s="5" t="s">
        <v>246</v>
      </c>
      <c r="AH3112" s="4" t="s">
        <v>241</v>
      </c>
      <c r="AI3112" s="4" t="s">
        <v>247</v>
      </c>
      <c r="AJ3112" s="4" t="s">
        <v>248</v>
      </c>
      <c r="AZ3112" s="4" t="s">
        <v>249</v>
      </c>
      <c r="BA3112" s="4" t="s">
        <v>241</v>
      </c>
      <c r="BB3112" s="4" t="s">
        <v>250</v>
      </c>
      <c r="BC3112" s="4" t="s">
        <v>241</v>
      </c>
      <c r="BD3112" s="4" t="s">
        <v>252</v>
      </c>
      <c r="BE3112" s="4" t="s">
        <v>241</v>
      </c>
      <c r="BI3112" s="4" t="s">
        <v>253</v>
      </c>
      <c r="BJ3112" s="5" t="s">
        <v>246</v>
      </c>
      <c r="BK3112" s="4" t="s">
        <v>254</v>
      </c>
      <c r="BL3112" s="4" t="s">
        <v>255</v>
      </c>
      <c r="BM3112" s="4" t="s">
        <v>241</v>
      </c>
      <c r="BN3112" s="6">
        <f>0</f>
        <v>0</v>
      </c>
      <c r="BO3112" s="6">
        <f>0</f>
        <v>0</v>
      </c>
      <c r="BP3112" s="4" t="s">
        <v>256</v>
      </c>
      <c r="BQ3112" s="4" t="s">
        <v>257</v>
      </c>
      <c r="CE3112" s="4" t="s">
        <v>241</v>
      </c>
      <c r="CF3112" s="4" t="s">
        <v>241</v>
      </c>
      <c r="CJ3112" s="4" t="s">
        <v>276</v>
      </c>
      <c r="CK3112" s="4" t="s">
        <v>259</v>
      </c>
      <c r="CL3112" s="4" t="s">
        <v>241</v>
      </c>
      <c r="CO3112" s="5" t="s">
        <v>260</v>
      </c>
      <c r="CP3112" s="4" t="s">
        <v>241</v>
      </c>
      <c r="CQ3112" s="4" t="s">
        <v>261</v>
      </c>
      <c r="CR3112" s="4" t="s">
        <v>241</v>
      </c>
      <c r="CS3112" s="4" t="s">
        <v>241</v>
      </c>
      <c r="CT3112" s="4">
        <v>0</v>
      </c>
      <c r="CU3112" s="4" t="s">
        <v>262</v>
      </c>
      <c r="CV3112" s="4" t="s">
        <v>263</v>
      </c>
      <c r="CW3112" s="4" t="s">
        <v>263</v>
      </c>
      <c r="CX3112" s="4" t="s">
        <v>264</v>
      </c>
      <c r="DA3112" s="6">
        <f>1</f>
        <v>1</v>
      </c>
      <c r="DC3112" s="4" t="s">
        <v>325</v>
      </c>
      <c r="DD3112" s="4" t="s">
        <v>241</v>
      </c>
      <c r="DF3112" s="4" t="s">
        <v>325</v>
      </c>
      <c r="DG3112" s="6">
        <f>3424</f>
        <v>3424</v>
      </c>
      <c r="DI3112" s="4" t="s">
        <v>241</v>
      </c>
      <c r="DJ3112" s="4" t="s">
        <v>241</v>
      </c>
      <c r="DK3112" s="4" t="s">
        <v>241</v>
      </c>
      <c r="DL3112" s="4" t="s">
        <v>241</v>
      </c>
      <c r="DP3112" s="4" t="s">
        <v>241</v>
      </c>
      <c r="DQ3112" s="4" t="s">
        <v>241</v>
      </c>
      <c r="DR3112" s="4" t="s">
        <v>241</v>
      </c>
      <c r="DS3112" s="4" t="s">
        <v>241</v>
      </c>
      <c r="DV3112" s="4" t="s">
        <v>426</v>
      </c>
      <c r="DW3112" s="4" t="s">
        <v>1134</v>
      </c>
      <c r="HO3112" s="4" t="s">
        <v>267</v>
      </c>
    </row>
    <row r="3113" spans="1:223" ht="19.5" customHeight="1" x14ac:dyDescent="0.4">
      <c r="A3113" s="4">
        <v>1</v>
      </c>
      <c r="B3113" s="4" t="s">
        <v>239</v>
      </c>
      <c r="C3113" s="4">
        <v>4816</v>
      </c>
      <c r="D3113" s="4">
        <v>1</v>
      </c>
      <c r="E3113" s="4">
        <v>1</v>
      </c>
      <c r="F3113" s="4" t="s">
        <v>268</v>
      </c>
      <c r="G3113" s="4" t="s">
        <v>241</v>
      </c>
      <c r="H3113" s="4" t="s">
        <v>241</v>
      </c>
      <c r="I3113" s="4" t="s">
        <v>424</v>
      </c>
      <c r="J3113" s="4" t="s">
        <v>274</v>
      </c>
      <c r="K3113" s="4" t="s">
        <v>251</v>
      </c>
      <c r="L3113" s="4" t="s">
        <v>423</v>
      </c>
      <c r="M3113" s="5" t="s">
        <v>3714</v>
      </c>
      <c r="N3113" s="6">
        <f>504</f>
        <v>504</v>
      </c>
      <c r="O3113" s="4" t="s">
        <v>265</v>
      </c>
      <c r="P3113" s="6">
        <f>1</f>
        <v>1</v>
      </c>
      <c r="Q3113" s="6">
        <f>0</f>
        <v>0</v>
      </c>
      <c r="S3113" s="6">
        <f>0</f>
        <v>0</v>
      </c>
      <c r="T3113" s="6">
        <f>1</f>
        <v>1</v>
      </c>
      <c r="U3113" s="5" t="s">
        <v>245</v>
      </c>
      <c r="V3113" s="4" t="s">
        <v>270</v>
      </c>
      <c r="W3113" s="4" t="s">
        <v>271</v>
      </c>
      <c r="X3113" s="4" t="s">
        <v>273</v>
      </c>
      <c r="Y3113" s="4" t="s">
        <v>241</v>
      </c>
      <c r="AB3113" s="4" t="s">
        <v>241</v>
      </c>
      <c r="AD3113" s="5" t="s">
        <v>241</v>
      </c>
      <c r="AG3113" s="5" t="s">
        <v>246</v>
      </c>
      <c r="AH3113" s="4" t="s">
        <v>241</v>
      </c>
      <c r="AI3113" s="4" t="s">
        <v>247</v>
      </c>
      <c r="AJ3113" s="4" t="s">
        <v>248</v>
      </c>
      <c r="AZ3113" s="4" t="s">
        <v>249</v>
      </c>
      <c r="BA3113" s="4" t="s">
        <v>241</v>
      </c>
      <c r="BB3113" s="4" t="s">
        <v>250</v>
      </c>
      <c r="BC3113" s="4" t="s">
        <v>241</v>
      </c>
      <c r="BD3113" s="4" t="s">
        <v>252</v>
      </c>
      <c r="BE3113" s="4" t="s">
        <v>241</v>
      </c>
      <c r="BI3113" s="4" t="s">
        <v>253</v>
      </c>
      <c r="BJ3113" s="5" t="s">
        <v>246</v>
      </c>
      <c r="BK3113" s="4" t="s">
        <v>254</v>
      </c>
      <c r="BL3113" s="4" t="s">
        <v>255</v>
      </c>
      <c r="BM3113" s="4" t="s">
        <v>241</v>
      </c>
      <c r="BN3113" s="6">
        <f>0</f>
        <v>0</v>
      </c>
      <c r="BO3113" s="6">
        <f>0</f>
        <v>0</v>
      </c>
      <c r="BP3113" s="4" t="s">
        <v>256</v>
      </c>
      <c r="BQ3113" s="4" t="s">
        <v>257</v>
      </c>
      <c r="CE3113" s="4" t="s">
        <v>241</v>
      </c>
      <c r="CF3113" s="4" t="s">
        <v>241</v>
      </c>
      <c r="CJ3113" s="4" t="s">
        <v>276</v>
      </c>
      <c r="CK3113" s="4" t="s">
        <v>259</v>
      </c>
      <c r="CL3113" s="4" t="s">
        <v>241</v>
      </c>
      <c r="CO3113" s="5" t="s">
        <v>260</v>
      </c>
      <c r="CP3113" s="4" t="s">
        <v>241</v>
      </c>
      <c r="CQ3113" s="4" t="s">
        <v>261</v>
      </c>
      <c r="CR3113" s="4" t="s">
        <v>241</v>
      </c>
      <c r="CS3113" s="4" t="s">
        <v>241</v>
      </c>
      <c r="CT3113" s="4">
        <v>0</v>
      </c>
      <c r="CU3113" s="4" t="s">
        <v>262</v>
      </c>
      <c r="CV3113" s="4" t="s">
        <v>263</v>
      </c>
      <c r="CW3113" s="4" t="s">
        <v>263</v>
      </c>
      <c r="CX3113" s="4" t="s">
        <v>264</v>
      </c>
      <c r="DA3113" s="6">
        <f>1</f>
        <v>1</v>
      </c>
      <c r="DC3113" s="4" t="s">
        <v>325</v>
      </c>
      <c r="DD3113" s="4" t="s">
        <v>241</v>
      </c>
      <c r="DF3113" s="4" t="s">
        <v>325</v>
      </c>
      <c r="DG3113" s="6">
        <f>504</f>
        <v>504</v>
      </c>
      <c r="DI3113" s="4" t="s">
        <v>241</v>
      </c>
      <c r="DJ3113" s="4" t="s">
        <v>241</v>
      </c>
      <c r="DK3113" s="4" t="s">
        <v>241</v>
      </c>
      <c r="DL3113" s="4" t="s">
        <v>241</v>
      </c>
      <c r="DP3113" s="4" t="s">
        <v>241</v>
      </c>
      <c r="DQ3113" s="4" t="s">
        <v>241</v>
      </c>
      <c r="DR3113" s="4" t="s">
        <v>241</v>
      </c>
      <c r="DS3113" s="4" t="s">
        <v>241</v>
      </c>
      <c r="DV3113" s="4" t="s">
        <v>426</v>
      </c>
      <c r="DW3113" s="4" t="s">
        <v>1322</v>
      </c>
      <c r="HO3113" s="4" t="s">
        <v>267</v>
      </c>
    </row>
    <row r="3114" spans="1:223" ht="19.5" customHeight="1" x14ac:dyDescent="0.4">
      <c r="A3114" s="4">
        <v>1</v>
      </c>
      <c r="B3114" s="4" t="s">
        <v>239</v>
      </c>
      <c r="C3114" s="4">
        <v>4817</v>
      </c>
      <c r="D3114" s="4">
        <v>1</v>
      </c>
      <c r="E3114" s="4">
        <v>1</v>
      </c>
      <c r="F3114" s="4" t="s">
        <v>268</v>
      </c>
      <c r="G3114" s="4" t="s">
        <v>241</v>
      </c>
      <c r="H3114" s="4" t="s">
        <v>241</v>
      </c>
      <c r="I3114" s="4" t="s">
        <v>424</v>
      </c>
      <c r="J3114" s="4" t="s">
        <v>274</v>
      </c>
      <c r="K3114" s="4" t="s">
        <v>251</v>
      </c>
      <c r="L3114" s="4" t="s">
        <v>423</v>
      </c>
      <c r="M3114" s="5" t="s">
        <v>3711</v>
      </c>
      <c r="N3114" s="6">
        <f>926</f>
        <v>926</v>
      </c>
      <c r="O3114" s="4" t="s">
        <v>265</v>
      </c>
      <c r="P3114" s="6">
        <f>1</f>
        <v>1</v>
      </c>
      <c r="Q3114" s="6">
        <f>0</f>
        <v>0</v>
      </c>
      <c r="S3114" s="6">
        <f>0</f>
        <v>0</v>
      </c>
      <c r="T3114" s="6">
        <f>1</f>
        <v>1</v>
      </c>
      <c r="U3114" s="5" t="s">
        <v>245</v>
      </c>
      <c r="V3114" s="4" t="s">
        <v>270</v>
      </c>
      <c r="W3114" s="4" t="s">
        <v>271</v>
      </c>
      <c r="X3114" s="4" t="s">
        <v>273</v>
      </c>
      <c r="Y3114" s="4" t="s">
        <v>241</v>
      </c>
      <c r="AB3114" s="4" t="s">
        <v>241</v>
      </c>
      <c r="AD3114" s="5" t="s">
        <v>241</v>
      </c>
      <c r="AG3114" s="5" t="s">
        <v>246</v>
      </c>
      <c r="AH3114" s="4" t="s">
        <v>241</v>
      </c>
      <c r="AI3114" s="4" t="s">
        <v>247</v>
      </c>
      <c r="AJ3114" s="4" t="s">
        <v>248</v>
      </c>
      <c r="AZ3114" s="4" t="s">
        <v>249</v>
      </c>
      <c r="BA3114" s="4" t="s">
        <v>241</v>
      </c>
      <c r="BB3114" s="4" t="s">
        <v>250</v>
      </c>
      <c r="BC3114" s="4" t="s">
        <v>241</v>
      </c>
      <c r="BD3114" s="4" t="s">
        <v>252</v>
      </c>
      <c r="BE3114" s="4" t="s">
        <v>241</v>
      </c>
      <c r="BI3114" s="4" t="s">
        <v>253</v>
      </c>
      <c r="BJ3114" s="5" t="s">
        <v>246</v>
      </c>
      <c r="BK3114" s="4" t="s">
        <v>254</v>
      </c>
      <c r="BL3114" s="4" t="s">
        <v>255</v>
      </c>
      <c r="BM3114" s="4" t="s">
        <v>241</v>
      </c>
      <c r="BN3114" s="6">
        <f>0</f>
        <v>0</v>
      </c>
      <c r="BO3114" s="6">
        <f>0</f>
        <v>0</v>
      </c>
      <c r="BP3114" s="4" t="s">
        <v>256</v>
      </c>
      <c r="BQ3114" s="4" t="s">
        <v>257</v>
      </c>
      <c r="CE3114" s="4" t="s">
        <v>241</v>
      </c>
      <c r="CF3114" s="4" t="s">
        <v>241</v>
      </c>
      <c r="CJ3114" s="4" t="s">
        <v>276</v>
      </c>
      <c r="CK3114" s="4" t="s">
        <v>259</v>
      </c>
      <c r="CL3114" s="4" t="s">
        <v>241</v>
      </c>
      <c r="CO3114" s="5" t="s">
        <v>260</v>
      </c>
      <c r="CP3114" s="4" t="s">
        <v>241</v>
      </c>
      <c r="CQ3114" s="4" t="s">
        <v>261</v>
      </c>
      <c r="CR3114" s="4" t="s">
        <v>241</v>
      </c>
      <c r="CS3114" s="4" t="s">
        <v>241</v>
      </c>
      <c r="CT3114" s="4">
        <v>0</v>
      </c>
      <c r="CU3114" s="4" t="s">
        <v>262</v>
      </c>
      <c r="CV3114" s="4" t="s">
        <v>263</v>
      </c>
      <c r="CW3114" s="4" t="s">
        <v>263</v>
      </c>
      <c r="CX3114" s="4" t="s">
        <v>264</v>
      </c>
      <c r="DA3114" s="6">
        <f>1</f>
        <v>1</v>
      </c>
      <c r="DC3114" s="4" t="s">
        <v>325</v>
      </c>
      <c r="DD3114" s="4" t="s">
        <v>241</v>
      </c>
      <c r="DF3114" s="4" t="s">
        <v>325</v>
      </c>
      <c r="DG3114" s="6">
        <f>926</f>
        <v>926</v>
      </c>
      <c r="DI3114" s="4" t="s">
        <v>241</v>
      </c>
      <c r="DJ3114" s="4" t="s">
        <v>241</v>
      </c>
      <c r="DK3114" s="4" t="s">
        <v>241</v>
      </c>
      <c r="DL3114" s="4" t="s">
        <v>241</v>
      </c>
      <c r="DP3114" s="4" t="s">
        <v>241</v>
      </c>
      <c r="DQ3114" s="4" t="s">
        <v>241</v>
      </c>
      <c r="DR3114" s="4" t="s">
        <v>241</v>
      </c>
      <c r="DS3114" s="4" t="s">
        <v>241</v>
      </c>
      <c r="DV3114" s="4" t="s">
        <v>426</v>
      </c>
      <c r="DW3114" s="4" t="s">
        <v>1108</v>
      </c>
      <c r="HO3114" s="4" t="s">
        <v>267</v>
      </c>
    </row>
    <row r="3115" spans="1:223" ht="19.5" customHeight="1" x14ac:dyDescent="0.4">
      <c r="A3115" s="4">
        <v>1</v>
      </c>
      <c r="B3115" s="4" t="s">
        <v>239</v>
      </c>
      <c r="C3115" s="4">
        <v>4818</v>
      </c>
      <c r="D3115" s="4">
        <v>1</v>
      </c>
      <c r="E3115" s="4">
        <v>1</v>
      </c>
      <c r="F3115" s="4" t="s">
        <v>268</v>
      </c>
      <c r="G3115" s="4" t="s">
        <v>241</v>
      </c>
      <c r="H3115" s="4" t="s">
        <v>241</v>
      </c>
      <c r="I3115" s="4" t="s">
        <v>424</v>
      </c>
      <c r="J3115" s="4" t="s">
        <v>274</v>
      </c>
      <c r="K3115" s="4" t="s">
        <v>251</v>
      </c>
      <c r="L3115" s="4" t="s">
        <v>423</v>
      </c>
      <c r="M3115" s="5" t="s">
        <v>3705</v>
      </c>
      <c r="N3115" s="6">
        <f>2871</f>
        <v>2871</v>
      </c>
      <c r="O3115" s="4" t="s">
        <v>265</v>
      </c>
      <c r="P3115" s="6">
        <f>1</f>
        <v>1</v>
      </c>
      <c r="Q3115" s="6">
        <f>0</f>
        <v>0</v>
      </c>
      <c r="S3115" s="6">
        <f>0</f>
        <v>0</v>
      </c>
      <c r="T3115" s="6">
        <f>1</f>
        <v>1</v>
      </c>
      <c r="U3115" s="5" t="s">
        <v>245</v>
      </c>
      <c r="V3115" s="4" t="s">
        <v>270</v>
      </c>
      <c r="W3115" s="4" t="s">
        <v>271</v>
      </c>
      <c r="X3115" s="4" t="s">
        <v>273</v>
      </c>
      <c r="Y3115" s="4" t="s">
        <v>241</v>
      </c>
      <c r="AB3115" s="4" t="s">
        <v>241</v>
      </c>
      <c r="AD3115" s="5" t="s">
        <v>241</v>
      </c>
      <c r="AG3115" s="5" t="s">
        <v>246</v>
      </c>
      <c r="AH3115" s="4" t="s">
        <v>241</v>
      </c>
      <c r="AI3115" s="4" t="s">
        <v>247</v>
      </c>
      <c r="AJ3115" s="4" t="s">
        <v>248</v>
      </c>
      <c r="AZ3115" s="4" t="s">
        <v>249</v>
      </c>
      <c r="BA3115" s="4" t="s">
        <v>241</v>
      </c>
      <c r="BB3115" s="4" t="s">
        <v>250</v>
      </c>
      <c r="BC3115" s="4" t="s">
        <v>241</v>
      </c>
      <c r="BD3115" s="4" t="s">
        <v>252</v>
      </c>
      <c r="BE3115" s="4" t="s">
        <v>241</v>
      </c>
      <c r="BI3115" s="4" t="s">
        <v>253</v>
      </c>
      <c r="BJ3115" s="5" t="s">
        <v>246</v>
      </c>
      <c r="BK3115" s="4" t="s">
        <v>254</v>
      </c>
      <c r="BL3115" s="4" t="s">
        <v>255</v>
      </c>
      <c r="BM3115" s="4" t="s">
        <v>241</v>
      </c>
      <c r="BN3115" s="6">
        <f>0</f>
        <v>0</v>
      </c>
      <c r="BO3115" s="6">
        <f>0</f>
        <v>0</v>
      </c>
      <c r="BP3115" s="4" t="s">
        <v>256</v>
      </c>
      <c r="BQ3115" s="4" t="s">
        <v>257</v>
      </c>
      <c r="CE3115" s="4" t="s">
        <v>241</v>
      </c>
      <c r="CF3115" s="4" t="s">
        <v>241</v>
      </c>
      <c r="CJ3115" s="4" t="s">
        <v>276</v>
      </c>
      <c r="CK3115" s="4" t="s">
        <v>259</v>
      </c>
      <c r="CL3115" s="4" t="s">
        <v>241</v>
      </c>
      <c r="CO3115" s="5" t="s">
        <v>260</v>
      </c>
      <c r="CP3115" s="4" t="s">
        <v>241</v>
      </c>
      <c r="CQ3115" s="4" t="s">
        <v>261</v>
      </c>
      <c r="CR3115" s="4" t="s">
        <v>241</v>
      </c>
      <c r="CS3115" s="4" t="s">
        <v>241</v>
      </c>
      <c r="CT3115" s="4">
        <v>0</v>
      </c>
      <c r="CU3115" s="4" t="s">
        <v>262</v>
      </c>
      <c r="CV3115" s="4" t="s">
        <v>263</v>
      </c>
      <c r="CW3115" s="4" t="s">
        <v>263</v>
      </c>
      <c r="CX3115" s="4" t="s">
        <v>264</v>
      </c>
      <c r="DA3115" s="6">
        <f>1</f>
        <v>1</v>
      </c>
      <c r="DC3115" s="4" t="s">
        <v>325</v>
      </c>
      <c r="DD3115" s="4" t="s">
        <v>241</v>
      </c>
      <c r="DF3115" s="4" t="s">
        <v>325</v>
      </c>
      <c r="DG3115" s="6">
        <f>2871</f>
        <v>2871</v>
      </c>
      <c r="DI3115" s="4" t="s">
        <v>241</v>
      </c>
      <c r="DJ3115" s="4" t="s">
        <v>241</v>
      </c>
      <c r="DK3115" s="4" t="s">
        <v>241</v>
      </c>
      <c r="DL3115" s="4" t="s">
        <v>241</v>
      </c>
      <c r="DP3115" s="4" t="s">
        <v>241</v>
      </c>
      <c r="DQ3115" s="4" t="s">
        <v>241</v>
      </c>
      <c r="DR3115" s="4" t="s">
        <v>241</v>
      </c>
      <c r="DS3115" s="4" t="s">
        <v>241</v>
      </c>
      <c r="DV3115" s="4" t="s">
        <v>426</v>
      </c>
      <c r="DW3115" s="4" t="s">
        <v>3706</v>
      </c>
      <c r="HO3115" s="4" t="s">
        <v>267</v>
      </c>
    </row>
    <row r="3116" spans="1:223" ht="19.5" customHeight="1" x14ac:dyDescent="0.4">
      <c r="A3116" s="4">
        <v>1</v>
      </c>
      <c r="B3116" s="4" t="s">
        <v>239</v>
      </c>
      <c r="C3116" s="4">
        <v>4819</v>
      </c>
      <c r="D3116" s="4">
        <v>1</v>
      </c>
      <c r="E3116" s="4">
        <v>1</v>
      </c>
      <c r="F3116" s="4" t="s">
        <v>268</v>
      </c>
      <c r="G3116" s="4" t="s">
        <v>241</v>
      </c>
      <c r="H3116" s="4" t="s">
        <v>241</v>
      </c>
      <c r="I3116" s="4" t="s">
        <v>424</v>
      </c>
      <c r="J3116" s="4" t="s">
        <v>274</v>
      </c>
      <c r="K3116" s="4" t="s">
        <v>251</v>
      </c>
      <c r="L3116" s="4" t="s">
        <v>423</v>
      </c>
      <c r="M3116" s="5" t="s">
        <v>3702</v>
      </c>
      <c r="N3116" s="6">
        <f>1373</f>
        <v>1373</v>
      </c>
      <c r="O3116" s="4" t="s">
        <v>265</v>
      </c>
      <c r="P3116" s="6">
        <f>1</f>
        <v>1</v>
      </c>
      <c r="Q3116" s="6">
        <f>0</f>
        <v>0</v>
      </c>
      <c r="S3116" s="6">
        <f>0</f>
        <v>0</v>
      </c>
      <c r="T3116" s="6">
        <f>1</f>
        <v>1</v>
      </c>
      <c r="U3116" s="5" t="s">
        <v>245</v>
      </c>
      <c r="V3116" s="4" t="s">
        <v>270</v>
      </c>
      <c r="W3116" s="4" t="s">
        <v>271</v>
      </c>
      <c r="X3116" s="4" t="s">
        <v>273</v>
      </c>
      <c r="Y3116" s="4" t="s">
        <v>241</v>
      </c>
      <c r="AB3116" s="4" t="s">
        <v>241</v>
      </c>
      <c r="AD3116" s="5" t="s">
        <v>241</v>
      </c>
      <c r="AG3116" s="5" t="s">
        <v>246</v>
      </c>
      <c r="AH3116" s="4" t="s">
        <v>241</v>
      </c>
      <c r="AI3116" s="4" t="s">
        <v>247</v>
      </c>
      <c r="AJ3116" s="4" t="s">
        <v>248</v>
      </c>
      <c r="AZ3116" s="4" t="s">
        <v>249</v>
      </c>
      <c r="BA3116" s="4" t="s">
        <v>241</v>
      </c>
      <c r="BB3116" s="4" t="s">
        <v>250</v>
      </c>
      <c r="BC3116" s="4" t="s">
        <v>241</v>
      </c>
      <c r="BD3116" s="4" t="s">
        <v>252</v>
      </c>
      <c r="BE3116" s="4" t="s">
        <v>241</v>
      </c>
      <c r="BI3116" s="4" t="s">
        <v>253</v>
      </c>
      <c r="BJ3116" s="5" t="s">
        <v>246</v>
      </c>
      <c r="BK3116" s="4" t="s">
        <v>254</v>
      </c>
      <c r="BL3116" s="4" t="s">
        <v>255</v>
      </c>
      <c r="BM3116" s="4" t="s">
        <v>241</v>
      </c>
      <c r="BN3116" s="6">
        <f>0</f>
        <v>0</v>
      </c>
      <c r="BO3116" s="6">
        <f>0</f>
        <v>0</v>
      </c>
      <c r="BP3116" s="4" t="s">
        <v>256</v>
      </c>
      <c r="BQ3116" s="4" t="s">
        <v>257</v>
      </c>
      <c r="CE3116" s="4" t="s">
        <v>241</v>
      </c>
      <c r="CF3116" s="4" t="s">
        <v>241</v>
      </c>
      <c r="CJ3116" s="4" t="s">
        <v>276</v>
      </c>
      <c r="CK3116" s="4" t="s">
        <v>259</v>
      </c>
      <c r="CL3116" s="4" t="s">
        <v>241</v>
      </c>
      <c r="CO3116" s="5" t="s">
        <v>260</v>
      </c>
      <c r="CP3116" s="4" t="s">
        <v>241</v>
      </c>
      <c r="CQ3116" s="4" t="s">
        <v>261</v>
      </c>
      <c r="CR3116" s="4" t="s">
        <v>241</v>
      </c>
      <c r="CS3116" s="4" t="s">
        <v>241</v>
      </c>
      <c r="CT3116" s="4">
        <v>0</v>
      </c>
      <c r="CU3116" s="4" t="s">
        <v>262</v>
      </c>
      <c r="CV3116" s="4" t="s">
        <v>263</v>
      </c>
      <c r="CW3116" s="4" t="s">
        <v>263</v>
      </c>
      <c r="CX3116" s="4" t="s">
        <v>264</v>
      </c>
      <c r="DA3116" s="6">
        <f>1</f>
        <v>1</v>
      </c>
      <c r="DC3116" s="4" t="s">
        <v>325</v>
      </c>
      <c r="DD3116" s="4" t="s">
        <v>241</v>
      </c>
      <c r="DF3116" s="4" t="s">
        <v>325</v>
      </c>
      <c r="DG3116" s="6">
        <f>1373</f>
        <v>1373</v>
      </c>
      <c r="DI3116" s="4" t="s">
        <v>241</v>
      </c>
      <c r="DJ3116" s="4" t="s">
        <v>241</v>
      </c>
      <c r="DK3116" s="4" t="s">
        <v>241</v>
      </c>
      <c r="DL3116" s="4" t="s">
        <v>241</v>
      </c>
      <c r="DP3116" s="4" t="s">
        <v>241</v>
      </c>
      <c r="DQ3116" s="4" t="s">
        <v>241</v>
      </c>
      <c r="DR3116" s="4" t="s">
        <v>241</v>
      </c>
      <c r="DS3116" s="4" t="s">
        <v>241</v>
      </c>
      <c r="DV3116" s="4" t="s">
        <v>426</v>
      </c>
      <c r="DW3116" s="4" t="s">
        <v>307</v>
      </c>
      <c r="HO3116" s="4" t="s">
        <v>267</v>
      </c>
    </row>
    <row r="3117" spans="1:223" ht="19.5" customHeight="1" x14ac:dyDescent="0.4">
      <c r="A3117" s="4">
        <v>1</v>
      </c>
      <c r="B3117" s="4" t="s">
        <v>239</v>
      </c>
      <c r="C3117" s="4">
        <v>4820</v>
      </c>
      <c r="D3117" s="4">
        <v>1</v>
      </c>
      <c r="E3117" s="4">
        <v>1</v>
      </c>
      <c r="F3117" s="4" t="s">
        <v>268</v>
      </c>
      <c r="G3117" s="4" t="s">
        <v>241</v>
      </c>
      <c r="H3117" s="4" t="s">
        <v>241</v>
      </c>
      <c r="I3117" s="4" t="s">
        <v>424</v>
      </c>
      <c r="J3117" s="4" t="s">
        <v>274</v>
      </c>
      <c r="K3117" s="4" t="s">
        <v>251</v>
      </c>
      <c r="L3117" s="4" t="s">
        <v>423</v>
      </c>
      <c r="M3117" s="5" t="s">
        <v>3697</v>
      </c>
      <c r="N3117" s="6">
        <f>1107</f>
        <v>1107</v>
      </c>
      <c r="O3117" s="4" t="s">
        <v>265</v>
      </c>
      <c r="P3117" s="6">
        <f>1</f>
        <v>1</v>
      </c>
      <c r="Q3117" s="6">
        <f>0</f>
        <v>0</v>
      </c>
      <c r="S3117" s="6">
        <f>0</f>
        <v>0</v>
      </c>
      <c r="T3117" s="6">
        <f>1</f>
        <v>1</v>
      </c>
      <c r="U3117" s="5" t="s">
        <v>245</v>
      </c>
      <c r="V3117" s="4" t="s">
        <v>270</v>
      </c>
      <c r="W3117" s="4" t="s">
        <v>271</v>
      </c>
      <c r="X3117" s="4" t="s">
        <v>273</v>
      </c>
      <c r="Y3117" s="4" t="s">
        <v>241</v>
      </c>
      <c r="AB3117" s="4" t="s">
        <v>241</v>
      </c>
      <c r="AD3117" s="5" t="s">
        <v>241</v>
      </c>
      <c r="AG3117" s="5" t="s">
        <v>246</v>
      </c>
      <c r="AH3117" s="4" t="s">
        <v>241</v>
      </c>
      <c r="AI3117" s="4" t="s">
        <v>247</v>
      </c>
      <c r="AJ3117" s="4" t="s">
        <v>248</v>
      </c>
      <c r="AZ3117" s="4" t="s">
        <v>249</v>
      </c>
      <c r="BA3117" s="4" t="s">
        <v>241</v>
      </c>
      <c r="BB3117" s="4" t="s">
        <v>250</v>
      </c>
      <c r="BC3117" s="4" t="s">
        <v>241</v>
      </c>
      <c r="BD3117" s="4" t="s">
        <v>252</v>
      </c>
      <c r="BE3117" s="4" t="s">
        <v>241</v>
      </c>
      <c r="BI3117" s="4" t="s">
        <v>253</v>
      </c>
      <c r="BJ3117" s="5" t="s">
        <v>246</v>
      </c>
      <c r="BK3117" s="4" t="s">
        <v>254</v>
      </c>
      <c r="BL3117" s="4" t="s">
        <v>255</v>
      </c>
      <c r="BM3117" s="4" t="s">
        <v>241</v>
      </c>
      <c r="BN3117" s="6">
        <f>0</f>
        <v>0</v>
      </c>
      <c r="BO3117" s="6">
        <f>0</f>
        <v>0</v>
      </c>
      <c r="BP3117" s="4" t="s">
        <v>256</v>
      </c>
      <c r="BQ3117" s="4" t="s">
        <v>257</v>
      </c>
      <c r="CE3117" s="4" t="s">
        <v>241</v>
      </c>
      <c r="CF3117" s="4" t="s">
        <v>241</v>
      </c>
      <c r="CJ3117" s="4" t="s">
        <v>276</v>
      </c>
      <c r="CK3117" s="4" t="s">
        <v>259</v>
      </c>
      <c r="CL3117" s="4" t="s">
        <v>241</v>
      </c>
      <c r="CO3117" s="5" t="s">
        <v>260</v>
      </c>
      <c r="CP3117" s="4" t="s">
        <v>241</v>
      </c>
      <c r="CQ3117" s="4" t="s">
        <v>261</v>
      </c>
      <c r="CR3117" s="4" t="s">
        <v>241</v>
      </c>
      <c r="CS3117" s="4" t="s">
        <v>241</v>
      </c>
      <c r="CT3117" s="4">
        <v>0</v>
      </c>
      <c r="CU3117" s="4" t="s">
        <v>262</v>
      </c>
      <c r="CV3117" s="4" t="s">
        <v>263</v>
      </c>
      <c r="CW3117" s="4" t="s">
        <v>263</v>
      </c>
      <c r="CX3117" s="4" t="s">
        <v>264</v>
      </c>
      <c r="DA3117" s="6">
        <f>1</f>
        <v>1</v>
      </c>
      <c r="DC3117" s="4" t="s">
        <v>325</v>
      </c>
      <c r="DD3117" s="4" t="s">
        <v>241</v>
      </c>
      <c r="DF3117" s="4" t="s">
        <v>325</v>
      </c>
      <c r="DG3117" s="6">
        <f>1107</f>
        <v>1107</v>
      </c>
      <c r="DI3117" s="4" t="s">
        <v>241</v>
      </c>
      <c r="DJ3117" s="4" t="s">
        <v>241</v>
      </c>
      <c r="DK3117" s="4" t="s">
        <v>241</v>
      </c>
      <c r="DL3117" s="4" t="s">
        <v>241</v>
      </c>
      <c r="DP3117" s="4" t="s">
        <v>241</v>
      </c>
      <c r="DQ3117" s="4" t="s">
        <v>241</v>
      </c>
      <c r="DR3117" s="4" t="s">
        <v>241</v>
      </c>
      <c r="DS3117" s="4" t="s">
        <v>241</v>
      </c>
      <c r="DV3117" s="4" t="s">
        <v>426</v>
      </c>
      <c r="DW3117" s="4" t="s">
        <v>3698</v>
      </c>
      <c r="HO3117" s="4" t="s">
        <v>267</v>
      </c>
    </row>
    <row r="3118" spans="1:223" ht="19.5" customHeight="1" x14ac:dyDescent="0.4">
      <c r="A3118" s="4">
        <v>1</v>
      </c>
      <c r="B3118" s="4" t="s">
        <v>239</v>
      </c>
      <c r="C3118" s="4">
        <v>4821</v>
      </c>
      <c r="D3118" s="4">
        <v>1</v>
      </c>
      <c r="E3118" s="4">
        <v>1</v>
      </c>
      <c r="F3118" s="4" t="s">
        <v>268</v>
      </c>
      <c r="G3118" s="4" t="s">
        <v>241</v>
      </c>
      <c r="H3118" s="4" t="s">
        <v>241</v>
      </c>
      <c r="I3118" s="4" t="s">
        <v>424</v>
      </c>
      <c r="J3118" s="4" t="s">
        <v>274</v>
      </c>
      <c r="K3118" s="4" t="s">
        <v>251</v>
      </c>
      <c r="L3118" s="4" t="s">
        <v>423</v>
      </c>
      <c r="M3118" s="5" t="s">
        <v>3695</v>
      </c>
      <c r="N3118" s="6">
        <f>836</f>
        <v>836</v>
      </c>
      <c r="O3118" s="4" t="s">
        <v>265</v>
      </c>
      <c r="P3118" s="6">
        <f>1</f>
        <v>1</v>
      </c>
      <c r="Q3118" s="6">
        <f>0</f>
        <v>0</v>
      </c>
      <c r="S3118" s="6">
        <f>0</f>
        <v>0</v>
      </c>
      <c r="T3118" s="6">
        <f>1</f>
        <v>1</v>
      </c>
      <c r="U3118" s="5" t="s">
        <v>245</v>
      </c>
      <c r="V3118" s="4" t="s">
        <v>270</v>
      </c>
      <c r="W3118" s="4" t="s">
        <v>271</v>
      </c>
      <c r="X3118" s="4" t="s">
        <v>273</v>
      </c>
      <c r="Y3118" s="4" t="s">
        <v>241</v>
      </c>
      <c r="AB3118" s="4" t="s">
        <v>241</v>
      </c>
      <c r="AD3118" s="5" t="s">
        <v>241</v>
      </c>
      <c r="AG3118" s="5" t="s">
        <v>246</v>
      </c>
      <c r="AH3118" s="4" t="s">
        <v>241</v>
      </c>
      <c r="AI3118" s="4" t="s">
        <v>247</v>
      </c>
      <c r="AJ3118" s="4" t="s">
        <v>248</v>
      </c>
      <c r="AZ3118" s="4" t="s">
        <v>249</v>
      </c>
      <c r="BA3118" s="4" t="s">
        <v>241</v>
      </c>
      <c r="BB3118" s="4" t="s">
        <v>250</v>
      </c>
      <c r="BC3118" s="4" t="s">
        <v>241</v>
      </c>
      <c r="BD3118" s="4" t="s">
        <v>252</v>
      </c>
      <c r="BE3118" s="4" t="s">
        <v>241</v>
      </c>
      <c r="BI3118" s="4" t="s">
        <v>253</v>
      </c>
      <c r="BJ3118" s="5" t="s">
        <v>246</v>
      </c>
      <c r="BK3118" s="4" t="s">
        <v>254</v>
      </c>
      <c r="BL3118" s="4" t="s">
        <v>255</v>
      </c>
      <c r="BM3118" s="4" t="s">
        <v>241</v>
      </c>
      <c r="BN3118" s="6">
        <f>0</f>
        <v>0</v>
      </c>
      <c r="BO3118" s="6">
        <f>0</f>
        <v>0</v>
      </c>
      <c r="BP3118" s="4" t="s">
        <v>256</v>
      </c>
      <c r="BQ3118" s="4" t="s">
        <v>257</v>
      </c>
      <c r="CE3118" s="4" t="s">
        <v>241</v>
      </c>
      <c r="CF3118" s="4" t="s">
        <v>241</v>
      </c>
      <c r="CJ3118" s="4" t="s">
        <v>276</v>
      </c>
      <c r="CK3118" s="4" t="s">
        <v>259</v>
      </c>
      <c r="CL3118" s="4" t="s">
        <v>241</v>
      </c>
      <c r="CO3118" s="5" t="s">
        <v>260</v>
      </c>
      <c r="CP3118" s="4" t="s">
        <v>241</v>
      </c>
      <c r="CQ3118" s="4" t="s">
        <v>261</v>
      </c>
      <c r="CR3118" s="4" t="s">
        <v>241</v>
      </c>
      <c r="CS3118" s="4" t="s">
        <v>241</v>
      </c>
      <c r="CT3118" s="4">
        <v>0</v>
      </c>
      <c r="CU3118" s="4" t="s">
        <v>262</v>
      </c>
      <c r="CV3118" s="4" t="s">
        <v>263</v>
      </c>
      <c r="CW3118" s="4" t="s">
        <v>263</v>
      </c>
      <c r="CX3118" s="4" t="s">
        <v>264</v>
      </c>
      <c r="DA3118" s="6">
        <f>1</f>
        <v>1</v>
      </c>
      <c r="DC3118" s="4" t="s">
        <v>325</v>
      </c>
      <c r="DD3118" s="4" t="s">
        <v>241</v>
      </c>
      <c r="DF3118" s="4" t="s">
        <v>325</v>
      </c>
      <c r="DG3118" s="6">
        <f>836</f>
        <v>836</v>
      </c>
      <c r="DI3118" s="4" t="s">
        <v>241</v>
      </c>
      <c r="DJ3118" s="4" t="s">
        <v>241</v>
      </c>
      <c r="DK3118" s="4" t="s">
        <v>241</v>
      </c>
      <c r="DL3118" s="4" t="s">
        <v>241</v>
      </c>
      <c r="DP3118" s="4" t="s">
        <v>241</v>
      </c>
      <c r="DQ3118" s="4" t="s">
        <v>241</v>
      </c>
      <c r="DR3118" s="4" t="s">
        <v>241</v>
      </c>
      <c r="DS3118" s="4" t="s">
        <v>241</v>
      </c>
      <c r="DV3118" s="4" t="s">
        <v>426</v>
      </c>
      <c r="DW3118" s="4" t="s">
        <v>3696</v>
      </c>
      <c r="HO3118" s="4" t="s">
        <v>267</v>
      </c>
    </row>
    <row r="3119" spans="1:223" ht="19.5" customHeight="1" x14ac:dyDescent="0.4">
      <c r="A3119" s="4">
        <v>1</v>
      </c>
      <c r="B3119" s="4" t="s">
        <v>239</v>
      </c>
      <c r="C3119" s="4">
        <v>4822</v>
      </c>
      <c r="D3119" s="4">
        <v>1</v>
      </c>
      <c r="E3119" s="4">
        <v>1</v>
      </c>
      <c r="F3119" s="4" t="s">
        <v>268</v>
      </c>
      <c r="G3119" s="4" t="s">
        <v>241</v>
      </c>
      <c r="H3119" s="4" t="s">
        <v>241</v>
      </c>
      <c r="I3119" s="4" t="s">
        <v>424</v>
      </c>
      <c r="J3119" s="4" t="s">
        <v>274</v>
      </c>
      <c r="K3119" s="4" t="s">
        <v>251</v>
      </c>
      <c r="L3119" s="4" t="s">
        <v>423</v>
      </c>
      <c r="M3119" s="5" t="s">
        <v>3690</v>
      </c>
      <c r="N3119" s="6">
        <f>2771</f>
        <v>2771</v>
      </c>
      <c r="O3119" s="4" t="s">
        <v>265</v>
      </c>
      <c r="P3119" s="6">
        <f>1</f>
        <v>1</v>
      </c>
      <c r="Q3119" s="6">
        <f>0</f>
        <v>0</v>
      </c>
      <c r="S3119" s="6">
        <f>0</f>
        <v>0</v>
      </c>
      <c r="T3119" s="6">
        <f>1</f>
        <v>1</v>
      </c>
      <c r="U3119" s="5" t="s">
        <v>245</v>
      </c>
      <c r="V3119" s="4" t="s">
        <v>270</v>
      </c>
      <c r="W3119" s="4" t="s">
        <v>271</v>
      </c>
      <c r="X3119" s="4" t="s">
        <v>273</v>
      </c>
      <c r="Y3119" s="4" t="s">
        <v>241</v>
      </c>
      <c r="AB3119" s="4" t="s">
        <v>241</v>
      </c>
      <c r="AD3119" s="5" t="s">
        <v>241</v>
      </c>
      <c r="AG3119" s="5" t="s">
        <v>246</v>
      </c>
      <c r="AH3119" s="4" t="s">
        <v>241</v>
      </c>
      <c r="AI3119" s="4" t="s">
        <v>247</v>
      </c>
      <c r="AJ3119" s="4" t="s">
        <v>248</v>
      </c>
      <c r="AZ3119" s="4" t="s">
        <v>249</v>
      </c>
      <c r="BA3119" s="4" t="s">
        <v>241</v>
      </c>
      <c r="BB3119" s="4" t="s">
        <v>250</v>
      </c>
      <c r="BC3119" s="4" t="s">
        <v>241</v>
      </c>
      <c r="BD3119" s="4" t="s">
        <v>252</v>
      </c>
      <c r="BE3119" s="4" t="s">
        <v>241</v>
      </c>
      <c r="BI3119" s="4" t="s">
        <v>253</v>
      </c>
      <c r="BJ3119" s="5" t="s">
        <v>246</v>
      </c>
      <c r="BK3119" s="4" t="s">
        <v>254</v>
      </c>
      <c r="BL3119" s="4" t="s">
        <v>255</v>
      </c>
      <c r="BM3119" s="4" t="s">
        <v>241</v>
      </c>
      <c r="BN3119" s="6">
        <f>0</f>
        <v>0</v>
      </c>
      <c r="BO3119" s="6">
        <f>0</f>
        <v>0</v>
      </c>
      <c r="BP3119" s="4" t="s">
        <v>256</v>
      </c>
      <c r="BQ3119" s="4" t="s">
        <v>257</v>
      </c>
      <c r="CE3119" s="4" t="s">
        <v>241</v>
      </c>
      <c r="CF3119" s="4" t="s">
        <v>241</v>
      </c>
      <c r="CJ3119" s="4" t="s">
        <v>276</v>
      </c>
      <c r="CK3119" s="4" t="s">
        <v>259</v>
      </c>
      <c r="CL3119" s="4" t="s">
        <v>241</v>
      </c>
      <c r="CO3119" s="5" t="s">
        <v>260</v>
      </c>
      <c r="CP3119" s="4" t="s">
        <v>241</v>
      </c>
      <c r="CQ3119" s="4" t="s">
        <v>261</v>
      </c>
      <c r="CR3119" s="4" t="s">
        <v>241</v>
      </c>
      <c r="CS3119" s="4" t="s">
        <v>241</v>
      </c>
      <c r="CT3119" s="4">
        <v>0</v>
      </c>
      <c r="CU3119" s="4" t="s">
        <v>262</v>
      </c>
      <c r="CV3119" s="4" t="s">
        <v>263</v>
      </c>
      <c r="CW3119" s="4" t="s">
        <v>263</v>
      </c>
      <c r="CX3119" s="4" t="s">
        <v>264</v>
      </c>
      <c r="DA3119" s="6">
        <f>1</f>
        <v>1</v>
      </c>
      <c r="DC3119" s="4" t="s">
        <v>325</v>
      </c>
      <c r="DD3119" s="4" t="s">
        <v>241</v>
      </c>
      <c r="DF3119" s="4" t="s">
        <v>325</v>
      </c>
      <c r="DG3119" s="6">
        <f>2771</f>
        <v>2771</v>
      </c>
      <c r="DI3119" s="4" t="s">
        <v>241</v>
      </c>
      <c r="DJ3119" s="4" t="s">
        <v>241</v>
      </c>
      <c r="DK3119" s="4" t="s">
        <v>241</v>
      </c>
      <c r="DL3119" s="4" t="s">
        <v>241</v>
      </c>
      <c r="DP3119" s="4" t="s">
        <v>241</v>
      </c>
      <c r="DQ3119" s="4" t="s">
        <v>241</v>
      </c>
      <c r="DR3119" s="4" t="s">
        <v>241</v>
      </c>
      <c r="DS3119" s="4" t="s">
        <v>241</v>
      </c>
      <c r="DV3119" s="4" t="s">
        <v>426</v>
      </c>
      <c r="DW3119" s="4" t="s">
        <v>1080</v>
      </c>
      <c r="HO3119" s="4" t="s">
        <v>267</v>
      </c>
    </row>
    <row r="3120" spans="1:223" ht="19.5" customHeight="1" x14ac:dyDescent="0.4">
      <c r="A3120" s="4">
        <v>1</v>
      </c>
      <c r="B3120" s="4" t="s">
        <v>239</v>
      </c>
      <c r="C3120" s="4">
        <v>4823</v>
      </c>
      <c r="D3120" s="4">
        <v>1</v>
      </c>
      <c r="E3120" s="4">
        <v>1</v>
      </c>
      <c r="F3120" s="4" t="s">
        <v>268</v>
      </c>
      <c r="G3120" s="4" t="s">
        <v>241</v>
      </c>
      <c r="H3120" s="4" t="s">
        <v>241</v>
      </c>
      <c r="I3120" s="4" t="s">
        <v>424</v>
      </c>
      <c r="J3120" s="4" t="s">
        <v>274</v>
      </c>
      <c r="K3120" s="4" t="s">
        <v>251</v>
      </c>
      <c r="L3120" s="4" t="s">
        <v>423</v>
      </c>
      <c r="M3120" s="5" t="s">
        <v>3687</v>
      </c>
      <c r="N3120" s="6">
        <f>199</f>
        <v>199</v>
      </c>
      <c r="O3120" s="4" t="s">
        <v>265</v>
      </c>
      <c r="P3120" s="6">
        <f>1</f>
        <v>1</v>
      </c>
      <c r="Q3120" s="6">
        <f>0</f>
        <v>0</v>
      </c>
      <c r="S3120" s="6">
        <f>0</f>
        <v>0</v>
      </c>
      <c r="T3120" s="6">
        <f>1</f>
        <v>1</v>
      </c>
      <c r="U3120" s="5" t="s">
        <v>245</v>
      </c>
      <c r="V3120" s="4" t="s">
        <v>270</v>
      </c>
      <c r="W3120" s="4" t="s">
        <v>271</v>
      </c>
      <c r="X3120" s="4" t="s">
        <v>273</v>
      </c>
      <c r="Y3120" s="4" t="s">
        <v>241</v>
      </c>
      <c r="AB3120" s="4" t="s">
        <v>241</v>
      </c>
      <c r="AD3120" s="5" t="s">
        <v>241</v>
      </c>
      <c r="AG3120" s="5" t="s">
        <v>246</v>
      </c>
      <c r="AH3120" s="4" t="s">
        <v>241</v>
      </c>
      <c r="AI3120" s="4" t="s">
        <v>247</v>
      </c>
      <c r="AJ3120" s="4" t="s">
        <v>248</v>
      </c>
      <c r="AZ3120" s="4" t="s">
        <v>249</v>
      </c>
      <c r="BA3120" s="4" t="s">
        <v>241</v>
      </c>
      <c r="BB3120" s="4" t="s">
        <v>250</v>
      </c>
      <c r="BC3120" s="4" t="s">
        <v>241</v>
      </c>
      <c r="BD3120" s="4" t="s">
        <v>252</v>
      </c>
      <c r="BE3120" s="4" t="s">
        <v>241</v>
      </c>
      <c r="BI3120" s="4" t="s">
        <v>253</v>
      </c>
      <c r="BJ3120" s="5" t="s">
        <v>246</v>
      </c>
      <c r="BK3120" s="4" t="s">
        <v>254</v>
      </c>
      <c r="BL3120" s="4" t="s">
        <v>255</v>
      </c>
      <c r="BM3120" s="4" t="s">
        <v>241</v>
      </c>
      <c r="BN3120" s="6">
        <f>0</f>
        <v>0</v>
      </c>
      <c r="BO3120" s="6">
        <f>0</f>
        <v>0</v>
      </c>
      <c r="BP3120" s="4" t="s">
        <v>256</v>
      </c>
      <c r="BQ3120" s="4" t="s">
        <v>257</v>
      </c>
      <c r="CE3120" s="4" t="s">
        <v>241</v>
      </c>
      <c r="CF3120" s="4" t="s">
        <v>241</v>
      </c>
      <c r="CJ3120" s="4" t="s">
        <v>276</v>
      </c>
      <c r="CK3120" s="4" t="s">
        <v>259</v>
      </c>
      <c r="CL3120" s="4" t="s">
        <v>241</v>
      </c>
      <c r="CO3120" s="5" t="s">
        <v>260</v>
      </c>
      <c r="CP3120" s="4" t="s">
        <v>241</v>
      </c>
      <c r="CQ3120" s="4" t="s">
        <v>261</v>
      </c>
      <c r="CR3120" s="4" t="s">
        <v>241</v>
      </c>
      <c r="CS3120" s="4" t="s">
        <v>241</v>
      </c>
      <c r="CT3120" s="4">
        <v>0</v>
      </c>
      <c r="CU3120" s="4" t="s">
        <v>262</v>
      </c>
      <c r="CV3120" s="4" t="s">
        <v>263</v>
      </c>
      <c r="CW3120" s="4" t="s">
        <v>263</v>
      </c>
      <c r="CX3120" s="4" t="s">
        <v>264</v>
      </c>
      <c r="DA3120" s="6">
        <f>1</f>
        <v>1</v>
      </c>
      <c r="DC3120" s="4" t="s">
        <v>325</v>
      </c>
      <c r="DD3120" s="4" t="s">
        <v>241</v>
      </c>
      <c r="DF3120" s="4" t="s">
        <v>325</v>
      </c>
      <c r="DG3120" s="6">
        <f>199</f>
        <v>199</v>
      </c>
      <c r="DI3120" s="4" t="s">
        <v>241</v>
      </c>
      <c r="DJ3120" s="4" t="s">
        <v>241</v>
      </c>
      <c r="DK3120" s="4" t="s">
        <v>241</v>
      </c>
      <c r="DL3120" s="4" t="s">
        <v>241</v>
      </c>
      <c r="DP3120" s="4" t="s">
        <v>241</v>
      </c>
      <c r="DQ3120" s="4" t="s">
        <v>241</v>
      </c>
      <c r="DR3120" s="4" t="s">
        <v>241</v>
      </c>
      <c r="DS3120" s="4" t="s">
        <v>241</v>
      </c>
      <c r="DV3120" s="4" t="s">
        <v>426</v>
      </c>
      <c r="DW3120" s="4" t="s">
        <v>1199</v>
      </c>
      <c r="HO3120" s="4" t="s">
        <v>267</v>
      </c>
    </row>
    <row r="3121" spans="1:223" ht="19.5" customHeight="1" x14ac:dyDescent="0.4">
      <c r="A3121" s="4">
        <v>1</v>
      </c>
      <c r="B3121" s="4" t="s">
        <v>239</v>
      </c>
      <c r="C3121" s="4">
        <v>4824</v>
      </c>
      <c r="D3121" s="4">
        <v>1</v>
      </c>
      <c r="E3121" s="4">
        <v>1</v>
      </c>
      <c r="F3121" s="4" t="s">
        <v>268</v>
      </c>
      <c r="G3121" s="4" t="s">
        <v>241</v>
      </c>
      <c r="H3121" s="4" t="s">
        <v>241</v>
      </c>
      <c r="I3121" s="4" t="s">
        <v>424</v>
      </c>
      <c r="J3121" s="4" t="s">
        <v>274</v>
      </c>
      <c r="K3121" s="4" t="s">
        <v>251</v>
      </c>
      <c r="L3121" s="4" t="s">
        <v>423</v>
      </c>
      <c r="M3121" s="5" t="s">
        <v>3684</v>
      </c>
      <c r="N3121" s="6">
        <f>867</f>
        <v>867</v>
      </c>
      <c r="O3121" s="4" t="s">
        <v>265</v>
      </c>
      <c r="P3121" s="6">
        <f>1</f>
        <v>1</v>
      </c>
      <c r="Q3121" s="6">
        <f>0</f>
        <v>0</v>
      </c>
      <c r="S3121" s="6">
        <f>0</f>
        <v>0</v>
      </c>
      <c r="T3121" s="6">
        <f>1</f>
        <v>1</v>
      </c>
      <c r="U3121" s="5" t="s">
        <v>245</v>
      </c>
      <c r="V3121" s="4" t="s">
        <v>270</v>
      </c>
      <c r="W3121" s="4" t="s">
        <v>271</v>
      </c>
      <c r="X3121" s="4" t="s">
        <v>273</v>
      </c>
      <c r="Y3121" s="4" t="s">
        <v>241</v>
      </c>
      <c r="AB3121" s="4" t="s">
        <v>241</v>
      </c>
      <c r="AD3121" s="5" t="s">
        <v>241</v>
      </c>
      <c r="AG3121" s="5" t="s">
        <v>246</v>
      </c>
      <c r="AH3121" s="4" t="s">
        <v>241</v>
      </c>
      <c r="AI3121" s="4" t="s">
        <v>247</v>
      </c>
      <c r="AJ3121" s="4" t="s">
        <v>248</v>
      </c>
      <c r="AZ3121" s="4" t="s">
        <v>249</v>
      </c>
      <c r="BA3121" s="4" t="s">
        <v>241</v>
      </c>
      <c r="BB3121" s="4" t="s">
        <v>250</v>
      </c>
      <c r="BC3121" s="4" t="s">
        <v>241</v>
      </c>
      <c r="BD3121" s="4" t="s">
        <v>252</v>
      </c>
      <c r="BE3121" s="4" t="s">
        <v>241</v>
      </c>
      <c r="BI3121" s="4" t="s">
        <v>253</v>
      </c>
      <c r="BJ3121" s="5" t="s">
        <v>246</v>
      </c>
      <c r="BK3121" s="4" t="s">
        <v>254</v>
      </c>
      <c r="BL3121" s="4" t="s">
        <v>255</v>
      </c>
      <c r="BM3121" s="4" t="s">
        <v>241</v>
      </c>
      <c r="BN3121" s="6">
        <f>0</f>
        <v>0</v>
      </c>
      <c r="BO3121" s="6">
        <f>0</f>
        <v>0</v>
      </c>
      <c r="BP3121" s="4" t="s">
        <v>256</v>
      </c>
      <c r="BQ3121" s="4" t="s">
        <v>257</v>
      </c>
      <c r="CE3121" s="4" t="s">
        <v>241</v>
      </c>
      <c r="CF3121" s="4" t="s">
        <v>241</v>
      </c>
      <c r="CJ3121" s="4" t="s">
        <v>276</v>
      </c>
      <c r="CK3121" s="4" t="s">
        <v>259</v>
      </c>
      <c r="CL3121" s="4" t="s">
        <v>241</v>
      </c>
      <c r="CO3121" s="5" t="s">
        <v>260</v>
      </c>
      <c r="CP3121" s="4" t="s">
        <v>241</v>
      </c>
      <c r="CQ3121" s="4" t="s">
        <v>261</v>
      </c>
      <c r="CR3121" s="4" t="s">
        <v>241</v>
      </c>
      <c r="CS3121" s="4" t="s">
        <v>241</v>
      </c>
      <c r="CT3121" s="4">
        <v>0</v>
      </c>
      <c r="CU3121" s="4" t="s">
        <v>262</v>
      </c>
      <c r="CV3121" s="4" t="s">
        <v>263</v>
      </c>
      <c r="CW3121" s="4" t="s">
        <v>263</v>
      </c>
      <c r="CX3121" s="4" t="s">
        <v>264</v>
      </c>
      <c r="DA3121" s="6">
        <f>1</f>
        <v>1</v>
      </c>
      <c r="DC3121" s="4" t="s">
        <v>325</v>
      </c>
      <c r="DD3121" s="4" t="s">
        <v>241</v>
      </c>
      <c r="DF3121" s="4" t="s">
        <v>325</v>
      </c>
      <c r="DG3121" s="6">
        <f>867</f>
        <v>867</v>
      </c>
      <c r="DI3121" s="4" t="s">
        <v>241</v>
      </c>
      <c r="DJ3121" s="4" t="s">
        <v>241</v>
      </c>
      <c r="DK3121" s="4" t="s">
        <v>241</v>
      </c>
      <c r="DL3121" s="4" t="s">
        <v>241</v>
      </c>
      <c r="DP3121" s="4" t="s">
        <v>241</v>
      </c>
      <c r="DQ3121" s="4" t="s">
        <v>241</v>
      </c>
      <c r="DR3121" s="4" t="s">
        <v>241</v>
      </c>
      <c r="DS3121" s="4" t="s">
        <v>241</v>
      </c>
      <c r="DV3121" s="4" t="s">
        <v>426</v>
      </c>
      <c r="DW3121" s="4" t="s">
        <v>1428</v>
      </c>
      <c r="HO3121" s="4" t="s">
        <v>267</v>
      </c>
    </row>
    <row r="3122" spans="1:223" ht="19.5" customHeight="1" x14ac:dyDescent="0.4">
      <c r="A3122" s="4">
        <v>1</v>
      </c>
      <c r="B3122" s="4" t="s">
        <v>239</v>
      </c>
      <c r="C3122" s="4">
        <v>4825</v>
      </c>
      <c r="D3122" s="4">
        <v>1</v>
      </c>
      <c r="E3122" s="4">
        <v>1</v>
      </c>
      <c r="F3122" s="4" t="s">
        <v>268</v>
      </c>
      <c r="G3122" s="4" t="s">
        <v>241</v>
      </c>
      <c r="H3122" s="4" t="s">
        <v>241</v>
      </c>
      <c r="I3122" s="4" t="s">
        <v>424</v>
      </c>
      <c r="J3122" s="4" t="s">
        <v>274</v>
      </c>
      <c r="K3122" s="4" t="s">
        <v>251</v>
      </c>
      <c r="L3122" s="4" t="s">
        <v>423</v>
      </c>
      <c r="M3122" s="5" t="s">
        <v>3680</v>
      </c>
      <c r="N3122" s="6">
        <f>2242</f>
        <v>2242</v>
      </c>
      <c r="O3122" s="4" t="s">
        <v>265</v>
      </c>
      <c r="P3122" s="6">
        <f>1</f>
        <v>1</v>
      </c>
      <c r="Q3122" s="6">
        <f>0</f>
        <v>0</v>
      </c>
      <c r="S3122" s="6">
        <f>0</f>
        <v>0</v>
      </c>
      <c r="T3122" s="6">
        <f>1</f>
        <v>1</v>
      </c>
      <c r="U3122" s="5" t="s">
        <v>245</v>
      </c>
      <c r="V3122" s="4" t="s">
        <v>270</v>
      </c>
      <c r="W3122" s="4" t="s">
        <v>271</v>
      </c>
      <c r="X3122" s="4" t="s">
        <v>273</v>
      </c>
      <c r="Y3122" s="4" t="s">
        <v>241</v>
      </c>
      <c r="AB3122" s="4" t="s">
        <v>241</v>
      </c>
      <c r="AD3122" s="5" t="s">
        <v>241</v>
      </c>
      <c r="AG3122" s="5" t="s">
        <v>246</v>
      </c>
      <c r="AH3122" s="4" t="s">
        <v>241</v>
      </c>
      <c r="AI3122" s="4" t="s">
        <v>247</v>
      </c>
      <c r="AJ3122" s="4" t="s">
        <v>248</v>
      </c>
      <c r="AZ3122" s="4" t="s">
        <v>249</v>
      </c>
      <c r="BA3122" s="4" t="s">
        <v>241</v>
      </c>
      <c r="BB3122" s="4" t="s">
        <v>250</v>
      </c>
      <c r="BC3122" s="4" t="s">
        <v>241</v>
      </c>
      <c r="BD3122" s="4" t="s">
        <v>252</v>
      </c>
      <c r="BE3122" s="4" t="s">
        <v>241</v>
      </c>
      <c r="BI3122" s="4" t="s">
        <v>253</v>
      </c>
      <c r="BJ3122" s="5" t="s">
        <v>246</v>
      </c>
      <c r="BK3122" s="4" t="s">
        <v>254</v>
      </c>
      <c r="BL3122" s="4" t="s">
        <v>255</v>
      </c>
      <c r="BM3122" s="4" t="s">
        <v>241</v>
      </c>
      <c r="BN3122" s="6">
        <f>0</f>
        <v>0</v>
      </c>
      <c r="BO3122" s="6">
        <f>0</f>
        <v>0</v>
      </c>
      <c r="BP3122" s="4" t="s">
        <v>256</v>
      </c>
      <c r="BQ3122" s="4" t="s">
        <v>257</v>
      </c>
      <c r="CE3122" s="4" t="s">
        <v>241</v>
      </c>
      <c r="CF3122" s="4" t="s">
        <v>241</v>
      </c>
      <c r="CJ3122" s="4" t="s">
        <v>276</v>
      </c>
      <c r="CK3122" s="4" t="s">
        <v>259</v>
      </c>
      <c r="CL3122" s="4" t="s">
        <v>241</v>
      </c>
      <c r="CO3122" s="5" t="s">
        <v>260</v>
      </c>
      <c r="CP3122" s="4" t="s">
        <v>241</v>
      </c>
      <c r="CQ3122" s="4" t="s">
        <v>261</v>
      </c>
      <c r="CR3122" s="4" t="s">
        <v>241</v>
      </c>
      <c r="CS3122" s="4" t="s">
        <v>241</v>
      </c>
      <c r="CT3122" s="4">
        <v>0</v>
      </c>
      <c r="CU3122" s="4" t="s">
        <v>262</v>
      </c>
      <c r="CV3122" s="4" t="s">
        <v>263</v>
      </c>
      <c r="CW3122" s="4" t="s">
        <v>263</v>
      </c>
      <c r="CX3122" s="4" t="s">
        <v>264</v>
      </c>
      <c r="DA3122" s="6">
        <f>1</f>
        <v>1</v>
      </c>
      <c r="DC3122" s="4" t="s">
        <v>325</v>
      </c>
      <c r="DD3122" s="4" t="s">
        <v>241</v>
      </c>
      <c r="DF3122" s="4" t="s">
        <v>325</v>
      </c>
      <c r="DG3122" s="6">
        <f>2242</f>
        <v>2242</v>
      </c>
      <c r="DI3122" s="4" t="s">
        <v>241</v>
      </c>
      <c r="DJ3122" s="4" t="s">
        <v>241</v>
      </c>
      <c r="DK3122" s="4" t="s">
        <v>241</v>
      </c>
      <c r="DL3122" s="4" t="s">
        <v>241</v>
      </c>
      <c r="DP3122" s="4" t="s">
        <v>241</v>
      </c>
      <c r="DQ3122" s="4" t="s">
        <v>241</v>
      </c>
      <c r="DR3122" s="4" t="s">
        <v>241</v>
      </c>
      <c r="DS3122" s="4" t="s">
        <v>241</v>
      </c>
      <c r="DV3122" s="4" t="s">
        <v>426</v>
      </c>
      <c r="DW3122" s="4" t="s">
        <v>3681</v>
      </c>
      <c r="HO3122" s="4" t="s">
        <v>267</v>
      </c>
    </row>
    <row r="3123" spans="1:223" ht="19.5" customHeight="1" x14ac:dyDescent="0.4">
      <c r="A3123" s="4">
        <v>1</v>
      </c>
      <c r="B3123" s="4" t="s">
        <v>239</v>
      </c>
      <c r="C3123" s="4">
        <v>4826</v>
      </c>
      <c r="D3123" s="4">
        <v>1</v>
      </c>
      <c r="E3123" s="4">
        <v>1</v>
      </c>
      <c r="F3123" s="4" t="s">
        <v>268</v>
      </c>
      <c r="G3123" s="4" t="s">
        <v>241</v>
      </c>
      <c r="H3123" s="4" t="s">
        <v>241</v>
      </c>
      <c r="I3123" s="4" t="s">
        <v>424</v>
      </c>
      <c r="J3123" s="4" t="s">
        <v>274</v>
      </c>
      <c r="K3123" s="4" t="s">
        <v>251</v>
      </c>
      <c r="L3123" s="4" t="s">
        <v>423</v>
      </c>
      <c r="M3123" s="5" t="s">
        <v>4815</v>
      </c>
      <c r="N3123" s="6">
        <f>1177</f>
        <v>1177</v>
      </c>
      <c r="O3123" s="4" t="s">
        <v>265</v>
      </c>
      <c r="P3123" s="6">
        <f>1</f>
        <v>1</v>
      </c>
      <c r="Q3123" s="6">
        <f>0</f>
        <v>0</v>
      </c>
      <c r="S3123" s="6">
        <f>0</f>
        <v>0</v>
      </c>
      <c r="T3123" s="6">
        <f>1</f>
        <v>1</v>
      </c>
      <c r="U3123" s="5" t="s">
        <v>245</v>
      </c>
      <c r="V3123" s="4" t="s">
        <v>270</v>
      </c>
      <c r="W3123" s="4" t="s">
        <v>271</v>
      </c>
      <c r="X3123" s="4" t="s">
        <v>273</v>
      </c>
      <c r="Y3123" s="4" t="s">
        <v>241</v>
      </c>
      <c r="AB3123" s="4" t="s">
        <v>241</v>
      </c>
      <c r="AD3123" s="5" t="s">
        <v>241</v>
      </c>
      <c r="AG3123" s="5" t="s">
        <v>246</v>
      </c>
      <c r="AH3123" s="4" t="s">
        <v>241</v>
      </c>
      <c r="AI3123" s="4" t="s">
        <v>247</v>
      </c>
      <c r="AJ3123" s="4" t="s">
        <v>248</v>
      </c>
      <c r="AZ3123" s="4" t="s">
        <v>249</v>
      </c>
      <c r="BA3123" s="4" t="s">
        <v>241</v>
      </c>
      <c r="BB3123" s="4" t="s">
        <v>250</v>
      </c>
      <c r="BC3123" s="4" t="s">
        <v>241</v>
      </c>
      <c r="BD3123" s="4" t="s">
        <v>252</v>
      </c>
      <c r="BE3123" s="4" t="s">
        <v>241</v>
      </c>
      <c r="BI3123" s="4" t="s">
        <v>253</v>
      </c>
      <c r="BJ3123" s="5" t="s">
        <v>246</v>
      </c>
      <c r="BK3123" s="4" t="s">
        <v>254</v>
      </c>
      <c r="BL3123" s="4" t="s">
        <v>255</v>
      </c>
      <c r="BM3123" s="4" t="s">
        <v>241</v>
      </c>
      <c r="BN3123" s="6">
        <f>0</f>
        <v>0</v>
      </c>
      <c r="BO3123" s="6">
        <f>0</f>
        <v>0</v>
      </c>
      <c r="BP3123" s="4" t="s">
        <v>256</v>
      </c>
      <c r="BQ3123" s="4" t="s">
        <v>257</v>
      </c>
      <c r="CE3123" s="4" t="s">
        <v>241</v>
      </c>
      <c r="CF3123" s="4" t="s">
        <v>241</v>
      </c>
      <c r="CJ3123" s="4" t="s">
        <v>276</v>
      </c>
      <c r="CK3123" s="4" t="s">
        <v>259</v>
      </c>
      <c r="CL3123" s="4" t="s">
        <v>241</v>
      </c>
      <c r="CO3123" s="5" t="s">
        <v>260</v>
      </c>
      <c r="CP3123" s="4" t="s">
        <v>241</v>
      </c>
      <c r="CQ3123" s="4" t="s">
        <v>261</v>
      </c>
      <c r="CR3123" s="4" t="s">
        <v>241</v>
      </c>
      <c r="CS3123" s="4" t="s">
        <v>241</v>
      </c>
      <c r="CT3123" s="4">
        <v>0</v>
      </c>
      <c r="CU3123" s="4" t="s">
        <v>262</v>
      </c>
      <c r="CV3123" s="4" t="s">
        <v>263</v>
      </c>
      <c r="CW3123" s="4" t="s">
        <v>263</v>
      </c>
      <c r="CX3123" s="4" t="s">
        <v>264</v>
      </c>
      <c r="DA3123" s="6">
        <f>1</f>
        <v>1</v>
      </c>
      <c r="DC3123" s="4" t="s">
        <v>325</v>
      </c>
      <c r="DD3123" s="4" t="s">
        <v>241</v>
      </c>
      <c r="DF3123" s="4" t="s">
        <v>325</v>
      </c>
      <c r="DG3123" s="6">
        <f>1177</f>
        <v>1177</v>
      </c>
      <c r="DI3123" s="4" t="s">
        <v>241</v>
      </c>
      <c r="DJ3123" s="4" t="s">
        <v>241</v>
      </c>
      <c r="DK3123" s="4" t="s">
        <v>241</v>
      </c>
      <c r="DL3123" s="4" t="s">
        <v>241</v>
      </c>
      <c r="DP3123" s="4" t="s">
        <v>241</v>
      </c>
      <c r="DQ3123" s="4" t="s">
        <v>241</v>
      </c>
      <c r="DR3123" s="4" t="s">
        <v>241</v>
      </c>
      <c r="DS3123" s="4" t="s">
        <v>241</v>
      </c>
      <c r="DV3123" s="4" t="s">
        <v>426</v>
      </c>
      <c r="DW3123" s="4" t="s">
        <v>1442</v>
      </c>
      <c r="HO3123" s="4" t="s">
        <v>267</v>
      </c>
    </row>
    <row r="3124" spans="1:223" ht="19.5" customHeight="1" x14ac:dyDescent="0.4">
      <c r="A3124" s="4">
        <v>1</v>
      </c>
      <c r="B3124" s="4" t="s">
        <v>239</v>
      </c>
      <c r="C3124" s="4">
        <v>4827</v>
      </c>
      <c r="D3124" s="4">
        <v>1</v>
      </c>
      <c r="E3124" s="4">
        <v>1</v>
      </c>
      <c r="F3124" s="4" t="s">
        <v>268</v>
      </c>
      <c r="G3124" s="4" t="s">
        <v>241</v>
      </c>
      <c r="H3124" s="4" t="s">
        <v>241</v>
      </c>
      <c r="I3124" s="4" t="s">
        <v>424</v>
      </c>
      <c r="J3124" s="4" t="s">
        <v>274</v>
      </c>
      <c r="K3124" s="4" t="s">
        <v>251</v>
      </c>
      <c r="L3124" s="4" t="s">
        <v>423</v>
      </c>
      <c r="M3124" s="5" t="s">
        <v>3668</v>
      </c>
      <c r="N3124" s="6">
        <f>6.86</f>
        <v>6.86</v>
      </c>
      <c r="O3124" s="4" t="s">
        <v>265</v>
      </c>
      <c r="P3124" s="6">
        <f>1</f>
        <v>1</v>
      </c>
      <c r="Q3124" s="6">
        <f>0</f>
        <v>0</v>
      </c>
      <c r="S3124" s="6">
        <f>0</f>
        <v>0</v>
      </c>
      <c r="T3124" s="6">
        <f>1</f>
        <v>1</v>
      </c>
      <c r="U3124" s="5" t="s">
        <v>245</v>
      </c>
      <c r="V3124" s="4" t="s">
        <v>270</v>
      </c>
      <c r="W3124" s="4" t="s">
        <v>271</v>
      </c>
      <c r="X3124" s="4" t="s">
        <v>273</v>
      </c>
      <c r="Y3124" s="4" t="s">
        <v>241</v>
      </c>
      <c r="AB3124" s="4" t="s">
        <v>241</v>
      </c>
      <c r="AD3124" s="5" t="s">
        <v>241</v>
      </c>
      <c r="AG3124" s="5" t="s">
        <v>246</v>
      </c>
      <c r="AH3124" s="4" t="s">
        <v>241</v>
      </c>
      <c r="AI3124" s="4" t="s">
        <v>247</v>
      </c>
      <c r="AJ3124" s="4" t="s">
        <v>248</v>
      </c>
      <c r="AZ3124" s="4" t="s">
        <v>249</v>
      </c>
      <c r="BA3124" s="4" t="s">
        <v>241</v>
      </c>
      <c r="BB3124" s="4" t="s">
        <v>250</v>
      </c>
      <c r="BC3124" s="4" t="s">
        <v>241</v>
      </c>
      <c r="BD3124" s="4" t="s">
        <v>252</v>
      </c>
      <c r="BE3124" s="4" t="s">
        <v>241</v>
      </c>
      <c r="BI3124" s="4" t="s">
        <v>253</v>
      </c>
      <c r="BJ3124" s="5" t="s">
        <v>246</v>
      </c>
      <c r="BK3124" s="4" t="s">
        <v>254</v>
      </c>
      <c r="BL3124" s="4" t="s">
        <v>255</v>
      </c>
      <c r="BM3124" s="4" t="s">
        <v>241</v>
      </c>
      <c r="BN3124" s="6">
        <f>0</f>
        <v>0</v>
      </c>
      <c r="BO3124" s="6">
        <f>0</f>
        <v>0</v>
      </c>
      <c r="BP3124" s="4" t="s">
        <v>256</v>
      </c>
      <c r="BQ3124" s="4" t="s">
        <v>257</v>
      </c>
      <c r="CE3124" s="4" t="s">
        <v>241</v>
      </c>
      <c r="CF3124" s="4" t="s">
        <v>241</v>
      </c>
      <c r="CJ3124" s="4" t="s">
        <v>276</v>
      </c>
      <c r="CK3124" s="4" t="s">
        <v>259</v>
      </c>
      <c r="CL3124" s="4" t="s">
        <v>241</v>
      </c>
      <c r="CO3124" s="5" t="s">
        <v>260</v>
      </c>
      <c r="CP3124" s="4" t="s">
        <v>241</v>
      </c>
      <c r="CQ3124" s="4" t="s">
        <v>261</v>
      </c>
      <c r="CR3124" s="4" t="s">
        <v>241</v>
      </c>
      <c r="CS3124" s="4" t="s">
        <v>241</v>
      </c>
      <c r="CT3124" s="4">
        <v>0</v>
      </c>
      <c r="CU3124" s="4" t="s">
        <v>262</v>
      </c>
      <c r="CV3124" s="4" t="s">
        <v>263</v>
      </c>
      <c r="CW3124" s="4" t="s">
        <v>263</v>
      </c>
      <c r="CX3124" s="4" t="s">
        <v>264</v>
      </c>
      <c r="DA3124" s="6">
        <f>1</f>
        <v>1</v>
      </c>
      <c r="DC3124" s="4" t="s">
        <v>325</v>
      </c>
      <c r="DD3124" s="4" t="s">
        <v>241</v>
      </c>
      <c r="DF3124" s="4" t="s">
        <v>325</v>
      </c>
      <c r="DG3124" s="6">
        <f>6.86</f>
        <v>6.86</v>
      </c>
      <c r="DI3124" s="4" t="s">
        <v>241</v>
      </c>
      <c r="DJ3124" s="4" t="s">
        <v>241</v>
      </c>
      <c r="DK3124" s="4" t="s">
        <v>241</v>
      </c>
      <c r="DL3124" s="4" t="s">
        <v>241</v>
      </c>
      <c r="DP3124" s="4" t="s">
        <v>241</v>
      </c>
      <c r="DQ3124" s="4" t="s">
        <v>241</v>
      </c>
      <c r="DR3124" s="4" t="s">
        <v>241</v>
      </c>
      <c r="DS3124" s="4" t="s">
        <v>241</v>
      </c>
      <c r="DV3124" s="4" t="s">
        <v>426</v>
      </c>
      <c r="DW3124" s="4" t="s">
        <v>1027</v>
      </c>
      <c r="HO3124" s="4" t="s">
        <v>267</v>
      </c>
    </row>
    <row r="3125" spans="1:223" ht="19.5" customHeight="1" x14ac:dyDescent="0.4">
      <c r="A3125" s="4">
        <v>1</v>
      </c>
      <c r="B3125" s="4" t="s">
        <v>239</v>
      </c>
      <c r="C3125" s="4">
        <v>4828</v>
      </c>
      <c r="D3125" s="4">
        <v>1</v>
      </c>
      <c r="E3125" s="4">
        <v>1</v>
      </c>
      <c r="F3125" s="4" t="s">
        <v>268</v>
      </c>
      <c r="G3125" s="4" t="s">
        <v>241</v>
      </c>
      <c r="H3125" s="4" t="s">
        <v>241</v>
      </c>
      <c r="I3125" s="4" t="s">
        <v>424</v>
      </c>
      <c r="J3125" s="4" t="s">
        <v>274</v>
      </c>
      <c r="K3125" s="4" t="s">
        <v>251</v>
      </c>
      <c r="L3125" s="4" t="s">
        <v>423</v>
      </c>
      <c r="M3125" s="5" t="s">
        <v>3666</v>
      </c>
      <c r="N3125" s="6">
        <f>33</f>
        <v>33</v>
      </c>
      <c r="O3125" s="4" t="s">
        <v>265</v>
      </c>
      <c r="P3125" s="6">
        <f>1</f>
        <v>1</v>
      </c>
      <c r="Q3125" s="6">
        <f>0</f>
        <v>0</v>
      </c>
      <c r="S3125" s="6">
        <f>0</f>
        <v>0</v>
      </c>
      <c r="T3125" s="6">
        <f>1</f>
        <v>1</v>
      </c>
      <c r="U3125" s="5" t="s">
        <v>245</v>
      </c>
      <c r="V3125" s="4" t="s">
        <v>270</v>
      </c>
      <c r="W3125" s="4" t="s">
        <v>271</v>
      </c>
      <c r="X3125" s="4" t="s">
        <v>273</v>
      </c>
      <c r="Y3125" s="4" t="s">
        <v>241</v>
      </c>
      <c r="AB3125" s="4" t="s">
        <v>241</v>
      </c>
      <c r="AD3125" s="5" t="s">
        <v>241</v>
      </c>
      <c r="AG3125" s="5" t="s">
        <v>246</v>
      </c>
      <c r="AH3125" s="4" t="s">
        <v>241</v>
      </c>
      <c r="AI3125" s="4" t="s">
        <v>247</v>
      </c>
      <c r="AJ3125" s="4" t="s">
        <v>248</v>
      </c>
      <c r="AZ3125" s="4" t="s">
        <v>249</v>
      </c>
      <c r="BA3125" s="4" t="s">
        <v>241</v>
      </c>
      <c r="BB3125" s="4" t="s">
        <v>250</v>
      </c>
      <c r="BC3125" s="4" t="s">
        <v>241</v>
      </c>
      <c r="BD3125" s="4" t="s">
        <v>252</v>
      </c>
      <c r="BE3125" s="4" t="s">
        <v>241</v>
      </c>
      <c r="BI3125" s="4" t="s">
        <v>253</v>
      </c>
      <c r="BJ3125" s="5" t="s">
        <v>246</v>
      </c>
      <c r="BK3125" s="4" t="s">
        <v>254</v>
      </c>
      <c r="BL3125" s="4" t="s">
        <v>255</v>
      </c>
      <c r="BM3125" s="4" t="s">
        <v>241</v>
      </c>
      <c r="BN3125" s="6">
        <f>0</f>
        <v>0</v>
      </c>
      <c r="BO3125" s="6">
        <f>0</f>
        <v>0</v>
      </c>
      <c r="BP3125" s="4" t="s">
        <v>256</v>
      </c>
      <c r="BQ3125" s="4" t="s">
        <v>257</v>
      </c>
      <c r="CE3125" s="4" t="s">
        <v>241</v>
      </c>
      <c r="CF3125" s="4" t="s">
        <v>241</v>
      </c>
      <c r="CJ3125" s="4" t="s">
        <v>276</v>
      </c>
      <c r="CK3125" s="4" t="s">
        <v>259</v>
      </c>
      <c r="CL3125" s="4" t="s">
        <v>241</v>
      </c>
      <c r="CO3125" s="5" t="s">
        <v>260</v>
      </c>
      <c r="CP3125" s="4" t="s">
        <v>241</v>
      </c>
      <c r="CQ3125" s="4" t="s">
        <v>261</v>
      </c>
      <c r="CR3125" s="4" t="s">
        <v>241</v>
      </c>
      <c r="CS3125" s="4" t="s">
        <v>241</v>
      </c>
      <c r="CT3125" s="4">
        <v>0</v>
      </c>
      <c r="CU3125" s="4" t="s">
        <v>262</v>
      </c>
      <c r="CV3125" s="4" t="s">
        <v>263</v>
      </c>
      <c r="CW3125" s="4" t="s">
        <v>263</v>
      </c>
      <c r="CX3125" s="4" t="s">
        <v>264</v>
      </c>
      <c r="DA3125" s="6">
        <f>1</f>
        <v>1</v>
      </c>
      <c r="DC3125" s="4" t="s">
        <v>325</v>
      </c>
      <c r="DD3125" s="4" t="s">
        <v>241</v>
      </c>
      <c r="DF3125" s="4" t="s">
        <v>325</v>
      </c>
      <c r="DG3125" s="6">
        <f>33</f>
        <v>33</v>
      </c>
      <c r="DI3125" s="4" t="s">
        <v>241</v>
      </c>
      <c r="DJ3125" s="4" t="s">
        <v>241</v>
      </c>
      <c r="DK3125" s="4" t="s">
        <v>241</v>
      </c>
      <c r="DL3125" s="4" t="s">
        <v>241</v>
      </c>
      <c r="DP3125" s="4" t="s">
        <v>241</v>
      </c>
      <c r="DQ3125" s="4" t="s">
        <v>241</v>
      </c>
      <c r="DR3125" s="4" t="s">
        <v>241</v>
      </c>
      <c r="DS3125" s="4" t="s">
        <v>241</v>
      </c>
      <c r="DV3125" s="4" t="s">
        <v>426</v>
      </c>
      <c r="DW3125" s="4" t="s">
        <v>1152</v>
      </c>
      <c r="HO3125" s="4" t="s">
        <v>267</v>
      </c>
    </row>
    <row r="3126" spans="1:223" ht="19.5" customHeight="1" x14ac:dyDescent="0.4">
      <c r="A3126" s="4">
        <v>1</v>
      </c>
      <c r="B3126" s="4" t="s">
        <v>239</v>
      </c>
      <c r="C3126" s="4">
        <v>4829</v>
      </c>
      <c r="D3126" s="4">
        <v>1</v>
      </c>
      <c r="E3126" s="4">
        <v>1</v>
      </c>
      <c r="F3126" s="4" t="s">
        <v>268</v>
      </c>
      <c r="G3126" s="4" t="s">
        <v>241</v>
      </c>
      <c r="H3126" s="4" t="s">
        <v>241</v>
      </c>
      <c r="I3126" s="4" t="s">
        <v>424</v>
      </c>
      <c r="J3126" s="4" t="s">
        <v>274</v>
      </c>
      <c r="K3126" s="4" t="s">
        <v>251</v>
      </c>
      <c r="L3126" s="4" t="s">
        <v>423</v>
      </c>
      <c r="M3126" s="5" t="s">
        <v>3664</v>
      </c>
      <c r="N3126" s="6">
        <f>2153</f>
        <v>2153</v>
      </c>
      <c r="O3126" s="4" t="s">
        <v>265</v>
      </c>
      <c r="P3126" s="6">
        <f>1</f>
        <v>1</v>
      </c>
      <c r="Q3126" s="6">
        <f>0</f>
        <v>0</v>
      </c>
      <c r="S3126" s="6">
        <f>0</f>
        <v>0</v>
      </c>
      <c r="T3126" s="6">
        <f>1</f>
        <v>1</v>
      </c>
      <c r="U3126" s="5" t="s">
        <v>245</v>
      </c>
      <c r="V3126" s="4" t="s">
        <v>270</v>
      </c>
      <c r="W3126" s="4" t="s">
        <v>271</v>
      </c>
      <c r="X3126" s="4" t="s">
        <v>273</v>
      </c>
      <c r="Y3126" s="4" t="s">
        <v>241</v>
      </c>
      <c r="AB3126" s="4" t="s">
        <v>241</v>
      </c>
      <c r="AD3126" s="5" t="s">
        <v>241</v>
      </c>
      <c r="AG3126" s="5" t="s">
        <v>246</v>
      </c>
      <c r="AH3126" s="4" t="s">
        <v>241</v>
      </c>
      <c r="AI3126" s="4" t="s">
        <v>247</v>
      </c>
      <c r="AJ3126" s="4" t="s">
        <v>248</v>
      </c>
      <c r="AZ3126" s="4" t="s">
        <v>249</v>
      </c>
      <c r="BA3126" s="4" t="s">
        <v>241</v>
      </c>
      <c r="BB3126" s="4" t="s">
        <v>250</v>
      </c>
      <c r="BC3126" s="4" t="s">
        <v>241</v>
      </c>
      <c r="BD3126" s="4" t="s">
        <v>252</v>
      </c>
      <c r="BE3126" s="4" t="s">
        <v>241</v>
      </c>
      <c r="BI3126" s="4" t="s">
        <v>253</v>
      </c>
      <c r="BJ3126" s="5" t="s">
        <v>246</v>
      </c>
      <c r="BK3126" s="4" t="s">
        <v>254</v>
      </c>
      <c r="BL3126" s="4" t="s">
        <v>255</v>
      </c>
      <c r="BM3126" s="4" t="s">
        <v>241</v>
      </c>
      <c r="BN3126" s="6">
        <f>0</f>
        <v>0</v>
      </c>
      <c r="BO3126" s="6">
        <f>0</f>
        <v>0</v>
      </c>
      <c r="BP3126" s="4" t="s">
        <v>256</v>
      </c>
      <c r="BQ3126" s="4" t="s">
        <v>257</v>
      </c>
      <c r="CE3126" s="4" t="s">
        <v>241</v>
      </c>
      <c r="CF3126" s="4" t="s">
        <v>241</v>
      </c>
      <c r="CJ3126" s="4" t="s">
        <v>276</v>
      </c>
      <c r="CK3126" s="4" t="s">
        <v>259</v>
      </c>
      <c r="CL3126" s="4" t="s">
        <v>241</v>
      </c>
      <c r="CO3126" s="5" t="s">
        <v>260</v>
      </c>
      <c r="CP3126" s="4" t="s">
        <v>241</v>
      </c>
      <c r="CQ3126" s="4" t="s">
        <v>261</v>
      </c>
      <c r="CR3126" s="4" t="s">
        <v>241</v>
      </c>
      <c r="CS3126" s="4" t="s">
        <v>241</v>
      </c>
      <c r="CT3126" s="4">
        <v>0</v>
      </c>
      <c r="CU3126" s="4" t="s">
        <v>262</v>
      </c>
      <c r="CV3126" s="4" t="s">
        <v>263</v>
      </c>
      <c r="CW3126" s="4" t="s">
        <v>263</v>
      </c>
      <c r="CX3126" s="4" t="s">
        <v>264</v>
      </c>
      <c r="DA3126" s="6">
        <f>1</f>
        <v>1</v>
      </c>
      <c r="DC3126" s="4" t="s">
        <v>325</v>
      </c>
      <c r="DD3126" s="4" t="s">
        <v>241</v>
      </c>
      <c r="DF3126" s="4" t="s">
        <v>325</v>
      </c>
      <c r="DG3126" s="6">
        <f>2153</f>
        <v>2153</v>
      </c>
      <c r="DI3126" s="4" t="s">
        <v>241</v>
      </c>
      <c r="DJ3126" s="4" t="s">
        <v>241</v>
      </c>
      <c r="DK3126" s="4" t="s">
        <v>241</v>
      </c>
      <c r="DL3126" s="4" t="s">
        <v>241</v>
      </c>
      <c r="DP3126" s="4" t="s">
        <v>241</v>
      </c>
      <c r="DQ3126" s="4" t="s">
        <v>241</v>
      </c>
      <c r="DR3126" s="4" t="s">
        <v>241</v>
      </c>
      <c r="DS3126" s="4" t="s">
        <v>241</v>
      </c>
      <c r="DV3126" s="4" t="s">
        <v>426</v>
      </c>
      <c r="DW3126" s="4" t="s">
        <v>1434</v>
      </c>
      <c r="HO3126" s="4" t="s">
        <v>267</v>
      </c>
    </row>
    <row r="3127" spans="1:223" ht="19.5" customHeight="1" x14ac:dyDescent="0.4">
      <c r="A3127" s="4">
        <v>1</v>
      </c>
      <c r="B3127" s="4" t="s">
        <v>239</v>
      </c>
      <c r="C3127" s="4">
        <v>4830</v>
      </c>
      <c r="D3127" s="4">
        <v>1</v>
      </c>
      <c r="E3127" s="4">
        <v>1</v>
      </c>
      <c r="F3127" s="4" t="s">
        <v>268</v>
      </c>
      <c r="G3127" s="4" t="s">
        <v>241</v>
      </c>
      <c r="H3127" s="4" t="s">
        <v>241</v>
      </c>
      <c r="I3127" s="4" t="s">
        <v>424</v>
      </c>
      <c r="J3127" s="4" t="s">
        <v>274</v>
      </c>
      <c r="K3127" s="4" t="s">
        <v>251</v>
      </c>
      <c r="L3127" s="4" t="s">
        <v>423</v>
      </c>
      <c r="M3127" s="5" t="s">
        <v>3662</v>
      </c>
      <c r="N3127" s="6">
        <f>1200</f>
        <v>1200</v>
      </c>
      <c r="O3127" s="4" t="s">
        <v>265</v>
      </c>
      <c r="P3127" s="6">
        <f>1</f>
        <v>1</v>
      </c>
      <c r="Q3127" s="6">
        <f>0</f>
        <v>0</v>
      </c>
      <c r="S3127" s="6">
        <f>0</f>
        <v>0</v>
      </c>
      <c r="T3127" s="6">
        <f>1</f>
        <v>1</v>
      </c>
      <c r="U3127" s="5" t="s">
        <v>245</v>
      </c>
      <c r="V3127" s="4" t="s">
        <v>270</v>
      </c>
      <c r="W3127" s="4" t="s">
        <v>271</v>
      </c>
      <c r="X3127" s="4" t="s">
        <v>273</v>
      </c>
      <c r="Y3127" s="4" t="s">
        <v>241</v>
      </c>
      <c r="AB3127" s="4" t="s">
        <v>241</v>
      </c>
      <c r="AD3127" s="5" t="s">
        <v>241</v>
      </c>
      <c r="AG3127" s="5" t="s">
        <v>246</v>
      </c>
      <c r="AH3127" s="4" t="s">
        <v>241</v>
      </c>
      <c r="AI3127" s="4" t="s">
        <v>247</v>
      </c>
      <c r="AJ3127" s="4" t="s">
        <v>248</v>
      </c>
      <c r="AZ3127" s="4" t="s">
        <v>249</v>
      </c>
      <c r="BA3127" s="4" t="s">
        <v>241</v>
      </c>
      <c r="BB3127" s="4" t="s">
        <v>250</v>
      </c>
      <c r="BC3127" s="4" t="s">
        <v>241</v>
      </c>
      <c r="BD3127" s="4" t="s">
        <v>252</v>
      </c>
      <c r="BE3127" s="4" t="s">
        <v>241</v>
      </c>
      <c r="BI3127" s="4" t="s">
        <v>253</v>
      </c>
      <c r="BJ3127" s="5" t="s">
        <v>246</v>
      </c>
      <c r="BK3127" s="4" t="s">
        <v>254</v>
      </c>
      <c r="BL3127" s="4" t="s">
        <v>255</v>
      </c>
      <c r="BM3127" s="4" t="s">
        <v>241</v>
      </c>
      <c r="BN3127" s="6">
        <f>0</f>
        <v>0</v>
      </c>
      <c r="BO3127" s="6">
        <f>0</f>
        <v>0</v>
      </c>
      <c r="BP3127" s="4" t="s">
        <v>256</v>
      </c>
      <c r="BQ3127" s="4" t="s">
        <v>257</v>
      </c>
      <c r="CE3127" s="4" t="s">
        <v>241</v>
      </c>
      <c r="CF3127" s="4" t="s">
        <v>241</v>
      </c>
      <c r="CJ3127" s="4" t="s">
        <v>276</v>
      </c>
      <c r="CK3127" s="4" t="s">
        <v>259</v>
      </c>
      <c r="CL3127" s="4" t="s">
        <v>241</v>
      </c>
      <c r="CO3127" s="5" t="s">
        <v>260</v>
      </c>
      <c r="CP3127" s="4" t="s">
        <v>241</v>
      </c>
      <c r="CQ3127" s="4" t="s">
        <v>261</v>
      </c>
      <c r="CR3127" s="4" t="s">
        <v>241</v>
      </c>
      <c r="CS3127" s="4" t="s">
        <v>241</v>
      </c>
      <c r="CT3127" s="4">
        <v>0</v>
      </c>
      <c r="CU3127" s="4" t="s">
        <v>262</v>
      </c>
      <c r="CV3127" s="4" t="s">
        <v>263</v>
      </c>
      <c r="CW3127" s="4" t="s">
        <v>263</v>
      </c>
      <c r="CX3127" s="4" t="s">
        <v>264</v>
      </c>
      <c r="DA3127" s="6">
        <f>1</f>
        <v>1</v>
      </c>
      <c r="DC3127" s="4" t="s">
        <v>325</v>
      </c>
      <c r="DD3127" s="4" t="s">
        <v>241</v>
      </c>
      <c r="DF3127" s="4" t="s">
        <v>325</v>
      </c>
      <c r="DG3127" s="6">
        <f>1200</f>
        <v>1200</v>
      </c>
      <c r="DI3127" s="4" t="s">
        <v>241</v>
      </c>
      <c r="DJ3127" s="4" t="s">
        <v>241</v>
      </c>
      <c r="DK3127" s="4" t="s">
        <v>241</v>
      </c>
      <c r="DL3127" s="4" t="s">
        <v>241</v>
      </c>
      <c r="DP3127" s="4" t="s">
        <v>241</v>
      </c>
      <c r="DQ3127" s="4" t="s">
        <v>241</v>
      </c>
      <c r="DR3127" s="4" t="s">
        <v>241</v>
      </c>
      <c r="DS3127" s="4" t="s">
        <v>241</v>
      </c>
      <c r="DV3127" s="4" t="s">
        <v>426</v>
      </c>
      <c r="DW3127" s="4" t="s">
        <v>1276</v>
      </c>
      <c r="HO3127" s="4" t="s">
        <v>267</v>
      </c>
    </row>
    <row r="3128" spans="1:223" ht="19.5" customHeight="1" x14ac:dyDescent="0.4">
      <c r="A3128" s="4">
        <v>1</v>
      </c>
      <c r="B3128" s="4" t="s">
        <v>239</v>
      </c>
      <c r="C3128" s="4">
        <v>4831</v>
      </c>
      <c r="D3128" s="4">
        <v>1</v>
      </c>
      <c r="E3128" s="4">
        <v>1</v>
      </c>
      <c r="F3128" s="4" t="s">
        <v>268</v>
      </c>
      <c r="G3128" s="4" t="s">
        <v>241</v>
      </c>
      <c r="H3128" s="4" t="s">
        <v>241</v>
      </c>
      <c r="I3128" s="4" t="s">
        <v>424</v>
      </c>
      <c r="J3128" s="4" t="s">
        <v>274</v>
      </c>
      <c r="K3128" s="4" t="s">
        <v>251</v>
      </c>
      <c r="L3128" s="4" t="s">
        <v>423</v>
      </c>
      <c r="M3128" s="5" t="s">
        <v>4798</v>
      </c>
      <c r="N3128" s="6">
        <f>2614</f>
        <v>2614</v>
      </c>
      <c r="O3128" s="4" t="s">
        <v>265</v>
      </c>
      <c r="P3128" s="6">
        <f>1</f>
        <v>1</v>
      </c>
      <c r="Q3128" s="6">
        <f>0</f>
        <v>0</v>
      </c>
      <c r="S3128" s="6">
        <f>0</f>
        <v>0</v>
      </c>
      <c r="T3128" s="6">
        <f>1</f>
        <v>1</v>
      </c>
      <c r="U3128" s="5" t="s">
        <v>245</v>
      </c>
      <c r="V3128" s="4" t="s">
        <v>270</v>
      </c>
      <c r="W3128" s="4" t="s">
        <v>271</v>
      </c>
      <c r="X3128" s="4" t="s">
        <v>273</v>
      </c>
      <c r="Y3128" s="4" t="s">
        <v>241</v>
      </c>
      <c r="AB3128" s="4" t="s">
        <v>241</v>
      </c>
      <c r="AD3128" s="5" t="s">
        <v>241</v>
      </c>
      <c r="AG3128" s="5" t="s">
        <v>246</v>
      </c>
      <c r="AH3128" s="4" t="s">
        <v>241</v>
      </c>
      <c r="AI3128" s="4" t="s">
        <v>247</v>
      </c>
      <c r="AJ3128" s="4" t="s">
        <v>248</v>
      </c>
      <c r="AZ3128" s="4" t="s">
        <v>249</v>
      </c>
      <c r="BA3128" s="4" t="s">
        <v>241</v>
      </c>
      <c r="BB3128" s="4" t="s">
        <v>250</v>
      </c>
      <c r="BC3128" s="4" t="s">
        <v>241</v>
      </c>
      <c r="BD3128" s="4" t="s">
        <v>252</v>
      </c>
      <c r="BE3128" s="4" t="s">
        <v>241</v>
      </c>
      <c r="BI3128" s="4" t="s">
        <v>253</v>
      </c>
      <c r="BJ3128" s="5" t="s">
        <v>246</v>
      </c>
      <c r="BK3128" s="4" t="s">
        <v>254</v>
      </c>
      <c r="BL3128" s="4" t="s">
        <v>255</v>
      </c>
      <c r="BM3128" s="4" t="s">
        <v>241</v>
      </c>
      <c r="BN3128" s="6">
        <f>0</f>
        <v>0</v>
      </c>
      <c r="BO3128" s="6">
        <f>0</f>
        <v>0</v>
      </c>
      <c r="BP3128" s="4" t="s">
        <v>256</v>
      </c>
      <c r="BQ3128" s="4" t="s">
        <v>257</v>
      </c>
      <c r="CE3128" s="4" t="s">
        <v>241</v>
      </c>
      <c r="CF3128" s="4" t="s">
        <v>241</v>
      </c>
      <c r="CJ3128" s="4" t="s">
        <v>276</v>
      </c>
      <c r="CK3128" s="4" t="s">
        <v>259</v>
      </c>
      <c r="CL3128" s="4" t="s">
        <v>241</v>
      </c>
      <c r="CO3128" s="5" t="s">
        <v>260</v>
      </c>
      <c r="CP3128" s="4" t="s">
        <v>241</v>
      </c>
      <c r="CQ3128" s="4" t="s">
        <v>261</v>
      </c>
      <c r="CR3128" s="4" t="s">
        <v>241</v>
      </c>
      <c r="CS3128" s="4" t="s">
        <v>241</v>
      </c>
      <c r="CT3128" s="4">
        <v>0</v>
      </c>
      <c r="CU3128" s="4" t="s">
        <v>262</v>
      </c>
      <c r="CV3128" s="4" t="s">
        <v>263</v>
      </c>
      <c r="CW3128" s="4" t="s">
        <v>263</v>
      </c>
      <c r="CX3128" s="4" t="s">
        <v>264</v>
      </c>
      <c r="DA3128" s="6">
        <f>1</f>
        <v>1</v>
      </c>
      <c r="DC3128" s="4" t="s">
        <v>325</v>
      </c>
      <c r="DD3128" s="4" t="s">
        <v>241</v>
      </c>
      <c r="DF3128" s="4" t="s">
        <v>325</v>
      </c>
      <c r="DG3128" s="6">
        <f>2614</f>
        <v>2614</v>
      </c>
      <c r="DI3128" s="4" t="s">
        <v>241</v>
      </c>
      <c r="DJ3128" s="4" t="s">
        <v>241</v>
      </c>
      <c r="DK3128" s="4" t="s">
        <v>241</v>
      </c>
      <c r="DL3128" s="4" t="s">
        <v>241</v>
      </c>
      <c r="DP3128" s="4" t="s">
        <v>241</v>
      </c>
      <c r="DQ3128" s="4" t="s">
        <v>241</v>
      </c>
      <c r="DR3128" s="4" t="s">
        <v>241</v>
      </c>
      <c r="DS3128" s="4" t="s">
        <v>241</v>
      </c>
      <c r="DV3128" s="4" t="s">
        <v>426</v>
      </c>
      <c r="DW3128" s="4" t="s">
        <v>1172</v>
      </c>
      <c r="HO3128" s="4" t="s">
        <v>267</v>
      </c>
    </row>
    <row r="3129" spans="1:223" ht="19.5" customHeight="1" x14ac:dyDescent="0.4">
      <c r="A3129" s="4">
        <v>1</v>
      </c>
      <c r="B3129" s="4" t="s">
        <v>239</v>
      </c>
      <c r="C3129" s="4">
        <v>4832</v>
      </c>
      <c r="D3129" s="4">
        <v>1</v>
      </c>
      <c r="E3129" s="4">
        <v>1</v>
      </c>
      <c r="F3129" s="4" t="s">
        <v>268</v>
      </c>
      <c r="G3129" s="4" t="s">
        <v>241</v>
      </c>
      <c r="H3129" s="4" t="s">
        <v>241</v>
      </c>
      <c r="I3129" s="4" t="s">
        <v>424</v>
      </c>
      <c r="J3129" s="4" t="s">
        <v>274</v>
      </c>
      <c r="K3129" s="4" t="s">
        <v>251</v>
      </c>
      <c r="L3129" s="4" t="s">
        <v>423</v>
      </c>
      <c r="M3129" s="5" t="s">
        <v>3658</v>
      </c>
      <c r="N3129" s="6">
        <f>305</f>
        <v>305</v>
      </c>
      <c r="O3129" s="4" t="s">
        <v>265</v>
      </c>
      <c r="P3129" s="6">
        <f>1</f>
        <v>1</v>
      </c>
      <c r="Q3129" s="6">
        <f>0</f>
        <v>0</v>
      </c>
      <c r="S3129" s="6">
        <f>0</f>
        <v>0</v>
      </c>
      <c r="T3129" s="6">
        <f>1</f>
        <v>1</v>
      </c>
      <c r="U3129" s="5" t="s">
        <v>245</v>
      </c>
      <c r="V3129" s="4" t="s">
        <v>270</v>
      </c>
      <c r="W3129" s="4" t="s">
        <v>271</v>
      </c>
      <c r="X3129" s="4" t="s">
        <v>273</v>
      </c>
      <c r="Y3129" s="4" t="s">
        <v>241</v>
      </c>
      <c r="AB3129" s="4" t="s">
        <v>241</v>
      </c>
      <c r="AD3129" s="5" t="s">
        <v>241</v>
      </c>
      <c r="AG3129" s="5" t="s">
        <v>246</v>
      </c>
      <c r="AH3129" s="4" t="s">
        <v>241</v>
      </c>
      <c r="AI3129" s="4" t="s">
        <v>247</v>
      </c>
      <c r="AJ3129" s="4" t="s">
        <v>248</v>
      </c>
      <c r="AZ3129" s="4" t="s">
        <v>249</v>
      </c>
      <c r="BA3129" s="4" t="s">
        <v>241</v>
      </c>
      <c r="BB3129" s="4" t="s">
        <v>250</v>
      </c>
      <c r="BC3129" s="4" t="s">
        <v>241</v>
      </c>
      <c r="BD3129" s="4" t="s">
        <v>252</v>
      </c>
      <c r="BE3129" s="4" t="s">
        <v>241</v>
      </c>
      <c r="BI3129" s="4" t="s">
        <v>253</v>
      </c>
      <c r="BJ3129" s="5" t="s">
        <v>246</v>
      </c>
      <c r="BK3129" s="4" t="s">
        <v>254</v>
      </c>
      <c r="BL3129" s="4" t="s">
        <v>255</v>
      </c>
      <c r="BM3129" s="4" t="s">
        <v>241</v>
      </c>
      <c r="BN3129" s="6">
        <f>0</f>
        <v>0</v>
      </c>
      <c r="BO3129" s="6">
        <f>0</f>
        <v>0</v>
      </c>
      <c r="BP3129" s="4" t="s">
        <v>256</v>
      </c>
      <c r="BQ3129" s="4" t="s">
        <v>257</v>
      </c>
      <c r="CE3129" s="4" t="s">
        <v>241</v>
      </c>
      <c r="CF3129" s="4" t="s">
        <v>241</v>
      </c>
      <c r="CJ3129" s="4" t="s">
        <v>276</v>
      </c>
      <c r="CK3129" s="4" t="s">
        <v>259</v>
      </c>
      <c r="CL3129" s="4" t="s">
        <v>241</v>
      </c>
      <c r="CO3129" s="5" t="s">
        <v>260</v>
      </c>
      <c r="CP3129" s="4" t="s">
        <v>241</v>
      </c>
      <c r="CQ3129" s="4" t="s">
        <v>261</v>
      </c>
      <c r="CR3129" s="4" t="s">
        <v>241</v>
      </c>
      <c r="CS3129" s="4" t="s">
        <v>241</v>
      </c>
      <c r="CT3129" s="4">
        <v>0</v>
      </c>
      <c r="CU3129" s="4" t="s">
        <v>262</v>
      </c>
      <c r="CV3129" s="4" t="s">
        <v>263</v>
      </c>
      <c r="CW3129" s="4" t="s">
        <v>263</v>
      </c>
      <c r="CX3129" s="4" t="s">
        <v>264</v>
      </c>
      <c r="DA3129" s="6">
        <f>1</f>
        <v>1</v>
      </c>
      <c r="DC3129" s="4" t="s">
        <v>325</v>
      </c>
      <c r="DD3129" s="4" t="s">
        <v>241</v>
      </c>
      <c r="DF3129" s="4" t="s">
        <v>325</v>
      </c>
      <c r="DG3129" s="6">
        <f>305</f>
        <v>305</v>
      </c>
      <c r="DI3129" s="4" t="s">
        <v>241</v>
      </c>
      <c r="DJ3129" s="4" t="s">
        <v>241</v>
      </c>
      <c r="DK3129" s="4" t="s">
        <v>241</v>
      </c>
      <c r="DL3129" s="4" t="s">
        <v>241</v>
      </c>
      <c r="DP3129" s="4" t="s">
        <v>241</v>
      </c>
      <c r="DQ3129" s="4" t="s">
        <v>241</v>
      </c>
      <c r="DR3129" s="4" t="s">
        <v>241</v>
      </c>
      <c r="DS3129" s="4" t="s">
        <v>241</v>
      </c>
      <c r="DV3129" s="4" t="s">
        <v>426</v>
      </c>
      <c r="DW3129" s="4" t="s">
        <v>1147</v>
      </c>
      <c r="HO3129" s="4" t="s">
        <v>267</v>
      </c>
    </row>
    <row r="3130" spans="1:223" ht="19.5" customHeight="1" x14ac:dyDescent="0.4">
      <c r="A3130" s="4">
        <v>1</v>
      </c>
      <c r="B3130" s="4" t="s">
        <v>239</v>
      </c>
      <c r="C3130" s="4">
        <v>4833</v>
      </c>
      <c r="D3130" s="4">
        <v>1</v>
      </c>
      <c r="E3130" s="4">
        <v>1</v>
      </c>
      <c r="F3130" s="4" t="s">
        <v>268</v>
      </c>
      <c r="G3130" s="4" t="s">
        <v>241</v>
      </c>
      <c r="H3130" s="4" t="s">
        <v>241</v>
      </c>
      <c r="I3130" s="4" t="s">
        <v>424</v>
      </c>
      <c r="J3130" s="4" t="s">
        <v>274</v>
      </c>
      <c r="K3130" s="4" t="s">
        <v>251</v>
      </c>
      <c r="L3130" s="4" t="s">
        <v>423</v>
      </c>
      <c r="M3130" s="5" t="s">
        <v>3653</v>
      </c>
      <c r="N3130" s="6">
        <f>383</f>
        <v>383</v>
      </c>
      <c r="O3130" s="4" t="s">
        <v>265</v>
      </c>
      <c r="P3130" s="6">
        <f>1</f>
        <v>1</v>
      </c>
      <c r="Q3130" s="6">
        <f>0</f>
        <v>0</v>
      </c>
      <c r="S3130" s="6">
        <f>0</f>
        <v>0</v>
      </c>
      <c r="T3130" s="6">
        <f>1</f>
        <v>1</v>
      </c>
      <c r="U3130" s="5" t="s">
        <v>245</v>
      </c>
      <c r="V3130" s="4" t="s">
        <v>270</v>
      </c>
      <c r="W3130" s="4" t="s">
        <v>271</v>
      </c>
      <c r="X3130" s="4" t="s">
        <v>273</v>
      </c>
      <c r="Y3130" s="4" t="s">
        <v>241</v>
      </c>
      <c r="AB3130" s="4" t="s">
        <v>241</v>
      </c>
      <c r="AD3130" s="5" t="s">
        <v>241</v>
      </c>
      <c r="AG3130" s="5" t="s">
        <v>246</v>
      </c>
      <c r="AH3130" s="4" t="s">
        <v>241</v>
      </c>
      <c r="AI3130" s="4" t="s">
        <v>247</v>
      </c>
      <c r="AJ3130" s="4" t="s">
        <v>248</v>
      </c>
      <c r="AZ3130" s="4" t="s">
        <v>249</v>
      </c>
      <c r="BA3130" s="4" t="s">
        <v>241</v>
      </c>
      <c r="BB3130" s="4" t="s">
        <v>250</v>
      </c>
      <c r="BC3130" s="4" t="s">
        <v>241</v>
      </c>
      <c r="BD3130" s="4" t="s">
        <v>252</v>
      </c>
      <c r="BE3130" s="4" t="s">
        <v>241</v>
      </c>
      <c r="BI3130" s="4" t="s">
        <v>253</v>
      </c>
      <c r="BJ3130" s="5" t="s">
        <v>246</v>
      </c>
      <c r="BK3130" s="4" t="s">
        <v>254</v>
      </c>
      <c r="BL3130" s="4" t="s">
        <v>255</v>
      </c>
      <c r="BM3130" s="4" t="s">
        <v>241</v>
      </c>
      <c r="BN3130" s="6">
        <f>0</f>
        <v>0</v>
      </c>
      <c r="BO3130" s="6">
        <f>0</f>
        <v>0</v>
      </c>
      <c r="BP3130" s="4" t="s">
        <v>256</v>
      </c>
      <c r="BQ3130" s="4" t="s">
        <v>257</v>
      </c>
      <c r="CE3130" s="4" t="s">
        <v>241</v>
      </c>
      <c r="CF3130" s="4" t="s">
        <v>241</v>
      </c>
      <c r="CJ3130" s="4" t="s">
        <v>276</v>
      </c>
      <c r="CK3130" s="4" t="s">
        <v>259</v>
      </c>
      <c r="CL3130" s="4" t="s">
        <v>241</v>
      </c>
      <c r="CO3130" s="5" t="s">
        <v>260</v>
      </c>
      <c r="CP3130" s="4" t="s">
        <v>241</v>
      </c>
      <c r="CQ3130" s="4" t="s">
        <v>261</v>
      </c>
      <c r="CR3130" s="4" t="s">
        <v>241</v>
      </c>
      <c r="CS3130" s="4" t="s">
        <v>241</v>
      </c>
      <c r="CT3130" s="4">
        <v>0</v>
      </c>
      <c r="CU3130" s="4" t="s">
        <v>262</v>
      </c>
      <c r="CV3130" s="4" t="s">
        <v>263</v>
      </c>
      <c r="CW3130" s="4" t="s">
        <v>263</v>
      </c>
      <c r="CX3130" s="4" t="s">
        <v>264</v>
      </c>
      <c r="DA3130" s="6">
        <f>1</f>
        <v>1</v>
      </c>
      <c r="DC3130" s="4" t="s">
        <v>325</v>
      </c>
      <c r="DD3130" s="4" t="s">
        <v>241</v>
      </c>
      <c r="DF3130" s="4" t="s">
        <v>325</v>
      </c>
      <c r="DG3130" s="6">
        <f>383</f>
        <v>383</v>
      </c>
      <c r="DI3130" s="4" t="s">
        <v>241</v>
      </c>
      <c r="DJ3130" s="4" t="s">
        <v>241</v>
      </c>
      <c r="DK3130" s="4" t="s">
        <v>241</v>
      </c>
      <c r="DL3130" s="4" t="s">
        <v>241</v>
      </c>
      <c r="DP3130" s="4" t="s">
        <v>241</v>
      </c>
      <c r="DQ3130" s="4" t="s">
        <v>241</v>
      </c>
      <c r="DR3130" s="4" t="s">
        <v>241</v>
      </c>
      <c r="DS3130" s="4" t="s">
        <v>241</v>
      </c>
      <c r="DV3130" s="4" t="s">
        <v>426</v>
      </c>
      <c r="DW3130" s="4" t="s">
        <v>3654</v>
      </c>
      <c r="HO3130" s="4" t="s">
        <v>267</v>
      </c>
    </row>
    <row r="3131" spans="1:223" ht="19.5" customHeight="1" x14ac:dyDescent="0.4">
      <c r="A3131" s="4">
        <v>1</v>
      </c>
      <c r="B3131" s="4" t="s">
        <v>239</v>
      </c>
      <c r="C3131" s="4">
        <v>4834</v>
      </c>
      <c r="D3131" s="4">
        <v>1</v>
      </c>
      <c r="E3131" s="4">
        <v>1</v>
      </c>
      <c r="F3131" s="4" t="s">
        <v>268</v>
      </c>
      <c r="G3131" s="4" t="s">
        <v>241</v>
      </c>
      <c r="H3131" s="4" t="s">
        <v>241</v>
      </c>
      <c r="I3131" s="4" t="s">
        <v>424</v>
      </c>
      <c r="J3131" s="4" t="s">
        <v>274</v>
      </c>
      <c r="K3131" s="4" t="s">
        <v>251</v>
      </c>
      <c r="L3131" s="4" t="s">
        <v>423</v>
      </c>
      <c r="M3131" s="5" t="s">
        <v>3650</v>
      </c>
      <c r="N3131" s="6">
        <f>362</f>
        <v>362</v>
      </c>
      <c r="O3131" s="4" t="s">
        <v>265</v>
      </c>
      <c r="P3131" s="6">
        <f>1</f>
        <v>1</v>
      </c>
      <c r="Q3131" s="6">
        <f>0</f>
        <v>0</v>
      </c>
      <c r="S3131" s="6">
        <f>0</f>
        <v>0</v>
      </c>
      <c r="T3131" s="6">
        <f>1</f>
        <v>1</v>
      </c>
      <c r="U3131" s="5" t="s">
        <v>245</v>
      </c>
      <c r="V3131" s="4" t="s">
        <v>270</v>
      </c>
      <c r="W3131" s="4" t="s">
        <v>271</v>
      </c>
      <c r="X3131" s="4" t="s">
        <v>273</v>
      </c>
      <c r="Y3131" s="4" t="s">
        <v>241</v>
      </c>
      <c r="AB3131" s="4" t="s">
        <v>241</v>
      </c>
      <c r="AD3131" s="5" t="s">
        <v>241</v>
      </c>
      <c r="AG3131" s="5" t="s">
        <v>246</v>
      </c>
      <c r="AH3131" s="4" t="s">
        <v>241</v>
      </c>
      <c r="AI3131" s="4" t="s">
        <v>247</v>
      </c>
      <c r="AJ3131" s="4" t="s">
        <v>248</v>
      </c>
      <c r="AZ3131" s="4" t="s">
        <v>249</v>
      </c>
      <c r="BA3131" s="4" t="s">
        <v>241</v>
      </c>
      <c r="BB3131" s="4" t="s">
        <v>250</v>
      </c>
      <c r="BC3131" s="4" t="s">
        <v>241</v>
      </c>
      <c r="BD3131" s="4" t="s">
        <v>252</v>
      </c>
      <c r="BE3131" s="4" t="s">
        <v>241</v>
      </c>
      <c r="BI3131" s="4" t="s">
        <v>253</v>
      </c>
      <c r="BJ3131" s="5" t="s">
        <v>246</v>
      </c>
      <c r="BK3131" s="4" t="s">
        <v>254</v>
      </c>
      <c r="BL3131" s="4" t="s">
        <v>255</v>
      </c>
      <c r="BM3131" s="4" t="s">
        <v>241</v>
      </c>
      <c r="BN3131" s="6">
        <f>0</f>
        <v>0</v>
      </c>
      <c r="BO3131" s="6">
        <f>0</f>
        <v>0</v>
      </c>
      <c r="BP3131" s="4" t="s">
        <v>256</v>
      </c>
      <c r="BQ3131" s="4" t="s">
        <v>257</v>
      </c>
      <c r="CE3131" s="4" t="s">
        <v>241</v>
      </c>
      <c r="CF3131" s="4" t="s">
        <v>241</v>
      </c>
      <c r="CJ3131" s="4" t="s">
        <v>276</v>
      </c>
      <c r="CK3131" s="4" t="s">
        <v>259</v>
      </c>
      <c r="CL3131" s="4" t="s">
        <v>241</v>
      </c>
      <c r="CO3131" s="5" t="s">
        <v>260</v>
      </c>
      <c r="CP3131" s="4" t="s">
        <v>241</v>
      </c>
      <c r="CQ3131" s="4" t="s">
        <v>261</v>
      </c>
      <c r="CR3131" s="4" t="s">
        <v>241</v>
      </c>
      <c r="CS3131" s="4" t="s">
        <v>241</v>
      </c>
      <c r="CT3131" s="4">
        <v>0</v>
      </c>
      <c r="CU3131" s="4" t="s">
        <v>262</v>
      </c>
      <c r="CV3131" s="4" t="s">
        <v>263</v>
      </c>
      <c r="CW3131" s="4" t="s">
        <v>263</v>
      </c>
      <c r="CX3131" s="4" t="s">
        <v>264</v>
      </c>
      <c r="DA3131" s="6">
        <f>1</f>
        <v>1</v>
      </c>
      <c r="DC3131" s="4" t="s">
        <v>325</v>
      </c>
      <c r="DD3131" s="4" t="s">
        <v>241</v>
      </c>
      <c r="DF3131" s="4" t="s">
        <v>325</v>
      </c>
      <c r="DG3131" s="6">
        <f>362</f>
        <v>362</v>
      </c>
      <c r="DI3131" s="4" t="s">
        <v>241</v>
      </c>
      <c r="DJ3131" s="4" t="s">
        <v>241</v>
      </c>
      <c r="DK3131" s="4" t="s">
        <v>241</v>
      </c>
      <c r="DL3131" s="4" t="s">
        <v>241</v>
      </c>
      <c r="DP3131" s="4" t="s">
        <v>241</v>
      </c>
      <c r="DQ3131" s="4" t="s">
        <v>241</v>
      </c>
      <c r="DR3131" s="4" t="s">
        <v>241</v>
      </c>
      <c r="DS3131" s="4" t="s">
        <v>241</v>
      </c>
      <c r="DV3131" s="4" t="s">
        <v>426</v>
      </c>
      <c r="DW3131" s="4" t="s">
        <v>3651</v>
      </c>
      <c r="HO3131" s="4" t="s">
        <v>267</v>
      </c>
    </row>
    <row r="3132" spans="1:223" ht="19.5" customHeight="1" x14ac:dyDescent="0.4">
      <c r="A3132" s="4">
        <v>1</v>
      </c>
      <c r="B3132" s="4" t="s">
        <v>239</v>
      </c>
      <c r="C3132" s="4">
        <v>4835</v>
      </c>
      <c r="D3132" s="4">
        <v>1</v>
      </c>
      <c r="E3132" s="4">
        <v>1</v>
      </c>
      <c r="F3132" s="4" t="s">
        <v>268</v>
      </c>
      <c r="G3132" s="4" t="s">
        <v>241</v>
      </c>
      <c r="H3132" s="4" t="s">
        <v>241</v>
      </c>
      <c r="I3132" s="4" t="s">
        <v>424</v>
      </c>
      <c r="J3132" s="4" t="s">
        <v>274</v>
      </c>
      <c r="K3132" s="4" t="s">
        <v>251</v>
      </c>
      <c r="L3132" s="4" t="s">
        <v>423</v>
      </c>
      <c r="M3132" s="5" t="s">
        <v>3647</v>
      </c>
      <c r="N3132" s="6">
        <f>966</f>
        <v>966</v>
      </c>
      <c r="O3132" s="4" t="s">
        <v>265</v>
      </c>
      <c r="P3132" s="6">
        <f>1</f>
        <v>1</v>
      </c>
      <c r="Q3132" s="6">
        <f>0</f>
        <v>0</v>
      </c>
      <c r="S3132" s="6">
        <f>0</f>
        <v>0</v>
      </c>
      <c r="T3132" s="6">
        <f>1</f>
        <v>1</v>
      </c>
      <c r="U3132" s="5" t="s">
        <v>245</v>
      </c>
      <c r="V3132" s="4" t="s">
        <v>270</v>
      </c>
      <c r="W3132" s="4" t="s">
        <v>271</v>
      </c>
      <c r="X3132" s="4" t="s">
        <v>273</v>
      </c>
      <c r="Y3132" s="4" t="s">
        <v>241</v>
      </c>
      <c r="AB3132" s="4" t="s">
        <v>241</v>
      </c>
      <c r="AD3132" s="5" t="s">
        <v>241</v>
      </c>
      <c r="AG3132" s="5" t="s">
        <v>246</v>
      </c>
      <c r="AH3132" s="4" t="s">
        <v>241</v>
      </c>
      <c r="AI3132" s="4" t="s">
        <v>247</v>
      </c>
      <c r="AJ3132" s="4" t="s">
        <v>248</v>
      </c>
      <c r="AZ3132" s="4" t="s">
        <v>249</v>
      </c>
      <c r="BA3132" s="4" t="s">
        <v>241</v>
      </c>
      <c r="BB3132" s="4" t="s">
        <v>250</v>
      </c>
      <c r="BC3132" s="4" t="s">
        <v>241</v>
      </c>
      <c r="BD3132" s="4" t="s">
        <v>252</v>
      </c>
      <c r="BE3132" s="4" t="s">
        <v>241</v>
      </c>
      <c r="BI3132" s="4" t="s">
        <v>253</v>
      </c>
      <c r="BJ3132" s="5" t="s">
        <v>246</v>
      </c>
      <c r="BK3132" s="4" t="s">
        <v>254</v>
      </c>
      <c r="BL3132" s="4" t="s">
        <v>255</v>
      </c>
      <c r="BM3132" s="4" t="s">
        <v>241</v>
      </c>
      <c r="BN3132" s="6">
        <f>0</f>
        <v>0</v>
      </c>
      <c r="BO3132" s="6">
        <f>0</f>
        <v>0</v>
      </c>
      <c r="BP3132" s="4" t="s">
        <v>256</v>
      </c>
      <c r="BQ3132" s="4" t="s">
        <v>257</v>
      </c>
      <c r="CE3132" s="4" t="s">
        <v>241</v>
      </c>
      <c r="CF3132" s="4" t="s">
        <v>241</v>
      </c>
      <c r="CJ3132" s="4" t="s">
        <v>276</v>
      </c>
      <c r="CK3132" s="4" t="s">
        <v>259</v>
      </c>
      <c r="CL3132" s="4" t="s">
        <v>241</v>
      </c>
      <c r="CO3132" s="5" t="s">
        <v>260</v>
      </c>
      <c r="CP3132" s="4" t="s">
        <v>241</v>
      </c>
      <c r="CQ3132" s="4" t="s">
        <v>261</v>
      </c>
      <c r="CR3132" s="4" t="s">
        <v>241</v>
      </c>
      <c r="CS3132" s="4" t="s">
        <v>241</v>
      </c>
      <c r="CT3132" s="4">
        <v>0</v>
      </c>
      <c r="CU3132" s="4" t="s">
        <v>262</v>
      </c>
      <c r="CV3132" s="4" t="s">
        <v>263</v>
      </c>
      <c r="CW3132" s="4" t="s">
        <v>263</v>
      </c>
      <c r="CX3132" s="4" t="s">
        <v>264</v>
      </c>
      <c r="DA3132" s="6">
        <f>1</f>
        <v>1</v>
      </c>
      <c r="DC3132" s="4" t="s">
        <v>325</v>
      </c>
      <c r="DD3132" s="4" t="s">
        <v>241</v>
      </c>
      <c r="DF3132" s="4" t="s">
        <v>325</v>
      </c>
      <c r="DG3132" s="6">
        <f>966</f>
        <v>966</v>
      </c>
      <c r="DI3132" s="4" t="s">
        <v>241</v>
      </c>
      <c r="DJ3132" s="4" t="s">
        <v>241</v>
      </c>
      <c r="DK3132" s="4" t="s">
        <v>241</v>
      </c>
      <c r="DL3132" s="4" t="s">
        <v>241</v>
      </c>
      <c r="DP3132" s="4" t="s">
        <v>241</v>
      </c>
      <c r="DQ3132" s="4" t="s">
        <v>241</v>
      </c>
      <c r="DR3132" s="4" t="s">
        <v>241</v>
      </c>
      <c r="DS3132" s="4" t="s">
        <v>241</v>
      </c>
      <c r="DV3132" s="4" t="s">
        <v>426</v>
      </c>
      <c r="DW3132" s="4" t="s">
        <v>3648</v>
      </c>
      <c r="HO3132" s="4" t="s">
        <v>267</v>
      </c>
    </row>
    <row r="3133" spans="1:223" ht="19.5" customHeight="1" x14ac:dyDescent="0.4">
      <c r="A3133" s="4">
        <v>1</v>
      </c>
      <c r="B3133" s="4" t="s">
        <v>239</v>
      </c>
      <c r="C3133" s="4">
        <v>4836</v>
      </c>
      <c r="D3133" s="4">
        <v>1</v>
      </c>
      <c r="E3133" s="4">
        <v>1</v>
      </c>
      <c r="F3133" s="4" t="s">
        <v>268</v>
      </c>
      <c r="G3133" s="4" t="s">
        <v>241</v>
      </c>
      <c r="H3133" s="4" t="s">
        <v>241</v>
      </c>
      <c r="I3133" s="4" t="s">
        <v>424</v>
      </c>
      <c r="J3133" s="4" t="s">
        <v>274</v>
      </c>
      <c r="K3133" s="4" t="s">
        <v>251</v>
      </c>
      <c r="L3133" s="4" t="s">
        <v>423</v>
      </c>
      <c r="M3133" s="5" t="s">
        <v>3644</v>
      </c>
      <c r="N3133" s="6">
        <f>149</f>
        <v>149</v>
      </c>
      <c r="O3133" s="4" t="s">
        <v>265</v>
      </c>
      <c r="P3133" s="6">
        <f>1</f>
        <v>1</v>
      </c>
      <c r="Q3133" s="6">
        <f>0</f>
        <v>0</v>
      </c>
      <c r="S3133" s="6">
        <f>0</f>
        <v>0</v>
      </c>
      <c r="T3133" s="6">
        <f>1</f>
        <v>1</v>
      </c>
      <c r="U3133" s="5" t="s">
        <v>245</v>
      </c>
      <c r="V3133" s="4" t="s">
        <v>270</v>
      </c>
      <c r="W3133" s="4" t="s">
        <v>271</v>
      </c>
      <c r="X3133" s="4" t="s">
        <v>273</v>
      </c>
      <c r="Y3133" s="4" t="s">
        <v>241</v>
      </c>
      <c r="AB3133" s="4" t="s">
        <v>241</v>
      </c>
      <c r="AD3133" s="5" t="s">
        <v>241</v>
      </c>
      <c r="AG3133" s="5" t="s">
        <v>246</v>
      </c>
      <c r="AH3133" s="4" t="s">
        <v>241</v>
      </c>
      <c r="AI3133" s="4" t="s">
        <v>247</v>
      </c>
      <c r="AJ3133" s="4" t="s">
        <v>248</v>
      </c>
      <c r="AZ3133" s="4" t="s">
        <v>249</v>
      </c>
      <c r="BA3133" s="4" t="s">
        <v>241</v>
      </c>
      <c r="BB3133" s="4" t="s">
        <v>250</v>
      </c>
      <c r="BC3133" s="4" t="s">
        <v>241</v>
      </c>
      <c r="BD3133" s="4" t="s">
        <v>252</v>
      </c>
      <c r="BE3133" s="4" t="s">
        <v>241</v>
      </c>
      <c r="BI3133" s="4" t="s">
        <v>253</v>
      </c>
      <c r="BJ3133" s="5" t="s">
        <v>246</v>
      </c>
      <c r="BK3133" s="4" t="s">
        <v>254</v>
      </c>
      <c r="BL3133" s="4" t="s">
        <v>255</v>
      </c>
      <c r="BM3133" s="4" t="s">
        <v>241</v>
      </c>
      <c r="BN3133" s="6">
        <f>0</f>
        <v>0</v>
      </c>
      <c r="BO3133" s="6">
        <f>0</f>
        <v>0</v>
      </c>
      <c r="BP3133" s="4" t="s">
        <v>256</v>
      </c>
      <c r="BQ3133" s="4" t="s">
        <v>257</v>
      </c>
      <c r="CE3133" s="4" t="s">
        <v>241</v>
      </c>
      <c r="CF3133" s="4" t="s">
        <v>241</v>
      </c>
      <c r="CJ3133" s="4" t="s">
        <v>276</v>
      </c>
      <c r="CK3133" s="4" t="s">
        <v>259</v>
      </c>
      <c r="CL3133" s="4" t="s">
        <v>241</v>
      </c>
      <c r="CO3133" s="5" t="s">
        <v>260</v>
      </c>
      <c r="CP3133" s="4" t="s">
        <v>241</v>
      </c>
      <c r="CQ3133" s="4" t="s">
        <v>261</v>
      </c>
      <c r="CR3133" s="4" t="s">
        <v>241</v>
      </c>
      <c r="CS3133" s="4" t="s">
        <v>241</v>
      </c>
      <c r="CT3133" s="4">
        <v>0</v>
      </c>
      <c r="CU3133" s="4" t="s">
        <v>262</v>
      </c>
      <c r="CV3133" s="4" t="s">
        <v>263</v>
      </c>
      <c r="CW3133" s="4" t="s">
        <v>263</v>
      </c>
      <c r="CX3133" s="4" t="s">
        <v>264</v>
      </c>
      <c r="DA3133" s="6">
        <f>1</f>
        <v>1</v>
      </c>
      <c r="DC3133" s="4" t="s">
        <v>325</v>
      </c>
      <c r="DD3133" s="4" t="s">
        <v>241</v>
      </c>
      <c r="DF3133" s="4" t="s">
        <v>325</v>
      </c>
      <c r="DG3133" s="6">
        <f>149</f>
        <v>149</v>
      </c>
      <c r="DI3133" s="4" t="s">
        <v>241</v>
      </c>
      <c r="DJ3133" s="4" t="s">
        <v>241</v>
      </c>
      <c r="DK3133" s="4" t="s">
        <v>241</v>
      </c>
      <c r="DL3133" s="4" t="s">
        <v>241</v>
      </c>
      <c r="DP3133" s="4" t="s">
        <v>241</v>
      </c>
      <c r="DQ3133" s="4" t="s">
        <v>241</v>
      </c>
      <c r="DR3133" s="4" t="s">
        <v>241</v>
      </c>
      <c r="DS3133" s="4" t="s">
        <v>241</v>
      </c>
      <c r="DV3133" s="4" t="s">
        <v>426</v>
      </c>
      <c r="DW3133" s="4" t="s">
        <v>3645</v>
      </c>
      <c r="HO3133" s="4" t="s">
        <v>267</v>
      </c>
    </row>
    <row r="3134" spans="1:223" ht="19.5" customHeight="1" x14ac:dyDescent="0.4">
      <c r="A3134" s="4">
        <v>1</v>
      </c>
      <c r="B3134" s="4" t="s">
        <v>239</v>
      </c>
      <c r="C3134" s="4">
        <v>4837</v>
      </c>
      <c r="D3134" s="4">
        <v>1</v>
      </c>
      <c r="E3134" s="4">
        <v>1</v>
      </c>
      <c r="F3134" s="4" t="s">
        <v>268</v>
      </c>
      <c r="G3134" s="4" t="s">
        <v>241</v>
      </c>
      <c r="H3134" s="4" t="s">
        <v>241</v>
      </c>
      <c r="I3134" s="4" t="s">
        <v>424</v>
      </c>
      <c r="J3134" s="4" t="s">
        <v>274</v>
      </c>
      <c r="K3134" s="4" t="s">
        <v>251</v>
      </c>
      <c r="L3134" s="4" t="s">
        <v>423</v>
      </c>
      <c r="M3134" s="5" t="s">
        <v>3640</v>
      </c>
      <c r="N3134" s="6">
        <f>58</f>
        <v>58</v>
      </c>
      <c r="O3134" s="4" t="s">
        <v>265</v>
      </c>
      <c r="P3134" s="6">
        <f>1</f>
        <v>1</v>
      </c>
      <c r="Q3134" s="6">
        <f>0</f>
        <v>0</v>
      </c>
      <c r="S3134" s="6">
        <f>0</f>
        <v>0</v>
      </c>
      <c r="T3134" s="6">
        <f>1</f>
        <v>1</v>
      </c>
      <c r="U3134" s="5" t="s">
        <v>245</v>
      </c>
      <c r="V3134" s="4" t="s">
        <v>270</v>
      </c>
      <c r="W3134" s="4" t="s">
        <v>271</v>
      </c>
      <c r="X3134" s="4" t="s">
        <v>273</v>
      </c>
      <c r="Y3134" s="4" t="s">
        <v>241</v>
      </c>
      <c r="AB3134" s="4" t="s">
        <v>241</v>
      </c>
      <c r="AD3134" s="5" t="s">
        <v>241</v>
      </c>
      <c r="AG3134" s="5" t="s">
        <v>246</v>
      </c>
      <c r="AH3134" s="4" t="s">
        <v>241</v>
      </c>
      <c r="AI3134" s="4" t="s">
        <v>247</v>
      </c>
      <c r="AJ3134" s="4" t="s">
        <v>248</v>
      </c>
      <c r="AZ3134" s="4" t="s">
        <v>249</v>
      </c>
      <c r="BA3134" s="4" t="s">
        <v>241</v>
      </c>
      <c r="BB3134" s="4" t="s">
        <v>250</v>
      </c>
      <c r="BC3134" s="4" t="s">
        <v>241</v>
      </c>
      <c r="BD3134" s="4" t="s">
        <v>252</v>
      </c>
      <c r="BE3134" s="4" t="s">
        <v>241</v>
      </c>
      <c r="BI3134" s="4" t="s">
        <v>253</v>
      </c>
      <c r="BJ3134" s="5" t="s">
        <v>246</v>
      </c>
      <c r="BK3134" s="4" t="s">
        <v>254</v>
      </c>
      <c r="BL3134" s="4" t="s">
        <v>255</v>
      </c>
      <c r="BM3134" s="4" t="s">
        <v>241</v>
      </c>
      <c r="BN3134" s="6">
        <f>0</f>
        <v>0</v>
      </c>
      <c r="BO3134" s="6">
        <f>0</f>
        <v>0</v>
      </c>
      <c r="BP3134" s="4" t="s">
        <v>256</v>
      </c>
      <c r="BQ3134" s="4" t="s">
        <v>257</v>
      </c>
      <c r="CE3134" s="4" t="s">
        <v>241</v>
      </c>
      <c r="CF3134" s="4" t="s">
        <v>241</v>
      </c>
      <c r="CJ3134" s="4" t="s">
        <v>276</v>
      </c>
      <c r="CK3134" s="4" t="s">
        <v>259</v>
      </c>
      <c r="CL3134" s="4" t="s">
        <v>241</v>
      </c>
      <c r="CO3134" s="5" t="s">
        <v>260</v>
      </c>
      <c r="CP3134" s="4" t="s">
        <v>241</v>
      </c>
      <c r="CQ3134" s="4" t="s">
        <v>261</v>
      </c>
      <c r="CR3134" s="4" t="s">
        <v>241</v>
      </c>
      <c r="CS3134" s="4" t="s">
        <v>241</v>
      </c>
      <c r="CT3134" s="4">
        <v>0</v>
      </c>
      <c r="CU3134" s="4" t="s">
        <v>262</v>
      </c>
      <c r="CV3134" s="4" t="s">
        <v>263</v>
      </c>
      <c r="CW3134" s="4" t="s">
        <v>263</v>
      </c>
      <c r="CX3134" s="4" t="s">
        <v>264</v>
      </c>
      <c r="DA3134" s="6">
        <f>1</f>
        <v>1</v>
      </c>
      <c r="DC3134" s="4" t="s">
        <v>325</v>
      </c>
      <c r="DD3134" s="4" t="s">
        <v>241</v>
      </c>
      <c r="DF3134" s="4" t="s">
        <v>325</v>
      </c>
      <c r="DG3134" s="6">
        <f>58</f>
        <v>58</v>
      </c>
      <c r="DI3134" s="4" t="s">
        <v>241</v>
      </c>
      <c r="DJ3134" s="4" t="s">
        <v>241</v>
      </c>
      <c r="DK3134" s="4" t="s">
        <v>241</v>
      </c>
      <c r="DL3134" s="4" t="s">
        <v>241</v>
      </c>
      <c r="DP3134" s="4" t="s">
        <v>241</v>
      </c>
      <c r="DQ3134" s="4" t="s">
        <v>241</v>
      </c>
      <c r="DR3134" s="4" t="s">
        <v>241</v>
      </c>
      <c r="DS3134" s="4" t="s">
        <v>241</v>
      </c>
      <c r="DV3134" s="4" t="s">
        <v>426</v>
      </c>
      <c r="DW3134" s="4" t="s">
        <v>3641</v>
      </c>
      <c r="HO3134" s="4" t="s">
        <v>267</v>
      </c>
    </row>
    <row r="3135" spans="1:223" ht="19.5" customHeight="1" x14ac:dyDescent="0.4">
      <c r="A3135" s="4">
        <v>1</v>
      </c>
      <c r="B3135" s="4" t="s">
        <v>239</v>
      </c>
      <c r="C3135" s="4">
        <v>4838</v>
      </c>
      <c r="D3135" s="4">
        <v>1</v>
      </c>
      <c r="E3135" s="4">
        <v>1</v>
      </c>
      <c r="F3135" s="4" t="s">
        <v>268</v>
      </c>
      <c r="G3135" s="4" t="s">
        <v>241</v>
      </c>
      <c r="H3135" s="4" t="s">
        <v>241</v>
      </c>
      <c r="I3135" s="4" t="s">
        <v>424</v>
      </c>
      <c r="J3135" s="4" t="s">
        <v>274</v>
      </c>
      <c r="K3135" s="4" t="s">
        <v>251</v>
      </c>
      <c r="L3135" s="4" t="s">
        <v>423</v>
      </c>
      <c r="M3135" s="5" t="s">
        <v>3637</v>
      </c>
      <c r="N3135" s="6">
        <f>31</f>
        <v>31</v>
      </c>
      <c r="O3135" s="4" t="s">
        <v>265</v>
      </c>
      <c r="P3135" s="6">
        <f>1</f>
        <v>1</v>
      </c>
      <c r="Q3135" s="6">
        <f>0</f>
        <v>0</v>
      </c>
      <c r="S3135" s="6">
        <f>0</f>
        <v>0</v>
      </c>
      <c r="T3135" s="6">
        <f>1</f>
        <v>1</v>
      </c>
      <c r="U3135" s="5" t="s">
        <v>245</v>
      </c>
      <c r="V3135" s="4" t="s">
        <v>270</v>
      </c>
      <c r="W3135" s="4" t="s">
        <v>271</v>
      </c>
      <c r="X3135" s="4" t="s">
        <v>273</v>
      </c>
      <c r="Y3135" s="4" t="s">
        <v>241</v>
      </c>
      <c r="AB3135" s="4" t="s">
        <v>241</v>
      </c>
      <c r="AD3135" s="5" t="s">
        <v>241</v>
      </c>
      <c r="AG3135" s="5" t="s">
        <v>246</v>
      </c>
      <c r="AH3135" s="4" t="s">
        <v>241</v>
      </c>
      <c r="AI3135" s="4" t="s">
        <v>247</v>
      </c>
      <c r="AJ3135" s="4" t="s">
        <v>248</v>
      </c>
      <c r="AZ3135" s="4" t="s">
        <v>249</v>
      </c>
      <c r="BA3135" s="4" t="s">
        <v>241</v>
      </c>
      <c r="BB3135" s="4" t="s">
        <v>250</v>
      </c>
      <c r="BC3135" s="4" t="s">
        <v>241</v>
      </c>
      <c r="BD3135" s="4" t="s">
        <v>252</v>
      </c>
      <c r="BE3135" s="4" t="s">
        <v>241</v>
      </c>
      <c r="BI3135" s="4" t="s">
        <v>253</v>
      </c>
      <c r="BJ3135" s="5" t="s">
        <v>246</v>
      </c>
      <c r="BK3135" s="4" t="s">
        <v>254</v>
      </c>
      <c r="BL3135" s="4" t="s">
        <v>255</v>
      </c>
      <c r="BM3135" s="4" t="s">
        <v>241</v>
      </c>
      <c r="BN3135" s="6">
        <f>0</f>
        <v>0</v>
      </c>
      <c r="BO3135" s="6">
        <f>0</f>
        <v>0</v>
      </c>
      <c r="BP3135" s="4" t="s">
        <v>256</v>
      </c>
      <c r="BQ3135" s="4" t="s">
        <v>257</v>
      </c>
      <c r="CE3135" s="4" t="s">
        <v>241</v>
      </c>
      <c r="CF3135" s="4" t="s">
        <v>241</v>
      </c>
      <c r="CJ3135" s="4" t="s">
        <v>276</v>
      </c>
      <c r="CK3135" s="4" t="s">
        <v>259</v>
      </c>
      <c r="CL3135" s="4" t="s">
        <v>241</v>
      </c>
      <c r="CO3135" s="5" t="s">
        <v>260</v>
      </c>
      <c r="CP3135" s="4" t="s">
        <v>241</v>
      </c>
      <c r="CQ3135" s="4" t="s">
        <v>261</v>
      </c>
      <c r="CR3135" s="4" t="s">
        <v>241</v>
      </c>
      <c r="CS3135" s="4" t="s">
        <v>241</v>
      </c>
      <c r="CT3135" s="4">
        <v>0</v>
      </c>
      <c r="CU3135" s="4" t="s">
        <v>262</v>
      </c>
      <c r="CV3135" s="4" t="s">
        <v>263</v>
      </c>
      <c r="CW3135" s="4" t="s">
        <v>263</v>
      </c>
      <c r="CX3135" s="4" t="s">
        <v>264</v>
      </c>
      <c r="DA3135" s="6">
        <f>1</f>
        <v>1</v>
      </c>
      <c r="DC3135" s="4" t="s">
        <v>325</v>
      </c>
      <c r="DD3135" s="4" t="s">
        <v>241</v>
      </c>
      <c r="DF3135" s="4" t="s">
        <v>325</v>
      </c>
      <c r="DG3135" s="6">
        <f>31</f>
        <v>31</v>
      </c>
      <c r="DI3135" s="4" t="s">
        <v>241</v>
      </c>
      <c r="DJ3135" s="4" t="s">
        <v>241</v>
      </c>
      <c r="DK3135" s="4" t="s">
        <v>241</v>
      </c>
      <c r="DL3135" s="4" t="s">
        <v>241</v>
      </c>
      <c r="DP3135" s="4" t="s">
        <v>241</v>
      </c>
      <c r="DQ3135" s="4" t="s">
        <v>241</v>
      </c>
      <c r="DR3135" s="4" t="s">
        <v>241</v>
      </c>
      <c r="DS3135" s="4" t="s">
        <v>241</v>
      </c>
      <c r="DV3135" s="4" t="s">
        <v>426</v>
      </c>
      <c r="DW3135" s="4" t="s">
        <v>3638</v>
      </c>
      <c r="HO3135" s="4" t="s">
        <v>267</v>
      </c>
    </row>
    <row r="3136" spans="1:223" ht="19.5" customHeight="1" x14ac:dyDescent="0.4">
      <c r="A3136" s="4">
        <v>1</v>
      </c>
      <c r="B3136" s="4" t="s">
        <v>239</v>
      </c>
      <c r="C3136" s="4">
        <v>4839</v>
      </c>
      <c r="D3136" s="4">
        <v>1</v>
      </c>
      <c r="E3136" s="4">
        <v>1</v>
      </c>
      <c r="F3136" s="4" t="s">
        <v>268</v>
      </c>
      <c r="G3136" s="4" t="s">
        <v>241</v>
      </c>
      <c r="H3136" s="4" t="s">
        <v>241</v>
      </c>
      <c r="I3136" s="4" t="s">
        <v>424</v>
      </c>
      <c r="J3136" s="4" t="s">
        <v>274</v>
      </c>
      <c r="K3136" s="4" t="s">
        <v>251</v>
      </c>
      <c r="L3136" s="4" t="s">
        <v>423</v>
      </c>
      <c r="M3136" s="5" t="s">
        <v>4183</v>
      </c>
      <c r="N3136" s="6">
        <f>2010</f>
        <v>2010</v>
      </c>
      <c r="O3136" s="4" t="s">
        <v>265</v>
      </c>
      <c r="P3136" s="6">
        <f>1</f>
        <v>1</v>
      </c>
      <c r="Q3136" s="6">
        <f>0</f>
        <v>0</v>
      </c>
      <c r="S3136" s="6">
        <f>0</f>
        <v>0</v>
      </c>
      <c r="T3136" s="6">
        <f>1</f>
        <v>1</v>
      </c>
      <c r="U3136" s="5" t="s">
        <v>245</v>
      </c>
      <c r="V3136" s="4" t="s">
        <v>270</v>
      </c>
      <c r="W3136" s="4" t="s">
        <v>271</v>
      </c>
      <c r="X3136" s="4" t="s">
        <v>273</v>
      </c>
      <c r="Y3136" s="4" t="s">
        <v>241</v>
      </c>
      <c r="AB3136" s="4" t="s">
        <v>241</v>
      </c>
      <c r="AD3136" s="5" t="s">
        <v>241</v>
      </c>
      <c r="AG3136" s="5" t="s">
        <v>246</v>
      </c>
      <c r="AH3136" s="4" t="s">
        <v>241</v>
      </c>
      <c r="AI3136" s="4" t="s">
        <v>247</v>
      </c>
      <c r="AJ3136" s="4" t="s">
        <v>248</v>
      </c>
      <c r="AZ3136" s="4" t="s">
        <v>249</v>
      </c>
      <c r="BA3136" s="4" t="s">
        <v>241</v>
      </c>
      <c r="BB3136" s="4" t="s">
        <v>250</v>
      </c>
      <c r="BC3136" s="4" t="s">
        <v>241</v>
      </c>
      <c r="BD3136" s="4" t="s">
        <v>252</v>
      </c>
      <c r="BE3136" s="4" t="s">
        <v>241</v>
      </c>
      <c r="BI3136" s="4" t="s">
        <v>253</v>
      </c>
      <c r="BJ3136" s="5" t="s">
        <v>246</v>
      </c>
      <c r="BK3136" s="4" t="s">
        <v>254</v>
      </c>
      <c r="BL3136" s="4" t="s">
        <v>255</v>
      </c>
      <c r="BM3136" s="4" t="s">
        <v>241</v>
      </c>
      <c r="BN3136" s="6">
        <f>0</f>
        <v>0</v>
      </c>
      <c r="BO3136" s="6">
        <f>0</f>
        <v>0</v>
      </c>
      <c r="BP3136" s="4" t="s">
        <v>256</v>
      </c>
      <c r="BQ3136" s="4" t="s">
        <v>257</v>
      </c>
      <c r="CE3136" s="4" t="s">
        <v>241</v>
      </c>
      <c r="CF3136" s="4" t="s">
        <v>241</v>
      </c>
      <c r="CJ3136" s="4" t="s">
        <v>276</v>
      </c>
      <c r="CK3136" s="4" t="s">
        <v>259</v>
      </c>
      <c r="CL3136" s="4" t="s">
        <v>241</v>
      </c>
      <c r="CO3136" s="5" t="s">
        <v>260</v>
      </c>
      <c r="CP3136" s="4" t="s">
        <v>241</v>
      </c>
      <c r="CQ3136" s="4" t="s">
        <v>261</v>
      </c>
      <c r="CR3136" s="4" t="s">
        <v>241</v>
      </c>
      <c r="CS3136" s="4" t="s">
        <v>241</v>
      </c>
      <c r="CT3136" s="4">
        <v>0</v>
      </c>
      <c r="CU3136" s="4" t="s">
        <v>262</v>
      </c>
      <c r="CV3136" s="4" t="s">
        <v>263</v>
      </c>
      <c r="CW3136" s="4" t="s">
        <v>263</v>
      </c>
      <c r="CX3136" s="4" t="s">
        <v>264</v>
      </c>
      <c r="DA3136" s="6">
        <f>1</f>
        <v>1</v>
      </c>
      <c r="DC3136" s="4" t="s">
        <v>325</v>
      </c>
      <c r="DD3136" s="4" t="s">
        <v>241</v>
      </c>
      <c r="DF3136" s="4" t="s">
        <v>325</v>
      </c>
      <c r="DG3136" s="6">
        <f>2010</f>
        <v>2010</v>
      </c>
      <c r="DI3136" s="4" t="s">
        <v>241</v>
      </c>
      <c r="DJ3136" s="4" t="s">
        <v>241</v>
      </c>
      <c r="DK3136" s="4" t="s">
        <v>241</v>
      </c>
      <c r="DL3136" s="4" t="s">
        <v>241</v>
      </c>
      <c r="DP3136" s="4" t="s">
        <v>241</v>
      </c>
      <c r="DQ3136" s="4" t="s">
        <v>241</v>
      </c>
      <c r="DR3136" s="4" t="s">
        <v>241</v>
      </c>
      <c r="DS3136" s="4" t="s">
        <v>241</v>
      </c>
      <c r="DV3136" s="4" t="s">
        <v>426</v>
      </c>
      <c r="DW3136" s="4" t="s">
        <v>4184</v>
      </c>
      <c r="HO3136" s="4" t="s">
        <v>267</v>
      </c>
    </row>
    <row r="3137" spans="1:223" ht="19.5" customHeight="1" x14ac:dyDescent="0.4">
      <c r="A3137" s="4">
        <v>1</v>
      </c>
      <c r="B3137" s="4" t="s">
        <v>239</v>
      </c>
      <c r="C3137" s="4">
        <v>4840</v>
      </c>
      <c r="D3137" s="4">
        <v>1</v>
      </c>
      <c r="E3137" s="4">
        <v>1</v>
      </c>
      <c r="F3137" s="4" t="s">
        <v>268</v>
      </c>
      <c r="G3137" s="4" t="s">
        <v>241</v>
      </c>
      <c r="H3137" s="4" t="s">
        <v>241</v>
      </c>
      <c r="I3137" s="4" t="s">
        <v>424</v>
      </c>
      <c r="J3137" s="4" t="s">
        <v>274</v>
      </c>
      <c r="K3137" s="4" t="s">
        <v>251</v>
      </c>
      <c r="L3137" s="4" t="s">
        <v>423</v>
      </c>
      <c r="M3137" s="5" t="s">
        <v>3634</v>
      </c>
      <c r="N3137" s="6">
        <f>940</f>
        <v>940</v>
      </c>
      <c r="O3137" s="4" t="s">
        <v>265</v>
      </c>
      <c r="P3137" s="6">
        <f>1</f>
        <v>1</v>
      </c>
      <c r="Q3137" s="6">
        <f>0</f>
        <v>0</v>
      </c>
      <c r="S3137" s="6">
        <f>0</f>
        <v>0</v>
      </c>
      <c r="T3137" s="6">
        <f>1</f>
        <v>1</v>
      </c>
      <c r="U3137" s="5" t="s">
        <v>245</v>
      </c>
      <c r="V3137" s="4" t="s">
        <v>270</v>
      </c>
      <c r="W3137" s="4" t="s">
        <v>271</v>
      </c>
      <c r="X3137" s="4" t="s">
        <v>273</v>
      </c>
      <c r="Y3137" s="4" t="s">
        <v>241</v>
      </c>
      <c r="AB3137" s="4" t="s">
        <v>241</v>
      </c>
      <c r="AD3137" s="5" t="s">
        <v>241</v>
      </c>
      <c r="AG3137" s="5" t="s">
        <v>246</v>
      </c>
      <c r="AH3137" s="4" t="s">
        <v>241</v>
      </c>
      <c r="AI3137" s="4" t="s">
        <v>247</v>
      </c>
      <c r="AJ3137" s="4" t="s">
        <v>248</v>
      </c>
      <c r="AZ3137" s="4" t="s">
        <v>249</v>
      </c>
      <c r="BA3137" s="4" t="s">
        <v>241</v>
      </c>
      <c r="BB3137" s="4" t="s">
        <v>250</v>
      </c>
      <c r="BC3137" s="4" t="s">
        <v>241</v>
      </c>
      <c r="BD3137" s="4" t="s">
        <v>252</v>
      </c>
      <c r="BE3137" s="4" t="s">
        <v>241</v>
      </c>
      <c r="BI3137" s="4" t="s">
        <v>253</v>
      </c>
      <c r="BJ3137" s="5" t="s">
        <v>246</v>
      </c>
      <c r="BK3137" s="4" t="s">
        <v>254</v>
      </c>
      <c r="BL3137" s="4" t="s">
        <v>255</v>
      </c>
      <c r="BM3137" s="4" t="s">
        <v>241</v>
      </c>
      <c r="BN3137" s="6">
        <f>0</f>
        <v>0</v>
      </c>
      <c r="BO3137" s="6">
        <f>0</f>
        <v>0</v>
      </c>
      <c r="BP3137" s="4" t="s">
        <v>256</v>
      </c>
      <c r="BQ3137" s="4" t="s">
        <v>257</v>
      </c>
      <c r="CE3137" s="4" t="s">
        <v>241</v>
      </c>
      <c r="CF3137" s="4" t="s">
        <v>241</v>
      </c>
      <c r="CJ3137" s="4" t="s">
        <v>276</v>
      </c>
      <c r="CK3137" s="4" t="s">
        <v>259</v>
      </c>
      <c r="CL3137" s="4" t="s">
        <v>241</v>
      </c>
      <c r="CO3137" s="5" t="s">
        <v>260</v>
      </c>
      <c r="CP3137" s="4" t="s">
        <v>241</v>
      </c>
      <c r="CQ3137" s="4" t="s">
        <v>261</v>
      </c>
      <c r="CR3137" s="4" t="s">
        <v>241</v>
      </c>
      <c r="CS3137" s="4" t="s">
        <v>241</v>
      </c>
      <c r="CT3137" s="4">
        <v>0</v>
      </c>
      <c r="CU3137" s="4" t="s">
        <v>262</v>
      </c>
      <c r="CV3137" s="4" t="s">
        <v>263</v>
      </c>
      <c r="CW3137" s="4" t="s">
        <v>263</v>
      </c>
      <c r="CX3137" s="4" t="s">
        <v>264</v>
      </c>
      <c r="DA3137" s="6">
        <f>1</f>
        <v>1</v>
      </c>
      <c r="DC3137" s="4" t="s">
        <v>325</v>
      </c>
      <c r="DD3137" s="4" t="s">
        <v>241</v>
      </c>
      <c r="DF3137" s="4" t="s">
        <v>325</v>
      </c>
      <c r="DG3137" s="6">
        <f>940</f>
        <v>940</v>
      </c>
      <c r="DI3137" s="4" t="s">
        <v>241</v>
      </c>
      <c r="DJ3137" s="4" t="s">
        <v>241</v>
      </c>
      <c r="DK3137" s="4" t="s">
        <v>241</v>
      </c>
      <c r="DL3137" s="4" t="s">
        <v>241</v>
      </c>
      <c r="DP3137" s="4" t="s">
        <v>241</v>
      </c>
      <c r="DQ3137" s="4" t="s">
        <v>241</v>
      </c>
      <c r="DR3137" s="4" t="s">
        <v>241</v>
      </c>
      <c r="DS3137" s="4" t="s">
        <v>241</v>
      </c>
      <c r="DV3137" s="4" t="s">
        <v>426</v>
      </c>
      <c r="DW3137" s="4" t="s">
        <v>3635</v>
      </c>
      <c r="HO3137" s="4" t="s">
        <v>267</v>
      </c>
    </row>
    <row r="3138" spans="1:223" ht="19.5" customHeight="1" x14ac:dyDescent="0.4">
      <c r="A3138" s="4">
        <v>1</v>
      </c>
      <c r="B3138" s="4" t="s">
        <v>239</v>
      </c>
      <c r="C3138" s="4">
        <v>4841</v>
      </c>
      <c r="D3138" s="4">
        <v>1</v>
      </c>
      <c r="E3138" s="4">
        <v>1</v>
      </c>
      <c r="F3138" s="4" t="s">
        <v>268</v>
      </c>
      <c r="G3138" s="4" t="s">
        <v>241</v>
      </c>
      <c r="H3138" s="4" t="s">
        <v>241</v>
      </c>
      <c r="I3138" s="4" t="s">
        <v>424</v>
      </c>
      <c r="J3138" s="4" t="s">
        <v>274</v>
      </c>
      <c r="K3138" s="4" t="s">
        <v>251</v>
      </c>
      <c r="L3138" s="4" t="s">
        <v>423</v>
      </c>
      <c r="M3138" s="5" t="s">
        <v>3629</v>
      </c>
      <c r="N3138" s="6">
        <f>981</f>
        <v>981</v>
      </c>
      <c r="O3138" s="4" t="s">
        <v>265</v>
      </c>
      <c r="P3138" s="6">
        <f>1</f>
        <v>1</v>
      </c>
      <c r="Q3138" s="6">
        <f>0</f>
        <v>0</v>
      </c>
      <c r="S3138" s="6">
        <f>0</f>
        <v>0</v>
      </c>
      <c r="T3138" s="6">
        <f>1</f>
        <v>1</v>
      </c>
      <c r="U3138" s="5" t="s">
        <v>245</v>
      </c>
      <c r="V3138" s="4" t="s">
        <v>270</v>
      </c>
      <c r="W3138" s="4" t="s">
        <v>271</v>
      </c>
      <c r="X3138" s="4" t="s">
        <v>273</v>
      </c>
      <c r="Y3138" s="4" t="s">
        <v>241</v>
      </c>
      <c r="AB3138" s="4" t="s">
        <v>241</v>
      </c>
      <c r="AD3138" s="5" t="s">
        <v>241</v>
      </c>
      <c r="AG3138" s="5" t="s">
        <v>246</v>
      </c>
      <c r="AH3138" s="4" t="s">
        <v>241</v>
      </c>
      <c r="AI3138" s="4" t="s">
        <v>247</v>
      </c>
      <c r="AJ3138" s="4" t="s">
        <v>248</v>
      </c>
      <c r="AZ3138" s="4" t="s">
        <v>249</v>
      </c>
      <c r="BA3138" s="4" t="s">
        <v>241</v>
      </c>
      <c r="BB3138" s="4" t="s">
        <v>250</v>
      </c>
      <c r="BC3138" s="4" t="s">
        <v>241</v>
      </c>
      <c r="BD3138" s="4" t="s">
        <v>252</v>
      </c>
      <c r="BE3138" s="4" t="s">
        <v>241</v>
      </c>
      <c r="BI3138" s="4" t="s">
        <v>253</v>
      </c>
      <c r="BJ3138" s="5" t="s">
        <v>246</v>
      </c>
      <c r="BK3138" s="4" t="s">
        <v>254</v>
      </c>
      <c r="BL3138" s="4" t="s">
        <v>255</v>
      </c>
      <c r="BM3138" s="4" t="s">
        <v>241</v>
      </c>
      <c r="BN3138" s="6">
        <f>0</f>
        <v>0</v>
      </c>
      <c r="BO3138" s="6">
        <f>0</f>
        <v>0</v>
      </c>
      <c r="BP3138" s="4" t="s">
        <v>256</v>
      </c>
      <c r="BQ3138" s="4" t="s">
        <v>257</v>
      </c>
      <c r="CE3138" s="4" t="s">
        <v>241</v>
      </c>
      <c r="CF3138" s="4" t="s">
        <v>241</v>
      </c>
      <c r="CJ3138" s="4" t="s">
        <v>276</v>
      </c>
      <c r="CK3138" s="4" t="s">
        <v>259</v>
      </c>
      <c r="CL3138" s="4" t="s">
        <v>241</v>
      </c>
      <c r="CO3138" s="5" t="s">
        <v>260</v>
      </c>
      <c r="CP3138" s="4" t="s">
        <v>241</v>
      </c>
      <c r="CQ3138" s="4" t="s">
        <v>261</v>
      </c>
      <c r="CR3138" s="4" t="s">
        <v>241</v>
      </c>
      <c r="CS3138" s="4" t="s">
        <v>241</v>
      </c>
      <c r="CT3138" s="4">
        <v>0</v>
      </c>
      <c r="CU3138" s="4" t="s">
        <v>262</v>
      </c>
      <c r="CV3138" s="4" t="s">
        <v>263</v>
      </c>
      <c r="CW3138" s="4" t="s">
        <v>263</v>
      </c>
      <c r="CX3138" s="4" t="s">
        <v>264</v>
      </c>
      <c r="DA3138" s="6">
        <f>1</f>
        <v>1</v>
      </c>
      <c r="DC3138" s="4" t="s">
        <v>325</v>
      </c>
      <c r="DD3138" s="4" t="s">
        <v>241</v>
      </c>
      <c r="DF3138" s="4" t="s">
        <v>325</v>
      </c>
      <c r="DG3138" s="6">
        <f>981</f>
        <v>981</v>
      </c>
      <c r="DI3138" s="4" t="s">
        <v>241</v>
      </c>
      <c r="DJ3138" s="4" t="s">
        <v>241</v>
      </c>
      <c r="DK3138" s="4" t="s">
        <v>241</v>
      </c>
      <c r="DL3138" s="4" t="s">
        <v>241</v>
      </c>
      <c r="DP3138" s="4" t="s">
        <v>241</v>
      </c>
      <c r="DQ3138" s="4" t="s">
        <v>241</v>
      </c>
      <c r="DR3138" s="4" t="s">
        <v>241</v>
      </c>
      <c r="DS3138" s="4" t="s">
        <v>241</v>
      </c>
      <c r="DV3138" s="4" t="s">
        <v>426</v>
      </c>
      <c r="DW3138" s="4" t="s">
        <v>3630</v>
      </c>
      <c r="HO3138" s="4" t="s">
        <v>267</v>
      </c>
    </row>
    <row r="3139" spans="1:223" ht="19.5" customHeight="1" x14ac:dyDescent="0.4">
      <c r="A3139" s="4">
        <v>1</v>
      </c>
      <c r="B3139" s="4" t="s">
        <v>239</v>
      </c>
      <c r="C3139" s="4">
        <v>4842</v>
      </c>
      <c r="D3139" s="4">
        <v>1</v>
      </c>
      <c r="E3139" s="4">
        <v>1</v>
      </c>
      <c r="F3139" s="4" t="s">
        <v>268</v>
      </c>
      <c r="G3139" s="4" t="s">
        <v>241</v>
      </c>
      <c r="H3139" s="4" t="s">
        <v>241</v>
      </c>
      <c r="I3139" s="4" t="s">
        <v>424</v>
      </c>
      <c r="J3139" s="4" t="s">
        <v>274</v>
      </c>
      <c r="K3139" s="4" t="s">
        <v>251</v>
      </c>
      <c r="L3139" s="4" t="s">
        <v>423</v>
      </c>
      <c r="M3139" s="5" t="s">
        <v>3626</v>
      </c>
      <c r="N3139" s="6">
        <f>996</f>
        <v>996</v>
      </c>
      <c r="O3139" s="4" t="s">
        <v>265</v>
      </c>
      <c r="P3139" s="6">
        <f>1</f>
        <v>1</v>
      </c>
      <c r="Q3139" s="6">
        <f>0</f>
        <v>0</v>
      </c>
      <c r="S3139" s="6">
        <f>0</f>
        <v>0</v>
      </c>
      <c r="T3139" s="6">
        <f>1</f>
        <v>1</v>
      </c>
      <c r="U3139" s="5" t="s">
        <v>245</v>
      </c>
      <c r="V3139" s="4" t="s">
        <v>270</v>
      </c>
      <c r="W3139" s="4" t="s">
        <v>271</v>
      </c>
      <c r="X3139" s="4" t="s">
        <v>273</v>
      </c>
      <c r="Y3139" s="4" t="s">
        <v>241</v>
      </c>
      <c r="AB3139" s="4" t="s">
        <v>241</v>
      </c>
      <c r="AD3139" s="5" t="s">
        <v>241</v>
      </c>
      <c r="AG3139" s="5" t="s">
        <v>246</v>
      </c>
      <c r="AH3139" s="4" t="s">
        <v>241</v>
      </c>
      <c r="AI3139" s="4" t="s">
        <v>247</v>
      </c>
      <c r="AJ3139" s="4" t="s">
        <v>248</v>
      </c>
      <c r="AZ3139" s="4" t="s">
        <v>249</v>
      </c>
      <c r="BA3139" s="4" t="s">
        <v>241</v>
      </c>
      <c r="BB3139" s="4" t="s">
        <v>250</v>
      </c>
      <c r="BC3139" s="4" t="s">
        <v>241</v>
      </c>
      <c r="BD3139" s="4" t="s">
        <v>252</v>
      </c>
      <c r="BE3139" s="4" t="s">
        <v>241</v>
      </c>
      <c r="BI3139" s="4" t="s">
        <v>253</v>
      </c>
      <c r="BJ3139" s="5" t="s">
        <v>246</v>
      </c>
      <c r="BK3139" s="4" t="s">
        <v>254</v>
      </c>
      <c r="BL3139" s="4" t="s">
        <v>255</v>
      </c>
      <c r="BM3139" s="4" t="s">
        <v>241</v>
      </c>
      <c r="BN3139" s="6">
        <f>0</f>
        <v>0</v>
      </c>
      <c r="BO3139" s="6">
        <f>0</f>
        <v>0</v>
      </c>
      <c r="BP3139" s="4" t="s">
        <v>256</v>
      </c>
      <c r="BQ3139" s="4" t="s">
        <v>257</v>
      </c>
      <c r="CE3139" s="4" t="s">
        <v>241</v>
      </c>
      <c r="CF3139" s="4" t="s">
        <v>241</v>
      </c>
      <c r="CJ3139" s="4" t="s">
        <v>276</v>
      </c>
      <c r="CK3139" s="4" t="s">
        <v>259</v>
      </c>
      <c r="CL3139" s="4" t="s">
        <v>241</v>
      </c>
      <c r="CO3139" s="5" t="s">
        <v>260</v>
      </c>
      <c r="CP3139" s="4" t="s">
        <v>241</v>
      </c>
      <c r="CQ3139" s="4" t="s">
        <v>261</v>
      </c>
      <c r="CR3139" s="4" t="s">
        <v>241</v>
      </c>
      <c r="CS3139" s="4" t="s">
        <v>241</v>
      </c>
      <c r="CT3139" s="4">
        <v>0</v>
      </c>
      <c r="CU3139" s="4" t="s">
        <v>262</v>
      </c>
      <c r="CV3139" s="4" t="s">
        <v>263</v>
      </c>
      <c r="CW3139" s="4" t="s">
        <v>263</v>
      </c>
      <c r="CX3139" s="4" t="s">
        <v>264</v>
      </c>
      <c r="DA3139" s="6">
        <f>1</f>
        <v>1</v>
      </c>
      <c r="DC3139" s="4" t="s">
        <v>325</v>
      </c>
      <c r="DD3139" s="4" t="s">
        <v>241</v>
      </c>
      <c r="DF3139" s="4" t="s">
        <v>325</v>
      </c>
      <c r="DG3139" s="6">
        <f>996</f>
        <v>996</v>
      </c>
      <c r="DI3139" s="4" t="s">
        <v>241</v>
      </c>
      <c r="DJ3139" s="4" t="s">
        <v>241</v>
      </c>
      <c r="DK3139" s="4" t="s">
        <v>241</v>
      </c>
      <c r="DL3139" s="4" t="s">
        <v>241</v>
      </c>
      <c r="DP3139" s="4" t="s">
        <v>241</v>
      </c>
      <c r="DQ3139" s="4" t="s">
        <v>241</v>
      </c>
      <c r="DR3139" s="4" t="s">
        <v>241</v>
      </c>
      <c r="DS3139" s="4" t="s">
        <v>241</v>
      </c>
      <c r="DV3139" s="4" t="s">
        <v>426</v>
      </c>
      <c r="DW3139" s="4" t="s">
        <v>3627</v>
      </c>
      <c r="HO3139" s="4" t="s">
        <v>267</v>
      </c>
    </row>
    <row r="3140" spans="1:223" ht="19.5" customHeight="1" x14ac:dyDescent="0.4">
      <c r="A3140" s="4">
        <v>1</v>
      </c>
      <c r="B3140" s="4" t="s">
        <v>239</v>
      </c>
      <c r="C3140" s="4">
        <v>4843</v>
      </c>
      <c r="D3140" s="4">
        <v>1</v>
      </c>
      <c r="E3140" s="4">
        <v>1</v>
      </c>
      <c r="F3140" s="4" t="s">
        <v>268</v>
      </c>
      <c r="G3140" s="4" t="s">
        <v>241</v>
      </c>
      <c r="H3140" s="4" t="s">
        <v>241</v>
      </c>
      <c r="I3140" s="4" t="s">
        <v>424</v>
      </c>
      <c r="J3140" s="4" t="s">
        <v>274</v>
      </c>
      <c r="K3140" s="4" t="s">
        <v>251</v>
      </c>
      <c r="L3140" s="4" t="s">
        <v>423</v>
      </c>
      <c r="M3140" s="5" t="s">
        <v>3841</v>
      </c>
      <c r="N3140" s="6">
        <f>2238</f>
        <v>2238</v>
      </c>
      <c r="O3140" s="4" t="s">
        <v>265</v>
      </c>
      <c r="P3140" s="6">
        <f>1</f>
        <v>1</v>
      </c>
      <c r="Q3140" s="6">
        <f>0</f>
        <v>0</v>
      </c>
      <c r="S3140" s="6">
        <f>0</f>
        <v>0</v>
      </c>
      <c r="T3140" s="6">
        <f>1</f>
        <v>1</v>
      </c>
      <c r="U3140" s="5" t="s">
        <v>245</v>
      </c>
      <c r="V3140" s="4" t="s">
        <v>270</v>
      </c>
      <c r="W3140" s="4" t="s">
        <v>271</v>
      </c>
      <c r="X3140" s="4" t="s">
        <v>273</v>
      </c>
      <c r="Y3140" s="4" t="s">
        <v>241</v>
      </c>
      <c r="AB3140" s="4" t="s">
        <v>241</v>
      </c>
      <c r="AD3140" s="5" t="s">
        <v>241</v>
      </c>
      <c r="AG3140" s="5" t="s">
        <v>246</v>
      </c>
      <c r="AH3140" s="4" t="s">
        <v>241</v>
      </c>
      <c r="AI3140" s="4" t="s">
        <v>247</v>
      </c>
      <c r="AJ3140" s="4" t="s">
        <v>248</v>
      </c>
      <c r="AZ3140" s="4" t="s">
        <v>249</v>
      </c>
      <c r="BA3140" s="4" t="s">
        <v>241</v>
      </c>
      <c r="BB3140" s="4" t="s">
        <v>250</v>
      </c>
      <c r="BC3140" s="4" t="s">
        <v>241</v>
      </c>
      <c r="BD3140" s="4" t="s">
        <v>252</v>
      </c>
      <c r="BE3140" s="4" t="s">
        <v>241</v>
      </c>
      <c r="BI3140" s="4" t="s">
        <v>253</v>
      </c>
      <c r="BJ3140" s="5" t="s">
        <v>246</v>
      </c>
      <c r="BK3140" s="4" t="s">
        <v>254</v>
      </c>
      <c r="BL3140" s="4" t="s">
        <v>255</v>
      </c>
      <c r="BM3140" s="4" t="s">
        <v>241</v>
      </c>
      <c r="BN3140" s="6">
        <f>0</f>
        <v>0</v>
      </c>
      <c r="BO3140" s="6">
        <f>0</f>
        <v>0</v>
      </c>
      <c r="BP3140" s="4" t="s">
        <v>256</v>
      </c>
      <c r="BQ3140" s="4" t="s">
        <v>257</v>
      </c>
      <c r="CE3140" s="4" t="s">
        <v>241</v>
      </c>
      <c r="CF3140" s="4" t="s">
        <v>241</v>
      </c>
      <c r="CJ3140" s="4" t="s">
        <v>276</v>
      </c>
      <c r="CK3140" s="4" t="s">
        <v>259</v>
      </c>
      <c r="CL3140" s="4" t="s">
        <v>241</v>
      </c>
      <c r="CO3140" s="5" t="s">
        <v>260</v>
      </c>
      <c r="CP3140" s="4" t="s">
        <v>241</v>
      </c>
      <c r="CQ3140" s="4" t="s">
        <v>261</v>
      </c>
      <c r="CR3140" s="4" t="s">
        <v>241</v>
      </c>
      <c r="CS3140" s="4" t="s">
        <v>241</v>
      </c>
      <c r="CT3140" s="4">
        <v>0</v>
      </c>
      <c r="CU3140" s="4" t="s">
        <v>262</v>
      </c>
      <c r="CV3140" s="4" t="s">
        <v>263</v>
      </c>
      <c r="CW3140" s="4" t="s">
        <v>263</v>
      </c>
      <c r="CX3140" s="4" t="s">
        <v>264</v>
      </c>
      <c r="DA3140" s="6">
        <f>1</f>
        <v>1</v>
      </c>
      <c r="DC3140" s="4" t="s">
        <v>325</v>
      </c>
      <c r="DD3140" s="4" t="s">
        <v>241</v>
      </c>
      <c r="DF3140" s="4" t="s">
        <v>325</v>
      </c>
      <c r="DG3140" s="6">
        <f>2238</f>
        <v>2238</v>
      </c>
      <c r="DI3140" s="4" t="s">
        <v>241</v>
      </c>
      <c r="DJ3140" s="4" t="s">
        <v>241</v>
      </c>
      <c r="DK3140" s="4" t="s">
        <v>241</v>
      </c>
      <c r="DL3140" s="4" t="s">
        <v>241</v>
      </c>
      <c r="DP3140" s="4" t="s">
        <v>241</v>
      </c>
      <c r="DQ3140" s="4" t="s">
        <v>241</v>
      </c>
      <c r="DR3140" s="4" t="s">
        <v>241</v>
      </c>
      <c r="DS3140" s="4" t="s">
        <v>241</v>
      </c>
      <c r="DV3140" s="4" t="s">
        <v>426</v>
      </c>
      <c r="DW3140" s="4" t="s">
        <v>3842</v>
      </c>
      <c r="HO3140" s="4" t="s">
        <v>267</v>
      </c>
    </row>
    <row r="3141" spans="1:223" ht="19.5" customHeight="1" x14ac:dyDescent="0.4">
      <c r="A3141" s="4">
        <v>1</v>
      </c>
      <c r="B3141" s="4" t="s">
        <v>239</v>
      </c>
      <c r="C3141" s="4">
        <v>4844</v>
      </c>
      <c r="D3141" s="4">
        <v>1</v>
      </c>
      <c r="E3141" s="4">
        <v>1</v>
      </c>
      <c r="F3141" s="4" t="s">
        <v>268</v>
      </c>
      <c r="G3141" s="4" t="s">
        <v>241</v>
      </c>
      <c r="H3141" s="4" t="s">
        <v>241</v>
      </c>
      <c r="I3141" s="4" t="s">
        <v>424</v>
      </c>
      <c r="J3141" s="4" t="s">
        <v>274</v>
      </c>
      <c r="K3141" s="4" t="s">
        <v>251</v>
      </c>
      <c r="L3141" s="4" t="s">
        <v>423</v>
      </c>
      <c r="M3141" s="5" t="s">
        <v>3622</v>
      </c>
      <c r="N3141" s="6">
        <f>916</f>
        <v>916</v>
      </c>
      <c r="O3141" s="4" t="s">
        <v>265</v>
      </c>
      <c r="P3141" s="6">
        <f>1</f>
        <v>1</v>
      </c>
      <c r="Q3141" s="6">
        <f>0</f>
        <v>0</v>
      </c>
      <c r="S3141" s="6">
        <f>0</f>
        <v>0</v>
      </c>
      <c r="T3141" s="6">
        <f>1</f>
        <v>1</v>
      </c>
      <c r="U3141" s="5" t="s">
        <v>245</v>
      </c>
      <c r="V3141" s="4" t="s">
        <v>270</v>
      </c>
      <c r="W3141" s="4" t="s">
        <v>271</v>
      </c>
      <c r="X3141" s="4" t="s">
        <v>273</v>
      </c>
      <c r="Y3141" s="4" t="s">
        <v>241</v>
      </c>
      <c r="AB3141" s="4" t="s">
        <v>241</v>
      </c>
      <c r="AD3141" s="5" t="s">
        <v>241</v>
      </c>
      <c r="AG3141" s="5" t="s">
        <v>246</v>
      </c>
      <c r="AH3141" s="4" t="s">
        <v>241</v>
      </c>
      <c r="AI3141" s="4" t="s">
        <v>247</v>
      </c>
      <c r="AJ3141" s="4" t="s">
        <v>248</v>
      </c>
      <c r="AZ3141" s="4" t="s">
        <v>249</v>
      </c>
      <c r="BA3141" s="4" t="s">
        <v>241</v>
      </c>
      <c r="BB3141" s="4" t="s">
        <v>250</v>
      </c>
      <c r="BC3141" s="4" t="s">
        <v>241</v>
      </c>
      <c r="BD3141" s="4" t="s">
        <v>252</v>
      </c>
      <c r="BE3141" s="4" t="s">
        <v>241</v>
      </c>
      <c r="BI3141" s="4" t="s">
        <v>253</v>
      </c>
      <c r="BJ3141" s="5" t="s">
        <v>246</v>
      </c>
      <c r="BK3141" s="4" t="s">
        <v>254</v>
      </c>
      <c r="BL3141" s="4" t="s">
        <v>255</v>
      </c>
      <c r="BM3141" s="4" t="s">
        <v>241</v>
      </c>
      <c r="BN3141" s="6">
        <f>0</f>
        <v>0</v>
      </c>
      <c r="BO3141" s="6">
        <f>0</f>
        <v>0</v>
      </c>
      <c r="BP3141" s="4" t="s">
        <v>256</v>
      </c>
      <c r="BQ3141" s="4" t="s">
        <v>257</v>
      </c>
      <c r="CE3141" s="4" t="s">
        <v>241</v>
      </c>
      <c r="CF3141" s="4" t="s">
        <v>241</v>
      </c>
      <c r="CJ3141" s="4" t="s">
        <v>276</v>
      </c>
      <c r="CK3141" s="4" t="s">
        <v>259</v>
      </c>
      <c r="CL3141" s="4" t="s">
        <v>241</v>
      </c>
      <c r="CO3141" s="5" t="s">
        <v>260</v>
      </c>
      <c r="CP3141" s="4" t="s">
        <v>241</v>
      </c>
      <c r="CQ3141" s="4" t="s">
        <v>261</v>
      </c>
      <c r="CR3141" s="4" t="s">
        <v>241</v>
      </c>
      <c r="CS3141" s="4" t="s">
        <v>241</v>
      </c>
      <c r="CT3141" s="4">
        <v>0</v>
      </c>
      <c r="CU3141" s="4" t="s">
        <v>262</v>
      </c>
      <c r="CV3141" s="4" t="s">
        <v>263</v>
      </c>
      <c r="CW3141" s="4" t="s">
        <v>263</v>
      </c>
      <c r="CX3141" s="4" t="s">
        <v>264</v>
      </c>
      <c r="DA3141" s="6">
        <f>1</f>
        <v>1</v>
      </c>
      <c r="DC3141" s="4" t="s">
        <v>325</v>
      </c>
      <c r="DD3141" s="4" t="s">
        <v>241</v>
      </c>
      <c r="DF3141" s="4" t="s">
        <v>325</v>
      </c>
      <c r="DG3141" s="6">
        <f>916</f>
        <v>916</v>
      </c>
      <c r="DI3141" s="4" t="s">
        <v>241</v>
      </c>
      <c r="DJ3141" s="4" t="s">
        <v>241</v>
      </c>
      <c r="DK3141" s="4" t="s">
        <v>241</v>
      </c>
      <c r="DL3141" s="4" t="s">
        <v>241</v>
      </c>
      <c r="DP3141" s="4" t="s">
        <v>241</v>
      </c>
      <c r="DQ3141" s="4" t="s">
        <v>241</v>
      </c>
      <c r="DR3141" s="4" t="s">
        <v>241</v>
      </c>
      <c r="DS3141" s="4" t="s">
        <v>241</v>
      </c>
      <c r="DV3141" s="4" t="s">
        <v>426</v>
      </c>
      <c r="DW3141" s="4" t="s">
        <v>3623</v>
      </c>
      <c r="HO3141" s="4" t="s">
        <v>267</v>
      </c>
    </row>
    <row r="3142" spans="1:223" ht="19.5" customHeight="1" x14ac:dyDescent="0.4">
      <c r="A3142" s="4">
        <v>1</v>
      </c>
      <c r="B3142" s="4" t="s">
        <v>239</v>
      </c>
      <c r="C3142" s="4">
        <v>4845</v>
      </c>
      <c r="D3142" s="4">
        <v>1</v>
      </c>
      <c r="E3142" s="4">
        <v>1</v>
      </c>
      <c r="F3142" s="4" t="s">
        <v>268</v>
      </c>
      <c r="G3142" s="4" t="s">
        <v>241</v>
      </c>
      <c r="H3142" s="4" t="s">
        <v>241</v>
      </c>
      <c r="I3142" s="4" t="s">
        <v>424</v>
      </c>
      <c r="J3142" s="4" t="s">
        <v>274</v>
      </c>
      <c r="K3142" s="4" t="s">
        <v>251</v>
      </c>
      <c r="L3142" s="4" t="s">
        <v>423</v>
      </c>
      <c r="M3142" s="5" t="s">
        <v>3618</v>
      </c>
      <c r="N3142" s="6">
        <f>749</f>
        <v>749</v>
      </c>
      <c r="O3142" s="4" t="s">
        <v>265</v>
      </c>
      <c r="P3142" s="6">
        <f>1</f>
        <v>1</v>
      </c>
      <c r="Q3142" s="6">
        <f>0</f>
        <v>0</v>
      </c>
      <c r="S3142" s="6">
        <f>0</f>
        <v>0</v>
      </c>
      <c r="T3142" s="6">
        <f>1</f>
        <v>1</v>
      </c>
      <c r="U3142" s="5" t="s">
        <v>245</v>
      </c>
      <c r="V3142" s="4" t="s">
        <v>270</v>
      </c>
      <c r="W3142" s="4" t="s">
        <v>271</v>
      </c>
      <c r="X3142" s="4" t="s">
        <v>273</v>
      </c>
      <c r="Y3142" s="4" t="s">
        <v>241</v>
      </c>
      <c r="AB3142" s="4" t="s">
        <v>241</v>
      </c>
      <c r="AD3142" s="5" t="s">
        <v>241</v>
      </c>
      <c r="AG3142" s="5" t="s">
        <v>246</v>
      </c>
      <c r="AH3142" s="4" t="s">
        <v>241</v>
      </c>
      <c r="AI3142" s="4" t="s">
        <v>247</v>
      </c>
      <c r="AJ3142" s="4" t="s">
        <v>248</v>
      </c>
      <c r="AZ3142" s="4" t="s">
        <v>249</v>
      </c>
      <c r="BA3142" s="4" t="s">
        <v>241</v>
      </c>
      <c r="BB3142" s="4" t="s">
        <v>250</v>
      </c>
      <c r="BC3142" s="4" t="s">
        <v>241</v>
      </c>
      <c r="BD3142" s="4" t="s">
        <v>252</v>
      </c>
      <c r="BE3142" s="4" t="s">
        <v>241</v>
      </c>
      <c r="BI3142" s="4" t="s">
        <v>253</v>
      </c>
      <c r="BJ3142" s="5" t="s">
        <v>246</v>
      </c>
      <c r="BK3142" s="4" t="s">
        <v>254</v>
      </c>
      <c r="BL3142" s="4" t="s">
        <v>255</v>
      </c>
      <c r="BM3142" s="4" t="s">
        <v>241</v>
      </c>
      <c r="BN3142" s="6">
        <f>0</f>
        <v>0</v>
      </c>
      <c r="BO3142" s="6">
        <f>0</f>
        <v>0</v>
      </c>
      <c r="BP3142" s="4" t="s">
        <v>256</v>
      </c>
      <c r="BQ3142" s="4" t="s">
        <v>257</v>
      </c>
      <c r="CE3142" s="4" t="s">
        <v>241</v>
      </c>
      <c r="CF3142" s="4" t="s">
        <v>241</v>
      </c>
      <c r="CJ3142" s="4" t="s">
        <v>276</v>
      </c>
      <c r="CK3142" s="4" t="s">
        <v>259</v>
      </c>
      <c r="CL3142" s="4" t="s">
        <v>241</v>
      </c>
      <c r="CO3142" s="5" t="s">
        <v>260</v>
      </c>
      <c r="CP3142" s="4" t="s">
        <v>241</v>
      </c>
      <c r="CQ3142" s="4" t="s">
        <v>261</v>
      </c>
      <c r="CR3142" s="4" t="s">
        <v>241</v>
      </c>
      <c r="CS3142" s="4" t="s">
        <v>241</v>
      </c>
      <c r="CT3142" s="4">
        <v>0</v>
      </c>
      <c r="CU3142" s="4" t="s">
        <v>262</v>
      </c>
      <c r="CV3142" s="4" t="s">
        <v>263</v>
      </c>
      <c r="CW3142" s="4" t="s">
        <v>263</v>
      </c>
      <c r="CX3142" s="4" t="s">
        <v>264</v>
      </c>
      <c r="DA3142" s="6">
        <f>1</f>
        <v>1</v>
      </c>
      <c r="DC3142" s="4" t="s">
        <v>325</v>
      </c>
      <c r="DD3142" s="4" t="s">
        <v>241</v>
      </c>
      <c r="DF3142" s="4" t="s">
        <v>325</v>
      </c>
      <c r="DG3142" s="6">
        <f>749</f>
        <v>749</v>
      </c>
      <c r="DI3142" s="4" t="s">
        <v>241</v>
      </c>
      <c r="DJ3142" s="4" t="s">
        <v>241</v>
      </c>
      <c r="DK3142" s="4" t="s">
        <v>241</v>
      </c>
      <c r="DL3142" s="4" t="s">
        <v>241</v>
      </c>
      <c r="DP3142" s="4" t="s">
        <v>241</v>
      </c>
      <c r="DQ3142" s="4" t="s">
        <v>241</v>
      </c>
      <c r="DR3142" s="4" t="s">
        <v>241</v>
      </c>
      <c r="DS3142" s="4" t="s">
        <v>241</v>
      </c>
      <c r="DV3142" s="4" t="s">
        <v>426</v>
      </c>
      <c r="DW3142" s="4" t="s">
        <v>3619</v>
      </c>
      <c r="HO3142" s="4" t="s">
        <v>267</v>
      </c>
    </row>
    <row r="3143" spans="1:223" ht="19.5" customHeight="1" x14ac:dyDescent="0.4">
      <c r="A3143" s="4">
        <v>1</v>
      </c>
      <c r="B3143" s="4" t="s">
        <v>239</v>
      </c>
      <c r="C3143" s="4">
        <v>4846</v>
      </c>
      <c r="D3143" s="4">
        <v>1</v>
      </c>
      <c r="E3143" s="4">
        <v>1</v>
      </c>
      <c r="F3143" s="4" t="s">
        <v>268</v>
      </c>
      <c r="G3143" s="4" t="s">
        <v>241</v>
      </c>
      <c r="H3143" s="4" t="s">
        <v>241</v>
      </c>
      <c r="I3143" s="4" t="s">
        <v>424</v>
      </c>
      <c r="J3143" s="4" t="s">
        <v>274</v>
      </c>
      <c r="K3143" s="4" t="s">
        <v>251</v>
      </c>
      <c r="L3143" s="4" t="s">
        <v>423</v>
      </c>
      <c r="M3143" s="5" t="s">
        <v>3615</v>
      </c>
      <c r="N3143" s="6">
        <f>483</f>
        <v>483</v>
      </c>
      <c r="O3143" s="4" t="s">
        <v>265</v>
      </c>
      <c r="P3143" s="6">
        <f>1</f>
        <v>1</v>
      </c>
      <c r="Q3143" s="6">
        <f>0</f>
        <v>0</v>
      </c>
      <c r="S3143" s="6">
        <f>0</f>
        <v>0</v>
      </c>
      <c r="T3143" s="6">
        <f>1</f>
        <v>1</v>
      </c>
      <c r="U3143" s="5" t="s">
        <v>245</v>
      </c>
      <c r="V3143" s="4" t="s">
        <v>270</v>
      </c>
      <c r="W3143" s="4" t="s">
        <v>271</v>
      </c>
      <c r="X3143" s="4" t="s">
        <v>273</v>
      </c>
      <c r="Y3143" s="4" t="s">
        <v>241</v>
      </c>
      <c r="AB3143" s="4" t="s">
        <v>241</v>
      </c>
      <c r="AD3143" s="5" t="s">
        <v>241</v>
      </c>
      <c r="AG3143" s="5" t="s">
        <v>246</v>
      </c>
      <c r="AH3143" s="4" t="s">
        <v>241</v>
      </c>
      <c r="AI3143" s="4" t="s">
        <v>247</v>
      </c>
      <c r="AJ3143" s="4" t="s">
        <v>248</v>
      </c>
      <c r="AZ3143" s="4" t="s">
        <v>249</v>
      </c>
      <c r="BA3143" s="4" t="s">
        <v>241</v>
      </c>
      <c r="BB3143" s="4" t="s">
        <v>250</v>
      </c>
      <c r="BC3143" s="4" t="s">
        <v>241</v>
      </c>
      <c r="BD3143" s="4" t="s">
        <v>252</v>
      </c>
      <c r="BE3143" s="4" t="s">
        <v>241</v>
      </c>
      <c r="BI3143" s="4" t="s">
        <v>253</v>
      </c>
      <c r="BJ3143" s="5" t="s">
        <v>246</v>
      </c>
      <c r="BK3143" s="4" t="s">
        <v>254</v>
      </c>
      <c r="BL3143" s="4" t="s">
        <v>255</v>
      </c>
      <c r="BM3143" s="4" t="s">
        <v>241</v>
      </c>
      <c r="BN3143" s="6">
        <f>0</f>
        <v>0</v>
      </c>
      <c r="BO3143" s="6">
        <f>0</f>
        <v>0</v>
      </c>
      <c r="BP3143" s="4" t="s">
        <v>256</v>
      </c>
      <c r="BQ3143" s="4" t="s">
        <v>257</v>
      </c>
      <c r="CE3143" s="4" t="s">
        <v>241</v>
      </c>
      <c r="CF3143" s="4" t="s">
        <v>241</v>
      </c>
      <c r="CJ3143" s="4" t="s">
        <v>276</v>
      </c>
      <c r="CK3143" s="4" t="s">
        <v>259</v>
      </c>
      <c r="CL3143" s="4" t="s">
        <v>241</v>
      </c>
      <c r="CO3143" s="5" t="s">
        <v>260</v>
      </c>
      <c r="CP3143" s="4" t="s">
        <v>241</v>
      </c>
      <c r="CQ3143" s="4" t="s">
        <v>261</v>
      </c>
      <c r="CR3143" s="4" t="s">
        <v>241</v>
      </c>
      <c r="CS3143" s="4" t="s">
        <v>241</v>
      </c>
      <c r="CT3143" s="4">
        <v>0</v>
      </c>
      <c r="CU3143" s="4" t="s">
        <v>262</v>
      </c>
      <c r="CV3143" s="4" t="s">
        <v>263</v>
      </c>
      <c r="CW3143" s="4" t="s">
        <v>263</v>
      </c>
      <c r="CX3143" s="4" t="s">
        <v>264</v>
      </c>
      <c r="DA3143" s="6">
        <f>1</f>
        <v>1</v>
      </c>
      <c r="DC3143" s="4" t="s">
        <v>325</v>
      </c>
      <c r="DD3143" s="4" t="s">
        <v>241</v>
      </c>
      <c r="DF3143" s="4" t="s">
        <v>325</v>
      </c>
      <c r="DG3143" s="6">
        <f>483</f>
        <v>483</v>
      </c>
      <c r="DI3143" s="4" t="s">
        <v>241</v>
      </c>
      <c r="DJ3143" s="4" t="s">
        <v>241</v>
      </c>
      <c r="DK3143" s="4" t="s">
        <v>241</v>
      </c>
      <c r="DL3143" s="4" t="s">
        <v>241</v>
      </c>
      <c r="DP3143" s="4" t="s">
        <v>241</v>
      </c>
      <c r="DQ3143" s="4" t="s">
        <v>241</v>
      </c>
      <c r="DR3143" s="4" t="s">
        <v>241</v>
      </c>
      <c r="DS3143" s="4" t="s">
        <v>241</v>
      </c>
      <c r="DV3143" s="4" t="s">
        <v>426</v>
      </c>
      <c r="DW3143" s="4" t="s">
        <v>3616</v>
      </c>
      <c r="HO3143" s="4" t="s">
        <v>267</v>
      </c>
    </row>
    <row r="3144" spans="1:223" ht="19.5" customHeight="1" x14ac:dyDescent="0.4">
      <c r="A3144" s="4">
        <v>1</v>
      </c>
      <c r="B3144" s="4" t="s">
        <v>239</v>
      </c>
      <c r="C3144" s="4">
        <v>4847</v>
      </c>
      <c r="D3144" s="4">
        <v>1</v>
      </c>
      <c r="E3144" s="4">
        <v>1</v>
      </c>
      <c r="F3144" s="4" t="s">
        <v>268</v>
      </c>
      <c r="G3144" s="4" t="s">
        <v>241</v>
      </c>
      <c r="H3144" s="4" t="s">
        <v>241</v>
      </c>
      <c r="I3144" s="4" t="s">
        <v>424</v>
      </c>
      <c r="J3144" s="4" t="s">
        <v>274</v>
      </c>
      <c r="K3144" s="4" t="s">
        <v>251</v>
      </c>
      <c r="L3144" s="4" t="s">
        <v>423</v>
      </c>
      <c r="M3144" s="5" t="s">
        <v>3609</v>
      </c>
      <c r="N3144" s="6">
        <f>114</f>
        <v>114</v>
      </c>
      <c r="O3144" s="4" t="s">
        <v>265</v>
      </c>
      <c r="P3144" s="6">
        <f>1</f>
        <v>1</v>
      </c>
      <c r="Q3144" s="6">
        <f>0</f>
        <v>0</v>
      </c>
      <c r="S3144" s="6">
        <f>0</f>
        <v>0</v>
      </c>
      <c r="T3144" s="6">
        <f>1</f>
        <v>1</v>
      </c>
      <c r="U3144" s="5" t="s">
        <v>245</v>
      </c>
      <c r="V3144" s="4" t="s">
        <v>270</v>
      </c>
      <c r="W3144" s="4" t="s">
        <v>271</v>
      </c>
      <c r="X3144" s="4" t="s">
        <v>273</v>
      </c>
      <c r="Y3144" s="4" t="s">
        <v>241</v>
      </c>
      <c r="AB3144" s="4" t="s">
        <v>241</v>
      </c>
      <c r="AD3144" s="5" t="s">
        <v>241</v>
      </c>
      <c r="AG3144" s="5" t="s">
        <v>246</v>
      </c>
      <c r="AH3144" s="4" t="s">
        <v>241</v>
      </c>
      <c r="AI3144" s="4" t="s">
        <v>247</v>
      </c>
      <c r="AJ3144" s="4" t="s">
        <v>248</v>
      </c>
      <c r="AZ3144" s="4" t="s">
        <v>249</v>
      </c>
      <c r="BA3144" s="4" t="s">
        <v>241</v>
      </c>
      <c r="BB3144" s="4" t="s">
        <v>250</v>
      </c>
      <c r="BC3144" s="4" t="s">
        <v>241</v>
      </c>
      <c r="BD3144" s="4" t="s">
        <v>252</v>
      </c>
      <c r="BE3144" s="4" t="s">
        <v>241</v>
      </c>
      <c r="BI3144" s="4" t="s">
        <v>253</v>
      </c>
      <c r="BJ3144" s="5" t="s">
        <v>246</v>
      </c>
      <c r="BK3144" s="4" t="s">
        <v>254</v>
      </c>
      <c r="BL3144" s="4" t="s">
        <v>255</v>
      </c>
      <c r="BM3144" s="4" t="s">
        <v>241</v>
      </c>
      <c r="BN3144" s="6">
        <f>0</f>
        <v>0</v>
      </c>
      <c r="BO3144" s="6">
        <f>0</f>
        <v>0</v>
      </c>
      <c r="BP3144" s="4" t="s">
        <v>256</v>
      </c>
      <c r="BQ3144" s="4" t="s">
        <v>257</v>
      </c>
      <c r="CE3144" s="4" t="s">
        <v>241</v>
      </c>
      <c r="CF3144" s="4" t="s">
        <v>241</v>
      </c>
      <c r="CJ3144" s="4" t="s">
        <v>276</v>
      </c>
      <c r="CK3144" s="4" t="s">
        <v>259</v>
      </c>
      <c r="CL3144" s="4" t="s">
        <v>241</v>
      </c>
      <c r="CO3144" s="5" t="s">
        <v>260</v>
      </c>
      <c r="CP3144" s="4" t="s">
        <v>241</v>
      </c>
      <c r="CQ3144" s="4" t="s">
        <v>261</v>
      </c>
      <c r="CR3144" s="4" t="s">
        <v>241</v>
      </c>
      <c r="CS3144" s="4" t="s">
        <v>241</v>
      </c>
      <c r="CT3144" s="4">
        <v>0</v>
      </c>
      <c r="CU3144" s="4" t="s">
        <v>262</v>
      </c>
      <c r="CV3144" s="4" t="s">
        <v>263</v>
      </c>
      <c r="CW3144" s="4" t="s">
        <v>263</v>
      </c>
      <c r="CX3144" s="4" t="s">
        <v>264</v>
      </c>
      <c r="DA3144" s="6">
        <f>1</f>
        <v>1</v>
      </c>
      <c r="DC3144" s="4" t="s">
        <v>325</v>
      </c>
      <c r="DD3144" s="4" t="s">
        <v>241</v>
      </c>
      <c r="DF3144" s="4" t="s">
        <v>325</v>
      </c>
      <c r="DG3144" s="6">
        <f>114</f>
        <v>114</v>
      </c>
      <c r="DI3144" s="4" t="s">
        <v>241</v>
      </c>
      <c r="DJ3144" s="4" t="s">
        <v>241</v>
      </c>
      <c r="DK3144" s="4" t="s">
        <v>241</v>
      </c>
      <c r="DL3144" s="4" t="s">
        <v>241</v>
      </c>
      <c r="DP3144" s="4" t="s">
        <v>241</v>
      </c>
      <c r="DQ3144" s="4" t="s">
        <v>241</v>
      </c>
      <c r="DR3144" s="4" t="s">
        <v>241</v>
      </c>
      <c r="DS3144" s="4" t="s">
        <v>241</v>
      </c>
      <c r="DV3144" s="4" t="s">
        <v>426</v>
      </c>
      <c r="DW3144" s="4" t="s">
        <v>3610</v>
      </c>
      <c r="HO3144" s="4" t="s">
        <v>267</v>
      </c>
    </row>
    <row r="3145" spans="1:223" ht="19.5" customHeight="1" x14ac:dyDescent="0.4">
      <c r="A3145" s="4">
        <v>1</v>
      </c>
      <c r="B3145" s="4" t="s">
        <v>239</v>
      </c>
      <c r="C3145" s="4">
        <v>4848</v>
      </c>
      <c r="D3145" s="4">
        <v>1</v>
      </c>
      <c r="E3145" s="4">
        <v>1</v>
      </c>
      <c r="F3145" s="4" t="s">
        <v>268</v>
      </c>
      <c r="G3145" s="4" t="s">
        <v>241</v>
      </c>
      <c r="H3145" s="4" t="s">
        <v>241</v>
      </c>
      <c r="I3145" s="4" t="s">
        <v>424</v>
      </c>
      <c r="J3145" s="4" t="s">
        <v>274</v>
      </c>
      <c r="K3145" s="4" t="s">
        <v>251</v>
      </c>
      <c r="L3145" s="4" t="s">
        <v>423</v>
      </c>
      <c r="M3145" s="5" t="s">
        <v>3605</v>
      </c>
      <c r="N3145" s="6">
        <f>1228</f>
        <v>1228</v>
      </c>
      <c r="O3145" s="4" t="s">
        <v>265</v>
      </c>
      <c r="P3145" s="6">
        <f>1</f>
        <v>1</v>
      </c>
      <c r="Q3145" s="6">
        <f>0</f>
        <v>0</v>
      </c>
      <c r="S3145" s="6">
        <f>0</f>
        <v>0</v>
      </c>
      <c r="T3145" s="6">
        <f>1</f>
        <v>1</v>
      </c>
      <c r="U3145" s="5" t="s">
        <v>245</v>
      </c>
      <c r="V3145" s="4" t="s">
        <v>270</v>
      </c>
      <c r="W3145" s="4" t="s">
        <v>271</v>
      </c>
      <c r="X3145" s="4" t="s">
        <v>273</v>
      </c>
      <c r="Y3145" s="4" t="s">
        <v>241</v>
      </c>
      <c r="AB3145" s="4" t="s">
        <v>241</v>
      </c>
      <c r="AD3145" s="5" t="s">
        <v>241</v>
      </c>
      <c r="AG3145" s="5" t="s">
        <v>246</v>
      </c>
      <c r="AH3145" s="4" t="s">
        <v>241</v>
      </c>
      <c r="AI3145" s="4" t="s">
        <v>247</v>
      </c>
      <c r="AJ3145" s="4" t="s">
        <v>248</v>
      </c>
      <c r="AZ3145" s="4" t="s">
        <v>249</v>
      </c>
      <c r="BA3145" s="4" t="s">
        <v>241</v>
      </c>
      <c r="BB3145" s="4" t="s">
        <v>250</v>
      </c>
      <c r="BC3145" s="4" t="s">
        <v>241</v>
      </c>
      <c r="BD3145" s="4" t="s">
        <v>252</v>
      </c>
      <c r="BE3145" s="4" t="s">
        <v>241</v>
      </c>
      <c r="BI3145" s="4" t="s">
        <v>253</v>
      </c>
      <c r="BJ3145" s="5" t="s">
        <v>246</v>
      </c>
      <c r="BK3145" s="4" t="s">
        <v>254</v>
      </c>
      <c r="BL3145" s="4" t="s">
        <v>255</v>
      </c>
      <c r="BM3145" s="4" t="s">
        <v>241</v>
      </c>
      <c r="BN3145" s="6">
        <f>0</f>
        <v>0</v>
      </c>
      <c r="BO3145" s="6">
        <f>0</f>
        <v>0</v>
      </c>
      <c r="BP3145" s="4" t="s">
        <v>256</v>
      </c>
      <c r="BQ3145" s="4" t="s">
        <v>257</v>
      </c>
      <c r="CE3145" s="4" t="s">
        <v>241</v>
      </c>
      <c r="CF3145" s="4" t="s">
        <v>241</v>
      </c>
      <c r="CJ3145" s="4" t="s">
        <v>276</v>
      </c>
      <c r="CK3145" s="4" t="s">
        <v>259</v>
      </c>
      <c r="CL3145" s="4" t="s">
        <v>241</v>
      </c>
      <c r="CO3145" s="5" t="s">
        <v>260</v>
      </c>
      <c r="CP3145" s="4" t="s">
        <v>241</v>
      </c>
      <c r="CQ3145" s="4" t="s">
        <v>261</v>
      </c>
      <c r="CR3145" s="4" t="s">
        <v>241</v>
      </c>
      <c r="CS3145" s="4" t="s">
        <v>241</v>
      </c>
      <c r="CT3145" s="4">
        <v>0</v>
      </c>
      <c r="CU3145" s="4" t="s">
        <v>262</v>
      </c>
      <c r="CV3145" s="4" t="s">
        <v>263</v>
      </c>
      <c r="CW3145" s="4" t="s">
        <v>263</v>
      </c>
      <c r="CX3145" s="4" t="s">
        <v>264</v>
      </c>
      <c r="DA3145" s="6">
        <f>1</f>
        <v>1</v>
      </c>
      <c r="DC3145" s="4" t="s">
        <v>325</v>
      </c>
      <c r="DD3145" s="4" t="s">
        <v>241</v>
      </c>
      <c r="DF3145" s="4" t="s">
        <v>325</v>
      </c>
      <c r="DG3145" s="6">
        <f>1228</f>
        <v>1228</v>
      </c>
      <c r="DI3145" s="4" t="s">
        <v>241</v>
      </c>
      <c r="DJ3145" s="4" t="s">
        <v>241</v>
      </c>
      <c r="DK3145" s="4" t="s">
        <v>241</v>
      </c>
      <c r="DL3145" s="4" t="s">
        <v>241</v>
      </c>
      <c r="DP3145" s="4" t="s">
        <v>241</v>
      </c>
      <c r="DQ3145" s="4" t="s">
        <v>241</v>
      </c>
      <c r="DR3145" s="4" t="s">
        <v>241</v>
      </c>
      <c r="DS3145" s="4" t="s">
        <v>241</v>
      </c>
      <c r="DV3145" s="4" t="s">
        <v>426</v>
      </c>
      <c r="DW3145" s="4" t="s">
        <v>3606</v>
      </c>
      <c r="HO3145" s="4" t="s">
        <v>267</v>
      </c>
    </row>
    <row r="3146" spans="1:223" ht="19.5" customHeight="1" x14ac:dyDescent="0.4">
      <c r="A3146" s="4">
        <v>1</v>
      </c>
      <c r="B3146" s="4" t="s">
        <v>239</v>
      </c>
      <c r="C3146" s="4">
        <v>4849</v>
      </c>
      <c r="D3146" s="4">
        <v>1</v>
      </c>
      <c r="E3146" s="4">
        <v>1</v>
      </c>
      <c r="F3146" s="4" t="s">
        <v>268</v>
      </c>
      <c r="G3146" s="4" t="s">
        <v>241</v>
      </c>
      <c r="H3146" s="4" t="s">
        <v>241</v>
      </c>
      <c r="I3146" s="4" t="s">
        <v>424</v>
      </c>
      <c r="J3146" s="4" t="s">
        <v>274</v>
      </c>
      <c r="K3146" s="4" t="s">
        <v>251</v>
      </c>
      <c r="L3146" s="4" t="s">
        <v>423</v>
      </c>
      <c r="M3146" s="5" t="s">
        <v>3545</v>
      </c>
      <c r="N3146" s="6">
        <f>473</f>
        <v>473</v>
      </c>
      <c r="O3146" s="4" t="s">
        <v>265</v>
      </c>
      <c r="P3146" s="6">
        <f>1</f>
        <v>1</v>
      </c>
      <c r="Q3146" s="6">
        <f>0</f>
        <v>0</v>
      </c>
      <c r="S3146" s="6">
        <f>0</f>
        <v>0</v>
      </c>
      <c r="T3146" s="6">
        <f>1</f>
        <v>1</v>
      </c>
      <c r="U3146" s="5" t="s">
        <v>245</v>
      </c>
      <c r="V3146" s="4" t="s">
        <v>270</v>
      </c>
      <c r="W3146" s="4" t="s">
        <v>271</v>
      </c>
      <c r="X3146" s="4" t="s">
        <v>273</v>
      </c>
      <c r="Y3146" s="4" t="s">
        <v>241</v>
      </c>
      <c r="AB3146" s="4" t="s">
        <v>241</v>
      </c>
      <c r="AD3146" s="5" t="s">
        <v>241</v>
      </c>
      <c r="AG3146" s="5" t="s">
        <v>246</v>
      </c>
      <c r="AH3146" s="4" t="s">
        <v>241</v>
      </c>
      <c r="AI3146" s="4" t="s">
        <v>247</v>
      </c>
      <c r="AJ3146" s="4" t="s">
        <v>248</v>
      </c>
      <c r="AZ3146" s="4" t="s">
        <v>249</v>
      </c>
      <c r="BA3146" s="4" t="s">
        <v>241</v>
      </c>
      <c r="BB3146" s="4" t="s">
        <v>250</v>
      </c>
      <c r="BC3146" s="4" t="s">
        <v>241</v>
      </c>
      <c r="BD3146" s="4" t="s">
        <v>252</v>
      </c>
      <c r="BE3146" s="4" t="s">
        <v>241</v>
      </c>
      <c r="BI3146" s="4" t="s">
        <v>253</v>
      </c>
      <c r="BJ3146" s="5" t="s">
        <v>246</v>
      </c>
      <c r="BK3146" s="4" t="s">
        <v>254</v>
      </c>
      <c r="BL3146" s="4" t="s">
        <v>255</v>
      </c>
      <c r="BM3146" s="4" t="s">
        <v>241</v>
      </c>
      <c r="BN3146" s="6">
        <f>0</f>
        <v>0</v>
      </c>
      <c r="BO3146" s="6">
        <f>0</f>
        <v>0</v>
      </c>
      <c r="BP3146" s="4" t="s">
        <v>256</v>
      </c>
      <c r="BQ3146" s="4" t="s">
        <v>257</v>
      </c>
      <c r="CE3146" s="4" t="s">
        <v>241</v>
      </c>
      <c r="CF3146" s="4" t="s">
        <v>241</v>
      </c>
      <c r="CJ3146" s="4" t="s">
        <v>276</v>
      </c>
      <c r="CK3146" s="4" t="s">
        <v>259</v>
      </c>
      <c r="CL3146" s="4" t="s">
        <v>241</v>
      </c>
      <c r="CO3146" s="5" t="s">
        <v>260</v>
      </c>
      <c r="CP3146" s="4" t="s">
        <v>241</v>
      </c>
      <c r="CQ3146" s="4" t="s">
        <v>261</v>
      </c>
      <c r="CR3146" s="4" t="s">
        <v>241</v>
      </c>
      <c r="CS3146" s="4" t="s">
        <v>241</v>
      </c>
      <c r="CT3146" s="4">
        <v>0</v>
      </c>
      <c r="CU3146" s="4" t="s">
        <v>262</v>
      </c>
      <c r="CV3146" s="4" t="s">
        <v>263</v>
      </c>
      <c r="CW3146" s="4" t="s">
        <v>263</v>
      </c>
      <c r="CX3146" s="4" t="s">
        <v>264</v>
      </c>
      <c r="DA3146" s="6">
        <f>1</f>
        <v>1</v>
      </c>
      <c r="DC3146" s="4" t="s">
        <v>325</v>
      </c>
      <c r="DD3146" s="4" t="s">
        <v>241</v>
      </c>
      <c r="DF3146" s="4" t="s">
        <v>325</v>
      </c>
      <c r="DG3146" s="6">
        <f>473</f>
        <v>473</v>
      </c>
      <c r="DI3146" s="4" t="s">
        <v>241</v>
      </c>
      <c r="DJ3146" s="4" t="s">
        <v>241</v>
      </c>
      <c r="DK3146" s="4" t="s">
        <v>241</v>
      </c>
      <c r="DL3146" s="4" t="s">
        <v>241</v>
      </c>
      <c r="DP3146" s="4" t="s">
        <v>241</v>
      </c>
      <c r="DQ3146" s="4" t="s">
        <v>241</v>
      </c>
      <c r="DR3146" s="4" t="s">
        <v>241</v>
      </c>
      <c r="DS3146" s="4" t="s">
        <v>241</v>
      </c>
      <c r="DV3146" s="4" t="s">
        <v>426</v>
      </c>
      <c r="DW3146" s="4" t="s">
        <v>3546</v>
      </c>
      <c r="HO3146" s="4" t="s">
        <v>267</v>
      </c>
    </row>
    <row r="3147" spans="1:223" ht="19.5" customHeight="1" x14ac:dyDescent="0.4">
      <c r="A3147" s="4">
        <v>1</v>
      </c>
      <c r="B3147" s="4" t="s">
        <v>239</v>
      </c>
      <c r="C3147" s="4">
        <v>4850</v>
      </c>
      <c r="D3147" s="4">
        <v>1</v>
      </c>
      <c r="E3147" s="4">
        <v>1</v>
      </c>
      <c r="F3147" s="4" t="s">
        <v>268</v>
      </c>
      <c r="G3147" s="4" t="s">
        <v>241</v>
      </c>
      <c r="H3147" s="4" t="s">
        <v>241</v>
      </c>
      <c r="I3147" s="4" t="s">
        <v>424</v>
      </c>
      <c r="J3147" s="4" t="s">
        <v>274</v>
      </c>
      <c r="K3147" s="4" t="s">
        <v>251</v>
      </c>
      <c r="L3147" s="4" t="s">
        <v>423</v>
      </c>
      <c r="M3147" s="5" t="s">
        <v>863</v>
      </c>
      <c r="N3147" s="6">
        <f>35</f>
        <v>35</v>
      </c>
      <c r="O3147" s="4" t="s">
        <v>265</v>
      </c>
      <c r="P3147" s="6">
        <f>1</f>
        <v>1</v>
      </c>
      <c r="Q3147" s="6">
        <f>0</f>
        <v>0</v>
      </c>
      <c r="S3147" s="6">
        <f>0</f>
        <v>0</v>
      </c>
      <c r="T3147" s="6">
        <f>1</f>
        <v>1</v>
      </c>
      <c r="U3147" s="5" t="s">
        <v>245</v>
      </c>
      <c r="V3147" s="4" t="s">
        <v>270</v>
      </c>
      <c r="W3147" s="4" t="s">
        <v>271</v>
      </c>
      <c r="X3147" s="4" t="s">
        <v>273</v>
      </c>
      <c r="Y3147" s="4" t="s">
        <v>241</v>
      </c>
      <c r="AB3147" s="4" t="s">
        <v>241</v>
      </c>
      <c r="AD3147" s="5" t="s">
        <v>241</v>
      </c>
      <c r="AG3147" s="5" t="s">
        <v>246</v>
      </c>
      <c r="AH3147" s="4" t="s">
        <v>241</v>
      </c>
      <c r="AI3147" s="4" t="s">
        <v>247</v>
      </c>
      <c r="AJ3147" s="4" t="s">
        <v>248</v>
      </c>
      <c r="AZ3147" s="4" t="s">
        <v>249</v>
      </c>
      <c r="BA3147" s="4" t="s">
        <v>241</v>
      </c>
      <c r="BB3147" s="4" t="s">
        <v>250</v>
      </c>
      <c r="BC3147" s="4" t="s">
        <v>241</v>
      </c>
      <c r="BD3147" s="4" t="s">
        <v>252</v>
      </c>
      <c r="BE3147" s="4" t="s">
        <v>241</v>
      </c>
      <c r="BI3147" s="4" t="s">
        <v>253</v>
      </c>
      <c r="BJ3147" s="5" t="s">
        <v>246</v>
      </c>
      <c r="BK3147" s="4" t="s">
        <v>254</v>
      </c>
      <c r="BL3147" s="4" t="s">
        <v>255</v>
      </c>
      <c r="BM3147" s="4" t="s">
        <v>241</v>
      </c>
      <c r="BN3147" s="6">
        <f>0</f>
        <v>0</v>
      </c>
      <c r="BO3147" s="6">
        <f>0</f>
        <v>0</v>
      </c>
      <c r="BP3147" s="4" t="s">
        <v>256</v>
      </c>
      <c r="BQ3147" s="4" t="s">
        <v>257</v>
      </c>
      <c r="CE3147" s="4" t="s">
        <v>241</v>
      </c>
      <c r="CF3147" s="4" t="s">
        <v>241</v>
      </c>
      <c r="CJ3147" s="4" t="s">
        <v>276</v>
      </c>
      <c r="CK3147" s="4" t="s">
        <v>259</v>
      </c>
      <c r="CL3147" s="4" t="s">
        <v>241</v>
      </c>
      <c r="CO3147" s="5" t="s">
        <v>260</v>
      </c>
      <c r="CP3147" s="4" t="s">
        <v>241</v>
      </c>
      <c r="CQ3147" s="4" t="s">
        <v>261</v>
      </c>
      <c r="CR3147" s="4" t="s">
        <v>241</v>
      </c>
      <c r="CS3147" s="4" t="s">
        <v>241</v>
      </c>
      <c r="CT3147" s="4">
        <v>0</v>
      </c>
      <c r="CU3147" s="4" t="s">
        <v>262</v>
      </c>
      <c r="CV3147" s="4" t="s">
        <v>263</v>
      </c>
      <c r="CW3147" s="4" t="s">
        <v>263</v>
      </c>
      <c r="CX3147" s="4" t="s">
        <v>264</v>
      </c>
      <c r="DA3147" s="6">
        <f>1</f>
        <v>1</v>
      </c>
      <c r="DC3147" s="4" t="s">
        <v>325</v>
      </c>
      <c r="DD3147" s="4" t="s">
        <v>241</v>
      </c>
      <c r="DF3147" s="4" t="s">
        <v>325</v>
      </c>
      <c r="DG3147" s="6">
        <f>35</f>
        <v>35</v>
      </c>
      <c r="DI3147" s="4" t="s">
        <v>241</v>
      </c>
      <c r="DJ3147" s="4" t="s">
        <v>241</v>
      </c>
      <c r="DK3147" s="4" t="s">
        <v>241</v>
      </c>
      <c r="DL3147" s="4" t="s">
        <v>241</v>
      </c>
      <c r="DP3147" s="4" t="s">
        <v>241</v>
      </c>
      <c r="DQ3147" s="4" t="s">
        <v>241</v>
      </c>
      <c r="DR3147" s="4" t="s">
        <v>241</v>
      </c>
      <c r="DS3147" s="4" t="s">
        <v>241</v>
      </c>
      <c r="DV3147" s="4" t="s">
        <v>426</v>
      </c>
      <c r="DW3147" s="4" t="s">
        <v>864</v>
      </c>
      <c r="HO3147" s="4" t="s">
        <v>267</v>
      </c>
    </row>
    <row r="3148" spans="1:223" ht="19.5" customHeight="1" x14ac:dyDescent="0.4">
      <c r="A3148" s="4">
        <v>1</v>
      </c>
      <c r="B3148" s="4" t="s">
        <v>239</v>
      </c>
      <c r="C3148" s="4">
        <v>4851</v>
      </c>
      <c r="D3148" s="4">
        <v>1</v>
      </c>
      <c r="E3148" s="4">
        <v>1</v>
      </c>
      <c r="F3148" s="4" t="s">
        <v>268</v>
      </c>
      <c r="G3148" s="4" t="s">
        <v>241</v>
      </c>
      <c r="H3148" s="4" t="s">
        <v>241</v>
      </c>
      <c r="I3148" s="4" t="s">
        <v>424</v>
      </c>
      <c r="J3148" s="4" t="s">
        <v>274</v>
      </c>
      <c r="K3148" s="4" t="s">
        <v>251</v>
      </c>
      <c r="L3148" s="4" t="s">
        <v>423</v>
      </c>
      <c r="M3148" s="5" t="s">
        <v>3343</v>
      </c>
      <c r="N3148" s="6">
        <f>454</f>
        <v>454</v>
      </c>
      <c r="O3148" s="4" t="s">
        <v>265</v>
      </c>
      <c r="P3148" s="6">
        <f>1</f>
        <v>1</v>
      </c>
      <c r="Q3148" s="6">
        <f>0</f>
        <v>0</v>
      </c>
      <c r="S3148" s="6">
        <f>0</f>
        <v>0</v>
      </c>
      <c r="T3148" s="6">
        <f>1</f>
        <v>1</v>
      </c>
      <c r="U3148" s="5" t="s">
        <v>245</v>
      </c>
      <c r="V3148" s="4" t="s">
        <v>270</v>
      </c>
      <c r="W3148" s="4" t="s">
        <v>271</v>
      </c>
      <c r="X3148" s="4" t="s">
        <v>273</v>
      </c>
      <c r="Y3148" s="4" t="s">
        <v>241</v>
      </c>
      <c r="AB3148" s="4" t="s">
        <v>241</v>
      </c>
      <c r="AD3148" s="5" t="s">
        <v>241</v>
      </c>
      <c r="AG3148" s="5" t="s">
        <v>246</v>
      </c>
      <c r="AH3148" s="4" t="s">
        <v>241</v>
      </c>
      <c r="AI3148" s="4" t="s">
        <v>247</v>
      </c>
      <c r="AJ3148" s="4" t="s">
        <v>248</v>
      </c>
      <c r="AZ3148" s="4" t="s">
        <v>249</v>
      </c>
      <c r="BA3148" s="4" t="s">
        <v>241</v>
      </c>
      <c r="BB3148" s="4" t="s">
        <v>250</v>
      </c>
      <c r="BC3148" s="4" t="s">
        <v>241</v>
      </c>
      <c r="BD3148" s="4" t="s">
        <v>252</v>
      </c>
      <c r="BE3148" s="4" t="s">
        <v>241</v>
      </c>
      <c r="BI3148" s="4" t="s">
        <v>253</v>
      </c>
      <c r="BJ3148" s="5" t="s">
        <v>246</v>
      </c>
      <c r="BK3148" s="4" t="s">
        <v>254</v>
      </c>
      <c r="BL3148" s="4" t="s">
        <v>255</v>
      </c>
      <c r="BM3148" s="4" t="s">
        <v>241</v>
      </c>
      <c r="BN3148" s="6">
        <f>0</f>
        <v>0</v>
      </c>
      <c r="BO3148" s="6">
        <f>0</f>
        <v>0</v>
      </c>
      <c r="BP3148" s="4" t="s">
        <v>256</v>
      </c>
      <c r="BQ3148" s="4" t="s">
        <v>257</v>
      </c>
      <c r="CE3148" s="4" t="s">
        <v>241</v>
      </c>
      <c r="CF3148" s="4" t="s">
        <v>241</v>
      </c>
      <c r="CJ3148" s="4" t="s">
        <v>276</v>
      </c>
      <c r="CK3148" s="4" t="s">
        <v>259</v>
      </c>
      <c r="CL3148" s="4" t="s">
        <v>241</v>
      </c>
      <c r="CO3148" s="5" t="s">
        <v>260</v>
      </c>
      <c r="CP3148" s="4" t="s">
        <v>241</v>
      </c>
      <c r="CQ3148" s="4" t="s">
        <v>261</v>
      </c>
      <c r="CR3148" s="4" t="s">
        <v>241</v>
      </c>
      <c r="CS3148" s="4" t="s">
        <v>241</v>
      </c>
      <c r="CT3148" s="4">
        <v>0</v>
      </c>
      <c r="CU3148" s="4" t="s">
        <v>262</v>
      </c>
      <c r="CV3148" s="4" t="s">
        <v>263</v>
      </c>
      <c r="CW3148" s="4" t="s">
        <v>263</v>
      </c>
      <c r="CX3148" s="4" t="s">
        <v>264</v>
      </c>
      <c r="DA3148" s="6">
        <f>1</f>
        <v>1</v>
      </c>
      <c r="DC3148" s="4" t="s">
        <v>325</v>
      </c>
      <c r="DD3148" s="4" t="s">
        <v>241</v>
      </c>
      <c r="DF3148" s="4" t="s">
        <v>3344</v>
      </c>
      <c r="DG3148" s="6">
        <f>454</f>
        <v>454</v>
      </c>
      <c r="DI3148" s="4" t="s">
        <v>241</v>
      </c>
      <c r="DJ3148" s="4" t="s">
        <v>241</v>
      </c>
      <c r="DK3148" s="4" t="s">
        <v>241</v>
      </c>
      <c r="DL3148" s="4" t="s">
        <v>241</v>
      </c>
      <c r="DP3148" s="4" t="s">
        <v>241</v>
      </c>
      <c r="DQ3148" s="4" t="s">
        <v>241</v>
      </c>
      <c r="DR3148" s="4" t="s">
        <v>241</v>
      </c>
      <c r="DS3148" s="4" t="s">
        <v>241</v>
      </c>
      <c r="DV3148" s="4" t="s">
        <v>426</v>
      </c>
      <c r="DW3148" s="4" t="s">
        <v>3345</v>
      </c>
      <c r="HO3148" s="4" t="s">
        <v>267</v>
      </c>
    </row>
    <row r="3149" spans="1:223" ht="19.5" customHeight="1" x14ac:dyDescent="0.4">
      <c r="A3149" s="4">
        <v>1</v>
      </c>
      <c r="B3149" s="4" t="s">
        <v>239</v>
      </c>
      <c r="C3149" s="4">
        <v>4852</v>
      </c>
      <c r="D3149" s="4">
        <v>1</v>
      </c>
      <c r="E3149" s="4">
        <v>1</v>
      </c>
      <c r="F3149" s="4" t="s">
        <v>268</v>
      </c>
      <c r="G3149" s="4" t="s">
        <v>241</v>
      </c>
      <c r="H3149" s="4" t="s">
        <v>241</v>
      </c>
      <c r="I3149" s="4" t="s">
        <v>424</v>
      </c>
      <c r="J3149" s="4" t="s">
        <v>274</v>
      </c>
      <c r="K3149" s="4" t="s">
        <v>251</v>
      </c>
      <c r="L3149" s="4" t="s">
        <v>423</v>
      </c>
      <c r="M3149" s="5" t="s">
        <v>3917</v>
      </c>
      <c r="N3149" s="6">
        <f>496</f>
        <v>496</v>
      </c>
      <c r="O3149" s="4" t="s">
        <v>265</v>
      </c>
      <c r="P3149" s="6">
        <f>1</f>
        <v>1</v>
      </c>
      <c r="Q3149" s="6">
        <f>0</f>
        <v>0</v>
      </c>
      <c r="S3149" s="6">
        <f>0</f>
        <v>0</v>
      </c>
      <c r="T3149" s="6">
        <f>1</f>
        <v>1</v>
      </c>
      <c r="U3149" s="5" t="s">
        <v>245</v>
      </c>
      <c r="V3149" s="4" t="s">
        <v>270</v>
      </c>
      <c r="W3149" s="4" t="s">
        <v>271</v>
      </c>
      <c r="X3149" s="4" t="s">
        <v>273</v>
      </c>
      <c r="Y3149" s="4" t="s">
        <v>241</v>
      </c>
      <c r="AB3149" s="4" t="s">
        <v>241</v>
      </c>
      <c r="AD3149" s="5" t="s">
        <v>241</v>
      </c>
      <c r="AG3149" s="5" t="s">
        <v>246</v>
      </c>
      <c r="AH3149" s="4" t="s">
        <v>241</v>
      </c>
      <c r="AI3149" s="4" t="s">
        <v>247</v>
      </c>
      <c r="AJ3149" s="4" t="s">
        <v>248</v>
      </c>
      <c r="AZ3149" s="4" t="s">
        <v>249</v>
      </c>
      <c r="BA3149" s="4" t="s">
        <v>241</v>
      </c>
      <c r="BB3149" s="4" t="s">
        <v>250</v>
      </c>
      <c r="BC3149" s="4" t="s">
        <v>241</v>
      </c>
      <c r="BD3149" s="4" t="s">
        <v>252</v>
      </c>
      <c r="BE3149" s="4" t="s">
        <v>241</v>
      </c>
      <c r="BI3149" s="4" t="s">
        <v>253</v>
      </c>
      <c r="BJ3149" s="5" t="s">
        <v>246</v>
      </c>
      <c r="BK3149" s="4" t="s">
        <v>254</v>
      </c>
      <c r="BL3149" s="4" t="s">
        <v>255</v>
      </c>
      <c r="BM3149" s="4" t="s">
        <v>241</v>
      </c>
      <c r="BN3149" s="6">
        <f>0</f>
        <v>0</v>
      </c>
      <c r="BO3149" s="6">
        <f>0</f>
        <v>0</v>
      </c>
      <c r="BP3149" s="4" t="s">
        <v>256</v>
      </c>
      <c r="BQ3149" s="4" t="s">
        <v>257</v>
      </c>
      <c r="CE3149" s="4" t="s">
        <v>241</v>
      </c>
      <c r="CF3149" s="4" t="s">
        <v>241</v>
      </c>
      <c r="CJ3149" s="4" t="s">
        <v>276</v>
      </c>
      <c r="CK3149" s="4" t="s">
        <v>259</v>
      </c>
      <c r="CL3149" s="4" t="s">
        <v>241</v>
      </c>
      <c r="CO3149" s="5" t="s">
        <v>260</v>
      </c>
      <c r="CP3149" s="4" t="s">
        <v>241</v>
      </c>
      <c r="CQ3149" s="4" t="s">
        <v>261</v>
      </c>
      <c r="CR3149" s="4" t="s">
        <v>241</v>
      </c>
      <c r="CS3149" s="4" t="s">
        <v>241</v>
      </c>
      <c r="CT3149" s="4">
        <v>0</v>
      </c>
      <c r="CU3149" s="4" t="s">
        <v>262</v>
      </c>
      <c r="CV3149" s="4" t="s">
        <v>263</v>
      </c>
      <c r="CW3149" s="4" t="s">
        <v>263</v>
      </c>
      <c r="CX3149" s="4" t="s">
        <v>264</v>
      </c>
      <c r="DA3149" s="6">
        <f>1</f>
        <v>1</v>
      </c>
      <c r="DC3149" s="4" t="s">
        <v>325</v>
      </c>
      <c r="DD3149" s="4" t="s">
        <v>241</v>
      </c>
      <c r="DF3149" s="4" t="s">
        <v>325</v>
      </c>
      <c r="DG3149" s="6">
        <f>496</f>
        <v>496</v>
      </c>
      <c r="DI3149" s="4" t="s">
        <v>241</v>
      </c>
      <c r="DJ3149" s="4" t="s">
        <v>241</v>
      </c>
      <c r="DK3149" s="4" t="s">
        <v>241</v>
      </c>
      <c r="DL3149" s="4" t="s">
        <v>241</v>
      </c>
      <c r="DP3149" s="4" t="s">
        <v>241</v>
      </c>
      <c r="DQ3149" s="4" t="s">
        <v>241</v>
      </c>
      <c r="DR3149" s="4" t="s">
        <v>241</v>
      </c>
      <c r="DS3149" s="4" t="s">
        <v>241</v>
      </c>
      <c r="DV3149" s="4" t="s">
        <v>426</v>
      </c>
      <c r="DW3149" s="4" t="s">
        <v>3918</v>
      </c>
      <c r="HO3149" s="4" t="s">
        <v>267</v>
      </c>
    </row>
    <row r="3150" spans="1:223" ht="19.5" customHeight="1" x14ac:dyDescent="0.4">
      <c r="A3150" s="4">
        <v>1</v>
      </c>
      <c r="B3150" s="4" t="s">
        <v>239</v>
      </c>
      <c r="C3150" s="4">
        <v>4853</v>
      </c>
      <c r="D3150" s="4">
        <v>1</v>
      </c>
      <c r="E3150" s="4">
        <v>1</v>
      </c>
      <c r="F3150" s="4" t="s">
        <v>268</v>
      </c>
      <c r="G3150" s="4" t="s">
        <v>241</v>
      </c>
      <c r="H3150" s="4" t="s">
        <v>241</v>
      </c>
      <c r="I3150" s="4" t="s">
        <v>424</v>
      </c>
      <c r="J3150" s="4" t="s">
        <v>274</v>
      </c>
      <c r="K3150" s="4" t="s">
        <v>251</v>
      </c>
      <c r="L3150" s="4" t="s">
        <v>423</v>
      </c>
      <c r="M3150" s="5" t="s">
        <v>3580</v>
      </c>
      <c r="N3150" s="6">
        <f>806</f>
        <v>806</v>
      </c>
      <c r="O3150" s="4" t="s">
        <v>265</v>
      </c>
      <c r="P3150" s="6">
        <f>1</f>
        <v>1</v>
      </c>
      <c r="Q3150" s="6">
        <f>0</f>
        <v>0</v>
      </c>
      <c r="S3150" s="6">
        <f>0</f>
        <v>0</v>
      </c>
      <c r="T3150" s="6">
        <f>1</f>
        <v>1</v>
      </c>
      <c r="U3150" s="5" t="s">
        <v>245</v>
      </c>
      <c r="V3150" s="4" t="s">
        <v>270</v>
      </c>
      <c r="W3150" s="4" t="s">
        <v>271</v>
      </c>
      <c r="X3150" s="4" t="s">
        <v>273</v>
      </c>
      <c r="Y3150" s="4" t="s">
        <v>241</v>
      </c>
      <c r="AB3150" s="4" t="s">
        <v>241</v>
      </c>
      <c r="AD3150" s="5" t="s">
        <v>241</v>
      </c>
      <c r="AG3150" s="5" t="s">
        <v>246</v>
      </c>
      <c r="AH3150" s="4" t="s">
        <v>241</v>
      </c>
      <c r="AI3150" s="4" t="s">
        <v>247</v>
      </c>
      <c r="AJ3150" s="4" t="s">
        <v>248</v>
      </c>
      <c r="AZ3150" s="4" t="s">
        <v>249</v>
      </c>
      <c r="BA3150" s="4" t="s">
        <v>241</v>
      </c>
      <c r="BB3150" s="4" t="s">
        <v>250</v>
      </c>
      <c r="BC3150" s="4" t="s">
        <v>241</v>
      </c>
      <c r="BD3150" s="4" t="s">
        <v>252</v>
      </c>
      <c r="BE3150" s="4" t="s">
        <v>241</v>
      </c>
      <c r="BI3150" s="4" t="s">
        <v>253</v>
      </c>
      <c r="BJ3150" s="5" t="s">
        <v>246</v>
      </c>
      <c r="BK3150" s="4" t="s">
        <v>254</v>
      </c>
      <c r="BL3150" s="4" t="s">
        <v>255</v>
      </c>
      <c r="BM3150" s="4" t="s">
        <v>241</v>
      </c>
      <c r="BN3150" s="6">
        <f>0</f>
        <v>0</v>
      </c>
      <c r="BO3150" s="6">
        <f>0</f>
        <v>0</v>
      </c>
      <c r="BP3150" s="4" t="s">
        <v>256</v>
      </c>
      <c r="BQ3150" s="4" t="s">
        <v>257</v>
      </c>
      <c r="CE3150" s="4" t="s">
        <v>241</v>
      </c>
      <c r="CF3150" s="4" t="s">
        <v>241</v>
      </c>
      <c r="CJ3150" s="4" t="s">
        <v>276</v>
      </c>
      <c r="CK3150" s="4" t="s">
        <v>259</v>
      </c>
      <c r="CL3150" s="4" t="s">
        <v>241</v>
      </c>
      <c r="CO3150" s="5" t="s">
        <v>260</v>
      </c>
      <c r="CP3150" s="4" t="s">
        <v>241</v>
      </c>
      <c r="CQ3150" s="4" t="s">
        <v>261</v>
      </c>
      <c r="CR3150" s="4" t="s">
        <v>241</v>
      </c>
      <c r="CS3150" s="4" t="s">
        <v>241</v>
      </c>
      <c r="CT3150" s="4">
        <v>0</v>
      </c>
      <c r="CU3150" s="4" t="s">
        <v>262</v>
      </c>
      <c r="CV3150" s="4" t="s">
        <v>263</v>
      </c>
      <c r="CW3150" s="4" t="s">
        <v>263</v>
      </c>
      <c r="CX3150" s="4" t="s">
        <v>264</v>
      </c>
      <c r="DA3150" s="6">
        <f>1</f>
        <v>1</v>
      </c>
      <c r="DC3150" s="4" t="s">
        <v>325</v>
      </c>
      <c r="DD3150" s="4" t="s">
        <v>241</v>
      </c>
      <c r="DF3150" s="4" t="s">
        <v>325</v>
      </c>
      <c r="DG3150" s="6">
        <f>806</f>
        <v>806</v>
      </c>
      <c r="DI3150" s="4" t="s">
        <v>241</v>
      </c>
      <c r="DJ3150" s="4" t="s">
        <v>241</v>
      </c>
      <c r="DK3150" s="4" t="s">
        <v>241</v>
      </c>
      <c r="DL3150" s="4" t="s">
        <v>241</v>
      </c>
      <c r="DP3150" s="4" t="s">
        <v>241</v>
      </c>
      <c r="DQ3150" s="4" t="s">
        <v>241</v>
      </c>
      <c r="DR3150" s="4" t="s">
        <v>241</v>
      </c>
      <c r="DS3150" s="4" t="s">
        <v>241</v>
      </c>
      <c r="DV3150" s="4" t="s">
        <v>426</v>
      </c>
      <c r="DW3150" s="4" t="s">
        <v>3581</v>
      </c>
      <c r="HO3150" s="4" t="s">
        <v>267</v>
      </c>
    </row>
    <row r="3151" spans="1:223" ht="19.5" customHeight="1" x14ac:dyDescent="0.4">
      <c r="A3151" s="4">
        <v>1</v>
      </c>
      <c r="B3151" s="4" t="s">
        <v>239</v>
      </c>
      <c r="C3151" s="4">
        <v>4854</v>
      </c>
      <c r="D3151" s="4">
        <v>1</v>
      </c>
      <c r="E3151" s="4">
        <v>1</v>
      </c>
      <c r="F3151" s="4" t="s">
        <v>268</v>
      </c>
      <c r="G3151" s="4" t="s">
        <v>241</v>
      </c>
      <c r="H3151" s="4" t="s">
        <v>241</v>
      </c>
      <c r="I3151" s="4" t="s">
        <v>424</v>
      </c>
      <c r="J3151" s="4" t="s">
        <v>274</v>
      </c>
      <c r="K3151" s="4" t="s">
        <v>251</v>
      </c>
      <c r="L3151" s="4" t="s">
        <v>423</v>
      </c>
      <c r="M3151" s="5" t="s">
        <v>3354</v>
      </c>
      <c r="N3151" s="6">
        <f>1185</f>
        <v>1185</v>
      </c>
      <c r="O3151" s="4" t="s">
        <v>265</v>
      </c>
      <c r="P3151" s="6">
        <f>1</f>
        <v>1</v>
      </c>
      <c r="Q3151" s="6">
        <f>0</f>
        <v>0</v>
      </c>
      <c r="S3151" s="6">
        <f>0</f>
        <v>0</v>
      </c>
      <c r="T3151" s="6">
        <f>1</f>
        <v>1</v>
      </c>
      <c r="U3151" s="5" t="s">
        <v>245</v>
      </c>
      <c r="V3151" s="4" t="s">
        <v>270</v>
      </c>
      <c r="W3151" s="4" t="s">
        <v>271</v>
      </c>
      <c r="X3151" s="4" t="s">
        <v>273</v>
      </c>
      <c r="Y3151" s="4" t="s">
        <v>241</v>
      </c>
      <c r="AB3151" s="4" t="s">
        <v>241</v>
      </c>
      <c r="AD3151" s="5" t="s">
        <v>241</v>
      </c>
      <c r="AG3151" s="5" t="s">
        <v>246</v>
      </c>
      <c r="AH3151" s="4" t="s">
        <v>241</v>
      </c>
      <c r="AI3151" s="4" t="s">
        <v>247</v>
      </c>
      <c r="AJ3151" s="4" t="s">
        <v>248</v>
      </c>
      <c r="AZ3151" s="4" t="s">
        <v>249</v>
      </c>
      <c r="BA3151" s="4" t="s">
        <v>241</v>
      </c>
      <c r="BB3151" s="4" t="s">
        <v>250</v>
      </c>
      <c r="BC3151" s="4" t="s">
        <v>241</v>
      </c>
      <c r="BD3151" s="4" t="s">
        <v>252</v>
      </c>
      <c r="BE3151" s="4" t="s">
        <v>241</v>
      </c>
      <c r="BI3151" s="4" t="s">
        <v>253</v>
      </c>
      <c r="BJ3151" s="5" t="s">
        <v>246</v>
      </c>
      <c r="BK3151" s="4" t="s">
        <v>254</v>
      </c>
      <c r="BL3151" s="4" t="s">
        <v>255</v>
      </c>
      <c r="BM3151" s="4" t="s">
        <v>241</v>
      </c>
      <c r="BN3151" s="6">
        <f>0</f>
        <v>0</v>
      </c>
      <c r="BO3151" s="6">
        <f>0</f>
        <v>0</v>
      </c>
      <c r="BP3151" s="4" t="s">
        <v>256</v>
      </c>
      <c r="BQ3151" s="4" t="s">
        <v>257</v>
      </c>
      <c r="CE3151" s="4" t="s">
        <v>241</v>
      </c>
      <c r="CF3151" s="4" t="s">
        <v>241</v>
      </c>
      <c r="CJ3151" s="4" t="s">
        <v>276</v>
      </c>
      <c r="CK3151" s="4" t="s">
        <v>259</v>
      </c>
      <c r="CL3151" s="4" t="s">
        <v>241</v>
      </c>
      <c r="CO3151" s="5" t="s">
        <v>260</v>
      </c>
      <c r="CP3151" s="4" t="s">
        <v>241</v>
      </c>
      <c r="CQ3151" s="4" t="s">
        <v>261</v>
      </c>
      <c r="CR3151" s="4" t="s">
        <v>241</v>
      </c>
      <c r="CS3151" s="4" t="s">
        <v>241</v>
      </c>
      <c r="CT3151" s="4">
        <v>0</v>
      </c>
      <c r="CU3151" s="4" t="s">
        <v>262</v>
      </c>
      <c r="CV3151" s="4" t="s">
        <v>263</v>
      </c>
      <c r="CW3151" s="4" t="s">
        <v>263</v>
      </c>
      <c r="CX3151" s="4" t="s">
        <v>264</v>
      </c>
      <c r="DA3151" s="6">
        <f>1</f>
        <v>1</v>
      </c>
      <c r="DC3151" s="4" t="s">
        <v>325</v>
      </c>
      <c r="DD3151" s="4" t="s">
        <v>241</v>
      </c>
      <c r="DF3151" s="4" t="s">
        <v>325</v>
      </c>
      <c r="DG3151" s="6">
        <f>1185</f>
        <v>1185</v>
      </c>
      <c r="DI3151" s="4" t="s">
        <v>241</v>
      </c>
      <c r="DJ3151" s="4" t="s">
        <v>241</v>
      </c>
      <c r="DK3151" s="4" t="s">
        <v>241</v>
      </c>
      <c r="DL3151" s="4" t="s">
        <v>241</v>
      </c>
      <c r="DP3151" s="4" t="s">
        <v>241</v>
      </c>
      <c r="DQ3151" s="4" t="s">
        <v>241</v>
      </c>
      <c r="DR3151" s="4" t="s">
        <v>241</v>
      </c>
      <c r="DS3151" s="4" t="s">
        <v>241</v>
      </c>
      <c r="DV3151" s="4" t="s">
        <v>426</v>
      </c>
      <c r="DW3151" s="4" t="s">
        <v>3355</v>
      </c>
      <c r="HO3151" s="4" t="s">
        <v>267</v>
      </c>
    </row>
    <row r="3152" spans="1:223" ht="19.5" customHeight="1" x14ac:dyDescent="0.4">
      <c r="A3152" s="4">
        <v>1</v>
      </c>
      <c r="B3152" s="4" t="s">
        <v>239</v>
      </c>
      <c r="C3152" s="4">
        <v>4855</v>
      </c>
      <c r="D3152" s="4">
        <v>1</v>
      </c>
      <c r="E3152" s="4">
        <v>1</v>
      </c>
      <c r="F3152" s="4" t="s">
        <v>268</v>
      </c>
      <c r="G3152" s="4" t="s">
        <v>241</v>
      </c>
      <c r="H3152" s="4" t="s">
        <v>241</v>
      </c>
      <c r="I3152" s="4" t="s">
        <v>424</v>
      </c>
      <c r="J3152" s="4" t="s">
        <v>274</v>
      </c>
      <c r="K3152" s="4" t="s">
        <v>251</v>
      </c>
      <c r="L3152" s="4" t="s">
        <v>423</v>
      </c>
      <c r="M3152" s="5" t="s">
        <v>657</v>
      </c>
      <c r="N3152" s="6">
        <f>1238</f>
        <v>1238</v>
      </c>
      <c r="O3152" s="4" t="s">
        <v>265</v>
      </c>
      <c r="P3152" s="6">
        <f>1</f>
        <v>1</v>
      </c>
      <c r="Q3152" s="6">
        <f>0</f>
        <v>0</v>
      </c>
      <c r="S3152" s="6">
        <f>0</f>
        <v>0</v>
      </c>
      <c r="T3152" s="6">
        <f>1</f>
        <v>1</v>
      </c>
      <c r="U3152" s="5" t="s">
        <v>245</v>
      </c>
      <c r="V3152" s="4" t="s">
        <v>270</v>
      </c>
      <c r="W3152" s="4" t="s">
        <v>271</v>
      </c>
      <c r="X3152" s="4" t="s">
        <v>273</v>
      </c>
      <c r="Y3152" s="4" t="s">
        <v>241</v>
      </c>
      <c r="AB3152" s="4" t="s">
        <v>241</v>
      </c>
      <c r="AD3152" s="5" t="s">
        <v>241</v>
      </c>
      <c r="AG3152" s="5" t="s">
        <v>246</v>
      </c>
      <c r="AH3152" s="4" t="s">
        <v>241</v>
      </c>
      <c r="AI3152" s="4" t="s">
        <v>247</v>
      </c>
      <c r="AJ3152" s="4" t="s">
        <v>248</v>
      </c>
      <c r="AZ3152" s="4" t="s">
        <v>249</v>
      </c>
      <c r="BA3152" s="4" t="s">
        <v>241</v>
      </c>
      <c r="BB3152" s="4" t="s">
        <v>250</v>
      </c>
      <c r="BC3152" s="4" t="s">
        <v>241</v>
      </c>
      <c r="BD3152" s="4" t="s">
        <v>252</v>
      </c>
      <c r="BE3152" s="4" t="s">
        <v>241</v>
      </c>
      <c r="BI3152" s="4" t="s">
        <v>253</v>
      </c>
      <c r="BJ3152" s="5" t="s">
        <v>246</v>
      </c>
      <c r="BK3152" s="4" t="s">
        <v>254</v>
      </c>
      <c r="BL3152" s="4" t="s">
        <v>255</v>
      </c>
      <c r="BM3152" s="4" t="s">
        <v>241</v>
      </c>
      <c r="BN3152" s="6">
        <f>0</f>
        <v>0</v>
      </c>
      <c r="BO3152" s="6">
        <f>0</f>
        <v>0</v>
      </c>
      <c r="BP3152" s="4" t="s">
        <v>256</v>
      </c>
      <c r="BQ3152" s="4" t="s">
        <v>257</v>
      </c>
      <c r="CE3152" s="4" t="s">
        <v>241</v>
      </c>
      <c r="CF3152" s="4" t="s">
        <v>241</v>
      </c>
      <c r="CJ3152" s="4" t="s">
        <v>276</v>
      </c>
      <c r="CK3152" s="4" t="s">
        <v>259</v>
      </c>
      <c r="CL3152" s="4" t="s">
        <v>241</v>
      </c>
      <c r="CO3152" s="5" t="s">
        <v>260</v>
      </c>
      <c r="CP3152" s="4" t="s">
        <v>241</v>
      </c>
      <c r="CQ3152" s="4" t="s">
        <v>261</v>
      </c>
      <c r="CR3152" s="4" t="s">
        <v>241</v>
      </c>
      <c r="CS3152" s="4" t="s">
        <v>241</v>
      </c>
      <c r="CT3152" s="4">
        <v>0</v>
      </c>
      <c r="CU3152" s="4" t="s">
        <v>262</v>
      </c>
      <c r="CV3152" s="4" t="s">
        <v>263</v>
      </c>
      <c r="CW3152" s="4" t="s">
        <v>263</v>
      </c>
      <c r="CX3152" s="4" t="s">
        <v>264</v>
      </c>
      <c r="DA3152" s="6">
        <f>1</f>
        <v>1</v>
      </c>
      <c r="DC3152" s="4" t="s">
        <v>325</v>
      </c>
      <c r="DD3152" s="4" t="s">
        <v>241</v>
      </c>
      <c r="DF3152" s="4" t="s">
        <v>325</v>
      </c>
      <c r="DG3152" s="6">
        <f>1238</f>
        <v>1238</v>
      </c>
      <c r="DI3152" s="4" t="s">
        <v>241</v>
      </c>
      <c r="DJ3152" s="4" t="s">
        <v>241</v>
      </c>
      <c r="DK3152" s="4" t="s">
        <v>241</v>
      </c>
      <c r="DL3152" s="4" t="s">
        <v>241</v>
      </c>
      <c r="DP3152" s="4" t="s">
        <v>241</v>
      </c>
      <c r="DQ3152" s="4" t="s">
        <v>241</v>
      </c>
      <c r="DR3152" s="4" t="s">
        <v>241</v>
      </c>
      <c r="DS3152" s="4" t="s">
        <v>241</v>
      </c>
      <c r="DV3152" s="4" t="s">
        <v>426</v>
      </c>
      <c r="DW3152" s="4" t="s">
        <v>658</v>
      </c>
      <c r="HO3152" s="4" t="s">
        <v>267</v>
      </c>
    </row>
    <row r="3153" spans="1:223" ht="19.5" customHeight="1" x14ac:dyDescent="0.4">
      <c r="A3153" s="4">
        <v>1</v>
      </c>
      <c r="B3153" s="4" t="s">
        <v>239</v>
      </c>
      <c r="C3153" s="4">
        <v>4856</v>
      </c>
      <c r="D3153" s="4">
        <v>1</v>
      </c>
      <c r="E3153" s="4">
        <v>1</v>
      </c>
      <c r="F3153" s="4" t="s">
        <v>268</v>
      </c>
      <c r="G3153" s="4" t="s">
        <v>241</v>
      </c>
      <c r="H3153" s="4" t="s">
        <v>241</v>
      </c>
      <c r="I3153" s="4" t="s">
        <v>424</v>
      </c>
      <c r="J3153" s="4" t="s">
        <v>274</v>
      </c>
      <c r="K3153" s="4" t="s">
        <v>251</v>
      </c>
      <c r="L3153" s="4" t="s">
        <v>423</v>
      </c>
      <c r="M3153" s="5" t="s">
        <v>3510</v>
      </c>
      <c r="N3153" s="6">
        <f>1736</f>
        <v>1736</v>
      </c>
      <c r="O3153" s="4" t="s">
        <v>265</v>
      </c>
      <c r="P3153" s="6">
        <f>1</f>
        <v>1</v>
      </c>
      <c r="Q3153" s="6">
        <f>0</f>
        <v>0</v>
      </c>
      <c r="S3153" s="6">
        <f>0</f>
        <v>0</v>
      </c>
      <c r="T3153" s="6">
        <f>1</f>
        <v>1</v>
      </c>
      <c r="U3153" s="5" t="s">
        <v>245</v>
      </c>
      <c r="V3153" s="4" t="s">
        <v>270</v>
      </c>
      <c r="W3153" s="4" t="s">
        <v>271</v>
      </c>
      <c r="X3153" s="4" t="s">
        <v>273</v>
      </c>
      <c r="Y3153" s="4" t="s">
        <v>241</v>
      </c>
      <c r="AB3153" s="4" t="s">
        <v>241</v>
      </c>
      <c r="AD3153" s="5" t="s">
        <v>241</v>
      </c>
      <c r="AG3153" s="5" t="s">
        <v>246</v>
      </c>
      <c r="AH3153" s="4" t="s">
        <v>241</v>
      </c>
      <c r="AI3153" s="4" t="s">
        <v>247</v>
      </c>
      <c r="AJ3153" s="4" t="s">
        <v>248</v>
      </c>
      <c r="AZ3153" s="4" t="s">
        <v>249</v>
      </c>
      <c r="BA3153" s="4" t="s">
        <v>241</v>
      </c>
      <c r="BB3153" s="4" t="s">
        <v>250</v>
      </c>
      <c r="BC3153" s="4" t="s">
        <v>241</v>
      </c>
      <c r="BD3153" s="4" t="s">
        <v>252</v>
      </c>
      <c r="BE3153" s="4" t="s">
        <v>241</v>
      </c>
      <c r="BI3153" s="4" t="s">
        <v>253</v>
      </c>
      <c r="BJ3153" s="5" t="s">
        <v>246</v>
      </c>
      <c r="BK3153" s="4" t="s">
        <v>254</v>
      </c>
      <c r="BL3153" s="4" t="s">
        <v>255</v>
      </c>
      <c r="BM3153" s="4" t="s">
        <v>241</v>
      </c>
      <c r="BN3153" s="6">
        <f>0</f>
        <v>0</v>
      </c>
      <c r="BO3153" s="6">
        <f>0</f>
        <v>0</v>
      </c>
      <c r="BP3153" s="4" t="s">
        <v>256</v>
      </c>
      <c r="BQ3153" s="4" t="s">
        <v>257</v>
      </c>
      <c r="CE3153" s="4" t="s">
        <v>241</v>
      </c>
      <c r="CF3153" s="4" t="s">
        <v>241</v>
      </c>
      <c r="CJ3153" s="4" t="s">
        <v>276</v>
      </c>
      <c r="CK3153" s="4" t="s">
        <v>259</v>
      </c>
      <c r="CL3153" s="4" t="s">
        <v>241</v>
      </c>
      <c r="CO3153" s="5" t="s">
        <v>260</v>
      </c>
      <c r="CP3153" s="4" t="s">
        <v>241</v>
      </c>
      <c r="CQ3153" s="4" t="s">
        <v>261</v>
      </c>
      <c r="CR3153" s="4" t="s">
        <v>241</v>
      </c>
      <c r="CS3153" s="4" t="s">
        <v>241</v>
      </c>
      <c r="CT3153" s="4">
        <v>0</v>
      </c>
      <c r="CU3153" s="4" t="s">
        <v>262</v>
      </c>
      <c r="CV3153" s="4" t="s">
        <v>263</v>
      </c>
      <c r="CW3153" s="4" t="s">
        <v>263</v>
      </c>
      <c r="CX3153" s="4" t="s">
        <v>264</v>
      </c>
      <c r="DA3153" s="6">
        <f>1</f>
        <v>1</v>
      </c>
      <c r="DC3153" s="4" t="s">
        <v>325</v>
      </c>
      <c r="DD3153" s="4" t="s">
        <v>241</v>
      </c>
      <c r="DF3153" s="4" t="s">
        <v>325</v>
      </c>
      <c r="DG3153" s="6">
        <f>1736</f>
        <v>1736</v>
      </c>
      <c r="DI3153" s="4" t="s">
        <v>241</v>
      </c>
      <c r="DJ3153" s="4" t="s">
        <v>241</v>
      </c>
      <c r="DK3153" s="4" t="s">
        <v>241</v>
      </c>
      <c r="DL3153" s="4" t="s">
        <v>241</v>
      </c>
      <c r="DP3153" s="4" t="s">
        <v>241</v>
      </c>
      <c r="DQ3153" s="4" t="s">
        <v>241</v>
      </c>
      <c r="DR3153" s="4" t="s">
        <v>241</v>
      </c>
      <c r="DS3153" s="4" t="s">
        <v>241</v>
      </c>
      <c r="DV3153" s="4" t="s">
        <v>426</v>
      </c>
      <c r="DW3153" s="4" t="s">
        <v>3511</v>
      </c>
      <c r="HO3153" s="4" t="s">
        <v>267</v>
      </c>
    </row>
    <row r="3154" spans="1:223" ht="19.5" customHeight="1" x14ac:dyDescent="0.4">
      <c r="A3154" s="4">
        <v>1</v>
      </c>
      <c r="B3154" s="4" t="s">
        <v>239</v>
      </c>
      <c r="C3154" s="4">
        <v>4857</v>
      </c>
      <c r="D3154" s="4">
        <v>1</v>
      </c>
      <c r="E3154" s="4">
        <v>1</v>
      </c>
      <c r="F3154" s="4" t="s">
        <v>268</v>
      </c>
      <c r="G3154" s="4" t="s">
        <v>241</v>
      </c>
      <c r="H3154" s="4" t="s">
        <v>241</v>
      </c>
      <c r="I3154" s="4" t="s">
        <v>424</v>
      </c>
      <c r="J3154" s="4" t="s">
        <v>274</v>
      </c>
      <c r="K3154" s="4" t="s">
        <v>251</v>
      </c>
      <c r="L3154" s="4" t="s">
        <v>423</v>
      </c>
      <c r="M3154" s="5" t="s">
        <v>3406</v>
      </c>
      <c r="N3154" s="6">
        <f>142</f>
        <v>142</v>
      </c>
      <c r="O3154" s="4" t="s">
        <v>265</v>
      </c>
      <c r="P3154" s="6">
        <f>1</f>
        <v>1</v>
      </c>
      <c r="Q3154" s="6">
        <f>0</f>
        <v>0</v>
      </c>
      <c r="S3154" s="6">
        <f>0</f>
        <v>0</v>
      </c>
      <c r="T3154" s="6">
        <f>1</f>
        <v>1</v>
      </c>
      <c r="U3154" s="5" t="s">
        <v>245</v>
      </c>
      <c r="V3154" s="4" t="s">
        <v>270</v>
      </c>
      <c r="W3154" s="4" t="s">
        <v>271</v>
      </c>
      <c r="X3154" s="4" t="s">
        <v>273</v>
      </c>
      <c r="Y3154" s="4" t="s">
        <v>241</v>
      </c>
      <c r="AB3154" s="4" t="s">
        <v>241</v>
      </c>
      <c r="AD3154" s="5" t="s">
        <v>241</v>
      </c>
      <c r="AG3154" s="5" t="s">
        <v>246</v>
      </c>
      <c r="AH3154" s="4" t="s">
        <v>241</v>
      </c>
      <c r="AI3154" s="4" t="s">
        <v>247</v>
      </c>
      <c r="AJ3154" s="4" t="s">
        <v>248</v>
      </c>
      <c r="AZ3154" s="4" t="s">
        <v>249</v>
      </c>
      <c r="BA3154" s="4" t="s">
        <v>241</v>
      </c>
      <c r="BB3154" s="4" t="s">
        <v>250</v>
      </c>
      <c r="BC3154" s="4" t="s">
        <v>241</v>
      </c>
      <c r="BD3154" s="4" t="s">
        <v>252</v>
      </c>
      <c r="BE3154" s="4" t="s">
        <v>241</v>
      </c>
      <c r="BI3154" s="4" t="s">
        <v>253</v>
      </c>
      <c r="BJ3154" s="5" t="s">
        <v>246</v>
      </c>
      <c r="BK3154" s="4" t="s">
        <v>254</v>
      </c>
      <c r="BL3154" s="4" t="s">
        <v>255</v>
      </c>
      <c r="BM3154" s="4" t="s">
        <v>241</v>
      </c>
      <c r="BN3154" s="6">
        <f>0</f>
        <v>0</v>
      </c>
      <c r="BO3154" s="6">
        <f>0</f>
        <v>0</v>
      </c>
      <c r="BP3154" s="4" t="s">
        <v>256</v>
      </c>
      <c r="BQ3154" s="4" t="s">
        <v>257</v>
      </c>
      <c r="CE3154" s="4" t="s">
        <v>241</v>
      </c>
      <c r="CF3154" s="4" t="s">
        <v>241</v>
      </c>
      <c r="CJ3154" s="4" t="s">
        <v>276</v>
      </c>
      <c r="CK3154" s="4" t="s">
        <v>259</v>
      </c>
      <c r="CL3154" s="4" t="s">
        <v>241</v>
      </c>
      <c r="CO3154" s="5" t="s">
        <v>260</v>
      </c>
      <c r="CP3154" s="4" t="s">
        <v>241</v>
      </c>
      <c r="CQ3154" s="4" t="s">
        <v>261</v>
      </c>
      <c r="CR3154" s="4" t="s">
        <v>241</v>
      </c>
      <c r="CS3154" s="4" t="s">
        <v>241</v>
      </c>
      <c r="CT3154" s="4">
        <v>0</v>
      </c>
      <c r="CU3154" s="4" t="s">
        <v>262</v>
      </c>
      <c r="CV3154" s="4" t="s">
        <v>263</v>
      </c>
      <c r="CW3154" s="4" t="s">
        <v>263</v>
      </c>
      <c r="CX3154" s="4" t="s">
        <v>264</v>
      </c>
      <c r="DA3154" s="6">
        <f>1</f>
        <v>1</v>
      </c>
      <c r="DC3154" s="4" t="s">
        <v>325</v>
      </c>
      <c r="DD3154" s="4" t="s">
        <v>241</v>
      </c>
      <c r="DF3154" s="4" t="s">
        <v>325</v>
      </c>
      <c r="DG3154" s="6">
        <f>142</f>
        <v>142</v>
      </c>
      <c r="DI3154" s="4" t="s">
        <v>241</v>
      </c>
      <c r="DJ3154" s="4" t="s">
        <v>241</v>
      </c>
      <c r="DK3154" s="4" t="s">
        <v>241</v>
      </c>
      <c r="DL3154" s="4" t="s">
        <v>241</v>
      </c>
      <c r="DP3154" s="4" t="s">
        <v>241</v>
      </c>
      <c r="DQ3154" s="4" t="s">
        <v>241</v>
      </c>
      <c r="DR3154" s="4" t="s">
        <v>241</v>
      </c>
      <c r="DS3154" s="4" t="s">
        <v>241</v>
      </c>
      <c r="DV3154" s="4" t="s">
        <v>426</v>
      </c>
      <c r="DW3154" s="4" t="s">
        <v>3407</v>
      </c>
      <c r="HO3154" s="4" t="s">
        <v>267</v>
      </c>
    </row>
    <row r="3155" spans="1:223" ht="19.5" customHeight="1" x14ac:dyDescent="0.4">
      <c r="A3155" s="4">
        <v>1</v>
      </c>
      <c r="B3155" s="4" t="s">
        <v>239</v>
      </c>
      <c r="C3155" s="4">
        <v>4858</v>
      </c>
      <c r="D3155" s="4">
        <v>1</v>
      </c>
      <c r="E3155" s="4">
        <v>1</v>
      </c>
      <c r="F3155" s="4" t="s">
        <v>268</v>
      </c>
      <c r="G3155" s="4" t="s">
        <v>241</v>
      </c>
      <c r="H3155" s="4" t="s">
        <v>241</v>
      </c>
      <c r="I3155" s="4" t="s">
        <v>424</v>
      </c>
      <c r="J3155" s="4" t="s">
        <v>274</v>
      </c>
      <c r="K3155" s="4" t="s">
        <v>251</v>
      </c>
      <c r="L3155" s="4" t="s">
        <v>423</v>
      </c>
      <c r="M3155" s="5" t="s">
        <v>3512</v>
      </c>
      <c r="N3155" s="6">
        <f>180</f>
        <v>180</v>
      </c>
      <c r="O3155" s="4" t="s">
        <v>265</v>
      </c>
      <c r="P3155" s="6">
        <f>1</f>
        <v>1</v>
      </c>
      <c r="Q3155" s="6">
        <f>0</f>
        <v>0</v>
      </c>
      <c r="S3155" s="6">
        <f>0</f>
        <v>0</v>
      </c>
      <c r="T3155" s="6">
        <f>1</f>
        <v>1</v>
      </c>
      <c r="U3155" s="5" t="s">
        <v>245</v>
      </c>
      <c r="V3155" s="4" t="s">
        <v>270</v>
      </c>
      <c r="W3155" s="4" t="s">
        <v>271</v>
      </c>
      <c r="X3155" s="4" t="s">
        <v>273</v>
      </c>
      <c r="Y3155" s="4" t="s">
        <v>241</v>
      </c>
      <c r="AB3155" s="4" t="s">
        <v>241</v>
      </c>
      <c r="AD3155" s="5" t="s">
        <v>241</v>
      </c>
      <c r="AG3155" s="5" t="s">
        <v>246</v>
      </c>
      <c r="AH3155" s="4" t="s">
        <v>241</v>
      </c>
      <c r="AI3155" s="4" t="s">
        <v>247</v>
      </c>
      <c r="AJ3155" s="4" t="s">
        <v>248</v>
      </c>
      <c r="AZ3155" s="4" t="s">
        <v>249</v>
      </c>
      <c r="BA3155" s="4" t="s">
        <v>241</v>
      </c>
      <c r="BB3155" s="4" t="s">
        <v>250</v>
      </c>
      <c r="BC3155" s="4" t="s">
        <v>241</v>
      </c>
      <c r="BD3155" s="4" t="s">
        <v>252</v>
      </c>
      <c r="BE3155" s="4" t="s">
        <v>241</v>
      </c>
      <c r="BI3155" s="4" t="s">
        <v>253</v>
      </c>
      <c r="BJ3155" s="5" t="s">
        <v>246</v>
      </c>
      <c r="BK3155" s="4" t="s">
        <v>254</v>
      </c>
      <c r="BL3155" s="4" t="s">
        <v>255</v>
      </c>
      <c r="BM3155" s="4" t="s">
        <v>241</v>
      </c>
      <c r="BN3155" s="6">
        <f>0</f>
        <v>0</v>
      </c>
      <c r="BO3155" s="6">
        <f>0</f>
        <v>0</v>
      </c>
      <c r="BP3155" s="4" t="s">
        <v>256</v>
      </c>
      <c r="BQ3155" s="4" t="s">
        <v>257</v>
      </c>
      <c r="CE3155" s="4" t="s">
        <v>241</v>
      </c>
      <c r="CF3155" s="4" t="s">
        <v>241</v>
      </c>
      <c r="CJ3155" s="4" t="s">
        <v>276</v>
      </c>
      <c r="CK3155" s="4" t="s">
        <v>259</v>
      </c>
      <c r="CL3155" s="4" t="s">
        <v>241</v>
      </c>
      <c r="CO3155" s="5" t="s">
        <v>260</v>
      </c>
      <c r="CP3155" s="4" t="s">
        <v>241</v>
      </c>
      <c r="CQ3155" s="4" t="s">
        <v>261</v>
      </c>
      <c r="CR3155" s="4" t="s">
        <v>241</v>
      </c>
      <c r="CS3155" s="4" t="s">
        <v>241</v>
      </c>
      <c r="CT3155" s="4">
        <v>0</v>
      </c>
      <c r="CU3155" s="4" t="s">
        <v>262</v>
      </c>
      <c r="CV3155" s="4" t="s">
        <v>263</v>
      </c>
      <c r="CW3155" s="4" t="s">
        <v>263</v>
      </c>
      <c r="CX3155" s="4" t="s">
        <v>264</v>
      </c>
      <c r="DA3155" s="6">
        <f>1</f>
        <v>1</v>
      </c>
      <c r="DC3155" s="4" t="s">
        <v>325</v>
      </c>
      <c r="DD3155" s="4" t="s">
        <v>241</v>
      </c>
      <c r="DF3155" s="4" t="s">
        <v>325</v>
      </c>
      <c r="DG3155" s="6">
        <f>180</f>
        <v>180</v>
      </c>
      <c r="DI3155" s="4" t="s">
        <v>241</v>
      </c>
      <c r="DJ3155" s="4" t="s">
        <v>241</v>
      </c>
      <c r="DK3155" s="4" t="s">
        <v>241</v>
      </c>
      <c r="DL3155" s="4" t="s">
        <v>241</v>
      </c>
      <c r="DP3155" s="4" t="s">
        <v>241</v>
      </c>
      <c r="DQ3155" s="4" t="s">
        <v>241</v>
      </c>
      <c r="DR3155" s="4" t="s">
        <v>241</v>
      </c>
      <c r="DS3155" s="4" t="s">
        <v>241</v>
      </c>
      <c r="DV3155" s="4" t="s">
        <v>426</v>
      </c>
      <c r="DW3155" s="4" t="s">
        <v>3513</v>
      </c>
      <c r="HO3155" s="4" t="s">
        <v>267</v>
      </c>
    </row>
    <row r="3156" spans="1:223" ht="19.5" customHeight="1" x14ac:dyDescent="0.4">
      <c r="A3156" s="4">
        <v>1</v>
      </c>
      <c r="B3156" s="4" t="s">
        <v>239</v>
      </c>
      <c r="C3156" s="4">
        <v>4859</v>
      </c>
      <c r="D3156" s="4">
        <v>1</v>
      </c>
      <c r="E3156" s="4">
        <v>1</v>
      </c>
      <c r="F3156" s="4" t="s">
        <v>268</v>
      </c>
      <c r="G3156" s="4" t="s">
        <v>241</v>
      </c>
      <c r="H3156" s="4" t="s">
        <v>241</v>
      </c>
      <c r="I3156" s="4" t="s">
        <v>424</v>
      </c>
      <c r="J3156" s="4" t="s">
        <v>274</v>
      </c>
      <c r="K3156" s="4" t="s">
        <v>251</v>
      </c>
      <c r="L3156" s="4" t="s">
        <v>423</v>
      </c>
      <c r="M3156" s="5" t="s">
        <v>3489</v>
      </c>
      <c r="N3156" s="6">
        <f>177</f>
        <v>177</v>
      </c>
      <c r="O3156" s="4" t="s">
        <v>265</v>
      </c>
      <c r="P3156" s="6">
        <f>1</f>
        <v>1</v>
      </c>
      <c r="Q3156" s="6">
        <f>0</f>
        <v>0</v>
      </c>
      <c r="S3156" s="6">
        <f>0</f>
        <v>0</v>
      </c>
      <c r="T3156" s="6">
        <f>1</f>
        <v>1</v>
      </c>
      <c r="U3156" s="5" t="s">
        <v>245</v>
      </c>
      <c r="V3156" s="4" t="s">
        <v>270</v>
      </c>
      <c r="W3156" s="4" t="s">
        <v>271</v>
      </c>
      <c r="X3156" s="4" t="s">
        <v>273</v>
      </c>
      <c r="Y3156" s="4" t="s">
        <v>241</v>
      </c>
      <c r="AB3156" s="4" t="s">
        <v>241</v>
      </c>
      <c r="AD3156" s="5" t="s">
        <v>241</v>
      </c>
      <c r="AG3156" s="5" t="s">
        <v>246</v>
      </c>
      <c r="AH3156" s="4" t="s">
        <v>241</v>
      </c>
      <c r="AI3156" s="4" t="s">
        <v>247</v>
      </c>
      <c r="AJ3156" s="4" t="s">
        <v>248</v>
      </c>
      <c r="AZ3156" s="4" t="s">
        <v>249</v>
      </c>
      <c r="BA3156" s="4" t="s">
        <v>241</v>
      </c>
      <c r="BB3156" s="4" t="s">
        <v>250</v>
      </c>
      <c r="BC3156" s="4" t="s">
        <v>241</v>
      </c>
      <c r="BD3156" s="4" t="s">
        <v>252</v>
      </c>
      <c r="BE3156" s="4" t="s">
        <v>241</v>
      </c>
      <c r="BI3156" s="4" t="s">
        <v>253</v>
      </c>
      <c r="BJ3156" s="5" t="s">
        <v>246</v>
      </c>
      <c r="BK3156" s="4" t="s">
        <v>254</v>
      </c>
      <c r="BL3156" s="4" t="s">
        <v>255</v>
      </c>
      <c r="BM3156" s="4" t="s">
        <v>241</v>
      </c>
      <c r="BN3156" s="6">
        <f>0</f>
        <v>0</v>
      </c>
      <c r="BO3156" s="6">
        <f>0</f>
        <v>0</v>
      </c>
      <c r="BP3156" s="4" t="s">
        <v>256</v>
      </c>
      <c r="BQ3156" s="4" t="s">
        <v>257</v>
      </c>
      <c r="CE3156" s="4" t="s">
        <v>241</v>
      </c>
      <c r="CF3156" s="4" t="s">
        <v>241</v>
      </c>
      <c r="CJ3156" s="4" t="s">
        <v>276</v>
      </c>
      <c r="CK3156" s="4" t="s">
        <v>259</v>
      </c>
      <c r="CL3156" s="4" t="s">
        <v>241</v>
      </c>
      <c r="CO3156" s="5" t="s">
        <v>260</v>
      </c>
      <c r="CP3156" s="4" t="s">
        <v>241</v>
      </c>
      <c r="CQ3156" s="4" t="s">
        <v>261</v>
      </c>
      <c r="CR3156" s="4" t="s">
        <v>241</v>
      </c>
      <c r="CS3156" s="4" t="s">
        <v>241</v>
      </c>
      <c r="CT3156" s="4">
        <v>0</v>
      </c>
      <c r="CU3156" s="4" t="s">
        <v>262</v>
      </c>
      <c r="CV3156" s="4" t="s">
        <v>263</v>
      </c>
      <c r="CW3156" s="4" t="s">
        <v>263</v>
      </c>
      <c r="CX3156" s="4" t="s">
        <v>264</v>
      </c>
      <c r="DA3156" s="6">
        <f>1</f>
        <v>1</v>
      </c>
      <c r="DC3156" s="4" t="s">
        <v>325</v>
      </c>
      <c r="DD3156" s="4" t="s">
        <v>241</v>
      </c>
      <c r="DF3156" s="4" t="s">
        <v>325</v>
      </c>
      <c r="DG3156" s="6">
        <f>177</f>
        <v>177</v>
      </c>
      <c r="DI3156" s="4" t="s">
        <v>241</v>
      </c>
      <c r="DJ3156" s="4" t="s">
        <v>241</v>
      </c>
      <c r="DK3156" s="4" t="s">
        <v>241</v>
      </c>
      <c r="DL3156" s="4" t="s">
        <v>241</v>
      </c>
      <c r="DP3156" s="4" t="s">
        <v>241</v>
      </c>
      <c r="DQ3156" s="4" t="s">
        <v>241</v>
      </c>
      <c r="DR3156" s="4" t="s">
        <v>241</v>
      </c>
      <c r="DS3156" s="4" t="s">
        <v>241</v>
      </c>
      <c r="DV3156" s="4" t="s">
        <v>426</v>
      </c>
      <c r="DW3156" s="4" t="s">
        <v>3490</v>
      </c>
      <c r="HO3156" s="4" t="s">
        <v>267</v>
      </c>
    </row>
    <row r="3157" spans="1:223" ht="19.5" customHeight="1" x14ac:dyDescent="0.4">
      <c r="A3157" s="4">
        <v>1</v>
      </c>
      <c r="B3157" s="4" t="s">
        <v>239</v>
      </c>
      <c r="C3157" s="4">
        <v>4860</v>
      </c>
      <c r="D3157" s="4">
        <v>1</v>
      </c>
      <c r="E3157" s="4">
        <v>1</v>
      </c>
      <c r="F3157" s="4" t="s">
        <v>268</v>
      </c>
      <c r="G3157" s="4" t="s">
        <v>241</v>
      </c>
      <c r="H3157" s="4" t="s">
        <v>241</v>
      </c>
      <c r="I3157" s="4" t="s">
        <v>424</v>
      </c>
      <c r="J3157" s="4" t="s">
        <v>274</v>
      </c>
      <c r="K3157" s="4" t="s">
        <v>251</v>
      </c>
      <c r="L3157" s="4" t="s">
        <v>423</v>
      </c>
      <c r="M3157" s="5" t="s">
        <v>3502</v>
      </c>
      <c r="N3157" s="6">
        <f>130</f>
        <v>130</v>
      </c>
      <c r="O3157" s="4" t="s">
        <v>265</v>
      </c>
      <c r="P3157" s="6">
        <f>1</f>
        <v>1</v>
      </c>
      <c r="Q3157" s="6">
        <f>0</f>
        <v>0</v>
      </c>
      <c r="S3157" s="6">
        <f>0</f>
        <v>0</v>
      </c>
      <c r="T3157" s="6">
        <f>1</f>
        <v>1</v>
      </c>
      <c r="U3157" s="5" t="s">
        <v>245</v>
      </c>
      <c r="V3157" s="4" t="s">
        <v>270</v>
      </c>
      <c r="W3157" s="4" t="s">
        <v>271</v>
      </c>
      <c r="X3157" s="4" t="s">
        <v>273</v>
      </c>
      <c r="Y3157" s="4" t="s">
        <v>241</v>
      </c>
      <c r="AB3157" s="4" t="s">
        <v>241</v>
      </c>
      <c r="AD3157" s="5" t="s">
        <v>241</v>
      </c>
      <c r="AG3157" s="5" t="s">
        <v>246</v>
      </c>
      <c r="AH3157" s="4" t="s">
        <v>241</v>
      </c>
      <c r="AI3157" s="4" t="s">
        <v>247</v>
      </c>
      <c r="AJ3157" s="4" t="s">
        <v>248</v>
      </c>
      <c r="AZ3157" s="4" t="s">
        <v>249</v>
      </c>
      <c r="BA3157" s="4" t="s">
        <v>241</v>
      </c>
      <c r="BB3157" s="4" t="s">
        <v>250</v>
      </c>
      <c r="BC3157" s="4" t="s">
        <v>241</v>
      </c>
      <c r="BD3157" s="4" t="s">
        <v>252</v>
      </c>
      <c r="BE3157" s="4" t="s">
        <v>241</v>
      </c>
      <c r="BI3157" s="4" t="s">
        <v>253</v>
      </c>
      <c r="BJ3157" s="5" t="s">
        <v>246</v>
      </c>
      <c r="BK3157" s="4" t="s">
        <v>254</v>
      </c>
      <c r="BL3157" s="4" t="s">
        <v>255</v>
      </c>
      <c r="BM3157" s="4" t="s">
        <v>241</v>
      </c>
      <c r="BN3157" s="6">
        <f>0</f>
        <v>0</v>
      </c>
      <c r="BO3157" s="6">
        <f>0</f>
        <v>0</v>
      </c>
      <c r="BP3157" s="4" t="s">
        <v>256</v>
      </c>
      <c r="BQ3157" s="4" t="s">
        <v>257</v>
      </c>
      <c r="CE3157" s="4" t="s">
        <v>241</v>
      </c>
      <c r="CF3157" s="4" t="s">
        <v>241</v>
      </c>
      <c r="CJ3157" s="4" t="s">
        <v>276</v>
      </c>
      <c r="CK3157" s="4" t="s">
        <v>259</v>
      </c>
      <c r="CL3157" s="4" t="s">
        <v>241</v>
      </c>
      <c r="CO3157" s="5" t="s">
        <v>260</v>
      </c>
      <c r="CP3157" s="4" t="s">
        <v>241</v>
      </c>
      <c r="CQ3157" s="4" t="s">
        <v>261</v>
      </c>
      <c r="CR3157" s="4" t="s">
        <v>241</v>
      </c>
      <c r="CS3157" s="4" t="s">
        <v>241</v>
      </c>
      <c r="CT3157" s="4">
        <v>0</v>
      </c>
      <c r="CU3157" s="4" t="s">
        <v>262</v>
      </c>
      <c r="CV3157" s="4" t="s">
        <v>263</v>
      </c>
      <c r="CW3157" s="4" t="s">
        <v>263</v>
      </c>
      <c r="CX3157" s="4" t="s">
        <v>264</v>
      </c>
      <c r="DA3157" s="6">
        <f>1</f>
        <v>1</v>
      </c>
      <c r="DC3157" s="4" t="s">
        <v>325</v>
      </c>
      <c r="DD3157" s="4" t="s">
        <v>241</v>
      </c>
      <c r="DF3157" s="4" t="s">
        <v>325</v>
      </c>
      <c r="DG3157" s="6">
        <f>130</f>
        <v>130</v>
      </c>
      <c r="DI3157" s="4" t="s">
        <v>241</v>
      </c>
      <c r="DJ3157" s="4" t="s">
        <v>241</v>
      </c>
      <c r="DK3157" s="4" t="s">
        <v>241</v>
      </c>
      <c r="DL3157" s="4" t="s">
        <v>241</v>
      </c>
      <c r="DP3157" s="4" t="s">
        <v>241</v>
      </c>
      <c r="DQ3157" s="4" t="s">
        <v>241</v>
      </c>
      <c r="DR3157" s="4" t="s">
        <v>241</v>
      </c>
      <c r="DS3157" s="4" t="s">
        <v>241</v>
      </c>
      <c r="DV3157" s="4" t="s">
        <v>426</v>
      </c>
      <c r="DW3157" s="4" t="s">
        <v>3503</v>
      </c>
      <c r="HO3157" s="4" t="s">
        <v>267</v>
      </c>
    </row>
    <row r="3158" spans="1:223" ht="19.5" customHeight="1" x14ac:dyDescent="0.4">
      <c r="A3158" s="4">
        <v>1</v>
      </c>
      <c r="B3158" s="4" t="s">
        <v>239</v>
      </c>
      <c r="C3158" s="4">
        <v>4861</v>
      </c>
      <c r="D3158" s="4">
        <v>1</v>
      </c>
      <c r="E3158" s="4">
        <v>1</v>
      </c>
      <c r="F3158" s="4" t="s">
        <v>268</v>
      </c>
      <c r="G3158" s="4" t="s">
        <v>241</v>
      </c>
      <c r="H3158" s="4" t="s">
        <v>241</v>
      </c>
      <c r="I3158" s="4" t="s">
        <v>424</v>
      </c>
      <c r="J3158" s="4" t="s">
        <v>274</v>
      </c>
      <c r="K3158" s="4" t="s">
        <v>251</v>
      </c>
      <c r="L3158" s="4" t="s">
        <v>423</v>
      </c>
      <c r="M3158" s="5" t="s">
        <v>3491</v>
      </c>
      <c r="N3158" s="6">
        <f>188</f>
        <v>188</v>
      </c>
      <c r="O3158" s="4" t="s">
        <v>265</v>
      </c>
      <c r="P3158" s="6">
        <f>1</f>
        <v>1</v>
      </c>
      <c r="Q3158" s="6">
        <f>0</f>
        <v>0</v>
      </c>
      <c r="S3158" s="6">
        <f>0</f>
        <v>0</v>
      </c>
      <c r="T3158" s="6">
        <f>1</f>
        <v>1</v>
      </c>
      <c r="U3158" s="5" t="s">
        <v>245</v>
      </c>
      <c r="V3158" s="4" t="s">
        <v>270</v>
      </c>
      <c r="W3158" s="4" t="s">
        <v>271</v>
      </c>
      <c r="X3158" s="4" t="s">
        <v>273</v>
      </c>
      <c r="Y3158" s="4" t="s">
        <v>241</v>
      </c>
      <c r="AB3158" s="4" t="s">
        <v>241</v>
      </c>
      <c r="AD3158" s="5" t="s">
        <v>241</v>
      </c>
      <c r="AG3158" s="5" t="s">
        <v>246</v>
      </c>
      <c r="AH3158" s="4" t="s">
        <v>241</v>
      </c>
      <c r="AI3158" s="4" t="s">
        <v>247</v>
      </c>
      <c r="AJ3158" s="4" t="s">
        <v>248</v>
      </c>
      <c r="AZ3158" s="4" t="s">
        <v>249</v>
      </c>
      <c r="BA3158" s="4" t="s">
        <v>241</v>
      </c>
      <c r="BB3158" s="4" t="s">
        <v>250</v>
      </c>
      <c r="BC3158" s="4" t="s">
        <v>241</v>
      </c>
      <c r="BD3158" s="4" t="s">
        <v>252</v>
      </c>
      <c r="BE3158" s="4" t="s">
        <v>241</v>
      </c>
      <c r="BI3158" s="4" t="s">
        <v>253</v>
      </c>
      <c r="BJ3158" s="5" t="s">
        <v>246</v>
      </c>
      <c r="BK3158" s="4" t="s">
        <v>254</v>
      </c>
      <c r="BL3158" s="4" t="s">
        <v>255</v>
      </c>
      <c r="BM3158" s="4" t="s">
        <v>241</v>
      </c>
      <c r="BN3158" s="6">
        <f>0</f>
        <v>0</v>
      </c>
      <c r="BO3158" s="6">
        <f>0</f>
        <v>0</v>
      </c>
      <c r="BP3158" s="4" t="s">
        <v>256</v>
      </c>
      <c r="BQ3158" s="4" t="s">
        <v>257</v>
      </c>
      <c r="CE3158" s="4" t="s">
        <v>241</v>
      </c>
      <c r="CF3158" s="4" t="s">
        <v>241</v>
      </c>
      <c r="CJ3158" s="4" t="s">
        <v>276</v>
      </c>
      <c r="CK3158" s="4" t="s">
        <v>259</v>
      </c>
      <c r="CL3158" s="4" t="s">
        <v>241</v>
      </c>
      <c r="CO3158" s="5" t="s">
        <v>260</v>
      </c>
      <c r="CP3158" s="4" t="s">
        <v>241</v>
      </c>
      <c r="CQ3158" s="4" t="s">
        <v>261</v>
      </c>
      <c r="CR3158" s="4" t="s">
        <v>241</v>
      </c>
      <c r="CS3158" s="4" t="s">
        <v>241</v>
      </c>
      <c r="CT3158" s="4">
        <v>0</v>
      </c>
      <c r="CU3158" s="4" t="s">
        <v>262</v>
      </c>
      <c r="CV3158" s="4" t="s">
        <v>263</v>
      </c>
      <c r="CW3158" s="4" t="s">
        <v>263</v>
      </c>
      <c r="CX3158" s="4" t="s">
        <v>264</v>
      </c>
      <c r="DA3158" s="6">
        <f>1</f>
        <v>1</v>
      </c>
      <c r="DC3158" s="4" t="s">
        <v>325</v>
      </c>
      <c r="DD3158" s="4" t="s">
        <v>241</v>
      </c>
      <c r="DF3158" s="4" t="s">
        <v>325</v>
      </c>
      <c r="DG3158" s="6">
        <f>188</f>
        <v>188</v>
      </c>
      <c r="DI3158" s="4" t="s">
        <v>241</v>
      </c>
      <c r="DJ3158" s="4" t="s">
        <v>241</v>
      </c>
      <c r="DK3158" s="4" t="s">
        <v>241</v>
      </c>
      <c r="DL3158" s="4" t="s">
        <v>241</v>
      </c>
      <c r="DP3158" s="4" t="s">
        <v>241</v>
      </c>
      <c r="DQ3158" s="4" t="s">
        <v>241</v>
      </c>
      <c r="DR3158" s="4" t="s">
        <v>241</v>
      </c>
      <c r="DS3158" s="4" t="s">
        <v>241</v>
      </c>
      <c r="DV3158" s="4" t="s">
        <v>426</v>
      </c>
      <c r="DW3158" s="4" t="s">
        <v>3492</v>
      </c>
      <c r="HO3158" s="4" t="s">
        <v>267</v>
      </c>
    </row>
    <row r="3159" spans="1:223" ht="19.5" customHeight="1" x14ac:dyDescent="0.4">
      <c r="A3159" s="4">
        <v>1</v>
      </c>
      <c r="B3159" s="4" t="s">
        <v>239</v>
      </c>
      <c r="C3159" s="4">
        <v>4862</v>
      </c>
      <c r="D3159" s="4">
        <v>1</v>
      </c>
      <c r="E3159" s="4">
        <v>1</v>
      </c>
      <c r="F3159" s="4" t="s">
        <v>268</v>
      </c>
      <c r="G3159" s="4" t="s">
        <v>241</v>
      </c>
      <c r="H3159" s="4" t="s">
        <v>241</v>
      </c>
      <c r="I3159" s="4" t="s">
        <v>424</v>
      </c>
      <c r="J3159" s="4" t="s">
        <v>274</v>
      </c>
      <c r="K3159" s="4" t="s">
        <v>251</v>
      </c>
      <c r="L3159" s="4" t="s">
        <v>423</v>
      </c>
      <c r="M3159" s="5" t="s">
        <v>3506</v>
      </c>
      <c r="N3159" s="6">
        <f>190</f>
        <v>190</v>
      </c>
      <c r="O3159" s="4" t="s">
        <v>265</v>
      </c>
      <c r="P3159" s="6">
        <f>1</f>
        <v>1</v>
      </c>
      <c r="Q3159" s="6">
        <f>0</f>
        <v>0</v>
      </c>
      <c r="S3159" s="6">
        <f>0</f>
        <v>0</v>
      </c>
      <c r="T3159" s="6">
        <f>1</f>
        <v>1</v>
      </c>
      <c r="U3159" s="5" t="s">
        <v>245</v>
      </c>
      <c r="V3159" s="4" t="s">
        <v>270</v>
      </c>
      <c r="W3159" s="4" t="s">
        <v>271</v>
      </c>
      <c r="X3159" s="4" t="s">
        <v>273</v>
      </c>
      <c r="Y3159" s="4" t="s">
        <v>241</v>
      </c>
      <c r="AB3159" s="4" t="s">
        <v>241</v>
      </c>
      <c r="AD3159" s="5" t="s">
        <v>241</v>
      </c>
      <c r="AG3159" s="5" t="s">
        <v>246</v>
      </c>
      <c r="AH3159" s="4" t="s">
        <v>241</v>
      </c>
      <c r="AI3159" s="4" t="s">
        <v>247</v>
      </c>
      <c r="AJ3159" s="4" t="s">
        <v>248</v>
      </c>
      <c r="AZ3159" s="4" t="s">
        <v>249</v>
      </c>
      <c r="BA3159" s="4" t="s">
        <v>241</v>
      </c>
      <c r="BB3159" s="4" t="s">
        <v>250</v>
      </c>
      <c r="BC3159" s="4" t="s">
        <v>241</v>
      </c>
      <c r="BD3159" s="4" t="s">
        <v>252</v>
      </c>
      <c r="BE3159" s="4" t="s">
        <v>241</v>
      </c>
      <c r="BI3159" s="4" t="s">
        <v>253</v>
      </c>
      <c r="BJ3159" s="5" t="s">
        <v>246</v>
      </c>
      <c r="BK3159" s="4" t="s">
        <v>254</v>
      </c>
      <c r="BL3159" s="4" t="s">
        <v>255</v>
      </c>
      <c r="BM3159" s="4" t="s">
        <v>241</v>
      </c>
      <c r="BN3159" s="6">
        <f>0</f>
        <v>0</v>
      </c>
      <c r="BO3159" s="6">
        <f>0</f>
        <v>0</v>
      </c>
      <c r="BP3159" s="4" t="s">
        <v>256</v>
      </c>
      <c r="BQ3159" s="4" t="s">
        <v>257</v>
      </c>
      <c r="CE3159" s="4" t="s">
        <v>241</v>
      </c>
      <c r="CF3159" s="4" t="s">
        <v>241</v>
      </c>
      <c r="CJ3159" s="4" t="s">
        <v>276</v>
      </c>
      <c r="CK3159" s="4" t="s">
        <v>259</v>
      </c>
      <c r="CL3159" s="4" t="s">
        <v>241</v>
      </c>
      <c r="CO3159" s="5" t="s">
        <v>260</v>
      </c>
      <c r="CP3159" s="4" t="s">
        <v>241</v>
      </c>
      <c r="CQ3159" s="4" t="s">
        <v>261</v>
      </c>
      <c r="CR3159" s="4" t="s">
        <v>241</v>
      </c>
      <c r="CS3159" s="4" t="s">
        <v>241</v>
      </c>
      <c r="CT3159" s="4">
        <v>0</v>
      </c>
      <c r="CU3159" s="4" t="s">
        <v>262</v>
      </c>
      <c r="CV3159" s="4" t="s">
        <v>263</v>
      </c>
      <c r="CW3159" s="4" t="s">
        <v>263</v>
      </c>
      <c r="CX3159" s="4" t="s">
        <v>264</v>
      </c>
      <c r="DA3159" s="6">
        <f>1</f>
        <v>1</v>
      </c>
      <c r="DC3159" s="4" t="s">
        <v>325</v>
      </c>
      <c r="DD3159" s="4" t="s">
        <v>241</v>
      </c>
      <c r="DF3159" s="4" t="s">
        <v>325</v>
      </c>
      <c r="DG3159" s="6">
        <f>190</f>
        <v>190</v>
      </c>
      <c r="DI3159" s="4" t="s">
        <v>241</v>
      </c>
      <c r="DJ3159" s="4" t="s">
        <v>241</v>
      </c>
      <c r="DK3159" s="4" t="s">
        <v>241</v>
      </c>
      <c r="DL3159" s="4" t="s">
        <v>241</v>
      </c>
      <c r="DP3159" s="4" t="s">
        <v>241</v>
      </c>
      <c r="DQ3159" s="4" t="s">
        <v>241</v>
      </c>
      <c r="DR3159" s="4" t="s">
        <v>241</v>
      </c>
      <c r="DS3159" s="4" t="s">
        <v>241</v>
      </c>
      <c r="DV3159" s="4" t="s">
        <v>426</v>
      </c>
      <c r="DW3159" s="4" t="s">
        <v>3507</v>
      </c>
      <c r="HO3159" s="4" t="s">
        <v>267</v>
      </c>
    </row>
    <row r="3160" spans="1:223" ht="19.5" customHeight="1" x14ac:dyDescent="0.4">
      <c r="A3160" s="4">
        <v>1</v>
      </c>
      <c r="B3160" s="4" t="s">
        <v>239</v>
      </c>
      <c r="C3160" s="4">
        <v>4863</v>
      </c>
      <c r="D3160" s="4">
        <v>1</v>
      </c>
      <c r="E3160" s="4">
        <v>1</v>
      </c>
      <c r="F3160" s="4" t="s">
        <v>268</v>
      </c>
      <c r="G3160" s="4" t="s">
        <v>241</v>
      </c>
      <c r="H3160" s="4" t="s">
        <v>241</v>
      </c>
      <c r="I3160" s="4" t="s">
        <v>424</v>
      </c>
      <c r="J3160" s="4" t="s">
        <v>274</v>
      </c>
      <c r="K3160" s="4" t="s">
        <v>251</v>
      </c>
      <c r="L3160" s="4" t="s">
        <v>423</v>
      </c>
      <c r="M3160" s="5" t="s">
        <v>3515</v>
      </c>
      <c r="N3160" s="6">
        <f>302</f>
        <v>302</v>
      </c>
      <c r="O3160" s="4" t="s">
        <v>265</v>
      </c>
      <c r="P3160" s="6">
        <f>1</f>
        <v>1</v>
      </c>
      <c r="Q3160" s="6">
        <f>0</f>
        <v>0</v>
      </c>
      <c r="S3160" s="6">
        <f>0</f>
        <v>0</v>
      </c>
      <c r="T3160" s="6">
        <f>1</f>
        <v>1</v>
      </c>
      <c r="U3160" s="5" t="s">
        <v>245</v>
      </c>
      <c r="V3160" s="4" t="s">
        <v>270</v>
      </c>
      <c r="W3160" s="4" t="s">
        <v>271</v>
      </c>
      <c r="X3160" s="4" t="s">
        <v>273</v>
      </c>
      <c r="Y3160" s="4" t="s">
        <v>241</v>
      </c>
      <c r="AB3160" s="4" t="s">
        <v>241</v>
      </c>
      <c r="AD3160" s="5" t="s">
        <v>241</v>
      </c>
      <c r="AG3160" s="5" t="s">
        <v>246</v>
      </c>
      <c r="AH3160" s="4" t="s">
        <v>241</v>
      </c>
      <c r="AI3160" s="4" t="s">
        <v>247</v>
      </c>
      <c r="AJ3160" s="4" t="s">
        <v>248</v>
      </c>
      <c r="AZ3160" s="4" t="s">
        <v>249</v>
      </c>
      <c r="BA3160" s="4" t="s">
        <v>241</v>
      </c>
      <c r="BB3160" s="4" t="s">
        <v>250</v>
      </c>
      <c r="BC3160" s="4" t="s">
        <v>241</v>
      </c>
      <c r="BD3160" s="4" t="s">
        <v>252</v>
      </c>
      <c r="BE3160" s="4" t="s">
        <v>241</v>
      </c>
      <c r="BI3160" s="4" t="s">
        <v>253</v>
      </c>
      <c r="BJ3160" s="5" t="s">
        <v>246</v>
      </c>
      <c r="BK3160" s="4" t="s">
        <v>254</v>
      </c>
      <c r="BL3160" s="4" t="s">
        <v>255</v>
      </c>
      <c r="BM3160" s="4" t="s">
        <v>241</v>
      </c>
      <c r="BN3160" s="6">
        <f>0</f>
        <v>0</v>
      </c>
      <c r="BO3160" s="6">
        <f>0</f>
        <v>0</v>
      </c>
      <c r="BP3160" s="4" t="s">
        <v>256</v>
      </c>
      <c r="BQ3160" s="4" t="s">
        <v>257</v>
      </c>
      <c r="CE3160" s="4" t="s">
        <v>241</v>
      </c>
      <c r="CF3160" s="4" t="s">
        <v>241</v>
      </c>
      <c r="CJ3160" s="4" t="s">
        <v>276</v>
      </c>
      <c r="CK3160" s="4" t="s">
        <v>259</v>
      </c>
      <c r="CL3160" s="4" t="s">
        <v>241</v>
      </c>
      <c r="CO3160" s="5" t="s">
        <v>260</v>
      </c>
      <c r="CP3160" s="4" t="s">
        <v>241</v>
      </c>
      <c r="CQ3160" s="4" t="s">
        <v>261</v>
      </c>
      <c r="CR3160" s="4" t="s">
        <v>241</v>
      </c>
      <c r="CS3160" s="4" t="s">
        <v>241</v>
      </c>
      <c r="CT3160" s="4">
        <v>0</v>
      </c>
      <c r="CU3160" s="4" t="s">
        <v>262</v>
      </c>
      <c r="CV3160" s="4" t="s">
        <v>263</v>
      </c>
      <c r="CW3160" s="4" t="s">
        <v>263</v>
      </c>
      <c r="CX3160" s="4" t="s">
        <v>264</v>
      </c>
      <c r="DA3160" s="6">
        <f>1</f>
        <v>1</v>
      </c>
      <c r="DC3160" s="4" t="s">
        <v>325</v>
      </c>
      <c r="DD3160" s="4" t="s">
        <v>241</v>
      </c>
      <c r="DF3160" s="4" t="s">
        <v>325</v>
      </c>
      <c r="DG3160" s="6">
        <f>302</f>
        <v>302</v>
      </c>
      <c r="DI3160" s="4" t="s">
        <v>241</v>
      </c>
      <c r="DJ3160" s="4" t="s">
        <v>241</v>
      </c>
      <c r="DK3160" s="4" t="s">
        <v>241</v>
      </c>
      <c r="DL3160" s="4" t="s">
        <v>241</v>
      </c>
      <c r="DP3160" s="4" t="s">
        <v>241</v>
      </c>
      <c r="DQ3160" s="4" t="s">
        <v>241</v>
      </c>
      <c r="DR3160" s="4" t="s">
        <v>241</v>
      </c>
      <c r="DS3160" s="4" t="s">
        <v>241</v>
      </c>
      <c r="DV3160" s="4" t="s">
        <v>426</v>
      </c>
      <c r="DW3160" s="4" t="s">
        <v>3516</v>
      </c>
      <c r="HO3160" s="4" t="s">
        <v>267</v>
      </c>
    </row>
    <row r="3161" spans="1:223" ht="19.5" customHeight="1" x14ac:dyDescent="0.4">
      <c r="A3161" s="4">
        <v>1</v>
      </c>
      <c r="B3161" s="4" t="s">
        <v>239</v>
      </c>
      <c r="C3161" s="4">
        <v>4864</v>
      </c>
      <c r="D3161" s="4">
        <v>1</v>
      </c>
      <c r="E3161" s="4">
        <v>1</v>
      </c>
      <c r="F3161" s="4" t="s">
        <v>268</v>
      </c>
      <c r="G3161" s="4" t="s">
        <v>241</v>
      </c>
      <c r="H3161" s="4" t="s">
        <v>241</v>
      </c>
      <c r="I3161" s="4" t="s">
        <v>424</v>
      </c>
      <c r="J3161" s="4" t="s">
        <v>274</v>
      </c>
      <c r="K3161" s="4" t="s">
        <v>251</v>
      </c>
      <c r="L3161" s="4" t="s">
        <v>423</v>
      </c>
      <c r="M3161" s="5" t="s">
        <v>3517</v>
      </c>
      <c r="N3161" s="6">
        <f>1314</f>
        <v>1314</v>
      </c>
      <c r="O3161" s="4" t="s">
        <v>265</v>
      </c>
      <c r="P3161" s="6">
        <f>1</f>
        <v>1</v>
      </c>
      <c r="Q3161" s="6">
        <f>0</f>
        <v>0</v>
      </c>
      <c r="S3161" s="6">
        <f>0</f>
        <v>0</v>
      </c>
      <c r="T3161" s="6">
        <f>1</f>
        <v>1</v>
      </c>
      <c r="U3161" s="5" t="s">
        <v>245</v>
      </c>
      <c r="V3161" s="4" t="s">
        <v>270</v>
      </c>
      <c r="W3161" s="4" t="s">
        <v>271</v>
      </c>
      <c r="X3161" s="4" t="s">
        <v>273</v>
      </c>
      <c r="Y3161" s="4" t="s">
        <v>241</v>
      </c>
      <c r="AB3161" s="4" t="s">
        <v>241</v>
      </c>
      <c r="AD3161" s="5" t="s">
        <v>241</v>
      </c>
      <c r="AG3161" s="5" t="s">
        <v>246</v>
      </c>
      <c r="AH3161" s="4" t="s">
        <v>241</v>
      </c>
      <c r="AI3161" s="4" t="s">
        <v>247</v>
      </c>
      <c r="AJ3161" s="4" t="s">
        <v>248</v>
      </c>
      <c r="AZ3161" s="4" t="s">
        <v>249</v>
      </c>
      <c r="BA3161" s="4" t="s">
        <v>241</v>
      </c>
      <c r="BB3161" s="4" t="s">
        <v>250</v>
      </c>
      <c r="BC3161" s="4" t="s">
        <v>241</v>
      </c>
      <c r="BD3161" s="4" t="s">
        <v>252</v>
      </c>
      <c r="BE3161" s="4" t="s">
        <v>241</v>
      </c>
      <c r="BI3161" s="4" t="s">
        <v>253</v>
      </c>
      <c r="BJ3161" s="5" t="s">
        <v>246</v>
      </c>
      <c r="BK3161" s="4" t="s">
        <v>254</v>
      </c>
      <c r="BL3161" s="4" t="s">
        <v>255</v>
      </c>
      <c r="BM3161" s="4" t="s">
        <v>241</v>
      </c>
      <c r="BN3161" s="6">
        <f>0</f>
        <v>0</v>
      </c>
      <c r="BO3161" s="6">
        <f>0</f>
        <v>0</v>
      </c>
      <c r="BP3161" s="4" t="s">
        <v>256</v>
      </c>
      <c r="BQ3161" s="4" t="s">
        <v>257</v>
      </c>
      <c r="CE3161" s="4" t="s">
        <v>241</v>
      </c>
      <c r="CF3161" s="4" t="s">
        <v>241</v>
      </c>
      <c r="CJ3161" s="4" t="s">
        <v>276</v>
      </c>
      <c r="CK3161" s="4" t="s">
        <v>259</v>
      </c>
      <c r="CL3161" s="4" t="s">
        <v>241</v>
      </c>
      <c r="CO3161" s="5" t="s">
        <v>260</v>
      </c>
      <c r="CP3161" s="4" t="s">
        <v>241</v>
      </c>
      <c r="CQ3161" s="4" t="s">
        <v>261</v>
      </c>
      <c r="CR3161" s="4" t="s">
        <v>241</v>
      </c>
      <c r="CS3161" s="4" t="s">
        <v>241</v>
      </c>
      <c r="CT3161" s="4">
        <v>0</v>
      </c>
      <c r="CU3161" s="4" t="s">
        <v>262</v>
      </c>
      <c r="CV3161" s="4" t="s">
        <v>263</v>
      </c>
      <c r="CW3161" s="4" t="s">
        <v>263</v>
      </c>
      <c r="CX3161" s="4" t="s">
        <v>264</v>
      </c>
      <c r="DA3161" s="6">
        <f>1</f>
        <v>1</v>
      </c>
      <c r="DC3161" s="4" t="s">
        <v>325</v>
      </c>
      <c r="DD3161" s="4" t="s">
        <v>241</v>
      </c>
      <c r="DF3161" s="4" t="s">
        <v>325</v>
      </c>
      <c r="DG3161" s="6">
        <f>1314</f>
        <v>1314</v>
      </c>
      <c r="DI3161" s="4" t="s">
        <v>241</v>
      </c>
      <c r="DJ3161" s="4" t="s">
        <v>241</v>
      </c>
      <c r="DK3161" s="4" t="s">
        <v>241</v>
      </c>
      <c r="DL3161" s="4" t="s">
        <v>241</v>
      </c>
      <c r="DP3161" s="4" t="s">
        <v>241</v>
      </c>
      <c r="DQ3161" s="4" t="s">
        <v>241</v>
      </c>
      <c r="DR3161" s="4" t="s">
        <v>241</v>
      </c>
      <c r="DS3161" s="4" t="s">
        <v>241</v>
      </c>
      <c r="DV3161" s="4" t="s">
        <v>426</v>
      </c>
      <c r="DW3161" s="4" t="s">
        <v>3518</v>
      </c>
      <c r="HO3161" s="4" t="s">
        <v>267</v>
      </c>
    </row>
    <row r="3162" spans="1:223" ht="19.5" customHeight="1" x14ac:dyDescent="0.4">
      <c r="A3162" s="4">
        <v>1</v>
      </c>
      <c r="B3162" s="4" t="s">
        <v>239</v>
      </c>
      <c r="C3162" s="4">
        <v>4865</v>
      </c>
      <c r="D3162" s="4">
        <v>1</v>
      </c>
      <c r="E3162" s="4">
        <v>1</v>
      </c>
      <c r="F3162" s="4" t="s">
        <v>268</v>
      </c>
      <c r="G3162" s="4" t="s">
        <v>241</v>
      </c>
      <c r="H3162" s="4" t="s">
        <v>241</v>
      </c>
      <c r="I3162" s="4" t="s">
        <v>424</v>
      </c>
      <c r="J3162" s="4" t="s">
        <v>274</v>
      </c>
      <c r="K3162" s="4" t="s">
        <v>251</v>
      </c>
      <c r="L3162" s="4" t="s">
        <v>423</v>
      </c>
      <c r="M3162" s="5" t="s">
        <v>4721</v>
      </c>
      <c r="N3162" s="6">
        <f>261</f>
        <v>261</v>
      </c>
      <c r="O3162" s="4" t="s">
        <v>265</v>
      </c>
      <c r="P3162" s="6">
        <f>1</f>
        <v>1</v>
      </c>
      <c r="Q3162" s="6">
        <f>0</f>
        <v>0</v>
      </c>
      <c r="S3162" s="6">
        <f>0</f>
        <v>0</v>
      </c>
      <c r="T3162" s="6">
        <f>1</f>
        <v>1</v>
      </c>
      <c r="U3162" s="5" t="s">
        <v>245</v>
      </c>
      <c r="V3162" s="4" t="s">
        <v>270</v>
      </c>
      <c r="W3162" s="4" t="s">
        <v>271</v>
      </c>
      <c r="X3162" s="4" t="s">
        <v>273</v>
      </c>
      <c r="Y3162" s="4" t="s">
        <v>241</v>
      </c>
      <c r="AB3162" s="4" t="s">
        <v>241</v>
      </c>
      <c r="AD3162" s="5" t="s">
        <v>241</v>
      </c>
      <c r="AG3162" s="5" t="s">
        <v>246</v>
      </c>
      <c r="AH3162" s="4" t="s">
        <v>241</v>
      </c>
      <c r="AI3162" s="4" t="s">
        <v>247</v>
      </c>
      <c r="AJ3162" s="4" t="s">
        <v>248</v>
      </c>
      <c r="AZ3162" s="4" t="s">
        <v>249</v>
      </c>
      <c r="BA3162" s="4" t="s">
        <v>241</v>
      </c>
      <c r="BB3162" s="4" t="s">
        <v>250</v>
      </c>
      <c r="BC3162" s="4" t="s">
        <v>241</v>
      </c>
      <c r="BD3162" s="4" t="s">
        <v>252</v>
      </c>
      <c r="BE3162" s="4" t="s">
        <v>241</v>
      </c>
      <c r="BI3162" s="4" t="s">
        <v>253</v>
      </c>
      <c r="BJ3162" s="5" t="s">
        <v>246</v>
      </c>
      <c r="BK3162" s="4" t="s">
        <v>254</v>
      </c>
      <c r="BL3162" s="4" t="s">
        <v>255</v>
      </c>
      <c r="BM3162" s="4" t="s">
        <v>241</v>
      </c>
      <c r="BN3162" s="6">
        <f>0</f>
        <v>0</v>
      </c>
      <c r="BO3162" s="6">
        <f>0</f>
        <v>0</v>
      </c>
      <c r="BP3162" s="4" t="s">
        <v>256</v>
      </c>
      <c r="BQ3162" s="4" t="s">
        <v>257</v>
      </c>
      <c r="CE3162" s="4" t="s">
        <v>241</v>
      </c>
      <c r="CF3162" s="4" t="s">
        <v>241</v>
      </c>
      <c r="CJ3162" s="4" t="s">
        <v>276</v>
      </c>
      <c r="CK3162" s="4" t="s">
        <v>259</v>
      </c>
      <c r="CL3162" s="4" t="s">
        <v>241</v>
      </c>
      <c r="CO3162" s="5" t="s">
        <v>260</v>
      </c>
      <c r="CP3162" s="4" t="s">
        <v>241</v>
      </c>
      <c r="CQ3162" s="4" t="s">
        <v>261</v>
      </c>
      <c r="CR3162" s="4" t="s">
        <v>241</v>
      </c>
      <c r="CS3162" s="4" t="s">
        <v>241</v>
      </c>
      <c r="CT3162" s="4">
        <v>0</v>
      </c>
      <c r="CU3162" s="4" t="s">
        <v>262</v>
      </c>
      <c r="CV3162" s="4" t="s">
        <v>263</v>
      </c>
      <c r="CW3162" s="4" t="s">
        <v>263</v>
      </c>
      <c r="CX3162" s="4" t="s">
        <v>264</v>
      </c>
      <c r="DA3162" s="6">
        <f>1</f>
        <v>1</v>
      </c>
      <c r="DC3162" s="4" t="s">
        <v>325</v>
      </c>
      <c r="DD3162" s="4" t="s">
        <v>241</v>
      </c>
      <c r="DF3162" s="4" t="s">
        <v>325</v>
      </c>
      <c r="DG3162" s="6">
        <f>261</f>
        <v>261</v>
      </c>
      <c r="DI3162" s="4" t="s">
        <v>241</v>
      </c>
      <c r="DJ3162" s="4" t="s">
        <v>241</v>
      </c>
      <c r="DK3162" s="4" t="s">
        <v>241</v>
      </c>
      <c r="DL3162" s="4" t="s">
        <v>241</v>
      </c>
      <c r="DP3162" s="4" t="s">
        <v>241</v>
      </c>
      <c r="DQ3162" s="4" t="s">
        <v>241</v>
      </c>
      <c r="DR3162" s="4" t="s">
        <v>241</v>
      </c>
      <c r="DS3162" s="4" t="s">
        <v>241</v>
      </c>
      <c r="DV3162" s="4" t="s">
        <v>426</v>
      </c>
      <c r="DW3162" s="4" t="s">
        <v>4722</v>
      </c>
      <c r="HO3162" s="4" t="s">
        <v>267</v>
      </c>
    </row>
    <row r="3163" spans="1:223" ht="19.5" customHeight="1" x14ac:dyDescent="0.4">
      <c r="A3163" s="4">
        <v>1</v>
      </c>
      <c r="B3163" s="4" t="s">
        <v>239</v>
      </c>
      <c r="C3163" s="4">
        <v>4866</v>
      </c>
      <c r="D3163" s="4">
        <v>1</v>
      </c>
      <c r="E3163" s="4">
        <v>1</v>
      </c>
      <c r="F3163" s="4" t="s">
        <v>268</v>
      </c>
      <c r="G3163" s="4" t="s">
        <v>241</v>
      </c>
      <c r="H3163" s="4" t="s">
        <v>241</v>
      </c>
      <c r="I3163" s="4" t="s">
        <v>424</v>
      </c>
      <c r="J3163" s="4" t="s">
        <v>274</v>
      </c>
      <c r="K3163" s="4" t="s">
        <v>251</v>
      </c>
      <c r="L3163" s="4" t="s">
        <v>423</v>
      </c>
      <c r="M3163" s="5" t="s">
        <v>3497</v>
      </c>
      <c r="N3163" s="6">
        <f>25</f>
        <v>25</v>
      </c>
      <c r="O3163" s="4" t="s">
        <v>265</v>
      </c>
      <c r="P3163" s="6">
        <f>1</f>
        <v>1</v>
      </c>
      <c r="Q3163" s="6">
        <f>0</f>
        <v>0</v>
      </c>
      <c r="S3163" s="6">
        <f>0</f>
        <v>0</v>
      </c>
      <c r="T3163" s="6">
        <f>1</f>
        <v>1</v>
      </c>
      <c r="U3163" s="5" t="s">
        <v>245</v>
      </c>
      <c r="V3163" s="4" t="s">
        <v>270</v>
      </c>
      <c r="W3163" s="4" t="s">
        <v>271</v>
      </c>
      <c r="X3163" s="4" t="s">
        <v>273</v>
      </c>
      <c r="Y3163" s="4" t="s">
        <v>241</v>
      </c>
      <c r="AB3163" s="4" t="s">
        <v>241</v>
      </c>
      <c r="AD3163" s="5" t="s">
        <v>241</v>
      </c>
      <c r="AG3163" s="5" t="s">
        <v>246</v>
      </c>
      <c r="AH3163" s="4" t="s">
        <v>241</v>
      </c>
      <c r="AI3163" s="4" t="s">
        <v>247</v>
      </c>
      <c r="AJ3163" s="4" t="s">
        <v>248</v>
      </c>
      <c r="AZ3163" s="4" t="s">
        <v>249</v>
      </c>
      <c r="BA3163" s="4" t="s">
        <v>241</v>
      </c>
      <c r="BB3163" s="4" t="s">
        <v>250</v>
      </c>
      <c r="BC3163" s="4" t="s">
        <v>241</v>
      </c>
      <c r="BD3163" s="4" t="s">
        <v>252</v>
      </c>
      <c r="BE3163" s="4" t="s">
        <v>241</v>
      </c>
      <c r="BI3163" s="4" t="s">
        <v>253</v>
      </c>
      <c r="BJ3163" s="5" t="s">
        <v>246</v>
      </c>
      <c r="BK3163" s="4" t="s">
        <v>254</v>
      </c>
      <c r="BL3163" s="4" t="s">
        <v>255</v>
      </c>
      <c r="BM3163" s="4" t="s">
        <v>241</v>
      </c>
      <c r="BN3163" s="6">
        <f>0</f>
        <v>0</v>
      </c>
      <c r="BO3163" s="6">
        <f>0</f>
        <v>0</v>
      </c>
      <c r="BP3163" s="4" t="s">
        <v>256</v>
      </c>
      <c r="BQ3163" s="4" t="s">
        <v>257</v>
      </c>
      <c r="CE3163" s="4" t="s">
        <v>241</v>
      </c>
      <c r="CF3163" s="4" t="s">
        <v>241</v>
      </c>
      <c r="CJ3163" s="4" t="s">
        <v>276</v>
      </c>
      <c r="CK3163" s="4" t="s">
        <v>259</v>
      </c>
      <c r="CL3163" s="4" t="s">
        <v>241</v>
      </c>
      <c r="CO3163" s="5" t="s">
        <v>260</v>
      </c>
      <c r="CP3163" s="4" t="s">
        <v>241</v>
      </c>
      <c r="CQ3163" s="4" t="s">
        <v>261</v>
      </c>
      <c r="CR3163" s="4" t="s">
        <v>241</v>
      </c>
      <c r="CS3163" s="4" t="s">
        <v>241</v>
      </c>
      <c r="CT3163" s="4">
        <v>0</v>
      </c>
      <c r="CU3163" s="4" t="s">
        <v>262</v>
      </c>
      <c r="CV3163" s="4" t="s">
        <v>263</v>
      </c>
      <c r="CW3163" s="4" t="s">
        <v>263</v>
      </c>
      <c r="CX3163" s="4" t="s">
        <v>264</v>
      </c>
      <c r="DA3163" s="6">
        <f>1</f>
        <v>1</v>
      </c>
      <c r="DC3163" s="4" t="s">
        <v>325</v>
      </c>
      <c r="DD3163" s="4" t="s">
        <v>241</v>
      </c>
      <c r="DF3163" s="4" t="s">
        <v>325</v>
      </c>
      <c r="DG3163" s="6">
        <f>25</f>
        <v>25</v>
      </c>
      <c r="DI3163" s="4" t="s">
        <v>241</v>
      </c>
      <c r="DJ3163" s="4" t="s">
        <v>241</v>
      </c>
      <c r="DK3163" s="4" t="s">
        <v>241</v>
      </c>
      <c r="DL3163" s="4" t="s">
        <v>241</v>
      </c>
      <c r="DP3163" s="4" t="s">
        <v>241</v>
      </c>
      <c r="DQ3163" s="4" t="s">
        <v>241</v>
      </c>
      <c r="DR3163" s="4" t="s">
        <v>241</v>
      </c>
      <c r="DS3163" s="4" t="s">
        <v>241</v>
      </c>
      <c r="DV3163" s="4" t="s">
        <v>426</v>
      </c>
      <c r="DW3163" s="4" t="s">
        <v>3498</v>
      </c>
      <c r="HO3163" s="4" t="s">
        <v>267</v>
      </c>
    </row>
    <row r="3164" spans="1:223" ht="19.5" customHeight="1" x14ac:dyDescent="0.4">
      <c r="A3164" s="4">
        <v>1</v>
      </c>
      <c r="B3164" s="4" t="s">
        <v>239</v>
      </c>
      <c r="C3164" s="4">
        <v>4867</v>
      </c>
      <c r="D3164" s="4">
        <v>1</v>
      </c>
      <c r="E3164" s="4">
        <v>1</v>
      </c>
      <c r="F3164" s="4" t="s">
        <v>268</v>
      </c>
      <c r="G3164" s="4" t="s">
        <v>241</v>
      </c>
      <c r="H3164" s="4" t="s">
        <v>241</v>
      </c>
      <c r="I3164" s="4" t="s">
        <v>424</v>
      </c>
      <c r="J3164" s="4" t="s">
        <v>274</v>
      </c>
      <c r="K3164" s="4" t="s">
        <v>251</v>
      </c>
      <c r="L3164" s="4" t="s">
        <v>423</v>
      </c>
      <c r="M3164" s="5" t="s">
        <v>3493</v>
      </c>
      <c r="N3164" s="6">
        <f>21</f>
        <v>21</v>
      </c>
      <c r="O3164" s="4" t="s">
        <v>265</v>
      </c>
      <c r="P3164" s="6">
        <f>1</f>
        <v>1</v>
      </c>
      <c r="Q3164" s="6">
        <f>0</f>
        <v>0</v>
      </c>
      <c r="S3164" s="6">
        <f>0</f>
        <v>0</v>
      </c>
      <c r="T3164" s="6">
        <f>1</f>
        <v>1</v>
      </c>
      <c r="U3164" s="5" t="s">
        <v>245</v>
      </c>
      <c r="V3164" s="4" t="s">
        <v>270</v>
      </c>
      <c r="W3164" s="4" t="s">
        <v>271</v>
      </c>
      <c r="X3164" s="4" t="s">
        <v>273</v>
      </c>
      <c r="Y3164" s="4" t="s">
        <v>241</v>
      </c>
      <c r="AB3164" s="4" t="s">
        <v>241</v>
      </c>
      <c r="AD3164" s="5" t="s">
        <v>241</v>
      </c>
      <c r="AG3164" s="5" t="s">
        <v>246</v>
      </c>
      <c r="AH3164" s="4" t="s">
        <v>241</v>
      </c>
      <c r="AI3164" s="4" t="s">
        <v>247</v>
      </c>
      <c r="AJ3164" s="4" t="s">
        <v>248</v>
      </c>
      <c r="AZ3164" s="4" t="s">
        <v>249</v>
      </c>
      <c r="BA3164" s="4" t="s">
        <v>241</v>
      </c>
      <c r="BB3164" s="4" t="s">
        <v>250</v>
      </c>
      <c r="BC3164" s="4" t="s">
        <v>241</v>
      </c>
      <c r="BD3164" s="4" t="s">
        <v>252</v>
      </c>
      <c r="BE3164" s="4" t="s">
        <v>241</v>
      </c>
      <c r="BI3164" s="4" t="s">
        <v>253</v>
      </c>
      <c r="BJ3164" s="5" t="s">
        <v>246</v>
      </c>
      <c r="BK3164" s="4" t="s">
        <v>254</v>
      </c>
      <c r="BL3164" s="4" t="s">
        <v>255</v>
      </c>
      <c r="BM3164" s="4" t="s">
        <v>241</v>
      </c>
      <c r="BN3164" s="6">
        <f>0</f>
        <v>0</v>
      </c>
      <c r="BO3164" s="6">
        <f>0</f>
        <v>0</v>
      </c>
      <c r="BP3164" s="4" t="s">
        <v>256</v>
      </c>
      <c r="BQ3164" s="4" t="s">
        <v>257</v>
      </c>
      <c r="CE3164" s="4" t="s">
        <v>241</v>
      </c>
      <c r="CF3164" s="4" t="s">
        <v>241</v>
      </c>
      <c r="CJ3164" s="4" t="s">
        <v>276</v>
      </c>
      <c r="CK3164" s="4" t="s">
        <v>259</v>
      </c>
      <c r="CL3164" s="4" t="s">
        <v>241</v>
      </c>
      <c r="CO3164" s="5" t="s">
        <v>260</v>
      </c>
      <c r="CP3164" s="4" t="s">
        <v>241</v>
      </c>
      <c r="CQ3164" s="4" t="s">
        <v>261</v>
      </c>
      <c r="CR3164" s="4" t="s">
        <v>241</v>
      </c>
      <c r="CS3164" s="4" t="s">
        <v>241</v>
      </c>
      <c r="CT3164" s="4">
        <v>0</v>
      </c>
      <c r="CU3164" s="4" t="s">
        <v>262</v>
      </c>
      <c r="CV3164" s="4" t="s">
        <v>263</v>
      </c>
      <c r="CW3164" s="4" t="s">
        <v>263</v>
      </c>
      <c r="CX3164" s="4" t="s">
        <v>264</v>
      </c>
      <c r="DA3164" s="6">
        <f>1</f>
        <v>1</v>
      </c>
      <c r="DC3164" s="4" t="s">
        <v>325</v>
      </c>
      <c r="DD3164" s="4" t="s">
        <v>241</v>
      </c>
      <c r="DF3164" s="4" t="s">
        <v>325</v>
      </c>
      <c r="DG3164" s="6">
        <f>21</f>
        <v>21</v>
      </c>
      <c r="DI3164" s="4" t="s">
        <v>241</v>
      </c>
      <c r="DJ3164" s="4" t="s">
        <v>241</v>
      </c>
      <c r="DK3164" s="4" t="s">
        <v>241</v>
      </c>
      <c r="DL3164" s="4" t="s">
        <v>241</v>
      </c>
      <c r="DP3164" s="4" t="s">
        <v>241</v>
      </c>
      <c r="DQ3164" s="4" t="s">
        <v>241</v>
      </c>
      <c r="DR3164" s="4" t="s">
        <v>241</v>
      </c>
      <c r="DS3164" s="4" t="s">
        <v>241</v>
      </c>
      <c r="DV3164" s="4" t="s">
        <v>426</v>
      </c>
      <c r="DW3164" s="4" t="s">
        <v>3494</v>
      </c>
      <c r="HO3164" s="4" t="s">
        <v>267</v>
      </c>
    </row>
    <row r="3165" spans="1:223" ht="19.5" customHeight="1" x14ac:dyDescent="0.4">
      <c r="A3165" s="4">
        <v>1</v>
      </c>
      <c r="B3165" s="4" t="s">
        <v>239</v>
      </c>
      <c r="C3165" s="4">
        <v>4868</v>
      </c>
      <c r="D3165" s="4">
        <v>1</v>
      </c>
      <c r="E3165" s="4">
        <v>1</v>
      </c>
      <c r="F3165" s="4" t="s">
        <v>268</v>
      </c>
      <c r="G3165" s="4" t="s">
        <v>241</v>
      </c>
      <c r="H3165" s="4" t="s">
        <v>241</v>
      </c>
      <c r="I3165" s="4" t="s">
        <v>424</v>
      </c>
      <c r="J3165" s="4" t="s">
        <v>274</v>
      </c>
      <c r="K3165" s="4" t="s">
        <v>251</v>
      </c>
      <c r="L3165" s="4" t="s">
        <v>423</v>
      </c>
      <c r="M3165" s="5" t="s">
        <v>3495</v>
      </c>
      <c r="N3165" s="6">
        <f>78</f>
        <v>78</v>
      </c>
      <c r="O3165" s="4" t="s">
        <v>265</v>
      </c>
      <c r="P3165" s="6">
        <f>1</f>
        <v>1</v>
      </c>
      <c r="Q3165" s="6">
        <f>0</f>
        <v>0</v>
      </c>
      <c r="S3165" s="6">
        <f>0</f>
        <v>0</v>
      </c>
      <c r="T3165" s="6">
        <f>1</f>
        <v>1</v>
      </c>
      <c r="U3165" s="5" t="s">
        <v>245</v>
      </c>
      <c r="V3165" s="4" t="s">
        <v>270</v>
      </c>
      <c r="W3165" s="4" t="s">
        <v>271</v>
      </c>
      <c r="X3165" s="4" t="s">
        <v>273</v>
      </c>
      <c r="Y3165" s="4" t="s">
        <v>241</v>
      </c>
      <c r="AB3165" s="4" t="s">
        <v>241</v>
      </c>
      <c r="AD3165" s="5" t="s">
        <v>241</v>
      </c>
      <c r="AG3165" s="5" t="s">
        <v>246</v>
      </c>
      <c r="AH3165" s="4" t="s">
        <v>241</v>
      </c>
      <c r="AI3165" s="4" t="s">
        <v>247</v>
      </c>
      <c r="AJ3165" s="4" t="s">
        <v>248</v>
      </c>
      <c r="AZ3165" s="4" t="s">
        <v>249</v>
      </c>
      <c r="BA3165" s="4" t="s">
        <v>241</v>
      </c>
      <c r="BB3165" s="4" t="s">
        <v>250</v>
      </c>
      <c r="BC3165" s="4" t="s">
        <v>241</v>
      </c>
      <c r="BD3165" s="4" t="s">
        <v>252</v>
      </c>
      <c r="BE3165" s="4" t="s">
        <v>241</v>
      </c>
      <c r="BI3165" s="4" t="s">
        <v>253</v>
      </c>
      <c r="BJ3165" s="5" t="s">
        <v>246</v>
      </c>
      <c r="BK3165" s="4" t="s">
        <v>254</v>
      </c>
      <c r="BL3165" s="4" t="s">
        <v>255</v>
      </c>
      <c r="BM3165" s="4" t="s">
        <v>241</v>
      </c>
      <c r="BN3165" s="6">
        <f>0</f>
        <v>0</v>
      </c>
      <c r="BO3165" s="6">
        <f>0</f>
        <v>0</v>
      </c>
      <c r="BP3165" s="4" t="s">
        <v>256</v>
      </c>
      <c r="BQ3165" s="4" t="s">
        <v>257</v>
      </c>
      <c r="CE3165" s="4" t="s">
        <v>241</v>
      </c>
      <c r="CF3165" s="4" t="s">
        <v>241</v>
      </c>
      <c r="CJ3165" s="4" t="s">
        <v>276</v>
      </c>
      <c r="CK3165" s="4" t="s">
        <v>259</v>
      </c>
      <c r="CL3165" s="4" t="s">
        <v>241</v>
      </c>
      <c r="CO3165" s="5" t="s">
        <v>260</v>
      </c>
      <c r="CP3165" s="4" t="s">
        <v>241</v>
      </c>
      <c r="CQ3165" s="4" t="s">
        <v>261</v>
      </c>
      <c r="CR3165" s="4" t="s">
        <v>241</v>
      </c>
      <c r="CS3165" s="4" t="s">
        <v>241</v>
      </c>
      <c r="CT3165" s="4">
        <v>0</v>
      </c>
      <c r="CU3165" s="4" t="s">
        <v>262</v>
      </c>
      <c r="CV3165" s="4" t="s">
        <v>263</v>
      </c>
      <c r="CW3165" s="4" t="s">
        <v>263</v>
      </c>
      <c r="CX3165" s="4" t="s">
        <v>264</v>
      </c>
      <c r="DA3165" s="6">
        <f>1</f>
        <v>1</v>
      </c>
      <c r="DC3165" s="4" t="s">
        <v>325</v>
      </c>
      <c r="DD3165" s="4" t="s">
        <v>241</v>
      </c>
      <c r="DF3165" s="4" t="s">
        <v>325</v>
      </c>
      <c r="DG3165" s="6">
        <f>78</f>
        <v>78</v>
      </c>
      <c r="DI3165" s="4" t="s">
        <v>241</v>
      </c>
      <c r="DJ3165" s="4" t="s">
        <v>241</v>
      </c>
      <c r="DK3165" s="4" t="s">
        <v>241</v>
      </c>
      <c r="DL3165" s="4" t="s">
        <v>241</v>
      </c>
      <c r="DP3165" s="4" t="s">
        <v>241</v>
      </c>
      <c r="DQ3165" s="4" t="s">
        <v>241</v>
      </c>
      <c r="DR3165" s="4" t="s">
        <v>241</v>
      </c>
      <c r="DS3165" s="4" t="s">
        <v>241</v>
      </c>
      <c r="DV3165" s="4" t="s">
        <v>426</v>
      </c>
      <c r="DW3165" s="4" t="s">
        <v>3496</v>
      </c>
      <c r="HO3165" s="4" t="s">
        <v>267</v>
      </c>
    </row>
    <row r="3166" spans="1:223" ht="19.5" customHeight="1" x14ac:dyDescent="0.4">
      <c r="A3166" s="4">
        <v>1</v>
      </c>
      <c r="B3166" s="4" t="s">
        <v>239</v>
      </c>
      <c r="C3166" s="4">
        <v>4869</v>
      </c>
      <c r="D3166" s="4">
        <v>1</v>
      </c>
      <c r="E3166" s="4">
        <v>1</v>
      </c>
      <c r="F3166" s="4" t="s">
        <v>268</v>
      </c>
      <c r="G3166" s="4" t="s">
        <v>241</v>
      </c>
      <c r="H3166" s="4" t="s">
        <v>241</v>
      </c>
      <c r="I3166" s="4" t="s">
        <v>424</v>
      </c>
      <c r="J3166" s="4" t="s">
        <v>274</v>
      </c>
      <c r="K3166" s="4" t="s">
        <v>251</v>
      </c>
      <c r="L3166" s="4" t="s">
        <v>423</v>
      </c>
      <c r="M3166" s="5" t="s">
        <v>3499</v>
      </c>
      <c r="N3166" s="6">
        <f>555</f>
        <v>555</v>
      </c>
      <c r="O3166" s="4" t="s">
        <v>265</v>
      </c>
      <c r="P3166" s="6">
        <f>1</f>
        <v>1</v>
      </c>
      <c r="Q3166" s="6">
        <f>0</f>
        <v>0</v>
      </c>
      <c r="S3166" s="6">
        <f>0</f>
        <v>0</v>
      </c>
      <c r="T3166" s="6">
        <f>1</f>
        <v>1</v>
      </c>
      <c r="U3166" s="5" t="s">
        <v>245</v>
      </c>
      <c r="V3166" s="4" t="s">
        <v>270</v>
      </c>
      <c r="W3166" s="4" t="s">
        <v>271</v>
      </c>
      <c r="X3166" s="4" t="s">
        <v>273</v>
      </c>
      <c r="Y3166" s="4" t="s">
        <v>241</v>
      </c>
      <c r="AB3166" s="4" t="s">
        <v>241</v>
      </c>
      <c r="AD3166" s="5" t="s">
        <v>241</v>
      </c>
      <c r="AG3166" s="5" t="s">
        <v>246</v>
      </c>
      <c r="AH3166" s="4" t="s">
        <v>241</v>
      </c>
      <c r="AI3166" s="4" t="s">
        <v>247</v>
      </c>
      <c r="AJ3166" s="4" t="s">
        <v>248</v>
      </c>
      <c r="AZ3166" s="4" t="s">
        <v>249</v>
      </c>
      <c r="BA3166" s="4" t="s">
        <v>241</v>
      </c>
      <c r="BB3166" s="4" t="s">
        <v>250</v>
      </c>
      <c r="BC3166" s="4" t="s">
        <v>241</v>
      </c>
      <c r="BD3166" s="4" t="s">
        <v>252</v>
      </c>
      <c r="BE3166" s="4" t="s">
        <v>241</v>
      </c>
      <c r="BI3166" s="4" t="s">
        <v>253</v>
      </c>
      <c r="BJ3166" s="5" t="s">
        <v>246</v>
      </c>
      <c r="BK3166" s="4" t="s">
        <v>254</v>
      </c>
      <c r="BL3166" s="4" t="s">
        <v>255</v>
      </c>
      <c r="BM3166" s="4" t="s">
        <v>241</v>
      </c>
      <c r="BN3166" s="6">
        <f>0</f>
        <v>0</v>
      </c>
      <c r="BO3166" s="6">
        <f>0</f>
        <v>0</v>
      </c>
      <c r="BP3166" s="4" t="s">
        <v>256</v>
      </c>
      <c r="BQ3166" s="4" t="s">
        <v>257</v>
      </c>
      <c r="CE3166" s="4" t="s">
        <v>241</v>
      </c>
      <c r="CF3166" s="4" t="s">
        <v>241</v>
      </c>
      <c r="CJ3166" s="4" t="s">
        <v>276</v>
      </c>
      <c r="CK3166" s="4" t="s">
        <v>259</v>
      </c>
      <c r="CL3166" s="4" t="s">
        <v>241</v>
      </c>
      <c r="CO3166" s="5" t="s">
        <v>260</v>
      </c>
      <c r="CP3166" s="4" t="s">
        <v>241</v>
      </c>
      <c r="CQ3166" s="4" t="s">
        <v>261</v>
      </c>
      <c r="CR3166" s="4" t="s">
        <v>241</v>
      </c>
      <c r="CS3166" s="4" t="s">
        <v>241</v>
      </c>
      <c r="CT3166" s="4">
        <v>0</v>
      </c>
      <c r="CU3166" s="4" t="s">
        <v>262</v>
      </c>
      <c r="CV3166" s="4" t="s">
        <v>263</v>
      </c>
      <c r="CW3166" s="4" t="s">
        <v>263</v>
      </c>
      <c r="CX3166" s="4" t="s">
        <v>264</v>
      </c>
      <c r="DA3166" s="6">
        <f>1</f>
        <v>1</v>
      </c>
      <c r="DC3166" s="4" t="s">
        <v>325</v>
      </c>
      <c r="DD3166" s="4" t="s">
        <v>241</v>
      </c>
      <c r="DF3166" s="4" t="s">
        <v>325</v>
      </c>
      <c r="DG3166" s="6">
        <f>555</f>
        <v>555</v>
      </c>
      <c r="DI3166" s="4" t="s">
        <v>241</v>
      </c>
      <c r="DJ3166" s="4" t="s">
        <v>241</v>
      </c>
      <c r="DK3166" s="4" t="s">
        <v>241</v>
      </c>
      <c r="DL3166" s="4" t="s">
        <v>241</v>
      </c>
      <c r="DP3166" s="4" t="s">
        <v>241</v>
      </c>
      <c r="DQ3166" s="4" t="s">
        <v>241</v>
      </c>
      <c r="DR3166" s="4" t="s">
        <v>241</v>
      </c>
      <c r="DS3166" s="4" t="s">
        <v>241</v>
      </c>
      <c r="DV3166" s="4" t="s">
        <v>426</v>
      </c>
      <c r="DW3166" s="4" t="s">
        <v>3500</v>
      </c>
      <c r="HO3166" s="4" t="s">
        <v>267</v>
      </c>
    </row>
    <row r="3167" spans="1:223" ht="19.5" customHeight="1" x14ac:dyDescent="0.4">
      <c r="A3167" s="4">
        <v>1</v>
      </c>
      <c r="B3167" s="4" t="s">
        <v>239</v>
      </c>
      <c r="C3167" s="4">
        <v>4870</v>
      </c>
      <c r="D3167" s="4">
        <v>1</v>
      </c>
      <c r="E3167" s="4">
        <v>1</v>
      </c>
      <c r="F3167" s="4" t="s">
        <v>268</v>
      </c>
      <c r="G3167" s="4" t="s">
        <v>241</v>
      </c>
      <c r="H3167" s="4" t="s">
        <v>241</v>
      </c>
      <c r="I3167" s="4" t="s">
        <v>424</v>
      </c>
      <c r="J3167" s="4" t="s">
        <v>274</v>
      </c>
      <c r="K3167" s="4" t="s">
        <v>251</v>
      </c>
      <c r="L3167" s="4" t="s">
        <v>423</v>
      </c>
      <c r="M3167" s="5" t="s">
        <v>3508</v>
      </c>
      <c r="N3167" s="6">
        <f>548</f>
        <v>548</v>
      </c>
      <c r="O3167" s="4" t="s">
        <v>265</v>
      </c>
      <c r="P3167" s="6">
        <f>1</f>
        <v>1</v>
      </c>
      <c r="Q3167" s="6">
        <f>0</f>
        <v>0</v>
      </c>
      <c r="S3167" s="6">
        <f>0</f>
        <v>0</v>
      </c>
      <c r="T3167" s="6">
        <f>1</f>
        <v>1</v>
      </c>
      <c r="U3167" s="5" t="s">
        <v>245</v>
      </c>
      <c r="V3167" s="4" t="s">
        <v>270</v>
      </c>
      <c r="W3167" s="4" t="s">
        <v>271</v>
      </c>
      <c r="X3167" s="4" t="s">
        <v>273</v>
      </c>
      <c r="Y3167" s="4" t="s">
        <v>241</v>
      </c>
      <c r="AB3167" s="4" t="s">
        <v>241</v>
      </c>
      <c r="AD3167" s="5" t="s">
        <v>241</v>
      </c>
      <c r="AG3167" s="5" t="s">
        <v>246</v>
      </c>
      <c r="AH3167" s="4" t="s">
        <v>241</v>
      </c>
      <c r="AI3167" s="4" t="s">
        <v>247</v>
      </c>
      <c r="AJ3167" s="4" t="s">
        <v>248</v>
      </c>
      <c r="AZ3167" s="4" t="s">
        <v>249</v>
      </c>
      <c r="BA3167" s="4" t="s">
        <v>241</v>
      </c>
      <c r="BB3167" s="4" t="s">
        <v>250</v>
      </c>
      <c r="BC3167" s="4" t="s">
        <v>241</v>
      </c>
      <c r="BD3167" s="4" t="s">
        <v>252</v>
      </c>
      <c r="BE3167" s="4" t="s">
        <v>241</v>
      </c>
      <c r="BI3167" s="4" t="s">
        <v>253</v>
      </c>
      <c r="BJ3167" s="5" t="s">
        <v>246</v>
      </c>
      <c r="BK3167" s="4" t="s">
        <v>254</v>
      </c>
      <c r="BL3167" s="4" t="s">
        <v>255</v>
      </c>
      <c r="BM3167" s="4" t="s">
        <v>241</v>
      </c>
      <c r="BN3167" s="6">
        <f>0</f>
        <v>0</v>
      </c>
      <c r="BO3167" s="6">
        <f>0</f>
        <v>0</v>
      </c>
      <c r="BP3167" s="4" t="s">
        <v>256</v>
      </c>
      <c r="BQ3167" s="4" t="s">
        <v>257</v>
      </c>
      <c r="CE3167" s="4" t="s">
        <v>241</v>
      </c>
      <c r="CF3167" s="4" t="s">
        <v>241</v>
      </c>
      <c r="CJ3167" s="4" t="s">
        <v>276</v>
      </c>
      <c r="CK3167" s="4" t="s">
        <v>259</v>
      </c>
      <c r="CL3167" s="4" t="s">
        <v>241</v>
      </c>
      <c r="CO3167" s="5" t="s">
        <v>260</v>
      </c>
      <c r="CP3167" s="4" t="s">
        <v>241</v>
      </c>
      <c r="CQ3167" s="4" t="s">
        <v>261</v>
      </c>
      <c r="CR3167" s="4" t="s">
        <v>241</v>
      </c>
      <c r="CS3167" s="4" t="s">
        <v>241</v>
      </c>
      <c r="CT3167" s="4">
        <v>0</v>
      </c>
      <c r="CU3167" s="4" t="s">
        <v>262</v>
      </c>
      <c r="CV3167" s="4" t="s">
        <v>263</v>
      </c>
      <c r="CW3167" s="4" t="s">
        <v>263</v>
      </c>
      <c r="CX3167" s="4" t="s">
        <v>264</v>
      </c>
      <c r="DA3167" s="6">
        <f>1</f>
        <v>1</v>
      </c>
      <c r="DC3167" s="4" t="s">
        <v>325</v>
      </c>
      <c r="DD3167" s="4" t="s">
        <v>241</v>
      </c>
      <c r="DF3167" s="4" t="s">
        <v>325</v>
      </c>
      <c r="DG3167" s="6">
        <f>548</f>
        <v>548</v>
      </c>
      <c r="DI3167" s="4" t="s">
        <v>241</v>
      </c>
      <c r="DJ3167" s="4" t="s">
        <v>241</v>
      </c>
      <c r="DK3167" s="4" t="s">
        <v>241</v>
      </c>
      <c r="DL3167" s="4" t="s">
        <v>241</v>
      </c>
      <c r="DP3167" s="4" t="s">
        <v>241</v>
      </c>
      <c r="DQ3167" s="4" t="s">
        <v>241</v>
      </c>
      <c r="DR3167" s="4" t="s">
        <v>241</v>
      </c>
      <c r="DS3167" s="4" t="s">
        <v>241</v>
      </c>
      <c r="DV3167" s="4" t="s">
        <v>426</v>
      </c>
      <c r="DW3167" s="4" t="s">
        <v>3509</v>
      </c>
      <c r="HO3167" s="4" t="s">
        <v>267</v>
      </c>
    </row>
    <row r="3168" spans="1:223" ht="19.5" customHeight="1" x14ac:dyDescent="0.4">
      <c r="A3168" s="4">
        <v>1</v>
      </c>
      <c r="B3168" s="4" t="s">
        <v>239</v>
      </c>
      <c r="C3168" s="4">
        <v>4871</v>
      </c>
      <c r="D3168" s="4">
        <v>1</v>
      </c>
      <c r="E3168" s="4">
        <v>1</v>
      </c>
      <c r="F3168" s="4" t="s">
        <v>268</v>
      </c>
      <c r="G3168" s="4" t="s">
        <v>241</v>
      </c>
      <c r="H3168" s="4" t="s">
        <v>241</v>
      </c>
      <c r="I3168" s="4" t="s">
        <v>424</v>
      </c>
      <c r="J3168" s="4" t="s">
        <v>274</v>
      </c>
      <c r="K3168" s="4" t="s">
        <v>251</v>
      </c>
      <c r="L3168" s="4" t="s">
        <v>423</v>
      </c>
      <c r="M3168" s="5" t="s">
        <v>4213</v>
      </c>
      <c r="N3168" s="6">
        <f>147</f>
        <v>147</v>
      </c>
      <c r="O3168" s="4" t="s">
        <v>265</v>
      </c>
      <c r="P3168" s="6">
        <f>1</f>
        <v>1</v>
      </c>
      <c r="Q3168" s="6">
        <f>0</f>
        <v>0</v>
      </c>
      <c r="S3168" s="6">
        <f>0</f>
        <v>0</v>
      </c>
      <c r="T3168" s="6">
        <f>1</f>
        <v>1</v>
      </c>
      <c r="U3168" s="5" t="s">
        <v>245</v>
      </c>
      <c r="V3168" s="4" t="s">
        <v>270</v>
      </c>
      <c r="W3168" s="4" t="s">
        <v>271</v>
      </c>
      <c r="X3168" s="4" t="s">
        <v>273</v>
      </c>
      <c r="Y3168" s="4" t="s">
        <v>241</v>
      </c>
      <c r="AB3168" s="4" t="s">
        <v>241</v>
      </c>
      <c r="AD3168" s="5" t="s">
        <v>241</v>
      </c>
      <c r="AG3168" s="5" t="s">
        <v>4138</v>
      </c>
      <c r="AH3168" s="4" t="s">
        <v>241</v>
      </c>
      <c r="AI3168" s="4" t="s">
        <v>247</v>
      </c>
      <c r="AJ3168" s="4" t="s">
        <v>248</v>
      </c>
      <c r="AZ3168" s="4" t="s">
        <v>249</v>
      </c>
      <c r="BA3168" s="4" t="s">
        <v>241</v>
      </c>
      <c r="BB3168" s="4" t="s">
        <v>250</v>
      </c>
      <c r="BC3168" s="4" t="s">
        <v>241</v>
      </c>
      <c r="BD3168" s="4" t="s">
        <v>252</v>
      </c>
      <c r="BE3168" s="4" t="s">
        <v>241</v>
      </c>
      <c r="BI3168" s="4" t="s">
        <v>284</v>
      </c>
      <c r="BJ3168" s="5" t="s">
        <v>4138</v>
      </c>
      <c r="BK3168" s="4" t="s">
        <v>254</v>
      </c>
      <c r="BL3168" s="4" t="s">
        <v>255</v>
      </c>
      <c r="BM3168" s="4" t="s">
        <v>241</v>
      </c>
      <c r="BN3168" s="6">
        <f>0</f>
        <v>0</v>
      </c>
      <c r="BO3168" s="6">
        <f>0</f>
        <v>0</v>
      </c>
      <c r="BP3168" s="4" t="s">
        <v>256</v>
      </c>
      <c r="BQ3168" s="4" t="s">
        <v>257</v>
      </c>
      <c r="CE3168" s="4" t="s">
        <v>241</v>
      </c>
      <c r="CF3168" s="4" t="s">
        <v>241</v>
      </c>
      <c r="CJ3168" s="4" t="s">
        <v>276</v>
      </c>
      <c r="CK3168" s="4" t="s">
        <v>259</v>
      </c>
      <c r="CL3168" s="4" t="s">
        <v>241</v>
      </c>
      <c r="CO3168" s="5" t="s">
        <v>260</v>
      </c>
      <c r="CP3168" s="4" t="s">
        <v>241</v>
      </c>
      <c r="CQ3168" s="4" t="s">
        <v>261</v>
      </c>
      <c r="CR3168" s="4" t="s">
        <v>241</v>
      </c>
      <c r="CS3168" s="4" t="s">
        <v>241</v>
      </c>
      <c r="CT3168" s="4">
        <v>0</v>
      </c>
      <c r="CU3168" s="4" t="s">
        <v>262</v>
      </c>
      <c r="CV3168" s="4" t="s">
        <v>263</v>
      </c>
      <c r="CW3168" s="4" t="s">
        <v>263</v>
      </c>
      <c r="CX3168" s="4" t="s">
        <v>264</v>
      </c>
      <c r="DA3168" s="6">
        <f>1</f>
        <v>1</v>
      </c>
      <c r="DC3168" s="4" t="s">
        <v>325</v>
      </c>
      <c r="DD3168" s="4" t="s">
        <v>241</v>
      </c>
      <c r="DF3168" s="4" t="s">
        <v>325</v>
      </c>
      <c r="DG3168" s="6">
        <f>147</f>
        <v>147</v>
      </c>
      <c r="DI3168" s="4" t="s">
        <v>241</v>
      </c>
      <c r="DJ3168" s="4" t="s">
        <v>241</v>
      </c>
      <c r="DK3168" s="4" t="s">
        <v>241</v>
      </c>
      <c r="DL3168" s="4" t="s">
        <v>241</v>
      </c>
      <c r="DP3168" s="4" t="s">
        <v>241</v>
      </c>
      <c r="DQ3168" s="4" t="s">
        <v>241</v>
      </c>
      <c r="DR3168" s="4" t="s">
        <v>241</v>
      </c>
      <c r="DS3168" s="4" t="s">
        <v>241</v>
      </c>
      <c r="DV3168" s="4" t="s">
        <v>426</v>
      </c>
      <c r="DW3168" s="4" t="s">
        <v>4214</v>
      </c>
      <c r="HO3168" s="4" t="s">
        <v>267</v>
      </c>
    </row>
    <row r="3169" spans="1:223" ht="19.5" customHeight="1" x14ac:dyDescent="0.4">
      <c r="A3169" s="4">
        <v>1</v>
      </c>
      <c r="B3169" s="4" t="s">
        <v>239</v>
      </c>
      <c r="C3169" s="4">
        <v>4872</v>
      </c>
      <c r="D3169" s="4">
        <v>1</v>
      </c>
      <c r="E3169" s="4">
        <v>1</v>
      </c>
      <c r="F3169" s="4" t="s">
        <v>268</v>
      </c>
      <c r="G3169" s="4" t="s">
        <v>241</v>
      </c>
      <c r="H3169" s="4" t="s">
        <v>241</v>
      </c>
      <c r="I3169" s="4" t="s">
        <v>424</v>
      </c>
      <c r="J3169" s="4" t="s">
        <v>274</v>
      </c>
      <c r="K3169" s="4" t="s">
        <v>251</v>
      </c>
      <c r="L3169" s="4" t="s">
        <v>423</v>
      </c>
      <c r="M3169" s="5" t="s">
        <v>3537</v>
      </c>
      <c r="N3169" s="6">
        <f>444</f>
        <v>444</v>
      </c>
      <c r="O3169" s="4" t="s">
        <v>265</v>
      </c>
      <c r="P3169" s="6">
        <f>1</f>
        <v>1</v>
      </c>
      <c r="Q3169" s="6">
        <f>0</f>
        <v>0</v>
      </c>
      <c r="S3169" s="6">
        <f>0</f>
        <v>0</v>
      </c>
      <c r="T3169" s="6">
        <f>1</f>
        <v>1</v>
      </c>
      <c r="U3169" s="5" t="s">
        <v>245</v>
      </c>
      <c r="V3169" s="4" t="s">
        <v>270</v>
      </c>
      <c r="W3169" s="4" t="s">
        <v>271</v>
      </c>
      <c r="X3169" s="4" t="s">
        <v>273</v>
      </c>
      <c r="Y3169" s="4" t="s">
        <v>241</v>
      </c>
      <c r="AB3169" s="4" t="s">
        <v>241</v>
      </c>
      <c r="AD3169" s="5" t="s">
        <v>241</v>
      </c>
      <c r="AG3169" s="5" t="s">
        <v>3536</v>
      </c>
      <c r="AH3169" s="4" t="s">
        <v>241</v>
      </c>
      <c r="AI3169" s="4" t="s">
        <v>247</v>
      </c>
      <c r="AJ3169" s="4" t="s">
        <v>248</v>
      </c>
      <c r="AZ3169" s="4" t="s">
        <v>249</v>
      </c>
      <c r="BA3169" s="4" t="s">
        <v>241</v>
      </c>
      <c r="BB3169" s="4" t="s">
        <v>250</v>
      </c>
      <c r="BC3169" s="4" t="s">
        <v>241</v>
      </c>
      <c r="BD3169" s="4" t="s">
        <v>252</v>
      </c>
      <c r="BE3169" s="4" t="s">
        <v>241</v>
      </c>
      <c r="BI3169" s="4" t="s">
        <v>295</v>
      </c>
      <c r="BJ3169" s="5" t="s">
        <v>3536</v>
      </c>
      <c r="BK3169" s="4" t="s">
        <v>254</v>
      </c>
      <c r="BL3169" s="4" t="s">
        <v>255</v>
      </c>
      <c r="BM3169" s="4" t="s">
        <v>241</v>
      </c>
      <c r="BN3169" s="6">
        <f>0</f>
        <v>0</v>
      </c>
      <c r="BO3169" s="6">
        <f>0</f>
        <v>0</v>
      </c>
      <c r="BP3169" s="4" t="s">
        <v>256</v>
      </c>
      <c r="BQ3169" s="4" t="s">
        <v>257</v>
      </c>
      <c r="CE3169" s="4" t="s">
        <v>241</v>
      </c>
      <c r="CF3169" s="4" t="s">
        <v>241</v>
      </c>
      <c r="CJ3169" s="4" t="s">
        <v>276</v>
      </c>
      <c r="CK3169" s="4" t="s">
        <v>259</v>
      </c>
      <c r="CL3169" s="4" t="s">
        <v>241</v>
      </c>
      <c r="CO3169" s="5" t="s">
        <v>260</v>
      </c>
      <c r="CP3169" s="4" t="s">
        <v>241</v>
      </c>
      <c r="CQ3169" s="4" t="s">
        <v>261</v>
      </c>
      <c r="CR3169" s="4" t="s">
        <v>241</v>
      </c>
      <c r="CS3169" s="4" t="s">
        <v>241</v>
      </c>
      <c r="CT3169" s="4">
        <v>0</v>
      </c>
      <c r="CU3169" s="4" t="s">
        <v>262</v>
      </c>
      <c r="CV3169" s="4" t="s">
        <v>263</v>
      </c>
      <c r="CW3169" s="4" t="s">
        <v>263</v>
      </c>
      <c r="CX3169" s="4" t="s">
        <v>264</v>
      </c>
      <c r="DA3169" s="6">
        <f>1</f>
        <v>1</v>
      </c>
      <c r="DC3169" s="4" t="s">
        <v>325</v>
      </c>
      <c r="DD3169" s="4" t="s">
        <v>241</v>
      </c>
      <c r="DF3169" s="4" t="s">
        <v>325</v>
      </c>
      <c r="DG3169" s="6">
        <f>444</f>
        <v>444</v>
      </c>
      <c r="DH3169" s="5" t="s">
        <v>3145</v>
      </c>
      <c r="DI3169" s="4" t="s">
        <v>241</v>
      </c>
      <c r="DJ3169" s="4" t="s">
        <v>241</v>
      </c>
      <c r="DK3169" s="4" t="s">
        <v>241</v>
      </c>
      <c r="DL3169" s="4" t="s">
        <v>241</v>
      </c>
      <c r="DP3169" s="4" t="s">
        <v>241</v>
      </c>
      <c r="DQ3169" s="4" t="s">
        <v>241</v>
      </c>
      <c r="DR3169" s="4" t="s">
        <v>241</v>
      </c>
      <c r="DS3169" s="4" t="s">
        <v>241</v>
      </c>
      <c r="DV3169" s="4" t="s">
        <v>426</v>
      </c>
      <c r="DW3169" s="4" t="s">
        <v>3538</v>
      </c>
      <c r="HO3169" s="4" t="s">
        <v>267</v>
      </c>
    </row>
    <row r="3170" spans="1:223" ht="19.5" customHeight="1" x14ac:dyDescent="0.4">
      <c r="A3170" s="4">
        <v>1</v>
      </c>
      <c r="B3170" s="4" t="s">
        <v>239</v>
      </c>
      <c r="C3170" s="4">
        <v>4873</v>
      </c>
      <c r="D3170" s="4">
        <v>1</v>
      </c>
      <c r="E3170" s="4">
        <v>1</v>
      </c>
      <c r="F3170" s="4" t="s">
        <v>268</v>
      </c>
      <c r="G3170" s="4" t="s">
        <v>241</v>
      </c>
      <c r="H3170" s="4" t="s">
        <v>241</v>
      </c>
      <c r="I3170" s="4" t="s">
        <v>424</v>
      </c>
      <c r="J3170" s="4" t="s">
        <v>274</v>
      </c>
      <c r="K3170" s="4" t="s">
        <v>251</v>
      </c>
      <c r="L3170" s="4" t="s">
        <v>423</v>
      </c>
      <c r="M3170" s="5" t="s">
        <v>3522</v>
      </c>
      <c r="N3170" s="6">
        <f>482</f>
        <v>482</v>
      </c>
      <c r="O3170" s="4" t="s">
        <v>265</v>
      </c>
      <c r="P3170" s="6">
        <f>1</f>
        <v>1</v>
      </c>
      <c r="Q3170" s="6">
        <f>0</f>
        <v>0</v>
      </c>
      <c r="S3170" s="6">
        <f>0</f>
        <v>0</v>
      </c>
      <c r="T3170" s="6">
        <f>1</f>
        <v>1</v>
      </c>
      <c r="U3170" s="5" t="s">
        <v>245</v>
      </c>
      <c r="V3170" s="4" t="s">
        <v>270</v>
      </c>
      <c r="W3170" s="4" t="s">
        <v>271</v>
      </c>
      <c r="X3170" s="4" t="s">
        <v>273</v>
      </c>
      <c r="Y3170" s="4" t="s">
        <v>241</v>
      </c>
      <c r="AB3170" s="4" t="s">
        <v>241</v>
      </c>
      <c r="AD3170" s="5" t="s">
        <v>241</v>
      </c>
      <c r="AG3170" s="5" t="s">
        <v>3140</v>
      </c>
      <c r="AH3170" s="4" t="s">
        <v>241</v>
      </c>
      <c r="AI3170" s="4" t="s">
        <v>247</v>
      </c>
      <c r="AJ3170" s="4" t="s">
        <v>248</v>
      </c>
      <c r="AZ3170" s="4" t="s">
        <v>249</v>
      </c>
      <c r="BA3170" s="4" t="s">
        <v>241</v>
      </c>
      <c r="BB3170" s="4" t="s">
        <v>250</v>
      </c>
      <c r="BC3170" s="4" t="s">
        <v>241</v>
      </c>
      <c r="BD3170" s="4" t="s">
        <v>252</v>
      </c>
      <c r="BE3170" s="4" t="s">
        <v>241</v>
      </c>
      <c r="BI3170" s="4" t="s">
        <v>284</v>
      </c>
      <c r="BJ3170" s="5" t="s">
        <v>3140</v>
      </c>
      <c r="BK3170" s="4" t="s">
        <v>254</v>
      </c>
      <c r="BL3170" s="4" t="s">
        <v>255</v>
      </c>
      <c r="BM3170" s="4" t="s">
        <v>241</v>
      </c>
      <c r="BN3170" s="6">
        <f>0</f>
        <v>0</v>
      </c>
      <c r="BO3170" s="6">
        <f>0</f>
        <v>0</v>
      </c>
      <c r="BP3170" s="4" t="s">
        <v>256</v>
      </c>
      <c r="BQ3170" s="4" t="s">
        <v>257</v>
      </c>
      <c r="CE3170" s="4" t="s">
        <v>241</v>
      </c>
      <c r="CF3170" s="4" t="s">
        <v>241</v>
      </c>
      <c r="CJ3170" s="4" t="s">
        <v>276</v>
      </c>
      <c r="CK3170" s="4" t="s">
        <v>259</v>
      </c>
      <c r="CL3170" s="4" t="s">
        <v>241</v>
      </c>
      <c r="CO3170" s="5" t="s">
        <v>260</v>
      </c>
      <c r="CP3170" s="4" t="s">
        <v>241</v>
      </c>
      <c r="CQ3170" s="4" t="s">
        <v>261</v>
      </c>
      <c r="CR3170" s="4" t="s">
        <v>241</v>
      </c>
      <c r="CS3170" s="4" t="s">
        <v>241</v>
      </c>
      <c r="CT3170" s="4">
        <v>0</v>
      </c>
      <c r="CU3170" s="4" t="s">
        <v>262</v>
      </c>
      <c r="CV3170" s="4" t="s">
        <v>263</v>
      </c>
      <c r="CW3170" s="4" t="s">
        <v>263</v>
      </c>
      <c r="CX3170" s="4" t="s">
        <v>264</v>
      </c>
      <c r="DA3170" s="6">
        <f>1</f>
        <v>1</v>
      </c>
      <c r="DC3170" s="4" t="s">
        <v>325</v>
      </c>
      <c r="DD3170" s="4" t="s">
        <v>241</v>
      </c>
      <c r="DF3170" s="4" t="s">
        <v>325</v>
      </c>
      <c r="DG3170" s="6">
        <f>482</f>
        <v>482</v>
      </c>
      <c r="DI3170" s="4" t="s">
        <v>241</v>
      </c>
      <c r="DJ3170" s="4" t="s">
        <v>241</v>
      </c>
      <c r="DK3170" s="4" t="s">
        <v>241</v>
      </c>
      <c r="DL3170" s="4" t="s">
        <v>241</v>
      </c>
      <c r="DP3170" s="4" t="s">
        <v>241</v>
      </c>
      <c r="DQ3170" s="4" t="s">
        <v>241</v>
      </c>
      <c r="DR3170" s="4" t="s">
        <v>241</v>
      </c>
      <c r="DS3170" s="4" t="s">
        <v>241</v>
      </c>
      <c r="DV3170" s="4" t="s">
        <v>426</v>
      </c>
      <c r="DW3170" s="4" t="s">
        <v>3523</v>
      </c>
      <c r="HO3170" s="4" t="s">
        <v>267</v>
      </c>
    </row>
    <row r="3171" spans="1:223" ht="19.5" customHeight="1" x14ac:dyDescent="0.4">
      <c r="A3171" s="4">
        <v>1</v>
      </c>
      <c r="B3171" s="4" t="s">
        <v>239</v>
      </c>
      <c r="C3171" s="4">
        <v>4874</v>
      </c>
      <c r="D3171" s="4">
        <v>1</v>
      </c>
      <c r="E3171" s="4">
        <v>1</v>
      </c>
      <c r="F3171" s="4" t="s">
        <v>268</v>
      </c>
      <c r="G3171" s="4" t="s">
        <v>241</v>
      </c>
      <c r="H3171" s="4" t="s">
        <v>241</v>
      </c>
      <c r="I3171" s="4" t="s">
        <v>424</v>
      </c>
      <c r="J3171" s="4" t="s">
        <v>274</v>
      </c>
      <c r="K3171" s="4" t="s">
        <v>251</v>
      </c>
      <c r="L3171" s="4" t="s">
        <v>423</v>
      </c>
      <c r="M3171" s="5" t="s">
        <v>3528</v>
      </c>
      <c r="N3171" s="6">
        <f>98</f>
        <v>98</v>
      </c>
      <c r="O3171" s="4" t="s">
        <v>265</v>
      </c>
      <c r="P3171" s="6">
        <f>1</f>
        <v>1</v>
      </c>
      <c r="Q3171" s="6">
        <f>0</f>
        <v>0</v>
      </c>
      <c r="S3171" s="6">
        <f>0</f>
        <v>0</v>
      </c>
      <c r="T3171" s="6">
        <f>1</f>
        <v>1</v>
      </c>
      <c r="U3171" s="5" t="s">
        <v>245</v>
      </c>
      <c r="V3171" s="4" t="s">
        <v>270</v>
      </c>
      <c r="W3171" s="4" t="s">
        <v>271</v>
      </c>
      <c r="X3171" s="4" t="s">
        <v>273</v>
      </c>
      <c r="Y3171" s="4" t="s">
        <v>241</v>
      </c>
      <c r="AB3171" s="4" t="s">
        <v>241</v>
      </c>
      <c r="AD3171" s="5" t="s">
        <v>241</v>
      </c>
      <c r="AG3171" s="5" t="s">
        <v>3157</v>
      </c>
      <c r="AH3171" s="4" t="s">
        <v>241</v>
      </c>
      <c r="AI3171" s="4" t="s">
        <v>247</v>
      </c>
      <c r="AJ3171" s="4" t="s">
        <v>248</v>
      </c>
      <c r="AZ3171" s="4" t="s">
        <v>249</v>
      </c>
      <c r="BA3171" s="4" t="s">
        <v>241</v>
      </c>
      <c r="BB3171" s="4" t="s">
        <v>250</v>
      </c>
      <c r="BC3171" s="4" t="s">
        <v>241</v>
      </c>
      <c r="BD3171" s="4" t="s">
        <v>252</v>
      </c>
      <c r="BE3171" s="4" t="s">
        <v>241</v>
      </c>
      <c r="BI3171" s="4" t="s">
        <v>284</v>
      </c>
      <c r="BJ3171" s="5" t="s">
        <v>3157</v>
      </c>
      <c r="BK3171" s="4" t="s">
        <v>254</v>
      </c>
      <c r="BL3171" s="4" t="s">
        <v>255</v>
      </c>
      <c r="BM3171" s="4" t="s">
        <v>241</v>
      </c>
      <c r="BN3171" s="6">
        <f>0</f>
        <v>0</v>
      </c>
      <c r="BO3171" s="6">
        <f>0</f>
        <v>0</v>
      </c>
      <c r="BP3171" s="4" t="s">
        <v>256</v>
      </c>
      <c r="BQ3171" s="4" t="s">
        <v>257</v>
      </c>
      <c r="CE3171" s="4" t="s">
        <v>241</v>
      </c>
      <c r="CF3171" s="4" t="s">
        <v>241</v>
      </c>
      <c r="CJ3171" s="4" t="s">
        <v>276</v>
      </c>
      <c r="CK3171" s="4" t="s">
        <v>259</v>
      </c>
      <c r="CL3171" s="4" t="s">
        <v>241</v>
      </c>
      <c r="CO3171" s="5" t="s">
        <v>260</v>
      </c>
      <c r="CP3171" s="4" t="s">
        <v>241</v>
      </c>
      <c r="CQ3171" s="4" t="s">
        <v>261</v>
      </c>
      <c r="CR3171" s="4" t="s">
        <v>241</v>
      </c>
      <c r="CS3171" s="4" t="s">
        <v>241</v>
      </c>
      <c r="CT3171" s="4">
        <v>0</v>
      </c>
      <c r="CU3171" s="4" t="s">
        <v>262</v>
      </c>
      <c r="CV3171" s="4" t="s">
        <v>263</v>
      </c>
      <c r="CW3171" s="4" t="s">
        <v>263</v>
      </c>
      <c r="CX3171" s="4" t="s">
        <v>264</v>
      </c>
      <c r="DA3171" s="6">
        <f>1</f>
        <v>1</v>
      </c>
      <c r="DC3171" s="4" t="s">
        <v>325</v>
      </c>
      <c r="DD3171" s="4" t="s">
        <v>241</v>
      </c>
      <c r="DF3171" s="4" t="s">
        <v>325</v>
      </c>
      <c r="DG3171" s="6">
        <f>98</f>
        <v>98</v>
      </c>
      <c r="DI3171" s="4" t="s">
        <v>241</v>
      </c>
      <c r="DJ3171" s="4" t="s">
        <v>241</v>
      </c>
      <c r="DK3171" s="4" t="s">
        <v>241</v>
      </c>
      <c r="DL3171" s="4" t="s">
        <v>241</v>
      </c>
      <c r="DP3171" s="4" t="s">
        <v>241</v>
      </c>
      <c r="DQ3171" s="4" t="s">
        <v>241</v>
      </c>
      <c r="DR3171" s="4" t="s">
        <v>241</v>
      </c>
      <c r="DS3171" s="4" t="s">
        <v>241</v>
      </c>
      <c r="DV3171" s="4" t="s">
        <v>426</v>
      </c>
      <c r="DW3171" s="4" t="s">
        <v>3529</v>
      </c>
      <c r="HO3171" s="4" t="s">
        <v>267</v>
      </c>
    </row>
    <row r="3172" spans="1:223" ht="19.5" customHeight="1" x14ac:dyDescent="0.4">
      <c r="A3172" s="4">
        <v>1</v>
      </c>
      <c r="B3172" s="4" t="s">
        <v>239</v>
      </c>
      <c r="C3172" s="4">
        <v>4875</v>
      </c>
      <c r="D3172" s="4">
        <v>1</v>
      </c>
      <c r="E3172" s="4">
        <v>1</v>
      </c>
      <c r="F3172" s="4" t="s">
        <v>268</v>
      </c>
      <c r="G3172" s="4" t="s">
        <v>241</v>
      </c>
      <c r="H3172" s="4" t="s">
        <v>241</v>
      </c>
      <c r="I3172" s="4" t="s">
        <v>424</v>
      </c>
      <c r="J3172" s="4" t="s">
        <v>274</v>
      </c>
      <c r="K3172" s="4" t="s">
        <v>251</v>
      </c>
      <c r="L3172" s="4" t="s">
        <v>423</v>
      </c>
      <c r="M3172" s="5" t="s">
        <v>3857</v>
      </c>
      <c r="N3172" s="6">
        <f>4685</f>
        <v>4685</v>
      </c>
      <c r="O3172" s="4" t="s">
        <v>265</v>
      </c>
      <c r="P3172" s="6">
        <f>1</f>
        <v>1</v>
      </c>
      <c r="Q3172" s="6">
        <f>0</f>
        <v>0</v>
      </c>
      <c r="S3172" s="6">
        <f>0</f>
        <v>0</v>
      </c>
      <c r="T3172" s="6">
        <f>1</f>
        <v>1</v>
      </c>
      <c r="U3172" s="5" t="s">
        <v>245</v>
      </c>
      <c r="V3172" s="4" t="s">
        <v>270</v>
      </c>
      <c r="W3172" s="4" t="s">
        <v>271</v>
      </c>
      <c r="X3172" s="4" t="s">
        <v>273</v>
      </c>
      <c r="Y3172" s="4" t="s">
        <v>241</v>
      </c>
      <c r="AB3172" s="4" t="s">
        <v>241</v>
      </c>
      <c r="AD3172" s="5" t="s">
        <v>241</v>
      </c>
      <c r="AG3172" s="5" t="s">
        <v>1404</v>
      </c>
      <c r="AH3172" s="4" t="s">
        <v>241</v>
      </c>
      <c r="AI3172" s="4" t="s">
        <v>247</v>
      </c>
      <c r="AJ3172" s="4" t="s">
        <v>248</v>
      </c>
      <c r="AZ3172" s="4" t="s">
        <v>249</v>
      </c>
      <c r="BA3172" s="4" t="s">
        <v>241</v>
      </c>
      <c r="BB3172" s="4" t="s">
        <v>250</v>
      </c>
      <c r="BC3172" s="4" t="s">
        <v>241</v>
      </c>
      <c r="BD3172" s="4" t="s">
        <v>252</v>
      </c>
      <c r="BE3172" s="4" t="s">
        <v>241</v>
      </c>
      <c r="BI3172" s="4" t="s">
        <v>284</v>
      </c>
      <c r="BJ3172" s="5" t="s">
        <v>282</v>
      </c>
      <c r="BK3172" s="4" t="s">
        <v>254</v>
      </c>
      <c r="BL3172" s="4" t="s">
        <v>255</v>
      </c>
      <c r="BM3172" s="4" t="s">
        <v>241</v>
      </c>
      <c r="BN3172" s="6">
        <f>0</f>
        <v>0</v>
      </c>
      <c r="BO3172" s="6">
        <f>0</f>
        <v>0</v>
      </c>
      <c r="BP3172" s="4" t="s">
        <v>256</v>
      </c>
      <c r="BQ3172" s="4" t="s">
        <v>257</v>
      </c>
      <c r="CE3172" s="4" t="s">
        <v>241</v>
      </c>
      <c r="CF3172" s="4" t="s">
        <v>241</v>
      </c>
      <c r="CJ3172" s="4" t="s">
        <v>276</v>
      </c>
      <c r="CK3172" s="4" t="s">
        <v>259</v>
      </c>
      <c r="CL3172" s="4" t="s">
        <v>241</v>
      </c>
      <c r="CO3172" s="5" t="s">
        <v>260</v>
      </c>
      <c r="CP3172" s="4" t="s">
        <v>241</v>
      </c>
      <c r="CQ3172" s="4" t="s">
        <v>261</v>
      </c>
      <c r="CR3172" s="4" t="s">
        <v>241</v>
      </c>
      <c r="CS3172" s="4" t="s">
        <v>241</v>
      </c>
      <c r="CT3172" s="4">
        <v>0</v>
      </c>
      <c r="CU3172" s="4" t="s">
        <v>262</v>
      </c>
      <c r="CV3172" s="4" t="s">
        <v>263</v>
      </c>
      <c r="CW3172" s="4" t="s">
        <v>263</v>
      </c>
      <c r="CX3172" s="4" t="s">
        <v>264</v>
      </c>
      <c r="DA3172" s="6">
        <f>1</f>
        <v>1</v>
      </c>
      <c r="DC3172" s="4" t="s">
        <v>325</v>
      </c>
      <c r="DD3172" s="4" t="s">
        <v>241</v>
      </c>
      <c r="DF3172" s="4" t="s">
        <v>325</v>
      </c>
      <c r="DG3172" s="6">
        <f>4685</f>
        <v>4685</v>
      </c>
      <c r="DI3172" s="4" t="s">
        <v>241</v>
      </c>
      <c r="DJ3172" s="4" t="s">
        <v>241</v>
      </c>
      <c r="DK3172" s="4" t="s">
        <v>241</v>
      </c>
      <c r="DL3172" s="4" t="s">
        <v>241</v>
      </c>
      <c r="DP3172" s="4" t="s">
        <v>241</v>
      </c>
      <c r="DQ3172" s="4" t="s">
        <v>241</v>
      </c>
      <c r="DR3172" s="4" t="s">
        <v>241</v>
      </c>
      <c r="DS3172" s="4" t="s">
        <v>241</v>
      </c>
      <c r="DV3172" s="4" t="s">
        <v>426</v>
      </c>
      <c r="DW3172" s="4" t="s">
        <v>3858</v>
      </c>
      <c r="HO3172" s="4" t="s">
        <v>267</v>
      </c>
    </row>
    <row r="3173" spans="1:223" ht="19.5" customHeight="1" x14ac:dyDescent="0.4">
      <c r="A3173" s="4">
        <v>1</v>
      </c>
      <c r="B3173" s="4" t="s">
        <v>239</v>
      </c>
      <c r="C3173" s="4">
        <v>4876</v>
      </c>
      <c r="D3173" s="4">
        <v>1</v>
      </c>
      <c r="E3173" s="4">
        <v>1</v>
      </c>
      <c r="F3173" s="4" t="s">
        <v>268</v>
      </c>
      <c r="G3173" s="4" t="s">
        <v>241</v>
      </c>
      <c r="H3173" s="4" t="s">
        <v>241</v>
      </c>
      <c r="I3173" s="4" t="s">
        <v>424</v>
      </c>
      <c r="J3173" s="4" t="s">
        <v>274</v>
      </c>
      <c r="K3173" s="4" t="s">
        <v>251</v>
      </c>
      <c r="L3173" s="4" t="s">
        <v>423</v>
      </c>
      <c r="M3173" s="5" t="s">
        <v>3524</v>
      </c>
      <c r="N3173" s="6">
        <f>2904</f>
        <v>2904</v>
      </c>
      <c r="O3173" s="4" t="s">
        <v>265</v>
      </c>
      <c r="P3173" s="6">
        <f>1</f>
        <v>1</v>
      </c>
      <c r="Q3173" s="6">
        <f>0</f>
        <v>0</v>
      </c>
      <c r="S3173" s="6">
        <f>0</f>
        <v>0</v>
      </c>
      <c r="T3173" s="6">
        <f>1</f>
        <v>1</v>
      </c>
      <c r="U3173" s="5" t="s">
        <v>245</v>
      </c>
      <c r="V3173" s="4" t="s">
        <v>270</v>
      </c>
      <c r="W3173" s="4" t="s">
        <v>271</v>
      </c>
      <c r="X3173" s="4" t="s">
        <v>273</v>
      </c>
      <c r="Y3173" s="4" t="s">
        <v>241</v>
      </c>
      <c r="AB3173" s="4" t="s">
        <v>241</v>
      </c>
      <c r="AD3173" s="5" t="s">
        <v>241</v>
      </c>
      <c r="AG3173" s="5" t="s">
        <v>246</v>
      </c>
      <c r="AH3173" s="4" t="s">
        <v>241</v>
      </c>
      <c r="AI3173" s="4" t="s">
        <v>247</v>
      </c>
      <c r="AJ3173" s="4" t="s">
        <v>248</v>
      </c>
      <c r="AZ3173" s="4" t="s">
        <v>249</v>
      </c>
      <c r="BA3173" s="4" t="s">
        <v>241</v>
      </c>
      <c r="BB3173" s="4" t="s">
        <v>250</v>
      </c>
      <c r="BC3173" s="4" t="s">
        <v>241</v>
      </c>
      <c r="BD3173" s="4" t="s">
        <v>252</v>
      </c>
      <c r="BE3173" s="4" t="s">
        <v>241</v>
      </c>
      <c r="BI3173" s="4" t="s">
        <v>253</v>
      </c>
      <c r="BJ3173" s="5" t="s">
        <v>246</v>
      </c>
      <c r="BK3173" s="4" t="s">
        <v>254</v>
      </c>
      <c r="BL3173" s="4" t="s">
        <v>255</v>
      </c>
      <c r="BM3173" s="4" t="s">
        <v>241</v>
      </c>
      <c r="BN3173" s="6">
        <f>0</f>
        <v>0</v>
      </c>
      <c r="BO3173" s="6">
        <f>0</f>
        <v>0</v>
      </c>
      <c r="BP3173" s="4" t="s">
        <v>256</v>
      </c>
      <c r="BQ3173" s="4" t="s">
        <v>257</v>
      </c>
      <c r="CE3173" s="4" t="s">
        <v>241</v>
      </c>
      <c r="CF3173" s="4" t="s">
        <v>241</v>
      </c>
      <c r="CJ3173" s="4" t="s">
        <v>276</v>
      </c>
      <c r="CK3173" s="4" t="s">
        <v>259</v>
      </c>
      <c r="CL3173" s="4" t="s">
        <v>241</v>
      </c>
      <c r="CO3173" s="5" t="s">
        <v>260</v>
      </c>
      <c r="CP3173" s="4" t="s">
        <v>241</v>
      </c>
      <c r="CQ3173" s="4" t="s">
        <v>261</v>
      </c>
      <c r="CR3173" s="4" t="s">
        <v>241</v>
      </c>
      <c r="CS3173" s="4" t="s">
        <v>241</v>
      </c>
      <c r="CT3173" s="4">
        <v>0</v>
      </c>
      <c r="CU3173" s="4" t="s">
        <v>262</v>
      </c>
      <c r="CV3173" s="4" t="s">
        <v>263</v>
      </c>
      <c r="CW3173" s="4" t="s">
        <v>263</v>
      </c>
      <c r="CX3173" s="4" t="s">
        <v>264</v>
      </c>
      <c r="DA3173" s="6">
        <f>1</f>
        <v>1</v>
      </c>
      <c r="DC3173" s="4" t="s">
        <v>325</v>
      </c>
      <c r="DD3173" s="4" t="s">
        <v>241</v>
      </c>
      <c r="DF3173" s="4" t="s">
        <v>325</v>
      </c>
      <c r="DG3173" s="6">
        <f>2904</f>
        <v>2904</v>
      </c>
      <c r="DH3173" s="5" t="s">
        <v>3525</v>
      </c>
      <c r="DI3173" s="4" t="s">
        <v>241</v>
      </c>
      <c r="DJ3173" s="4" t="s">
        <v>241</v>
      </c>
      <c r="DK3173" s="4" t="s">
        <v>241</v>
      </c>
      <c r="DL3173" s="4" t="s">
        <v>241</v>
      </c>
      <c r="DP3173" s="4" t="s">
        <v>241</v>
      </c>
      <c r="DQ3173" s="4" t="s">
        <v>241</v>
      </c>
      <c r="DR3173" s="4" t="s">
        <v>241</v>
      </c>
      <c r="DS3173" s="4" t="s">
        <v>241</v>
      </c>
      <c r="DV3173" s="4" t="s">
        <v>426</v>
      </c>
      <c r="DW3173" s="4" t="s">
        <v>3526</v>
      </c>
      <c r="HO3173" s="4" t="s">
        <v>267</v>
      </c>
    </row>
    <row r="3174" spans="1:223" ht="19.5" customHeight="1" x14ac:dyDescent="0.4">
      <c r="A3174" s="4">
        <v>1</v>
      </c>
      <c r="B3174" s="4" t="s">
        <v>239</v>
      </c>
      <c r="C3174" s="4">
        <v>4877</v>
      </c>
      <c r="D3174" s="4">
        <v>1</v>
      </c>
      <c r="E3174" s="4">
        <v>1</v>
      </c>
      <c r="F3174" s="4" t="s">
        <v>268</v>
      </c>
      <c r="G3174" s="4" t="s">
        <v>241</v>
      </c>
      <c r="H3174" s="4" t="s">
        <v>241</v>
      </c>
      <c r="I3174" s="4" t="s">
        <v>424</v>
      </c>
      <c r="J3174" s="4" t="s">
        <v>274</v>
      </c>
      <c r="K3174" s="4" t="s">
        <v>251</v>
      </c>
      <c r="L3174" s="4" t="s">
        <v>423</v>
      </c>
      <c r="M3174" s="5" t="s">
        <v>3530</v>
      </c>
      <c r="N3174" s="6">
        <f>3492</f>
        <v>3492</v>
      </c>
      <c r="O3174" s="4" t="s">
        <v>265</v>
      </c>
      <c r="P3174" s="6">
        <f>1</f>
        <v>1</v>
      </c>
      <c r="Q3174" s="6">
        <f>0</f>
        <v>0</v>
      </c>
      <c r="S3174" s="6">
        <f>0</f>
        <v>0</v>
      </c>
      <c r="T3174" s="6">
        <f>1</f>
        <v>1</v>
      </c>
      <c r="U3174" s="5" t="s">
        <v>245</v>
      </c>
      <c r="V3174" s="4" t="s">
        <v>270</v>
      </c>
      <c r="W3174" s="4" t="s">
        <v>271</v>
      </c>
      <c r="X3174" s="4" t="s">
        <v>273</v>
      </c>
      <c r="Y3174" s="4" t="s">
        <v>241</v>
      </c>
      <c r="AB3174" s="4" t="s">
        <v>241</v>
      </c>
      <c r="AD3174" s="5" t="s">
        <v>241</v>
      </c>
      <c r="AG3174" s="5" t="s">
        <v>246</v>
      </c>
      <c r="AH3174" s="4" t="s">
        <v>241</v>
      </c>
      <c r="AI3174" s="4" t="s">
        <v>247</v>
      </c>
      <c r="AJ3174" s="4" t="s">
        <v>248</v>
      </c>
      <c r="AZ3174" s="4" t="s">
        <v>249</v>
      </c>
      <c r="BA3174" s="4" t="s">
        <v>241</v>
      </c>
      <c r="BB3174" s="4" t="s">
        <v>250</v>
      </c>
      <c r="BC3174" s="4" t="s">
        <v>241</v>
      </c>
      <c r="BD3174" s="4" t="s">
        <v>252</v>
      </c>
      <c r="BE3174" s="4" t="s">
        <v>241</v>
      </c>
      <c r="BI3174" s="4" t="s">
        <v>253</v>
      </c>
      <c r="BJ3174" s="5" t="s">
        <v>246</v>
      </c>
      <c r="BK3174" s="4" t="s">
        <v>254</v>
      </c>
      <c r="BL3174" s="4" t="s">
        <v>255</v>
      </c>
      <c r="BM3174" s="4" t="s">
        <v>241</v>
      </c>
      <c r="BN3174" s="6">
        <f>0</f>
        <v>0</v>
      </c>
      <c r="BO3174" s="6">
        <f>0</f>
        <v>0</v>
      </c>
      <c r="BP3174" s="4" t="s">
        <v>256</v>
      </c>
      <c r="BQ3174" s="4" t="s">
        <v>257</v>
      </c>
      <c r="CE3174" s="4" t="s">
        <v>241</v>
      </c>
      <c r="CF3174" s="4" t="s">
        <v>241</v>
      </c>
      <c r="CJ3174" s="4" t="s">
        <v>276</v>
      </c>
      <c r="CK3174" s="4" t="s">
        <v>259</v>
      </c>
      <c r="CL3174" s="4" t="s">
        <v>241</v>
      </c>
      <c r="CO3174" s="5" t="s">
        <v>260</v>
      </c>
      <c r="CP3174" s="4" t="s">
        <v>241</v>
      </c>
      <c r="CQ3174" s="4" t="s">
        <v>261</v>
      </c>
      <c r="CR3174" s="4" t="s">
        <v>241</v>
      </c>
      <c r="CS3174" s="4" t="s">
        <v>241</v>
      </c>
      <c r="CT3174" s="4">
        <v>0</v>
      </c>
      <c r="CU3174" s="4" t="s">
        <v>262</v>
      </c>
      <c r="CV3174" s="4" t="s">
        <v>263</v>
      </c>
      <c r="CW3174" s="4" t="s">
        <v>263</v>
      </c>
      <c r="CX3174" s="4" t="s">
        <v>264</v>
      </c>
      <c r="DA3174" s="6">
        <f>1</f>
        <v>1</v>
      </c>
      <c r="DC3174" s="4" t="s">
        <v>325</v>
      </c>
      <c r="DD3174" s="4" t="s">
        <v>241</v>
      </c>
      <c r="DF3174" s="4" t="s">
        <v>325</v>
      </c>
      <c r="DG3174" s="6">
        <f>3492</f>
        <v>3492</v>
      </c>
      <c r="DH3174" s="5" t="s">
        <v>3525</v>
      </c>
      <c r="DI3174" s="4" t="s">
        <v>241</v>
      </c>
      <c r="DJ3174" s="4" t="s">
        <v>241</v>
      </c>
      <c r="DK3174" s="4" t="s">
        <v>241</v>
      </c>
      <c r="DL3174" s="4" t="s">
        <v>241</v>
      </c>
      <c r="DP3174" s="4" t="s">
        <v>241</v>
      </c>
      <c r="DQ3174" s="4" t="s">
        <v>241</v>
      </c>
      <c r="DR3174" s="4" t="s">
        <v>241</v>
      </c>
      <c r="DS3174" s="4" t="s">
        <v>241</v>
      </c>
      <c r="DV3174" s="4" t="s">
        <v>426</v>
      </c>
      <c r="DW3174" s="4" t="s">
        <v>3531</v>
      </c>
      <c r="HO3174" s="4" t="s">
        <v>267</v>
      </c>
    </row>
    <row r="3175" spans="1:223" ht="19.5" customHeight="1" x14ac:dyDescent="0.4">
      <c r="A3175" s="4">
        <v>1</v>
      </c>
      <c r="B3175" s="4" t="s">
        <v>239</v>
      </c>
      <c r="C3175" s="4">
        <v>4878</v>
      </c>
      <c r="D3175" s="4">
        <v>1</v>
      </c>
      <c r="E3175" s="4">
        <v>1</v>
      </c>
      <c r="F3175" s="4" t="s">
        <v>268</v>
      </c>
      <c r="G3175" s="4" t="s">
        <v>241</v>
      </c>
      <c r="H3175" s="4" t="s">
        <v>241</v>
      </c>
      <c r="I3175" s="4" t="s">
        <v>424</v>
      </c>
      <c r="J3175" s="4" t="s">
        <v>274</v>
      </c>
      <c r="K3175" s="4" t="s">
        <v>251</v>
      </c>
      <c r="L3175" s="4" t="s">
        <v>423</v>
      </c>
      <c r="M3175" s="5" t="s">
        <v>3539</v>
      </c>
      <c r="N3175" s="6">
        <f>2335</f>
        <v>2335</v>
      </c>
      <c r="O3175" s="4" t="s">
        <v>265</v>
      </c>
      <c r="P3175" s="6">
        <f>1</f>
        <v>1</v>
      </c>
      <c r="Q3175" s="6">
        <f>0</f>
        <v>0</v>
      </c>
      <c r="S3175" s="6">
        <f>0</f>
        <v>0</v>
      </c>
      <c r="T3175" s="6">
        <f>1</f>
        <v>1</v>
      </c>
      <c r="U3175" s="5" t="s">
        <v>245</v>
      </c>
      <c r="V3175" s="4" t="s">
        <v>270</v>
      </c>
      <c r="W3175" s="4" t="s">
        <v>271</v>
      </c>
      <c r="X3175" s="4" t="s">
        <v>273</v>
      </c>
      <c r="Y3175" s="4" t="s">
        <v>241</v>
      </c>
      <c r="AB3175" s="4" t="s">
        <v>241</v>
      </c>
      <c r="AD3175" s="5" t="s">
        <v>241</v>
      </c>
      <c r="AG3175" s="5" t="s">
        <v>246</v>
      </c>
      <c r="AH3175" s="4" t="s">
        <v>241</v>
      </c>
      <c r="AI3175" s="4" t="s">
        <v>247</v>
      </c>
      <c r="AJ3175" s="4" t="s">
        <v>248</v>
      </c>
      <c r="AZ3175" s="4" t="s">
        <v>249</v>
      </c>
      <c r="BA3175" s="4" t="s">
        <v>241</v>
      </c>
      <c r="BB3175" s="4" t="s">
        <v>250</v>
      </c>
      <c r="BC3175" s="4" t="s">
        <v>241</v>
      </c>
      <c r="BD3175" s="4" t="s">
        <v>252</v>
      </c>
      <c r="BE3175" s="4" t="s">
        <v>241</v>
      </c>
      <c r="BI3175" s="4" t="s">
        <v>253</v>
      </c>
      <c r="BJ3175" s="5" t="s">
        <v>246</v>
      </c>
      <c r="BK3175" s="4" t="s">
        <v>254</v>
      </c>
      <c r="BL3175" s="4" t="s">
        <v>255</v>
      </c>
      <c r="BM3175" s="4" t="s">
        <v>241</v>
      </c>
      <c r="BN3175" s="6">
        <f>0</f>
        <v>0</v>
      </c>
      <c r="BO3175" s="6">
        <f>0</f>
        <v>0</v>
      </c>
      <c r="BP3175" s="4" t="s">
        <v>256</v>
      </c>
      <c r="BQ3175" s="4" t="s">
        <v>257</v>
      </c>
      <c r="CE3175" s="4" t="s">
        <v>241</v>
      </c>
      <c r="CF3175" s="4" t="s">
        <v>241</v>
      </c>
      <c r="CJ3175" s="4" t="s">
        <v>276</v>
      </c>
      <c r="CK3175" s="4" t="s">
        <v>259</v>
      </c>
      <c r="CL3175" s="4" t="s">
        <v>241</v>
      </c>
      <c r="CO3175" s="5" t="s">
        <v>260</v>
      </c>
      <c r="CP3175" s="4" t="s">
        <v>241</v>
      </c>
      <c r="CQ3175" s="4" t="s">
        <v>261</v>
      </c>
      <c r="CR3175" s="4" t="s">
        <v>241</v>
      </c>
      <c r="CS3175" s="4" t="s">
        <v>241</v>
      </c>
      <c r="CT3175" s="4">
        <v>0</v>
      </c>
      <c r="CU3175" s="4" t="s">
        <v>262</v>
      </c>
      <c r="CV3175" s="4" t="s">
        <v>263</v>
      </c>
      <c r="CW3175" s="4" t="s">
        <v>263</v>
      </c>
      <c r="CX3175" s="4" t="s">
        <v>264</v>
      </c>
      <c r="DA3175" s="6">
        <f>1</f>
        <v>1</v>
      </c>
      <c r="DC3175" s="4" t="s">
        <v>325</v>
      </c>
      <c r="DD3175" s="4" t="s">
        <v>241</v>
      </c>
      <c r="DF3175" s="4" t="s">
        <v>325</v>
      </c>
      <c r="DG3175" s="6">
        <f>2335</f>
        <v>2335</v>
      </c>
      <c r="DH3175" s="5" t="s">
        <v>3525</v>
      </c>
      <c r="DI3175" s="4" t="s">
        <v>241</v>
      </c>
      <c r="DJ3175" s="4" t="s">
        <v>241</v>
      </c>
      <c r="DK3175" s="4" t="s">
        <v>241</v>
      </c>
      <c r="DL3175" s="4" t="s">
        <v>241</v>
      </c>
      <c r="DP3175" s="4" t="s">
        <v>241</v>
      </c>
      <c r="DQ3175" s="4" t="s">
        <v>241</v>
      </c>
      <c r="DR3175" s="4" t="s">
        <v>241</v>
      </c>
      <c r="DS3175" s="4" t="s">
        <v>241</v>
      </c>
      <c r="DV3175" s="4" t="s">
        <v>426</v>
      </c>
      <c r="DW3175" s="4" t="s">
        <v>3540</v>
      </c>
      <c r="HO3175" s="4" t="s">
        <v>267</v>
      </c>
    </row>
    <row r="3176" spans="1:223" ht="19.5" customHeight="1" x14ac:dyDescent="0.4">
      <c r="A3176" s="4">
        <v>1</v>
      </c>
      <c r="B3176" s="4" t="s">
        <v>239</v>
      </c>
      <c r="C3176" s="4">
        <v>4879</v>
      </c>
      <c r="D3176" s="4">
        <v>1</v>
      </c>
      <c r="E3176" s="4">
        <v>1</v>
      </c>
      <c r="F3176" s="4" t="s">
        <v>268</v>
      </c>
      <c r="G3176" s="4" t="s">
        <v>241</v>
      </c>
      <c r="H3176" s="4" t="s">
        <v>241</v>
      </c>
      <c r="I3176" s="4" t="s">
        <v>424</v>
      </c>
      <c r="J3176" s="4" t="s">
        <v>274</v>
      </c>
      <c r="K3176" s="4" t="s">
        <v>251</v>
      </c>
      <c r="L3176" s="4" t="s">
        <v>423</v>
      </c>
      <c r="M3176" s="5" t="s">
        <v>3541</v>
      </c>
      <c r="N3176" s="6">
        <f>957</f>
        <v>957</v>
      </c>
      <c r="O3176" s="4" t="s">
        <v>265</v>
      </c>
      <c r="P3176" s="6">
        <f>1</f>
        <v>1</v>
      </c>
      <c r="Q3176" s="6">
        <f>0</f>
        <v>0</v>
      </c>
      <c r="S3176" s="6">
        <f>0</f>
        <v>0</v>
      </c>
      <c r="T3176" s="6">
        <f>1</f>
        <v>1</v>
      </c>
      <c r="U3176" s="5" t="s">
        <v>245</v>
      </c>
      <c r="V3176" s="4" t="s">
        <v>270</v>
      </c>
      <c r="W3176" s="4" t="s">
        <v>271</v>
      </c>
      <c r="X3176" s="4" t="s">
        <v>273</v>
      </c>
      <c r="Y3176" s="4" t="s">
        <v>241</v>
      </c>
      <c r="AB3176" s="4" t="s">
        <v>241</v>
      </c>
      <c r="AD3176" s="5" t="s">
        <v>241</v>
      </c>
      <c r="AG3176" s="5" t="s">
        <v>246</v>
      </c>
      <c r="AH3176" s="4" t="s">
        <v>241</v>
      </c>
      <c r="AI3176" s="4" t="s">
        <v>247</v>
      </c>
      <c r="AJ3176" s="4" t="s">
        <v>248</v>
      </c>
      <c r="AZ3176" s="4" t="s">
        <v>249</v>
      </c>
      <c r="BA3176" s="4" t="s">
        <v>241</v>
      </c>
      <c r="BB3176" s="4" t="s">
        <v>250</v>
      </c>
      <c r="BC3176" s="4" t="s">
        <v>241</v>
      </c>
      <c r="BD3176" s="4" t="s">
        <v>252</v>
      </c>
      <c r="BE3176" s="4" t="s">
        <v>241</v>
      </c>
      <c r="BI3176" s="4" t="s">
        <v>253</v>
      </c>
      <c r="BJ3176" s="5" t="s">
        <v>246</v>
      </c>
      <c r="BK3176" s="4" t="s">
        <v>254</v>
      </c>
      <c r="BL3176" s="4" t="s">
        <v>255</v>
      </c>
      <c r="BM3176" s="4" t="s">
        <v>241</v>
      </c>
      <c r="BN3176" s="6">
        <f>0</f>
        <v>0</v>
      </c>
      <c r="BO3176" s="6">
        <f>0</f>
        <v>0</v>
      </c>
      <c r="BP3176" s="4" t="s">
        <v>256</v>
      </c>
      <c r="BQ3176" s="4" t="s">
        <v>257</v>
      </c>
      <c r="CE3176" s="4" t="s">
        <v>241</v>
      </c>
      <c r="CF3176" s="4" t="s">
        <v>241</v>
      </c>
      <c r="CJ3176" s="4" t="s">
        <v>276</v>
      </c>
      <c r="CK3176" s="4" t="s">
        <v>259</v>
      </c>
      <c r="CL3176" s="4" t="s">
        <v>241</v>
      </c>
      <c r="CO3176" s="5" t="s">
        <v>260</v>
      </c>
      <c r="CP3176" s="4" t="s">
        <v>241</v>
      </c>
      <c r="CQ3176" s="4" t="s">
        <v>261</v>
      </c>
      <c r="CR3176" s="4" t="s">
        <v>241</v>
      </c>
      <c r="CS3176" s="4" t="s">
        <v>241</v>
      </c>
      <c r="CT3176" s="4">
        <v>0</v>
      </c>
      <c r="CU3176" s="4" t="s">
        <v>262</v>
      </c>
      <c r="CV3176" s="4" t="s">
        <v>263</v>
      </c>
      <c r="CW3176" s="4" t="s">
        <v>263</v>
      </c>
      <c r="CX3176" s="4" t="s">
        <v>264</v>
      </c>
      <c r="DA3176" s="6">
        <f>1</f>
        <v>1</v>
      </c>
      <c r="DC3176" s="4" t="s">
        <v>325</v>
      </c>
      <c r="DD3176" s="4" t="s">
        <v>241</v>
      </c>
      <c r="DF3176" s="4" t="s">
        <v>325</v>
      </c>
      <c r="DG3176" s="6">
        <f>957</f>
        <v>957</v>
      </c>
      <c r="DI3176" s="4" t="s">
        <v>241</v>
      </c>
      <c r="DJ3176" s="4" t="s">
        <v>241</v>
      </c>
      <c r="DK3176" s="4" t="s">
        <v>241</v>
      </c>
      <c r="DL3176" s="4" t="s">
        <v>241</v>
      </c>
      <c r="DP3176" s="4" t="s">
        <v>241</v>
      </c>
      <c r="DQ3176" s="4" t="s">
        <v>241</v>
      </c>
      <c r="DR3176" s="4" t="s">
        <v>241</v>
      </c>
      <c r="DS3176" s="4" t="s">
        <v>241</v>
      </c>
      <c r="DV3176" s="4" t="s">
        <v>426</v>
      </c>
      <c r="DW3176" s="4" t="s">
        <v>3542</v>
      </c>
      <c r="HO3176" s="4" t="s">
        <v>267</v>
      </c>
    </row>
    <row r="3177" spans="1:223" ht="19.5" customHeight="1" x14ac:dyDescent="0.4">
      <c r="A3177" s="4">
        <v>1</v>
      </c>
      <c r="B3177" s="4" t="s">
        <v>239</v>
      </c>
      <c r="C3177" s="4">
        <v>4880</v>
      </c>
      <c r="D3177" s="4">
        <v>1</v>
      </c>
      <c r="E3177" s="4">
        <v>1</v>
      </c>
      <c r="F3177" s="4" t="s">
        <v>268</v>
      </c>
      <c r="G3177" s="4" t="s">
        <v>241</v>
      </c>
      <c r="H3177" s="4" t="s">
        <v>241</v>
      </c>
      <c r="I3177" s="4" t="s">
        <v>424</v>
      </c>
      <c r="J3177" s="4" t="s">
        <v>274</v>
      </c>
      <c r="K3177" s="4" t="s">
        <v>251</v>
      </c>
      <c r="L3177" s="4" t="s">
        <v>423</v>
      </c>
      <c r="M3177" s="5" t="s">
        <v>3543</v>
      </c>
      <c r="N3177" s="6">
        <f>398</f>
        <v>398</v>
      </c>
      <c r="O3177" s="4" t="s">
        <v>265</v>
      </c>
      <c r="P3177" s="6">
        <f>1</f>
        <v>1</v>
      </c>
      <c r="Q3177" s="6">
        <f>0</f>
        <v>0</v>
      </c>
      <c r="S3177" s="6">
        <f>0</f>
        <v>0</v>
      </c>
      <c r="T3177" s="6">
        <f>1</f>
        <v>1</v>
      </c>
      <c r="U3177" s="5" t="s">
        <v>245</v>
      </c>
      <c r="V3177" s="4" t="s">
        <v>270</v>
      </c>
      <c r="W3177" s="4" t="s">
        <v>271</v>
      </c>
      <c r="X3177" s="4" t="s">
        <v>273</v>
      </c>
      <c r="Y3177" s="4" t="s">
        <v>241</v>
      </c>
      <c r="AB3177" s="4" t="s">
        <v>241</v>
      </c>
      <c r="AD3177" s="5" t="s">
        <v>241</v>
      </c>
      <c r="AG3177" s="5" t="s">
        <v>246</v>
      </c>
      <c r="AH3177" s="4" t="s">
        <v>241</v>
      </c>
      <c r="AI3177" s="4" t="s">
        <v>247</v>
      </c>
      <c r="AJ3177" s="4" t="s">
        <v>248</v>
      </c>
      <c r="AZ3177" s="4" t="s">
        <v>249</v>
      </c>
      <c r="BA3177" s="4" t="s">
        <v>241</v>
      </c>
      <c r="BB3177" s="4" t="s">
        <v>250</v>
      </c>
      <c r="BC3177" s="4" t="s">
        <v>241</v>
      </c>
      <c r="BD3177" s="4" t="s">
        <v>252</v>
      </c>
      <c r="BE3177" s="4" t="s">
        <v>241</v>
      </c>
      <c r="BI3177" s="4" t="s">
        <v>253</v>
      </c>
      <c r="BJ3177" s="5" t="s">
        <v>246</v>
      </c>
      <c r="BK3177" s="4" t="s">
        <v>254</v>
      </c>
      <c r="BL3177" s="4" t="s">
        <v>255</v>
      </c>
      <c r="BM3177" s="4" t="s">
        <v>241</v>
      </c>
      <c r="BN3177" s="6">
        <f>0</f>
        <v>0</v>
      </c>
      <c r="BO3177" s="6">
        <f>0</f>
        <v>0</v>
      </c>
      <c r="BP3177" s="4" t="s">
        <v>256</v>
      </c>
      <c r="BQ3177" s="4" t="s">
        <v>257</v>
      </c>
      <c r="CE3177" s="4" t="s">
        <v>241</v>
      </c>
      <c r="CF3177" s="4" t="s">
        <v>241</v>
      </c>
      <c r="CJ3177" s="4" t="s">
        <v>276</v>
      </c>
      <c r="CK3177" s="4" t="s">
        <v>259</v>
      </c>
      <c r="CL3177" s="4" t="s">
        <v>241</v>
      </c>
      <c r="CO3177" s="5" t="s">
        <v>260</v>
      </c>
      <c r="CP3177" s="4" t="s">
        <v>241</v>
      </c>
      <c r="CQ3177" s="4" t="s">
        <v>261</v>
      </c>
      <c r="CR3177" s="4" t="s">
        <v>241</v>
      </c>
      <c r="CS3177" s="4" t="s">
        <v>241</v>
      </c>
      <c r="CT3177" s="4">
        <v>0</v>
      </c>
      <c r="CU3177" s="4" t="s">
        <v>262</v>
      </c>
      <c r="CV3177" s="4" t="s">
        <v>263</v>
      </c>
      <c r="CW3177" s="4" t="s">
        <v>263</v>
      </c>
      <c r="CX3177" s="4" t="s">
        <v>264</v>
      </c>
      <c r="DA3177" s="6">
        <f>1</f>
        <v>1</v>
      </c>
      <c r="DC3177" s="4" t="s">
        <v>325</v>
      </c>
      <c r="DD3177" s="4" t="s">
        <v>241</v>
      </c>
      <c r="DF3177" s="4" t="s">
        <v>325</v>
      </c>
      <c r="DG3177" s="6">
        <f>398</f>
        <v>398</v>
      </c>
      <c r="DI3177" s="4" t="s">
        <v>241</v>
      </c>
      <c r="DJ3177" s="4" t="s">
        <v>241</v>
      </c>
      <c r="DK3177" s="4" t="s">
        <v>241</v>
      </c>
      <c r="DL3177" s="4" t="s">
        <v>241</v>
      </c>
      <c r="DP3177" s="4" t="s">
        <v>241</v>
      </c>
      <c r="DQ3177" s="4" t="s">
        <v>241</v>
      </c>
      <c r="DR3177" s="4" t="s">
        <v>241</v>
      </c>
      <c r="DS3177" s="4" t="s">
        <v>241</v>
      </c>
      <c r="DV3177" s="4" t="s">
        <v>426</v>
      </c>
      <c r="DW3177" s="4" t="s">
        <v>3544</v>
      </c>
      <c r="HO3177" s="4" t="s">
        <v>267</v>
      </c>
    </row>
    <row r="3178" spans="1:223" ht="19.5" customHeight="1" x14ac:dyDescent="0.4">
      <c r="A3178" s="4">
        <v>1</v>
      </c>
      <c r="B3178" s="4" t="s">
        <v>239</v>
      </c>
      <c r="C3178" s="4">
        <v>4881</v>
      </c>
      <c r="D3178" s="4">
        <v>1</v>
      </c>
      <c r="E3178" s="4">
        <v>1</v>
      </c>
      <c r="F3178" s="4" t="s">
        <v>268</v>
      </c>
      <c r="G3178" s="4" t="s">
        <v>241</v>
      </c>
      <c r="H3178" s="4" t="s">
        <v>241</v>
      </c>
      <c r="I3178" s="4" t="s">
        <v>424</v>
      </c>
      <c r="J3178" s="4" t="s">
        <v>274</v>
      </c>
      <c r="K3178" s="4" t="s">
        <v>251</v>
      </c>
      <c r="L3178" s="4" t="s">
        <v>423</v>
      </c>
      <c r="M3178" s="5" t="s">
        <v>3583</v>
      </c>
      <c r="N3178" s="6">
        <f>756</f>
        <v>756</v>
      </c>
      <c r="O3178" s="4" t="s">
        <v>265</v>
      </c>
      <c r="P3178" s="6">
        <f>1</f>
        <v>1</v>
      </c>
      <c r="Q3178" s="6">
        <f>0</f>
        <v>0</v>
      </c>
      <c r="S3178" s="6">
        <f>0</f>
        <v>0</v>
      </c>
      <c r="T3178" s="6">
        <f>1</f>
        <v>1</v>
      </c>
      <c r="U3178" s="5" t="s">
        <v>245</v>
      </c>
      <c r="V3178" s="4" t="s">
        <v>270</v>
      </c>
      <c r="W3178" s="4" t="s">
        <v>271</v>
      </c>
      <c r="X3178" s="4" t="s">
        <v>273</v>
      </c>
      <c r="Y3178" s="4" t="s">
        <v>241</v>
      </c>
      <c r="AB3178" s="4" t="s">
        <v>241</v>
      </c>
      <c r="AD3178" s="5" t="s">
        <v>241</v>
      </c>
      <c r="AG3178" s="5" t="s">
        <v>246</v>
      </c>
      <c r="AH3178" s="4" t="s">
        <v>241</v>
      </c>
      <c r="AI3178" s="4" t="s">
        <v>247</v>
      </c>
      <c r="AJ3178" s="4" t="s">
        <v>248</v>
      </c>
      <c r="AZ3178" s="4" t="s">
        <v>249</v>
      </c>
      <c r="BA3178" s="4" t="s">
        <v>241</v>
      </c>
      <c r="BB3178" s="4" t="s">
        <v>250</v>
      </c>
      <c r="BC3178" s="4" t="s">
        <v>241</v>
      </c>
      <c r="BD3178" s="4" t="s">
        <v>252</v>
      </c>
      <c r="BE3178" s="4" t="s">
        <v>241</v>
      </c>
      <c r="BI3178" s="4" t="s">
        <v>253</v>
      </c>
      <c r="BJ3178" s="5" t="s">
        <v>246</v>
      </c>
      <c r="BK3178" s="4" t="s">
        <v>254</v>
      </c>
      <c r="BL3178" s="4" t="s">
        <v>255</v>
      </c>
      <c r="BM3178" s="4" t="s">
        <v>241</v>
      </c>
      <c r="BN3178" s="6">
        <f>0</f>
        <v>0</v>
      </c>
      <c r="BO3178" s="6">
        <f>0</f>
        <v>0</v>
      </c>
      <c r="BP3178" s="4" t="s">
        <v>256</v>
      </c>
      <c r="BQ3178" s="4" t="s">
        <v>257</v>
      </c>
      <c r="CE3178" s="4" t="s">
        <v>241</v>
      </c>
      <c r="CF3178" s="4" t="s">
        <v>241</v>
      </c>
      <c r="CJ3178" s="4" t="s">
        <v>276</v>
      </c>
      <c r="CK3178" s="4" t="s">
        <v>259</v>
      </c>
      <c r="CL3178" s="4" t="s">
        <v>241</v>
      </c>
      <c r="CO3178" s="5" t="s">
        <v>260</v>
      </c>
      <c r="CP3178" s="4" t="s">
        <v>241</v>
      </c>
      <c r="CQ3178" s="4" t="s">
        <v>261</v>
      </c>
      <c r="CR3178" s="4" t="s">
        <v>241</v>
      </c>
      <c r="CS3178" s="4" t="s">
        <v>241</v>
      </c>
      <c r="CT3178" s="4">
        <v>0</v>
      </c>
      <c r="CU3178" s="4" t="s">
        <v>262</v>
      </c>
      <c r="CV3178" s="4" t="s">
        <v>263</v>
      </c>
      <c r="CW3178" s="4" t="s">
        <v>263</v>
      </c>
      <c r="CX3178" s="4" t="s">
        <v>264</v>
      </c>
      <c r="DA3178" s="6">
        <f>1</f>
        <v>1</v>
      </c>
      <c r="DC3178" s="4" t="s">
        <v>325</v>
      </c>
      <c r="DD3178" s="4" t="s">
        <v>241</v>
      </c>
      <c r="DF3178" s="4" t="s">
        <v>325</v>
      </c>
      <c r="DG3178" s="6">
        <f>756</f>
        <v>756</v>
      </c>
      <c r="DI3178" s="4" t="s">
        <v>241</v>
      </c>
      <c r="DJ3178" s="4" t="s">
        <v>241</v>
      </c>
      <c r="DK3178" s="4" t="s">
        <v>241</v>
      </c>
      <c r="DL3178" s="4" t="s">
        <v>241</v>
      </c>
      <c r="DP3178" s="4" t="s">
        <v>241</v>
      </c>
      <c r="DQ3178" s="4" t="s">
        <v>241</v>
      </c>
      <c r="DR3178" s="4" t="s">
        <v>241</v>
      </c>
      <c r="DS3178" s="4" t="s">
        <v>241</v>
      </c>
      <c r="DV3178" s="4" t="s">
        <v>426</v>
      </c>
      <c r="DW3178" s="4" t="s">
        <v>3584</v>
      </c>
      <c r="HO3178" s="4" t="s">
        <v>267</v>
      </c>
    </row>
    <row r="3179" spans="1:223" ht="19.5" customHeight="1" x14ac:dyDescent="0.4">
      <c r="A3179" s="4">
        <v>1</v>
      </c>
      <c r="B3179" s="4" t="s">
        <v>239</v>
      </c>
      <c r="C3179" s="4">
        <v>4882</v>
      </c>
      <c r="D3179" s="4">
        <v>1</v>
      </c>
      <c r="E3179" s="4">
        <v>1</v>
      </c>
      <c r="F3179" s="4" t="s">
        <v>268</v>
      </c>
      <c r="G3179" s="4" t="s">
        <v>241</v>
      </c>
      <c r="H3179" s="4" t="s">
        <v>241</v>
      </c>
      <c r="I3179" s="4" t="s">
        <v>424</v>
      </c>
      <c r="J3179" s="4" t="s">
        <v>274</v>
      </c>
      <c r="K3179" s="4" t="s">
        <v>251</v>
      </c>
      <c r="L3179" s="4" t="s">
        <v>423</v>
      </c>
      <c r="M3179" s="5" t="s">
        <v>3585</v>
      </c>
      <c r="N3179" s="6">
        <f>1760</f>
        <v>1760</v>
      </c>
      <c r="O3179" s="4" t="s">
        <v>265</v>
      </c>
      <c r="P3179" s="6">
        <f>1</f>
        <v>1</v>
      </c>
      <c r="Q3179" s="6">
        <f>0</f>
        <v>0</v>
      </c>
      <c r="S3179" s="6">
        <f>0</f>
        <v>0</v>
      </c>
      <c r="T3179" s="6">
        <f>1</f>
        <v>1</v>
      </c>
      <c r="U3179" s="5" t="s">
        <v>245</v>
      </c>
      <c r="V3179" s="4" t="s">
        <v>270</v>
      </c>
      <c r="W3179" s="4" t="s">
        <v>271</v>
      </c>
      <c r="X3179" s="4" t="s">
        <v>273</v>
      </c>
      <c r="Y3179" s="4" t="s">
        <v>241</v>
      </c>
      <c r="AB3179" s="4" t="s">
        <v>241</v>
      </c>
      <c r="AD3179" s="5" t="s">
        <v>241</v>
      </c>
      <c r="AG3179" s="5" t="s">
        <v>246</v>
      </c>
      <c r="AH3179" s="4" t="s">
        <v>241</v>
      </c>
      <c r="AI3179" s="4" t="s">
        <v>247</v>
      </c>
      <c r="AJ3179" s="4" t="s">
        <v>248</v>
      </c>
      <c r="AZ3179" s="4" t="s">
        <v>249</v>
      </c>
      <c r="BA3179" s="4" t="s">
        <v>241</v>
      </c>
      <c r="BB3179" s="4" t="s">
        <v>250</v>
      </c>
      <c r="BC3179" s="4" t="s">
        <v>241</v>
      </c>
      <c r="BD3179" s="4" t="s">
        <v>252</v>
      </c>
      <c r="BE3179" s="4" t="s">
        <v>241</v>
      </c>
      <c r="BI3179" s="4" t="s">
        <v>253</v>
      </c>
      <c r="BJ3179" s="5" t="s">
        <v>246</v>
      </c>
      <c r="BK3179" s="4" t="s">
        <v>254</v>
      </c>
      <c r="BL3179" s="4" t="s">
        <v>255</v>
      </c>
      <c r="BM3179" s="4" t="s">
        <v>241</v>
      </c>
      <c r="BN3179" s="6">
        <f>0</f>
        <v>0</v>
      </c>
      <c r="BO3179" s="6">
        <f>0</f>
        <v>0</v>
      </c>
      <c r="BP3179" s="4" t="s">
        <v>256</v>
      </c>
      <c r="BQ3179" s="4" t="s">
        <v>257</v>
      </c>
      <c r="CE3179" s="4" t="s">
        <v>241</v>
      </c>
      <c r="CF3179" s="4" t="s">
        <v>241</v>
      </c>
      <c r="CJ3179" s="4" t="s">
        <v>276</v>
      </c>
      <c r="CK3179" s="4" t="s">
        <v>259</v>
      </c>
      <c r="CL3179" s="4" t="s">
        <v>241</v>
      </c>
      <c r="CO3179" s="5" t="s">
        <v>260</v>
      </c>
      <c r="CP3179" s="4" t="s">
        <v>241</v>
      </c>
      <c r="CQ3179" s="4" t="s">
        <v>261</v>
      </c>
      <c r="CR3179" s="4" t="s">
        <v>241</v>
      </c>
      <c r="CS3179" s="4" t="s">
        <v>241</v>
      </c>
      <c r="CT3179" s="4">
        <v>0</v>
      </c>
      <c r="CU3179" s="4" t="s">
        <v>262</v>
      </c>
      <c r="CV3179" s="4" t="s">
        <v>263</v>
      </c>
      <c r="CW3179" s="4" t="s">
        <v>263</v>
      </c>
      <c r="CX3179" s="4" t="s">
        <v>264</v>
      </c>
      <c r="DA3179" s="6">
        <f>1</f>
        <v>1</v>
      </c>
      <c r="DC3179" s="4" t="s">
        <v>325</v>
      </c>
      <c r="DD3179" s="4" t="s">
        <v>241</v>
      </c>
      <c r="DF3179" s="4" t="s">
        <v>325</v>
      </c>
      <c r="DG3179" s="6">
        <f>1760</f>
        <v>1760</v>
      </c>
      <c r="DI3179" s="4" t="s">
        <v>241</v>
      </c>
      <c r="DJ3179" s="4" t="s">
        <v>241</v>
      </c>
      <c r="DK3179" s="4" t="s">
        <v>241</v>
      </c>
      <c r="DL3179" s="4" t="s">
        <v>241</v>
      </c>
      <c r="DP3179" s="4" t="s">
        <v>241</v>
      </c>
      <c r="DQ3179" s="4" t="s">
        <v>241</v>
      </c>
      <c r="DR3179" s="4" t="s">
        <v>241</v>
      </c>
      <c r="DS3179" s="4" t="s">
        <v>241</v>
      </c>
      <c r="DV3179" s="4" t="s">
        <v>426</v>
      </c>
      <c r="DW3179" s="4" t="s">
        <v>3586</v>
      </c>
      <c r="HO3179" s="4" t="s">
        <v>267</v>
      </c>
    </row>
    <row r="3180" spans="1:223" ht="19.5" customHeight="1" x14ac:dyDescent="0.4">
      <c r="A3180" s="4">
        <v>1</v>
      </c>
      <c r="B3180" s="4" t="s">
        <v>239</v>
      </c>
      <c r="C3180" s="4">
        <v>4883</v>
      </c>
      <c r="D3180" s="4">
        <v>1</v>
      </c>
      <c r="E3180" s="4">
        <v>1</v>
      </c>
      <c r="F3180" s="4" t="s">
        <v>268</v>
      </c>
      <c r="G3180" s="4" t="s">
        <v>241</v>
      </c>
      <c r="H3180" s="4" t="s">
        <v>241</v>
      </c>
      <c r="I3180" s="4" t="s">
        <v>424</v>
      </c>
      <c r="J3180" s="4" t="s">
        <v>274</v>
      </c>
      <c r="K3180" s="4" t="s">
        <v>251</v>
      </c>
      <c r="L3180" s="4" t="s">
        <v>423</v>
      </c>
      <c r="M3180" s="5" t="s">
        <v>3587</v>
      </c>
      <c r="N3180" s="6">
        <f>1091</f>
        <v>1091</v>
      </c>
      <c r="O3180" s="4" t="s">
        <v>265</v>
      </c>
      <c r="P3180" s="6">
        <f>1</f>
        <v>1</v>
      </c>
      <c r="Q3180" s="6">
        <f>0</f>
        <v>0</v>
      </c>
      <c r="S3180" s="6">
        <f>0</f>
        <v>0</v>
      </c>
      <c r="T3180" s="6">
        <f>1</f>
        <v>1</v>
      </c>
      <c r="U3180" s="5" t="s">
        <v>245</v>
      </c>
      <c r="V3180" s="4" t="s">
        <v>270</v>
      </c>
      <c r="W3180" s="4" t="s">
        <v>271</v>
      </c>
      <c r="X3180" s="4" t="s">
        <v>273</v>
      </c>
      <c r="Y3180" s="4" t="s">
        <v>241</v>
      </c>
      <c r="AB3180" s="4" t="s">
        <v>241</v>
      </c>
      <c r="AD3180" s="5" t="s">
        <v>241</v>
      </c>
      <c r="AG3180" s="5" t="s">
        <v>246</v>
      </c>
      <c r="AH3180" s="4" t="s">
        <v>241</v>
      </c>
      <c r="AI3180" s="4" t="s">
        <v>247</v>
      </c>
      <c r="AJ3180" s="4" t="s">
        <v>248</v>
      </c>
      <c r="AZ3180" s="4" t="s">
        <v>249</v>
      </c>
      <c r="BA3180" s="4" t="s">
        <v>241</v>
      </c>
      <c r="BB3180" s="4" t="s">
        <v>250</v>
      </c>
      <c r="BC3180" s="4" t="s">
        <v>241</v>
      </c>
      <c r="BD3180" s="4" t="s">
        <v>252</v>
      </c>
      <c r="BE3180" s="4" t="s">
        <v>241</v>
      </c>
      <c r="BI3180" s="4" t="s">
        <v>253</v>
      </c>
      <c r="BJ3180" s="5" t="s">
        <v>246</v>
      </c>
      <c r="BK3180" s="4" t="s">
        <v>254</v>
      </c>
      <c r="BL3180" s="4" t="s">
        <v>255</v>
      </c>
      <c r="BM3180" s="4" t="s">
        <v>241</v>
      </c>
      <c r="BN3180" s="6">
        <f>0</f>
        <v>0</v>
      </c>
      <c r="BO3180" s="6">
        <f>0</f>
        <v>0</v>
      </c>
      <c r="BP3180" s="4" t="s">
        <v>256</v>
      </c>
      <c r="BQ3180" s="4" t="s">
        <v>257</v>
      </c>
      <c r="CE3180" s="4" t="s">
        <v>241</v>
      </c>
      <c r="CF3180" s="4" t="s">
        <v>241</v>
      </c>
      <c r="CJ3180" s="4" t="s">
        <v>276</v>
      </c>
      <c r="CK3180" s="4" t="s">
        <v>259</v>
      </c>
      <c r="CL3180" s="4" t="s">
        <v>241</v>
      </c>
      <c r="CO3180" s="5" t="s">
        <v>260</v>
      </c>
      <c r="CP3180" s="4" t="s">
        <v>241</v>
      </c>
      <c r="CQ3180" s="4" t="s">
        <v>261</v>
      </c>
      <c r="CR3180" s="4" t="s">
        <v>241</v>
      </c>
      <c r="CS3180" s="4" t="s">
        <v>241</v>
      </c>
      <c r="CT3180" s="4">
        <v>0</v>
      </c>
      <c r="CU3180" s="4" t="s">
        <v>262</v>
      </c>
      <c r="CV3180" s="4" t="s">
        <v>263</v>
      </c>
      <c r="CW3180" s="4" t="s">
        <v>263</v>
      </c>
      <c r="CX3180" s="4" t="s">
        <v>264</v>
      </c>
      <c r="DA3180" s="6">
        <f>1</f>
        <v>1</v>
      </c>
      <c r="DC3180" s="4" t="s">
        <v>325</v>
      </c>
      <c r="DD3180" s="4" t="s">
        <v>241</v>
      </c>
      <c r="DF3180" s="4" t="s">
        <v>325</v>
      </c>
      <c r="DG3180" s="6">
        <f>1091</f>
        <v>1091</v>
      </c>
      <c r="DI3180" s="4" t="s">
        <v>241</v>
      </c>
      <c r="DJ3180" s="4" t="s">
        <v>241</v>
      </c>
      <c r="DK3180" s="4" t="s">
        <v>241</v>
      </c>
      <c r="DL3180" s="4" t="s">
        <v>241</v>
      </c>
      <c r="DP3180" s="4" t="s">
        <v>241</v>
      </c>
      <c r="DQ3180" s="4" t="s">
        <v>241</v>
      </c>
      <c r="DR3180" s="4" t="s">
        <v>241</v>
      </c>
      <c r="DS3180" s="4" t="s">
        <v>241</v>
      </c>
      <c r="DV3180" s="4" t="s">
        <v>426</v>
      </c>
      <c r="DW3180" s="4" t="s">
        <v>3588</v>
      </c>
      <c r="HO3180" s="4" t="s">
        <v>267</v>
      </c>
    </row>
    <row r="3181" spans="1:223" ht="19.5" customHeight="1" x14ac:dyDescent="0.4">
      <c r="A3181" s="4">
        <v>1</v>
      </c>
      <c r="B3181" s="4" t="s">
        <v>239</v>
      </c>
      <c r="C3181" s="4">
        <v>4884</v>
      </c>
      <c r="D3181" s="4">
        <v>1</v>
      </c>
      <c r="E3181" s="4">
        <v>1</v>
      </c>
      <c r="F3181" s="4" t="s">
        <v>268</v>
      </c>
      <c r="G3181" s="4" t="s">
        <v>241</v>
      </c>
      <c r="H3181" s="4" t="s">
        <v>241</v>
      </c>
      <c r="I3181" s="4" t="s">
        <v>424</v>
      </c>
      <c r="J3181" s="4" t="s">
        <v>274</v>
      </c>
      <c r="K3181" s="4" t="s">
        <v>251</v>
      </c>
      <c r="L3181" s="4" t="s">
        <v>423</v>
      </c>
      <c r="M3181" s="5" t="s">
        <v>3570</v>
      </c>
      <c r="N3181" s="6">
        <f>415</f>
        <v>415</v>
      </c>
      <c r="O3181" s="4" t="s">
        <v>265</v>
      </c>
      <c r="P3181" s="6">
        <f>1</f>
        <v>1</v>
      </c>
      <c r="Q3181" s="6">
        <f>0</f>
        <v>0</v>
      </c>
      <c r="S3181" s="6">
        <f>0</f>
        <v>0</v>
      </c>
      <c r="T3181" s="6">
        <f>1</f>
        <v>1</v>
      </c>
      <c r="U3181" s="5" t="s">
        <v>245</v>
      </c>
      <c r="V3181" s="4" t="s">
        <v>270</v>
      </c>
      <c r="W3181" s="4" t="s">
        <v>271</v>
      </c>
      <c r="X3181" s="4" t="s">
        <v>273</v>
      </c>
      <c r="Y3181" s="4" t="s">
        <v>241</v>
      </c>
      <c r="AB3181" s="4" t="s">
        <v>241</v>
      </c>
      <c r="AD3181" s="5" t="s">
        <v>241</v>
      </c>
      <c r="AG3181" s="5" t="s">
        <v>246</v>
      </c>
      <c r="AH3181" s="4" t="s">
        <v>241</v>
      </c>
      <c r="AI3181" s="4" t="s">
        <v>247</v>
      </c>
      <c r="AJ3181" s="4" t="s">
        <v>248</v>
      </c>
      <c r="AZ3181" s="4" t="s">
        <v>249</v>
      </c>
      <c r="BA3181" s="4" t="s">
        <v>241</v>
      </c>
      <c r="BB3181" s="4" t="s">
        <v>250</v>
      </c>
      <c r="BC3181" s="4" t="s">
        <v>241</v>
      </c>
      <c r="BD3181" s="4" t="s">
        <v>252</v>
      </c>
      <c r="BE3181" s="4" t="s">
        <v>241</v>
      </c>
      <c r="BI3181" s="4" t="s">
        <v>253</v>
      </c>
      <c r="BJ3181" s="5" t="s">
        <v>246</v>
      </c>
      <c r="BK3181" s="4" t="s">
        <v>254</v>
      </c>
      <c r="BL3181" s="4" t="s">
        <v>255</v>
      </c>
      <c r="BM3181" s="4" t="s">
        <v>241</v>
      </c>
      <c r="BN3181" s="6">
        <f>0</f>
        <v>0</v>
      </c>
      <c r="BO3181" s="6">
        <f>0</f>
        <v>0</v>
      </c>
      <c r="BP3181" s="4" t="s">
        <v>256</v>
      </c>
      <c r="BQ3181" s="4" t="s">
        <v>257</v>
      </c>
      <c r="CE3181" s="4" t="s">
        <v>241</v>
      </c>
      <c r="CF3181" s="4" t="s">
        <v>241</v>
      </c>
      <c r="CJ3181" s="4" t="s">
        <v>276</v>
      </c>
      <c r="CK3181" s="4" t="s">
        <v>259</v>
      </c>
      <c r="CL3181" s="4" t="s">
        <v>241</v>
      </c>
      <c r="CO3181" s="5" t="s">
        <v>260</v>
      </c>
      <c r="CP3181" s="4" t="s">
        <v>241</v>
      </c>
      <c r="CQ3181" s="4" t="s">
        <v>261</v>
      </c>
      <c r="CR3181" s="4" t="s">
        <v>241</v>
      </c>
      <c r="CS3181" s="4" t="s">
        <v>241</v>
      </c>
      <c r="CT3181" s="4">
        <v>0</v>
      </c>
      <c r="CU3181" s="4" t="s">
        <v>262</v>
      </c>
      <c r="CV3181" s="4" t="s">
        <v>263</v>
      </c>
      <c r="CW3181" s="4" t="s">
        <v>263</v>
      </c>
      <c r="CX3181" s="4" t="s">
        <v>264</v>
      </c>
      <c r="DA3181" s="6">
        <f>1</f>
        <v>1</v>
      </c>
      <c r="DC3181" s="4" t="s">
        <v>325</v>
      </c>
      <c r="DD3181" s="4" t="s">
        <v>241</v>
      </c>
      <c r="DF3181" s="4" t="s">
        <v>325</v>
      </c>
      <c r="DG3181" s="6">
        <f>415</f>
        <v>415</v>
      </c>
      <c r="DH3181" s="5" t="s">
        <v>3571</v>
      </c>
      <c r="DI3181" s="4" t="s">
        <v>241</v>
      </c>
      <c r="DJ3181" s="4" t="s">
        <v>241</v>
      </c>
      <c r="DK3181" s="4" t="s">
        <v>241</v>
      </c>
      <c r="DL3181" s="4" t="s">
        <v>241</v>
      </c>
      <c r="DP3181" s="4" t="s">
        <v>241</v>
      </c>
      <c r="DQ3181" s="4" t="s">
        <v>241</v>
      </c>
      <c r="DR3181" s="4" t="s">
        <v>241</v>
      </c>
      <c r="DS3181" s="4" t="s">
        <v>241</v>
      </c>
      <c r="DV3181" s="4" t="s">
        <v>426</v>
      </c>
      <c r="DW3181" s="4" t="s">
        <v>3572</v>
      </c>
      <c r="HO3181" s="4" t="s">
        <v>267</v>
      </c>
    </row>
    <row r="3182" spans="1:223" ht="19.5" customHeight="1" x14ac:dyDescent="0.4">
      <c r="A3182" s="4">
        <v>1</v>
      </c>
      <c r="B3182" s="4" t="s">
        <v>239</v>
      </c>
      <c r="C3182" s="4">
        <v>4885</v>
      </c>
      <c r="D3182" s="4">
        <v>1</v>
      </c>
      <c r="E3182" s="4">
        <v>1</v>
      </c>
      <c r="F3182" s="4" t="s">
        <v>268</v>
      </c>
      <c r="G3182" s="4" t="s">
        <v>241</v>
      </c>
      <c r="H3182" s="4" t="s">
        <v>241</v>
      </c>
      <c r="I3182" s="4" t="s">
        <v>424</v>
      </c>
      <c r="J3182" s="4" t="s">
        <v>274</v>
      </c>
      <c r="K3182" s="4" t="s">
        <v>251</v>
      </c>
      <c r="L3182" s="4" t="s">
        <v>423</v>
      </c>
      <c r="M3182" s="5" t="s">
        <v>4738</v>
      </c>
      <c r="N3182" s="6">
        <f>411</f>
        <v>411</v>
      </c>
      <c r="O3182" s="4" t="s">
        <v>265</v>
      </c>
      <c r="P3182" s="6">
        <f>1</f>
        <v>1</v>
      </c>
      <c r="Q3182" s="6">
        <f>0</f>
        <v>0</v>
      </c>
      <c r="S3182" s="6">
        <f>0</f>
        <v>0</v>
      </c>
      <c r="T3182" s="6">
        <f>1</f>
        <v>1</v>
      </c>
      <c r="U3182" s="5" t="s">
        <v>245</v>
      </c>
      <c r="V3182" s="4" t="s">
        <v>270</v>
      </c>
      <c r="W3182" s="4" t="s">
        <v>271</v>
      </c>
      <c r="X3182" s="4" t="s">
        <v>273</v>
      </c>
      <c r="Y3182" s="4" t="s">
        <v>241</v>
      </c>
      <c r="AB3182" s="4" t="s">
        <v>241</v>
      </c>
      <c r="AD3182" s="5" t="s">
        <v>241</v>
      </c>
      <c r="AG3182" s="5" t="s">
        <v>246</v>
      </c>
      <c r="AH3182" s="4" t="s">
        <v>241</v>
      </c>
      <c r="AI3182" s="4" t="s">
        <v>247</v>
      </c>
      <c r="AJ3182" s="4" t="s">
        <v>248</v>
      </c>
      <c r="AZ3182" s="4" t="s">
        <v>249</v>
      </c>
      <c r="BA3182" s="4" t="s">
        <v>241</v>
      </c>
      <c r="BB3182" s="4" t="s">
        <v>250</v>
      </c>
      <c r="BC3182" s="4" t="s">
        <v>241</v>
      </c>
      <c r="BD3182" s="4" t="s">
        <v>252</v>
      </c>
      <c r="BE3182" s="4" t="s">
        <v>241</v>
      </c>
      <c r="BI3182" s="4" t="s">
        <v>253</v>
      </c>
      <c r="BJ3182" s="5" t="s">
        <v>246</v>
      </c>
      <c r="BK3182" s="4" t="s">
        <v>254</v>
      </c>
      <c r="BL3182" s="4" t="s">
        <v>255</v>
      </c>
      <c r="BM3182" s="4" t="s">
        <v>241</v>
      </c>
      <c r="BN3182" s="6">
        <f>0</f>
        <v>0</v>
      </c>
      <c r="BO3182" s="6">
        <f>0</f>
        <v>0</v>
      </c>
      <c r="BP3182" s="4" t="s">
        <v>256</v>
      </c>
      <c r="BQ3182" s="4" t="s">
        <v>257</v>
      </c>
      <c r="CE3182" s="4" t="s">
        <v>241</v>
      </c>
      <c r="CF3182" s="4" t="s">
        <v>241</v>
      </c>
      <c r="CJ3182" s="4" t="s">
        <v>276</v>
      </c>
      <c r="CK3182" s="4" t="s">
        <v>259</v>
      </c>
      <c r="CL3182" s="4" t="s">
        <v>241</v>
      </c>
      <c r="CO3182" s="5" t="s">
        <v>260</v>
      </c>
      <c r="CP3182" s="4" t="s">
        <v>241</v>
      </c>
      <c r="CQ3182" s="4" t="s">
        <v>261</v>
      </c>
      <c r="CR3182" s="4" t="s">
        <v>241</v>
      </c>
      <c r="CS3182" s="4" t="s">
        <v>241</v>
      </c>
      <c r="CT3182" s="4">
        <v>0</v>
      </c>
      <c r="CU3182" s="4" t="s">
        <v>262</v>
      </c>
      <c r="CV3182" s="4" t="s">
        <v>263</v>
      </c>
      <c r="CW3182" s="4" t="s">
        <v>263</v>
      </c>
      <c r="CX3182" s="4" t="s">
        <v>264</v>
      </c>
      <c r="DA3182" s="6">
        <f>1</f>
        <v>1</v>
      </c>
      <c r="DC3182" s="4" t="s">
        <v>325</v>
      </c>
      <c r="DD3182" s="4" t="s">
        <v>241</v>
      </c>
      <c r="DF3182" s="4" t="s">
        <v>325</v>
      </c>
      <c r="DG3182" s="6">
        <f>411</f>
        <v>411</v>
      </c>
      <c r="DI3182" s="4" t="s">
        <v>241</v>
      </c>
      <c r="DJ3182" s="4" t="s">
        <v>241</v>
      </c>
      <c r="DK3182" s="4" t="s">
        <v>241</v>
      </c>
      <c r="DL3182" s="4" t="s">
        <v>241</v>
      </c>
      <c r="DP3182" s="4" t="s">
        <v>241</v>
      </c>
      <c r="DQ3182" s="4" t="s">
        <v>241</v>
      </c>
      <c r="DR3182" s="4" t="s">
        <v>241</v>
      </c>
      <c r="DS3182" s="4" t="s">
        <v>241</v>
      </c>
      <c r="DV3182" s="4" t="s">
        <v>426</v>
      </c>
      <c r="DW3182" s="4" t="s">
        <v>4739</v>
      </c>
      <c r="HO3182" s="4" t="s">
        <v>267</v>
      </c>
    </row>
    <row r="3183" spans="1:223" ht="19.5" customHeight="1" x14ac:dyDescent="0.4">
      <c r="A3183" s="4">
        <v>1</v>
      </c>
      <c r="B3183" s="4" t="s">
        <v>239</v>
      </c>
      <c r="C3183" s="4">
        <v>4886</v>
      </c>
      <c r="D3183" s="4">
        <v>1</v>
      </c>
      <c r="E3183" s="4">
        <v>1</v>
      </c>
      <c r="F3183" s="4" t="s">
        <v>268</v>
      </c>
      <c r="G3183" s="4" t="s">
        <v>241</v>
      </c>
      <c r="H3183" s="4" t="s">
        <v>241</v>
      </c>
      <c r="I3183" s="4" t="s">
        <v>424</v>
      </c>
      <c r="J3183" s="4" t="s">
        <v>274</v>
      </c>
      <c r="K3183" s="4" t="s">
        <v>251</v>
      </c>
      <c r="L3183" s="4" t="s">
        <v>423</v>
      </c>
      <c r="M3183" s="5" t="s">
        <v>3564</v>
      </c>
      <c r="N3183" s="6">
        <f>14362</f>
        <v>14362</v>
      </c>
      <c r="O3183" s="4" t="s">
        <v>265</v>
      </c>
      <c r="P3183" s="6">
        <f>1</f>
        <v>1</v>
      </c>
      <c r="Q3183" s="6">
        <f>0</f>
        <v>0</v>
      </c>
      <c r="S3183" s="6">
        <f>0</f>
        <v>0</v>
      </c>
      <c r="T3183" s="6">
        <f>1</f>
        <v>1</v>
      </c>
      <c r="U3183" s="5" t="s">
        <v>245</v>
      </c>
      <c r="V3183" s="4" t="s">
        <v>270</v>
      </c>
      <c r="W3183" s="4" t="s">
        <v>271</v>
      </c>
      <c r="X3183" s="4" t="s">
        <v>273</v>
      </c>
      <c r="Y3183" s="4" t="s">
        <v>241</v>
      </c>
      <c r="AB3183" s="4" t="s">
        <v>241</v>
      </c>
      <c r="AD3183" s="5" t="s">
        <v>241</v>
      </c>
      <c r="AG3183" s="5" t="s">
        <v>246</v>
      </c>
      <c r="AH3183" s="4" t="s">
        <v>241</v>
      </c>
      <c r="AI3183" s="4" t="s">
        <v>247</v>
      </c>
      <c r="AJ3183" s="4" t="s">
        <v>248</v>
      </c>
      <c r="AZ3183" s="4" t="s">
        <v>249</v>
      </c>
      <c r="BA3183" s="4" t="s">
        <v>241</v>
      </c>
      <c r="BB3183" s="4" t="s">
        <v>250</v>
      </c>
      <c r="BC3183" s="4" t="s">
        <v>241</v>
      </c>
      <c r="BD3183" s="4" t="s">
        <v>252</v>
      </c>
      <c r="BE3183" s="4" t="s">
        <v>241</v>
      </c>
      <c r="BI3183" s="4" t="s">
        <v>253</v>
      </c>
      <c r="BJ3183" s="5" t="s">
        <v>246</v>
      </c>
      <c r="BK3183" s="4" t="s">
        <v>254</v>
      </c>
      <c r="BL3183" s="4" t="s">
        <v>255</v>
      </c>
      <c r="BM3183" s="4" t="s">
        <v>241</v>
      </c>
      <c r="BN3183" s="6">
        <f>0</f>
        <v>0</v>
      </c>
      <c r="BO3183" s="6">
        <f>0</f>
        <v>0</v>
      </c>
      <c r="BP3183" s="4" t="s">
        <v>256</v>
      </c>
      <c r="BQ3183" s="4" t="s">
        <v>257</v>
      </c>
      <c r="CE3183" s="4" t="s">
        <v>241</v>
      </c>
      <c r="CF3183" s="4" t="s">
        <v>241</v>
      </c>
      <c r="CJ3183" s="4" t="s">
        <v>276</v>
      </c>
      <c r="CK3183" s="4" t="s">
        <v>259</v>
      </c>
      <c r="CL3183" s="4" t="s">
        <v>241</v>
      </c>
      <c r="CO3183" s="5" t="s">
        <v>260</v>
      </c>
      <c r="CP3183" s="4" t="s">
        <v>241</v>
      </c>
      <c r="CQ3183" s="4" t="s">
        <v>261</v>
      </c>
      <c r="CR3183" s="4" t="s">
        <v>241</v>
      </c>
      <c r="CS3183" s="4" t="s">
        <v>241</v>
      </c>
      <c r="CT3183" s="4">
        <v>0</v>
      </c>
      <c r="CU3183" s="4" t="s">
        <v>262</v>
      </c>
      <c r="CV3183" s="4" t="s">
        <v>263</v>
      </c>
      <c r="CW3183" s="4" t="s">
        <v>263</v>
      </c>
      <c r="CX3183" s="4" t="s">
        <v>264</v>
      </c>
      <c r="DA3183" s="6">
        <f>1</f>
        <v>1</v>
      </c>
      <c r="DC3183" s="4" t="s">
        <v>325</v>
      </c>
      <c r="DD3183" s="4" t="s">
        <v>241</v>
      </c>
      <c r="DF3183" s="4" t="s">
        <v>325</v>
      </c>
      <c r="DG3183" s="6">
        <f>14362</f>
        <v>14362</v>
      </c>
      <c r="DI3183" s="4" t="s">
        <v>241</v>
      </c>
      <c r="DJ3183" s="4" t="s">
        <v>241</v>
      </c>
      <c r="DK3183" s="4" t="s">
        <v>241</v>
      </c>
      <c r="DL3183" s="4" t="s">
        <v>241</v>
      </c>
      <c r="DP3183" s="4" t="s">
        <v>241</v>
      </c>
      <c r="DQ3183" s="4" t="s">
        <v>241</v>
      </c>
      <c r="DR3183" s="4" t="s">
        <v>241</v>
      </c>
      <c r="DS3183" s="4" t="s">
        <v>241</v>
      </c>
      <c r="DV3183" s="4" t="s">
        <v>426</v>
      </c>
      <c r="DW3183" s="4" t="s">
        <v>3565</v>
      </c>
      <c r="HO3183" s="4" t="s">
        <v>267</v>
      </c>
    </row>
    <row r="3184" spans="1:223" ht="19.5" customHeight="1" x14ac:dyDescent="0.4">
      <c r="A3184" s="4">
        <v>1</v>
      </c>
      <c r="B3184" s="4" t="s">
        <v>239</v>
      </c>
      <c r="C3184" s="4">
        <v>4887</v>
      </c>
      <c r="D3184" s="4">
        <v>1</v>
      </c>
      <c r="E3184" s="4">
        <v>1</v>
      </c>
      <c r="F3184" s="4" t="s">
        <v>268</v>
      </c>
      <c r="G3184" s="4" t="s">
        <v>241</v>
      </c>
      <c r="H3184" s="4" t="s">
        <v>241</v>
      </c>
      <c r="I3184" s="4" t="s">
        <v>424</v>
      </c>
      <c r="J3184" s="4" t="s">
        <v>274</v>
      </c>
      <c r="K3184" s="4" t="s">
        <v>251</v>
      </c>
      <c r="L3184" s="4" t="s">
        <v>423</v>
      </c>
      <c r="M3184" s="5" t="s">
        <v>3559</v>
      </c>
      <c r="N3184" s="6">
        <f>391</f>
        <v>391</v>
      </c>
      <c r="O3184" s="4" t="s">
        <v>265</v>
      </c>
      <c r="P3184" s="6">
        <f>1</f>
        <v>1</v>
      </c>
      <c r="Q3184" s="6">
        <f>0</f>
        <v>0</v>
      </c>
      <c r="S3184" s="6">
        <f>0</f>
        <v>0</v>
      </c>
      <c r="T3184" s="6">
        <f>1</f>
        <v>1</v>
      </c>
      <c r="U3184" s="5" t="s">
        <v>245</v>
      </c>
      <c r="V3184" s="4" t="s">
        <v>270</v>
      </c>
      <c r="W3184" s="4" t="s">
        <v>271</v>
      </c>
      <c r="X3184" s="4" t="s">
        <v>273</v>
      </c>
      <c r="Y3184" s="4" t="s">
        <v>241</v>
      </c>
      <c r="AB3184" s="4" t="s">
        <v>241</v>
      </c>
      <c r="AD3184" s="5" t="s">
        <v>241</v>
      </c>
      <c r="AG3184" s="5" t="s">
        <v>246</v>
      </c>
      <c r="AH3184" s="4" t="s">
        <v>241</v>
      </c>
      <c r="AI3184" s="4" t="s">
        <v>247</v>
      </c>
      <c r="AJ3184" s="4" t="s">
        <v>248</v>
      </c>
      <c r="AZ3184" s="4" t="s">
        <v>249</v>
      </c>
      <c r="BA3184" s="4" t="s">
        <v>241</v>
      </c>
      <c r="BB3184" s="4" t="s">
        <v>250</v>
      </c>
      <c r="BC3184" s="4" t="s">
        <v>241</v>
      </c>
      <c r="BD3184" s="4" t="s">
        <v>252</v>
      </c>
      <c r="BE3184" s="4" t="s">
        <v>241</v>
      </c>
      <c r="BI3184" s="4" t="s">
        <v>253</v>
      </c>
      <c r="BJ3184" s="5" t="s">
        <v>246</v>
      </c>
      <c r="BK3184" s="4" t="s">
        <v>254</v>
      </c>
      <c r="BL3184" s="4" t="s">
        <v>255</v>
      </c>
      <c r="BM3184" s="4" t="s">
        <v>241</v>
      </c>
      <c r="BN3184" s="6">
        <f>0</f>
        <v>0</v>
      </c>
      <c r="BO3184" s="6">
        <f>0</f>
        <v>0</v>
      </c>
      <c r="BP3184" s="4" t="s">
        <v>256</v>
      </c>
      <c r="BQ3184" s="4" t="s">
        <v>257</v>
      </c>
      <c r="CE3184" s="4" t="s">
        <v>241</v>
      </c>
      <c r="CF3184" s="4" t="s">
        <v>241</v>
      </c>
      <c r="CJ3184" s="4" t="s">
        <v>276</v>
      </c>
      <c r="CK3184" s="4" t="s">
        <v>259</v>
      </c>
      <c r="CL3184" s="4" t="s">
        <v>241</v>
      </c>
      <c r="CO3184" s="5" t="s">
        <v>260</v>
      </c>
      <c r="CP3184" s="4" t="s">
        <v>241</v>
      </c>
      <c r="CQ3184" s="4" t="s">
        <v>261</v>
      </c>
      <c r="CR3184" s="4" t="s">
        <v>241</v>
      </c>
      <c r="CS3184" s="4" t="s">
        <v>241</v>
      </c>
      <c r="CT3184" s="4">
        <v>0</v>
      </c>
      <c r="CU3184" s="4" t="s">
        <v>262</v>
      </c>
      <c r="CV3184" s="4" t="s">
        <v>263</v>
      </c>
      <c r="CW3184" s="4" t="s">
        <v>263</v>
      </c>
      <c r="CX3184" s="4" t="s">
        <v>264</v>
      </c>
      <c r="DA3184" s="6">
        <f>1</f>
        <v>1</v>
      </c>
      <c r="DC3184" s="4" t="s">
        <v>325</v>
      </c>
      <c r="DD3184" s="4" t="s">
        <v>241</v>
      </c>
      <c r="DF3184" s="4" t="s">
        <v>325</v>
      </c>
      <c r="DG3184" s="6">
        <f>391</f>
        <v>391</v>
      </c>
      <c r="DI3184" s="4" t="s">
        <v>241</v>
      </c>
      <c r="DJ3184" s="4" t="s">
        <v>241</v>
      </c>
      <c r="DK3184" s="4" t="s">
        <v>241</v>
      </c>
      <c r="DL3184" s="4" t="s">
        <v>241</v>
      </c>
      <c r="DP3184" s="4" t="s">
        <v>241</v>
      </c>
      <c r="DQ3184" s="4" t="s">
        <v>241</v>
      </c>
      <c r="DR3184" s="4" t="s">
        <v>241</v>
      </c>
      <c r="DS3184" s="4" t="s">
        <v>241</v>
      </c>
      <c r="DV3184" s="4" t="s">
        <v>426</v>
      </c>
      <c r="DW3184" s="4" t="s">
        <v>3560</v>
      </c>
      <c r="HO3184" s="4" t="s">
        <v>267</v>
      </c>
    </row>
    <row r="3185" spans="1:223" ht="19.5" customHeight="1" x14ac:dyDescent="0.4">
      <c r="A3185" s="4">
        <v>1</v>
      </c>
      <c r="B3185" s="4" t="s">
        <v>239</v>
      </c>
      <c r="C3185" s="4">
        <v>4888</v>
      </c>
      <c r="D3185" s="4">
        <v>1</v>
      </c>
      <c r="E3185" s="4">
        <v>1</v>
      </c>
      <c r="F3185" s="4" t="s">
        <v>268</v>
      </c>
      <c r="G3185" s="4" t="s">
        <v>241</v>
      </c>
      <c r="H3185" s="4" t="s">
        <v>241</v>
      </c>
      <c r="I3185" s="4" t="s">
        <v>424</v>
      </c>
      <c r="J3185" s="4" t="s">
        <v>274</v>
      </c>
      <c r="K3185" s="4" t="s">
        <v>251</v>
      </c>
      <c r="L3185" s="4" t="s">
        <v>423</v>
      </c>
      <c r="M3185" s="5" t="s">
        <v>3561</v>
      </c>
      <c r="N3185" s="6">
        <f>231</f>
        <v>231</v>
      </c>
      <c r="O3185" s="4" t="s">
        <v>265</v>
      </c>
      <c r="P3185" s="6">
        <f>1</f>
        <v>1</v>
      </c>
      <c r="Q3185" s="6">
        <f>0</f>
        <v>0</v>
      </c>
      <c r="S3185" s="6">
        <f>0</f>
        <v>0</v>
      </c>
      <c r="T3185" s="6">
        <f>1</f>
        <v>1</v>
      </c>
      <c r="U3185" s="5" t="s">
        <v>245</v>
      </c>
      <c r="V3185" s="4" t="s">
        <v>270</v>
      </c>
      <c r="W3185" s="4" t="s">
        <v>271</v>
      </c>
      <c r="X3185" s="4" t="s">
        <v>273</v>
      </c>
      <c r="Y3185" s="4" t="s">
        <v>241</v>
      </c>
      <c r="AB3185" s="4" t="s">
        <v>241</v>
      </c>
      <c r="AD3185" s="5" t="s">
        <v>241</v>
      </c>
      <c r="AG3185" s="5" t="s">
        <v>246</v>
      </c>
      <c r="AH3185" s="4" t="s">
        <v>241</v>
      </c>
      <c r="AI3185" s="4" t="s">
        <v>247</v>
      </c>
      <c r="AJ3185" s="4" t="s">
        <v>248</v>
      </c>
      <c r="AZ3185" s="4" t="s">
        <v>249</v>
      </c>
      <c r="BA3185" s="4" t="s">
        <v>241</v>
      </c>
      <c r="BB3185" s="4" t="s">
        <v>250</v>
      </c>
      <c r="BC3185" s="4" t="s">
        <v>241</v>
      </c>
      <c r="BD3185" s="4" t="s">
        <v>252</v>
      </c>
      <c r="BE3185" s="4" t="s">
        <v>241</v>
      </c>
      <c r="BI3185" s="4" t="s">
        <v>253</v>
      </c>
      <c r="BJ3185" s="5" t="s">
        <v>246</v>
      </c>
      <c r="BK3185" s="4" t="s">
        <v>254</v>
      </c>
      <c r="BL3185" s="4" t="s">
        <v>255</v>
      </c>
      <c r="BM3185" s="4" t="s">
        <v>241</v>
      </c>
      <c r="BN3185" s="6">
        <f>0</f>
        <v>0</v>
      </c>
      <c r="BO3185" s="6">
        <f>0</f>
        <v>0</v>
      </c>
      <c r="BP3185" s="4" t="s">
        <v>256</v>
      </c>
      <c r="BQ3185" s="4" t="s">
        <v>257</v>
      </c>
      <c r="CE3185" s="4" t="s">
        <v>241</v>
      </c>
      <c r="CF3185" s="4" t="s">
        <v>241</v>
      </c>
      <c r="CJ3185" s="4" t="s">
        <v>276</v>
      </c>
      <c r="CK3185" s="4" t="s">
        <v>259</v>
      </c>
      <c r="CL3185" s="4" t="s">
        <v>241</v>
      </c>
      <c r="CO3185" s="5" t="s">
        <v>260</v>
      </c>
      <c r="CP3185" s="4" t="s">
        <v>241</v>
      </c>
      <c r="CQ3185" s="4" t="s">
        <v>261</v>
      </c>
      <c r="CR3185" s="4" t="s">
        <v>241</v>
      </c>
      <c r="CS3185" s="4" t="s">
        <v>241</v>
      </c>
      <c r="CT3185" s="4">
        <v>0</v>
      </c>
      <c r="CU3185" s="4" t="s">
        <v>262</v>
      </c>
      <c r="CV3185" s="4" t="s">
        <v>263</v>
      </c>
      <c r="CW3185" s="4" t="s">
        <v>263</v>
      </c>
      <c r="CX3185" s="4" t="s">
        <v>264</v>
      </c>
      <c r="DA3185" s="6">
        <f>1</f>
        <v>1</v>
      </c>
      <c r="DC3185" s="4" t="s">
        <v>325</v>
      </c>
      <c r="DD3185" s="4" t="s">
        <v>241</v>
      </c>
      <c r="DF3185" s="4" t="s">
        <v>325</v>
      </c>
      <c r="DG3185" s="6">
        <f>231</f>
        <v>231</v>
      </c>
      <c r="DI3185" s="4" t="s">
        <v>241</v>
      </c>
      <c r="DJ3185" s="4" t="s">
        <v>241</v>
      </c>
      <c r="DK3185" s="4" t="s">
        <v>241</v>
      </c>
      <c r="DL3185" s="4" t="s">
        <v>241</v>
      </c>
      <c r="DP3185" s="4" t="s">
        <v>241</v>
      </c>
      <c r="DQ3185" s="4" t="s">
        <v>241</v>
      </c>
      <c r="DR3185" s="4" t="s">
        <v>241</v>
      </c>
      <c r="DS3185" s="4" t="s">
        <v>241</v>
      </c>
      <c r="DV3185" s="4" t="s">
        <v>426</v>
      </c>
      <c r="DW3185" s="4" t="s">
        <v>3562</v>
      </c>
      <c r="HO3185" s="4" t="s">
        <v>267</v>
      </c>
    </row>
    <row r="3186" spans="1:223" ht="19.5" customHeight="1" x14ac:dyDescent="0.4">
      <c r="A3186" s="4">
        <v>1</v>
      </c>
      <c r="B3186" s="4" t="s">
        <v>239</v>
      </c>
      <c r="C3186" s="4">
        <v>4889</v>
      </c>
      <c r="D3186" s="4">
        <v>1</v>
      </c>
      <c r="E3186" s="4">
        <v>1</v>
      </c>
      <c r="F3186" s="4" t="s">
        <v>268</v>
      </c>
      <c r="G3186" s="4" t="s">
        <v>241</v>
      </c>
      <c r="H3186" s="4" t="s">
        <v>241</v>
      </c>
      <c r="I3186" s="4" t="s">
        <v>424</v>
      </c>
      <c r="J3186" s="4" t="s">
        <v>274</v>
      </c>
      <c r="K3186" s="4" t="s">
        <v>251</v>
      </c>
      <c r="L3186" s="4" t="s">
        <v>423</v>
      </c>
      <c r="M3186" s="5" t="s">
        <v>3566</v>
      </c>
      <c r="N3186" s="6">
        <f>2473</f>
        <v>2473</v>
      </c>
      <c r="O3186" s="4" t="s">
        <v>265</v>
      </c>
      <c r="P3186" s="6">
        <f>1</f>
        <v>1</v>
      </c>
      <c r="Q3186" s="6">
        <f>0</f>
        <v>0</v>
      </c>
      <c r="S3186" s="6">
        <f>0</f>
        <v>0</v>
      </c>
      <c r="T3186" s="6">
        <f>1</f>
        <v>1</v>
      </c>
      <c r="U3186" s="5" t="s">
        <v>245</v>
      </c>
      <c r="V3186" s="4" t="s">
        <v>270</v>
      </c>
      <c r="W3186" s="4" t="s">
        <v>271</v>
      </c>
      <c r="X3186" s="4" t="s">
        <v>273</v>
      </c>
      <c r="Y3186" s="4" t="s">
        <v>241</v>
      </c>
      <c r="AB3186" s="4" t="s">
        <v>241</v>
      </c>
      <c r="AD3186" s="5" t="s">
        <v>241</v>
      </c>
      <c r="AG3186" s="5" t="s">
        <v>246</v>
      </c>
      <c r="AH3186" s="4" t="s">
        <v>241</v>
      </c>
      <c r="AI3186" s="4" t="s">
        <v>247</v>
      </c>
      <c r="AJ3186" s="4" t="s">
        <v>248</v>
      </c>
      <c r="AZ3186" s="4" t="s">
        <v>249</v>
      </c>
      <c r="BA3186" s="4" t="s">
        <v>241</v>
      </c>
      <c r="BB3186" s="4" t="s">
        <v>250</v>
      </c>
      <c r="BC3186" s="4" t="s">
        <v>241</v>
      </c>
      <c r="BD3186" s="4" t="s">
        <v>252</v>
      </c>
      <c r="BE3186" s="4" t="s">
        <v>241</v>
      </c>
      <c r="BI3186" s="4" t="s">
        <v>253</v>
      </c>
      <c r="BJ3186" s="5" t="s">
        <v>246</v>
      </c>
      <c r="BK3186" s="4" t="s">
        <v>254</v>
      </c>
      <c r="BL3186" s="4" t="s">
        <v>255</v>
      </c>
      <c r="BM3186" s="4" t="s">
        <v>241</v>
      </c>
      <c r="BN3186" s="6">
        <f>0</f>
        <v>0</v>
      </c>
      <c r="BO3186" s="6">
        <f>0</f>
        <v>0</v>
      </c>
      <c r="BP3186" s="4" t="s">
        <v>256</v>
      </c>
      <c r="BQ3186" s="4" t="s">
        <v>257</v>
      </c>
      <c r="CE3186" s="4" t="s">
        <v>241</v>
      </c>
      <c r="CF3186" s="4" t="s">
        <v>241</v>
      </c>
      <c r="CJ3186" s="4" t="s">
        <v>276</v>
      </c>
      <c r="CK3186" s="4" t="s">
        <v>259</v>
      </c>
      <c r="CL3186" s="4" t="s">
        <v>241</v>
      </c>
      <c r="CO3186" s="5" t="s">
        <v>260</v>
      </c>
      <c r="CP3186" s="4" t="s">
        <v>241</v>
      </c>
      <c r="CQ3186" s="4" t="s">
        <v>261</v>
      </c>
      <c r="CR3186" s="4" t="s">
        <v>241</v>
      </c>
      <c r="CS3186" s="4" t="s">
        <v>241</v>
      </c>
      <c r="CT3186" s="4">
        <v>0</v>
      </c>
      <c r="CU3186" s="4" t="s">
        <v>262</v>
      </c>
      <c r="CV3186" s="4" t="s">
        <v>263</v>
      </c>
      <c r="CW3186" s="4" t="s">
        <v>263</v>
      </c>
      <c r="CX3186" s="4" t="s">
        <v>264</v>
      </c>
      <c r="DA3186" s="6">
        <f>1</f>
        <v>1</v>
      </c>
      <c r="DC3186" s="4" t="s">
        <v>325</v>
      </c>
      <c r="DD3186" s="4" t="s">
        <v>241</v>
      </c>
      <c r="DF3186" s="4" t="s">
        <v>325</v>
      </c>
      <c r="DG3186" s="6">
        <f>2473</f>
        <v>2473</v>
      </c>
      <c r="DH3186" s="5" t="s">
        <v>3567</v>
      </c>
      <c r="DI3186" s="4" t="s">
        <v>241</v>
      </c>
      <c r="DJ3186" s="4" t="s">
        <v>241</v>
      </c>
      <c r="DK3186" s="4" t="s">
        <v>241</v>
      </c>
      <c r="DL3186" s="4" t="s">
        <v>241</v>
      </c>
      <c r="DP3186" s="4" t="s">
        <v>241</v>
      </c>
      <c r="DQ3186" s="4" t="s">
        <v>241</v>
      </c>
      <c r="DR3186" s="4" t="s">
        <v>241</v>
      </c>
      <c r="DS3186" s="4" t="s">
        <v>241</v>
      </c>
      <c r="DV3186" s="4" t="s">
        <v>426</v>
      </c>
      <c r="DW3186" s="4" t="s">
        <v>3568</v>
      </c>
      <c r="HO3186" s="4" t="s">
        <v>267</v>
      </c>
    </row>
    <row r="3187" spans="1:223" ht="19.5" customHeight="1" x14ac:dyDescent="0.4">
      <c r="A3187" s="4">
        <v>1</v>
      </c>
      <c r="B3187" s="4" t="s">
        <v>239</v>
      </c>
      <c r="C3187" s="4">
        <v>4890</v>
      </c>
      <c r="D3187" s="4">
        <v>1</v>
      </c>
      <c r="E3187" s="4">
        <v>1</v>
      </c>
      <c r="F3187" s="4" t="s">
        <v>268</v>
      </c>
      <c r="G3187" s="4" t="s">
        <v>241</v>
      </c>
      <c r="H3187" s="4" t="s">
        <v>241</v>
      </c>
      <c r="I3187" s="4" t="s">
        <v>424</v>
      </c>
      <c r="J3187" s="4" t="s">
        <v>274</v>
      </c>
      <c r="K3187" s="4" t="s">
        <v>251</v>
      </c>
      <c r="L3187" s="4" t="s">
        <v>423</v>
      </c>
      <c r="M3187" s="5" t="s">
        <v>3576</v>
      </c>
      <c r="N3187" s="6">
        <f>399</f>
        <v>399</v>
      </c>
      <c r="O3187" s="4" t="s">
        <v>265</v>
      </c>
      <c r="P3187" s="6">
        <f>1</f>
        <v>1</v>
      </c>
      <c r="Q3187" s="6">
        <f>0</f>
        <v>0</v>
      </c>
      <c r="S3187" s="6">
        <f>0</f>
        <v>0</v>
      </c>
      <c r="T3187" s="6">
        <f>1</f>
        <v>1</v>
      </c>
      <c r="U3187" s="5" t="s">
        <v>245</v>
      </c>
      <c r="V3187" s="4" t="s">
        <v>270</v>
      </c>
      <c r="W3187" s="4" t="s">
        <v>271</v>
      </c>
      <c r="X3187" s="4" t="s">
        <v>273</v>
      </c>
      <c r="Y3187" s="4" t="s">
        <v>241</v>
      </c>
      <c r="AB3187" s="4" t="s">
        <v>241</v>
      </c>
      <c r="AD3187" s="5" t="s">
        <v>241</v>
      </c>
      <c r="AG3187" s="5" t="s">
        <v>246</v>
      </c>
      <c r="AH3187" s="4" t="s">
        <v>241</v>
      </c>
      <c r="AI3187" s="4" t="s">
        <v>247</v>
      </c>
      <c r="AJ3187" s="4" t="s">
        <v>248</v>
      </c>
      <c r="AZ3187" s="4" t="s">
        <v>249</v>
      </c>
      <c r="BA3187" s="4" t="s">
        <v>241</v>
      </c>
      <c r="BB3187" s="4" t="s">
        <v>250</v>
      </c>
      <c r="BC3187" s="4" t="s">
        <v>241</v>
      </c>
      <c r="BD3187" s="4" t="s">
        <v>252</v>
      </c>
      <c r="BE3187" s="4" t="s">
        <v>241</v>
      </c>
      <c r="BI3187" s="4" t="s">
        <v>253</v>
      </c>
      <c r="BJ3187" s="5" t="s">
        <v>246</v>
      </c>
      <c r="BK3187" s="4" t="s">
        <v>254</v>
      </c>
      <c r="BL3187" s="4" t="s">
        <v>255</v>
      </c>
      <c r="BM3187" s="4" t="s">
        <v>241</v>
      </c>
      <c r="BN3187" s="6">
        <f>0</f>
        <v>0</v>
      </c>
      <c r="BO3187" s="6">
        <f>0</f>
        <v>0</v>
      </c>
      <c r="BP3187" s="4" t="s">
        <v>256</v>
      </c>
      <c r="BQ3187" s="4" t="s">
        <v>257</v>
      </c>
      <c r="CE3187" s="4" t="s">
        <v>241</v>
      </c>
      <c r="CF3187" s="4" t="s">
        <v>241</v>
      </c>
      <c r="CJ3187" s="4" t="s">
        <v>276</v>
      </c>
      <c r="CK3187" s="4" t="s">
        <v>259</v>
      </c>
      <c r="CL3187" s="4" t="s">
        <v>241</v>
      </c>
      <c r="CO3187" s="5" t="s">
        <v>260</v>
      </c>
      <c r="CP3187" s="4" t="s">
        <v>241</v>
      </c>
      <c r="CQ3187" s="4" t="s">
        <v>261</v>
      </c>
      <c r="CR3187" s="4" t="s">
        <v>241</v>
      </c>
      <c r="CS3187" s="4" t="s">
        <v>241</v>
      </c>
      <c r="CT3187" s="4">
        <v>0</v>
      </c>
      <c r="CU3187" s="4" t="s">
        <v>262</v>
      </c>
      <c r="CV3187" s="4" t="s">
        <v>263</v>
      </c>
      <c r="CW3187" s="4" t="s">
        <v>263</v>
      </c>
      <c r="CX3187" s="4" t="s">
        <v>264</v>
      </c>
      <c r="DA3187" s="6">
        <f>1</f>
        <v>1</v>
      </c>
      <c r="DC3187" s="4" t="s">
        <v>325</v>
      </c>
      <c r="DD3187" s="4" t="s">
        <v>241</v>
      </c>
      <c r="DF3187" s="4" t="s">
        <v>325</v>
      </c>
      <c r="DG3187" s="6">
        <f>399</f>
        <v>399</v>
      </c>
      <c r="DH3187" s="5" t="s">
        <v>3577</v>
      </c>
      <c r="DI3187" s="4" t="s">
        <v>241</v>
      </c>
      <c r="DJ3187" s="4" t="s">
        <v>241</v>
      </c>
      <c r="DK3187" s="4" t="s">
        <v>241</v>
      </c>
      <c r="DL3187" s="4" t="s">
        <v>241</v>
      </c>
      <c r="DP3187" s="4" t="s">
        <v>241</v>
      </c>
      <c r="DQ3187" s="4" t="s">
        <v>241</v>
      </c>
      <c r="DR3187" s="4" t="s">
        <v>241</v>
      </c>
      <c r="DS3187" s="4" t="s">
        <v>241</v>
      </c>
      <c r="DV3187" s="4" t="s">
        <v>426</v>
      </c>
      <c r="DW3187" s="4" t="s">
        <v>3578</v>
      </c>
      <c r="HO3187" s="4" t="s">
        <v>267</v>
      </c>
    </row>
    <row r="3188" spans="1:223" ht="19.5" customHeight="1" x14ac:dyDescent="0.4">
      <c r="A3188" s="4">
        <v>1</v>
      </c>
      <c r="B3188" s="4" t="s">
        <v>239</v>
      </c>
      <c r="C3188" s="4">
        <v>4891</v>
      </c>
      <c r="D3188" s="4">
        <v>1</v>
      </c>
      <c r="E3188" s="4">
        <v>1</v>
      </c>
      <c r="F3188" s="4" t="s">
        <v>268</v>
      </c>
      <c r="G3188" s="4" t="s">
        <v>241</v>
      </c>
      <c r="H3188" s="4" t="s">
        <v>241</v>
      </c>
      <c r="I3188" s="4" t="s">
        <v>424</v>
      </c>
      <c r="J3188" s="4" t="s">
        <v>274</v>
      </c>
      <c r="K3188" s="4" t="s">
        <v>251</v>
      </c>
      <c r="L3188" s="4" t="s">
        <v>423</v>
      </c>
      <c r="M3188" s="5" t="s">
        <v>3670</v>
      </c>
      <c r="N3188" s="6">
        <f>318</f>
        <v>318</v>
      </c>
      <c r="O3188" s="4" t="s">
        <v>265</v>
      </c>
      <c r="P3188" s="6">
        <f>1</f>
        <v>1</v>
      </c>
      <c r="Q3188" s="6">
        <f>0</f>
        <v>0</v>
      </c>
      <c r="S3188" s="6">
        <f>0</f>
        <v>0</v>
      </c>
      <c r="T3188" s="6">
        <f>1</f>
        <v>1</v>
      </c>
      <c r="U3188" s="5" t="s">
        <v>245</v>
      </c>
      <c r="V3188" s="4" t="s">
        <v>270</v>
      </c>
      <c r="W3188" s="4" t="s">
        <v>271</v>
      </c>
      <c r="X3188" s="4" t="s">
        <v>273</v>
      </c>
      <c r="Y3188" s="4" t="s">
        <v>241</v>
      </c>
      <c r="AB3188" s="4" t="s">
        <v>241</v>
      </c>
      <c r="AD3188" s="5" t="s">
        <v>241</v>
      </c>
      <c r="AG3188" s="5" t="s">
        <v>246</v>
      </c>
      <c r="AH3188" s="4" t="s">
        <v>241</v>
      </c>
      <c r="AI3188" s="4" t="s">
        <v>247</v>
      </c>
      <c r="AJ3188" s="4" t="s">
        <v>248</v>
      </c>
      <c r="AZ3188" s="4" t="s">
        <v>249</v>
      </c>
      <c r="BA3188" s="4" t="s">
        <v>241</v>
      </c>
      <c r="BB3188" s="4" t="s">
        <v>250</v>
      </c>
      <c r="BC3188" s="4" t="s">
        <v>241</v>
      </c>
      <c r="BD3188" s="4" t="s">
        <v>252</v>
      </c>
      <c r="BE3188" s="4" t="s">
        <v>241</v>
      </c>
      <c r="BI3188" s="4" t="s">
        <v>253</v>
      </c>
      <c r="BJ3188" s="5" t="s">
        <v>246</v>
      </c>
      <c r="BK3188" s="4" t="s">
        <v>254</v>
      </c>
      <c r="BL3188" s="4" t="s">
        <v>255</v>
      </c>
      <c r="BM3188" s="4" t="s">
        <v>241</v>
      </c>
      <c r="BN3188" s="6">
        <f>0</f>
        <v>0</v>
      </c>
      <c r="BO3188" s="6">
        <f>0</f>
        <v>0</v>
      </c>
      <c r="BP3188" s="4" t="s">
        <v>256</v>
      </c>
      <c r="BQ3188" s="4" t="s">
        <v>257</v>
      </c>
      <c r="CE3188" s="4" t="s">
        <v>241</v>
      </c>
      <c r="CF3188" s="4" t="s">
        <v>241</v>
      </c>
      <c r="CJ3188" s="4" t="s">
        <v>276</v>
      </c>
      <c r="CK3188" s="4" t="s">
        <v>259</v>
      </c>
      <c r="CL3188" s="4" t="s">
        <v>241</v>
      </c>
      <c r="CO3188" s="5" t="s">
        <v>260</v>
      </c>
      <c r="CP3188" s="4" t="s">
        <v>241</v>
      </c>
      <c r="CQ3188" s="4" t="s">
        <v>261</v>
      </c>
      <c r="CR3188" s="4" t="s">
        <v>241</v>
      </c>
      <c r="CS3188" s="4" t="s">
        <v>241</v>
      </c>
      <c r="CT3188" s="4">
        <v>0</v>
      </c>
      <c r="CU3188" s="4" t="s">
        <v>262</v>
      </c>
      <c r="CV3188" s="4" t="s">
        <v>263</v>
      </c>
      <c r="CW3188" s="4" t="s">
        <v>263</v>
      </c>
      <c r="CX3188" s="4" t="s">
        <v>264</v>
      </c>
      <c r="DA3188" s="6">
        <f>1</f>
        <v>1</v>
      </c>
      <c r="DC3188" s="4" t="s">
        <v>325</v>
      </c>
      <c r="DD3188" s="4" t="s">
        <v>241</v>
      </c>
      <c r="DF3188" s="4" t="s">
        <v>325</v>
      </c>
      <c r="DG3188" s="6">
        <f>318</f>
        <v>318</v>
      </c>
      <c r="DH3188" s="5" t="s">
        <v>3671</v>
      </c>
      <c r="DI3188" s="4" t="s">
        <v>241</v>
      </c>
      <c r="DJ3188" s="4" t="s">
        <v>241</v>
      </c>
      <c r="DK3188" s="4" t="s">
        <v>241</v>
      </c>
      <c r="DL3188" s="4" t="s">
        <v>241</v>
      </c>
      <c r="DP3188" s="4" t="s">
        <v>241</v>
      </c>
      <c r="DQ3188" s="4" t="s">
        <v>241</v>
      </c>
      <c r="DR3188" s="4" t="s">
        <v>241</v>
      </c>
      <c r="DS3188" s="4" t="s">
        <v>241</v>
      </c>
      <c r="DV3188" s="4" t="s">
        <v>426</v>
      </c>
      <c r="DW3188" s="4" t="s">
        <v>3672</v>
      </c>
      <c r="HO3188" s="4" t="s">
        <v>267</v>
      </c>
    </row>
    <row r="3189" spans="1:223" ht="19.5" customHeight="1" x14ac:dyDescent="0.4">
      <c r="A3189" s="4">
        <v>1</v>
      </c>
      <c r="B3189" s="4" t="s">
        <v>239</v>
      </c>
      <c r="C3189" s="4">
        <v>4892</v>
      </c>
      <c r="D3189" s="4">
        <v>1</v>
      </c>
      <c r="E3189" s="4">
        <v>1</v>
      </c>
      <c r="F3189" s="4" t="s">
        <v>268</v>
      </c>
      <c r="G3189" s="4" t="s">
        <v>241</v>
      </c>
      <c r="H3189" s="4" t="s">
        <v>241</v>
      </c>
      <c r="I3189" s="4" t="s">
        <v>424</v>
      </c>
      <c r="J3189" s="4" t="s">
        <v>274</v>
      </c>
      <c r="K3189" s="4" t="s">
        <v>251</v>
      </c>
      <c r="L3189" s="4" t="s">
        <v>423</v>
      </c>
      <c r="M3189" s="5" t="s">
        <v>3866</v>
      </c>
      <c r="N3189" s="6">
        <f>10373</f>
        <v>10373</v>
      </c>
      <c r="O3189" s="4" t="s">
        <v>265</v>
      </c>
      <c r="P3189" s="6">
        <f>1</f>
        <v>1</v>
      </c>
      <c r="Q3189" s="6">
        <f>0</f>
        <v>0</v>
      </c>
      <c r="S3189" s="6">
        <f>0</f>
        <v>0</v>
      </c>
      <c r="T3189" s="6">
        <f>1</f>
        <v>1</v>
      </c>
      <c r="U3189" s="5" t="s">
        <v>245</v>
      </c>
      <c r="V3189" s="4" t="s">
        <v>270</v>
      </c>
      <c r="W3189" s="4" t="s">
        <v>271</v>
      </c>
      <c r="X3189" s="4" t="s">
        <v>273</v>
      </c>
      <c r="Y3189" s="4" t="s">
        <v>241</v>
      </c>
      <c r="AB3189" s="4" t="s">
        <v>241</v>
      </c>
      <c r="AD3189" s="5" t="s">
        <v>241</v>
      </c>
      <c r="AG3189" s="5" t="s">
        <v>246</v>
      </c>
      <c r="AH3189" s="4" t="s">
        <v>241</v>
      </c>
      <c r="AI3189" s="4" t="s">
        <v>247</v>
      </c>
      <c r="AJ3189" s="4" t="s">
        <v>248</v>
      </c>
      <c r="AZ3189" s="4" t="s">
        <v>249</v>
      </c>
      <c r="BA3189" s="4" t="s">
        <v>241</v>
      </c>
      <c r="BB3189" s="4" t="s">
        <v>250</v>
      </c>
      <c r="BC3189" s="4" t="s">
        <v>241</v>
      </c>
      <c r="BD3189" s="4" t="s">
        <v>252</v>
      </c>
      <c r="BE3189" s="4" t="s">
        <v>241</v>
      </c>
      <c r="BI3189" s="4" t="s">
        <v>253</v>
      </c>
      <c r="BJ3189" s="5" t="s">
        <v>246</v>
      </c>
      <c r="BK3189" s="4" t="s">
        <v>254</v>
      </c>
      <c r="BL3189" s="4" t="s">
        <v>255</v>
      </c>
      <c r="BM3189" s="4" t="s">
        <v>241</v>
      </c>
      <c r="BN3189" s="6">
        <f>0</f>
        <v>0</v>
      </c>
      <c r="BO3189" s="6">
        <f>0</f>
        <v>0</v>
      </c>
      <c r="BP3189" s="4" t="s">
        <v>256</v>
      </c>
      <c r="BQ3189" s="4" t="s">
        <v>257</v>
      </c>
      <c r="CE3189" s="4" t="s">
        <v>241</v>
      </c>
      <c r="CF3189" s="4" t="s">
        <v>241</v>
      </c>
      <c r="CJ3189" s="4" t="s">
        <v>276</v>
      </c>
      <c r="CK3189" s="4" t="s">
        <v>259</v>
      </c>
      <c r="CL3189" s="4" t="s">
        <v>241</v>
      </c>
      <c r="CO3189" s="5" t="s">
        <v>260</v>
      </c>
      <c r="CP3189" s="4" t="s">
        <v>241</v>
      </c>
      <c r="CQ3189" s="4" t="s">
        <v>261</v>
      </c>
      <c r="CR3189" s="4" t="s">
        <v>241</v>
      </c>
      <c r="CS3189" s="4" t="s">
        <v>241</v>
      </c>
      <c r="CT3189" s="4">
        <v>0</v>
      </c>
      <c r="CU3189" s="4" t="s">
        <v>262</v>
      </c>
      <c r="CV3189" s="4" t="s">
        <v>263</v>
      </c>
      <c r="CW3189" s="4" t="s">
        <v>263</v>
      </c>
      <c r="CX3189" s="4" t="s">
        <v>264</v>
      </c>
      <c r="DA3189" s="6">
        <f>1</f>
        <v>1</v>
      </c>
      <c r="DC3189" s="4" t="s">
        <v>325</v>
      </c>
      <c r="DD3189" s="4" t="s">
        <v>241</v>
      </c>
      <c r="DF3189" s="4" t="s">
        <v>325</v>
      </c>
      <c r="DG3189" s="6">
        <f>10373</f>
        <v>10373</v>
      </c>
      <c r="DH3189" s="5" t="s">
        <v>3867</v>
      </c>
      <c r="DI3189" s="4" t="s">
        <v>241</v>
      </c>
      <c r="DJ3189" s="4" t="s">
        <v>241</v>
      </c>
      <c r="DK3189" s="4" t="s">
        <v>241</v>
      </c>
      <c r="DL3189" s="4" t="s">
        <v>241</v>
      </c>
      <c r="DP3189" s="4" t="s">
        <v>241</v>
      </c>
      <c r="DQ3189" s="4" t="s">
        <v>241</v>
      </c>
      <c r="DR3189" s="4" t="s">
        <v>241</v>
      </c>
      <c r="DS3189" s="4" t="s">
        <v>241</v>
      </c>
      <c r="DV3189" s="4" t="s">
        <v>426</v>
      </c>
      <c r="DW3189" s="4" t="s">
        <v>3868</v>
      </c>
      <c r="HO3189" s="4" t="s">
        <v>267</v>
      </c>
    </row>
    <row r="3190" spans="1:223" ht="19.5" customHeight="1" x14ac:dyDescent="0.4">
      <c r="A3190" s="4">
        <v>1</v>
      </c>
      <c r="B3190" s="4" t="s">
        <v>239</v>
      </c>
      <c r="C3190" s="4">
        <v>4893</v>
      </c>
      <c r="D3190" s="4">
        <v>1</v>
      </c>
      <c r="E3190" s="4">
        <v>1</v>
      </c>
      <c r="F3190" s="4" t="s">
        <v>268</v>
      </c>
      <c r="G3190" s="4" t="s">
        <v>241</v>
      </c>
      <c r="H3190" s="4" t="s">
        <v>241</v>
      </c>
      <c r="I3190" s="4" t="s">
        <v>424</v>
      </c>
      <c r="J3190" s="4" t="s">
        <v>274</v>
      </c>
      <c r="K3190" s="4" t="s">
        <v>251</v>
      </c>
      <c r="L3190" s="4" t="s">
        <v>423</v>
      </c>
      <c r="M3190" s="5" t="s">
        <v>3556</v>
      </c>
      <c r="N3190" s="6">
        <f>361</f>
        <v>361</v>
      </c>
      <c r="O3190" s="4" t="s">
        <v>265</v>
      </c>
      <c r="P3190" s="6">
        <f>1</f>
        <v>1</v>
      </c>
      <c r="Q3190" s="6">
        <f>0</f>
        <v>0</v>
      </c>
      <c r="S3190" s="6">
        <f>0</f>
        <v>0</v>
      </c>
      <c r="T3190" s="6">
        <f>1</f>
        <v>1</v>
      </c>
      <c r="U3190" s="5" t="s">
        <v>245</v>
      </c>
      <c r="V3190" s="4" t="s">
        <v>270</v>
      </c>
      <c r="W3190" s="4" t="s">
        <v>271</v>
      </c>
      <c r="X3190" s="4" t="s">
        <v>273</v>
      </c>
      <c r="Y3190" s="4" t="s">
        <v>241</v>
      </c>
      <c r="AB3190" s="4" t="s">
        <v>241</v>
      </c>
      <c r="AD3190" s="5" t="s">
        <v>241</v>
      </c>
      <c r="AG3190" s="5" t="s">
        <v>246</v>
      </c>
      <c r="AH3190" s="4" t="s">
        <v>241</v>
      </c>
      <c r="AI3190" s="4" t="s">
        <v>247</v>
      </c>
      <c r="AJ3190" s="4" t="s">
        <v>248</v>
      </c>
      <c r="AZ3190" s="4" t="s">
        <v>249</v>
      </c>
      <c r="BA3190" s="4" t="s">
        <v>241</v>
      </c>
      <c r="BB3190" s="4" t="s">
        <v>250</v>
      </c>
      <c r="BC3190" s="4" t="s">
        <v>241</v>
      </c>
      <c r="BD3190" s="4" t="s">
        <v>252</v>
      </c>
      <c r="BE3190" s="4" t="s">
        <v>241</v>
      </c>
      <c r="BI3190" s="4" t="s">
        <v>253</v>
      </c>
      <c r="BJ3190" s="5" t="s">
        <v>246</v>
      </c>
      <c r="BK3190" s="4" t="s">
        <v>254</v>
      </c>
      <c r="BL3190" s="4" t="s">
        <v>255</v>
      </c>
      <c r="BM3190" s="4" t="s">
        <v>241</v>
      </c>
      <c r="BN3190" s="6">
        <f>0</f>
        <v>0</v>
      </c>
      <c r="BO3190" s="6">
        <f>0</f>
        <v>0</v>
      </c>
      <c r="BP3190" s="4" t="s">
        <v>256</v>
      </c>
      <c r="BQ3190" s="4" t="s">
        <v>257</v>
      </c>
      <c r="CE3190" s="4" t="s">
        <v>241</v>
      </c>
      <c r="CF3190" s="4" t="s">
        <v>241</v>
      </c>
      <c r="CJ3190" s="4" t="s">
        <v>276</v>
      </c>
      <c r="CK3190" s="4" t="s">
        <v>259</v>
      </c>
      <c r="CL3190" s="4" t="s">
        <v>241</v>
      </c>
      <c r="CO3190" s="5" t="s">
        <v>260</v>
      </c>
      <c r="CP3190" s="4" t="s">
        <v>241</v>
      </c>
      <c r="CQ3190" s="4" t="s">
        <v>261</v>
      </c>
      <c r="CR3190" s="4" t="s">
        <v>241</v>
      </c>
      <c r="CS3190" s="4" t="s">
        <v>241</v>
      </c>
      <c r="CT3190" s="4">
        <v>0</v>
      </c>
      <c r="CU3190" s="4" t="s">
        <v>262</v>
      </c>
      <c r="CV3190" s="4" t="s">
        <v>263</v>
      </c>
      <c r="CW3190" s="4" t="s">
        <v>263</v>
      </c>
      <c r="CX3190" s="4" t="s">
        <v>264</v>
      </c>
      <c r="DA3190" s="6">
        <f>1</f>
        <v>1</v>
      </c>
      <c r="DC3190" s="4" t="s">
        <v>325</v>
      </c>
      <c r="DD3190" s="4" t="s">
        <v>241</v>
      </c>
      <c r="DF3190" s="4" t="s">
        <v>325</v>
      </c>
      <c r="DG3190" s="6">
        <f>361</f>
        <v>361</v>
      </c>
      <c r="DH3190" s="5" t="s">
        <v>3557</v>
      </c>
      <c r="DI3190" s="4" t="s">
        <v>241</v>
      </c>
      <c r="DJ3190" s="4" t="s">
        <v>241</v>
      </c>
      <c r="DK3190" s="4" t="s">
        <v>241</v>
      </c>
      <c r="DL3190" s="4" t="s">
        <v>241</v>
      </c>
      <c r="DP3190" s="4" t="s">
        <v>241</v>
      </c>
      <c r="DQ3190" s="4" t="s">
        <v>241</v>
      </c>
      <c r="DR3190" s="4" t="s">
        <v>241</v>
      </c>
      <c r="DS3190" s="4" t="s">
        <v>241</v>
      </c>
      <c r="DV3190" s="4" t="s">
        <v>426</v>
      </c>
      <c r="DW3190" s="4" t="s">
        <v>3558</v>
      </c>
      <c r="HO3190" s="4" t="s">
        <v>267</v>
      </c>
    </row>
    <row r="3191" spans="1:223" ht="19.5" customHeight="1" x14ac:dyDescent="0.4">
      <c r="A3191" s="4">
        <v>1</v>
      </c>
      <c r="B3191" s="4" t="s">
        <v>239</v>
      </c>
      <c r="C3191" s="4">
        <v>4894</v>
      </c>
      <c r="D3191" s="4">
        <v>1</v>
      </c>
      <c r="E3191" s="4">
        <v>1</v>
      </c>
      <c r="F3191" s="4" t="s">
        <v>268</v>
      </c>
      <c r="G3191" s="4" t="s">
        <v>241</v>
      </c>
      <c r="H3191" s="4" t="s">
        <v>241</v>
      </c>
      <c r="I3191" s="4" t="s">
        <v>424</v>
      </c>
      <c r="J3191" s="4" t="s">
        <v>274</v>
      </c>
      <c r="K3191" s="4" t="s">
        <v>251</v>
      </c>
      <c r="L3191" s="4" t="s">
        <v>423</v>
      </c>
      <c r="M3191" s="5" t="s">
        <v>3548</v>
      </c>
      <c r="N3191" s="6">
        <f>76</f>
        <v>76</v>
      </c>
      <c r="O3191" s="4" t="s">
        <v>265</v>
      </c>
      <c r="P3191" s="6">
        <f>1</f>
        <v>1</v>
      </c>
      <c r="Q3191" s="6">
        <f>0</f>
        <v>0</v>
      </c>
      <c r="S3191" s="6">
        <f>0</f>
        <v>0</v>
      </c>
      <c r="T3191" s="6">
        <f>1</f>
        <v>1</v>
      </c>
      <c r="U3191" s="5" t="s">
        <v>245</v>
      </c>
      <c r="V3191" s="4" t="s">
        <v>270</v>
      </c>
      <c r="W3191" s="4" t="s">
        <v>271</v>
      </c>
      <c r="X3191" s="4" t="s">
        <v>273</v>
      </c>
      <c r="Y3191" s="4" t="s">
        <v>241</v>
      </c>
      <c r="AB3191" s="4" t="s">
        <v>241</v>
      </c>
      <c r="AD3191" s="5" t="s">
        <v>241</v>
      </c>
      <c r="AG3191" s="5" t="s">
        <v>246</v>
      </c>
      <c r="AH3191" s="4" t="s">
        <v>241</v>
      </c>
      <c r="AI3191" s="4" t="s">
        <v>247</v>
      </c>
      <c r="AJ3191" s="4" t="s">
        <v>248</v>
      </c>
      <c r="AZ3191" s="4" t="s">
        <v>249</v>
      </c>
      <c r="BA3191" s="4" t="s">
        <v>241</v>
      </c>
      <c r="BB3191" s="4" t="s">
        <v>250</v>
      </c>
      <c r="BC3191" s="4" t="s">
        <v>241</v>
      </c>
      <c r="BD3191" s="4" t="s">
        <v>252</v>
      </c>
      <c r="BE3191" s="4" t="s">
        <v>241</v>
      </c>
      <c r="BI3191" s="4" t="s">
        <v>253</v>
      </c>
      <c r="BJ3191" s="5" t="s">
        <v>246</v>
      </c>
      <c r="BK3191" s="4" t="s">
        <v>254</v>
      </c>
      <c r="BL3191" s="4" t="s">
        <v>255</v>
      </c>
      <c r="BM3191" s="4" t="s">
        <v>241</v>
      </c>
      <c r="BN3191" s="6">
        <f>0</f>
        <v>0</v>
      </c>
      <c r="BO3191" s="6">
        <f>0</f>
        <v>0</v>
      </c>
      <c r="BP3191" s="4" t="s">
        <v>256</v>
      </c>
      <c r="BQ3191" s="4" t="s">
        <v>257</v>
      </c>
      <c r="CE3191" s="4" t="s">
        <v>241</v>
      </c>
      <c r="CF3191" s="4" t="s">
        <v>241</v>
      </c>
      <c r="CJ3191" s="4" t="s">
        <v>276</v>
      </c>
      <c r="CK3191" s="4" t="s">
        <v>259</v>
      </c>
      <c r="CL3191" s="4" t="s">
        <v>241</v>
      </c>
      <c r="CO3191" s="5" t="s">
        <v>260</v>
      </c>
      <c r="CP3191" s="4" t="s">
        <v>241</v>
      </c>
      <c r="CQ3191" s="4" t="s">
        <v>261</v>
      </c>
      <c r="CR3191" s="4" t="s">
        <v>241</v>
      </c>
      <c r="CS3191" s="4" t="s">
        <v>241</v>
      </c>
      <c r="CT3191" s="4">
        <v>0</v>
      </c>
      <c r="CU3191" s="4" t="s">
        <v>262</v>
      </c>
      <c r="CV3191" s="4" t="s">
        <v>263</v>
      </c>
      <c r="CW3191" s="4" t="s">
        <v>263</v>
      </c>
      <c r="CX3191" s="4" t="s">
        <v>264</v>
      </c>
      <c r="DA3191" s="6">
        <f>1</f>
        <v>1</v>
      </c>
      <c r="DC3191" s="4" t="s">
        <v>325</v>
      </c>
      <c r="DD3191" s="4" t="s">
        <v>241</v>
      </c>
      <c r="DF3191" s="4" t="s">
        <v>325</v>
      </c>
      <c r="DG3191" s="6">
        <f>76</f>
        <v>76</v>
      </c>
      <c r="DH3191" s="5" t="s">
        <v>3549</v>
      </c>
      <c r="DI3191" s="4" t="s">
        <v>241</v>
      </c>
      <c r="DJ3191" s="4" t="s">
        <v>241</v>
      </c>
      <c r="DK3191" s="4" t="s">
        <v>241</v>
      </c>
      <c r="DL3191" s="4" t="s">
        <v>241</v>
      </c>
      <c r="DP3191" s="4" t="s">
        <v>241</v>
      </c>
      <c r="DQ3191" s="4" t="s">
        <v>241</v>
      </c>
      <c r="DR3191" s="4" t="s">
        <v>241</v>
      </c>
      <c r="DS3191" s="4" t="s">
        <v>241</v>
      </c>
      <c r="DV3191" s="4" t="s">
        <v>426</v>
      </c>
      <c r="DW3191" s="4" t="s">
        <v>3550</v>
      </c>
      <c r="HO3191" s="4" t="s">
        <v>267</v>
      </c>
    </row>
    <row r="3192" spans="1:223" ht="19.5" customHeight="1" x14ac:dyDescent="0.4">
      <c r="A3192" s="4">
        <v>1</v>
      </c>
      <c r="B3192" s="4" t="s">
        <v>239</v>
      </c>
      <c r="C3192" s="4">
        <v>4895</v>
      </c>
      <c r="D3192" s="4">
        <v>1</v>
      </c>
      <c r="E3192" s="4">
        <v>1</v>
      </c>
      <c r="F3192" s="4" t="s">
        <v>268</v>
      </c>
      <c r="G3192" s="4" t="s">
        <v>241</v>
      </c>
      <c r="H3192" s="4" t="s">
        <v>241</v>
      </c>
      <c r="I3192" s="4" t="s">
        <v>424</v>
      </c>
      <c r="J3192" s="4" t="s">
        <v>274</v>
      </c>
      <c r="K3192" s="4" t="s">
        <v>251</v>
      </c>
      <c r="L3192" s="4" t="s">
        <v>4137</v>
      </c>
      <c r="M3192" s="5" t="s">
        <v>4139</v>
      </c>
      <c r="N3192" s="6">
        <f>62.6</f>
        <v>62.6</v>
      </c>
      <c r="O3192" s="4" t="s">
        <v>265</v>
      </c>
      <c r="P3192" s="6">
        <f>215970</f>
        <v>215970</v>
      </c>
      <c r="Q3192" s="6">
        <f>0</f>
        <v>0</v>
      </c>
      <c r="S3192" s="6">
        <f>0</f>
        <v>0</v>
      </c>
      <c r="T3192" s="6">
        <f>215970</f>
        <v>215970</v>
      </c>
      <c r="U3192" s="5" t="s">
        <v>4138</v>
      </c>
      <c r="V3192" s="4" t="s">
        <v>270</v>
      </c>
      <c r="W3192" s="4" t="s">
        <v>242</v>
      </c>
      <c r="X3192" s="4" t="s">
        <v>241</v>
      </c>
      <c r="Y3192" s="4" t="s">
        <v>241</v>
      </c>
      <c r="AB3192" s="4" t="s">
        <v>241</v>
      </c>
      <c r="AD3192" s="5" t="s">
        <v>241</v>
      </c>
      <c r="AG3192" s="5" t="s">
        <v>246</v>
      </c>
      <c r="AH3192" s="4" t="s">
        <v>241</v>
      </c>
      <c r="AI3192" s="4" t="s">
        <v>247</v>
      </c>
      <c r="AJ3192" s="4" t="s">
        <v>248</v>
      </c>
      <c r="AZ3192" s="4" t="s">
        <v>249</v>
      </c>
      <c r="BA3192" s="4" t="s">
        <v>241</v>
      </c>
      <c r="BB3192" s="4" t="s">
        <v>250</v>
      </c>
      <c r="BC3192" s="4" t="s">
        <v>241</v>
      </c>
      <c r="BD3192" s="4" t="s">
        <v>252</v>
      </c>
      <c r="BE3192" s="4" t="s">
        <v>241</v>
      </c>
      <c r="BI3192" s="4" t="s">
        <v>253</v>
      </c>
      <c r="BJ3192" s="5" t="s">
        <v>4138</v>
      </c>
      <c r="BK3192" s="4" t="s">
        <v>254</v>
      </c>
      <c r="BL3192" s="4" t="s">
        <v>285</v>
      </c>
      <c r="BM3192" s="4" t="s">
        <v>241</v>
      </c>
      <c r="BN3192" s="6">
        <f>0</f>
        <v>0</v>
      </c>
      <c r="BO3192" s="6">
        <f>0</f>
        <v>0</v>
      </c>
      <c r="BP3192" s="4" t="s">
        <v>256</v>
      </c>
      <c r="BQ3192" s="4" t="s">
        <v>257</v>
      </c>
      <c r="CE3192" s="4" t="s">
        <v>241</v>
      </c>
      <c r="CF3192" s="4" t="s">
        <v>241</v>
      </c>
      <c r="CJ3192" s="4" t="s">
        <v>286</v>
      </c>
      <c r="CK3192" s="4" t="s">
        <v>259</v>
      </c>
      <c r="CL3192" s="4" t="s">
        <v>241</v>
      </c>
      <c r="CO3192" s="5" t="s">
        <v>260</v>
      </c>
      <c r="CP3192" s="4" t="s">
        <v>241</v>
      </c>
      <c r="CQ3192" s="4" t="s">
        <v>261</v>
      </c>
      <c r="CR3192" s="4" t="s">
        <v>241</v>
      </c>
      <c r="CS3192" s="4" t="s">
        <v>241</v>
      </c>
      <c r="CT3192" s="4">
        <v>0</v>
      </c>
      <c r="CU3192" s="4" t="s">
        <v>262</v>
      </c>
      <c r="CV3192" s="4" t="s">
        <v>263</v>
      </c>
      <c r="CW3192" s="4" t="s">
        <v>263</v>
      </c>
      <c r="CX3192" s="4" t="s">
        <v>264</v>
      </c>
      <c r="DA3192" s="6">
        <f>215970</f>
        <v>215970</v>
      </c>
      <c r="DC3192" s="4" t="s">
        <v>287</v>
      </c>
      <c r="DD3192" s="4" t="s">
        <v>241</v>
      </c>
      <c r="DF3192" s="4" t="s">
        <v>325</v>
      </c>
      <c r="DG3192" s="6">
        <f>62.6</f>
        <v>62.6</v>
      </c>
      <c r="DH3192" s="5" t="s">
        <v>3867</v>
      </c>
      <c r="DI3192" s="4" t="s">
        <v>241</v>
      </c>
      <c r="DJ3192" s="4" t="s">
        <v>241</v>
      </c>
      <c r="DK3192" s="4" t="s">
        <v>241</v>
      </c>
      <c r="DL3192" s="4" t="s">
        <v>241</v>
      </c>
      <c r="DP3192" s="4" t="s">
        <v>241</v>
      </c>
      <c r="DQ3192" s="4" t="s">
        <v>241</v>
      </c>
      <c r="DR3192" s="4" t="s">
        <v>241</v>
      </c>
      <c r="DS3192" s="4" t="s">
        <v>241</v>
      </c>
      <c r="DV3192" s="4" t="s">
        <v>426</v>
      </c>
      <c r="DW3192" s="4" t="s">
        <v>4140</v>
      </c>
      <c r="HO3192" s="4" t="s">
        <v>267</v>
      </c>
    </row>
    <row r="3193" spans="1:223" ht="19.5" customHeight="1" x14ac:dyDescent="0.4">
      <c r="A3193" s="4">
        <v>1</v>
      </c>
      <c r="B3193" s="4" t="s">
        <v>239</v>
      </c>
      <c r="C3193" s="4">
        <v>4896</v>
      </c>
      <c r="D3193" s="4">
        <v>1</v>
      </c>
      <c r="E3193" s="4">
        <v>1</v>
      </c>
      <c r="F3193" s="4" t="s">
        <v>268</v>
      </c>
      <c r="G3193" s="4" t="s">
        <v>241</v>
      </c>
      <c r="H3193" s="4" t="s">
        <v>241</v>
      </c>
      <c r="I3193" s="4" t="s">
        <v>424</v>
      </c>
      <c r="J3193" s="4" t="s">
        <v>274</v>
      </c>
      <c r="K3193" s="4" t="s">
        <v>251</v>
      </c>
      <c r="L3193" s="4" t="s">
        <v>423</v>
      </c>
      <c r="M3193" s="5" t="s">
        <v>5007</v>
      </c>
      <c r="N3193" s="6">
        <f>68</f>
        <v>68</v>
      </c>
      <c r="O3193" s="4" t="s">
        <v>265</v>
      </c>
      <c r="P3193" s="6">
        <f>516800</f>
        <v>516800</v>
      </c>
      <c r="Q3193" s="6">
        <f>0</f>
        <v>0</v>
      </c>
      <c r="S3193" s="6">
        <f>0</f>
        <v>0</v>
      </c>
      <c r="T3193" s="6">
        <f>516800</f>
        <v>516800</v>
      </c>
      <c r="U3193" s="5" t="s">
        <v>1301</v>
      </c>
      <c r="V3193" s="4" t="s">
        <v>270</v>
      </c>
      <c r="W3193" s="4" t="s">
        <v>271</v>
      </c>
      <c r="X3193" s="4" t="s">
        <v>241</v>
      </c>
      <c r="Y3193" s="4" t="s">
        <v>241</v>
      </c>
      <c r="AB3193" s="4" t="s">
        <v>241</v>
      </c>
      <c r="AD3193" s="5" t="s">
        <v>241</v>
      </c>
      <c r="AG3193" s="5" t="s">
        <v>246</v>
      </c>
      <c r="AH3193" s="4" t="s">
        <v>241</v>
      </c>
      <c r="AI3193" s="4" t="s">
        <v>247</v>
      </c>
      <c r="AJ3193" s="4" t="s">
        <v>248</v>
      </c>
      <c r="AZ3193" s="4" t="s">
        <v>249</v>
      </c>
      <c r="BA3193" s="4" t="s">
        <v>241</v>
      </c>
      <c r="BB3193" s="4" t="s">
        <v>250</v>
      </c>
      <c r="BC3193" s="4" t="s">
        <v>241</v>
      </c>
      <c r="BD3193" s="4" t="s">
        <v>252</v>
      </c>
      <c r="BE3193" s="4" t="s">
        <v>241</v>
      </c>
      <c r="BI3193" s="4" t="s">
        <v>253</v>
      </c>
      <c r="BJ3193" s="5" t="s">
        <v>1301</v>
      </c>
      <c r="BK3193" s="4" t="s">
        <v>254</v>
      </c>
      <c r="BL3193" s="4" t="s">
        <v>413</v>
      </c>
      <c r="BM3193" s="4" t="s">
        <v>241</v>
      </c>
      <c r="BN3193" s="6">
        <f>0</f>
        <v>0</v>
      </c>
      <c r="BO3193" s="6">
        <f>0</f>
        <v>0</v>
      </c>
      <c r="BP3193" s="4" t="s">
        <v>256</v>
      </c>
      <c r="BQ3193" s="4" t="s">
        <v>257</v>
      </c>
      <c r="CE3193" s="4" t="s">
        <v>241</v>
      </c>
      <c r="CF3193" s="4" t="s">
        <v>241</v>
      </c>
      <c r="CJ3193" s="4" t="s">
        <v>258</v>
      </c>
      <c r="CK3193" s="4" t="s">
        <v>259</v>
      </c>
      <c r="CL3193" s="4" t="s">
        <v>241</v>
      </c>
      <c r="CO3193" s="5" t="s">
        <v>260</v>
      </c>
      <c r="CP3193" s="4" t="s">
        <v>241</v>
      </c>
      <c r="CQ3193" s="4" t="s">
        <v>261</v>
      </c>
      <c r="CR3193" s="4" t="s">
        <v>241</v>
      </c>
      <c r="CS3193" s="4" t="s">
        <v>241</v>
      </c>
      <c r="CT3193" s="4">
        <v>0</v>
      </c>
      <c r="CU3193" s="4" t="s">
        <v>262</v>
      </c>
      <c r="CV3193" s="4" t="s">
        <v>263</v>
      </c>
      <c r="CW3193" s="4" t="s">
        <v>263</v>
      </c>
      <c r="CX3193" s="4" t="s">
        <v>264</v>
      </c>
      <c r="DA3193" s="6">
        <f>516800</f>
        <v>516800</v>
      </c>
      <c r="DC3193" s="4" t="s">
        <v>325</v>
      </c>
      <c r="DD3193" s="4" t="s">
        <v>241</v>
      </c>
      <c r="DF3193" s="4" t="s">
        <v>266</v>
      </c>
      <c r="DG3193" s="6">
        <f>0</f>
        <v>0</v>
      </c>
      <c r="DH3193" s="5" t="s">
        <v>3557</v>
      </c>
      <c r="DI3193" s="4" t="s">
        <v>241</v>
      </c>
      <c r="DJ3193" s="4" t="s">
        <v>241</v>
      </c>
      <c r="DK3193" s="4" t="s">
        <v>241</v>
      </c>
      <c r="DL3193" s="4" t="s">
        <v>241</v>
      </c>
      <c r="DP3193" s="4" t="s">
        <v>241</v>
      </c>
      <c r="DQ3193" s="4" t="s">
        <v>241</v>
      </c>
      <c r="DR3193" s="4" t="s">
        <v>241</v>
      </c>
      <c r="DS3193" s="4" t="s">
        <v>241</v>
      </c>
      <c r="DV3193" s="4" t="s">
        <v>426</v>
      </c>
      <c r="DW3193" s="4" t="s">
        <v>5008</v>
      </c>
      <c r="HO3193" s="4" t="s">
        <v>267</v>
      </c>
    </row>
    <row r="3194" spans="1:223" ht="19.5" customHeight="1" x14ac:dyDescent="0.4">
      <c r="A3194" s="4">
        <v>1</v>
      </c>
      <c r="B3194" s="4" t="s">
        <v>239</v>
      </c>
      <c r="C3194" s="4">
        <v>4897</v>
      </c>
      <c r="D3194" s="4">
        <v>1</v>
      </c>
      <c r="E3194" s="4">
        <v>1</v>
      </c>
      <c r="F3194" s="4" t="s">
        <v>268</v>
      </c>
      <c r="G3194" s="4" t="s">
        <v>241</v>
      </c>
      <c r="H3194" s="4" t="s">
        <v>241</v>
      </c>
      <c r="I3194" s="4" t="s">
        <v>424</v>
      </c>
      <c r="J3194" s="4" t="s">
        <v>274</v>
      </c>
      <c r="K3194" s="4" t="s">
        <v>251</v>
      </c>
      <c r="L3194" s="4" t="s">
        <v>423</v>
      </c>
      <c r="M3194" s="5" t="s">
        <v>4198</v>
      </c>
      <c r="N3194" s="6">
        <f>617</f>
        <v>617</v>
      </c>
      <c r="O3194" s="4" t="s">
        <v>265</v>
      </c>
      <c r="P3194" s="6">
        <f>4689200</f>
        <v>4689200</v>
      </c>
      <c r="Q3194" s="6">
        <f>0</f>
        <v>0</v>
      </c>
      <c r="S3194" s="6">
        <f>0</f>
        <v>0</v>
      </c>
      <c r="T3194" s="6">
        <f>4689200</f>
        <v>4689200</v>
      </c>
      <c r="U3194" s="5" t="s">
        <v>1301</v>
      </c>
      <c r="V3194" s="4" t="s">
        <v>270</v>
      </c>
      <c r="W3194" s="4" t="s">
        <v>271</v>
      </c>
      <c r="X3194" s="4" t="s">
        <v>241</v>
      </c>
      <c r="Y3194" s="4" t="s">
        <v>241</v>
      </c>
      <c r="AB3194" s="4" t="s">
        <v>241</v>
      </c>
      <c r="AD3194" s="5" t="s">
        <v>241</v>
      </c>
      <c r="AG3194" s="5" t="s">
        <v>246</v>
      </c>
      <c r="AH3194" s="4" t="s">
        <v>241</v>
      </c>
      <c r="AI3194" s="4" t="s">
        <v>247</v>
      </c>
      <c r="AJ3194" s="4" t="s">
        <v>248</v>
      </c>
      <c r="AZ3194" s="4" t="s">
        <v>249</v>
      </c>
      <c r="BA3194" s="4" t="s">
        <v>241</v>
      </c>
      <c r="BB3194" s="4" t="s">
        <v>250</v>
      </c>
      <c r="BC3194" s="4" t="s">
        <v>241</v>
      </c>
      <c r="BD3194" s="4" t="s">
        <v>252</v>
      </c>
      <c r="BE3194" s="4" t="s">
        <v>241</v>
      </c>
      <c r="BI3194" s="4" t="s">
        <v>253</v>
      </c>
      <c r="BJ3194" s="5" t="s">
        <v>1301</v>
      </c>
      <c r="BK3194" s="4" t="s">
        <v>254</v>
      </c>
      <c r="BL3194" s="4" t="s">
        <v>413</v>
      </c>
      <c r="BM3194" s="4" t="s">
        <v>241</v>
      </c>
      <c r="BN3194" s="6">
        <f>0</f>
        <v>0</v>
      </c>
      <c r="BO3194" s="6">
        <f>0</f>
        <v>0</v>
      </c>
      <c r="BP3194" s="4" t="s">
        <v>256</v>
      </c>
      <c r="BQ3194" s="4" t="s">
        <v>257</v>
      </c>
      <c r="CE3194" s="4" t="s">
        <v>241</v>
      </c>
      <c r="CF3194" s="4" t="s">
        <v>241</v>
      </c>
      <c r="CJ3194" s="4" t="s">
        <v>258</v>
      </c>
      <c r="CK3194" s="4" t="s">
        <v>259</v>
      </c>
      <c r="CL3194" s="4" t="s">
        <v>241</v>
      </c>
      <c r="CO3194" s="5" t="s">
        <v>260</v>
      </c>
      <c r="CP3194" s="4" t="s">
        <v>241</v>
      </c>
      <c r="CQ3194" s="4" t="s">
        <v>261</v>
      </c>
      <c r="CR3194" s="4" t="s">
        <v>241</v>
      </c>
      <c r="CS3194" s="4" t="s">
        <v>241</v>
      </c>
      <c r="CT3194" s="4">
        <v>0</v>
      </c>
      <c r="CU3194" s="4" t="s">
        <v>262</v>
      </c>
      <c r="CV3194" s="4" t="s">
        <v>263</v>
      </c>
      <c r="CW3194" s="4" t="s">
        <v>263</v>
      </c>
      <c r="CX3194" s="4" t="s">
        <v>264</v>
      </c>
      <c r="DA3194" s="6">
        <f>4689200</f>
        <v>4689200</v>
      </c>
      <c r="DC3194" s="4" t="s">
        <v>325</v>
      </c>
      <c r="DD3194" s="4" t="s">
        <v>241</v>
      </c>
      <c r="DF3194" s="4" t="s">
        <v>325</v>
      </c>
      <c r="DG3194" s="6">
        <f>0</f>
        <v>0</v>
      </c>
      <c r="DH3194" s="5" t="s">
        <v>4199</v>
      </c>
      <c r="DI3194" s="4" t="s">
        <v>241</v>
      </c>
      <c r="DJ3194" s="4" t="s">
        <v>241</v>
      </c>
      <c r="DK3194" s="4" t="s">
        <v>241</v>
      </c>
      <c r="DL3194" s="4" t="s">
        <v>241</v>
      </c>
      <c r="DP3194" s="4" t="s">
        <v>241</v>
      </c>
      <c r="DQ3194" s="4" t="s">
        <v>241</v>
      </c>
      <c r="DR3194" s="4" t="s">
        <v>241</v>
      </c>
      <c r="DS3194" s="4" t="s">
        <v>241</v>
      </c>
      <c r="DV3194" s="4" t="s">
        <v>426</v>
      </c>
      <c r="DW3194" s="4" t="s">
        <v>4200</v>
      </c>
      <c r="HO3194" s="4" t="s">
        <v>267</v>
      </c>
    </row>
    <row r="3195" spans="1:223" ht="19.5" customHeight="1" x14ac:dyDescent="0.4">
      <c r="A3195" s="4">
        <v>1</v>
      </c>
      <c r="B3195" s="4" t="s">
        <v>239</v>
      </c>
      <c r="C3195" s="4">
        <v>4898</v>
      </c>
      <c r="D3195" s="4">
        <v>1</v>
      </c>
      <c r="E3195" s="4">
        <v>1</v>
      </c>
      <c r="F3195" s="4" t="s">
        <v>240</v>
      </c>
      <c r="G3195" s="4" t="s">
        <v>241</v>
      </c>
      <c r="H3195" s="4" t="s">
        <v>241</v>
      </c>
      <c r="I3195" s="4" t="s">
        <v>424</v>
      </c>
      <c r="J3195" s="4" t="s">
        <v>274</v>
      </c>
      <c r="K3195" s="4" t="s">
        <v>251</v>
      </c>
      <c r="L3195" s="4" t="s">
        <v>423</v>
      </c>
      <c r="M3195" s="5" t="s">
        <v>4165</v>
      </c>
      <c r="N3195" s="6">
        <f>7.29</f>
        <v>7.29</v>
      </c>
      <c r="O3195" s="4" t="s">
        <v>265</v>
      </c>
      <c r="P3195" s="6">
        <f>204</f>
        <v>204</v>
      </c>
      <c r="Q3195" s="6">
        <f>0</f>
        <v>0</v>
      </c>
      <c r="S3195" s="6">
        <f>0</f>
        <v>0</v>
      </c>
      <c r="T3195" s="6">
        <f>204</f>
        <v>204</v>
      </c>
      <c r="U3195" s="5" t="s">
        <v>245</v>
      </c>
      <c r="V3195" s="4" t="s">
        <v>270</v>
      </c>
      <c r="W3195" s="4" t="s">
        <v>271</v>
      </c>
      <c r="X3195" s="4" t="s">
        <v>273</v>
      </c>
      <c r="Y3195" s="4" t="s">
        <v>241</v>
      </c>
      <c r="AB3195" s="4" t="s">
        <v>241</v>
      </c>
      <c r="AD3195" s="5" t="s">
        <v>241</v>
      </c>
      <c r="AG3195" s="5" t="s">
        <v>246</v>
      </c>
      <c r="AH3195" s="4" t="s">
        <v>241</v>
      </c>
      <c r="AI3195" s="4" t="s">
        <v>247</v>
      </c>
      <c r="AJ3195" s="4" t="s">
        <v>248</v>
      </c>
      <c r="AZ3195" s="4" t="s">
        <v>249</v>
      </c>
      <c r="BA3195" s="4" t="s">
        <v>241</v>
      </c>
      <c r="BB3195" s="4" t="s">
        <v>250</v>
      </c>
      <c r="BC3195" s="4" t="s">
        <v>241</v>
      </c>
      <c r="BD3195" s="4" t="s">
        <v>252</v>
      </c>
      <c r="BE3195" s="4" t="s">
        <v>241</v>
      </c>
      <c r="BI3195" s="4" t="s">
        <v>253</v>
      </c>
      <c r="BJ3195" s="5" t="s">
        <v>246</v>
      </c>
      <c r="BK3195" s="4" t="s">
        <v>254</v>
      </c>
      <c r="BL3195" s="4" t="s">
        <v>413</v>
      </c>
      <c r="BM3195" s="4" t="s">
        <v>241</v>
      </c>
      <c r="BN3195" s="6">
        <f>0</f>
        <v>0</v>
      </c>
      <c r="BO3195" s="6">
        <f>0</f>
        <v>0</v>
      </c>
      <c r="BP3195" s="4" t="s">
        <v>256</v>
      </c>
      <c r="BQ3195" s="4" t="s">
        <v>257</v>
      </c>
      <c r="CE3195" s="4" t="s">
        <v>241</v>
      </c>
      <c r="CF3195" s="4" t="s">
        <v>241</v>
      </c>
      <c r="CJ3195" s="4" t="s">
        <v>258</v>
      </c>
      <c r="CK3195" s="4" t="s">
        <v>259</v>
      </c>
      <c r="CL3195" s="4" t="s">
        <v>241</v>
      </c>
      <c r="CO3195" s="5" t="s">
        <v>260</v>
      </c>
      <c r="CP3195" s="4" t="s">
        <v>241</v>
      </c>
      <c r="CQ3195" s="4" t="s">
        <v>261</v>
      </c>
      <c r="CR3195" s="4" t="s">
        <v>241</v>
      </c>
      <c r="CS3195" s="4" t="s">
        <v>241</v>
      </c>
      <c r="CT3195" s="4">
        <v>0</v>
      </c>
      <c r="CU3195" s="4" t="s">
        <v>262</v>
      </c>
      <c r="CV3195" s="4" t="s">
        <v>263</v>
      </c>
      <c r="CW3195" s="4" t="s">
        <v>263</v>
      </c>
      <c r="CX3195" s="4" t="s">
        <v>264</v>
      </c>
      <c r="DA3195" s="6">
        <f>204</f>
        <v>204</v>
      </c>
      <c r="DC3195" s="4" t="s">
        <v>325</v>
      </c>
      <c r="DD3195" s="4" t="s">
        <v>241</v>
      </c>
      <c r="DF3195" s="4" t="s">
        <v>266</v>
      </c>
      <c r="DG3195" s="6">
        <f>7.29</f>
        <v>7.29</v>
      </c>
      <c r="DH3195" s="5" t="s">
        <v>3867</v>
      </c>
      <c r="DI3195" s="4" t="s">
        <v>324</v>
      </c>
      <c r="DJ3195" s="4" t="s">
        <v>241</v>
      </c>
      <c r="DK3195" s="4" t="s">
        <v>241</v>
      </c>
      <c r="DL3195" s="4" t="s">
        <v>241</v>
      </c>
      <c r="DP3195" s="4" t="s">
        <v>241</v>
      </c>
      <c r="DQ3195" s="4" t="s">
        <v>241</v>
      </c>
      <c r="DR3195" s="4" t="s">
        <v>241</v>
      </c>
      <c r="DS3195" s="4" t="s">
        <v>241</v>
      </c>
      <c r="DV3195" s="4" t="s">
        <v>426</v>
      </c>
      <c r="DW3195" s="4" t="s">
        <v>4166</v>
      </c>
      <c r="HO3195" s="4" t="s">
        <v>267</v>
      </c>
    </row>
    <row r="3196" spans="1:223" ht="19.5" customHeight="1" x14ac:dyDescent="0.4">
      <c r="A3196" s="4">
        <v>1</v>
      </c>
      <c r="B3196" s="4" t="s">
        <v>239</v>
      </c>
      <c r="C3196" s="4">
        <v>4899</v>
      </c>
      <c r="D3196" s="4">
        <v>1</v>
      </c>
      <c r="E3196" s="4">
        <v>1</v>
      </c>
      <c r="F3196" s="4" t="s">
        <v>268</v>
      </c>
      <c r="G3196" s="4" t="s">
        <v>241</v>
      </c>
      <c r="H3196" s="4" t="s">
        <v>241</v>
      </c>
      <c r="I3196" s="4" t="s">
        <v>3139</v>
      </c>
      <c r="J3196" s="4" t="s">
        <v>3144</v>
      </c>
      <c r="K3196" s="4" t="s">
        <v>251</v>
      </c>
      <c r="L3196" s="4" t="s">
        <v>1249</v>
      </c>
      <c r="M3196" s="5" t="s">
        <v>3146</v>
      </c>
      <c r="N3196" s="6">
        <f>35</f>
        <v>35</v>
      </c>
      <c r="O3196" s="4" t="s">
        <v>265</v>
      </c>
      <c r="P3196" s="6">
        <f>224999</f>
        <v>224999</v>
      </c>
      <c r="Q3196" s="6">
        <f>0</f>
        <v>0</v>
      </c>
      <c r="S3196" s="6">
        <f>0</f>
        <v>0</v>
      </c>
      <c r="T3196" s="6">
        <f>224999</f>
        <v>224999</v>
      </c>
      <c r="U3196" s="5" t="s">
        <v>3145</v>
      </c>
      <c r="V3196" s="4" t="s">
        <v>270</v>
      </c>
      <c r="W3196" s="4" t="s">
        <v>242</v>
      </c>
      <c r="X3196" s="4" t="s">
        <v>273</v>
      </c>
      <c r="Y3196" s="4" t="s">
        <v>241</v>
      </c>
      <c r="AB3196" s="4" t="s">
        <v>241</v>
      </c>
      <c r="AD3196" s="5" t="s">
        <v>241</v>
      </c>
      <c r="AG3196" s="5" t="s">
        <v>246</v>
      </c>
      <c r="AH3196" s="4" t="s">
        <v>241</v>
      </c>
      <c r="AI3196" s="4" t="s">
        <v>247</v>
      </c>
      <c r="AJ3196" s="4" t="s">
        <v>248</v>
      </c>
      <c r="AZ3196" s="4" t="s">
        <v>249</v>
      </c>
      <c r="BA3196" s="4" t="s">
        <v>241</v>
      </c>
      <c r="BB3196" s="4" t="s">
        <v>250</v>
      </c>
      <c r="BC3196" s="4" t="s">
        <v>241</v>
      </c>
      <c r="BD3196" s="4" t="s">
        <v>252</v>
      </c>
      <c r="BE3196" s="4" t="s">
        <v>241</v>
      </c>
      <c r="BI3196" s="4" t="s">
        <v>253</v>
      </c>
      <c r="BJ3196" s="5" t="s">
        <v>3145</v>
      </c>
      <c r="BK3196" s="4" t="s">
        <v>254</v>
      </c>
      <c r="BL3196" s="4" t="s">
        <v>3147</v>
      </c>
      <c r="BM3196" s="4" t="s">
        <v>241</v>
      </c>
      <c r="BN3196" s="6">
        <f>0</f>
        <v>0</v>
      </c>
      <c r="BO3196" s="6">
        <f>0</f>
        <v>0</v>
      </c>
      <c r="BP3196" s="4" t="s">
        <v>256</v>
      </c>
      <c r="BQ3196" s="4" t="s">
        <v>257</v>
      </c>
      <c r="CE3196" s="4" t="s">
        <v>241</v>
      </c>
      <c r="CF3196" s="4" t="s">
        <v>241</v>
      </c>
      <c r="CJ3196" s="4" t="s">
        <v>258</v>
      </c>
      <c r="CK3196" s="4" t="s">
        <v>259</v>
      </c>
      <c r="CL3196" s="4" t="s">
        <v>241</v>
      </c>
      <c r="CO3196" s="5" t="s">
        <v>260</v>
      </c>
      <c r="CP3196" s="4" t="s">
        <v>241</v>
      </c>
      <c r="CQ3196" s="4" t="s">
        <v>261</v>
      </c>
      <c r="CR3196" s="4" t="s">
        <v>241</v>
      </c>
      <c r="CS3196" s="4" t="s">
        <v>241</v>
      </c>
      <c r="CT3196" s="4">
        <v>0</v>
      </c>
      <c r="CU3196" s="4" t="s">
        <v>262</v>
      </c>
      <c r="CV3196" s="4" t="s">
        <v>263</v>
      </c>
      <c r="CW3196" s="4" t="s">
        <v>263</v>
      </c>
      <c r="CX3196" s="4" t="s">
        <v>264</v>
      </c>
      <c r="DA3196" s="6">
        <f>224999</f>
        <v>224999</v>
      </c>
      <c r="DC3196" s="4" t="s">
        <v>287</v>
      </c>
      <c r="DD3196" s="4" t="s">
        <v>241</v>
      </c>
      <c r="DF3196" s="4" t="s">
        <v>3148</v>
      </c>
      <c r="DG3196" s="6">
        <f>0</f>
        <v>0</v>
      </c>
      <c r="DI3196" s="4" t="s">
        <v>241</v>
      </c>
      <c r="DJ3196" s="4" t="s">
        <v>241</v>
      </c>
      <c r="DK3196" s="4" t="s">
        <v>241</v>
      </c>
      <c r="DL3196" s="4" t="s">
        <v>241</v>
      </c>
      <c r="DP3196" s="4" t="s">
        <v>241</v>
      </c>
      <c r="DQ3196" s="4" t="s">
        <v>241</v>
      </c>
      <c r="DR3196" s="4" t="s">
        <v>241</v>
      </c>
      <c r="DS3196" s="4" t="s">
        <v>241</v>
      </c>
      <c r="DV3196" s="4" t="s">
        <v>3149</v>
      </c>
      <c r="DW3196" s="4" t="s">
        <v>267</v>
      </c>
      <c r="HO3196" s="4" t="s">
        <v>267</v>
      </c>
    </row>
    <row r="3197" spans="1:223" ht="19.5" customHeight="1" x14ac:dyDescent="0.4">
      <c r="A3197" s="4">
        <v>1</v>
      </c>
      <c r="B3197" s="4" t="s">
        <v>239</v>
      </c>
      <c r="C3197" s="4">
        <v>4900</v>
      </c>
      <c r="D3197" s="4">
        <v>1</v>
      </c>
      <c r="E3197" s="4">
        <v>1</v>
      </c>
      <c r="F3197" s="4" t="s">
        <v>268</v>
      </c>
      <c r="G3197" s="4" t="s">
        <v>241</v>
      </c>
      <c r="H3197" s="4" t="s">
        <v>241</v>
      </c>
      <c r="I3197" s="4" t="s">
        <v>3139</v>
      </c>
      <c r="J3197" s="4" t="s">
        <v>274</v>
      </c>
      <c r="K3197" s="4" t="s">
        <v>251</v>
      </c>
      <c r="L3197" s="4" t="s">
        <v>3138</v>
      </c>
      <c r="M3197" s="5" t="s">
        <v>3142</v>
      </c>
      <c r="N3197" s="6">
        <f>13.6</f>
        <v>13.6</v>
      </c>
      <c r="O3197" s="4" t="s">
        <v>265</v>
      </c>
      <c r="P3197" s="6">
        <f>381</f>
        <v>381</v>
      </c>
      <c r="Q3197" s="6">
        <f>0</f>
        <v>0</v>
      </c>
      <c r="S3197" s="6">
        <f>0</f>
        <v>0</v>
      </c>
      <c r="T3197" s="6">
        <f>381</f>
        <v>381</v>
      </c>
      <c r="U3197" s="5" t="s">
        <v>3140</v>
      </c>
      <c r="V3197" s="4" t="s">
        <v>270</v>
      </c>
      <c r="W3197" s="4" t="s">
        <v>242</v>
      </c>
      <c r="X3197" s="4" t="s">
        <v>241</v>
      </c>
      <c r="Y3197" s="4" t="s">
        <v>241</v>
      </c>
      <c r="AB3197" s="4" t="s">
        <v>241</v>
      </c>
      <c r="AD3197" s="5" t="s">
        <v>241</v>
      </c>
      <c r="AG3197" s="5" t="s">
        <v>246</v>
      </c>
      <c r="AH3197" s="4" t="s">
        <v>3141</v>
      </c>
      <c r="AI3197" s="4" t="s">
        <v>247</v>
      </c>
      <c r="AJ3197" s="4" t="s">
        <v>248</v>
      </c>
      <c r="AZ3197" s="4" t="s">
        <v>249</v>
      </c>
      <c r="BA3197" s="4" t="s">
        <v>241</v>
      </c>
      <c r="BB3197" s="4" t="s">
        <v>250</v>
      </c>
      <c r="BC3197" s="4" t="s">
        <v>241</v>
      </c>
      <c r="BD3197" s="4" t="s">
        <v>252</v>
      </c>
      <c r="BE3197" s="4" t="s">
        <v>241</v>
      </c>
      <c r="BI3197" s="4" t="s">
        <v>253</v>
      </c>
      <c r="BJ3197" s="5" t="s">
        <v>3140</v>
      </c>
      <c r="BK3197" s="4" t="s">
        <v>254</v>
      </c>
      <c r="BL3197" s="4" t="s">
        <v>413</v>
      </c>
      <c r="BM3197" s="4" t="s">
        <v>241</v>
      </c>
      <c r="BN3197" s="6">
        <f>0</f>
        <v>0</v>
      </c>
      <c r="BO3197" s="6">
        <f>0</f>
        <v>0</v>
      </c>
      <c r="BP3197" s="4" t="s">
        <v>256</v>
      </c>
      <c r="BQ3197" s="4" t="s">
        <v>257</v>
      </c>
      <c r="CE3197" s="4" t="s">
        <v>241</v>
      </c>
      <c r="CF3197" s="4" t="s">
        <v>241</v>
      </c>
      <c r="CJ3197" s="4" t="s">
        <v>258</v>
      </c>
      <c r="CK3197" s="4" t="s">
        <v>259</v>
      </c>
      <c r="CL3197" s="4" t="s">
        <v>241</v>
      </c>
      <c r="CO3197" s="5" t="s">
        <v>260</v>
      </c>
      <c r="CP3197" s="4" t="s">
        <v>241</v>
      </c>
      <c r="CQ3197" s="4" t="s">
        <v>261</v>
      </c>
      <c r="CR3197" s="4" t="s">
        <v>241</v>
      </c>
      <c r="CS3197" s="4" t="s">
        <v>241</v>
      </c>
      <c r="CT3197" s="4">
        <v>0</v>
      </c>
      <c r="CU3197" s="4" t="s">
        <v>262</v>
      </c>
      <c r="CV3197" s="4" t="s">
        <v>263</v>
      </c>
      <c r="CW3197" s="4" t="s">
        <v>263</v>
      </c>
      <c r="CX3197" s="4" t="s">
        <v>264</v>
      </c>
      <c r="DA3197" s="6">
        <f>381</f>
        <v>381</v>
      </c>
      <c r="DC3197" s="4" t="s">
        <v>287</v>
      </c>
      <c r="DD3197" s="4" t="s">
        <v>241</v>
      </c>
      <c r="DF3197" s="4" t="s">
        <v>287</v>
      </c>
      <c r="DG3197" s="6">
        <f>13.6</f>
        <v>13.6</v>
      </c>
      <c r="DH3197" s="5" t="s">
        <v>2220</v>
      </c>
      <c r="DI3197" s="4" t="s">
        <v>241</v>
      </c>
      <c r="DJ3197" s="4" t="s">
        <v>241</v>
      </c>
      <c r="DK3197" s="4" t="s">
        <v>241</v>
      </c>
      <c r="DL3197" s="4" t="s">
        <v>241</v>
      </c>
      <c r="DP3197" s="4" t="s">
        <v>241</v>
      </c>
      <c r="DQ3197" s="4" t="s">
        <v>241</v>
      </c>
      <c r="DR3197" s="4" t="s">
        <v>241</v>
      </c>
      <c r="DS3197" s="4" t="s">
        <v>241</v>
      </c>
      <c r="DV3197" s="4" t="s">
        <v>3143</v>
      </c>
      <c r="DW3197" s="4" t="s">
        <v>267</v>
      </c>
      <c r="HO3197" s="4" t="s">
        <v>267</v>
      </c>
    </row>
    <row r="3198" spans="1:223" ht="19.5" customHeight="1" x14ac:dyDescent="0.4">
      <c r="A3198" s="4">
        <v>1</v>
      </c>
      <c r="B3198" s="4" t="s">
        <v>239</v>
      </c>
      <c r="C3198" s="4">
        <v>4901</v>
      </c>
      <c r="D3198" s="4">
        <v>1</v>
      </c>
      <c r="E3198" s="4">
        <v>1</v>
      </c>
      <c r="F3198" s="4" t="s">
        <v>268</v>
      </c>
      <c r="G3198" s="4" t="s">
        <v>241</v>
      </c>
      <c r="H3198" s="4" t="s">
        <v>241</v>
      </c>
      <c r="I3198" s="4" t="s">
        <v>3151</v>
      </c>
      <c r="J3198" s="4" t="s">
        <v>3152</v>
      </c>
      <c r="K3198" s="4" t="s">
        <v>251</v>
      </c>
      <c r="L3198" s="4" t="s">
        <v>3156</v>
      </c>
      <c r="M3198" s="5" t="s">
        <v>3153</v>
      </c>
      <c r="N3198" s="6">
        <f>5281.61</f>
        <v>5281.61</v>
      </c>
      <c r="O3198" s="4" t="s">
        <v>265</v>
      </c>
      <c r="P3198" s="6">
        <f>8321705</f>
        <v>8321705</v>
      </c>
      <c r="Q3198" s="6">
        <f>0</f>
        <v>0</v>
      </c>
      <c r="S3198" s="6">
        <f>0</f>
        <v>0</v>
      </c>
      <c r="T3198" s="6">
        <f>8321705</f>
        <v>8321705</v>
      </c>
      <c r="U3198" s="5" t="s">
        <v>3157</v>
      </c>
      <c r="V3198" s="4" t="s">
        <v>270</v>
      </c>
      <c r="W3198" s="4" t="s">
        <v>242</v>
      </c>
      <c r="X3198" s="4" t="s">
        <v>241</v>
      </c>
      <c r="Y3198" s="4" t="s">
        <v>241</v>
      </c>
      <c r="AB3198" s="4" t="s">
        <v>241</v>
      </c>
      <c r="AD3198" s="5" t="s">
        <v>241</v>
      </c>
      <c r="AG3198" s="5" t="s">
        <v>246</v>
      </c>
      <c r="AH3198" s="4" t="s">
        <v>241</v>
      </c>
      <c r="AI3198" s="4" t="s">
        <v>247</v>
      </c>
      <c r="AJ3198" s="4" t="s">
        <v>264</v>
      </c>
      <c r="AZ3198" s="4" t="s">
        <v>249</v>
      </c>
      <c r="BA3198" s="4" t="s">
        <v>241</v>
      </c>
      <c r="BB3198" s="4" t="s">
        <v>250</v>
      </c>
      <c r="BC3198" s="4" t="s">
        <v>241</v>
      </c>
      <c r="BD3198" s="4" t="s">
        <v>252</v>
      </c>
      <c r="BE3198" s="4" t="s">
        <v>241</v>
      </c>
      <c r="BI3198" s="4" t="s">
        <v>253</v>
      </c>
      <c r="BJ3198" s="5" t="s">
        <v>3157</v>
      </c>
      <c r="BK3198" s="4" t="s">
        <v>254</v>
      </c>
      <c r="BL3198" s="4" t="s">
        <v>306</v>
      </c>
      <c r="BM3198" s="4" t="s">
        <v>241</v>
      </c>
      <c r="BN3198" s="6">
        <f>0</f>
        <v>0</v>
      </c>
      <c r="BO3198" s="6">
        <f>0</f>
        <v>0</v>
      </c>
      <c r="BP3198" s="4" t="s">
        <v>256</v>
      </c>
      <c r="BQ3198" s="4" t="s">
        <v>257</v>
      </c>
      <c r="CE3198" s="4" t="s">
        <v>241</v>
      </c>
      <c r="CF3198" s="4" t="s">
        <v>241</v>
      </c>
      <c r="CJ3198" s="4" t="s">
        <v>286</v>
      </c>
      <c r="CK3198" s="4" t="s">
        <v>259</v>
      </c>
      <c r="CL3198" s="4" t="s">
        <v>241</v>
      </c>
      <c r="CO3198" s="5" t="s">
        <v>260</v>
      </c>
      <c r="CP3198" s="4" t="s">
        <v>241</v>
      </c>
      <c r="CQ3198" s="4" t="s">
        <v>261</v>
      </c>
      <c r="CR3198" s="4" t="s">
        <v>241</v>
      </c>
      <c r="CS3198" s="4" t="s">
        <v>241</v>
      </c>
      <c r="CT3198" s="4">
        <v>0</v>
      </c>
      <c r="CU3198" s="4" t="s">
        <v>262</v>
      </c>
      <c r="CV3198" s="4" t="s">
        <v>263</v>
      </c>
      <c r="CW3198" s="4" t="s">
        <v>263</v>
      </c>
      <c r="CX3198" s="4" t="s">
        <v>264</v>
      </c>
      <c r="DA3198" s="6">
        <f>8321705</f>
        <v>8321705</v>
      </c>
      <c r="DC3198" s="4" t="s">
        <v>287</v>
      </c>
      <c r="DD3198" s="4" t="s">
        <v>241</v>
      </c>
      <c r="DF3198" s="4" t="s">
        <v>287</v>
      </c>
      <c r="DG3198" s="6">
        <f>0</f>
        <v>0</v>
      </c>
      <c r="DI3198" s="4" t="s">
        <v>241</v>
      </c>
      <c r="DJ3198" s="4" t="s">
        <v>241</v>
      </c>
      <c r="DK3198" s="4" t="s">
        <v>241</v>
      </c>
      <c r="DL3198" s="4" t="s">
        <v>241</v>
      </c>
      <c r="DP3198" s="4" t="s">
        <v>241</v>
      </c>
      <c r="DQ3198" s="4" t="s">
        <v>241</v>
      </c>
      <c r="DR3198" s="4" t="s">
        <v>241</v>
      </c>
      <c r="DS3198" s="4" t="s">
        <v>241</v>
      </c>
      <c r="DV3198" s="4" t="s">
        <v>3155</v>
      </c>
      <c r="DW3198" s="4" t="s">
        <v>267</v>
      </c>
      <c r="HO3198" s="4" t="s">
        <v>267</v>
      </c>
    </row>
    <row r="3199" spans="1:223" ht="19.5" customHeight="1" x14ac:dyDescent="0.4">
      <c r="A3199" s="4">
        <v>1</v>
      </c>
      <c r="B3199" s="4" t="s">
        <v>239</v>
      </c>
      <c r="C3199" s="4">
        <v>4902</v>
      </c>
      <c r="D3199" s="4">
        <v>1</v>
      </c>
      <c r="E3199" s="4">
        <v>1</v>
      </c>
      <c r="F3199" s="4" t="s">
        <v>268</v>
      </c>
      <c r="G3199" s="4" t="s">
        <v>241</v>
      </c>
      <c r="H3199" s="4" t="s">
        <v>241</v>
      </c>
      <c r="I3199" s="4" t="s">
        <v>3151</v>
      </c>
      <c r="J3199" s="4" t="s">
        <v>3152</v>
      </c>
      <c r="K3199" s="4" t="s">
        <v>251</v>
      </c>
      <c r="L3199" s="4" t="s">
        <v>3150</v>
      </c>
      <c r="M3199" s="5" t="s">
        <v>3153</v>
      </c>
      <c r="N3199" s="6">
        <f>564.51</f>
        <v>564.51</v>
      </c>
      <c r="O3199" s="4" t="s">
        <v>265</v>
      </c>
      <c r="P3199" s="6">
        <f>5172335</f>
        <v>5172335</v>
      </c>
      <c r="Q3199" s="6">
        <f>0</f>
        <v>0</v>
      </c>
      <c r="S3199" s="6">
        <f>0</f>
        <v>0</v>
      </c>
      <c r="T3199" s="6">
        <f>5172335</f>
        <v>5172335</v>
      </c>
      <c r="U3199" s="5" t="s">
        <v>1404</v>
      </c>
      <c r="V3199" s="4" t="s">
        <v>270</v>
      </c>
      <c r="W3199" s="4" t="s">
        <v>242</v>
      </c>
      <c r="X3199" s="4" t="s">
        <v>273</v>
      </c>
      <c r="Y3199" s="4" t="s">
        <v>241</v>
      </c>
      <c r="AB3199" s="4" t="s">
        <v>241</v>
      </c>
      <c r="AD3199" s="5" t="s">
        <v>241</v>
      </c>
      <c r="AG3199" s="5" t="s">
        <v>246</v>
      </c>
      <c r="AH3199" s="4" t="s">
        <v>269</v>
      </c>
      <c r="AI3199" s="4" t="s">
        <v>247</v>
      </c>
      <c r="AJ3199" s="4" t="s">
        <v>248</v>
      </c>
      <c r="AZ3199" s="4" t="s">
        <v>249</v>
      </c>
      <c r="BA3199" s="4" t="s">
        <v>241</v>
      </c>
      <c r="BB3199" s="4" t="s">
        <v>250</v>
      </c>
      <c r="BC3199" s="4" t="s">
        <v>241</v>
      </c>
      <c r="BD3199" s="4" t="s">
        <v>252</v>
      </c>
      <c r="BE3199" s="4" t="s">
        <v>241</v>
      </c>
      <c r="BI3199" s="4" t="s">
        <v>253</v>
      </c>
      <c r="BJ3199" s="5" t="s">
        <v>1404</v>
      </c>
      <c r="BK3199" s="4" t="s">
        <v>254</v>
      </c>
      <c r="BL3199" s="4" t="s">
        <v>323</v>
      </c>
      <c r="BM3199" s="4" t="s">
        <v>241</v>
      </c>
      <c r="BN3199" s="6">
        <f>0</f>
        <v>0</v>
      </c>
      <c r="BO3199" s="6">
        <f>0</f>
        <v>0</v>
      </c>
      <c r="BP3199" s="4" t="s">
        <v>256</v>
      </c>
      <c r="BQ3199" s="4" t="s">
        <v>257</v>
      </c>
      <c r="CE3199" s="4" t="s">
        <v>241</v>
      </c>
      <c r="CF3199" s="4" t="s">
        <v>241</v>
      </c>
      <c r="CJ3199" s="4" t="s">
        <v>286</v>
      </c>
      <c r="CK3199" s="4" t="s">
        <v>259</v>
      </c>
      <c r="CL3199" s="4" t="s">
        <v>241</v>
      </c>
      <c r="CO3199" s="5" t="s">
        <v>260</v>
      </c>
      <c r="CP3199" s="4" t="s">
        <v>241</v>
      </c>
      <c r="CQ3199" s="4" t="s">
        <v>261</v>
      </c>
      <c r="CR3199" s="4" t="s">
        <v>241</v>
      </c>
      <c r="CS3199" s="4" t="s">
        <v>241</v>
      </c>
      <c r="CT3199" s="4">
        <v>0</v>
      </c>
      <c r="CU3199" s="4" t="s">
        <v>262</v>
      </c>
      <c r="CV3199" s="4" t="s">
        <v>263</v>
      </c>
      <c r="CW3199" s="4" t="s">
        <v>263</v>
      </c>
      <c r="CX3199" s="4" t="s">
        <v>264</v>
      </c>
      <c r="DA3199" s="6">
        <f>5172335</f>
        <v>5172335</v>
      </c>
      <c r="DC3199" s="4" t="s">
        <v>287</v>
      </c>
      <c r="DD3199" s="4" t="s">
        <v>241</v>
      </c>
      <c r="DF3199" s="4" t="s">
        <v>287</v>
      </c>
      <c r="DG3199" s="6">
        <f>564.51</f>
        <v>564.51</v>
      </c>
      <c r="DH3199" s="5" t="s">
        <v>3154</v>
      </c>
      <c r="DI3199" s="4" t="s">
        <v>241</v>
      </c>
      <c r="DJ3199" s="4" t="s">
        <v>241</v>
      </c>
      <c r="DK3199" s="4" t="s">
        <v>241</v>
      </c>
      <c r="DL3199" s="4" t="s">
        <v>241</v>
      </c>
      <c r="DP3199" s="4" t="s">
        <v>241</v>
      </c>
      <c r="DQ3199" s="4" t="s">
        <v>241</v>
      </c>
      <c r="DR3199" s="4" t="s">
        <v>241</v>
      </c>
      <c r="DS3199" s="4" t="s">
        <v>241</v>
      </c>
      <c r="DV3199" s="4" t="s">
        <v>3155</v>
      </c>
      <c r="DW3199" s="4" t="s">
        <v>388</v>
      </c>
      <c r="HO3199" s="4" t="s">
        <v>388</v>
      </c>
    </row>
    <row r="3200" spans="1:223" ht="19.5" customHeight="1" x14ac:dyDescent="0.4">
      <c r="A3200" s="4">
        <v>1</v>
      </c>
      <c r="B3200" s="4" t="s">
        <v>239</v>
      </c>
      <c r="C3200" s="4">
        <v>8437</v>
      </c>
      <c r="D3200" s="4">
        <v>1</v>
      </c>
      <c r="E3200" s="4">
        <v>1</v>
      </c>
      <c r="F3200" s="4" t="s">
        <v>240</v>
      </c>
      <c r="G3200" s="4" t="s">
        <v>241</v>
      </c>
      <c r="H3200" s="4" t="s">
        <v>241</v>
      </c>
      <c r="I3200" s="4" t="s">
        <v>5325</v>
      </c>
      <c r="J3200" s="4" t="s">
        <v>489</v>
      </c>
      <c r="K3200" s="4" t="s">
        <v>415</v>
      </c>
      <c r="L3200" s="4" t="s">
        <v>5324</v>
      </c>
      <c r="M3200" s="5" t="s">
        <v>5407</v>
      </c>
      <c r="N3200" s="6">
        <f>440</f>
        <v>440</v>
      </c>
      <c r="O3200" s="4" t="s">
        <v>265</v>
      </c>
      <c r="P3200" s="6">
        <f>974600</f>
        <v>974600</v>
      </c>
      <c r="Q3200" s="6">
        <f>0</f>
        <v>0</v>
      </c>
      <c r="S3200" s="6">
        <f>0</f>
        <v>0</v>
      </c>
      <c r="T3200" s="6">
        <f>974600</f>
        <v>974600</v>
      </c>
      <c r="U3200" s="5" t="s">
        <v>245</v>
      </c>
      <c r="V3200" s="4" t="s">
        <v>270</v>
      </c>
      <c r="W3200" s="4" t="s">
        <v>242</v>
      </c>
      <c r="X3200" s="4" t="s">
        <v>273</v>
      </c>
      <c r="Y3200" s="4" t="s">
        <v>241</v>
      </c>
      <c r="AB3200" s="4" t="s">
        <v>241</v>
      </c>
      <c r="AD3200" s="5" t="s">
        <v>241</v>
      </c>
      <c r="AG3200" s="5" t="s">
        <v>246</v>
      </c>
      <c r="AH3200" s="4" t="s">
        <v>241</v>
      </c>
      <c r="AI3200" s="4" t="s">
        <v>247</v>
      </c>
      <c r="AJ3200" s="4" t="s">
        <v>248</v>
      </c>
      <c r="AZ3200" s="4" t="s">
        <v>249</v>
      </c>
      <c r="BA3200" s="4" t="s">
        <v>241</v>
      </c>
      <c r="BB3200" s="4" t="s">
        <v>250</v>
      </c>
      <c r="BC3200" s="4" t="s">
        <v>241</v>
      </c>
      <c r="BD3200" s="4" t="s">
        <v>252</v>
      </c>
      <c r="BE3200" s="4" t="s">
        <v>241</v>
      </c>
      <c r="BI3200" s="4" t="s">
        <v>284</v>
      </c>
      <c r="BJ3200" s="5" t="s">
        <v>282</v>
      </c>
      <c r="BK3200" s="4" t="s">
        <v>254</v>
      </c>
      <c r="BL3200" s="4" t="s">
        <v>323</v>
      </c>
      <c r="BM3200" s="4" t="s">
        <v>241</v>
      </c>
      <c r="BN3200" s="6">
        <f>0</f>
        <v>0</v>
      </c>
      <c r="BO3200" s="6">
        <f>0</f>
        <v>0</v>
      </c>
      <c r="BP3200" s="4" t="s">
        <v>256</v>
      </c>
      <c r="BQ3200" s="4" t="s">
        <v>257</v>
      </c>
      <c r="CE3200" s="4" t="s">
        <v>241</v>
      </c>
      <c r="CF3200" s="4" t="s">
        <v>241</v>
      </c>
      <c r="CJ3200" s="4" t="s">
        <v>258</v>
      </c>
      <c r="CK3200" s="4" t="s">
        <v>259</v>
      </c>
      <c r="CL3200" s="4" t="s">
        <v>241</v>
      </c>
      <c r="CO3200" s="5" t="s">
        <v>260</v>
      </c>
      <c r="CP3200" s="4" t="s">
        <v>241</v>
      </c>
      <c r="CQ3200" s="4" t="s">
        <v>261</v>
      </c>
      <c r="CR3200" s="4" t="s">
        <v>241</v>
      </c>
      <c r="CS3200" s="4" t="s">
        <v>241</v>
      </c>
      <c r="CT3200" s="4">
        <v>0</v>
      </c>
      <c r="CU3200" s="4" t="s">
        <v>262</v>
      </c>
      <c r="CV3200" s="4" t="s">
        <v>263</v>
      </c>
      <c r="CW3200" s="4" t="s">
        <v>263</v>
      </c>
      <c r="CX3200" s="4" t="s">
        <v>264</v>
      </c>
      <c r="DA3200" s="6">
        <f>974600</f>
        <v>974600</v>
      </c>
      <c r="DC3200" s="4" t="s">
        <v>422</v>
      </c>
      <c r="DD3200" s="4" t="s">
        <v>241</v>
      </c>
      <c r="DF3200" s="4" t="s">
        <v>287</v>
      </c>
      <c r="DG3200" s="6">
        <f>0</f>
        <v>0</v>
      </c>
      <c r="DI3200" s="4" t="s">
        <v>414</v>
      </c>
      <c r="DJ3200" s="4" t="s">
        <v>241</v>
      </c>
      <c r="DK3200" s="4" t="s">
        <v>241</v>
      </c>
      <c r="DL3200" s="4" t="s">
        <v>241</v>
      </c>
      <c r="DP3200" s="4" t="s">
        <v>241</v>
      </c>
      <c r="DQ3200" s="4" t="s">
        <v>241</v>
      </c>
      <c r="DR3200" s="4" t="s">
        <v>241</v>
      </c>
      <c r="DS3200" s="4" t="s">
        <v>241</v>
      </c>
      <c r="DV3200" s="4" t="s">
        <v>5329</v>
      </c>
      <c r="DW3200" s="4" t="s">
        <v>267</v>
      </c>
      <c r="HO3200" s="4" t="s">
        <v>388</v>
      </c>
    </row>
    <row r="3201" spans="1:240" ht="19.5" customHeight="1" x14ac:dyDescent="0.4">
      <c r="A3201" s="4">
        <v>1</v>
      </c>
      <c r="B3201" s="4" t="s">
        <v>239</v>
      </c>
      <c r="C3201" s="4">
        <v>8552</v>
      </c>
      <c r="D3201" s="4">
        <v>1</v>
      </c>
      <c r="E3201" s="4">
        <v>1</v>
      </c>
      <c r="F3201" s="4" t="s">
        <v>1205</v>
      </c>
      <c r="G3201" s="4" t="s">
        <v>241</v>
      </c>
      <c r="H3201" s="4" t="s">
        <v>241</v>
      </c>
      <c r="I3201" s="4" t="s">
        <v>272</v>
      </c>
      <c r="J3201" s="4" t="s">
        <v>274</v>
      </c>
      <c r="K3201" s="4" t="s">
        <v>251</v>
      </c>
      <c r="L3201" s="4" t="s">
        <v>1260</v>
      </c>
      <c r="M3201" s="5" t="s">
        <v>1262</v>
      </c>
      <c r="O3201" s="4" t="s">
        <v>265</v>
      </c>
      <c r="P3201" s="6">
        <f>7101506</f>
        <v>7101506</v>
      </c>
      <c r="S3201" s="6">
        <f>0</f>
        <v>0</v>
      </c>
      <c r="T3201" s="6">
        <f>7101506</f>
        <v>7101506</v>
      </c>
      <c r="U3201" s="5" t="s">
        <v>1261</v>
      </c>
      <c r="V3201" s="4" t="s">
        <v>270</v>
      </c>
      <c r="W3201" s="4" t="s">
        <v>242</v>
      </c>
      <c r="X3201" s="4" t="s">
        <v>243</v>
      </c>
      <c r="Y3201" s="4" t="s">
        <v>241</v>
      </c>
      <c r="AB3201" s="4" t="s">
        <v>241</v>
      </c>
      <c r="AG3201" s="5" t="s">
        <v>1261</v>
      </c>
      <c r="AH3201" s="4" t="s">
        <v>241</v>
      </c>
      <c r="AI3201" s="4" t="s">
        <v>247</v>
      </c>
      <c r="AJ3201" s="4" t="s">
        <v>248</v>
      </c>
      <c r="AZ3201" s="4" t="s">
        <v>241</v>
      </c>
      <c r="BA3201" s="4" t="s">
        <v>241</v>
      </c>
      <c r="BB3201" s="4" t="s">
        <v>250</v>
      </c>
      <c r="BC3201" s="4" t="s">
        <v>241</v>
      </c>
      <c r="BD3201" s="4" t="s">
        <v>252</v>
      </c>
      <c r="BE3201" s="4" t="s">
        <v>241</v>
      </c>
      <c r="BI3201" s="4" t="s">
        <v>1208</v>
      </c>
      <c r="BJ3201" s="5" t="s">
        <v>1261</v>
      </c>
      <c r="BK3201" s="4" t="s">
        <v>1209</v>
      </c>
      <c r="BL3201" s="4" t="s">
        <v>255</v>
      </c>
      <c r="BM3201" s="4" t="s">
        <v>241</v>
      </c>
      <c r="BN3201" s="6">
        <f>0</f>
        <v>0</v>
      </c>
      <c r="BO3201" s="6">
        <f>7101506</f>
        <v>7101506</v>
      </c>
      <c r="BP3201" s="4" t="s">
        <v>256</v>
      </c>
      <c r="BQ3201" s="4" t="s">
        <v>257</v>
      </c>
      <c r="CE3201" s="4" t="s">
        <v>241</v>
      </c>
      <c r="CF3201" s="4" t="s">
        <v>241</v>
      </c>
      <c r="CJ3201" s="4" t="s">
        <v>286</v>
      </c>
      <c r="CK3201" s="4" t="s">
        <v>259</v>
      </c>
      <c r="CL3201" s="4" t="s">
        <v>241</v>
      </c>
      <c r="CO3201" s="5" t="s">
        <v>260</v>
      </c>
      <c r="CP3201" s="4" t="s">
        <v>241</v>
      </c>
      <c r="CQ3201" s="4" t="s">
        <v>261</v>
      </c>
      <c r="CR3201" s="4" t="s">
        <v>241</v>
      </c>
      <c r="CS3201" s="4" t="s">
        <v>241</v>
      </c>
      <c r="CT3201" s="4">
        <v>0</v>
      </c>
      <c r="CU3201" s="4" t="s">
        <v>1210</v>
      </c>
      <c r="CV3201" s="4" t="s">
        <v>263</v>
      </c>
      <c r="CW3201" s="4" t="s">
        <v>263</v>
      </c>
      <c r="CX3201" s="4" t="s">
        <v>264</v>
      </c>
      <c r="DA3201" s="6">
        <f>7101506</f>
        <v>7101506</v>
      </c>
      <c r="DC3201" s="4" t="s">
        <v>241</v>
      </c>
      <c r="DD3201" s="4" t="s">
        <v>241</v>
      </c>
      <c r="DF3201" s="4" t="s">
        <v>241</v>
      </c>
      <c r="DG3201" s="6" t="s">
        <v>241</v>
      </c>
      <c r="DI3201" s="4" t="s">
        <v>241</v>
      </c>
      <c r="DJ3201" s="4" t="s">
        <v>241</v>
      </c>
      <c r="DK3201" s="4" t="s">
        <v>241</v>
      </c>
      <c r="DL3201" s="4" t="s">
        <v>241</v>
      </c>
      <c r="DP3201" s="4" t="s">
        <v>241</v>
      </c>
      <c r="DQ3201" s="4" t="s">
        <v>241</v>
      </c>
      <c r="DR3201" s="4" t="s">
        <v>241</v>
      </c>
      <c r="DS3201" s="4" t="s">
        <v>241</v>
      </c>
      <c r="DV3201" s="4" t="s">
        <v>278</v>
      </c>
      <c r="DW3201" s="4" t="s">
        <v>1263</v>
      </c>
    </row>
    <row r="3202" spans="1:240" ht="19.5" customHeight="1" x14ac:dyDescent="0.4">
      <c r="A3202" s="4">
        <v>1</v>
      </c>
      <c r="B3202" s="4" t="s">
        <v>239</v>
      </c>
      <c r="C3202" s="4">
        <v>8553</v>
      </c>
      <c r="D3202" s="4">
        <v>1</v>
      </c>
      <c r="E3202" s="4">
        <v>1</v>
      </c>
      <c r="F3202" s="4" t="s">
        <v>1205</v>
      </c>
      <c r="G3202" s="4" t="s">
        <v>241</v>
      </c>
      <c r="H3202" s="4" t="s">
        <v>241</v>
      </c>
      <c r="I3202" s="4" t="s">
        <v>272</v>
      </c>
      <c r="J3202" s="4" t="s">
        <v>274</v>
      </c>
      <c r="K3202" s="4" t="s">
        <v>251</v>
      </c>
      <c r="L3202" s="4" t="s">
        <v>1206</v>
      </c>
      <c r="M3202" s="5" t="s">
        <v>1040</v>
      </c>
      <c r="N3202" s="6">
        <f>526.65</f>
        <v>526.65</v>
      </c>
      <c r="O3202" s="4" t="s">
        <v>265</v>
      </c>
      <c r="P3202" s="6">
        <f>5266793</f>
        <v>5266793</v>
      </c>
      <c r="S3202" s="6">
        <f>0</f>
        <v>0</v>
      </c>
      <c r="T3202" s="6">
        <f>5266793</f>
        <v>5266793</v>
      </c>
      <c r="U3202" s="5" t="s">
        <v>1207</v>
      </c>
      <c r="V3202" s="4" t="s">
        <v>270</v>
      </c>
      <c r="W3202" s="4" t="s">
        <v>242</v>
      </c>
      <c r="X3202" s="4" t="s">
        <v>243</v>
      </c>
      <c r="Y3202" s="4" t="s">
        <v>241</v>
      </c>
      <c r="AB3202" s="4" t="s">
        <v>241</v>
      </c>
      <c r="AG3202" s="5" t="s">
        <v>1207</v>
      </c>
      <c r="AH3202" s="4" t="s">
        <v>241</v>
      </c>
      <c r="AI3202" s="4" t="s">
        <v>247</v>
      </c>
      <c r="AJ3202" s="4" t="s">
        <v>248</v>
      </c>
      <c r="AZ3202" s="4" t="s">
        <v>241</v>
      </c>
      <c r="BA3202" s="4" t="s">
        <v>241</v>
      </c>
      <c r="BB3202" s="4" t="s">
        <v>250</v>
      </c>
      <c r="BC3202" s="4" t="s">
        <v>241</v>
      </c>
      <c r="BD3202" s="4" t="s">
        <v>252</v>
      </c>
      <c r="BE3202" s="4" t="s">
        <v>241</v>
      </c>
      <c r="BI3202" s="4" t="s">
        <v>1208</v>
      </c>
      <c r="BJ3202" s="5" t="s">
        <v>1207</v>
      </c>
      <c r="BK3202" s="4" t="s">
        <v>1209</v>
      </c>
      <c r="BL3202" s="4" t="s">
        <v>255</v>
      </c>
      <c r="BM3202" s="4" t="s">
        <v>241</v>
      </c>
      <c r="BN3202" s="6">
        <f>526.65</f>
        <v>526.65</v>
      </c>
      <c r="BO3202" s="6">
        <f>5266793</f>
        <v>5266793</v>
      </c>
      <c r="BP3202" s="4" t="s">
        <v>256</v>
      </c>
      <c r="BQ3202" s="4" t="s">
        <v>257</v>
      </c>
      <c r="CE3202" s="4" t="s">
        <v>241</v>
      </c>
      <c r="CF3202" s="4" t="s">
        <v>241</v>
      </c>
      <c r="CJ3202" s="4" t="s">
        <v>286</v>
      </c>
      <c r="CK3202" s="4" t="s">
        <v>259</v>
      </c>
      <c r="CL3202" s="4" t="s">
        <v>241</v>
      </c>
      <c r="CO3202" s="5" t="s">
        <v>260</v>
      </c>
      <c r="CP3202" s="4" t="s">
        <v>241</v>
      </c>
      <c r="CQ3202" s="4" t="s">
        <v>261</v>
      </c>
      <c r="CR3202" s="4" t="s">
        <v>241</v>
      </c>
      <c r="CS3202" s="4" t="s">
        <v>241</v>
      </c>
      <c r="CT3202" s="4">
        <v>0</v>
      </c>
      <c r="CU3202" s="4" t="s">
        <v>1210</v>
      </c>
      <c r="CV3202" s="4" t="s">
        <v>263</v>
      </c>
      <c r="CW3202" s="4" t="s">
        <v>263</v>
      </c>
      <c r="CX3202" s="4" t="s">
        <v>264</v>
      </c>
      <c r="CZ3202" s="6">
        <f>10000.55</f>
        <v>10000.549999999999</v>
      </c>
      <c r="DA3202" s="6">
        <f>5266793</f>
        <v>5266793</v>
      </c>
      <c r="DC3202" s="4" t="s">
        <v>241</v>
      </c>
      <c r="DD3202" s="4" t="s">
        <v>241</v>
      </c>
      <c r="DF3202" s="4" t="s">
        <v>241</v>
      </c>
      <c r="DG3202" s="6" t="s">
        <v>241</v>
      </c>
      <c r="DI3202" s="4" t="s">
        <v>241</v>
      </c>
      <c r="DJ3202" s="4" t="s">
        <v>241</v>
      </c>
      <c r="DK3202" s="4" t="s">
        <v>241</v>
      </c>
      <c r="DL3202" s="4" t="s">
        <v>241</v>
      </c>
      <c r="DP3202" s="4" t="s">
        <v>241</v>
      </c>
      <c r="DQ3202" s="4" t="s">
        <v>241</v>
      </c>
      <c r="DR3202" s="4" t="s">
        <v>241</v>
      </c>
      <c r="DS3202" s="4" t="s">
        <v>241</v>
      </c>
      <c r="DV3202" s="4" t="s">
        <v>278</v>
      </c>
      <c r="DW3202" s="4" t="s">
        <v>1211</v>
      </c>
    </row>
    <row r="3203" spans="1:240" ht="19.5" customHeight="1" x14ac:dyDescent="0.4">
      <c r="A3203" s="4">
        <v>1</v>
      </c>
      <c r="B3203" s="4" t="s">
        <v>239</v>
      </c>
      <c r="C3203" s="4">
        <v>8554</v>
      </c>
      <c r="D3203" s="4">
        <v>1</v>
      </c>
      <c r="E3203" s="4">
        <v>2</v>
      </c>
      <c r="F3203" s="4" t="s">
        <v>241</v>
      </c>
      <c r="I3203" s="4" t="s">
        <v>241</v>
      </c>
      <c r="J3203" s="4" t="s">
        <v>274</v>
      </c>
      <c r="K3203" s="4" t="s">
        <v>251</v>
      </c>
      <c r="L3203" s="4" t="s">
        <v>5616</v>
      </c>
      <c r="N3203" s="6">
        <f>75.04</f>
        <v>75.040000000000006</v>
      </c>
      <c r="O3203" s="4" t="s">
        <v>265</v>
      </c>
      <c r="P3203" s="6">
        <f>210112</f>
        <v>210112</v>
      </c>
      <c r="Q3203" s="6">
        <f>0</f>
        <v>0</v>
      </c>
      <c r="R3203" s="6">
        <f>0</f>
        <v>0</v>
      </c>
      <c r="S3203" s="6">
        <f>105056</f>
        <v>105056</v>
      </c>
      <c r="T3203" s="6">
        <f>105056</f>
        <v>105056</v>
      </c>
      <c r="U3203" s="5" t="s">
        <v>5617</v>
      </c>
      <c r="V3203" s="4" t="s">
        <v>270</v>
      </c>
      <c r="W3203" s="4" t="s">
        <v>241</v>
      </c>
      <c r="X3203" s="4" t="s">
        <v>241</v>
      </c>
      <c r="Y3203" s="4" t="s">
        <v>241</v>
      </c>
      <c r="AB3203" s="4" t="s">
        <v>274</v>
      </c>
      <c r="AC3203" s="5" t="s">
        <v>241</v>
      </c>
      <c r="AD3203" s="5" t="s">
        <v>241</v>
      </c>
      <c r="AE3203" s="4" t="s">
        <v>241</v>
      </c>
      <c r="AF3203" s="5" t="s">
        <v>241</v>
      </c>
      <c r="AG3203" s="5" t="s">
        <v>5618</v>
      </c>
      <c r="AH3203" s="4" t="s">
        <v>5606</v>
      </c>
      <c r="AI3203" s="4" t="s">
        <v>247</v>
      </c>
      <c r="AJ3203" s="4" t="s">
        <v>241</v>
      </c>
      <c r="AP3203" s="4" t="s">
        <v>241</v>
      </c>
      <c r="AQ3203" s="4" t="s">
        <v>241</v>
      </c>
      <c r="AR3203" s="4" t="s">
        <v>241</v>
      </c>
      <c r="AS3203" s="5" t="s">
        <v>241</v>
      </c>
      <c r="AT3203" s="5" t="s">
        <v>241</v>
      </c>
      <c r="AU3203" s="5" t="s">
        <v>241</v>
      </c>
      <c r="AX3203" s="4" t="s">
        <v>5562</v>
      </c>
      <c r="AY3203" s="4" t="s">
        <v>5562</v>
      </c>
      <c r="AZ3203" s="4" t="s">
        <v>249</v>
      </c>
      <c r="BA3203" s="4" t="s">
        <v>5549</v>
      </c>
      <c r="BB3203" s="4" t="s">
        <v>250</v>
      </c>
      <c r="BC3203" s="4" t="s">
        <v>241</v>
      </c>
      <c r="BD3203" s="4" t="s">
        <v>252</v>
      </c>
      <c r="BE3203" s="4" t="s">
        <v>5557</v>
      </c>
      <c r="BI3203" s="4" t="s">
        <v>5550</v>
      </c>
      <c r="BJ3203" s="5" t="s">
        <v>5618</v>
      </c>
      <c r="BK3203" s="4" t="s">
        <v>5564</v>
      </c>
      <c r="BL3203" s="4" t="s">
        <v>5565</v>
      </c>
      <c r="BM3203" s="4" t="s">
        <v>241</v>
      </c>
      <c r="BN3203" s="6">
        <f>0</f>
        <v>0</v>
      </c>
      <c r="BO3203" s="6">
        <f>105056</f>
        <v>105056</v>
      </c>
      <c r="BP3203" s="4" t="s">
        <v>256</v>
      </c>
      <c r="BQ3203" s="4" t="s">
        <v>257</v>
      </c>
      <c r="BR3203" s="4" t="s">
        <v>5566</v>
      </c>
      <c r="BS3203" s="4" t="s">
        <v>5567</v>
      </c>
      <c r="BT3203" s="4" t="s">
        <v>5567</v>
      </c>
      <c r="BU3203" s="4" t="s">
        <v>241</v>
      </c>
      <c r="BV3203" s="4" t="s">
        <v>256</v>
      </c>
      <c r="BW3203" s="4" t="s">
        <v>5568</v>
      </c>
      <c r="BX3203" s="4" t="s">
        <v>5568</v>
      </c>
      <c r="BZ3203" s="5" t="s">
        <v>5619</v>
      </c>
      <c r="CA3203" s="4" t="s">
        <v>256</v>
      </c>
      <c r="CB3203" s="4" t="s">
        <v>241</v>
      </c>
      <c r="CC3203" s="4" t="s">
        <v>241</v>
      </c>
      <c r="CD3203" s="4" t="s">
        <v>257</v>
      </c>
      <c r="CE3203" s="4" t="s">
        <v>241</v>
      </c>
      <c r="CF3203" s="4" t="s">
        <v>241</v>
      </c>
      <c r="CJ3203" s="4" t="s">
        <v>241</v>
      </c>
      <c r="CK3203" s="4" t="s">
        <v>241</v>
      </c>
      <c r="CL3203" s="4" t="s">
        <v>264</v>
      </c>
      <c r="CN3203" s="4" t="s">
        <v>241</v>
      </c>
      <c r="CO3203" s="5" t="s">
        <v>260</v>
      </c>
      <c r="CP3203" s="4" t="s">
        <v>5552</v>
      </c>
      <c r="CQ3203" s="4" t="s">
        <v>5553</v>
      </c>
      <c r="CR3203" s="4" t="s">
        <v>5554</v>
      </c>
      <c r="CS3203" s="4" t="s">
        <v>241</v>
      </c>
      <c r="CT3203" s="4">
        <v>0</v>
      </c>
      <c r="CU3203" s="4" t="s">
        <v>241</v>
      </c>
      <c r="CV3203" s="4" t="s">
        <v>241</v>
      </c>
      <c r="CW3203" s="4" t="s">
        <v>241</v>
      </c>
      <c r="CX3203" s="4" t="s">
        <v>264</v>
      </c>
      <c r="CY3203" s="4" t="s">
        <v>241</v>
      </c>
      <c r="CZ3203" s="6">
        <f>2800</f>
        <v>2800</v>
      </c>
      <c r="DA3203" s="6">
        <f>105056</f>
        <v>105056</v>
      </c>
      <c r="DB3203" s="6" t="s">
        <v>241</v>
      </c>
      <c r="DC3203" s="4" t="s">
        <v>241</v>
      </c>
      <c r="DD3203" s="4" t="s">
        <v>241</v>
      </c>
      <c r="DF3203" s="4" t="s">
        <v>241</v>
      </c>
      <c r="DG3203" s="6">
        <f>0</f>
        <v>0</v>
      </c>
      <c r="DH3203" s="5" t="s">
        <v>241</v>
      </c>
      <c r="DI3203" s="4" t="s">
        <v>241</v>
      </c>
      <c r="DJ3203" s="4" t="s">
        <v>241</v>
      </c>
      <c r="DK3203" s="4" t="s">
        <v>241</v>
      </c>
      <c r="DL3203" s="4" t="s">
        <v>241</v>
      </c>
      <c r="DM3203" s="4" t="s">
        <v>241</v>
      </c>
      <c r="DN3203" s="4" t="s">
        <v>241</v>
      </c>
      <c r="DO3203" s="6" t="s">
        <v>241</v>
      </c>
      <c r="DP3203" s="4" t="s">
        <v>241</v>
      </c>
      <c r="DQ3203" s="4" t="s">
        <v>247</v>
      </c>
      <c r="DR3203" s="4" t="s">
        <v>5557</v>
      </c>
      <c r="DS3203" s="4" t="s">
        <v>5557</v>
      </c>
      <c r="DT3203" s="4" t="s">
        <v>241</v>
      </c>
      <c r="DU3203" s="4" t="s">
        <v>241</v>
      </c>
      <c r="GN3203" s="4" t="s">
        <v>5620</v>
      </c>
      <c r="HR3203" s="4" t="s">
        <v>241</v>
      </c>
      <c r="HS3203" s="4" t="s">
        <v>241</v>
      </c>
      <c r="HT3203" s="4" t="s">
        <v>241</v>
      </c>
      <c r="HU3203" s="4" t="s">
        <v>241</v>
      </c>
      <c r="HV3203" s="4" t="s">
        <v>241</v>
      </c>
      <c r="HW3203" s="4" t="s">
        <v>241</v>
      </c>
      <c r="HX3203" s="4" t="s">
        <v>241</v>
      </c>
      <c r="HY3203" s="4" t="s">
        <v>241</v>
      </c>
      <c r="HZ3203" s="4" t="s">
        <v>241</v>
      </c>
      <c r="IA3203" s="4" t="s">
        <v>241</v>
      </c>
      <c r="IB3203" s="4" t="s">
        <v>241</v>
      </c>
      <c r="IC3203" s="4" t="s">
        <v>241</v>
      </c>
      <c r="ID3203" s="4" t="s">
        <v>241</v>
      </c>
      <c r="IE3203" s="4" t="s">
        <v>241</v>
      </c>
      <c r="IF3203" s="4" t="s">
        <v>241</v>
      </c>
    </row>
    <row r="3204" spans="1:240" ht="19.5" customHeight="1" x14ac:dyDescent="0.4">
      <c r="A3204" s="4">
        <v>1</v>
      </c>
      <c r="B3204" s="4" t="s">
        <v>239</v>
      </c>
      <c r="C3204" s="4">
        <v>8555</v>
      </c>
      <c r="D3204" s="4">
        <v>1</v>
      </c>
      <c r="E3204" s="4">
        <v>2</v>
      </c>
      <c r="F3204" s="4" t="s">
        <v>241</v>
      </c>
      <c r="I3204" s="4" t="s">
        <v>241</v>
      </c>
      <c r="J3204" s="4" t="s">
        <v>274</v>
      </c>
      <c r="K3204" s="4" t="s">
        <v>251</v>
      </c>
      <c r="L3204" s="4" t="s">
        <v>5604</v>
      </c>
      <c r="N3204" s="6">
        <f>110.15</f>
        <v>110.15</v>
      </c>
      <c r="O3204" s="4" t="s">
        <v>265</v>
      </c>
      <c r="P3204" s="6">
        <f>440600</f>
        <v>440600</v>
      </c>
      <c r="Q3204" s="6">
        <f>0</f>
        <v>0</v>
      </c>
      <c r="R3204" s="6">
        <f>0</f>
        <v>0</v>
      </c>
      <c r="S3204" s="6">
        <f>220300</f>
        <v>220300</v>
      </c>
      <c r="T3204" s="6">
        <f>220300</f>
        <v>220300</v>
      </c>
      <c r="U3204" s="5" t="s">
        <v>5605</v>
      </c>
      <c r="V3204" s="4" t="s">
        <v>270</v>
      </c>
      <c r="W3204" s="4" t="s">
        <v>241</v>
      </c>
      <c r="X3204" s="4" t="s">
        <v>241</v>
      </c>
      <c r="Y3204" s="4" t="s">
        <v>241</v>
      </c>
      <c r="AB3204" s="4" t="s">
        <v>274</v>
      </c>
      <c r="AC3204" s="5" t="s">
        <v>241</v>
      </c>
      <c r="AD3204" s="5" t="s">
        <v>241</v>
      </c>
      <c r="AE3204" s="4" t="s">
        <v>241</v>
      </c>
      <c r="AF3204" s="5" t="s">
        <v>241</v>
      </c>
      <c r="AG3204" s="5" t="s">
        <v>241</v>
      </c>
      <c r="AH3204" s="4" t="s">
        <v>5606</v>
      </c>
      <c r="AI3204" s="4" t="s">
        <v>247</v>
      </c>
      <c r="AJ3204" s="4" t="s">
        <v>241</v>
      </c>
      <c r="AP3204" s="4" t="s">
        <v>241</v>
      </c>
      <c r="AQ3204" s="4" t="s">
        <v>241</v>
      </c>
      <c r="AR3204" s="4" t="s">
        <v>241</v>
      </c>
      <c r="AS3204" s="5" t="s">
        <v>241</v>
      </c>
      <c r="AT3204" s="5" t="s">
        <v>241</v>
      </c>
      <c r="AU3204" s="5" t="s">
        <v>241</v>
      </c>
      <c r="AX3204" s="4" t="s">
        <v>5562</v>
      </c>
      <c r="AY3204" s="4" t="s">
        <v>5562</v>
      </c>
      <c r="AZ3204" s="4" t="s">
        <v>249</v>
      </c>
      <c r="BA3204" s="4" t="s">
        <v>5549</v>
      </c>
      <c r="BB3204" s="4" t="s">
        <v>250</v>
      </c>
      <c r="BC3204" s="4" t="s">
        <v>241</v>
      </c>
      <c r="BD3204" s="4" t="s">
        <v>252</v>
      </c>
      <c r="BE3204" s="4" t="s">
        <v>5557</v>
      </c>
      <c r="BI3204" s="4" t="s">
        <v>5550</v>
      </c>
      <c r="BJ3204" s="5" t="s">
        <v>5607</v>
      </c>
      <c r="BK3204" s="4" t="s">
        <v>5564</v>
      </c>
      <c r="BL3204" s="4" t="s">
        <v>5565</v>
      </c>
      <c r="BM3204" s="4" t="s">
        <v>241</v>
      </c>
      <c r="BN3204" s="6">
        <f>0</f>
        <v>0</v>
      </c>
      <c r="BO3204" s="6">
        <f>220300</f>
        <v>220300</v>
      </c>
      <c r="BP3204" s="4" t="s">
        <v>256</v>
      </c>
      <c r="BQ3204" s="4" t="s">
        <v>257</v>
      </c>
      <c r="BR3204" s="4" t="s">
        <v>5566</v>
      </c>
      <c r="BS3204" s="4" t="s">
        <v>5567</v>
      </c>
      <c r="BT3204" s="4" t="s">
        <v>5567</v>
      </c>
      <c r="BU3204" s="4" t="s">
        <v>241</v>
      </c>
      <c r="BV3204" s="4" t="s">
        <v>256</v>
      </c>
      <c r="BW3204" s="4" t="s">
        <v>5568</v>
      </c>
      <c r="BX3204" s="4" t="s">
        <v>5568</v>
      </c>
      <c r="BZ3204" s="5" t="s">
        <v>5608</v>
      </c>
      <c r="CA3204" s="4" t="s">
        <v>256</v>
      </c>
      <c r="CB3204" s="4" t="s">
        <v>241</v>
      </c>
      <c r="CC3204" s="4" t="s">
        <v>241</v>
      </c>
      <c r="CD3204" s="4" t="s">
        <v>257</v>
      </c>
      <c r="CE3204" s="4" t="s">
        <v>241</v>
      </c>
      <c r="CF3204" s="4" t="s">
        <v>241</v>
      </c>
      <c r="CJ3204" s="4" t="s">
        <v>241</v>
      </c>
      <c r="CK3204" s="4" t="s">
        <v>241</v>
      </c>
      <c r="CL3204" s="4" t="s">
        <v>264</v>
      </c>
      <c r="CN3204" s="4" t="s">
        <v>241</v>
      </c>
      <c r="CO3204" s="5" t="s">
        <v>260</v>
      </c>
      <c r="CP3204" s="4" t="s">
        <v>5552</v>
      </c>
      <c r="CQ3204" s="4" t="s">
        <v>5553</v>
      </c>
      <c r="CR3204" s="4" t="s">
        <v>5554</v>
      </c>
      <c r="CS3204" s="4" t="s">
        <v>241</v>
      </c>
      <c r="CT3204" s="4">
        <v>0</v>
      </c>
      <c r="CU3204" s="4" t="s">
        <v>241</v>
      </c>
      <c r="CV3204" s="4" t="s">
        <v>241</v>
      </c>
      <c r="CW3204" s="4" t="s">
        <v>241</v>
      </c>
      <c r="CX3204" s="4" t="s">
        <v>264</v>
      </c>
      <c r="CY3204" s="4" t="s">
        <v>241</v>
      </c>
      <c r="CZ3204" s="6">
        <f>4000</f>
        <v>4000</v>
      </c>
      <c r="DA3204" s="6">
        <f>220300</f>
        <v>220300</v>
      </c>
      <c r="DB3204" s="6" t="s">
        <v>241</v>
      </c>
      <c r="DC3204" s="4" t="s">
        <v>241</v>
      </c>
      <c r="DD3204" s="4" t="s">
        <v>241</v>
      </c>
      <c r="DF3204" s="4" t="s">
        <v>241</v>
      </c>
      <c r="DG3204" s="6">
        <f>0</f>
        <v>0</v>
      </c>
      <c r="DH3204" s="5" t="s">
        <v>241</v>
      </c>
      <c r="DI3204" s="4" t="s">
        <v>241</v>
      </c>
      <c r="DJ3204" s="4" t="s">
        <v>241</v>
      </c>
      <c r="DK3204" s="4" t="s">
        <v>241</v>
      </c>
      <c r="DL3204" s="4" t="s">
        <v>241</v>
      </c>
      <c r="DM3204" s="4" t="s">
        <v>241</v>
      </c>
      <c r="DN3204" s="4" t="s">
        <v>241</v>
      </c>
      <c r="DO3204" s="6" t="s">
        <v>241</v>
      </c>
      <c r="DP3204" s="4" t="s">
        <v>241</v>
      </c>
      <c r="DQ3204" s="4" t="s">
        <v>247</v>
      </c>
      <c r="DR3204" s="4" t="s">
        <v>5557</v>
      </c>
      <c r="DS3204" s="4" t="s">
        <v>5557</v>
      </c>
      <c r="DT3204" s="4" t="s">
        <v>241</v>
      </c>
      <c r="DU3204" s="4" t="s">
        <v>241</v>
      </c>
      <c r="GN3204" s="4" t="s">
        <v>5609</v>
      </c>
      <c r="HR3204" s="4" t="s">
        <v>241</v>
      </c>
      <c r="HS3204" s="4" t="s">
        <v>241</v>
      </c>
      <c r="HT3204" s="4" t="s">
        <v>241</v>
      </c>
      <c r="HU3204" s="4" t="s">
        <v>241</v>
      </c>
      <c r="HV3204" s="4" t="s">
        <v>241</v>
      </c>
      <c r="HW3204" s="4" t="s">
        <v>241</v>
      </c>
      <c r="HX3204" s="4" t="s">
        <v>241</v>
      </c>
      <c r="HY3204" s="4" t="s">
        <v>241</v>
      </c>
      <c r="HZ3204" s="4" t="s">
        <v>241</v>
      </c>
      <c r="IA3204" s="4" t="s">
        <v>241</v>
      </c>
      <c r="IB3204" s="4" t="s">
        <v>241</v>
      </c>
      <c r="IC3204" s="4" t="s">
        <v>241</v>
      </c>
      <c r="ID3204" s="4" t="s">
        <v>241</v>
      </c>
      <c r="IE3204" s="4" t="s">
        <v>241</v>
      </c>
      <c r="IF3204" s="4" t="s">
        <v>241</v>
      </c>
    </row>
    <row r="3205" spans="1:240" ht="19.5" customHeight="1" x14ac:dyDescent="0.4">
      <c r="A3205" s="4">
        <v>1</v>
      </c>
      <c r="B3205" s="4" t="s">
        <v>239</v>
      </c>
      <c r="C3205" s="4">
        <v>8562</v>
      </c>
      <c r="D3205" s="4">
        <v>1</v>
      </c>
      <c r="E3205" s="4">
        <v>3</v>
      </c>
      <c r="F3205" s="4" t="s">
        <v>268</v>
      </c>
      <c r="I3205" s="4" t="s">
        <v>272</v>
      </c>
      <c r="J3205" s="4" t="s">
        <v>274</v>
      </c>
      <c r="K3205" s="4" t="s">
        <v>251</v>
      </c>
      <c r="L3205" s="4" t="s">
        <v>5698</v>
      </c>
      <c r="M3205" s="5" t="s">
        <v>5701</v>
      </c>
      <c r="N3205" s="6">
        <f>71.2</f>
        <v>71.2</v>
      </c>
      <c r="O3205" s="4" t="s">
        <v>265</v>
      </c>
      <c r="P3205" s="6">
        <f>704979</f>
        <v>704979</v>
      </c>
      <c r="Q3205" s="6">
        <f>0</f>
        <v>0</v>
      </c>
      <c r="R3205" s="6">
        <f>0</f>
        <v>0</v>
      </c>
      <c r="S3205" s="6">
        <f>704979</f>
        <v>704979</v>
      </c>
      <c r="T3205" s="6">
        <f>704979</f>
        <v>704979</v>
      </c>
      <c r="U3205" s="5" t="s">
        <v>5699</v>
      </c>
      <c r="V3205" s="4" t="s">
        <v>270</v>
      </c>
      <c r="W3205" s="4" t="s">
        <v>241</v>
      </c>
      <c r="X3205" s="4" t="s">
        <v>241</v>
      </c>
      <c r="Y3205" s="4" t="s">
        <v>241</v>
      </c>
      <c r="AB3205" s="4" t="s">
        <v>3144</v>
      </c>
      <c r="AC3205" s="5" t="s">
        <v>241</v>
      </c>
      <c r="AD3205" s="5" t="s">
        <v>241</v>
      </c>
      <c r="AE3205" s="4" t="s">
        <v>241</v>
      </c>
      <c r="AF3205" s="5" t="s">
        <v>241</v>
      </c>
      <c r="AG3205" s="5" t="s">
        <v>5700</v>
      </c>
      <c r="AH3205" s="4" t="s">
        <v>5573</v>
      </c>
      <c r="AI3205" s="4" t="s">
        <v>247</v>
      </c>
      <c r="AJ3205" s="4" t="s">
        <v>241</v>
      </c>
      <c r="AP3205" s="4" t="s">
        <v>241</v>
      </c>
      <c r="AQ3205" s="4" t="s">
        <v>241</v>
      </c>
      <c r="AR3205" s="4" t="s">
        <v>241</v>
      </c>
      <c r="AS3205" s="5" t="s">
        <v>241</v>
      </c>
      <c r="AT3205" s="5" t="s">
        <v>241</v>
      </c>
      <c r="AU3205" s="5" t="s">
        <v>241</v>
      </c>
      <c r="AX3205" s="4" t="s">
        <v>5562</v>
      </c>
      <c r="AY3205" s="4" t="s">
        <v>5562</v>
      </c>
      <c r="AZ3205" s="4" t="s">
        <v>249</v>
      </c>
      <c r="BA3205" s="4" t="s">
        <v>5549</v>
      </c>
      <c r="BB3205" s="4" t="s">
        <v>250</v>
      </c>
      <c r="BC3205" s="4" t="s">
        <v>241</v>
      </c>
      <c r="BD3205" s="4" t="s">
        <v>252</v>
      </c>
      <c r="BE3205" s="4" t="s">
        <v>5557</v>
      </c>
      <c r="BI3205" s="4" t="s">
        <v>5550</v>
      </c>
      <c r="BJ3205" s="5" t="s">
        <v>5702</v>
      </c>
      <c r="BK3205" s="4" t="s">
        <v>5564</v>
      </c>
      <c r="BL3205" s="4" t="s">
        <v>5565</v>
      </c>
      <c r="BM3205" s="4" t="s">
        <v>241</v>
      </c>
      <c r="BN3205" s="6">
        <f>0</f>
        <v>0</v>
      </c>
      <c r="BO3205" s="6">
        <f>212000</f>
        <v>212000</v>
      </c>
      <c r="BP3205" s="4" t="s">
        <v>256</v>
      </c>
      <c r="BQ3205" s="4" t="s">
        <v>257</v>
      </c>
      <c r="BR3205" s="4" t="s">
        <v>5566</v>
      </c>
      <c r="BS3205" s="4" t="s">
        <v>5567</v>
      </c>
      <c r="BT3205" s="4" t="s">
        <v>5576</v>
      </c>
      <c r="BU3205" s="4" t="s">
        <v>241</v>
      </c>
      <c r="BV3205" s="4" t="s">
        <v>256</v>
      </c>
      <c r="BW3205" s="4" t="s">
        <v>5568</v>
      </c>
      <c r="BX3205" s="4" t="s">
        <v>5568</v>
      </c>
      <c r="BZ3205" s="5" t="s">
        <v>5703</v>
      </c>
      <c r="CA3205" s="4" t="s">
        <v>256</v>
      </c>
      <c r="CB3205" s="4" t="s">
        <v>241</v>
      </c>
      <c r="CC3205" s="4" t="s">
        <v>241</v>
      </c>
      <c r="CD3205" s="4" t="s">
        <v>257</v>
      </c>
      <c r="CE3205" s="4" t="s">
        <v>241</v>
      </c>
      <c r="CF3205" s="4" t="s">
        <v>241</v>
      </c>
      <c r="CJ3205" s="4" t="s">
        <v>241</v>
      </c>
      <c r="CK3205" s="4" t="s">
        <v>241</v>
      </c>
      <c r="CL3205" s="4" t="s">
        <v>264</v>
      </c>
      <c r="CN3205" s="4" t="s">
        <v>241</v>
      </c>
      <c r="CO3205" s="5" t="s">
        <v>260</v>
      </c>
      <c r="CP3205" s="4" t="s">
        <v>5552</v>
      </c>
      <c r="CQ3205" s="4" t="s">
        <v>5553</v>
      </c>
      <c r="CR3205" s="4" t="s">
        <v>5554</v>
      </c>
      <c r="CS3205" s="4" t="s">
        <v>241</v>
      </c>
      <c r="CT3205" s="4">
        <v>0</v>
      </c>
      <c r="CU3205" s="4" t="s">
        <v>241</v>
      </c>
      <c r="CV3205" s="4" t="s">
        <v>241</v>
      </c>
      <c r="CW3205" s="4" t="s">
        <v>241</v>
      </c>
      <c r="CX3205" s="4" t="s">
        <v>264</v>
      </c>
      <c r="CY3205" s="4" t="s">
        <v>241</v>
      </c>
      <c r="CZ3205" s="6">
        <f>9901</f>
        <v>9901</v>
      </c>
      <c r="DA3205" s="6">
        <f>704979</f>
        <v>704979</v>
      </c>
      <c r="DB3205" s="6" t="s">
        <v>241</v>
      </c>
      <c r="DC3205" s="4" t="s">
        <v>241</v>
      </c>
      <c r="DD3205" s="4" t="s">
        <v>241</v>
      </c>
      <c r="DF3205" s="4" t="s">
        <v>241</v>
      </c>
      <c r="DG3205" s="6">
        <f>0</f>
        <v>0</v>
      </c>
      <c r="DH3205" s="5" t="s">
        <v>241</v>
      </c>
      <c r="DI3205" s="4" t="s">
        <v>241</v>
      </c>
      <c r="DJ3205" s="4" t="s">
        <v>241</v>
      </c>
      <c r="DK3205" s="4" t="s">
        <v>241</v>
      </c>
      <c r="DL3205" s="4" t="s">
        <v>241</v>
      </c>
      <c r="DM3205" s="4" t="s">
        <v>241</v>
      </c>
      <c r="DN3205" s="4" t="s">
        <v>241</v>
      </c>
      <c r="DO3205" s="6" t="s">
        <v>241</v>
      </c>
      <c r="DP3205" s="4" t="s">
        <v>241</v>
      </c>
      <c r="DQ3205" s="4" t="s">
        <v>247</v>
      </c>
      <c r="DR3205" s="4" t="s">
        <v>5557</v>
      </c>
      <c r="DS3205" s="4" t="s">
        <v>5557</v>
      </c>
      <c r="DT3205" s="4" t="s">
        <v>241</v>
      </c>
      <c r="DU3205" s="4" t="s">
        <v>241</v>
      </c>
      <c r="GN3205" s="4" t="s">
        <v>5704</v>
      </c>
      <c r="HR3205" s="4" t="s">
        <v>241</v>
      </c>
      <c r="HS3205" s="4" t="s">
        <v>241</v>
      </c>
      <c r="HT3205" s="4" t="s">
        <v>241</v>
      </c>
      <c r="HU3205" s="4" t="s">
        <v>241</v>
      </c>
      <c r="HV3205" s="4" t="s">
        <v>241</v>
      </c>
      <c r="HW3205" s="4" t="s">
        <v>241</v>
      </c>
      <c r="HX3205" s="4" t="s">
        <v>241</v>
      </c>
      <c r="HY3205" s="4" t="s">
        <v>241</v>
      </c>
      <c r="HZ3205" s="4" t="s">
        <v>241</v>
      </c>
      <c r="IA3205" s="4" t="s">
        <v>241</v>
      </c>
      <c r="IB3205" s="4" t="s">
        <v>241</v>
      </c>
      <c r="IC3205" s="4" t="s">
        <v>241</v>
      </c>
      <c r="ID3205" s="4" t="s">
        <v>241</v>
      </c>
      <c r="IE3205" s="4" t="s">
        <v>241</v>
      </c>
      <c r="IF3205" s="4" t="s">
        <v>241</v>
      </c>
    </row>
    <row r="3206" spans="1:240" ht="19.5" customHeight="1" x14ac:dyDescent="0.4">
      <c r="A3206" s="4">
        <v>1</v>
      </c>
      <c r="B3206" s="4" t="s">
        <v>239</v>
      </c>
      <c r="C3206" s="4">
        <v>8568</v>
      </c>
      <c r="D3206" s="4">
        <v>1</v>
      </c>
      <c r="E3206" s="4">
        <v>9</v>
      </c>
      <c r="F3206" s="4" t="s">
        <v>241</v>
      </c>
      <c r="I3206" s="4" t="s">
        <v>241</v>
      </c>
      <c r="J3206" s="4" t="s">
        <v>274</v>
      </c>
      <c r="K3206" s="4" t="s">
        <v>251</v>
      </c>
      <c r="L3206" s="4" t="s">
        <v>5593</v>
      </c>
      <c r="M3206" s="5" t="s">
        <v>5595</v>
      </c>
      <c r="N3206" s="6">
        <f>6637.19</f>
        <v>6637.19</v>
      </c>
      <c r="O3206" s="4" t="s">
        <v>265</v>
      </c>
      <c r="P3206" s="6">
        <f>28665217</f>
        <v>28665217</v>
      </c>
      <c r="Q3206" s="6">
        <f>0</f>
        <v>0</v>
      </c>
      <c r="R3206" s="6">
        <f>0</f>
        <v>0</v>
      </c>
      <c r="S3206" s="6">
        <f>28665217</f>
        <v>28665217</v>
      </c>
      <c r="T3206" s="6">
        <f>28665217</f>
        <v>28665217</v>
      </c>
      <c r="U3206" s="5" t="s">
        <v>5594</v>
      </c>
      <c r="V3206" s="4" t="s">
        <v>270</v>
      </c>
      <c r="W3206" s="4" t="s">
        <v>241</v>
      </c>
      <c r="X3206" s="4" t="s">
        <v>241</v>
      </c>
      <c r="Y3206" s="4" t="s">
        <v>241</v>
      </c>
      <c r="AB3206" s="4" t="s">
        <v>3144</v>
      </c>
      <c r="AC3206" s="5" t="s">
        <v>241</v>
      </c>
      <c r="AD3206" s="5" t="s">
        <v>241</v>
      </c>
      <c r="AE3206" s="4" t="s">
        <v>241</v>
      </c>
      <c r="AF3206" s="5" t="s">
        <v>241</v>
      </c>
      <c r="AG3206" s="5" t="s">
        <v>5594</v>
      </c>
      <c r="AH3206" s="4" t="s">
        <v>5573</v>
      </c>
      <c r="AI3206" s="4" t="s">
        <v>247</v>
      </c>
      <c r="AJ3206" s="4" t="s">
        <v>241</v>
      </c>
      <c r="AP3206" s="4" t="s">
        <v>241</v>
      </c>
      <c r="AQ3206" s="4" t="s">
        <v>241</v>
      </c>
      <c r="AR3206" s="4" t="s">
        <v>241</v>
      </c>
      <c r="AS3206" s="5" t="s">
        <v>241</v>
      </c>
      <c r="AT3206" s="5" t="s">
        <v>241</v>
      </c>
      <c r="AU3206" s="5" t="s">
        <v>241</v>
      </c>
      <c r="AX3206" s="4" t="s">
        <v>5562</v>
      </c>
      <c r="AY3206" s="4" t="s">
        <v>5562</v>
      </c>
      <c r="AZ3206" s="4" t="s">
        <v>249</v>
      </c>
      <c r="BA3206" s="4" t="s">
        <v>5549</v>
      </c>
      <c r="BB3206" s="4" t="s">
        <v>250</v>
      </c>
      <c r="BC3206" s="4" t="s">
        <v>241</v>
      </c>
      <c r="BD3206" s="4" t="s">
        <v>252</v>
      </c>
      <c r="BE3206" s="4" t="s">
        <v>5557</v>
      </c>
      <c r="BI3206" s="4" t="s">
        <v>5550</v>
      </c>
      <c r="BJ3206" s="5" t="s">
        <v>5596</v>
      </c>
      <c r="BK3206" s="4" t="s">
        <v>5564</v>
      </c>
      <c r="BL3206" s="4" t="s">
        <v>5565</v>
      </c>
      <c r="BM3206" s="4" t="s">
        <v>241</v>
      </c>
      <c r="BN3206" s="6">
        <f>0</f>
        <v>0</v>
      </c>
      <c r="BO3206" s="6">
        <f>125300</f>
        <v>125300</v>
      </c>
      <c r="BP3206" s="4" t="s">
        <v>256</v>
      </c>
      <c r="BQ3206" s="4" t="s">
        <v>257</v>
      </c>
      <c r="BR3206" s="4" t="s">
        <v>5566</v>
      </c>
      <c r="BS3206" s="4" t="s">
        <v>5567</v>
      </c>
      <c r="BT3206" s="4" t="s">
        <v>5576</v>
      </c>
      <c r="BU3206" s="4" t="s">
        <v>241</v>
      </c>
      <c r="BV3206" s="4" t="s">
        <v>256</v>
      </c>
      <c r="BW3206" s="4" t="s">
        <v>5568</v>
      </c>
      <c r="BX3206" s="4" t="s">
        <v>5568</v>
      </c>
      <c r="BZ3206" s="5" t="s">
        <v>5597</v>
      </c>
      <c r="CA3206" s="4" t="s">
        <v>256</v>
      </c>
      <c r="CB3206" s="4" t="s">
        <v>241</v>
      </c>
      <c r="CC3206" s="4" t="s">
        <v>241</v>
      </c>
      <c r="CD3206" s="4" t="s">
        <v>257</v>
      </c>
      <c r="CE3206" s="4" t="s">
        <v>241</v>
      </c>
      <c r="CF3206" s="4" t="s">
        <v>241</v>
      </c>
      <c r="CJ3206" s="4" t="s">
        <v>241</v>
      </c>
      <c r="CK3206" s="4" t="s">
        <v>241</v>
      </c>
      <c r="CL3206" s="4" t="s">
        <v>264</v>
      </c>
      <c r="CN3206" s="4" t="s">
        <v>241</v>
      </c>
      <c r="CO3206" s="5" t="s">
        <v>260</v>
      </c>
      <c r="CP3206" s="4" t="s">
        <v>5552</v>
      </c>
      <c r="CQ3206" s="4" t="s">
        <v>5553</v>
      </c>
      <c r="CR3206" s="4" t="s">
        <v>5554</v>
      </c>
      <c r="CS3206" s="4" t="s">
        <v>241</v>
      </c>
      <c r="CT3206" s="4">
        <v>0</v>
      </c>
      <c r="CU3206" s="4" t="s">
        <v>241</v>
      </c>
      <c r="CV3206" s="4" t="s">
        <v>241</v>
      </c>
      <c r="CW3206" s="4" t="s">
        <v>241</v>
      </c>
      <c r="CX3206" s="4" t="s">
        <v>264</v>
      </c>
      <c r="CY3206" s="4" t="s">
        <v>241</v>
      </c>
      <c r="CZ3206" s="6">
        <f>4319</f>
        <v>4319</v>
      </c>
      <c r="DA3206" s="6">
        <f>28665217</f>
        <v>28665217</v>
      </c>
      <c r="DB3206" s="6" t="s">
        <v>241</v>
      </c>
      <c r="DC3206" s="4" t="s">
        <v>241</v>
      </c>
      <c r="DD3206" s="4" t="s">
        <v>241</v>
      </c>
      <c r="DF3206" s="4" t="s">
        <v>241</v>
      </c>
      <c r="DG3206" s="6">
        <f>0</f>
        <v>0</v>
      </c>
      <c r="DH3206" s="5" t="s">
        <v>241</v>
      </c>
      <c r="DI3206" s="4" t="s">
        <v>241</v>
      </c>
      <c r="DJ3206" s="4" t="s">
        <v>241</v>
      </c>
      <c r="DK3206" s="4" t="s">
        <v>241</v>
      </c>
      <c r="DL3206" s="4" t="s">
        <v>241</v>
      </c>
      <c r="DM3206" s="4" t="s">
        <v>241</v>
      </c>
      <c r="DN3206" s="4" t="s">
        <v>241</v>
      </c>
      <c r="DO3206" s="6" t="s">
        <v>241</v>
      </c>
      <c r="DP3206" s="4" t="s">
        <v>241</v>
      </c>
      <c r="DQ3206" s="4" t="s">
        <v>247</v>
      </c>
      <c r="DR3206" s="4" t="s">
        <v>5557</v>
      </c>
      <c r="DS3206" s="4" t="s">
        <v>5557</v>
      </c>
      <c r="DT3206" s="4" t="s">
        <v>241</v>
      </c>
      <c r="DU3206" s="4" t="s">
        <v>241</v>
      </c>
      <c r="GN3206" s="4" t="s">
        <v>5598</v>
      </c>
      <c r="HR3206" s="4" t="s">
        <v>241</v>
      </c>
      <c r="HS3206" s="4" t="s">
        <v>241</v>
      </c>
      <c r="HT3206" s="4" t="s">
        <v>241</v>
      </c>
      <c r="HU3206" s="4" t="s">
        <v>241</v>
      </c>
      <c r="HV3206" s="4" t="s">
        <v>241</v>
      </c>
      <c r="HW3206" s="4" t="s">
        <v>241</v>
      </c>
      <c r="HX3206" s="4" t="s">
        <v>241</v>
      </c>
      <c r="HY3206" s="4" t="s">
        <v>241</v>
      </c>
      <c r="HZ3206" s="4" t="s">
        <v>241</v>
      </c>
      <c r="IA3206" s="4" t="s">
        <v>241</v>
      </c>
      <c r="IB3206" s="4" t="s">
        <v>241</v>
      </c>
      <c r="IC3206" s="4" t="s">
        <v>241</v>
      </c>
      <c r="ID3206" s="4" t="s">
        <v>241</v>
      </c>
      <c r="IE3206" s="4" t="s">
        <v>241</v>
      </c>
      <c r="IF3206" s="4" t="s">
        <v>241</v>
      </c>
    </row>
    <row r="3207" spans="1:240" ht="19.5" customHeight="1" x14ac:dyDescent="0.4">
      <c r="A3207" s="4">
        <v>1</v>
      </c>
      <c r="B3207" s="4" t="s">
        <v>239</v>
      </c>
      <c r="C3207" s="4">
        <v>8570</v>
      </c>
      <c r="D3207" s="4">
        <v>1</v>
      </c>
      <c r="E3207" s="4">
        <v>4</v>
      </c>
      <c r="F3207" s="4" t="s">
        <v>241</v>
      </c>
      <c r="I3207" s="4" t="s">
        <v>272</v>
      </c>
      <c r="J3207" s="4" t="s">
        <v>274</v>
      </c>
      <c r="K3207" s="4" t="s">
        <v>251</v>
      </c>
      <c r="L3207" s="4" t="s">
        <v>5713</v>
      </c>
      <c r="M3207" s="5" t="s">
        <v>5714</v>
      </c>
      <c r="N3207" s="6">
        <f>621.7</f>
        <v>621.70000000000005</v>
      </c>
      <c r="O3207" s="4" t="s">
        <v>265</v>
      </c>
      <c r="P3207" s="6">
        <f>1234526</f>
        <v>1234526</v>
      </c>
      <c r="Q3207" s="6">
        <f>0</f>
        <v>0</v>
      </c>
      <c r="R3207" s="6">
        <f>0</f>
        <v>0</v>
      </c>
      <c r="S3207" s="6">
        <f>1234526</f>
        <v>1234526</v>
      </c>
      <c r="T3207" s="6">
        <f>1234526</f>
        <v>1234526</v>
      </c>
      <c r="U3207" s="5" t="s">
        <v>5633</v>
      </c>
      <c r="V3207" s="4" t="s">
        <v>270</v>
      </c>
      <c r="W3207" s="4" t="s">
        <v>241</v>
      </c>
      <c r="X3207" s="4" t="s">
        <v>241</v>
      </c>
      <c r="Y3207" s="4" t="s">
        <v>241</v>
      </c>
      <c r="AB3207" s="4" t="s">
        <v>3144</v>
      </c>
      <c r="AC3207" s="5" t="s">
        <v>241</v>
      </c>
      <c r="AD3207" s="5" t="s">
        <v>241</v>
      </c>
      <c r="AE3207" s="4" t="s">
        <v>241</v>
      </c>
      <c r="AF3207" s="5" t="s">
        <v>241</v>
      </c>
      <c r="AG3207" s="5" t="s">
        <v>5633</v>
      </c>
      <c r="AH3207" s="4" t="s">
        <v>5573</v>
      </c>
      <c r="AI3207" s="4" t="s">
        <v>247</v>
      </c>
      <c r="AJ3207" s="4" t="s">
        <v>241</v>
      </c>
      <c r="AP3207" s="4" t="s">
        <v>241</v>
      </c>
      <c r="AQ3207" s="4" t="s">
        <v>241</v>
      </c>
      <c r="AR3207" s="4" t="s">
        <v>241</v>
      </c>
      <c r="AS3207" s="5" t="s">
        <v>241</v>
      </c>
      <c r="AT3207" s="5" t="s">
        <v>241</v>
      </c>
      <c r="AU3207" s="5" t="s">
        <v>241</v>
      </c>
      <c r="AX3207" s="4" t="s">
        <v>5562</v>
      </c>
      <c r="AY3207" s="4" t="s">
        <v>5562</v>
      </c>
      <c r="AZ3207" s="4" t="s">
        <v>249</v>
      </c>
      <c r="BA3207" s="4" t="s">
        <v>5549</v>
      </c>
      <c r="BB3207" s="4" t="s">
        <v>250</v>
      </c>
      <c r="BC3207" s="4" t="s">
        <v>241</v>
      </c>
      <c r="BD3207" s="4" t="s">
        <v>252</v>
      </c>
      <c r="BE3207" s="4" t="s">
        <v>5557</v>
      </c>
      <c r="BI3207" s="4" t="s">
        <v>5550</v>
      </c>
      <c r="BJ3207" s="5" t="s">
        <v>5635</v>
      </c>
      <c r="BK3207" s="4" t="s">
        <v>5564</v>
      </c>
      <c r="BL3207" s="4" t="s">
        <v>5565</v>
      </c>
      <c r="BM3207" s="4" t="s">
        <v>241</v>
      </c>
      <c r="BN3207" s="6">
        <f>0</f>
        <v>0</v>
      </c>
      <c r="BO3207" s="6">
        <f>146000</f>
        <v>146000</v>
      </c>
      <c r="BP3207" s="4" t="s">
        <v>256</v>
      </c>
      <c r="BQ3207" s="4" t="s">
        <v>257</v>
      </c>
      <c r="BR3207" s="4" t="s">
        <v>5566</v>
      </c>
      <c r="BS3207" s="4" t="s">
        <v>5567</v>
      </c>
      <c r="BT3207" s="4" t="s">
        <v>5576</v>
      </c>
      <c r="BU3207" s="4" t="s">
        <v>241</v>
      </c>
      <c r="BV3207" s="4" t="s">
        <v>256</v>
      </c>
      <c r="BW3207" s="4" t="s">
        <v>5568</v>
      </c>
      <c r="BX3207" s="4" t="s">
        <v>5568</v>
      </c>
      <c r="BZ3207" s="5" t="s">
        <v>5715</v>
      </c>
      <c r="CA3207" s="4" t="s">
        <v>256</v>
      </c>
      <c r="CB3207" s="4" t="s">
        <v>241</v>
      </c>
      <c r="CC3207" s="4" t="s">
        <v>241</v>
      </c>
      <c r="CD3207" s="4" t="s">
        <v>257</v>
      </c>
      <c r="CE3207" s="4" t="s">
        <v>241</v>
      </c>
      <c r="CF3207" s="4" t="s">
        <v>241</v>
      </c>
      <c r="CJ3207" s="4" t="s">
        <v>241</v>
      </c>
      <c r="CK3207" s="4" t="s">
        <v>241</v>
      </c>
      <c r="CL3207" s="4" t="s">
        <v>264</v>
      </c>
      <c r="CN3207" s="4" t="s">
        <v>241</v>
      </c>
      <c r="CO3207" s="5" t="s">
        <v>260</v>
      </c>
      <c r="CP3207" s="4" t="s">
        <v>5552</v>
      </c>
      <c r="CQ3207" s="4" t="s">
        <v>5553</v>
      </c>
      <c r="CR3207" s="4" t="s">
        <v>5554</v>
      </c>
      <c r="CS3207" s="4" t="s">
        <v>241</v>
      </c>
      <c r="CT3207" s="4">
        <v>0</v>
      </c>
      <c r="CU3207" s="4" t="s">
        <v>241</v>
      </c>
      <c r="CV3207" s="4" t="s">
        <v>241</v>
      </c>
      <c r="CW3207" s="4" t="s">
        <v>241</v>
      </c>
      <c r="CX3207" s="4" t="s">
        <v>264</v>
      </c>
      <c r="CY3207" s="4" t="s">
        <v>241</v>
      </c>
      <c r="CZ3207" s="6">
        <f>1986</f>
        <v>1986</v>
      </c>
      <c r="DA3207" s="6">
        <f>1234526</f>
        <v>1234526</v>
      </c>
      <c r="DB3207" s="6" t="s">
        <v>241</v>
      </c>
      <c r="DC3207" s="4" t="s">
        <v>241</v>
      </c>
      <c r="DD3207" s="4" t="s">
        <v>241</v>
      </c>
      <c r="DF3207" s="4" t="s">
        <v>241</v>
      </c>
      <c r="DG3207" s="6">
        <f>0</f>
        <v>0</v>
      </c>
      <c r="DH3207" s="5" t="s">
        <v>241</v>
      </c>
      <c r="DI3207" s="4" t="s">
        <v>241</v>
      </c>
      <c r="DJ3207" s="4" t="s">
        <v>241</v>
      </c>
      <c r="DK3207" s="4" t="s">
        <v>241</v>
      </c>
      <c r="DL3207" s="4" t="s">
        <v>241</v>
      </c>
      <c r="DM3207" s="4" t="s">
        <v>241</v>
      </c>
      <c r="DN3207" s="4" t="s">
        <v>241</v>
      </c>
      <c r="DO3207" s="6" t="s">
        <v>241</v>
      </c>
      <c r="DP3207" s="4" t="s">
        <v>241</v>
      </c>
      <c r="DQ3207" s="4" t="s">
        <v>247</v>
      </c>
      <c r="DR3207" s="4" t="s">
        <v>5557</v>
      </c>
      <c r="DS3207" s="4" t="s">
        <v>5557</v>
      </c>
      <c r="DT3207" s="4" t="s">
        <v>241</v>
      </c>
      <c r="DU3207" s="4" t="s">
        <v>241</v>
      </c>
      <c r="GN3207" s="4" t="s">
        <v>5716</v>
      </c>
      <c r="HR3207" s="4" t="s">
        <v>241</v>
      </c>
      <c r="HS3207" s="4" t="s">
        <v>241</v>
      </c>
      <c r="HT3207" s="4" t="s">
        <v>241</v>
      </c>
      <c r="HU3207" s="4" t="s">
        <v>241</v>
      </c>
      <c r="HV3207" s="4" t="s">
        <v>241</v>
      </c>
      <c r="HW3207" s="4" t="s">
        <v>241</v>
      </c>
      <c r="HX3207" s="4" t="s">
        <v>241</v>
      </c>
      <c r="HY3207" s="4" t="s">
        <v>241</v>
      </c>
      <c r="HZ3207" s="4" t="s">
        <v>241</v>
      </c>
      <c r="IA3207" s="4" t="s">
        <v>241</v>
      </c>
      <c r="IB3207" s="4" t="s">
        <v>241</v>
      </c>
      <c r="IC3207" s="4" t="s">
        <v>241</v>
      </c>
      <c r="ID3207" s="4" t="s">
        <v>241</v>
      </c>
      <c r="IE3207" s="4" t="s">
        <v>241</v>
      </c>
      <c r="IF3207" s="4" t="s">
        <v>241</v>
      </c>
    </row>
    <row r="3208" spans="1:240" ht="19.5" customHeight="1" x14ac:dyDescent="0.4">
      <c r="A3208" s="4">
        <v>1</v>
      </c>
      <c r="B3208" s="4" t="s">
        <v>239</v>
      </c>
      <c r="C3208" s="4">
        <v>8571</v>
      </c>
      <c r="D3208" s="4">
        <v>1</v>
      </c>
      <c r="E3208" s="4">
        <v>2</v>
      </c>
      <c r="F3208" s="4" t="s">
        <v>241</v>
      </c>
      <c r="I3208" s="4" t="s">
        <v>272</v>
      </c>
      <c r="J3208" s="4" t="s">
        <v>274</v>
      </c>
      <c r="K3208" s="4" t="s">
        <v>251</v>
      </c>
      <c r="L3208" s="4" t="s">
        <v>5709</v>
      </c>
      <c r="N3208" s="6">
        <f>10.85</f>
        <v>10.85</v>
      </c>
      <c r="O3208" s="4" t="s">
        <v>265</v>
      </c>
      <c r="P3208" s="6">
        <f>37975</f>
        <v>37975</v>
      </c>
      <c r="Q3208" s="6">
        <f>0</f>
        <v>0</v>
      </c>
      <c r="R3208" s="6">
        <f>0</f>
        <v>0</v>
      </c>
      <c r="S3208" s="6">
        <f>37975</f>
        <v>37975</v>
      </c>
      <c r="T3208" s="6">
        <f>37975</f>
        <v>37975</v>
      </c>
      <c r="U3208" s="5" t="s">
        <v>5710</v>
      </c>
      <c r="V3208" s="4" t="s">
        <v>270</v>
      </c>
      <c r="W3208" s="4" t="s">
        <v>241</v>
      </c>
      <c r="X3208" s="4" t="s">
        <v>241</v>
      </c>
      <c r="Y3208" s="4" t="s">
        <v>241</v>
      </c>
      <c r="AB3208" s="4" t="s">
        <v>3144</v>
      </c>
      <c r="AC3208" s="5" t="s">
        <v>241</v>
      </c>
      <c r="AD3208" s="5" t="s">
        <v>241</v>
      </c>
      <c r="AE3208" s="4" t="s">
        <v>241</v>
      </c>
      <c r="AF3208" s="5" t="s">
        <v>241</v>
      </c>
      <c r="AG3208" s="5" t="s">
        <v>5710</v>
      </c>
      <c r="AH3208" s="4" t="s">
        <v>5573</v>
      </c>
      <c r="AI3208" s="4" t="s">
        <v>247</v>
      </c>
      <c r="AJ3208" s="4" t="s">
        <v>241</v>
      </c>
      <c r="AP3208" s="4" t="s">
        <v>241</v>
      </c>
      <c r="AQ3208" s="4" t="s">
        <v>241</v>
      </c>
      <c r="AR3208" s="4" t="s">
        <v>241</v>
      </c>
      <c r="AS3208" s="5" t="s">
        <v>241</v>
      </c>
      <c r="AT3208" s="5" t="s">
        <v>241</v>
      </c>
      <c r="AU3208" s="5" t="s">
        <v>241</v>
      </c>
      <c r="AX3208" s="4" t="s">
        <v>5562</v>
      </c>
      <c r="AY3208" s="4" t="s">
        <v>5562</v>
      </c>
      <c r="AZ3208" s="4" t="s">
        <v>249</v>
      </c>
      <c r="BA3208" s="4" t="s">
        <v>5549</v>
      </c>
      <c r="BB3208" s="4" t="s">
        <v>250</v>
      </c>
      <c r="BC3208" s="4" t="s">
        <v>241</v>
      </c>
      <c r="BD3208" s="4" t="s">
        <v>252</v>
      </c>
      <c r="BE3208" s="4" t="s">
        <v>5557</v>
      </c>
      <c r="BI3208" s="4" t="s">
        <v>5550</v>
      </c>
      <c r="BJ3208" s="5" t="s">
        <v>5667</v>
      </c>
      <c r="BK3208" s="4" t="s">
        <v>5564</v>
      </c>
      <c r="BL3208" s="4" t="s">
        <v>5565</v>
      </c>
      <c r="BM3208" s="4" t="s">
        <v>241</v>
      </c>
      <c r="BN3208" s="6">
        <f>0</f>
        <v>0</v>
      </c>
      <c r="BO3208" s="6">
        <f>37975</f>
        <v>37975</v>
      </c>
      <c r="BP3208" s="4" t="s">
        <v>256</v>
      </c>
      <c r="BQ3208" s="4" t="s">
        <v>257</v>
      </c>
      <c r="BR3208" s="4" t="s">
        <v>5566</v>
      </c>
      <c r="BS3208" s="4" t="s">
        <v>5567</v>
      </c>
      <c r="BT3208" s="4" t="s">
        <v>5576</v>
      </c>
      <c r="BU3208" s="4" t="s">
        <v>241</v>
      </c>
      <c r="BV3208" s="4" t="s">
        <v>256</v>
      </c>
      <c r="BW3208" s="4" t="s">
        <v>5568</v>
      </c>
      <c r="BX3208" s="4" t="s">
        <v>5568</v>
      </c>
      <c r="BZ3208" s="5" t="s">
        <v>5711</v>
      </c>
      <c r="CA3208" s="4" t="s">
        <v>256</v>
      </c>
      <c r="CB3208" s="4" t="s">
        <v>241</v>
      </c>
      <c r="CC3208" s="4" t="s">
        <v>241</v>
      </c>
      <c r="CD3208" s="4" t="s">
        <v>257</v>
      </c>
      <c r="CE3208" s="4" t="s">
        <v>241</v>
      </c>
      <c r="CF3208" s="4" t="s">
        <v>241</v>
      </c>
      <c r="CJ3208" s="4" t="s">
        <v>241</v>
      </c>
      <c r="CK3208" s="4" t="s">
        <v>241</v>
      </c>
      <c r="CL3208" s="4" t="s">
        <v>264</v>
      </c>
      <c r="CN3208" s="4" t="s">
        <v>241</v>
      </c>
      <c r="CO3208" s="5" t="s">
        <v>260</v>
      </c>
      <c r="CP3208" s="4" t="s">
        <v>5552</v>
      </c>
      <c r="CQ3208" s="4" t="s">
        <v>5553</v>
      </c>
      <c r="CR3208" s="4" t="s">
        <v>5554</v>
      </c>
      <c r="CS3208" s="4" t="s">
        <v>241</v>
      </c>
      <c r="CT3208" s="4">
        <v>0</v>
      </c>
      <c r="CU3208" s="4" t="s">
        <v>241</v>
      </c>
      <c r="CV3208" s="4" t="s">
        <v>241</v>
      </c>
      <c r="CW3208" s="4" t="s">
        <v>241</v>
      </c>
      <c r="CX3208" s="4" t="s">
        <v>264</v>
      </c>
      <c r="CY3208" s="4" t="s">
        <v>241</v>
      </c>
      <c r="CZ3208" s="6">
        <f>3500</f>
        <v>3500</v>
      </c>
      <c r="DA3208" s="6">
        <f>37975</f>
        <v>37975</v>
      </c>
      <c r="DB3208" s="6" t="s">
        <v>241</v>
      </c>
      <c r="DC3208" s="4" t="s">
        <v>241</v>
      </c>
      <c r="DD3208" s="4" t="s">
        <v>241</v>
      </c>
      <c r="DF3208" s="4" t="s">
        <v>241</v>
      </c>
      <c r="DG3208" s="6">
        <f>0</f>
        <v>0</v>
      </c>
      <c r="DH3208" s="5" t="s">
        <v>241</v>
      </c>
      <c r="DI3208" s="4" t="s">
        <v>241</v>
      </c>
      <c r="DJ3208" s="4" t="s">
        <v>241</v>
      </c>
      <c r="DK3208" s="4" t="s">
        <v>241</v>
      </c>
      <c r="DL3208" s="4" t="s">
        <v>241</v>
      </c>
      <c r="DM3208" s="4" t="s">
        <v>241</v>
      </c>
      <c r="DN3208" s="4" t="s">
        <v>241</v>
      </c>
      <c r="DO3208" s="6" t="s">
        <v>241</v>
      </c>
      <c r="DP3208" s="4" t="s">
        <v>241</v>
      </c>
      <c r="DQ3208" s="4" t="s">
        <v>247</v>
      </c>
      <c r="DR3208" s="4" t="s">
        <v>5557</v>
      </c>
      <c r="DS3208" s="4" t="s">
        <v>5557</v>
      </c>
      <c r="DT3208" s="4" t="s">
        <v>241</v>
      </c>
      <c r="DU3208" s="4" t="s">
        <v>241</v>
      </c>
      <c r="GN3208" s="4" t="s">
        <v>5712</v>
      </c>
      <c r="HR3208" s="4" t="s">
        <v>241</v>
      </c>
      <c r="HS3208" s="4" t="s">
        <v>241</v>
      </c>
      <c r="HT3208" s="4" t="s">
        <v>241</v>
      </c>
      <c r="HU3208" s="4" t="s">
        <v>241</v>
      </c>
      <c r="HV3208" s="4" t="s">
        <v>241</v>
      </c>
      <c r="HW3208" s="4" t="s">
        <v>241</v>
      </c>
      <c r="HX3208" s="4" t="s">
        <v>241</v>
      </c>
      <c r="HY3208" s="4" t="s">
        <v>241</v>
      </c>
      <c r="HZ3208" s="4" t="s">
        <v>241</v>
      </c>
      <c r="IA3208" s="4" t="s">
        <v>241</v>
      </c>
      <c r="IB3208" s="4" t="s">
        <v>241</v>
      </c>
      <c r="IC3208" s="4" t="s">
        <v>241</v>
      </c>
      <c r="ID3208" s="4" t="s">
        <v>241</v>
      </c>
      <c r="IE3208" s="4" t="s">
        <v>241</v>
      </c>
      <c r="IF3208" s="4" t="s">
        <v>241</v>
      </c>
    </row>
    <row r="3209" spans="1:240" ht="19.5" customHeight="1" x14ac:dyDescent="0.4">
      <c r="A3209" s="4">
        <v>1</v>
      </c>
      <c r="B3209" s="4" t="s">
        <v>239</v>
      </c>
      <c r="C3209" s="4">
        <v>8572</v>
      </c>
      <c r="D3209" s="4">
        <v>1</v>
      </c>
      <c r="E3209" s="4">
        <v>4</v>
      </c>
      <c r="F3209" s="4" t="s">
        <v>241</v>
      </c>
      <c r="I3209" s="4" t="s">
        <v>241</v>
      </c>
      <c r="J3209" s="4" t="s">
        <v>274</v>
      </c>
      <c r="K3209" s="4" t="s">
        <v>251</v>
      </c>
      <c r="L3209" s="4" t="s">
        <v>5632</v>
      </c>
      <c r="M3209" s="5" t="s">
        <v>5634</v>
      </c>
      <c r="N3209" s="6">
        <f>422.65</f>
        <v>422.65</v>
      </c>
      <c r="O3209" s="4" t="s">
        <v>265</v>
      </c>
      <c r="P3209" s="6">
        <f>845300</f>
        <v>845300</v>
      </c>
      <c r="Q3209" s="6">
        <f>0</f>
        <v>0</v>
      </c>
      <c r="R3209" s="6">
        <f>0</f>
        <v>0</v>
      </c>
      <c r="S3209" s="6">
        <f>845300</f>
        <v>845300</v>
      </c>
      <c r="T3209" s="6">
        <f>845300</f>
        <v>845300</v>
      </c>
      <c r="U3209" s="5" t="s">
        <v>5633</v>
      </c>
      <c r="V3209" s="4" t="s">
        <v>270</v>
      </c>
      <c r="W3209" s="4" t="s">
        <v>241</v>
      </c>
      <c r="X3209" s="4" t="s">
        <v>241</v>
      </c>
      <c r="Y3209" s="4" t="s">
        <v>241</v>
      </c>
      <c r="AB3209" s="4" t="s">
        <v>3144</v>
      </c>
      <c r="AC3209" s="5" t="s">
        <v>241</v>
      </c>
      <c r="AD3209" s="5" t="s">
        <v>241</v>
      </c>
      <c r="AE3209" s="4" t="s">
        <v>241</v>
      </c>
      <c r="AF3209" s="5" t="s">
        <v>241</v>
      </c>
      <c r="AG3209" s="5" t="s">
        <v>5633</v>
      </c>
      <c r="AH3209" s="4" t="s">
        <v>5573</v>
      </c>
      <c r="AI3209" s="4" t="s">
        <v>247</v>
      </c>
      <c r="AJ3209" s="4" t="s">
        <v>241</v>
      </c>
      <c r="AP3209" s="4" t="s">
        <v>241</v>
      </c>
      <c r="AQ3209" s="4" t="s">
        <v>241</v>
      </c>
      <c r="AR3209" s="4" t="s">
        <v>241</v>
      </c>
      <c r="AS3209" s="5" t="s">
        <v>241</v>
      </c>
      <c r="AT3209" s="5" t="s">
        <v>241</v>
      </c>
      <c r="AU3209" s="5" t="s">
        <v>241</v>
      </c>
      <c r="AX3209" s="4" t="s">
        <v>5562</v>
      </c>
      <c r="AY3209" s="4" t="s">
        <v>5562</v>
      </c>
      <c r="AZ3209" s="4" t="s">
        <v>249</v>
      </c>
      <c r="BA3209" s="4" t="s">
        <v>5549</v>
      </c>
      <c r="BB3209" s="4" t="s">
        <v>250</v>
      </c>
      <c r="BC3209" s="4" t="s">
        <v>241</v>
      </c>
      <c r="BD3209" s="4" t="s">
        <v>252</v>
      </c>
      <c r="BE3209" s="4" t="s">
        <v>5557</v>
      </c>
      <c r="BI3209" s="4" t="s">
        <v>5550</v>
      </c>
      <c r="BJ3209" s="5" t="s">
        <v>5635</v>
      </c>
      <c r="BK3209" s="4" t="s">
        <v>5564</v>
      </c>
      <c r="BL3209" s="4" t="s">
        <v>5565</v>
      </c>
      <c r="BM3209" s="4" t="s">
        <v>241</v>
      </c>
      <c r="BN3209" s="6">
        <f>0</f>
        <v>0</v>
      </c>
      <c r="BO3209" s="6">
        <f>127360</f>
        <v>127360</v>
      </c>
      <c r="BP3209" s="4" t="s">
        <v>256</v>
      </c>
      <c r="BQ3209" s="4" t="s">
        <v>257</v>
      </c>
      <c r="BR3209" s="4" t="s">
        <v>5566</v>
      </c>
      <c r="BS3209" s="4" t="s">
        <v>5567</v>
      </c>
      <c r="BT3209" s="4" t="s">
        <v>5576</v>
      </c>
      <c r="BU3209" s="4" t="s">
        <v>241</v>
      </c>
      <c r="BV3209" s="4" t="s">
        <v>256</v>
      </c>
      <c r="BW3209" s="4" t="s">
        <v>5568</v>
      </c>
      <c r="BX3209" s="4" t="s">
        <v>5568</v>
      </c>
      <c r="BZ3209" s="5" t="s">
        <v>5636</v>
      </c>
      <c r="CA3209" s="4" t="s">
        <v>256</v>
      </c>
      <c r="CB3209" s="4" t="s">
        <v>241</v>
      </c>
      <c r="CC3209" s="4" t="s">
        <v>241</v>
      </c>
      <c r="CD3209" s="4" t="s">
        <v>257</v>
      </c>
      <c r="CE3209" s="4" t="s">
        <v>241</v>
      </c>
      <c r="CF3209" s="4" t="s">
        <v>241</v>
      </c>
      <c r="CJ3209" s="4" t="s">
        <v>241</v>
      </c>
      <c r="CK3209" s="4" t="s">
        <v>241</v>
      </c>
      <c r="CL3209" s="4" t="s">
        <v>264</v>
      </c>
      <c r="CN3209" s="4" t="s">
        <v>241</v>
      </c>
      <c r="CO3209" s="5" t="s">
        <v>260</v>
      </c>
      <c r="CP3209" s="4" t="s">
        <v>5552</v>
      </c>
      <c r="CQ3209" s="4" t="s">
        <v>5553</v>
      </c>
      <c r="CR3209" s="4" t="s">
        <v>5554</v>
      </c>
      <c r="CS3209" s="4" t="s">
        <v>241</v>
      </c>
      <c r="CT3209" s="4">
        <v>0</v>
      </c>
      <c r="CU3209" s="4" t="s">
        <v>241</v>
      </c>
      <c r="CV3209" s="4" t="s">
        <v>241</v>
      </c>
      <c r="CW3209" s="4" t="s">
        <v>241</v>
      </c>
      <c r="CX3209" s="4" t="s">
        <v>264</v>
      </c>
      <c r="CY3209" s="4" t="s">
        <v>241</v>
      </c>
      <c r="CZ3209" s="6">
        <f>2000</f>
        <v>2000</v>
      </c>
      <c r="DA3209" s="6">
        <f>845300</f>
        <v>845300</v>
      </c>
      <c r="DB3209" s="6" t="s">
        <v>241</v>
      </c>
      <c r="DC3209" s="4" t="s">
        <v>241</v>
      </c>
      <c r="DD3209" s="4" t="s">
        <v>241</v>
      </c>
      <c r="DF3209" s="4" t="s">
        <v>241</v>
      </c>
      <c r="DG3209" s="6">
        <f>0</f>
        <v>0</v>
      </c>
      <c r="DH3209" s="5" t="s">
        <v>241</v>
      </c>
      <c r="DI3209" s="4" t="s">
        <v>241</v>
      </c>
      <c r="DJ3209" s="4" t="s">
        <v>241</v>
      </c>
      <c r="DK3209" s="4" t="s">
        <v>241</v>
      </c>
      <c r="DL3209" s="4" t="s">
        <v>241</v>
      </c>
      <c r="DM3209" s="4" t="s">
        <v>241</v>
      </c>
      <c r="DN3209" s="4" t="s">
        <v>241</v>
      </c>
      <c r="DO3209" s="6" t="s">
        <v>241</v>
      </c>
      <c r="DP3209" s="4" t="s">
        <v>241</v>
      </c>
      <c r="DQ3209" s="4" t="s">
        <v>247</v>
      </c>
      <c r="DR3209" s="4" t="s">
        <v>5557</v>
      </c>
      <c r="DS3209" s="4" t="s">
        <v>5557</v>
      </c>
      <c r="DT3209" s="4" t="s">
        <v>241</v>
      </c>
      <c r="DU3209" s="4" t="s">
        <v>241</v>
      </c>
      <c r="GN3209" s="4" t="s">
        <v>5637</v>
      </c>
      <c r="HR3209" s="4" t="s">
        <v>241</v>
      </c>
      <c r="HS3209" s="4" t="s">
        <v>241</v>
      </c>
      <c r="HT3209" s="4" t="s">
        <v>241</v>
      </c>
      <c r="HU3209" s="4" t="s">
        <v>241</v>
      </c>
      <c r="HV3209" s="4" t="s">
        <v>241</v>
      </c>
      <c r="HW3209" s="4" t="s">
        <v>241</v>
      </c>
      <c r="HX3209" s="4" t="s">
        <v>241</v>
      </c>
      <c r="HY3209" s="4" t="s">
        <v>241</v>
      </c>
      <c r="HZ3209" s="4" t="s">
        <v>241</v>
      </c>
      <c r="IA3209" s="4" t="s">
        <v>241</v>
      </c>
      <c r="IB3209" s="4" t="s">
        <v>241</v>
      </c>
      <c r="IC3209" s="4" t="s">
        <v>241</v>
      </c>
      <c r="ID3209" s="4" t="s">
        <v>241</v>
      </c>
      <c r="IE3209" s="4" t="s">
        <v>241</v>
      </c>
      <c r="IF3209" s="4" t="s">
        <v>241</v>
      </c>
    </row>
    <row r="3210" spans="1:240" ht="19.5" customHeight="1" x14ac:dyDescent="0.4">
      <c r="A3210" s="4">
        <v>1</v>
      </c>
      <c r="B3210" s="4" t="s">
        <v>239</v>
      </c>
      <c r="C3210" s="4">
        <v>8573</v>
      </c>
      <c r="D3210" s="4">
        <v>1</v>
      </c>
      <c r="E3210" s="4">
        <v>2</v>
      </c>
      <c r="F3210" s="4" t="s">
        <v>241</v>
      </c>
      <c r="I3210" s="4" t="s">
        <v>241</v>
      </c>
      <c r="J3210" s="4" t="s">
        <v>274</v>
      </c>
      <c r="K3210" s="4" t="s">
        <v>251</v>
      </c>
      <c r="L3210" s="4" t="s">
        <v>5681</v>
      </c>
      <c r="M3210" s="5" t="s">
        <v>5589</v>
      </c>
      <c r="N3210" s="6">
        <f>105.08</f>
        <v>105.08</v>
      </c>
      <c r="O3210" s="4" t="s">
        <v>265</v>
      </c>
      <c r="P3210" s="6">
        <f>1376548</f>
        <v>1376548</v>
      </c>
      <c r="Q3210" s="6">
        <f>0</f>
        <v>0</v>
      </c>
      <c r="R3210" s="6">
        <f>0</f>
        <v>0</v>
      </c>
      <c r="S3210" s="6">
        <f>1376548</f>
        <v>1376548</v>
      </c>
      <c r="T3210" s="6">
        <f>1376548</f>
        <v>1376548</v>
      </c>
      <c r="U3210" s="5" t="s">
        <v>5682</v>
      </c>
      <c r="V3210" s="4" t="s">
        <v>270</v>
      </c>
      <c r="W3210" s="4" t="s">
        <v>241</v>
      </c>
      <c r="X3210" s="4" t="s">
        <v>241</v>
      </c>
      <c r="Y3210" s="4" t="s">
        <v>241</v>
      </c>
      <c r="AB3210" s="4" t="s">
        <v>3144</v>
      </c>
      <c r="AC3210" s="5" t="s">
        <v>241</v>
      </c>
      <c r="AD3210" s="5" t="s">
        <v>241</v>
      </c>
      <c r="AE3210" s="4" t="s">
        <v>241</v>
      </c>
      <c r="AF3210" s="5" t="s">
        <v>241</v>
      </c>
      <c r="AG3210" s="5" t="s">
        <v>5682</v>
      </c>
      <c r="AH3210" s="4" t="s">
        <v>5573</v>
      </c>
      <c r="AI3210" s="4" t="s">
        <v>247</v>
      </c>
      <c r="AJ3210" s="4" t="s">
        <v>241</v>
      </c>
      <c r="AP3210" s="4" t="s">
        <v>241</v>
      </c>
      <c r="AQ3210" s="4" t="s">
        <v>241</v>
      </c>
      <c r="AR3210" s="4" t="s">
        <v>241</v>
      </c>
      <c r="AS3210" s="5" t="s">
        <v>241</v>
      </c>
      <c r="AT3210" s="5" t="s">
        <v>241</v>
      </c>
      <c r="AU3210" s="5" t="s">
        <v>241</v>
      </c>
      <c r="AX3210" s="4" t="s">
        <v>5562</v>
      </c>
      <c r="AY3210" s="4" t="s">
        <v>5562</v>
      </c>
      <c r="AZ3210" s="4" t="s">
        <v>249</v>
      </c>
      <c r="BA3210" s="4" t="s">
        <v>5549</v>
      </c>
      <c r="BB3210" s="4" t="s">
        <v>250</v>
      </c>
      <c r="BC3210" s="4" t="s">
        <v>241</v>
      </c>
      <c r="BD3210" s="4" t="s">
        <v>252</v>
      </c>
      <c r="BE3210" s="4" t="s">
        <v>5557</v>
      </c>
      <c r="BI3210" s="4" t="s">
        <v>5550</v>
      </c>
      <c r="BJ3210" s="5" t="s">
        <v>5590</v>
      </c>
      <c r="BK3210" s="4" t="s">
        <v>5564</v>
      </c>
      <c r="BL3210" s="4" t="s">
        <v>5565</v>
      </c>
      <c r="BM3210" s="4" t="s">
        <v>241</v>
      </c>
      <c r="BN3210" s="6">
        <f>0</f>
        <v>0</v>
      </c>
      <c r="BO3210" s="6">
        <f>413000</f>
        <v>413000</v>
      </c>
      <c r="BP3210" s="4" t="s">
        <v>256</v>
      </c>
      <c r="BQ3210" s="4" t="s">
        <v>257</v>
      </c>
      <c r="BR3210" s="4" t="s">
        <v>5566</v>
      </c>
      <c r="BS3210" s="4" t="s">
        <v>5567</v>
      </c>
      <c r="BT3210" s="4" t="s">
        <v>5576</v>
      </c>
      <c r="BU3210" s="4" t="s">
        <v>241</v>
      </c>
      <c r="BV3210" s="4" t="s">
        <v>256</v>
      </c>
      <c r="BW3210" s="4" t="s">
        <v>5568</v>
      </c>
      <c r="BX3210" s="4" t="s">
        <v>5568</v>
      </c>
      <c r="BZ3210" s="5" t="s">
        <v>5683</v>
      </c>
      <c r="CA3210" s="4" t="s">
        <v>256</v>
      </c>
      <c r="CB3210" s="4" t="s">
        <v>241</v>
      </c>
      <c r="CC3210" s="4" t="s">
        <v>241</v>
      </c>
      <c r="CD3210" s="4" t="s">
        <v>257</v>
      </c>
      <c r="CE3210" s="4" t="s">
        <v>241</v>
      </c>
      <c r="CF3210" s="4" t="s">
        <v>241</v>
      </c>
      <c r="CJ3210" s="4" t="s">
        <v>241</v>
      </c>
      <c r="CK3210" s="4" t="s">
        <v>241</v>
      </c>
      <c r="CL3210" s="4" t="s">
        <v>264</v>
      </c>
      <c r="CN3210" s="4" t="s">
        <v>241</v>
      </c>
      <c r="CO3210" s="5" t="s">
        <v>260</v>
      </c>
      <c r="CP3210" s="4" t="s">
        <v>5552</v>
      </c>
      <c r="CQ3210" s="4" t="s">
        <v>5553</v>
      </c>
      <c r="CR3210" s="4" t="s">
        <v>5554</v>
      </c>
      <c r="CS3210" s="4" t="s">
        <v>241</v>
      </c>
      <c r="CT3210" s="4">
        <v>0</v>
      </c>
      <c r="CU3210" s="4" t="s">
        <v>241</v>
      </c>
      <c r="CV3210" s="4" t="s">
        <v>241</v>
      </c>
      <c r="CW3210" s="4" t="s">
        <v>241</v>
      </c>
      <c r="CX3210" s="4" t="s">
        <v>264</v>
      </c>
      <c r="CY3210" s="4" t="s">
        <v>241</v>
      </c>
      <c r="CZ3210" s="6">
        <f>13100</f>
        <v>13100</v>
      </c>
      <c r="DA3210" s="6">
        <f>1376548</f>
        <v>1376548</v>
      </c>
      <c r="DB3210" s="6" t="s">
        <v>241</v>
      </c>
      <c r="DC3210" s="4" t="s">
        <v>241</v>
      </c>
      <c r="DD3210" s="4" t="s">
        <v>241</v>
      </c>
      <c r="DF3210" s="4" t="s">
        <v>241</v>
      </c>
      <c r="DG3210" s="6">
        <f>0</f>
        <v>0</v>
      </c>
      <c r="DH3210" s="5" t="s">
        <v>241</v>
      </c>
      <c r="DI3210" s="4" t="s">
        <v>241</v>
      </c>
      <c r="DJ3210" s="4" t="s">
        <v>241</v>
      </c>
      <c r="DK3210" s="4" t="s">
        <v>241</v>
      </c>
      <c r="DL3210" s="4" t="s">
        <v>241</v>
      </c>
      <c r="DM3210" s="4" t="s">
        <v>241</v>
      </c>
      <c r="DN3210" s="4" t="s">
        <v>241</v>
      </c>
      <c r="DO3210" s="6" t="s">
        <v>241</v>
      </c>
      <c r="DP3210" s="4" t="s">
        <v>241</v>
      </c>
      <c r="DQ3210" s="4" t="s">
        <v>247</v>
      </c>
      <c r="DR3210" s="4" t="s">
        <v>5557</v>
      </c>
      <c r="DS3210" s="4" t="s">
        <v>5557</v>
      </c>
      <c r="DT3210" s="4" t="s">
        <v>241</v>
      </c>
      <c r="DU3210" s="4" t="s">
        <v>241</v>
      </c>
      <c r="GN3210" s="4" t="s">
        <v>5684</v>
      </c>
      <c r="HR3210" s="4" t="s">
        <v>241</v>
      </c>
      <c r="HS3210" s="4" t="s">
        <v>241</v>
      </c>
      <c r="HT3210" s="4" t="s">
        <v>241</v>
      </c>
      <c r="HU3210" s="4" t="s">
        <v>241</v>
      </c>
      <c r="HV3210" s="4" t="s">
        <v>241</v>
      </c>
      <c r="HW3210" s="4" t="s">
        <v>241</v>
      </c>
      <c r="HX3210" s="4" t="s">
        <v>241</v>
      </c>
      <c r="HY3210" s="4" t="s">
        <v>241</v>
      </c>
      <c r="HZ3210" s="4" t="s">
        <v>241</v>
      </c>
      <c r="IA3210" s="4" t="s">
        <v>241</v>
      </c>
      <c r="IB3210" s="4" t="s">
        <v>241</v>
      </c>
      <c r="IC3210" s="4" t="s">
        <v>241</v>
      </c>
      <c r="ID3210" s="4" t="s">
        <v>241</v>
      </c>
      <c r="IE3210" s="4" t="s">
        <v>241</v>
      </c>
      <c r="IF3210" s="4" t="s">
        <v>241</v>
      </c>
    </row>
    <row r="3211" spans="1:240" ht="19.5" customHeight="1" x14ac:dyDescent="0.4">
      <c r="A3211" s="4">
        <v>1</v>
      </c>
      <c r="B3211" s="4" t="s">
        <v>239</v>
      </c>
      <c r="C3211" s="4">
        <v>8574</v>
      </c>
      <c r="D3211" s="4">
        <v>1</v>
      </c>
      <c r="E3211" s="4">
        <v>4</v>
      </c>
      <c r="F3211" s="4" t="s">
        <v>241</v>
      </c>
      <c r="I3211" s="4" t="s">
        <v>241</v>
      </c>
      <c r="J3211" s="4" t="s">
        <v>274</v>
      </c>
      <c r="K3211" s="4" t="s">
        <v>251</v>
      </c>
      <c r="L3211" s="4" t="s">
        <v>5677</v>
      </c>
      <c r="M3211" s="5" t="s">
        <v>5623</v>
      </c>
      <c r="N3211" s="6">
        <f>4258.01</f>
        <v>4258.01</v>
      </c>
      <c r="O3211" s="4" t="s">
        <v>265</v>
      </c>
      <c r="P3211" s="6">
        <f>7662573</f>
        <v>7662573</v>
      </c>
      <c r="Q3211" s="6">
        <f>0</f>
        <v>0</v>
      </c>
      <c r="R3211" s="6">
        <f>0</f>
        <v>0</v>
      </c>
      <c r="S3211" s="6">
        <f>7662573</f>
        <v>7662573</v>
      </c>
      <c r="T3211" s="6">
        <f>7662573</f>
        <v>7662573</v>
      </c>
      <c r="U3211" s="5" t="s">
        <v>5678</v>
      </c>
      <c r="V3211" s="4" t="s">
        <v>270</v>
      </c>
      <c r="W3211" s="4" t="s">
        <v>241</v>
      </c>
      <c r="X3211" s="4" t="s">
        <v>241</v>
      </c>
      <c r="Y3211" s="4" t="s">
        <v>241</v>
      </c>
      <c r="AB3211" s="4" t="s">
        <v>3144</v>
      </c>
      <c r="AC3211" s="5" t="s">
        <v>241</v>
      </c>
      <c r="AD3211" s="5" t="s">
        <v>241</v>
      </c>
      <c r="AE3211" s="4" t="s">
        <v>241</v>
      </c>
      <c r="AF3211" s="5" t="s">
        <v>241</v>
      </c>
      <c r="AG3211" s="5" t="s">
        <v>5678</v>
      </c>
      <c r="AH3211" s="4" t="s">
        <v>5573</v>
      </c>
      <c r="AI3211" s="4" t="s">
        <v>247</v>
      </c>
      <c r="AJ3211" s="4" t="s">
        <v>241</v>
      </c>
      <c r="AP3211" s="4" t="s">
        <v>241</v>
      </c>
      <c r="AQ3211" s="4" t="s">
        <v>241</v>
      </c>
      <c r="AR3211" s="4" t="s">
        <v>241</v>
      </c>
      <c r="AS3211" s="5" t="s">
        <v>241</v>
      </c>
      <c r="AT3211" s="5" t="s">
        <v>241</v>
      </c>
      <c r="AU3211" s="5" t="s">
        <v>241</v>
      </c>
      <c r="AX3211" s="4" t="s">
        <v>5562</v>
      </c>
      <c r="AY3211" s="4" t="s">
        <v>5562</v>
      </c>
      <c r="AZ3211" s="4" t="s">
        <v>249</v>
      </c>
      <c r="BA3211" s="4" t="s">
        <v>5549</v>
      </c>
      <c r="BB3211" s="4" t="s">
        <v>250</v>
      </c>
      <c r="BC3211" s="4" t="s">
        <v>241</v>
      </c>
      <c r="BD3211" s="4" t="s">
        <v>252</v>
      </c>
      <c r="BE3211" s="4" t="s">
        <v>5557</v>
      </c>
      <c r="BI3211" s="4" t="s">
        <v>5550</v>
      </c>
      <c r="BJ3211" s="5" t="s">
        <v>5581</v>
      </c>
      <c r="BK3211" s="4" t="s">
        <v>5564</v>
      </c>
      <c r="BL3211" s="4" t="s">
        <v>5565</v>
      </c>
      <c r="BM3211" s="4" t="s">
        <v>241</v>
      </c>
      <c r="BN3211" s="6">
        <f>0</f>
        <v>0</v>
      </c>
      <c r="BO3211" s="6">
        <f>69683</f>
        <v>69683</v>
      </c>
      <c r="BP3211" s="4" t="s">
        <v>256</v>
      </c>
      <c r="BQ3211" s="4" t="s">
        <v>257</v>
      </c>
      <c r="BR3211" s="4" t="s">
        <v>5566</v>
      </c>
      <c r="BS3211" s="4" t="s">
        <v>5567</v>
      </c>
      <c r="BT3211" s="4" t="s">
        <v>5576</v>
      </c>
      <c r="BU3211" s="4" t="s">
        <v>241</v>
      </c>
      <c r="BV3211" s="4" t="s">
        <v>256</v>
      </c>
      <c r="BW3211" s="4" t="s">
        <v>5568</v>
      </c>
      <c r="BX3211" s="4" t="s">
        <v>5568</v>
      </c>
      <c r="BZ3211" s="5" t="s">
        <v>5679</v>
      </c>
      <c r="CA3211" s="4" t="s">
        <v>256</v>
      </c>
      <c r="CB3211" s="4" t="s">
        <v>241</v>
      </c>
      <c r="CC3211" s="4" t="s">
        <v>241</v>
      </c>
      <c r="CD3211" s="4" t="s">
        <v>257</v>
      </c>
      <c r="CE3211" s="4" t="s">
        <v>241</v>
      </c>
      <c r="CF3211" s="4" t="s">
        <v>241</v>
      </c>
      <c r="CJ3211" s="4" t="s">
        <v>241</v>
      </c>
      <c r="CK3211" s="4" t="s">
        <v>241</v>
      </c>
      <c r="CL3211" s="4" t="s">
        <v>264</v>
      </c>
      <c r="CN3211" s="4" t="s">
        <v>241</v>
      </c>
      <c r="CO3211" s="5" t="s">
        <v>260</v>
      </c>
      <c r="CP3211" s="4" t="s">
        <v>5552</v>
      </c>
      <c r="CQ3211" s="4" t="s">
        <v>5553</v>
      </c>
      <c r="CR3211" s="4" t="s">
        <v>5554</v>
      </c>
      <c r="CS3211" s="4" t="s">
        <v>241</v>
      </c>
      <c r="CT3211" s="4">
        <v>0</v>
      </c>
      <c r="CU3211" s="4" t="s">
        <v>241</v>
      </c>
      <c r="CV3211" s="4" t="s">
        <v>241</v>
      </c>
      <c r="CW3211" s="4" t="s">
        <v>241</v>
      </c>
      <c r="CX3211" s="4" t="s">
        <v>264</v>
      </c>
      <c r="CY3211" s="4" t="s">
        <v>241</v>
      </c>
      <c r="CZ3211" s="6">
        <f>1800</f>
        <v>1800</v>
      </c>
      <c r="DA3211" s="6">
        <f>7662573</f>
        <v>7662573</v>
      </c>
      <c r="DB3211" s="6" t="s">
        <v>241</v>
      </c>
      <c r="DC3211" s="4" t="s">
        <v>241</v>
      </c>
      <c r="DD3211" s="4" t="s">
        <v>241</v>
      </c>
      <c r="DF3211" s="4" t="s">
        <v>241</v>
      </c>
      <c r="DG3211" s="6">
        <f>0</f>
        <v>0</v>
      </c>
      <c r="DH3211" s="5" t="s">
        <v>241</v>
      </c>
      <c r="DI3211" s="4" t="s">
        <v>241</v>
      </c>
      <c r="DJ3211" s="4" t="s">
        <v>241</v>
      </c>
      <c r="DK3211" s="4" t="s">
        <v>241</v>
      </c>
      <c r="DL3211" s="4" t="s">
        <v>241</v>
      </c>
      <c r="DM3211" s="4" t="s">
        <v>241</v>
      </c>
      <c r="DN3211" s="4" t="s">
        <v>241</v>
      </c>
      <c r="DO3211" s="6" t="s">
        <v>241</v>
      </c>
      <c r="DP3211" s="4" t="s">
        <v>241</v>
      </c>
      <c r="DQ3211" s="4" t="s">
        <v>247</v>
      </c>
      <c r="DR3211" s="4" t="s">
        <v>5557</v>
      </c>
      <c r="DS3211" s="4" t="s">
        <v>5557</v>
      </c>
      <c r="DT3211" s="4" t="s">
        <v>241</v>
      </c>
      <c r="DU3211" s="4" t="s">
        <v>241</v>
      </c>
      <c r="GN3211" s="4" t="s">
        <v>5680</v>
      </c>
      <c r="HR3211" s="4" t="s">
        <v>241</v>
      </c>
      <c r="HS3211" s="4" t="s">
        <v>241</v>
      </c>
      <c r="HT3211" s="4" t="s">
        <v>241</v>
      </c>
      <c r="HU3211" s="4" t="s">
        <v>241</v>
      </c>
      <c r="HV3211" s="4" t="s">
        <v>241</v>
      </c>
      <c r="HW3211" s="4" t="s">
        <v>241</v>
      </c>
      <c r="HX3211" s="4" t="s">
        <v>241</v>
      </c>
      <c r="HY3211" s="4" t="s">
        <v>241</v>
      </c>
      <c r="HZ3211" s="4" t="s">
        <v>241</v>
      </c>
      <c r="IA3211" s="4" t="s">
        <v>241</v>
      </c>
      <c r="IB3211" s="4" t="s">
        <v>241</v>
      </c>
      <c r="IC3211" s="4" t="s">
        <v>241</v>
      </c>
      <c r="ID3211" s="4" t="s">
        <v>241</v>
      </c>
      <c r="IE3211" s="4" t="s">
        <v>241</v>
      </c>
      <c r="IF3211" s="4" t="s">
        <v>241</v>
      </c>
    </row>
    <row r="3212" spans="1:240" ht="19.5" customHeight="1" x14ac:dyDescent="0.4">
      <c r="A3212" s="4">
        <v>1</v>
      </c>
      <c r="B3212" s="4" t="s">
        <v>239</v>
      </c>
      <c r="C3212" s="4">
        <v>8575</v>
      </c>
      <c r="D3212" s="4">
        <v>1</v>
      </c>
      <c r="E3212" s="4">
        <v>1</v>
      </c>
      <c r="F3212" s="4" t="s">
        <v>241</v>
      </c>
      <c r="I3212" s="4" t="s">
        <v>241</v>
      </c>
      <c r="J3212" s="4" t="s">
        <v>274</v>
      </c>
      <c r="K3212" s="4" t="s">
        <v>251</v>
      </c>
      <c r="L3212" s="4" t="s">
        <v>5646</v>
      </c>
      <c r="M3212" s="5" t="s">
        <v>5648</v>
      </c>
      <c r="N3212" s="6">
        <f>1670.88</f>
        <v>1670.88</v>
      </c>
      <c r="O3212" s="4" t="s">
        <v>265</v>
      </c>
      <c r="P3212" s="6">
        <f>3216460</f>
        <v>3216460</v>
      </c>
      <c r="Q3212" s="6">
        <f>0</f>
        <v>0</v>
      </c>
      <c r="R3212" s="6">
        <f>0</f>
        <v>0</v>
      </c>
      <c r="S3212" s="6">
        <f>3216460</f>
        <v>3216460</v>
      </c>
      <c r="T3212" s="6">
        <f>3216460</f>
        <v>3216460</v>
      </c>
      <c r="U3212" s="5" t="s">
        <v>5647</v>
      </c>
      <c r="V3212" s="4" t="s">
        <v>270</v>
      </c>
      <c r="W3212" s="4" t="s">
        <v>241</v>
      </c>
      <c r="X3212" s="4" t="s">
        <v>241</v>
      </c>
      <c r="Y3212" s="4" t="s">
        <v>241</v>
      </c>
      <c r="AB3212" s="4" t="s">
        <v>3144</v>
      </c>
      <c r="AC3212" s="5" t="s">
        <v>241</v>
      </c>
      <c r="AD3212" s="5" t="s">
        <v>241</v>
      </c>
      <c r="AE3212" s="4" t="s">
        <v>241</v>
      </c>
      <c r="AF3212" s="5" t="s">
        <v>241</v>
      </c>
      <c r="AG3212" s="5" t="s">
        <v>5647</v>
      </c>
      <c r="AH3212" s="4" t="s">
        <v>5573</v>
      </c>
      <c r="AI3212" s="4" t="s">
        <v>247</v>
      </c>
      <c r="AJ3212" s="4" t="s">
        <v>241</v>
      </c>
      <c r="AP3212" s="4" t="s">
        <v>241</v>
      </c>
      <c r="AQ3212" s="4" t="s">
        <v>241</v>
      </c>
      <c r="AR3212" s="4" t="s">
        <v>241</v>
      </c>
      <c r="AS3212" s="5" t="s">
        <v>241</v>
      </c>
      <c r="AT3212" s="5" t="s">
        <v>241</v>
      </c>
      <c r="AU3212" s="5" t="s">
        <v>241</v>
      </c>
      <c r="AX3212" s="4" t="s">
        <v>5562</v>
      </c>
      <c r="AY3212" s="4" t="s">
        <v>5562</v>
      </c>
      <c r="AZ3212" s="4" t="s">
        <v>249</v>
      </c>
      <c r="BA3212" s="4" t="s">
        <v>5549</v>
      </c>
      <c r="BB3212" s="4" t="s">
        <v>250</v>
      </c>
      <c r="BC3212" s="4" t="s">
        <v>241</v>
      </c>
      <c r="BD3212" s="4" t="s">
        <v>252</v>
      </c>
      <c r="BE3212" s="4" t="s">
        <v>5557</v>
      </c>
      <c r="BI3212" s="4" t="s">
        <v>5550</v>
      </c>
      <c r="BJ3212" s="5" t="s">
        <v>5647</v>
      </c>
      <c r="BK3212" s="4" t="s">
        <v>5565</v>
      </c>
      <c r="BL3212" s="4" t="s">
        <v>5565</v>
      </c>
      <c r="BM3212" s="4" t="s">
        <v>241</v>
      </c>
      <c r="BN3212" s="6">
        <f>1670.88</f>
        <v>1670.88</v>
      </c>
      <c r="BO3212" s="6">
        <f>0</f>
        <v>0</v>
      </c>
      <c r="BP3212" s="4" t="s">
        <v>256</v>
      </c>
      <c r="BQ3212" s="4" t="s">
        <v>257</v>
      </c>
      <c r="BR3212" s="4" t="s">
        <v>5566</v>
      </c>
      <c r="BS3212" s="4" t="s">
        <v>5567</v>
      </c>
      <c r="BT3212" s="4" t="s">
        <v>5576</v>
      </c>
      <c r="BU3212" s="4" t="s">
        <v>241</v>
      </c>
      <c r="BV3212" s="4" t="s">
        <v>256</v>
      </c>
      <c r="BW3212" s="4" t="s">
        <v>5568</v>
      </c>
      <c r="BX3212" s="4" t="s">
        <v>5568</v>
      </c>
      <c r="BZ3212" s="5" t="s">
        <v>5649</v>
      </c>
      <c r="CA3212" s="4" t="s">
        <v>256</v>
      </c>
      <c r="CB3212" s="4" t="s">
        <v>241</v>
      </c>
      <c r="CC3212" s="4" t="s">
        <v>241</v>
      </c>
      <c r="CD3212" s="4" t="s">
        <v>257</v>
      </c>
      <c r="CE3212" s="4" t="s">
        <v>241</v>
      </c>
      <c r="CF3212" s="4" t="s">
        <v>241</v>
      </c>
      <c r="CJ3212" s="4" t="s">
        <v>241</v>
      </c>
      <c r="CK3212" s="4" t="s">
        <v>241</v>
      </c>
      <c r="CL3212" s="4" t="s">
        <v>264</v>
      </c>
      <c r="CN3212" s="4" t="s">
        <v>241</v>
      </c>
      <c r="CO3212" s="5" t="s">
        <v>260</v>
      </c>
      <c r="CP3212" s="4" t="s">
        <v>5552</v>
      </c>
      <c r="CQ3212" s="4" t="s">
        <v>5553</v>
      </c>
      <c r="CR3212" s="4" t="s">
        <v>5554</v>
      </c>
      <c r="CS3212" s="4" t="s">
        <v>241</v>
      </c>
      <c r="CT3212" s="4">
        <v>0</v>
      </c>
      <c r="CU3212" s="4" t="s">
        <v>241</v>
      </c>
      <c r="CV3212" s="4" t="s">
        <v>241</v>
      </c>
      <c r="CW3212" s="4" t="s">
        <v>241</v>
      </c>
      <c r="CX3212" s="4" t="s">
        <v>264</v>
      </c>
      <c r="CY3212" s="4" t="s">
        <v>241</v>
      </c>
      <c r="CZ3212" s="6">
        <f>1925</f>
        <v>1925</v>
      </c>
      <c r="DA3212" s="6">
        <f>3216460</f>
        <v>3216460</v>
      </c>
      <c r="DB3212" s="6" t="s">
        <v>241</v>
      </c>
      <c r="DC3212" s="4" t="s">
        <v>241</v>
      </c>
      <c r="DD3212" s="4" t="s">
        <v>241</v>
      </c>
      <c r="DF3212" s="4" t="s">
        <v>241</v>
      </c>
      <c r="DG3212" s="6">
        <f>0</f>
        <v>0</v>
      </c>
      <c r="DH3212" s="5" t="s">
        <v>241</v>
      </c>
      <c r="DI3212" s="4" t="s">
        <v>241</v>
      </c>
      <c r="DJ3212" s="4" t="s">
        <v>241</v>
      </c>
      <c r="DK3212" s="4" t="s">
        <v>241</v>
      </c>
      <c r="DL3212" s="4" t="s">
        <v>241</v>
      </c>
      <c r="DM3212" s="4" t="s">
        <v>241</v>
      </c>
      <c r="DN3212" s="4" t="s">
        <v>241</v>
      </c>
      <c r="DO3212" s="6" t="s">
        <v>241</v>
      </c>
      <c r="DP3212" s="4" t="s">
        <v>241</v>
      </c>
      <c r="DQ3212" s="4" t="s">
        <v>247</v>
      </c>
      <c r="DR3212" s="4" t="s">
        <v>5557</v>
      </c>
      <c r="DS3212" s="4" t="s">
        <v>5557</v>
      </c>
      <c r="DT3212" s="4" t="s">
        <v>241</v>
      </c>
      <c r="DU3212" s="4" t="s">
        <v>241</v>
      </c>
      <c r="GN3212" s="4" t="s">
        <v>5650</v>
      </c>
      <c r="HR3212" s="4" t="s">
        <v>241</v>
      </c>
      <c r="HS3212" s="4" t="s">
        <v>241</v>
      </c>
      <c r="HT3212" s="4" t="s">
        <v>241</v>
      </c>
      <c r="HU3212" s="4" t="s">
        <v>241</v>
      </c>
      <c r="HV3212" s="4" t="s">
        <v>241</v>
      </c>
      <c r="HW3212" s="4" t="s">
        <v>241</v>
      </c>
      <c r="HX3212" s="4" t="s">
        <v>241</v>
      </c>
      <c r="HY3212" s="4" t="s">
        <v>241</v>
      </c>
      <c r="HZ3212" s="4" t="s">
        <v>241</v>
      </c>
      <c r="IA3212" s="4" t="s">
        <v>241</v>
      </c>
      <c r="IB3212" s="4" t="s">
        <v>241</v>
      </c>
      <c r="IC3212" s="4" t="s">
        <v>241</v>
      </c>
      <c r="ID3212" s="4" t="s">
        <v>241</v>
      </c>
      <c r="IE3212" s="4" t="s">
        <v>241</v>
      </c>
      <c r="IF3212" s="4" t="s">
        <v>241</v>
      </c>
    </row>
    <row r="3213" spans="1:240" ht="19.5" customHeight="1" x14ac:dyDescent="0.4">
      <c r="A3213" s="4">
        <v>1</v>
      </c>
      <c r="B3213" s="4" t="s">
        <v>239</v>
      </c>
      <c r="C3213" s="4">
        <v>8576</v>
      </c>
      <c r="D3213" s="4">
        <v>1</v>
      </c>
      <c r="E3213" s="4">
        <v>3</v>
      </c>
      <c r="F3213" s="4" t="s">
        <v>241</v>
      </c>
      <c r="I3213" s="4" t="s">
        <v>241</v>
      </c>
      <c r="J3213" s="4" t="s">
        <v>274</v>
      </c>
      <c r="K3213" s="4" t="s">
        <v>251</v>
      </c>
      <c r="L3213" s="4" t="s">
        <v>5626</v>
      </c>
      <c r="M3213" s="5" t="s">
        <v>5628</v>
      </c>
      <c r="N3213" s="6">
        <f>374.82</f>
        <v>374.82</v>
      </c>
      <c r="O3213" s="4" t="s">
        <v>265</v>
      </c>
      <c r="P3213" s="6">
        <f>1071518</f>
        <v>1071518</v>
      </c>
      <c r="Q3213" s="6">
        <f>0</f>
        <v>0</v>
      </c>
      <c r="R3213" s="6">
        <f>0</f>
        <v>0</v>
      </c>
      <c r="S3213" s="6">
        <f>1071518</f>
        <v>1071518</v>
      </c>
      <c r="T3213" s="6">
        <f>1071518</f>
        <v>1071518</v>
      </c>
      <c r="U3213" s="5" t="s">
        <v>5627</v>
      </c>
      <c r="V3213" s="4" t="s">
        <v>270</v>
      </c>
      <c r="W3213" s="4" t="s">
        <v>241</v>
      </c>
      <c r="X3213" s="4" t="s">
        <v>241</v>
      </c>
      <c r="Y3213" s="4" t="s">
        <v>241</v>
      </c>
      <c r="AB3213" s="4" t="s">
        <v>3144</v>
      </c>
      <c r="AC3213" s="5" t="s">
        <v>241</v>
      </c>
      <c r="AD3213" s="5" t="s">
        <v>241</v>
      </c>
      <c r="AE3213" s="4" t="s">
        <v>241</v>
      </c>
      <c r="AF3213" s="5" t="s">
        <v>241</v>
      </c>
      <c r="AG3213" s="5" t="s">
        <v>5627</v>
      </c>
      <c r="AH3213" s="4" t="s">
        <v>5573</v>
      </c>
      <c r="AI3213" s="4" t="s">
        <v>247</v>
      </c>
      <c r="AJ3213" s="4" t="s">
        <v>241</v>
      </c>
      <c r="AP3213" s="4" t="s">
        <v>241</v>
      </c>
      <c r="AQ3213" s="4" t="s">
        <v>241</v>
      </c>
      <c r="AR3213" s="4" t="s">
        <v>241</v>
      </c>
      <c r="AS3213" s="5" t="s">
        <v>241</v>
      </c>
      <c r="AT3213" s="5" t="s">
        <v>241</v>
      </c>
      <c r="AU3213" s="5" t="s">
        <v>241</v>
      </c>
      <c r="AX3213" s="4" t="s">
        <v>5562</v>
      </c>
      <c r="AY3213" s="4" t="s">
        <v>5562</v>
      </c>
      <c r="AZ3213" s="4" t="s">
        <v>249</v>
      </c>
      <c r="BA3213" s="4" t="s">
        <v>5549</v>
      </c>
      <c r="BB3213" s="4" t="s">
        <v>250</v>
      </c>
      <c r="BC3213" s="4" t="s">
        <v>241</v>
      </c>
      <c r="BD3213" s="4" t="s">
        <v>252</v>
      </c>
      <c r="BE3213" s="4" t="s">
        <v>5557</v>
      </c>
      <c r="BI3213" s="4" t="s">
        <v>5550</v>
      </c>
      <c r="BJ3213" s="5" t="s">
        <v>5629</v>
      </c>
      <c r="BK3213" s="4" t="s">
        <v>5564</v>
      </c>
      <c r="BL3213" s="4" t="s">
        <v>5565</v>
      </c>
      <c r="BM3213" s="4" t="s">
        <v>241</v>
      </c>
      <c r="BN3213" s="6">
        <f>0</f>
        <v>0</v>
      </c>
      <c r="BO3213" s="6">
        <f>108000</f>
        <v>108000</v>
      </c>
      <c r="BP3213" s="4" t="s">
        <v>256</v>
      </c>
      <c r="BQ3213" s="4" t="s">
        <v>257</v>
      </c>
      <c r="BR3213" s="4" t="s">
        <v>5566</v>
      </c>
      <c r="BS3213" s="4" t="s">
        <v>5567</v>
      </c>
      <c r="BT3213" s="4" t="s">
        <v>5576</v>
      </c>
      <c r="BU3213" s="4" t="s">
        <v>241</v>
      </c>
      <c r="BV3213" s="4" t="s">
        <v>256</v>
      </c>
      <c r="BW3213" s="4" t="s">
        <v>5568</v>
      </c>
      <c r="BX3213" s="4" t="s">
        <v>5568</v>
      </c>
      <c r="BZ3213" s="5" t="s">
        <v>5630</v>
      </c>
      <c r="CA3213" s="4" t="s">
        <v>256</v>
      </c>
      <c r="CB3213" s="4" t="s">
        <v>241</v>
      </c>
      <c r="CC3213" s="4" t="s">
        <v>241</v>
      </c>
      <c r="CD3213" s="4" t="s">
        <v>257</v>
      </c>
      <c r="CE3213" s="4" t="s">
        <v>241</v>
      </c>
      <c r="CF3213" s="4" t="s">
        <v>241</v>
      </c>
      <c r="CJ3213" s="4" t="s">
        <v>241</v>
      </c>
      <c r="CK3213" s="4" t="s">
        <v>241</v>
      </c>
      <c r="CL3213" s="4" t="s">
        <v>264</v>
      </c>
      <c r="CN3213" s="4" t="s">
        <v>241</v>
      </c>
      <c r="CO3213" s="5" t="s">
        <v>260</v>
      </c>
      <c r="CP3213" s="4" t="s">
        <v>5552</v>
      </c>
      <c r="CQ3213" s="4" t="s">
        <v>5553</v>
      </c>
      <c r="CR3213" s="4" t="s">
        <v>5554</v>
      </c>
      <c r="CS3213" s="4" t="s">
        <v>241</v>
      </c>
      <c r="CT3213" s="4">
        <v>0</v>
      </c>
      <c r="CU3213" s="4" t="s">
        <v>241</v>
      </c>
      <c r="CV3213" s="4" t="s">
        <v>241</v>
      </c>
      <c r="CW3213" s="4" t="s">
        <v>241</v>
      </c>
      <c r="CX3213" s="4" t="s">
        <v>264</v>
      </c>
      <c r="CY3213" s="4" t="s">
        <v>241</v>
      </c>
      <c r="CZ3213" s="6">
        <f>2859</f>
        <v>2859</v>
      </c>
      <c r="DA3213" s="6">
        <f>1071518</f>
        <v>1071518</v>
      </c>
      <c r="DB3213" s="6" t="s">
        <v>241</v>
      </c>
      <c r="DC3213" s="4" t="s">
        <v>241</v>
      </c>
      <c r="DD3213" s="4" t="s">
        <v>241</v>
      </c>
      <c r="DF3213" s="4" t="s">
        <v>241</v>
      </c>
      <c r="DG3213" s="6">
        <f>0</f>
        <v>0</v>
      </c>
      <c r="DH3213" s="5" t="s">
        <v>241</v>
      </c>
      <c r="DI3213" s="4" t="s">
        <v>241</v>
      </c>
      <c r="DJ3213" s="4" t="s">
        <v>241</v>
      </c>
      <c r="DK3213" s="4" t="s">
        <v>241</v>
      </c>
      <c r="DL3213" s="4" t="s">
        <v>241</v>
      </c>
      <c r="DM3213" s="4" t="s">
        <v>241</v>
      </c>
      <c r="DN3213" s="4" t="s">
        <v>241</v>
      </c>
      <c r="DO3213" s="6" t="s">
        <v>241</v>
      </c>
      <c r="DP3213" s="4" t="s">
        <v>241</v>
      </c>
      <c r="DQ3213" s="4" t="s">
        <v>247</v>
      </c>
      <c r="DR3213" s="4" t="s">
        <v>5557</v>
      </c>
      <c r="DS3213" s="4" t="s">
        <v>5557</v>
      </c>
      <c r="DT3213" s="4" t="s">
        <v>241</v>
      </c>
      <c r="DU3213" s="4" t="s">
        <v>241</v>
      </c>
      <c r="GN3213" s="4" t="s">
        <v>5631</v>
      </c>
      <c r="HR3213" s="4" t="s">
        <v>241</v>
      </c>
      <c r="HS3213" s="4" t="s">
        <v>241</v>
      </c>
      <c r="HT3213" s="4" t="s">
        <v>241</v>
      </c>
      <c r="HU3213" s="4" t="s">
        <v>241</v>
      </c>
      <c r="HV3213" s="4" t="s">
        <v>241</v>
      </c>
      <c r="HW3213" s="4" t="s">
        <v>241</v>
      </c>
      <c r="HX3213" s="4" t="s">
        <v>241</v>
      </c>
      <c r="HY3213" s="4" t="s">
        <v>241</v>
      </c>
      <c r="HZ3213" s="4" t="s">
        <v>241</v>
      </c>
      <c r="IA3213" s="4" t="s">
        <v>241</v>
      </c>
      <c r="IB3213" s="4" t="s">
        <v>241</v>
      </c>
      <c r="IC3213" s="4" t="s">
        <v>241</v>
      </c>
      <c r="ID3213" s="4" t="s">
        <v>241</v>
      </c>
      <c r="IE3213" s="4" t="s">
        <v>241</v>
      </c>
      <c r="IF3213" s="4" t="s">
        <v>241</v>
      </c>
    </row>
    <row r="3214" spans="1:240" ht="19.5" customHeight="1" x14ac:dyDescent="0.4">
      <c r="A3214" s="4">
        <v>1</v>
      </c>
      <c r="B3214" s="4" t="s">
        <v>239</v>
      </c>
      <c r="C3214" s="4">
        <v>8577</v>
      </c>
      <c r="D3214" s="4">
        <v>1</v>
      </c>
      <c r="E3214" s="4">
        <v>2</v>
      </c>
      <c r="F3214" s="4" t="s">
        <v>241</v>
      </c>
      <c r="I3214" s="4" t="s">
        <v>241</v>
      </c>
      <c r="J3214" s="4" t="s">
        <v>274</v>
      </c>
      <c r="K3214" s="4" t="s">
        <v>251</v>
      </c>
      <c r="L3214" s="4" t="s">
        <v>5705</v>
      </c>
      <c r="N3214" s="6">
        <f>0</f>
        <v>0</v>
      </c>
      <c r="O3214" s="4" t="s">
        <v>268</v>
      </c>
      <c r="P3214" s="6">
        <f>176000</f>
        <v>176000</v>
      </c>
      <c r="Q3214" s="6">
        <f>0</f>
        <v>0</v>
      </c>
      <c r="R3214" s="6">
        <f>0</f>
        <v>0</v>
      </c>
      <c r="S3214" s="6">
        <f>176000</f>
        <v>176000</v>
      </c>
      <c r="T3214" s="6">
        <f>176000</f>
        <v>176000</v>
      </c>
      <c r="U3214" s="5" t="s">
        <v>5641</v>
      </c>
      <c r="V3214" s="4" t="s">
        <v>270</v>
      </c>
      <c r="W3214" s="4" t="s">
        <v>241</v>
      </c>
      <c r="X3214" s="4" t="s">
        <v>241</v>
      </c>
      <c r="Y3214" s="4" t="s">
        <v>241</v>
      </c>
      <c r="AB3214" s="4" t="s">
        <v>274</v>
      </c>
      <c r="AC3214" s="5" t="s">
        <v>241</v>
      </c>
      <c r="AD3214" s="5" t="s">
        <v>241</v>
      </c>
      <c r="AE3214" s="4" t="s">
        <v>241</v>
      </c>
      <c r="AF3214" s="5" t="s">
        <v>241</v>
      </c>
      <c r="AG3214" s="5" t="s">
        <v>5641</v>
      </c>
      <c r="AH3214" s="4" t="s">
        <v>5706</v>
      </c>
      <c r="AI3214" s="4" t="s">
        <v>247</v>
      </c>
      <c r="AJ3214" s="4" t="s">
        <v>241</v>
      </c>
      <c r="AP3214" s="4" t="s">
        <v>241</v>
      </c>
      <c r="AQ3214" s="4" t="s">
        <v>241</v>
      </c>
      <c r="AR3214" s="4" t="s">
        <v>241</v>
      </c>
      <c r="AS3214" s="5" t="s">
        <v>241</v>
      </c>
      <c r="AT3214" s="5" t="s">
        <v>241</v>
      </c>
      <c r="AU3214" s="5" t="s">
        <v>241</v>
      </c>
      <c r="AX3214" s="4" t="s">
        <v>5562</v>
      </c>
      <c r="AY3214" s="4" t="s">
        <v>5562</v>
      </c>
      <c r="AZ3214" s="4" t="s">
        <v>249</v>
      </c>
      <c r="BA3214" s="4" t="s">
        <v>5549</v>
      </c>
      <c r="BB3214" s="4" t="s">
        <v>250</v>
      </c>
      <c r="BC3214" s="4" t="s">
        <v>241</v>
      </c>
      <c r="BD3214" s="4" t="s">
        <v>252</v>
      </c>
      <c r="BE3214" s="4" t="s">
        <v>5557</v>
      </c>
      <c r="BI3214" s="4" t="s">
        <v>5550</v>
      </c>
      <c r="BJ3214" s="5" t="s">
        <v>5643</v>
      </c>
      <c r="BK3214" s="4" t="s">
        <v>5564</v>
      </c>
      <c r="BL3214" s="4" t="s">
        <v>5565</v>
      </c>
      <c r="BM3214" s="4" t="s">
        <v>241</v>
      </c>
      <c r="BN3214" s="6">
        <f>0</f>
        <v>0</v>
      </c>
      <c r="BO3214" s="6">
        <f>176000</f>
        <v>176000</v>
      </c>
      <c r="BP3214" s="4" t="s">
        <v>256</v>
      </c>
      <c r="BQ3214" s="4" t="s">
        <v>257</v>
      </c>
      <c r="BR3214" s="4" t="s">
        <v>5566</v>
      </c>
      <c r="BS3214" s="4" t="s">
        <v>5567</v>
      </c>
      <c r="BT3214" s="4" t="s">
        <v>5567</v>
      </c>
      <c r="BU3214" s="4" t="s">
        <v>241</v>
      </c>
      <c r="BV3214" s="4" t="s">
        <v>256</v>
      </c>
      <c r="BW3214" s="4" t="s">
        <v>5568</v>
      </c>
      <c r="BX3214" s="4" t="s">
        <v>5568</v>
      </c>
      <c r="BZ3214" s="5" t="s">
        <v>5707</v>
      </c>
      <c r="CA3214" s="4" t="s">
        <v>256</v>
      </c>
      <c r="CB3214" s="4" t="s">
        <v>241</v>
      </c>
      <c r="CC3214" s="4" t="s">
        <v>241</v>
      </c>
      <c r="CD3214" s="4" t="s">
        <v>257</v>
      </c>
      <c r="CE3214" s="4" t="s">
        <v>241</v>
      </c>
      <c r="CF3214" s="4" t="s">
        <v>241</v>
      </c>
      <c r="CJ3214" s="4" t="s">
        <v>241</v>
      </c>
      <c r="CK3214" s="4" t="s">
        <v>241</v>
      </c>
      <c r="CL3214" s="4" t="s">
        <v>264</v>
      </c>
      <c r="CN3214" s="4" t="s">
        <v>241</v>
      </c>
      <c r="CO3214" s="5" t="s">
        <v>260</v>
      </c>
      <c r="CP3214" s="4" t="s">
        <v>5552</v>
      </c>
      <c r="CQ3214" s="4" t="s">
        <v>5553</v>
      </c>
      <c r="CR3214" s="4" t="s">
        <v>5554</v>
      </c>
      <c r="CS3214" s="4" t="s">
        <v>241</v>
      </c>
      <c r="CT3214" s="4">
        <v>0</v>
      </c>
      <c r="CU3214" s="4" t="s">
        <v>241</v>
      </c>
      <c r="CV3214" s="4" t="s">
        <v>241</v>
      </c>
      <c r="CW3214" s="4" t="s">
        <v>241</v>
      </c>
      <c r="CX3214" s="4" t="s">
        <v>264</v>
      </c>
      <c r="CY3214" s="4" t="s">
        <v>241</v>
      </c>
      <c r="CZ3214" s="6">
        <f>0</f>
        <v>0</v>
      </c>
      <c r="DA3214" s="6">
        <f>176000</f>
        <v>176000</v>
      </c>
      <c r="DB3214" s="6" t="s">
        <v>241</v>
      </c>
      <c r="DC3214" s="4" t="s">
        <v>241</v>
      </c>
      <c r="DD3214" s="4" t="s">
        <v>241</v>
      </c>
      <c r="DF3214" s="4" t="s">
        <v>241</v>
      </c>
      <c r="DG3214" s="6">
        <f>0</f>
        <v>0</v>
      </c>
      <c r="DH3214" s="5" t="s">
        <v>241</v>
      </c>
      <c r="DI3214" s="4" t="s">
        <v>241</v>
      </c>
      <c r="DJ3214" s="4" t="s">
        <v>241</v>
      </c>
      <c r="DK3214" s="4" t="s">
        <v>241</v>
      </c>
      <c r="DL3214" s="4" t="s">
        <v>241</v>
      </c>
      <c r="DM3214" s="4" t="s">
        <v>241</v>
      </c>
      <c r="DN3214" s="4" t="s">
        <v>241</v>
      </c>
      <c r="DO3214" s="6" t="s">
        <v>241</v>
      </c>
      <c r="DP3214" s="4" t="s">
        <v>241</v>
      </c>
      <c r="DQ3214" s="4" t="s">
        <v>247</v>
      </c>
      <c r="DR3214" s="4" t="s">
        <v>5557</v>
      </c>
      <c r="DS3214" s="4" t="s">
        <v>5557</v>
      </c>
      <c r="DT3214" s="4" t="s">
        <v>241</v>
      </c>
      <c r="DU3214" s="4" t="s">
        <v>241</v>
      </c>
      <c r="GN3214" s="4" t="s">
        <v>5708</v>
      </c>
      <c r="HR3214" s="4" t="s">
        <v>241</v>
      </c>
      <c r="HS3214" s="4" t="s">
        <v>241</v>
      </c>
      <c r="HT3214" s="4" t="s">
        <v>241</v>
      </c>
      <c r="HU3214" s="4" t="s">
        <v>241</v>
      </c>
      <c r="HV3214" s="4" t="s">
        <v>241</v>
      </c>
      <c r="HW3214" s="4" t="s">
        <v>241</v>
      </c>
      <c r="HX3214" s="4" t="s">
        <v>241</v>
      </c>
      <c r="HY3214" s="4" t="s">
        <v>241</v>
      </c>
      <c r="HZ3214" s="4" t="s">
        <v>241</v>
      </c>
      <c r="IA3214" s="4" t="s">
        <v>241</v>
      </c>
      <c r="IB3214" s="4" t="s">
        <v>241</v>
      </c>
      <c r="IC3214" s="4" t="s">
        <v>241</v>
      </c>
      <c r="ID3214" s="4" t="s">
        <v>241</v>
      </c>
      <c r="IE3214" s="4" t="s">
        <v>241</v>
      </c>
      <c r="IF3214" s="4" t="s">
        <v>241</v>
      </c>
    </row>
    <row r="3215" spans="1:240" ht="19.5" customHeight="1" x14ac:dyDescent="0.4">
      <c r="A3215" s="4">
        <v>1</v>
      </c>
      <c r="B3215" s="4" t="s">
        <v>239</v>
      </c>
      <c r="C3215" s="4">
        <v>8578</v>
      </c>
      <c r="D3215" s="4">
        <v>1</v>
      </c>
      <c r="E3215" s="4">
        <v>2</v>
      </c>
      <c r="F3215" s="4" t="s">
        <v>241</v>
      </c>
      <c r="I3215" s="4" t="s">
        <v>241</v>
      </c>
      <c r="J3215" s="4" t="s">
        <v>274</v>
      </c>
      <c r="K3215" s="4" t="s">
        <v>251</v>
      </c>
      <c r="L3215" s="4" t="s">
        <v>5672</v>
      </c>
      <c r="N3215" s="6">
        <f>0</f>
        <v>0</v>
      </c>
      <c r="O3215" s="4" t="s">
        <v>268</v>
      </c>
      <c r="P3215" s="6">
        <f>182700</f>
        <v>182700</v>
      </c>
      <c r="Q3215" s="6">
        <f>0</f>
        <v>0</v>
      </c>
      <c r="R3215" s="6">
        <f>0</f>
        <v>0</v>
      </c>
      <c r="S3215" s="6">
        <f>182700</f>
        <v>182700</v>
      </c>
      <c r="T3215" s="6">
        <f>182700</f>
        <v>182700</v>
      </c>
      <c r="U3215" s="5" t="s">
        <v>5673</v>
      </c>
      <c r="V3215" s="4" t="s">
        <v>270</v>
      </c>
      <c r="W3215" s="4" t="s">
        <v>241</v>
      </c>
      <c r="X3215" s="4" t="s">
        <v>241</v>
      </c>
      <c r="Y3215" s="4" t="s">
        <v>241</v>
      </c>
      <c r="AB3215" s="4" t="s">
        <v>274</v>
      </c>
      <c r="AC3215" s="5" t="s">
        <v>241</v>
      </c>
      <c r="AD3215" s="5" t="s">
        <v>241</v>
      </c>
      <c r="AE3215" s="4" t="s">
        <v>241</v>
      </c>
      <c r="AF3215" s="5" t="s">
        <v>241</v>
      </c>
      <c r="AG3215" s="5" t="s">
        <v>5673</v>
      </c>
      <c r="AH3215" s="4" t="s">
        <v>5674</v>
      </c>
      <c r="AI3215" s="4" t="s">
        <v>247</v>
      </c>
      <c r="AJ3215" s="4" t="s">
        <v>241</v>
      </c>
      <c r="AP3215" s="4" t="s">
        <v>241</v>
      </c>
      <c r="AQ3215" s="4" t="s">
        <v>241</v>
      </c>
      <c r="AR3215" s="4" t="s">
        <v>241</v>
      </c>
      <c r="AS3215" s="5" t="s">
        <v>241</v>
      </c>
      <c r="AT3215" s="5" t="s">
        <v>241</v>
      </c>
      <c r="AU3215" s="5" t="s">
        <v>241</v>
      </c>
      <c r="AX3215" s="4" t="s">
        <v>5562</v>
      </c>
      <c r="AY3215" s="4" t="s">
        <v>5562</v>
      </c>
      <c r="AZ3215" s="4" t="s">
        <v>249</v>
      </c>
      <c r="BA3215" s="4" t="s">
        <v>5549</v>
      </c>
      <c r="BB3215" s="4" t="s">
        <v>250</v>
      </c>
      <c r="BC3215" s="4" t="s">
        <v>241</v>
      </c>
      <c r="BD3215" s="4" t="s">
        <v>252</v>
      </c>
      <c r="BE3215" s="4" t="s">
        <v>5557</v>
      </c>
      <c r="BI3215" s="4" t="s">
        <v>5550</v>
      </c>
      <c r="BJ3215" s="5" t="s">
        <v>5667</v>
      </c>
      <c r="BK3215" s="4" t="s">
        <v>5564</v>
      </c>
      <c r="BL3215" s="4" t="s">
        <v>5565</v>
      </c>
      <c r="BM3215" s="4" t="s">
        <v>241</v>
      </c>
      <c r="BN3215" s="6">
        <f>0</f>
        <v>0</v>
      </c>
      <c r="BO3215" s="6">
        <f>182700</f>
        <v>182700</v>
      </c>
      <c r="BP3215" s="4" t="s">
        <v>256</v>
      </c>
      <c r="BQ3215" s="4" t="s">
        <v>257</v>
      </c>
      <c r="BR3215" s="4" t="s">
        <v>5566</v>
      </c>
      <c r="BS3215" s="4" t="s">
        <v>5567</v>
      </c>
      <c r="BT3215" s="4" t="s">
        <v>5567</v>
      </c>
      <c r="BU3215" s="4" t="s">
        <v>241</v>
      </c>
      <c r="BV3215" s="4" t="s">
        <v>256</v>
      </c>
      <c r="BW3215" s="4" t="s">
        <v>5568</v>
      </c>
      <c r="BX3215" s="4" t="s">
        <v>5568</v>
      </c>
      <c r="BZ3215" s="5" t="s">
        <v>5675</v>
      </c>
      <c r="CA3215" s="4" t="s">
        <v>256</v>
      </c>
      <c r="CB3215" s="4" t="s">
        <v>241</v>
      </c>
      <c r="CC3215" s="4" t="s">
        <v>241</v>
      </c>
      <c r="CD3215" s="4" t="s">
        <v>257</v>
      </c>
      <c r="CE3215" s="4" t="s">
        <v>241</v>
      </c>
      <c r="CF3215" s="4" t="s">
        <v>241</v>
      </c>
      <c r="CJ3215" s="4" t="s">
        <v>241</v>
      </c>
      <c r="CK3215" s="4" t="s">
        <v>241</v>
      </c>
      <c r="CL3215" s="4" t="s">
        <v>264</v>
      </c>
      <c r="CN3215" s="4" t="s">
        <v>241</v>
      </c>
      <c r="CO3215" s="5" t="s">
        <v>260</v>
      </c>
      <c r="CP3215" s="4" t="s">
        <v>5552</v>
      </c>
      <c r="CQ3215" s="4" t="s">
        <v>5553</v>
      </c>
      <c r="CR3215" s="4" t="s">
        <v>5554</v>
      </c>
      <c r="CS3215" s="4" t="s">
        <v>241</v>
      </c>
      <c r="CT3215" s="4">
        <v>0</v>
      </c>
      <c r="CU3215" s="4" t="s">
        <v>241</v>
      </c>
      <c r="CV3215" s="4" t="s">
        <v>241</v>
      </c>
      <c r="CW3215" s="4" t="s">
        <v>241</v>
      </c>
      <c r="CX3215" s="4" t="s">
        <v>264</v>
      </c>
      <c r="CY3215" s="4" t="s">
        <v>241</v>
      </c>
      <c r="CZ3215" s="6">
        <f>0</f>
        <v>0</v>
      </c>
      <c r="DA3215" s="6">
        <f>182700</f>
        <v>182700</v>
      </c>
      <c r="DB3215" s="6" t="s">
        <v>241</v>
      </c>
      <c r="DC3215" s="4" t="s">
        <v>241</v>
      </c>
      <c r="DD3215" s="4" t="s">
        <v>241</v>
      </c>
      <c r="DF3215" s="4" t="s">
        <v>241</v>
      </c>
      <c r="DG3215" s="6">
        <f>0</f>
        <v>0</v>
      </c>
      <c r="DH3215" s="5" t="s">
        <v>241</v>
      </c>
      <c r="DI3215" s="4" t="s">
        <v>241</v>
      </c>
      <c r="DJ3215" s="4" t="s">
        <v>241</v>
      </c>
      <c r="DK3215" s="4" t="s">
        <v>241</v>
      </c>
      <c r="DL3215" s="4" t="s">
        <v>241</v>
      </c>
      <c r="DM3215" s="4" t="s">
        <v>241</v>
      </c>
      <c r="DN3215" s="4" t="s">
        <v>241</v>
      </c>
      <c r="DO3215" s="6" t="s">
        <v>241</v>
      </c>
      <c r="DP3215" s="4" t="s">
        <v>241</v>
      </c>
      <c r="DQ3215" s="4" t="s">
        <v>247</v>
      </c>
      <c r="DR3215" s="4" t="s">
        <v>5557</v>
      </c>
      <c r="DS3215" s="4" t="s">
        <v>5557</v>
      </c>
      <c r="DT3215" s="4" t="s">
        <v>241</v>
      </c>
      <c r="DU3215" s="4" t="s">
        <v>241</v>
      </c>
      <c r="GN3215" s="4" t="s">
        <v>5676</v>
      </c>
      <c r="HR3215" s="4" t="s">
        <v>241</v>
      </c>
      <c r="HS3215" s="4" t="s">
        <v>241</v>
      </c>
      <c r="HT3215" s="4" t="s">
        <v>241</v>
      </c>
      <c r="HU3215" s="4" t="s">
        <v>241</v>
      </c>
      <c r="HV3215" s="4" t="s">
        <v>241</v>
      </c>
      <c r="HW3215" s="4" t="s">
        <v>241</v>
      </c>
      <c r="HX3215" s="4" t="s">
        <v>241</v>
      </c>
      <c r="HY3215" s="4" t="s">
        <v>241</v>
      </c>
      <c r="HZ3215" s="4" t="s">
        <v>241</v>
      </c>
      <c r="IA3215" s="4" t="s">
        <v>241</v>
      </c>
      <c r="IB3215" s="4" t="s">
        <v>241</v>
      </c>
      <c r="IC3215" s="4" t="s">
        <v>241</v>
      </c>
      <c r="ID3215" s="4" t="s">
        <v>241</v>
      </c>
      <c r="IE3215" s="4" t="s">
        <v>241</v>
      </c>
      <c r="IF3215" s="4" t="s">
        <v>241</v>
      </c>
    </row>
    <row r="3216" spans="1:240" ht="19.5" customHeight="1" x14ac:dyDescent="0.4">
      <c r="A3216" s="4">
        <v>1</v>
      </c>
      <c r="B3216" s="4" t="s">
        <v>239</v>
      </c>
      <c r="C3216" s="4">
        <v>8579</v>
      </c>
      <c r="D3216" s="4">
        <v>1</v>
      </c>
      <c r="E3216" s="4">
        <v>2</v>
      </c>
      <c r="F3216" s="4" t="s">
        <v>241</v>
      </c>
      <c r="I3216" s="4" t="s">
        <v>241</v>
      </c>
      <c r="J3216" s="4" t="s">
        <v>274</v>
      </c>
      <c r="K3216" s="4" t="s">
        <v>251</v>
      </c>
      <c r="L3216" s="4" t="s">
        <v>5660</v>
      </c>
      <c r="N3216" s="6">
        <f>0</f>
        <v>0</v>
      </c>
      <c r="O3216" s="4" t="s">
        <v>268</v>
      </c>
      <c r="P3216" s="6">
        <f>72900</f>
        <v>72900</v>
      </c>
      <c r="Q3216" s="6">
        <f>0</f>
        <v>0</v>
      </c>
      <c r="R3216" s="6">
        <f>0</f>
        <v>0</v>
      </c>
      <c r="S3216" s="6">
        <f>72900</f>
        <v>72900</v>
      </c>
      <c r="T3216" s="6">
        <f>72900</f>
        <v>72900</v>
      </c>
      <c r="U3216" s="5" t="s">
        <v>5661</v>
      </c>
      <c r="V3216" s="4" t="s">
        <v>270</v>
      </c>
      <c r="W3216" s="4" t="s">
        <v>241</v>
      </c>
      <c r="X3216" s="4" t="s">
        <v>241</v>
      </c>
      <c r="Y3216" s="4" t="s">
        <v>241</v>
      </c>
      <c r="AB3216" s="4" t="s">
        <v>274</v>
      </c>
      <c r="AC3216" s="5" t="s">
        <v>241</v>
      </c>
      <c r="AD3216" s="5" t="s">
        <v>241</v>
      </c>
      <c r="AE3216" s="4" t="s">
        <v>241</v>
      </c>
      <c r="AF3216" s="5" t="s">
        <v>241</v>
      </c>
      <c r="AG3216" s="5" t="s">
        <v>5661</v>
      </c>
      <c r="AH3216" s="4" t="s">
        <v>5662</v>
      </c>
      <c r="AI3216" s="4" t="s">
        <v>247</v>
      </c>
      <c r="AJ3216" s="4" t="s">
        <v>241</v>
      </c>
      <c r="AP3216" s="4" t="s">
        <v>241</v>
      </c>
      <c r="AQ3216" s="4" t="s">
        <v>241</v>
      </c>
      <c r="AR3216" s="4" t="s">
        <v>241</v>
      </c>
      <c r="AS3216" s="5" t="s">
        <v>241</v>
      </c>
      <c r="AT3216" s="5" t="s">
        <v>241</v>
      </c>
      <c r="AU3216" s="5" t="s">
        <v>241</v>
      </c>
      <c r="AX3216" s="4" t="s">
        <v>5562</v>
      </c>
      <c r="AY3216" s="4" t="s">
        <v>5562</v>
      </c>
      <c r="AZ3216" s="4" t="s">
        <v>249</v>
      </c>
      <c r="BA3216" s="4" t="s">
        <v>5549</v>
      </c>
      <c r="BB3216" s="4" t="s">
        <v>250</v>
      </c>
      <c r="BC3216" s="4" t="s">
        <v>241</v>
      </c>
      <c r="BD3216" s="4" t="s">
        <v>252</v>
      </c>
      <c r="BE3216" s="4" t="s">
        <v>5557</v>
      </c>
      <c r="BI3216" s="4" t="s">
        <v>5550</v>
      </c>
      <c r="BJ3216" s="5" t="s">
        <v>5635</v>
      </c>
      <c r="BK3216" s="4" t="s">
        <v>5564</v>
      </c>
      <c r="BL3216" s="4" t="s">
        <v>5565</v>
      </c>
      <c r="BM3216" s="4" t="s">
        <v>241</v>
      </c>
      <c r="BN3216" s="6">
        <f>0</f>
        <v>0</v>
      </c>
      <c r="BO3216" s="6">
        <f>72900</f>
        <v>72900</v>
      </c>
      <c r="BP3216" s="4" t="s">
        <v>256</v>
      </c>
      <c r="BQ3216" s="4" t="s">
        <v>257</v>
      </c>
      <c r="BR3216" s="4" t="s">
        <v>5566</v>
      </c>
      <c r="BS3216" s="4" t="s">
        <v>5567</v>
      </c>
      <c r="BT3216" s="4" t="s">
        <v>5567</v>
      </c>
      <c r="BU3216" s="4" t="s">
        <v>241</v>
      </c>
      <c r="BV3216" s="4" t="s">
        <v>256</v>
      </c>
      <c r="BW3216" s="4" t="s">
        <v>5568</v>
      </c>
      <c r="BX3216" s="4" t="s">
        <v>5568</v>
      </c>
      <c r="BZ3216" s="5" t="s">
        <v>5663</v>
      </c>
      <c r="CA3216" s="4" t="s">
        <v>256</v>
      </c>
      <c r="CB3216" s="4" t="s">
        <v>241</v>
      </c>
      <c r="CC3216" s="4" t="s">
        <v>241</v>
      </c>
      <c r="CD3216" s="4" t="s">
        <v>257</v>
      </c>
      <c r="CE3216" s="4" t="s">
        <v>241</v>
      </c>
      <c r="CF3216" s="4" t="s">
        <v>241</v>
      </c>
      <c r="CJ3216" s="4" t="s">
        <v>241</v>
      </c>
      <c r="CK3216" s="4" t="s">
        <v>241</v>
      </c>
      <c r="CL3216" s="4" t="s">
        <v>264</v>
      </c>
      <c r="CN3216" s="4" t="s">
        <v>241</v>
      </c>
      <c r="CO3216" s="5" t="s">
        <v>260</v>
      </c>
      <c r="CP3216" s="4" t="s">
        <v>5552</v>
      </c>
      <c r="CQ3216" s="4" t="s">
        <v>5553</v>
      </c>
      <c r="CR3216" s="4" t="s">
        <v>5554</v>
      </c>
      <c r="CS3216" s="4" t="s">
        <v>241</v>
      </c>
      <c r="CT3216" s="4">
        <v>0</v>
      </c>
      <c r="CU3216" s="4" t="s">
        <v>241</v>
      </c>
      <c r="CV3216" s="4" t="s">
        <v>241</v>
      </c>
      <c r="CW3216" s="4" t="s">
        <v>241</v>
      </c>
      <c r="CX3216" s="4" t="s">
        <v>264</v>
      </c>
      <c r="CY3216" s="4" t="s">
        <v>241</v>
      </c>
      <c r="CZ3216" s="6">
        <f>0</f>
        <v>0</v>
      </c>
      <c r="DA3216" s="6">
        <f>72900</f>
        <v>72900</v>
      </c>
      <c r="DB3216" s="6" t="s">
        <v>241</v>
      </c>
      <c r="DC3216" s="4" t="s">
        <v>241</v>
      </c>
      <c r="DD3216" s="4" t="s">
        <v>241</v>
      </c>
      <c r="DF3216" s="4" t="s">
        <v>241</v>
      </c>
      <c r="DG3216" s="6">
        <f>0</f>
        <v>0</v>
      </c>
      <c r="DH3216" s="5" t="s">
        <v>241</v>
      </c>
      <c r="DI3216" s="4" t="s">
        <v>241</v>
      </c>
      <c r="DJ3216" s="4" t="s">
        <v>241</v>
      </c>
      <c r="DK3216" s="4" t="s">
        <v>241</v>
      </c>
      <c r="DL3216" s="4" t="s">
        <v>241</v>
      </c>
      <c r="DM3216" s="4" t="s">
        <v>241</v>
      </c>
      <c r="DN3216" s="4" t="s">
        <v>241</v>
      </c>
      <c r="DO3216" s="6" t="s">
        <v>241</v>
      </c>
      <c r="DP3216" s="4" t="s">
        <v>241</v>
      </c>
      <c r="DQ3216" s="4" t="s">
        <v>247</v>
      </c>
      <c r="DR3216" s="4" t="s">
        <v>5557</v>
      </c>
      <c r="DS3216" s="4" t="s">
        <v>5557</v>
      </c>
      <c r="DT3216" s="4" t="s">
        <v>241</v>
      </c>
      <c r="DU3216" s="4" t="s">
        <v>241</v>
      </c>
      <c r="GN3216" s="4" t="s">
        <v>5664</v>
      </c>
      <c r="HR3216" s="4" t="s">
        <v>241</v>
      </c>
      <c r="HS3216" s="4" t="s">
        <v>241</v>
      </c>
      <c r="HT3216" s="4" t="s">
        <v>241</v>
      </c>
      <c r="HU3216" s="4" t="s">
        <v>241</v>
      </c>
      <c r="HV3216" s="4" t="s">
        <v>241</v>
      </c>
      <c r="HW3216" s="4" t="s">
        <v>241</v>
      </c>
      <c r="HX3216" s="4" t="s">
        <v>241</v>
      </c>
      <c r="HY3216" s="4" t="s">
        <v>241</v>
      </c>
      <c r="HZ3216" s="4" t="s">
        <v>241</v>
      </c>
      <c r="IA3216" s="4" t="s">
        <v>241</v>
      </c>
      <c r="IB3216" s="4" t="s">
        <v>241</v>
      </c>
      <c r="IC3216" s="4" t="s">
        <v>241</v>
      </c>
      <c r="ID3216" s="4" t="s">
        <v>241</v>
      </c>
      <c r="IE3216" s="4" t="s">
        <v>241</v>
      </c>
      <c r="IF3216" s="4" t="s">
        <v>241</v>
      </c>
    </row>
    <row r="3217" spans="1:240" ht="19.5" customHeight="1" x14ac:dyDescent="0.4">
      <c r="A3217" s="4">
        <v>1</v>
      </c>
      <c r="B3217" s="4" t="s">
        <v>239</v>
      </c>
      <c r="C3217" s="4">
        <v>8580</v>
      </c>
      <c r="D3217" s="4">
        <v>1</v>
      </c>
      <c r="E3217" s="4">
        <v>2</v>
      </c>
      <c r="F3217" s="4" t="s">
        <v>241</v>
      </c>
      <c r="I3217" s="4" t="s">
        <v>241</v>
      </c>
      <c r="J3217" s="4" t="s">
        <v>274</v>
      </c>
      <c r="K3217" s="4" t="s">
        <v>251</v>
      </c>
      <c r="L3217" s="4" t="s">
        <v>5691</v>
      </c>
      <c r="N3217" s="6">
        <f>0</f>
        <v>0</v>
      </c>
      <c r="O3217" s="4" t="s">
        <v>268</v>
      </c>
      <c r="P3217" s="6">
        <f>239000</f>
        <v>239000</v>
      </c>
      <c r="Q3217" s="6">
        <f>0</f>
        <v>0</v>
      </c>
      <c r="R3217" s="6">
        <f>0</f>
        <v>0</v>
      </c>
      <c r="S3217" s="6">
        <f>239000</f>
        <v>239000</v>
      </c>
      <c r="T3217" s="6">
        <f>239000</f>
        <v>239000</v>
      </c>
      <c r="U3217" s="5" t="s">
        <v>5692</v>
      </c>
      <c r="V3217" s="4" t="s">
        <v>270</v>
      </c>
      <c r="W3217" s="4" t="s">
        <v>241</v>
      </c>
      <c r="X3217" s="4" t="s">
        <v>241</v>
      </c>
      <c r="Y3217" s="4" t="s">
        <v>241</v>
      </c>
      <c r="AB3217" s="4" t="s">
        <v>274</v>
      </c>
      <c r="AC3217" s="5" t="s">
        <v>241</v>
      </c>
      <c r="AD3217" s="5" t="s">
        <v>241</v>
      </c>
      <c r="AE3217" s="4" t="s">
        <v>241</v>
      </c>
      <c r="AF3217" s="5" t="s">
        <v>241</v>
      </c>
      <c r="AG3217" s="5" t="s">
        <v>5692</v>
      </c>
      <c r="AH3217" s="4" t="s">
        <v>5693</v>
      </c>
      <c r="AI3217" s="4" t="s">
        <v>247</v>
      </c>
      <c r="AJ3217" s="4" t="s">
        <v>241</v>
      </c>
      <c r="AP3217" s="4" t="s">
        <v>241</v>
      </c>
      <c r="AQ3217" s="4" t="s">
        <v>241</v>
      </c>
      <c r="AR3217" s="4" t="s">
        <v>241</v>
      </c>
      <c r="AS3217" s="5" t="s">
        <v>241</v>
      </c>
      <c r="AT3217" s="5" t="s">
        <v>241</v>
      </c>
      <c r="AU3217" s="5" t="s">
        <v>241</v>
      </c>
      <c r="AX3217" s="4" t="s">
        <v>5562</v>
      </c>
      <c r="AY3217" s="4" t="s">
        <v>5562</v>
      </c>
      <c r="AZ3217" s="4" t="s">
        <v>249</v>
      </c>
      <c r="BA3217" s="4" t="s">
        <v>5549</v>
      </c>
      <c r="BB3217" s="4" t="s">
        <v>250</v>
      </c>
      <c r="BC3217" s="4" t="s">
        <v>241</v>
      </c>
      <c r="BD3217" s="4" t="s">
        <v>252</v>
      </c>
      <c r="BE3217" s="4" t="s">
        <v>5557</v>
      </c>
      <c r="BI3217" s="4" t="s">
        <v>5550</v>
      </c>
      <c r="BJ3217" s="5" t="s">
        <v>5588</v>
      </c>
      <c r="BK3217" s="4" t="s">
        <v>5564</v>
      </c>
      <c r="BL3217" s="4" t="s">
        <v>5565</v>
      </c>
      <c r="BM3217" s="4" t="s">
        <v>241</v>
      </c>
      <c r="BN3217" s="6">
        <f>0</f>
        <v>0</v>
      </c>
      <c r="BO3217" s="6">
        <f>239000</f>
        <v>239000</v>
      </c>
      <c r="BP3217" s="4" t="s">
        <v>256</v>
      </c>
      <c r="BQ3217" s="4" t="s">
        <v>257</v>
      </c>
      <c r="BR3217" s="4" t="s">
        <v>5566</v>
      </c>
      <c r="BS3217" s="4" t="s">
        <v>5567</v>
      </c>
      <c r="BT3217" s="4" t="s">
        <v>5567</v>
      </c>
      <c r="BU3217" s="4" t="s">
        <v>241</v>
      </c>
      <c r="BV3217" s="4" t="s">
        <v>256</v>
      </c>
      <c r="BW3217" s="4" t="s">
        <v>5568</v>
      </c>
      <c r="BX3217" s="4" t="s">
        <v>5568</v>
      </c>
      <c r="BZ3217" s="5" t="s">
        <v>5694</v>
      </c>
      <c r="CA3217" s="4" t="s">
        <v>256</v>
      </c>
      <c r="CB3217" s="4" t="s">
        <v>241</v>
      </c>
      <c r="CC3217" s="4" t="s">
        <v>241</v>
      </c>
      <c r="CD3217" s="4" t="s">
        <v>257</v>
      </c>
      <c r="CE3217" s="4" t="s">
        <v>241</v>
      </c>
      <c r="CF3217" s="4" t="s">
        <v>241</v>
      </c>
      <c r="CJ3217" s="4" t="s">
        <v>241</v>
      </c>
      <c r="CK3217" s="4" t="s">
        <v>241</v>
      </c>
      <c r="CL3217" s="4" t="s">
        <v>264</v>
      </c>
      <c r="CN3217" s="4" t="s">
        <v>241</v>
      </c>
      <c r="CO3217" s="5" t="s">
        <v>260</v>
      </c>
      <c r="CP3217" s="4" t="s">
        <v>5552</v>
      </c>
      <c r="CQ3217" s="4" t="s">
        <v>5553</v>
      </c>
      <c r="CR3217" s="4" t="s">
        <v>5554</v>
      </c>
      <c r="CS3217" s="4" t="s">
        <v>241</v>
      </c>
      <c r="CT3217" s="4">
        <v>0</v>
      </c>
      <c r="CU3217" s="4" t="s">
        <v>241</v>
      </c>
      <c r="CV3217" s="4" t="s">
        <v>241</v>
      </c>
      <c r="CW3217" s="4" t="s">
        <v>241</v>
      </c>
      <c r="CX3217" s="4" t="s">
        <v>264</v>
      </c>
      <c r="CY3217" s="4" t="s">
        <v>241</v>
      </c>
      <c r="CZ3217" s="6">
        <f>0</f>
        <v>0</v>
      </c>
      <c r="DA3217" s="6">
        <f>239000</f>
        <v>239000</v>
      </c>
      <c r="DB3217" s="6" t="s">
        <v>241</v>
      </c>
      <c r="DC3217" s="4" t="s">
        <v>241</v>
      </c>
      <c r="DD3217" s="4" t="s">
        <v>241</v>
      </c>
      <c r="DF3217" s="4" t="s">
        <v>241</v>
      </c>
      <c r="DG3217" s="6">
        <f>0</f>
        <v>0</v>
      </c>
      <c r="DH3217" s="5" t="s">
        <v>241</v>
      </c>
      <c r="DI3217" s="4" t="s">
        <v>241</v>
      </c>
      <c r="DJ3217" s="4" t="s">
        <v>241</v>
      </c>
      <c r="DK3217" s="4" t="s">
        <v>241</v>
      </c>
      <c r="DL3217" s="4" t="s">
        <v>241</v>
      </c>
      <c r="DM3217" s="4" t="s">
        <v>241</v>
      </c>
      <c r="DN3217" s="4" t="s">
        <v>241</v>
      </c>
      <c r="DO3217" s="6" t="s">
        <v>241</v>
      </c>
      <c r="DP3217" s="4" t="s">
        <v>241</v>
      </c>
      <c r="DQ3217" s="4" t="s">
        <v>247</v>
      </c>
      <c r="DR3217" s="4" t="s">
        <v>5557</v>
      </c>
      <c r="DS3217" s="4" t="s">
        <v>5557</v>
      </c>
      <c r="DT3217" s="4" t="s">
        <v>241</v>
      </c>
      <c r="DU3217" s="4" t="s">
        <v>241</v>
      </c>
      <c r="GN3217" s="4" t="s">
        <v>5695</v>
      </c>
      <c r="HR3217" s="4" t="s">
        <v>241</v>
      </c>
      <c r="HS3217" s="4" t="s">
        <v>241</v>
      </c>
      <c r="HT3217" s="4" t="s">
        <v>241</v>
      </c>
      <c r="HU3217" s="4" t="s">
        <v>241</v>
      </c>
      <c r="HV3217" s="4" t="s">
        <v>241</v>
      </c>
      <c r="HW3217" s="4" t="s">
        <v>241</v>
      </c>
      <c r="HX3217" s="4" t="s">
        <v>241</v>
      </c>
      <c r="HY3217" s="4" t="s">
        <v>241</v>
      </c>
      <c r="HZ3217" s="4" t="s">
        <v>241</v>
      </c>
      <c r="IA3217" s="4" t="s">
        <v>241</v>
      </c>
      <c r="IB3217" s="4" t="s">
        <v>241</v>
      </c>
      <c r="IC3217" s="4" t="s">
        <v>241</v>
      </c>
      <c r="ID3217" s="4" t="s">
        <v>241</v>
      </c>
      <c r="IE3217" s="4" t="s">
        <v>241</v>
      </c>
      <c r="IF3217" s="4" t="s">
        <v>241</v>
      </c>
    </row>
    <row r="3218" spans="1:240" ht="19.5" customHeight="1" x14ac:dyDescent="0.4">
      <c r="A3218" s="4">
        <v>1</v>
      </c>
      <c r="B3218" s="4" t="s">
        <v>239</v>
      </c>
      <c r="C3218" s="4">
        <v>8581</v>
      </c>
      <c r="D3218" s="4">
        <v>1</v>
      </c>
      <c r="E3218" s="4">
        <v>2</v>
      </c>
      <c r="F3218" s="4" t="s">
        <v>241</v>
      </c>
      <c r="I3218" s="4" t="s">
        <v>241</v>
      </c>
      <c r="J3218" s="4" t="s">
        <v>274</v>
      </c>
      <c r="K3218" s="4" t="s">
        <v>251</v>
      </c>
      <c r="L3218" s="4" t="s">
        <v>5651</v>
      </c>
      <c r="N3218" s="6">
        <f>0</f>
        <v>0</v>
      </c>
      <c r="O3218" s="4" t="s">
        <v>268</v>
      </c>
      <c r="P3218" s="6">
        <f>418000</f>
        <v>418000</v>
      </c>
      <c r="Q3218" s="6">
        <f>0</f>
        <v>0</v>
      </c>
      <c r="R3218" s="6">
        <f>0</f>
        <v>0</v>
      </c>
      <c r="S3218" s="6">
        <f>418000</f>
        <v>418000</v>
      </c>
      <c r="T3218" s="6">
        <f>418000</f>
        <v>418000</v>
      </c>
      <c r="U3218" s="5" t="s">
        <v>5641</v>
      </c>
      <c r="V3218" s="4" t="s">
        <v>270</v>
      </c>
      <c r="W3218" s="4" t="s">
        <v>241</v>
      </c>
      <c r="X3218" s="4" t="s">
        <v>241</v>
      </c>
      <c r="Y3218" s="4" t="s">
        <v>241</v>
      </c>
      <c r="AB3218" s="4" t="s">
        <v>274</v>
      </c>
      <c r="AC3218" s="5" t="s">
        <v>241</v>
      </c>
      <c r="AD3218" s="5" t="s">
        <v>241</v>
      </c>
      <c r="AE3218" s="4" t="s">
        <v>241</v>
      </c>
      <c r="AF3218" s="5" t="s">
        <v>241</v>
      </c>
      <c r="AG3218" s="5" t="s">
        <v>5641</v>
      </c>
      <c r="AH3218" s="4" t="s">
        <v>5652</v>
      </c>
      <c r="AI3218" s="4" t="s">
        <v>247</v>
      </c>
      <c r="AJ3218" s="4" t="s">
        <v>241</v>
      </c>
      <c r="AP3218" s="4" t="s">
        <v>241</v>
      </c>
      <c r="AQ3218" s="4" t="s">
        <v>241</v>
      </c>
      <c r="AR3218" s="4" t="s">
        <v>241</v>
      </c>
      <c r="AS3218" s="5" t="s">
        <v>241</v>
      </c>
      <c r="AT3218" s="5" t="s">
        <v>241</v>
      </c>
      <c r="AU3218" s="5" t="s">
        <v>241</v>
      </c>
      <c r="AX3218" s="4" t="s">
        <v>5562</v>
      </c>
      <c r="AY3218" s="4" t="s">
        <v>5562</v>
      </c>
      <c r="AZ3218" s="4" t="s">
        <v>249</v>
      </c>
      <c r="BA3218" s="4" t="s">
        <v>5549</v>
      </c>
      <c r="BB3218" s="4" t="s">
        <v>250</v>
      </c>
      <c r="BC3218" s="4" t="s">
        <v>241</v>
      </c>
      <c r="BD3218" s="4" t="s">
        <v>252</v>
      </c>
      <c r="BE3218" s="4" t="s">
        <v>5557</v>
      </c>
      <c r="BI3218" s="4" t="s">
        <v>5550</v>
      </c>
      <c r="BJ3218" s="5" t="s">
        <v>5643</v>
      </c>
      <c r="BK3218" s="4" t="s">
        <v>5564</v>
      </c>
      <c r="BL3218" s="4" t="s">
        <v>5565</v>
      </c>
      <c r="BM3218" s="4" t="s">
        <v>241</v>
      </c>
      <c r="BN3218" s="6">
        <f>0</f>
        <v>0</v>
      </c>
      <c r="BO3218" s="6">
        <f>418000</f>
        <v>418000</v>
      </c>
      <c r="BP3218" s="4" t="s">
        <v>256</v>
      </c>
      <c r="BQ3218" s="4" t="s">
        <v>257</v>
      </c>
      <c r="BR3218" s="4" t="s">
        <v>5566</v>
      </c>
      <c r="BS3218" s="4" t="s">
        <v>5567</v>
      </c>
      <c r="BT3218" s="4" t="s">
        <v>5567</v>
      </c>
      <c r="BU3218" s="4" t="s">
        <v>241</v>
      </c>
      <c r="BV3218" s="4" t="s">
        <v>256</v>
      </c>
      <c r="BW3218" s="4" t="s">
        <v>5568</v>
      </c>
      <c r="BX3218" s="4" t="s">
        <v>5568</v>
      </c>
      <c r="BZ3218" s="5" t="s">
        <v>5653</v>
      </c>
      <c r="CA3218" s="4" t="s">
        <v>256</v>
      </c>
      <c r="CB3218" s="4" t="s">
        <v>241</v>
      </c>
      <c r="CC3218" s="4" t="s">
        <v>241</v>
      </c>
      <c r="CD3218" s="4" t="s">
        <v>257</v>
      </c>
      <c r="CE3218" s="4" t="s">
        <v>241</v>
      </c>
      <c r="CF3218" s="4" t="s">
        <v>241</v>
      </c>
      <c r="CJ3218" s="4" t="s">
        <v>241</v>
      </c>
      <c r="CK3218" s="4" t="s">
        <v>241</v>
      </c>
      <c r="CL3218" s="4" t="s">
        <v>264</v>
      </c>
      <c r="CN3218" s="4" t="s">
        <v>241</v>
      </c>
      <c r="CO3218" s="5" t="s">
        <v>260</v>
      </c>
      <c r="CP3218" s="4" t="s">
        <v>5552</v>
      </c>
      <c r="CQ3218" s="4" t="s">
        <v>5553</v>
      </c>
      <c r="CR3218" s="4" t="s">
        <v>5554</v>
      </c>
      <c r="CS3218" s="4" t="s">
        <v>241</v>
      </c>
      <c r="CT3218" s="4">
        <v>0</v>
      </c>
      <c r="CU3218" s="4" t="s">
        <v>241</v>
      </c>
      <c r="CV3218" s="4" t="s">
        <v>241</v>
      </c>
      <c r="CW3218" s="4" t="s">
        <v>241</v>
      </c>
      <c r="CX3218" s="4" t="s">
        <v>264</v>
      </c>
      <c r="CY3218" s="4" t="s">
        <v>241</v>
      </c>
      <c r="CZ3218" s="6">
        <f>0</f>
        <v>0</v>
      </c>
      <c r="DA3218" s="6">
        <f>418000</f>
        <v>418000</v>
      </c>
      <c r="DB3218" s="6" t="s">
        <v>241</v>
      </c>
      <c r="DC3218" s="4" t="s">
        <v>241</v>
      </c>
      <c r="DD3218" s="4" t="s">
        <v>241</v>
      </c>
      <c r="DF3218" s="4" t="s">
        <v>241</v>
      </c>
      <c r="DG3218" s="6">
        <f>0</f>
        <v>0</v>
      </c>
      <c r="DH3218" s="5" t="s">
        <v>241</v>
      </c>
      <c r="DI3218" s="4" t="s">
        <v>241</v>
      </c>
      <c r="DJ3218" s="4" t="s">
        <v>241</v>
      </c>
      <c r="DK3218" s="4" t="s">
        <v>241</v>
      </c>
      <c r="DL3218" s="4" t="s">
        <v>241</v>
      </c>
      <c r="DM3218" s="4" t="s">
        <v>241</v>
      </c>
      <c r="DN3218" s="4" t="s">
        <v>241</v>
      </c>
      <c r="DO3218" s="6" t="s">
        <v>241</v>
      </c>
      <c r="DP3218" s="4" t="s">
        <v>241</v>
      </c>
      <c r="DQ3218" s="4" t="s">
        <v>247</v>
      </c>
      <c r="DR3218" s="4" t="s">
        <v>5557</v>
      </c>
      <c r="DS3218" s="4" t="s">
        <v>5557</v>
      </c>
      <c r="DT3218" s="4" t="s">
        <v>241</v>
      </c>
      <c r="DU3218" s="4" t="s">
        <v>241</v>
      </c>
      <c r="GN3218" s="4" t="s">
        <v>5654</v>
      </c>
      <c r="HR3218" s="4" t="s">
        <v>241</v>
      </c>
      <c r="HS3218" s="4" t="s">
        <v>241</v>
      </c>
      <c r="HT3218" s="4" t="s">
        <v>241</v>
      </c>
      <c r="HU3218" s="4" t="s">
        <v>241</v>
      </c>
      <c r="HV3218" s="4" t="s">
        <v>241</v>
      </c>
      <c r="HW3218" s="4" t="s">
        <v>241</v>
      </c>
      <c r="HX3218" s="4" t="s">
        <v>241</v>
      </c>
      <c r="HY3218" s="4" t="s">
        <v>241</v>
      </c>
      <c r="HZ3218" s="4" t="s">
        <v>241</v>
      </c>
      <c r="IA3218" s="4" t="s">
        <v>241</v>
      </c>
      <c r="IB3218" s="4" t="s">
        <v>241</v>
      </c>
      <c r="IC3218" s="4" t="s">
        <v>241</v>
      </c>
      <c r="ID3218" s="4" t="s">
        <v>241</v>
      </c>
      <c r="IE3218" s="4" t="s">
        <v>241</v>
      </c>
      <c r="IF3218" s="4" t="s">
        <v>241</v>
      </c>
    </row>
    <row r="3219" spans="1:240" ht="19.5" customHeight="1" x14ac:dyDescent="0.4">
      <c r="A3219" s="4">
        <v>1</v>
      </c>
      <c r="B3219" s="4" t="s">
        <v>239</v>
      </c>
      <c r="C3219" s="4">
        <v>8582</v>
      </c>
      <c r="D3219" s="4">
        <v>1</v>
      </c>
      <c r="E3219" s="4">
        <v>2</v>
      </c>
      <c r="F3219" s="4" t="s">
        <v>241</v>
      </c>
      <c r="I3219" s="4" t="s">
        <v>241</v>
      </c>
      <c r="J3219" s="4" t="s">
        <v>274</v>
      </c>
      <c r="K3219" s="4" t="s">
        <v>251</v>
      </c>
      <c r="L3219" s="4" t="s">
        <v>5640</v>
      </c>
      <c r="N3219" s="6">
        <f>0</f>
        <v>0</v>
      </c>
      <c r="O3219" s="4" t="s">
        <v>268</v>
      </c>
      <c r="P3219" s="6">
        <f>498203</f>
        <v>498203</v>
      </c>
      <c r="Q3219" s="6">
        <f>0</f>
        <v>0</v>
      </c>
      <c r="R3219" s="6">
        <f>0</f>
        <v>0</v>
      </c>
      <c r="S3219" s="6">
        <f>498203</f>
        <v>498203</v>
      </c>
      <c r="T3219" s="6">
        <f>498203</f>
        <v>498203</v>
      </c>
      <c r="U3219" s="5" t="s">
        <v>5641</v>
      </c>
      <c r="V3219" s="4" t="s">
        <v>270</v>
      </c>
      <c r="W3219" s="4" t="s">
        <v>241</v>
      </c>
      <c r="X3219" s="4" t="s">
        <v>241</v>
      </c>
      <c r="Y3219" s="4" t="s">
        <v>241</v>
      </c>
      <c r="AB3219" s="4" t="s">
        <v>274</v>
      </c>
      <c r="AC3219" s="5" t="s">
        <v>241</v>
      </c>
      <c r="AD3219" s="5" t="s">
        <v>241</v>
      </c>
      <c r="AE3219" s="4" t="s">
        <v>241</v>
      </c>
      <c r="AF3219" s="5" t="s">
        <v>241</v>
      </c>
      <c r="AG3219" s="5" t="s">
        <v>5641</v>
      </c>
      <c r="AH3219" s="4" t="s">
        <v>5642</v>
      </c>
      <c r="AI3219" s="4" t="s">
        <v>247</v>
      </c>
      <c r="AJ3219" s="4" t="s">
        <v>241</v>
      </c>
      <c r="AP3219" s="4" t="s">
        <v>241</v>
      </c>
      <c r="AQ3219" s="4" t="s">
        <v>241</v>
      </c>
      <c r="AR3219" s="4" t="s">
        <v>241</v>
      </c>
      <c r="AS3219" s="5" t="s">
        <v>241</v>
      </c>
      <c r="AT3219" s="5" t="s">
        <v>241</v>
      </c>
      <c r="AU3219" s="5" t="s">
        <v>241</v>
      </c>
      <c r="AX3219" s="4" t="s">
        <v>5562</v>
      </c>
      <c r="AY3219" s="4" t="s">
        <v>5562</v>
      </c>
      <c r="AZ3219" s="4" t="s">
        <v>249</v>
      </c>
      <c r="BA3219" s="4" t="s">
        <v>5549</v>
      </c>
      <c r="BB3219" s="4" t="s">
        <v>250</v>
      </c>
      <c r="BC3219" s="4" t="s">
        <v>241</v>
      </c>
      <c r="BD3219" s="4" t="s">
        <v>252</v>
      </c>
      <c r="BE3219" s="4" t="s">
        <v>5557</v>
      </c>
      <c r="BI3219" s="4" t="s">
        <v>5550</v>
      </c>
      <c r="BJ3219" s="5" t="s">
        <v>5643</v>
      </c>
      <c r="BK3219" s="4" t="s">
        <v>5564</v>
      </c>
      <c r="BL3219" s="4" t="s">
        <v>5565</v>
      </c>
      <c r="BM3219" s="4" t="s">
        <v>241</v>
      </c>
      <c r="BN3219" s="6">
        <f>0</f>
        <v>0</v>
      </c>
      <c r="BO3219" s="6">
        <f>498203</f>
        <v>498203</v>
      </c>
      <c r="BP3219" s="4" t="s">
        <v>256</v>
      </c>
      <c r="BQ3219" s="4" t="s">
        <v>257</v>
      </c>
      <c r="BR3219" s="4" t="s">
        <v>5566</v>
      </c>
      <c r="BS3219" s="4" t="s">
        <v>5567</v>
      </c>
      <c r="BT3219" s="4" t="s">
        <v>5567</v>
      </c>
      <c r="BU3219" s="4" t="s">
        <v>241</v>
      </c>
      <c r="BV3219" s="4" t="s">
        <v>256</v>
      </c>
      <c r="BW3219" s="4" t="s">
        <v>5568</v>
      </c>
      <c r="BX3219" s="4" t="s">
        <v>5568</v>
      </c>
      <c r="BZ3219" s="5" t="s">
        <v>5644</v>
      </c>
      <c r="CA3219" s="4" t="s">
        <v>256</v>
      </c>
      <c r="CB3219" s="4" t="s">
        <v>241</v>
      </c>
      <c r="CC3219" s="4" t="s">
        <v>241</v>
      </c>
      <c r="CD3219" s="4" t="s">
        <v>257</v>
      </c>
      <c r="CE3219" s="4" t="s">
        <v>241</v>
      </c>
      <c r="CF3219" s="4" t="s">
        <v>241</v>
      </c>
      <c r="CJ3219" s="4" t="s">
        <v>241</v>
      </c>
      <c r="CK3219" s="4" t="s">
        <v>241</v>
      </c>
      <c r="CL3219" s="4" t="s">
        <v>264</v>
      </c>
      <c r="CN3219" s="4" t="s">
        <v>241</v>
      </c>
      <c r="CO3219" s="5" t="s">
        <v>260</v>
      </c>
      <c r="CP3219" s="4" t="s">
        <v>5552</v>
      </c>
      <c r="CQ3219" s="4" t="s">
        <v>5553</v>
      </c>
      <c r="CR3219" s="4" t="s">
        <v>5554</v>
      </c>
      <c r="CS3219" s="4" t="s">
        <v>241</v>
      </c>
      <c r="CT3219" s="4">
        <v>0</v>
      </c>
      <c r="CU3219" s="4" t="s">
        <v>241</v>
      </c>
      <c r="CV3219" s="4" t="s">
        <v>241</v>
      </c>
      <c r="CW3219" s="4" t="s">
        <v>241</v>
      </c>
      <c r="CX3219" s="4" t="s">
        <v>264</v>
      </c>
      <c r="CY3219" s="4" t="s">
        <v>241</v>
      </c>
      <c r="CZ3219" s="6">
        <f>0</f>
        <v>0</v>
      </c>
      <c r="DA3219" s="6">
        <f>498203</f>
        <v>498203</v>
      </c>
      <c r="DB3219" s="6" t="s">
        <v>241</v>
      </c>
      <c r="DC3219" s="4" t="s">
        <v>241</v>
      </c>
      <c r="DD3219" s="4" t="s">
        <v>241</v>
      </c>
      <c r="DF3219" s="4" t="s">
        <v>241</v>
      </c>
      <c r="DG3219" s="6">
        <f>0</f>
        <v>0</v>
      </c>
      <c r="DH3219" s="5" t="s">
        <v>241</v>
      </c>
      <c r="DI3219" s="4" t="s">
        <v>241</v>
      </c>
      <c r="DJ3219" s="4" t="s">
        <v>241</v>
      </c>
      <c r="DK3219" s="4" t="s">
        <v>241</v>
      </c>
      <c r="DL3219" s="4" t="s">
        <v>241</v>
      </c>
      <c r="DM3219" s="4" t="s">
        <v>241</v>
      </c>
      <c r="DN3219" s="4" t="s">
        <v>241</v>
      </c>
      <c r="DO3219" s="6" t="s">
        <v>241</v>
      </c>
      <c r="DP3219" s="4" t="s">
        <v>241</v>
      </c>
      <c r="DQ3219" s="4" t="s">
        <v>247</v>
      </c>
      <c r="DR3219" s="4" t="s">
        <v>5557</v>
      </c>
      <c r="DS3219" s="4" t="s">
        <v>5557</v>
      </c>
      <c r="DT3219" s="4" t="s">
        <v>241</v>
      </c>
      <c r="DU3219" s="4" t="s">
        <v>241</v>
      </c>
      <c r="GN3219" s="4" t="s">
        <v>5645</v>
      </c>
      <c r="HR3219" s="4" t="s">
        <v>241</v>
      </c>
      <c r="HS3219" s="4" t="s">
        <v>241</v>
      </c>
      <c r="HT3219" s="4" t="s">
        <v>241</v>
      </c>
      <c r="HU3219" s="4" t="s">
        <v>241</v>
      </c>
      <c r="HV3219" s="4" t="s">
        <v>241</v>
      </c>
      <c r="HW3219" s="4" t="s">
        <v>241</v>
      </c>
      <c r="HX3219" s="4" t="s">
        <v>241</v>
      </c>
      <c r="HY3219" s="4" t="s">
        <v>241</v>
      </c>
      <c r="HZ3219" s="4" t="s">
        <v>241</v>
      </c>
      <c r="IA3219" s="4" t="s">
        <v>241</v>
      </c>
      <c r="IB3219" s="4" t="s">
        <v>241</v>
      </c>
      <c r="IC3219" s="4" t="s">
        <v>241</v>
      </c>
      <c r="ID3219" s="4" t="s">
        <v>241</v>
      </c>
      <c r="IE3219" s="4" t="s">
        <v>241</v>
      </c>
      <c r="IF3219" s="4" t="s">
        <v>241</v>
      </c>
    </row>
    <row r="3220" spans="1:240" ht="19.5" customHeight="1" x14ac:dyDescent="0.4">
      <c r="A3220" s="4">
        <v>1</v>
      </c>
      <c r="B3220" s="4" t="s">
        <v>239</v>
      </c>
      <c r="C3220" s="4">
        <v>8583</v>
      </c>
      <c r="D3220" s="4">
        <v>1</v>
      </c>
      <c r="E3220" s="4">
        <v>2</v>
      </c>
      <c r="F3220" s="4" t="s">
        <v>241</v>
      </c>
      <c r="I3220" s="4" t="s">
        <v>241</v>
      </c>
      <c r="J3220" s="4" t="s">
        <v>274</v>
      </c>
      <c r="K3220" s="4" t="s">
        <v>251</v>
      </c>
      <c r="L3220" s="4" t="s">
        <v>5610</v>
      </c>
      <c r="N3220" s="6">
        <f>0</f>
        <v>0</v>
      </c>
      <c r="O3220" s="4" t="s">
        <v>268</v>
      </c>
      <c r="P3220" s="6">
        <f>726000</f>
        <v>726000</v>
      </c>
      <c r="Q3220" s="6">
        <f>0</f>
        <v>0</v>
      </c>
      <c r="R3220" s="6">
        <f>0</f>
        <v>0</v>
      </c>
      <c r="S3220" s="6">
        <f>726000</f>
        <v>726000</v>
      </c>
      <c r="T3220" s="6">
        <f>726000</f>
        <v>726000</v>
      </c>
      <c r="U3220" s="5" t="s">
        <v>5611</v>
      </c>
      <c r="V3220" s="4" t="s">
        <v>270</v>
      </c>
      <c r="W3220" s="4" t="s">
        <v>241</v>
      </c>
      <c r="X3220" s="4" t="s">
        <v>241</v>
      </c>
      <c r="Y3220" s="4" t="s">
        <v>241</v>
      </c>
      <c r="AB3220" s="4" t="s">
        <v>274</v>
      </c>
      <c r="AC3220" s="5" t="s">
        <v>241</v>
      </c>
      <c r="AD3220" s="5" t="s">
        <v>241</v>
      </c>
      <c r="AE3220" s="4" t="s">
        <v>241</v>
      </c>
      <c r="AF3220" s="5" t="s">
        <v>241</v>
      </c>
      <c r="AG3220" s="5" t="s">
        <v>5611</v>
      </c>
      <c r="AH3220" s="4" t="s">
        <v>5612</v>
      </c>
      <c r="AI3220" s="4" t="s">
        <v>247</v>
      </c>
      <c r="AJ3220" s="4" t="s">
        <v>241</v>
      </c>
      <c r="AP3220" s="4" t="s">
        <v>241</v>
      </c>
      <c r="AQ3220" s="4" t="s">
        <v>241</v>
      </c>
      <c r="AR3220" s="4" t="s">
        <v>241</v>
      </c>
      <c r="AS3220" s="5" t="s">
        <v>241</v>
      </c>
      <c r="AT3220" s="5" t="s">
        <v>241</v>
      </c>
      <c r="AU3220" s="5" t="s">
        <v>241</v>
      </c>
      <c r="AX3220" s="4" t="s">
        <v>5562</v>
      </c>
      <c r="AY3220" s="4" t="s">
        <v>5562</v>
      </c>
      <c r="AZ3220" s="4" t="s">
        <v>249</v>
      </c>
      <c r="BA3220" s="4" t="s">
        <v>5549</v>
      </c>
      <c r="BB3220" s="4" t="s">
        <v>250</v>
      </c>
      <c r="BC3220" s="4" t="s">
        <v>241</v>
      </c>
      <c r="BD3220" s="4" t="s">
        <v>252</v>
      </c>
      <c r="BE3220" s="4" t="s">
        <v>5557</v>
      </c>
      <c r="BI3220" s="4" t="s">
        <v>5550</v>
      </c>
      <c r="BJ3220" s="5" t="s">
        <v>5613</v>
      </c>
      <c r="BK3220" s="4" t="s">
        <v>5564</v>
      </c>
      <c r="BL3220" s="4" t="s">
        <v>5565</v>
      </c>
      <c r="BM3220" s="4" t="s">
        <v>241</v>
      </c>
      <c r="BN3220" s="6">
        <f>0</f>
        <v>0</v>
      </c>
      <c r="BO3220" s="6">
        <f>726000</f>
        <v>726000</v>
      </c>
      <c r="BP3220" s="4" t="s">
        <v>256</v>
      </c>
      <c r="BQ3220" s="4" t="s">
        <v>257</v>
      </c>
      <c r="BR3220" s="4" t="s">
        <v>5566</v>
      </c>
      <c r="BS3220" s="4" t="s">
        <v>5567</v>
      </c>
      <c r="BT3220" s="4" t="s">
        <v>5567</v>
      </c>
      <c r="BU3220" s="4" t="s">
        <v>241</v>
      </c>
      <c r="BV3220" s="4" t="s">
        <v>256</v>
      </c>
      <c r="BW3220" s="4" t="s">
        <v>5568</v>
      </c>
      <c r="BX3220" s="4" t="s">
        <v>5568</v>
      </c>
      <c r="BZ3220" s="5" t="s">
        <v>5614</v>
      </c>
      <c r="CA3220" s="4" t="s">
        <v>256</v>
      </c>
      <c r="CB3220" s="4" t="s">
        <v>241</v>
      </c>
      <c r="CC3220" s="4" t="s">
        <v>241</v>
      </c>
      <c r="CD3220" s="4" t="s">
        <v>257</v>
      </c>
      <c r="CE3220" s="4" t="s">
        <v>241</v>
      </c>
      <c r="CF3220" s="4" t="s">
        <v>241</v>
      </c>
      <c r="CJ3220" s="4" t="s">
        <v>241</v>
      </c>
      <c r="CK3220" s="4" t="s">
        <v>241</v>
      </c>
      <c r="CL3220" s="4" t="s">
        <v>264</v>
      </c>
      <c r="CN3220" s="4" t="s">
        <v>241</v>
      </c>
      <c r="CO3220" s="5" t="s">
        <v>260</v>
      </c>
      <c r="CP3220" s="4" t="s">
        <v>5552</v>
      </c>
      <c r="CQ3220" s="4" t="s">
        <v>5553</v>
      </c>
      <c r="CR3220" s="4" t="s">
        <v>5554</v>
      </c>
      <c r="CS3220" s="4" t="s">
        <v>241</v>
      </c>
      <c r="CT3220" s="4">
        <v>0</v>
      </c>
      <c r="CU3220" s="4" t="s">
        <v>241</v>
      </c>
      <c r="CV3220" s="4" t="s">
        <v>241</v>
      </c>
      <c r="CW3220" s="4" t="s">
        <v>241</v>
      </c>
      <c r="CX3220" s="4" t="s">
        <v>264</v>
      </c>
      <c r="CY3220" s="4" t="s">
        <v>241</v>
      </c>
      <c r="CZ3220" s="6">
        <f>0</f>
        <v>0</v>
      </c>
      <c r="DA3220" s="6">
        <f>726000</f>
        <v>726000</v>
      </c>
      <c r="DB3220" s="6" t="s">
        <v>241</v>
      </c>
      <c r="DC3220" s="4" t="s">
        <v>241</v>
      </c>
      <c r="DD3220" s="4" t="s">
        <v>241</v>
      </c>
      <c r="DF3220" s="4" t="s">
        <v>241</v>
      </c>
      <c r="DG3220" s="6">
        <f>0</f>
        <v>0</v>
      </c>
      <c r="DH3220" s="5" t="s">
        <v>241</v>
      </c>
      <c r="DI3220" s="4" t="s">
        <v>241</v>
      </c>
      <c r="DJ3220" s="4" t="s">
        <v>241</v>
      </c>
      <c r="DK3220" s="4" t="s">
        <v>241</v>
      </c>
      <c r="DL3220" s="4" t="s">
        <v>241</v>
      </c>
      <c r="DM3220" s="4" t="s">
        <v>241</v>
      </c>
      <c r="DN3220" s="4" t="s">
        <v>241</v>
      </c>
      <c r="DO3220" s="6" t="s">
        <v>241</v>
      </c>
      <c r="DP3220" s="4" t="s">
        <v>241</v>
      </c>
      <c r="DQ3220" s="4" t="s">
        <v>247</v>
      </c>
      <c r="DR3220" s="4" t="s">
        <v>5557</v>
      </c>
      <c r="DS3220" s="4" t="s">
        <v>5557</v>
      </c>
      <c r="DT3220" s="4" t="s">
        <v>241</v>
      </c>
      <c r="DU3220" s="4" t="s">
        <v>241</v>
      </c>
      <c r="GN3220" s="4" t="s">
        <v>5615</v>
      </c>
      <c r="HR3220" s="4" t="s">
        <v>241</v>
      </c>
      <c r="HS3220" s="4" t="s">
        <v>241</v>
      </c>
      <c r="HT3220" s="4" t="s">
        <v>241</v>
      </c>
      <c r="HU3220" s="4" t="s">
        <v>241</v>
      </c>
      <c r="HV3220" s="4" t="s">
        <v>241</v>
      </c>
      <c r="HW3220" s="4" t="s">
        <v>241</v>
      </c>
      <c r="HX3220" s="4" t="s">
        <v>241</v>
      </c>
      <c r="HY3220" s="4" t="s">
        <v>241</v>
      </c>
      <c r="HZ3220" s="4" t="s">
        <v>241</v>
      </c>
      <c r="IA3220" s="4" t="s">
        <v>241</v>
      </c>
      <c r="IB3220" s="4" t="s">
        <v>241</v>
      </c>
      <c r="IC3220" s="4" t="s">
        <v>241</v>
      </c>
      <c r="ID3220" s="4" t="s">
        <v>241</v>
      </c>
      <c r="IE3220" s="4" t="s">
        <v>241</v>
      </c>
      <c r="IF3220" s="4" t="s">
        <v>241</v>
      </c>
    </row>
    <row r="3221" spans="1:240" ht="19.5" customHeight="1" x14ac:dyDescent="0.4">
      <c r="A3221" s="4">
        <v>1</v>
      </c>
      <c r="B3221" s="4" t="s">
        <v>239</v>
      </c>
      <c r="C3221" s="4">
        <v>8584</v>
      </c>
      <c r="D3221" s="4">
        <v>1</v>
      </c>
      <c r="E3221" s="4">
        <v>2</v>
      </c>
      <c r="F3221" s="4" t="s">
        <v>241</v>
      </c>
      <c r="I3221" s="4" t="s">
        <v>241</v>
      </c>
      <c r="J3221" s="4" t="s">
        <v>274</v>
      </c>
      <c r="K3221" s="4" t="s">
        <v>251</v>
      </c>
      <c r="L3221" s="4" t="s">
        <v>5717</v>
      </c>
      <c r="N3221" s="6">
        <f>0</f>
        <v>0</v>
      </c>
      <c r="O3221" s="4" t="s">
        <v>268</v>
      </c>
      <c r="P3221" s="6">
        <f>247020</f>
        <v>247020</v>
      </c>
      <c r="Q3221" s="6">
        <f>0</f>
        <v>0</v>
      </c>
      <c r="R3221" s="6">
        <f>0</f>
        <v>0</v>
      </c>
      <c r="S3221" s="6">
        <f>247020</f>
        <v>247020</v>
      </c>
      <c r="T3221" s="6">
        <f>247020</f>
        <v>247020</v>
      </c>
      <c r="U3221" s="5" t="s">
        <v>5641</v>
      </c>
      <c r="V3221" s="4" t="s">
        <v>270</v>
      </c>
      <c r="W3221" s="4" t="s">
        <v>241</v>
      </c>
      <c r="X3221" s="4" t="s">
        <v>241</v>
      </c>
      <c r="Y3221" s="4" t="s">
        <v>241</v>
      </c>
      <c r="AB3221" s="4" t="s">
        <v>274</v>
      </c>
      <c r="AC3221" s="5" t="s">
        <v>241</v>
      </c>
      <c r="AD3221" s="5" t="s">
        <v>241</v>
      </c>
      <c r="AE3221" s="4" t="s">
        <v>241</v>
      </c>
      <c r="AF3221" s="5" t="s">
        <v>241</v>
      </c>
      <c r="AG3221" s="5" t="s">
        <v>5641</v>
      </c>
      <c r="AH3221" s="4" t="s">
        <v>5718</v>
      </c>
      <c r="AI3221" s="4" t="s">
        <v>247</v>
      </c>
      <c r="AJ3221" s="4" t="s">
        <v>241</v>
      </c>
      <c r="AP3221" s="4" t="s">
        <v>241</v>
      </c>
      <c r="AQ3221" s="4" t="s">
        <v>241</v>
      </c>
      <c r="AR3221" s="4" t="s">
        <v>241</v>
      </c>
      <c r="AS3221" s="5" t="s">
        <v>241</v>
      </c>
      <c r="AT3221" s="5" t="s">
        <v>241</v>
      </c>
      <c r="AU3221" s="5" t="s">
        <v>241</v>
      </c>
      <c r="AX3221" s="4" t="s">
        <v>5562</v>
      </c>
      <c r="AY3221" s="4" t="s">
        <v>5562</v>
      </c>
      <c r="AZ3221" s="4" t="s">
        <v>249</v>
      </c>
      <c r="BA3221" s="4" t="s">
        <v>5549</v>
      </c>
      <c r="BB3221" s="4" t="s">
        <v>250</v>
      </c>
      <c r="BC3221" s="4" t="s">
        <v>241</v>
      </c>
      <c r="BD3221" s="4" t="s">
        <v>252</v>
      </c>
      <c r="BE3221" s="4" t="s">
        <v>5557</v>
      </c>
      <c r="BI3221" s="4" t="s">
        <v>5550</v>
      </c>
      <c r="BJ3221" s="5" t="s">
        <v>5643</v>
      </c>
      <c r="BK3221" s="4" t="s">
        <v>5564</v>
      </c>
      <c r="BL3221" s="4" t="s">
        <v>5565</v>
      </c>
      <c r="BM3221" s="4" t="s">
        <v>241</v>
      </c>
      <c r="BN3221" s="6">
        <f>0</f>
        <v>0</v>
      </c>
      <c r="BO3221" s="6">
        <f>247020</f>
        <v>247020</v>
      </c>
      <c r="BP3221" s="4" t="s">
        <v>256</v>
      </c>
      <c r="BQ3221" s="4" t="s">
        <v>257</v>
      </c>
      <c r="BR3221" s="4" t="s">
        <v>5566</v>
      </c>
      <c r="BS3221" s="4" t="s">
        <v>5567</v>
      </c>
      <c r="BT3221" s="4" t="s">
        <v>5567</v>
      </c>
      <c r="BU3221" s="4" t="s">
        <v>241</v>
      </c>
      <c r="BV3221" s="4" t="s">
        <v>256</v>
      </c>
      <c r="BW3221" s="4" t="s">
        <v>5568</v>
      </c>
      <c r="BX3221" s="4" t="s">
        <v>5568</v>
      </c>
      <c r="BZ3221" s="5" t="s">
        <v>5719</v>
      </c>
      <c r="CA3221" s="4" t="s">
        <v>256</v>
      </c>
      <c r="CB3221" s="4" t="s">
        <v>241</v>
      </c>
      <c r="CC3221" s="4" t="s">
        <v>241</v>
      </c>
      <c r="CD3221" s="4" t="s">
        <v>257</v>
      </c>
      <c r="CE3221" s="4" t="s">
        <v>241</v>
      </c>
      <c r="CF3221" s="4" t="s">
        <v>241</v>
      </c>
      <c r="CJ3221" s="4" t="s">
        <v>241</v>
      </c>
      <c r="CK3221" s="4" t="s">
        <v>241</v>
      </c>
      <c r="CL3221" s="4" t="s">
        <v>264</v>
      </c>
      <c r="CN3221" s="4" t="s">
        <v>241</v>
      </c>
      <c r="CO3221" s="5" t="s">
        <v>260</v>
      </c>
      <c r="CP3221" s="4" t="s">
        <v>5552</v>
      </c>
      <c r="CQ3221" s="4" t="s">
        <v>5553</v>
      </c>
      <c r="CR3221" s="4" t="s">
        <v>5554</v>
      </c>
      <c r="CS3221" s="4" t="s">
        <v>241</v>
      </c>
      <c r="CT3221" s="4">
        <v>0</v>
      </c>
      <c r="CU3221" s="4" t="s">
        <v>241</v>
      </c>
      <c r="CV3221" s="4" t="s">
        <v>241</v>
      </c>
      <c r="CW3221" s="4" t="s">
        <v>241</v>
      </c>
      <c r="CX3221" s="4" t="s">
        <v>264</v>
      </c>
      <c r="CY3221" s="4" t="s">
        <v>241</v>
      </c>
      <c r="CZ3221" s="6">
        <f>0</f>
        <v>0</v>
      </c>
      <c r="DA3221" s="6">
        <f>247020</f>
        <v>247020</v>
      </c>
      <c r="DB3221" s="6" t="s">
        <v>241</v>
      </c>
      <c r="DC3221" s="4" t="s">
        <v>241</v>
      </c>
      <c r="DD3221" s="4" t="s">
        <v>241</v>
      </c>
      <c r="DF3221" s="4" t="s">
        <v>241</v>
      </c>
      <c r="DG3221" s="6">
        <f>0</f>
        <v>0</v>
      </c>
      <c r="DH3221" s="5" t="s">
        <v>241</v>
      </c>
      <c r="DI3221" s="4" t="s">
        <v>241</v>
      </c>
      <c r="DJ3221" s="4" t="s">
        <v>241</v>
      </c>
      <c r="DK3221" s="4" t="s">
        <v>241</v>
      </c>
      <c r="DL3221" s="4" t="s">
        <v>241</v>
      </c>
      <c r="DM3221" s="4" t="s">
        <v>241</v>
      </c>
      <c r="DN3221" s="4" t="s">
        <v>241</v>
      </c>
      <c r="DO3221" s="6" t="s">
        <v>241</v>
      </c>
      <c r="DP3221" s="4" t="s">
        <v>241</v>
      </c>
      <c r="DQ3221" s="4" t="s">
        <v>247</v>
      </c>
      <c r="DR3221" s="4" t="s">
        <v>5557</v>
      </c>
      <c r="DS3221" s="4" t="s">
        <v>5557</v>
      </c>
      <c r="DT3221" s="4" t="s">
        <v>241</v>
      </c>
      <c r="DU3221" s="4" t="s">
        <v>241</v>
      </c>
      <c r="GN3221" s="4" t="s">
        <v>5720</v>
      </c>
      <c r="HR3221" s="4" t="s">
        <v>241</v>
      </c>
      <c r="HS3221" s="4" t="s">
        <v>241</v>
      </c>
      <c r="HT3221" s="4" t="s">
        <v>241</v>
      </c>
      <c r="HU3221" s="4" t="s">
        <v>241</v>
      </c>
      <c r="HV3221" s="4" t="s">
        <v>241</v>
      </c>
      <c r="HW3221" s="4" t="s">
        <v>241</v>
      </c>
      <c r="HX3221" s="4" t="s">
        <v>241</v>
      </c>
      <c r="HY3221" s="4" t="s">
        <v>241</v>
      </c>
      <c r="HZ3221" s="4" t="s">
        <v>241</v>
      </c>
      <c r="IA3221" s="4" t="s">
        <v>241</v>
      </c>
      <c r="IB3221" s="4" t="s">
        <v>241</v>
      </c>
      <c r="IC3221" s="4" t="s">
        <v>241</v>
      </c>
      <c r="ID3221" s="4" t="s">
        <v>241</v>
      </c>
      <c r="IE3221" s="4" t="s">
        <v>241</v>
      </c>
      <c r="IF3221" s="4" t="s">
        <v>241</v>
      </c>
    </row>
    <row r="3222" spans="1:240" ht="19.5" customHeight="1" x14ac:dyDescent="0.4">
      <c r="A3222" s="4">
        <v>1</v>
      </c>
      <c r="B3222" s="4" t="s">
        <v>239</v>
      </c>
      <c r="C3222" s="4">
        <v>8585</v>
      </c>
      <c r="D3222" s="4">
        <v>1</v>
      </c>
      <c r="E3222" s="4">
        <v>2</v>
      </c>
      <c r="F3222" s="4" t="s">
        <v>241</v>
      </c>
      <c r="I3222" s="4" t="s">
        <v>241</v>
      </c>
      <c r="J3222" s="4" t="s">
        <v>274</v>
      </c>
      <c r="K3222" s="4" t="s">
        <v>251</v>
      </c>
      <c r="L3222" s="4" t="s">
        <v>5685</v>
      </c>
      <c r="N3222" s="6">
        <f>0</f>
        <v>0</v>
      </c>
      <c r="O3222" s="4" t="s">
        <v>268</v>
      </c>
      <c r="P3222" s="6">
        <f>199276</f>
        <v>199276</v>
      </c>
      <c r="Q3222" s="6">
        <f>0</f>
        <v>0</v>
      </c>
      <c r="R3222" s="6">
        <f>0</f>
        <v>0</v>
      </c>
      <c r="S3222" s="6">
        <f>199276</f>
        <v>199276</v>
      </c>
      <c r="T3222" s="6">
        <f>199276</f>
        <v>199276</v>
      </c>
      <c r="U3222" s="5" t="s">
        <v>5686</v>
      </c>
      <c r="V3222" s="4" t="s">
        <v>270</v>
      </c>
      <c r="W3222" s="4" t="s">
        <v>241</v>
      </c>
      <c r="X3222" s="4" t="s">
        <v>241</v>
      </c>
      <c r="Y3222" s="4" t="s">
        <v>241</v>
      </c>
      <c r="AB3222" s="4" t="s">
        <v>274</v>
      </c>
      <c r="AC3222" s="5" t="s">
        <v>241</v>
      </c>
      <c r="AD3222" s="5" t="s">
        <v>241</v>
      </c>
      <c r="AE3222" s="4" t="s">
        <v>241</v>
      </c>
      <c r="AF3222" s="5" t="s">
        <v>241</v>
      </c>
      <c r="AG3222" s="5" t="s">
        <v>5686</v>
      </c>
      <c r="AH3222" s="4" t="s">
        <v>5687</v>
      </c>
      <c r="AI3222" s="4" t="s">
        <v>247</v>
      </c>
      <c r="AJ3222" s="4" t="s">
        <v>241</v>
      </c>
      <c r="AP3222" s="4" t="s">
        <v>241</v>
      </c>
      <c r="AQ3222" s="4" t="s">
        <v>241</v>
      </c>
      <c r="AR3222" s="4" t="s">
        <v>241</v>
      </c>
      <c r="AS3222" s="5" t="s">
        <v>241</v>
      </c>
      <c r="AT3222" s="5" t="s">
        <v>241</v>
      </c>
      <c r="AU3222" s="5" t="s">
        <v>241</v>
      </c>
      <c r="AX3222" s="4" t="s">
        <v>5562</v>
      </c>
      <c r="AY3222" s="4" t="s">
        <v>5562</v>
      </c>
      <c r="AZ3222" s="4" t="s">
        <v>249</v>
      </c>
      <c r="BA3222" s="4" t="s">
        <v>5549</v>
      </c>
      <c r="BB3222" s="4" t="s">
        <v>250</v>
      </c>
      <c r="BC3222" s="4" t="s">
        <v>241</v>
      </c>
      <c r="BD3222" s="4" t="s">
        <v>252</v>
      </c>
      <c r="BE3222" s="4" t="s">
        <v>5557</v>
      </c>
      <c r="BI3222" s="4" t="s">
        <v>5550</v>
      </c>
      <c r="BJ3222" s="5" t="s">
        <v>5688</v>
      </c>
      <c r="BK3222" s="4" t="s">
        <v>5564</v>
      </c>
      <c r="BL3222" s="4" t="s">
        <v>5565</v>
      </c>
      <c r="BM3222" s="4" t="s">
        <v>241</v>
      </c>
      <c r="BN3222" s="6">
        <f>0</f>
        <v>0</v>
      </c>
      <c r="BO3222" s="6">
        <f>199276</f>
        <v>199276</v>
      </c>
      <c r="BP3222" s="4" t="s">
        <v>256</v>
      </c>
      <c r="BQ3222" s="4" t="s">
        <v>257</v>
      </c>
      <c r="BR3222" s="4" t="s">
        <v>5566</v>
      </c>
      <c r="BS3222" s="4" t="s">
        <v>5567</v>
      </c>
      <c r="BT3222" s="4" t="s">
        <v>5567</v>
      </c>
      <c r="BU3222" s="4" t="s">
        <v>241</v>
      </c>
      <c r="BV3222" s="4" t="s">
        <v>256</v>
      </c>
      <c r="BW3222" s="4" t="s">
        <v>5568</v>
      </c>
      <c r="BX3222" s="4" t="s">
        <v>5568</v>
      </c>
      <c r="BZ3222" s="5" t="s">
        <v>5689</v>
      </c>
      <c r="CA3222" s="4" t="s">
        <v>256</v>
      </c>
      <c r="CB3222" s="4" t="s">
        <v>241</v>
      </c>
      <c r="CC3222" s="4" t="s">
        <v>241</v>
      </c>
      <c r="CD3222" s="4" t="s">
        <v>257</v>
      </c>
      <c r="CE3222" s="4" t="s">
        <v>241</v>
      </c>
      <c r="CF3222" s="4" t="s">
        <v>241</v>
      </c>
      <c r="CJ3222" s="4" t="s">
        <v>241</v>
      </c>
      <c r="CK3222" s="4" t="s">
        <v>241</v>
      </c>
      <c r="CL3222" s="4" t="s">
        <v>264</v>
      </c>
      <c r="CN3222" s="4" t="s">
        <v>241</v>
      </c>
      <c r="CO3222" s="5" t="s">
        <v>260</v>
      </c>
      <c r="CP3222" s="4" t="s">
        <v>5552</v>
      </c>
      <c r="CQ3222" s="4" t="s">
        <v>5553</v>
      </c>
      <c r="CR3222" s="4" t="s">
        <v>5554</v>
      </c>
      <c r="CS3222" s="4" t="s">
        <v>241</v>
      </c>
      <c r="CT3222" s="4">
        <v>0</v>
      </c>
      <c r="CU3222" s="4" t="s">
        <v>241</v>
      </c>
      <c r="CV3222" s="4" t="s">
        <v>241</v>
      </c>
      <c r="CW3222" s="4" t="s">
        <v>241</v>
      </c>
      <c r="CX3222" s="4" t="s">
        <v>264</v>
      </c>
      <c r="CY3222" s="4" t="s">
        <v>241</v>
      </c>
      <c r="CZ3222" s="6">
        <f>0</f>
        <v>0</v>
      </c>
      <c r="DA3222" s="6">
        <f>199276</f>
        <v>199276</v>
      </c>
      <c r="DB3222" s="6" t="s">
        <v>241</v>
      </c>
      <c r="DC3222" s="4" t="s">
        <v>241</v>
      </c>
      <c r="DD3222" s="4" t="s">
        <v>241</v>
      </c>
      <c r="DF3222" s="4" t="s">
        <v>241</v>
      </c>
      <c r="DG3222" s="6">
        <f>0</f>
        <v>0</v>
      </c>
      <c r="DH3222" s="5" t="s">
        <v>241</v>
      </c>
      <c r="DI3222" s="4" t="s">
        <v>241</v>
      </c>
      <c r="DJ3222" s="4" t="s">
        <v>241</v>
      </c>
      <c r="DK3222" s="4" t="s">
        <v>241</v>
      </c>
      <c r="DL3222" s="4" t="s">
        <v>241</v>
      </c>
      <c r="DM3222" s="4" t="s">
        <v>241</v>
      </c>
      <c r="DN3222" s="4" t="s">
        <v>241</v>
      </c>
      <c r="DO3222" s="6" t="s">
        <v>241</v>
      </c>
      <c r="DP3222" s="4" t="s">
        <v>241</v>
      </c>
      <c r="DQ3222" s="4" t="s">
        <v>247</v>
      </c>
      <c r="DR3222" s="4" t="s">
        <v>5557</v>
      </c>
      <c r="DS3222" s="4" t="s">
        <v>5557</v>
      </c>
      <c r="DT3222" s="4" t="s">
        <v>241</v>
      </c>
      <c r="DU3222" s="4" t="s">
        <v>241</v>
      </c>
      <c r="GN3222" s="4" t="s">
        <v>5690</v>
      </c>
      <c r="HR3222" s="4" t="s">
        <v>241</v>
      </c>
      <c r="HS3222" s="4" t="s">
        <v>241</v>
      </c>
      <c r="HT3222" s="4" t="s">
        <v>241</v>
      </c>
      <c r="HU3222" s="4" t="s">
        <v>241</v>
      </c>
      <c r="HV3222" s="4" t="s">
        <v>241</v>
      </c>
      <c r="HW3222" s="4" t="s">
        <v>241</v>
      </c>
      <c r="HX3222" s="4" t="s">
        <v>241</v>
      </c>
      <c r="HY3222" s="4" t="s">
        <v>241</v>
      </c>
      <c r="HZ3222" s="4" t="s">
        <v>241</v>
      </c>
      <c r="IA3222" s="4" t="s">
        <v>241</v>
      </c>
      <c r="IB3222" s="4" t="s">
        <v>241</v>
      </c>
      <c r="IC3222" s="4" t="s">
        <v>241</v>
      </c>
      <c r="ID3222" s="4" t="s">
        <v>241</v>
      </c>
      <c r="IE3222" s="4" t="s">
        <v>241</v>
      </c>
      <c r="IF3222" s="4" t="s">
        <v>241</v>
      </c>
    </row>
    <row r="3223" spans="1:240" ht="19.5" customHeight="1" x14ac:dyDescent="0.4">
      <c r="A3223" s="4">
        <v>1</v>
      </c>
      <c r="B3223" s="4" t="s">
        <v>239</v>
      </c>
      <c r="C3223" s="4">
        <v>8586</v>
      </c>
      <c r="D3223" s="4">
        <v>1</v>
      </c>
      <c r="E3223" s="4">
        <v>2</v>
      </c>
      <c r="F3223" s="4" t="s">
        <v>241</v>
      </c>
      <c r="I3223" s="4" t="s">
        <v>241</v>
      </c>
      <c r="J3223" s="4" t="s">
        <v>274</v>
      </c>
      <c r="K3223" s="4" t="s">
        <v>251</v>
      </c>
      <c r="L3223" s="4" t="s">
        <v>5559</v>
      </c>
      <c r="N3223" s="6">
        <f>0</f>
        <v>0</v>
      </c>
      <c r="O3223" s="4" t="s">
        <v>268</v>
      </c>
      <c r="P3223" s="6">
        <f>198000</f>
        <v>198000</v>
      </c>
      <c r="Q3223" s="6">
        <f>0</f>
        <v>0</v>
      </c>
      <c r="R3223" s="6">
        <f>0</f>
        <v>0</v>
      </c>
      <c r="S3223" s="6">
        <f>198000</f>
        <v>198000</v>
      </c>
      <c r="T3223" s="6">
        <f>198000</f>
        <v>198000</v>
      </c>
      <c r="U3223" s="5" t="s">
        <v>5560</v>
      </c>
      <c r="V3223" s="4" t="s">
        <v>270</v>
      </c>
      <c r="W3223" s="4" t="s">
        <v>241</v>
      </c>
      <c r="X3223" s="4" t="s">
        <v>241</v>
      </c>
      <c r="Y3223" s="4" t="s">
        <v>241</v>
      </c>
      <c r="AB3223" s="4" t="s">
        <v>274</v>
      </c>
      <c r="AC3223" s="5" t="s">
        <v>241</v>
      </c>
      <c r="AD3223" s="5" t="s">
        <v>241</v>
      </c>
      <c r="AE3223" s="4" t="s">
        <v>241</v>
      </c>
      <c r="AF3223" s="5" t="s">
        <v>241</v>
      </c>
      <c r="AG3223" s="5" t="s">
        <v>5560</v>
      </c>
      <c r="AH3223" s="4" t="s">
        <v>5561</v>
      </c>
      <c r="AI3223" s="4" t="s">
        <v>247</v>
      </c>
      <c r="AJ3223" s="4" t="s">
        <v>241</v>
      </c>
      <c r="AP3223" s="4" t="s">
        <v>241</v>
      </c>
      <c r="AQ3223" s="4" t="s">
        <v>241</v>
      </c>
      <c r="AR3223" s="4" t="s">
        <v>241</v>
      </c>
      <c r="AS3223" s="5" t="s">
        <v>241</v>
      </c>
      <c r="AT3223" s="5" t="s">
        <v>241</v>
      </c>
      <c r="AU3223" s="5" t="s">
        <v>241</v>
      </c>
      <c r="AX3223" s="4" t="s">
        <v>5562</v>
      </c>
      <c r="AY3223" s="4" t="s">
        <v>5562</v>
      </c>
      <c r="AZ3223" s="4" t="s">
        <v>249</v>
      </c>
      <c r="BA3223" s="4" t="s">
        <v>5549</v>
      </c>
      <c r="BB3223" s="4" t="s">
        <v>250</v>
      </c>
      <c r="BC3223" s="4" t="s">
        <v>241</v>
      </c>
      <c r="BD3223" s="4" t="s">
        <v>252</v>
      </c>
      <c r="BE3223" s="4" t="s">
        <v>5557</v>
      </c>
      <c r="BI3223" s="4" t="s">
        <v>5550</v>
      </c>
      <c r="BJ3223" s="5" t="s">
        <v>5563</v>
      </c>
      <c r="BK3223" s="4" t="s">
        <v>5564</v>
      </c>
      <c r="BL3223" s="4" t="s">
        <v>5565</v>
      </c>
      <c r="BM3223" s="4" t="s">
        <v>241</v>
      </c>
      <c r="BN3223" s="6">
        <f>0</f>
        <v>0</v>
      </c>
      <c r="BO3223" s="6">
        <f>198000</f>
        <v>198000</v>
      </c>
      <c r="BP3223" s="4" t="s">
        <v>256</v>
      </c>
      <c r="BQ3223" s="4" t="s">
        <v>257</v>
      </c>
      <c r="BR3223" s="4" t="s">
        <v>5566</v>
      </c>
      <c r="BS3223" s="4" t="s">
        <v>5567</v>
      </c>
      <c r="BT3223" s="4" t="s">
        <v>5567</v>
      </c>
      <c r="BU3223" s="4" t="s">
        <v>241</v>
      </c>
      <c r="BV3223" s="4" t="s">
        <v>256</v>
      </c>
      <c r="BW3223" s="4" t="s">
        <v>5568</v>
      </c>
      <c r="BX3223" s="4" t="s">
        <v>5568</v>
      </c>
      <c r="BZ3223" s="5" t="s">
        <v>5569</v>
      </c>
      <c r="CA3223" s="4" t="s">
        <v>256</v>
      </c>
      <c r="CB3223" s="4" t="s">
        <v>241</v>
      </c>
      <c r="CC3223" s="4" t="s">
        <v>241</v>
      </c>
      <c r="CD3223" s="4" t="s">
        <v>257</v>
      </c>
      <c r="CE3223" s="4" t="s">
        <v>241</v>
      </c>
      <c r="CF3223" s="4" t="s">
        <v>241</v>
      </c>
      <c r="CJ3223" s="4" t="s">
        <v>241</v>
      </c>
      <c r="CK3223" s="4" t="s">
        <v>241</v>
      </c>
      <c r="CL3223" s="4" t="s">
        <v>264</v>
      </c>
      <c r="CN3223" s="4" t="s">
        <v>241</v>
      </c>
      <c r="CO3223" s="5" t="s">
        <v>260</v>
      </c>
      <c r="CP3223" s="4" t="s">
        <v>5552</v>
      </c>
      <c r="CQ3223" s="4" t="s">
        <v>5553</v>
      </c>
      <c r="CR3223" s="4" t="s">
        <v>5554</v>
      </c>
      <c r="CS3223" s="4" t="s">
        <v>241</v>
      </c>
      <c r="CT3223" s="4">
        <v>0</v>
      </c>
      <c r="CU3223" s="4" t="s">
        <v>241</v>
      </c>
      <c r="CV3223" s="4" t="s">
        <v>241</v>
      </c>
      <c r="CW3223" s="4" t="s">
        <v>241</v>
      </c>
      <c r="CX3223" s="4" t="s">
        <v>264</v>
      </c>
      <c r="CY3223" s="4" t="s">
        <v>241</v>
      </c>
      <c r="CZ3223" s="6">
        <f>0</f>
        <v>0</v>
      </c>
      <c r="DA3223" s="6">
        <f>198000</f>
        <v>198000</v>
      </c>
      <c r="DB3223" s="6" t="s">
        <v>241</v>
      </c>
      <c r="DC3223" s="4" t="s">
        <v>241</v>
      </c>
      <c r="DD3223" s="4" t="s">
        <v>241</v>
      </c>
      <c r="DF3223" s="4" t="s">
        <v>241</v>
      </c>
      <c r="DG3223" s="6">
        <f>0</f>
        <v>0</v>
      </c>
      <c r="DH3223" s="5" t="s">
        <v>241</v>
      </c>
      <c r="DI3223" s="4" t="s">
        <v>241</v>
      </c>
      <c r="DJ3223" s="4" t="s">
        <v>241</v>
      </c>
      <c r="DK3223" s="4" t="s">
        <v>241</v>
      </c>
      <c r="DL3223" s="4" t="s">
        <v>241</v>
      </c>
      <c r="DM3223" s="4" t="s">
        <v>241</v>
      </c>
      <c r="DN3223" s="4" t="s">
        <v>241</v>
      </c>
      <c r="DO3223" s="6" t="s">
        <v>241</v>
      </c>
      <c r="DP3223" s="4" t="s">
        <v>241</v>
      </c>
      <c r="DQ3223" s="4" t="s">
        <v>247</v>
      </c>
      <c r="DR3223" s="4" t="s">
        <v>5557</v>
      </c>
      <c r="DS3223" s="4" t="s">
        <v>5557</v>
      </c>
      <c r="DT3223" s="4" t="s">
        <v>241</v>
      </c>
      <c r="DU3223" s="4" t="s">
        <v>241</v>
      </c>
      <c r="GN3223" s="4" t="s">
        <v>5570</v>
      </c>
      <c r="HR3223" s="4" t="s">
        <v>241</v>
      </c>
      <c r="HS3223" s="4" t="s">
        <v>241</v>
      </c>
      <c r="HT3223" s="4" t="s">
        <v>241</v>
      </c>
      <c r="HU3223" s="4" t="s">
        <v>241</v>
      </c>
      <c r="HV3223" s="4" t="s">
        <v>241</v>
      </c>
      <c r="HW3223" s="4" t="s">
        <v>241</v>
      </c>
      <c r="HX3223" s="4" t="s">
        <v>241</v>
      </c>
      <c r="HY3223" s="4" t="s">
        <v>241</v>
      </c>
      <c r="HZ3223" s="4" t="s">
        <v>241</v>
      </c>
      <c r="IA3223" s="4" t="s">
        <v>241</v>
      </c>
      <c r="IB3223" s="4" t="s">
        <v>241</v>
      </c>
      <c r="IC3223" s="4" t="s">
        <v>241</v>
      </c>
      <c r="ID3223" s="4" t="s">
        <v>241</v>
      </c>
      <c r="IE3223" s="4" t="s">
        <v>241</v>
      </c>
      <c r="IF3223" s="4" t="s">
        <v>241</v>
      </c>
    </row>
    <row r="3224" spans="1:240" ht="19.5" customHeight="1" x14ac:dyDescent="0.4">
      <c r="A3224" s="4">
        <v>1</v>
      </c>
      <c r="B3224" s="4" t="s">
        <v>239</v>
      </c>
      <c r="C3224" s="4">
        <v>8587</v>
      </c>
      <c r="D3224" s="4">
        <v>1</v>
      </c>
      <c r="E3224" s="4">
        <v>3</v>
      </c>
      <c r="F3224" s="4" t="s">
        <v>241</v>
      </c>
      <c r="I3224" s="4" t="s">
        <v>272</v>
      </c>
      <c r="J3224" s="4" t="s">
        <v>274</v>
      </c>
      <c r="K3224" s="4" t="s">
        <v>251</v>
      </c>
      <c r="L3224" s="4" t="s">
        <v>5621</v>
      </c>
      <c r="M3224" s="5" t="s">
        <v>5623</v>
      </c>
      <c r="N3224" s="6">
        <f>1</f>
        <v>1</v>
      </c>
      <c r="O3224" s="4" t="s">
        <v>5578</v>
      </c>
      <c r="P3224" s="6">
        <f>17114564</f>
        <v>17114564</v>
      </c>
      <c r="Q3224" s="6">
        <f>0</f>
        <v>0</v>
      </c>
      <c r="R3224" s="6">
        <f>0</f>
        <v>0</v>
      </c>
      <c r="S3224" s="6">
        <f>17114564</f>
        <v>17114564</v>
      </c>
      <c r="T3224" s="6">
        <f>17114564</f>
        <v>17114564</v>
      </c>
      <c r="U3224" s="5" t="s">
        <v>5622</v>
      </c>
      <c r="V3224" s="4" t="s">
        <v>270</v>
      </c>
      <c r="W3224" s="4" t="s">
        <v>241</v>
      </c>
      <c r="X3224" s="4" t="s">
        <v>241</v>
      </c>
      <c r="Y3224" s="4" t="s">
        <v>241</v>
      </c>
      <c r="AB3224" s="4" t="s">
        <v>3144</v>
      </c>
      <c r="AC3224" s="5" t="s">
        <v>241</v>
      </c>
      <c r="AD3224" s="5" t="s">
        <v>241</v>
      </c>
      <c r="AE3224" s="4" t="s">
        <v>241</v>
      </c>
      <c r="AF3224" s="5" t="s">
        <v>241</v>
      </c>
      <c r="AG3224" s="5" t="s">
        <v>5622</v>
      </c>
      <c r="AH3224" s="4" t="s">
        <v>241</v>
      </c>
      <c r="AI3224" s="4" t="s">
        <v>247</v>
      </c>
      <c r="AJ3224" s="4" t="s">
        <v>241</v>
      </c>
      <c r="AP3224" s="4" t="s">
        <v>241</v>
      </c>
      <c r="AQ3224" s="4" t="s">
        <v>241</v>
      </c>
      <c r="AR3224" s="4" t="s">
        <v>241</v>
      </c>
      <c r="AS3224" s="5" t="s">
        <v>241</v>
      </c>
      <c r="AT3224" s="5" t="s">
        <v>241</v>
      </c>
      <c r="AU3224" s="5" t="s">
        <v>241</v>
      </c>
      <c r="AX3224" s="4" t="s">
        <v>5562</v>
      </c>
      <c r="AY3224" s="4" t="s">
        <v>5562</v>
      </c>
      <c r="AZ3224" s="4" t="s">
        <v>249</v>
      </c>
      <c r="BA3224" s="4" t="s">
        <v>5549</v>
      </c>
      <c r="BB3224" s="4" t="s">
        <v>250</v>
      </c>
      <c r="BC3224" s="4" t="s">
        <v>241</v>
      </c>
      <c r="BD3224" s="4" t="s">
        <v>252</v>
      </c>
      <c r="BE3224" s="4" t="s">
        <v>5557</v>
      </c>
      <c r="BI3224" s="4" t="s">
        <v>5550</v>
      </c>
      <c r="BJ3224" s="5" t="s">
        <v>5607</v>
      </c>
      <c r="BK3224" s="4" t="s">
        <v>5564</v>
      </c>
      <c r="BL3224" s="4" t="s">
        <v>5565</v>
      </c>
      <c r="BM3224" s="4" t="s">
        <v>241</v>
      </c>
      <c r="BN3224" s="6">
        <f>0</f>
        <v>0</v>
      </c>
      <c r="BO3224" s="6">
        <f>96000</f>
        <v>96000</v>
      </c>
      <c r="BP3224" s="4" t="s">
        <v>256</v>
      </c>
      <c r="BQ3224" s="4" t="s">
        <v>257</v>
      </c>
      <c r="BR3224" s="4" t="s">
        <v>5566</v>
      </c>
      <c r="BS3224" s="4" t="s">
        <v>5567</v>
      </c>
      <c r="BT3224" s="4" t="s">
        <v>5576</v>
      </c>
      <c r="BU3224" s="4" t="s">
        <v>241</v>
      </c>
      <c r="BV3224" s="4" t="s">
        <v>256</v>
      </c>
      <c r="BW3224" s="4" t="s">
        <v>5568</v>
      </c>
      <c r="BX3224" s="4" t="s">
        <v>5568</v>
      </c>
      <c r="BZ3224" s="5" t="s">
        <v>5624</v>
      </c>
      <c r="CA3224" s="4" t="s">
        <v>256</v>
      </c>
      <c r="CB3224" s="4" t="s">
        <v>241</v>
      </c>
      <c r="CC3224" s="4" t="s">
        <v>241</v>
      </c>
      <c r="CD3224" s="4" t="s">
        <v>257</v>
      </c>
      <c r="CE3224" s="4" t="s">
        <v>241</v>
      </c>
      <c r="CF3224" s="4" t="s">
        <v>241</v>
      </c>
      <c r="CJ3224" s="4" t="s">
        <v>241</v>
      </c>
      <c r="CK3224" s="4" t="s">
        <v>241</v>
      </c>
      <c r="CL3224" s="4" t="s">
        <v>264</v>
      </c>
      <c r="CN3224" s="4" t="s">
        <v>241</v>
      </c>
      <c r="CO3224" s="5" t="s">
        <v>260</v>
      </c>
      <c r="CP3224" s="4" t="s">
        <v>5552</v>
      </c>
      <c r="CQ3224" s="4" t="s">
        <v>5553</v>
      </c>
      <c r="CR3224" s="4" t="s">
        <v>5554</v>
      </c>
      <c r="CS3224" s="4" t="s">
        <v>241</v>
      </c>
      <c r="CT3224" s="4">
        <v>0</v>
      </c>
      <c r="CU3224" s="4" t="s">
        <v>241</v>
      </c>
      <c r="CV3224" s="4" t="s">
        <v>241</v>
      </c>
      <c r="CW3224" s="4" t="s">
        <v>241</v>
      </c>
      <c r="CX3224" s="4" t="s">
        <v>264</v>
      </c>
      <c r="CY3224" s="4" t="s">
        <v>241</v>
      </c>
      <c r="CZ3224" s="6">
        <f>17114564</f>
        <v>17114564</v>
      </c>
      <c r="DA3224" s="6">
        <f>17114564</f>
        <v>17114564</v>
      </c>
      <c r="DB3224" s="6" t="s">
        <v>241</v>
      </c>
      <c r="DC3224" s="4" t="s">
        <v>241</v>
      </c>
      <c r="DD3224" s="4" t="s">
        <v>241</v>
      </c>
      <c r="DF3224" s="4" t="s">
        <v>241</v>
      </c>
      <c r="DG3224" s="6">
        <f>0</f>
        <v>0</v>
      </c>
      <c r="DH3224" s="5" t="s">
        <v>241</v>
      </c>
      <c r="DI3224" s="4" t="s">
        <v>241</v>
      </c>
      <c r="DJ3224" s="4" t="s">
        <v>241</v>
      </c>
      <c r="DK3224" s="4" t="s">
        <v>241</v>
      </c>
      <c r="DL3224" s="4" t="s">
        <v>241</v>
      </c>
      <c r="DM3224" s="4" t="s">
        <v>241</v>
      </c>
      <c r="DN3224" s="4" t="s">
        <v>241</v>
      </c>
      <c r="DO3224" s="6" t="s">
        <v>241</v>
      </c>
      <c r="DP3224" s="4" t="s">
        <v>241</v>
      </c>
      <c r="DQ3224" s="4" t="s">
        <v>247</v>
      </c>
      <c r="DR3224" s="4" t="s">
        <v>5557</v>
      </c>
      <c r="DS3224" s="4" t="s">
        <v>5557</v>
      </c>
      <c r="DT3224" s="4" t="s">
        <v>241</v>
      </c>
      <c r="DU3224" s="4" t="s">
        <v>241</v>
      </c>
      <c r="GN3224" s="4" t="s">
        <v>5625</v>
      </c>
      <c r="HR3224" s="4" t="s">
        <v>241</v>
      </c>
      <c r="HS3224" s="4" t="s">
        <v>241</v>
      </c>
      <c r="HT3224" s="4" t="s">
        <v>241</v>
      </c>
      <c r="HU3224" s="4" t="s">
        <v>241</v>
      </c>
      <c r="HV3224" s="4" t="s">
        <v>241</v>
      </c>
      <c r="HW3224" s="4" t="s">
        <v>241</v>
      </c>
      <c r="HX3224" s="4" t="s">
        <v>241</v>
      </c>
      <c r="HY3224" s="4" t="s">
        <v>241</v>
      </c>
      <c r="HZ3224" s="4" t="s">
        <v>241</v>
      </c>
      <c r="IA3224" s="4" t="s">
        <v>241</v>
      </c>
      <c r="IB3224" s="4" t="s">
        <v>241</v>
      </c>
      <c r="IC3224" s="4" t="s">
        <v>241</v>
      </c>
      <c r="ID3224" s="4" t="s">
        <v>241</v>
      </c>
      <c r="IE3224" s="4" t="s">
        <v>241</v>
      </c>
      <c r="IF3224" s="4" t="s">
        <v>241</v>
      </c>
    </row>
    <row r="3225" spans="1:240" ht="19.5" customHeight="1" x14ac:dyDescent="0.4">
      <c r="A3225" s="4">
        <v>1</v>
      </c>
      <c r="B3225" s="4" t="s">
        <v>239</v>
      </c>
      <c r="C3225" s="4">
        <v>8588</v>
      </c>
      <c r="D3225" s="4">
        <v>1</v>
      </c>
      <c r="E3225" s="4">
        <v>2</v>
      </c>
      <c r="F3225" s="4" t="s">
        <v>241</v>
      </c>
      <c r="I3225" s="4" t="s">
        <v>241</v>
      </c>
      <c r="J3225" s="4" t="s">
        <v>274</v>
      </c>
      <c r="K3225" s="4" t="s">
        <v>251</v>
      </c>
      <c r="L3225" s="4" t="s">
        <v>5580</v>
      </c>
      <c r="M3225" s="5" t="s">
        <v>5582</v>
      </c>
      <c r="N3225" s="6">
        <f>1</f>
        <v>1</v>
      </c>
      <c r="O3225" s="4" t="s">
        <v>5578</v>
      </c>
      <c r="P3225" s="6">
        <f>29278612</f>
        <v>29278612</v>
      </c>
      <c r="Q3225" s="6">
        <f>0</f>
        <v>0</v>
      </c>
      <c r="R3225" s="6">
        <f>0</f>
        <v>0</v>
      </c>
      <c r="S3225" s="6">
        <f>29278612</f>
        <v>29278612</v>
      </c>
      <c r="T3225" s="6">
        <f>29278612</f>
        <v>29278612</v>
      </c>
      <c r="U3225" s="5" t="s">
        <v>5581</v>
      </c>
      <c r="V3225" s="4" t="s">
        <v>270</v>
      </c>
      <c r="W3225" s="4" t="s">
        <v>241</v>
      </c>
      <c r="X3225" s="4" t="s">
        <v>241</v>
      </c>
      <c r="Y3225" s="4" t="s">
        <v>241</v>
      </c>
      <c r="AB3225" s="4" t="s">
        <v>3144</v>
      </c>
      <c r="AC3225" s="5" t="s">
        <v>241</v>
      </c>
      <c r="AD3225" s="5" t="s">
        <v>241</v>
      </c>
      <c r="AE3225" s="4" t="s">
        <v>241</v>
      </c>
      <c r="AF3225" s="5" t="s">
        <v>241</v>
      </c>
      <c r="AG3225" s="5" t="s">
        <v>5581</v>
      </c>
      <c r="AH3225" s="4" t="s">
        <v>5573</v>
      </c>
      <c r="AI3225" s="4" t="s">
        <v>247</v>
      </c>
      <c r="AJ3225" s="4" t="s">
        <v>241</v>
      </c>
      <c r="AP3225" s="4" t="s">
        <v>241</v>
      </c>
      <c r="AQ3225" s="4" t="s">
        <v>241</v>
      </c>
      <c r="AR3225" s="4" t="s">
        <v>241</v>
      </c>
      <c r="AS3225" s="5" t="s">
        <v>241</v>
      </c>
      <c r="AT3225" s="5" t="s">
        <v>241</v>
      </c>
      <c r="AU3225" s="5" t="s">
        <v>241</v>
      </c>
      <c r="AX3225" s="4" t="s">
        <v>5562</v>
      </c>
      <c r="AY3225" s="4" t="s">
        <v>5562</v>
      </c>
      <c r="AZ3225" s="4" t="s">
        <v>249</v>
      </c>
      <c r="BA3225" s="4" t="s">
        <v>5549</v>
      </c>
      <c r="BB3225" s="4" t="s">
        <v>250</v>
      </c>
      <c r="BC3225" s="4" t="s">
        <v>241</v>
      </c>
      <c r="BD3225" s="4" t="s">
        <v>252</v>
      </c>
      <c r="BE3225" s="4" t="s">
        <v>5557</v>
      </c>
      <c r="BI3225" s="4" t="s">
        <v>5550</v>
      </c>
      <c r="BJ3225" s="5" t="s">
        <v>5583</v>
      </c>
      <c r="BK3225" s="4" t="s">
        <v>5564</v>
      </c>
      <c r="BL3225" s="4" t="s">
        <v>5565</v>
      </c>
      <c r="BM3225" s="4" t="s">
        <v>241</v>
      </c>
      <c r="BN3225" s="6">
        <f>0</f>
        <v>0</v>
      </c>
      <c r="BO3225" s="6">
        <f>326269</f>
        <v>326269</v>
      </c>
      <c r="BP3225" s="4" t="s">
        <v>256</v>
      </c>
      <c r="BQ3225" s="4" t="s">
        <v>257</v>
      </c>
      <c r="BR3225" s="4" t="s">
        <v>5566</v>
      </c>
      <c r="BS3225" s="4" t="s">
        <v>5567</v>
      </c>
      <c r="BT3225" s="4" t="s">
        <v>5576</v>
      </c>
      <c r="BU3225" s="4" t="s">
        <v>241</v>
      </c>
      <c r="BV3225" s="4" t="s">
        <v>256</v>
      </c>
      <c r="BW3225" s="4" t="s">
        <v>5568</v>
      </c>
      <c r="BX3225" s="4" t="s">
        <v>5568</v>
      </c>
      <c r="BZ3225" s="5" t="s">
        <v>5584</v>
      </c>
      <c r="CA3225" s="4" t="s">
        <v>256</v>
      </c>
      <c r="CB3225" s="4" t="s">
        <v>241</v>
      </c>
      <c r="CC3225" s="4" t="s">
        <v>241</v>
      </c>
      <c r="CD3225" s="4" t="s">
        <v>257</v>
      </c>
      <c r="CE3225" s="4" t="s">
        <v>241</v>
      </c>
      <c r="CF3225" s="4" t="s">
        <v>241</v>
      </c>
      <c r="CJ3225" s="4" t="s">
        <v>241</v>
      </c>
      <c r="CK3225" s="4" t="s">
        <v>241</v>
      </c>
      <c r="CL3225" s="4" t="s">
        <v>264</v>
      </c>
      <c r="CN3225" s="4" t="s">
        <v>241</v>
      </c>
      <c r="CO3225" s="5" t="s">
        <v>260</v>
      </c>
      <c r="CP3225" s="4" t="s">
        <v>5552</v>
      </c>
      <c r="CQ3225" s="4" t="s">
        <v>5553</v>
      </c>
      <c r="CR3225" s="4" t="s">
        <v>5554</v>
      </c>
      <c r="CS3225" s="4" t="s">
        <v>241</v>
      </c>
      <c r="CT3225" s="4">
        <v>0</v>
      </c>
      <c r="CU3225" s="4" t="s">
        <v>241</v>
      </c>
      <c r="CV3225" s="4" t="s">
        <v>241</v>
      </c>
      <c r="CW3225" s="4" t="s">
        <v>241</v>
      </c>
      <c r="CX3225" s="4" t="s">
        <v>264</v>
      </c>
      <c r="CY3225" s="4" t="s">
        <v>241</v>
      </c>
      <c r="CZ3225" s="6">
        <f>29278612</f>
        <v>29278612</v>
      </c>
      <c r="DA3225" s="6">
        <f>29278612</f>
        <v>29278612</v>
      </c>
      <c r="DB3225" s="6" t="s">
        <v>241</v>
      </c>
      <c r="DC3225" s="4" t="s">
        <v>241</v>
      </c>
      <c r="DD3225" s="4" t="s">
        <v>241</v>
      </c>
      <c r="DF3225" s="4" t="s">
        <v>241</v>
      </c>
      <c r="DG3225" s="6">
        <f>0</f>
        <v>0</v>
      </c>
      <c r="DH3225" s="5" t="s">
        <v>241</v>
      </c>
      <c r="DI3225" s="4" t="s">
        <v>241</v>
      </c>
      <c r="DJ3225" s="4" t="s">
        <v>241</v>
      </c>
      <c r="DK3225" s="4" t="s">
        <v>241</v>
      </c>
      <c r="DL3225" s="4" t="s">
        <v>241</v>
      </c>
      <c r="DM3225" s="4" t="s">
        <v>241</v>
      </c>
      <c r="DN3225" s="4" t="s">
        <v>241</v>
      </c>
      <c r="DO3225" s="6" t="s">
        <v>241</v>
      </c>
      <c r="DP3225" s="4" t="s">
        <v>241</v>
      </c>
      <c r="DQ3225" s="4" t="s">
        <v>247</v>
      </c>
      <c r="DR3225" s="4" t="s">
        <v>5557</v>
      </c>
      <c r="DS3225" s="4" t="s">
        <v>5557</v>
      </c>
      <c r="DT3225" s="4" t="s">
        <v>241</v>
      </c>
      <c r="DU3225" s="4" t="s">
        <v>241</v>
      </c>
      <c r="GN3225" s="4" t="s">
        <v>5585</v>
      </c>
      <c r="HR3225" s="4" t="s">
        <v>241</v>
      </c>
      <c r="HS3225" s="4" t="s">
        <v>241</v>
      </c>
      <c r="HT3225" s="4" t="s">
        <v>241</v>
      </c>
      <c r="HU3225" s="4" t="s">
        <v>241</v>
      </c>
      <c r="HV3225" s="4" t="s">
        <v>241</v>
      </c>
      <c r="HW3225" s="4" t="s">
        <v>241</v>
      </c>
      <c r="HX3225" s="4" t="s">
        <v>241</v>
      </c>
      <c r="HY3225" s="4" t="s">
        <v>241</v>
      </c>
      <c r="HZ3225" s="4" t="s">
        <v>241</v>
      </c>
      <c r="IA3225" s="4" t="s">
        <v>241</v>
      </c>
      <c r="IB3225" s="4" t="s">
        <v>241</v>
      </c>
      <c r="IC3225" s="4" t="s">
        <v>241</v>
      </c>
      <c r="ID3225" s="4" t="s">
        <v>241</v>
      </c>
      <c r="IE3225" s="4" t="s">
        <v>241</v>
      </c>
      <c r="IF3225" s="4" t="s">
        <v>241</v>
      </c>
    </row>
    <row r="3226" spans="1:240" ht="19.5" customHeight="1" x14ac:dyDescent="0.4">
      <c r="A3226" s="4">
        <v>1</v>
      </c>
      <c r="B3226" s="4" t="s">
        <v>239</v>
      </c>
      <c r="C3226" s="4">
        <v>8589</v>
      </c>
      <c r="D3226" s="4">
        <v>1</v>
      </c>
      <c r="E3226" s="4">
        <v>2</v>
      </c>
      <c r="F3226" s="4" t="s">
        <v>241</v>
      </c>
      <c r="I3226" s="4" t="s">
        <v>241</v>
      </c>
      <c r="J3226" s="4" t="s">
        <v>274</v>
      </c>
      <c r="K3226" s="4" t="s">
        <v>251</v>
      </c>
      <c r="L3226" s="4" t="s">
        <v>5665</v>
      </c>
      <c r="N3226" s="6">
        <f>1</f>
        <v>1</v>
      </c>
      <c r="O3226" s="4" t="s">
        <v>5578</v>
      </c>
      <c r="P3226" s="6">
        <f>364000</f>
        <v>364000</v>
      </c>
      <c r="Q3226" s="6">
        <f>0</f>
        <v>0</v>
      </c>
      <c r="R3226" s="6">
        <f>0</f>
        <v>0</v>
      </c>
      <c r="S3226" s="6">
        <f>364000</f>
        <v>364000</v>
      </c>
      <c r="T3226" s="6">
        <f>364000</f>
        <v>364000</v>
      </c>
      <c r="U3226" s="5" t="s">
        <v>5666</v>
      </c>
      <c r="V3226" s="4" t="s">
        <v>270</v>
      </c>
      <c r="W3226" s="4" t="s">
        <v>241</v>
      </c>
      <c r="X3226" s="4" t="s">
        <v>241</v>
      </c>
      <c r="Y3226" s="4" t="s">
        <v>241</v>
      </c>
      <c r="AB3226" s="4" t="s">
        <v>3144</v>
      </c>
      <c r="AC3226" s="5" t="s">
        <v>241</v>
      </c>
      <c r="AD3226" s="5" t="s">
        <v>241</v>
      </c>
      <c r="AE3226" s="4" t="s">
        <v>241</v>
      </c>
      <c r="AF3226" s="5" t="s">
        <v>241</v>
      </c>
      <c r="AG3226" s="5" t="s">
        <v>5666</v>
      </c>
      <c r="AH3226" s="4" t="s">
        <v>5573</v>
      </c>
      <c r="AI3226" s="4" t="s">
        <v>247</v>
      </c>
      <c r="AJ3226" s="4" t="s">
        <v>241</v>
      </c>
      <c r="AP3226" s="4" t="s">
        <v>241</v>
      </c>
      <c r="AQ3226" s="4" t="s">
        <v>241</v>
      </c>
      <c r="AR3226" s="4" t="s">
        <v>241</v>
      </c>
      <c r="AS3226" s="5" t="s">
        <v>241</v>
      </c>
      <c r="AT3226" s="5" t="s">
        <v>241</v>
      </c>
      <c r="AU3226" s="5" t="s">
        <v>241</v>
      </c>
      <c r="AX3226" s="4" t="s">
        <v>5562</v>
      </c>
      <c r="AY3226" s="4" t="s">
        <v>5562</v>
      </c>
      <c r="AZ3226" s="4" t="s">
        <v>249</v>
      </c>
      <c r="BA3226" s="4" t="s">
        <v>5549</v>
      </c>
      <c r="BB3226" s="4" t="s">
        <v>250</v>
      </c>
      <c r="BC3226" s="4" t="s">
        <v>241</v>
      </c>
      <c r="BD3226" s="4" t="s">
        <v>252</v>
      </c>
      <c r="BE3226" s="4" t="s">
        <v>5557</v>
      </c>
      <c r="BI3226" s="4" t="s">
        <v>5550</v>
      </c>
      <c r="BJ3226" s="5" t="s">
        <v>5667</v>
      </c>
      <c r="BK3226" s="4" t="s">
        <v>5564</v>
      </c>
      <c r="BL3226" s="4" t="s">
        <v>5565</v>
      </c>
      <c r="BM3226" s="4" t="s">
        <v>241</v>
      </c>
      <c r="BN3226" s="6">
        <f>0</f>
        <v>0</v>
      </c>
      <c r="BO3226" s="6">
        <f>364000</f>
        <v>364000</v>
      </c>
      <c r="BP3226" s="4" t="s">
        <v>256</v>
      </c>
      <c r="BQ3226" s="4" t="s">
        <v>257</v>
      </c>
      <c r="BR3226" s="4" t="s">
        <v>5566</v>
      </c>
      <c r="BS3226" s="4" t="s">
        <v>5567</v>
      </c>
      <c r="BT3226" s="4" t="s">
        <v>5576</v>
      </c>
      <c r="BU3226" s="4" t="s">
        <v>241</v>
      </c>
      <c r="BV3226" s="4" t="s">
        <v>256</v>
      </c>
      <c r="BW3226" s="4" t="s">
        <v>5568</v>
      </c>
      <c r="BX3226" s="4" t="s">
        <v>5568</v>
      </c>
      <c r="BZ3226" s="5" t="s">
        <v>5668</v>
      </c>
      <c r="CA3226" s="4" t="s">
        <v>256</v>
      </c>
      <c r="CB3226" s="4" t="s">
        <v>241</v>
      </c>
      <c r="CC3226" s="4" t="s">
        <v>241</v>
      </c>
      <c r="CD3226" s="4" t="s">
        <v>257</v>
      </c>
      <c r="CE3226" s="4" t="s">
        <v>241</v>
      </c>
      <c r="CF3226" s="4" t="s">
        <v>241</v>
      </c>
      <c r="CJ3226" s="4" t="s">
        <v>241</v>
      </c>
      <c r="CK3226" s="4" t="s">
        <v>241</v>
      </c>
      <c r="CL3226" s="4" t="s">
        <v>264</v>
      </c>
      <c r="CN3226" s="4" t="s">
        <v>241</v>
      </c>
      <c r="CO3226" s="5" t="s">
        <v>260</v>
      </c>
      <c r="CP3226" s="4" t="s">
        <v>5552</v>
      </c>
      <c r="CQ3226" s="4" t="s">
        <v>5553</v>
      </c>
      <c r="CR3226" s="4" t="s">
        <v>5554</v>
      </c>
      <c r="CS3226" s="4" t="s">
        <v>241</v>
      </c>
      <c r="CT3226" s="4">
        <v>0</v>
      </c>
      <c r="CU3226" s="4" t="s">
        <v>241</v>
      </c>
      <c r="CV3226" s="4" t="s">
        <v>241</v>
      </c>
      <c r="CW3226" s="4" t="s">
        <v>241</v>
      </c>
      <c r="CX3226" s="4" t="s">
        <v>264</v>
      </c>
      <c r="CY3226" s="4" t="s">
        <v>241</v>
      </c>
      <c r="CZ3226" s="6">
        <f>364000</f>
        <v>364000</v>
      </c>
      <c r="DA3226" s="6">
        <f>364000</f>
        <v>364000</v>
      </c>
      <c r="DB3226" s="6" t="s">
        <v>241</v>
      </c>
      <c r="DC3226" s="4" t="s">
        <v>241</v>
      </c>
      <c r="DD3226" s="4" t="s">
        <v>241</v>
      </c>
      <c r="DF3226" s="4" t="s">
        <v>241</v>
      </c>
      <c r="DG3226" s="6">
        <f>0</f>
        <v>0</v>
      </c>
      <c r="DH3226" s="5" t="s">
        <v>241</v>
      </c>
      <c r="DI3226" s="4" t="s">
        <v>241</v>
      </c>
      <c r="DJ3226" s="4" t="s">
        <v>241</v>
      </c>
      <c r="DK3226" s="4" t="s">
        <v>241</v>
      </c>
      <c r="DL3226" s="4" t="s">
        <v>241</v>
      </c>
      <c r="DM3226" s="4" t="s">
        <v>241</v>
      </c>
      <c r="DN3226" s="4" t="s">
        <v>241</v>
      </c>
      <c r="DO3226" s="6" t="s">
        <v>241</v>
      </c>
      <c r="DP3226" s="4" t="s">
        <v>241</v>
      </c>
      <c r="DQ3226" s="4" t="s">
        <v>247</v>
      </c>
      <c r="DR3226" s="4" t="s">
        <v>5557</v>
      </c>
      <c r="DS3226" s="4" t="s">
        <v>5557</v>
      </c>
      <c r="DT3226" s="4" t="s">
        <v>241</v>
      </c>
      <c r="DU3226" s="4" t="s">
        <v>241</v>
      </c>
      <c r="GN3226" s="4" t="s">
        <v>5669</v>
      </c>
      <c r="HR3226" s="4" t="s">
        <v>241</v>
      </c>
      <c r="HS3226" s="4" t="s">
        <v>241</v>
      </c>
      <c r="HT3226" s="4" t="s">
        <v>241</v>
      </c>
      <c r="HU3226" s="4" t="s">
        <v>241</v>
      </c>
      <c r="HV3226" s="4" t="s">
        <v>241</v>
      </c>
      <c r="HW3226" s="4" t="s">
        <v>241</v>
      </c>
      <c r="HX3226" s="4" t="s">
        <v>241</v>
      </c>
      <c r="HY3226" s="4" t="s">
        <v>241</v>
      </c>
      <c r="HZ3226" s="4" t="s">
        <v>241</v>
      </c>
      <c r="IA3226" s="4" t="s">
        <v>241</v>
      </c>
      <c r="IB3226" s="4" t="s">
        <v>241</v>
      </c>
      <c r="IC3226" s="4" t="s">
        <v>241</v>
      </c>
      <c r="ID3226" s="4" t="s">
        <v>241</v>
      </c>
      <c r="IE3226" s="4" t="s">
        <v>241</v>
      </c>
      <c r="IF3226" s="4" t="s">
        <v>241</v>
      </c>
    </row>
    <row r="3227" spans="1:240" ht="19.5" customHeight="1" x14ac:dyDescent="0.4">
      <c r="A3227" s="4">
        <v>1</v>
      </c>
      <c r="B3227" s="4" t="s">
        <v>239</v>
      </c>
      <c r="C3227" s="4">
        <v>8590</v>
      </c>
      <c r="D3227" s="4">
        <v>1</v>
      </c>
      <c r="E3227" s="4">
        <v>2</v>
      </c>
      <c r="F3227" s="4" t="s">
        <v>241</v>
      </c>
      <c r="I3227" s="4" t="s">
        <v>241</v>
      </c>
      <c r="J3227" s="4" t="s">
        <v>274</v>
      </c>
      <c r="K3227" s="4" t="s">
        <v>251</v>
      </c>
      <c r="L3227" s="4" t="s">
        <v>5571</v>
      </c>
      <c r="M3227" s="5" t="s">
        <v>5574</v>
      </c>
      <c r="N3227" s="6">
        <f>1</f>
        <v>1</v>
      </c>
      <c r="O3227" s="4" t="s">
        <v>5578</v>
      </c>
      <c r="P3227" s="6">
        <f>576400</f>
        <v>576400</v>
      </c>
      <c r="Q3227" s="6">
        <f>0</f>
        <v>0</v>
      </c>
      <c r="R3227" s="6">
        <f>0</f>
        <v>0</v>
      </c>
      <c r="S3227" s="6">
        <f>576400</f>
        <v>576400</v>
      </c>
      <c r="T3227" s="6">
        <f>576400</f>
        <v>576400</v>
      </c>
      <c r="U3227" s="5" t="s">
        <v>5572</v>
      </c>
      <c r="V3227" s="4" t="s">
        <v>270</v>
      </c>
      <c r="W3227" s="4" t="s">
        <v>241</v>
      </c>
      <c r="X3227" s="4" t="s">
        <v>241</v>
      </c>
      <c r="Y3227" s="4" t="s">
        <v>241</v>
      </c>
      <c r="AB3227" s="4" t="s">
        <v>3144</v>
      </c>
      <c r="AC3227" s="5" t="s">
        <v>241</v>
      </c>
      <c r="AD3227" s="5" t="s">
        <v>241</v>
      </c>
      <c r="AE3227" s="4" t="s">
        <v>241</v>
      </c>
      <c r="AF3227" s="5" t="s">
        <v>241</v>
      </c>
      <c r="AG3227" s="5" t="s">
        <v>5572</v>
      </c>
      <c r="AH3227" s="4" t="s">
        <v>5573</v>
      </c>
      <c r="AI3227" s="4" t="s">
        <v>247</v>
      </c>
      <c r="AJ3227" s="4" t="s">
        <v>241</v>
      </c>
      <c r="AP3227" s="4" t="s">
        <v>241</v>
      </c>
      <c r="AQ3227" s="4" t="s">
        <v>241</v>
      </c>
      <c r="AR3227" s="4" t="s">
        <v>241</v>
      </c>
      <c r="AS3227" s="5" t="s">
        <v>241</v>
      </c>
      <c r="AT3227" s="5" t="s">
        <v>241</v>
      </c>
      <c r="AU3227" s="5" t="s">
        <v>241</v>
      </c>
      <c r="AX3227" s="4" t="s">
        <v>5562</v>
      </c>
      <c r="AY3227" s="4" t="s">
        <v>5562</v>
      </c>
      <c r="AZ3227" s="4" t="s">
        <v>249</v>
      </c>
      <c r="BA3227" s="4" t="s">
        <v>5549</v>
      </c>
      <c r="BB3227" s="4" t="s">
        <v>250</v>
      </c>
      <c r="BC3227" s="4" t="s">
        <v>241</v>
      </c>
      <c r="BD3227" s="4" t="s">
        <v>252</v>
      </c>
      <c r="BE3227" s="4" t="s">
        <v>5557</v>
      </c>
      <c r="BI3227" s="4" t="s">
        <v>5550</v>
      </c>
      <c r="BJ3227" s="5" t="s">
        <v>5575</v>
      </c>
      <c r="BK3227" s="4" t="s">
        <v>5564</v>
      </c>
      <c r="BL3227" s="4" t="s">
        <v>5565</v>
      </c>
      <c r="BM3227" s="4" t="s">
        <v>241</v>
      </c>
      <c r="BN3227" s="6">
        <f>0</f>
        <v>0</v>
      </c>
      <c r="BO3227" s="6">
        <f>576400</f>
        <v>576400</v>
      </c>
      <c r="BP3227" s="4" t="s">
        <v>256</v>
      </c>
      <c r="BQ3227" s="4" t="s">
        <v>257</v>
      </c>
      <c r="BR3227" s="4" t="s">
        <v>5566</v>
      </c>
      <c r="BS3227" s="4" t="s">
        <v>5567</v>
      </c>
      <c r="BT3227" s="4" t="s">
        <v>5576</v>
      </c>
      <c r="BU3227" s="4" t="s">
        <v>241</v>
      </c>
      <c r="BV3227" s="4" t="s">
        <v>256</v>
      </c>
      <c r="BW3227" s="4" t="s">
        <v>5568</v>
      </c>
      <c r="BX3227" s="4" t="s">
        <v>5568</v>
      </c>
      <c r="BZ3227" s="5" t="s">
        <v>5577</v>
      </c>
      <c r="CA3227" s="4" t="s">
        <v>256</v>
      </c>
      <c r="CB3227" s="4" t="s">
        <v>241</v>
      </c>
      <c r="CC3227" s="4" t="s">
        <v>241</v>
      </c>
      <c r="CD3227" s="4" t="s">
        <v>257</v>
      </c>
      <c r="CE3227" s="4" t="s">
        <v>241</v>
      </c>
      <c r="CF3227" s="4" t="s">
        <v>241</v>
      </c>
      <c r="CJ3227" s="4" t="s">
        <v>241</v>
      </c>
      <c r="CK3227" s="4" t="s">
        <v>241</v>
      </c>
      <c r="CL3227" s="4" t="s">
        <v>264</v>
      </c>
      <c r="CN3227" s="4" t="s">
        <v>241</v>
      </c>
      <c r="CO3227" s="5" t="s">
        <v>260</v>
      </c>
      <c r="CP3227" s="4" t="s">
        <v>5552</v>
      </c>
      <c r="CQ3227" s="4" t="s">
        <v>5553</v>
      </c>
      <c r="CR3227" s="4" t="s">
        <v>5554</v>
      </c>
      <c r="CS3227" s="4" t="s">
        <v>241</v>
      </c>
      <c r="CT3227" s="4">
        <v>0</v>
      </c>
      <c r="CU3227" s="4" t="s">
        <v>241</v>
      </c>
      <c r="CV3227" s="4" t="s">
        <v>241</v>
      </c>
      <c r="CW3227" s="4" t="s">
        <v>241</v>
      </c>
      <c r="CX3227" s="4" t="s">
        <v>264</v>
      </c>
      <c r="CY3227" s="4" t="s">
        <v>241</v>
      </c>
      <c r="CZ3227" s="6">
        <f>576400</f>
        <v>576400</v>
      </c>
      <c r="DA3227" s="6">
        <f>576400</f>
        <v>576400</v>
      </c>
      <c r="DB3227" s="6" t="s">
        <v>241</v>
      </c>
      <c r="DC3227" s="4" t="s">
        <v>241</v>
      </c>
      <c r="DD3227" s="4" t="s">
        <v>241</v>
      </c>
      <c r="DF3227" s="4" t="s">
        <v>241</v>
      </c>
      <c r="DG3227" s="6">
        <f>0</f>
        <v>0</v>
      </c>
      <c r="DH3227" s="5" t="s">
        <v>241</v>
      </c>
      <c r="DI3227" s="4" t="s">
        <v>241</v>
      </c>
      <c r="DJ3227" s="4" t="s">
        <v>241</v>
      </c>
      <c r="DK3227" s="4" t="s">
        <v>241</v>
      </c>
      <c r="DL3227" s="4" t="s">
        <v>241</v>
      </c>
      <c r="DM3227" s="4" t="s">
        <v>241</v>
      </c>
      <c r="DN3227" s="4" t="s">
        <v>241</v>
      </c>
      <c r="DO3227" s="6" t="s">
        <v>241</v>
      </c>
      <c r="DP3227" s="4" t="s">
        <v>241</v>
      </c>
      <c r="DQ3227" s="4" t="s">
        <v>247</v>
      </c>
      <c r="DR3227" s="4" t="s">
        <v>5557</v>
      </c>
      <c r="DS3227" s="4" t="s">
        <v>5557</v>
      </c>
      <c r="DT3227" s="4" t="s">
        <v>241</v>
      </c>
      <c r="DU3227" s="4" t="s">
        <v>241</v>
      </c>
      <c r="GN3227" s="4" t="s">
        <v>5579</v>
      </c>
      <c r="HR3227" s="4" t="s">
        <v>241</v>
      </c>
      <c r="HS3227" s="4" t="s">
        <v>241</v>
      </c>
      <c r="HT3227" s="4" t="s">
        <v>241</v>
      </c>
      <c r="HU3227" s="4" t="s">
        <v>241</v>
      </c>
      <c r="HV3227" s="4" t="s">
        <v>241</v>
      </c>
      <c r="HW3227" s="4" t="s">
        <v>241</v>
      </c>
      <c r="HX3227" s="4" t="s">
        <v>241</v>
      </c>
      <c r="HY3227" s="4" t="s">
        <v>241</v>
      </c>
      <c r="HZ3227" s="4" t="s">
        <v>241</v>
      </c>
      <c r="IA3227" s="4" t="s">
        <v>241</v>
      </c>
      <c r="IB3227" s="4" t="s">
        <v>241</v>
      </c>
      <c r="IC3227" s="4" t="s">
        <v>241</v>
      </c>
      <c r="ID3227" s="4" t="s">
        <v>241</v>
      </c>
      <c r="IE3227" s="4" t="s">
        <v>241</v>
      </c>
      <c r="IF3227" s="4" t="s">
        <v>241</v>
      </c>
    </row>
    <row r="3228" spans="1:240" ht="19.5" customHeight="1" x14ac:dyDescent="0.4">
      <c r="A3228" s="4">
        <v>1</v>
      </c>
      <c r="B3228" s="4" t="s">
        <v>239</v>
      </c>
      <c r="C3228" s="4">
        <v>8591</v>
      </c>
      <c r="D3228" s="4">
        <v>1</v>
      </c>
      <c r="E3228" s="4">
        <v>2</v>
      </c>
      <c r="F3228" s="4" t="s">
        <v>241</v>
      </c>
      <c r="I3228" s="4" t="s">
        <v>241</v>
      </c>
      <c r="J3228" s="4" t="s">
        <v>274</v>
      </c>
      <c r="K3228" s="4" t="s">
        <v>251</v>
      </c>
      <c r="L3228" s="4" t="s">
        <v>5655</v>
      </c>
      <c r="N3228" s="6">
        <f>1</f>
        <v>1</v>
      </c>
      <c r="O3228" s="4" t="s">
        <v>5578</v>
      </c>
      <c r="P3228" s="6">
        <f>1246300</f>
        <v>1246300</v>
      </c>
      <c r="Q3228" s="6">
        <f>0</f>
        <v>0</v>
      </c>
      <c r="R3228" s="6">
        <f>0</f>
        <v>0</v>
      </c>
      <c r="S3228" s="6">
        <f>1246300</f>
        <v>1246300</v>
      </c>
      <c r="T3228" s="6">
        <f>1246300</f>
        <v>1246300</v>
      </c>
      <c r="U3228" s="5" t="s">
        <v>5656</v>
      </c>
      <c r="V3228" s="4" t="s">
        <v>270</v>
      </c>
      <c r="W3228" s="4" t="s">
        <v>241</v>
      </c>
      <c r="X3228" s="4" t="s">
        <v>241</v>
      </c>
      <c r="Y3228" s="4" t="s">
        <v>241</v>
      </c>
      <c r="AB3228" s="4" t="s">
        <v>3144</v>
      </c>
      <c r="AC3228" s="5" t="s">
        <v>241</v>
      </c>
      <c r="AD3228" s="5" t="s">
        <v>241</v>
      </c>
      <c r="AE3228" s="4" t="s">
        <v>241</v>
      </c>
      <c r="AF3228" s="5" t="s">
        <v>241</v>
      </c>
      <c r="AG3228" s="5" t="s">
        <v>5656</v>
      </c>
      <c r="AH3228" s="4" t="s">
        <v>5573</v>
      </c>
      <c r="AI3228" s="4" t="s">
        <v>247</v>
      </c>
      <c r="AJ3228" s="4" t="s">
        <v>241</v>
      </c>
      <c r="AP3228" s="4" t="s">
        <v>241</v>
      </c>
      <c r="AQ3228" s="4" t="s">
        <v>241</v>
      </c>
      <c r="AR3228" s="4" t="s">
        <v>241</v>
      </c>
      <c r="AS3228" s="5" t="s">
        <v>241</v>
      </c>
      <c r="AT3228" s="5" t="s">
        <v>241</v>
      </c>
      <c r="AU3228" s="5" t="s">
        <v>241</v>
      </c>
      <c r="AX3228" s="4" t="s">
        <v>5562</v>
      </c>
      <c r="AY3228" s="4" t="s">
        <v>5562</v>
      </c>
      <c r="AZ3228" s="4" t="s">
        <v>249</v>
      </c>
      <c r="BA3228" s="4" t="s">
        <v>5549</v>
      </c>
      <c r="BB3228" s="4" t="s">
        <v>250</v>
      </c>
      <c r="BC3228" s="4" t="s">
        <v>241</v>
      </c>
      <c r="BD3228" s="4" t="s">
        <v>252</v>
      </c>
      <c r="BE3228" s="4" t="s">
        <v>5557</v>
      </c>
      <c r="BI3228" s="4" t="s">
        <v>5550</v>
      </c>
      <c r="BJ3228" s="5" t="s">
        <v>5657</v>
      </c>
      <c r="BK3228" s="4" t="s">
        <v>5564</v>
      </c>
      <c r="BL3228" s="4" t="s">
        <v>5565</v>
      </c>
      <c r="BM3228" s="4" t="s">
        <v>241</v>
      </c>
      <c r="BN3228" s="6">
        <f>0</f>
        <v>0</v>
      </c>
      <c r="BO3228" s="6">
        <f>1246300</f>
        <v>1246300</v>
      </c>
      <c r="BP3228" s="4" t="s">
        <v>256</v>
      </c>
      <c r="BQ3228" s="4" t="s">
        <v>257</v>
      </c>
      <c r="BR3228" s="4" t="s">
        <v>5566</v>
      </c>
      <c r="BS3228" s="4" t="s">
        <v>5567</v>
      </c>
      <c r="BT3228" s="4" t="s">
        <v>5576</v>
      </c>
      <c r="BU3228" s="4" t="s">
        <v>241</v>
      </c>
      <c r="BV3228" s="4" t="s">
        <v>256</v>
      </c>
      <c r="BW3228" s="4" t="s">
        <v>5568</v>
      </c>
      <c r="BX3228" s="4" t="s">
        <v>5568</v>
      </c>
      <c r="BZ3228" s="5" t="s">
        <v>5658</v>
      </c>
      <c r="CA3228" s="4" t="s">
        <v>256</v>
      </c>
      <c r="CB3228" s="4" t="s">
        <v>241</v>
      </c>
      <c r="CC3228" s="4" t="s">
        <v>241</v>
      </c>
      <c r="CD3228" s="4" t="s">
        <v>257</v>
      </c>
      <c r="CE3228" s="4" t="s">
        <v>241</v>
      </c>
      <c r="CF3228" s="4" t="s">
        <v>241</v>
      </c>
      <c r="CJ3228" s="4" t="s">
        <v>241</v>
      </c>
      <c r="CK3228" s="4" t="s">
        <v>241</v>
      </c>
      <c r="CL3228" s="4" t="s">
        <v>264</v>
      </c>
      <c r="CN3228" s="4" t="s">
        <v>241</v>
      </c>
      <c r="CO3228" s="5" t="s">
        <v>260</v>
      </c>
      <c r="CP3228" s="4" t="s">
        <v>5552</v>
      </c>
      <c r="CQ3228" s="4" t="s">
        <v>5553</v>
      </c>
      <c r="CR3228" s="4" t="s">
        <v>5554</v>
      </c>
      <c r="CS3228" s="4" t="s">
        <v>241</v>
      </c>
      <c r="CT3228" s="4">
        <v>0</v>
      </c>
      <c r="CU3228" s="4" t="s">
        <v>241</v>
      </c>
      <c r="CV3228" s="4" t="s">
        <v>241</v>
      </c>
      <c r="CW3228" s="4" t="s">
        <v>241</v>
      </c>
      <c r="CX3228" s="4" t="s">
        <v>264</v>
      </c>
      <c r="CY3228" s="4" t="s">
        <v>241</v>
      </c>
      <c r="CZ3228" s="6">
        <f>1246300</f>
        <v>1246300</v>
      </c>
      <c r="DA3228" s="6">
        <f>1246300</f>
        <v>1246300</v>
      </c>
      <c r="DB3228" s="6" t="s">
        <v>241</v>
      </c>
      <c r="DC3228" s="4" t="s">
        <v>241</v>
      </c>
      <c r="DD3228" s="4" t="s">
        <v>241</v>
      </c>
      <c r="DF3228" s="4" t="s">
        <v>241</v>
      </c>
      <c r="DG3228" s="6">
        <f>0</f>
        <v>0</v>
      </c>
      <c r="DH3228" s="5" t="s">
        <v>241</v>
      </c>
      <c r="DI3228" s="4" t="s">
        <v>241</v>
      </c>
      <c r="DJ3228" s="4" t="s">
        <v>241</v>
      </c>
      <c r="DK3228" s="4" t="s">
        <v>241</v>
      </c>
      <c r="DL3228" s="4" t="s">
        <v>241</v>
      </c>
      <c r="DM3228" s="4" t="s">
        <v>241</v>
      </c>
      <c r="DN3228" s="4" t="s">
        <v>241</v>
      </c>
      <c r="DO3228" s="6" t="s">
        <v>241</v>
      </c>
      <c r="DP3228" s="4" t="s">
        <v>241</v>
      </c>
      <c r="DQ3228" s="4" t="s">
        <v>247</v>
      </c>
      <c r="DR3228" s="4" t="s">
        <v>5557</v>
      </c>
      <c r="DS3228" s="4" t="s">
        <v>5557</v>
      </c>
      <c r="DT3228" s="4" t="s">
        <v>241</v>
      </c>
      <c r="DU3228" s="4" t="s">
        <v>241</v>
      </c>
      <c r="GN3228" s="4" t="s">
        <v>5659</v>
      </c>
      <c r="HR3228" s="4" t="s">
        <v>241</v>
      </c>
      <c r="HS3228" s="4" t="s">
        <v>241</v>
      </c>
      <c r="HT3228" s="4" t="s">
        <v>241</v>
      </c>
      <c r="HU3228" s="4" t="s">
        <v>241</v>
      </c>
      <c r="HV3228" s="4" t="s">
        <v>241</v>
      </c>
      <c r="HW3228" s="4" t="s">
        <v>241</v>
      </c>
      <c r="HX3228" s="4" t="s">
        <v>241</v>
      </c>
      <c r="HY3228" s="4" t="s">
        <v>241</v>
      </c>
      <c r="HZ3228" s="4" t="s">
        <v>241</v>
      </c>
      <c r="IA3228" s="4" t="s">
        <v>241</v>
      </c>
      <c r="IB3228" s="4" t="s">
        <v>241</v>
      </c>
      <c r="IC3228" s="4" t="s">
        <v>241</v>
      </c>
      <c r="ID3228" s="4" t="s">
        <v>241</v>
      </c>
      <c r="IE3228" s="4" t="s">
        <v>241</v>
      </c>
      <c r="IF3228" s="4" t="s">
        <v>241</v>
      </c>
    </row>
    <row r="3229" spans="1:240" ht="19.5" customHeight="1" x14ac:dyDescent="0.4">
      <c r="A3229" s="4">
        <v>1</v>
      </c>
      <c r="B3229" s="4" t="s">
        <v>239</v>
      </c>
      <c r="C3229" s="4">
        <v>8592</v>
      </c>
      <c r="D3229" s="4">
        <v>1</v>
      </c>
      <c r="E3229" s="4">
        <v>2</v>
      </c>
      <c r="F3229" s="4" t="s">
        <v>241</v>
      </c>
      <c r="I3229" s="4" t="s">
        <v>241</v>
      </c>
      <c r="J3229" s="4" t="s">
        <v>274</v>
      </c>
      <c r="K3229" s="4" t="s">
        <v>251</v>
      </c>
      <c r="L3229" s="4" t="s">
        <v>5586</v>
      </c>
      <c r="M3229" s="5" t="s">
        <v>5589</v>
      </c>
      <c r="N3229" s="6">
        <f>1</f>
        <v>1</v>
      </c>
      <c r="O3229" s="4" t="s">
        <v>5578</v>
      </c>
      <c r="P3229" s="6">
        <f>1620044</f>
        <v>1620044</v>
      </c>
      <c r="Q3229" s="6">
        <f>0</f>
        <v>0</v>
      </c>
      <c r="R3229" s="6">
        <f>0</f>
        <v>0</v>
      </c>
      <c r="S3229" s="6">
        <f>1620044</f>
        <v>1620044</v>
      </c>
      <c r="T3229" s="6">
        <f>1620044</f>
        <v>1620044</v>
      </c>
      <c r="U3229" s="5" t="s">
        <v>5587</v>
      </c>
      <c r="V3229" s="4" t="s">
        <v>270</v>
      </c>
      <c r="W3229" s="4" t="s">
        <v>241</v>
      </c>
      <c r="X3229" s="4" t="s">
        <v>241</v>
      </c>
      <c r="Y3229" s="4" t="s">
        <v>241</v>
      </c>
      <c r="AB3229" s="4" t="s">
        <v>3144</v>
      </c>
      <c r="AC3229" s="5" t="s">
        <v>241</v>
      </c>
      <c r="AD3229" s="5" t="s">
        <v>241</v>
      </c>
      <c r="AE3229" s="4" t="s">
        <v>241</v>
      </c>
      <c r="AF3229" s="5" t="s">
        <v>241</v>
      </c>
      <c r="AG3229" s="5" t="s">
        <v>5588</v>
      </c>
      <c r="AH3229" s="4" t="s">
        <v>5573</v>
      </c>
      <c r="AI3229" s="4" t="s">
        <v>247</v>
      </c>
      <c r="AJ3229" s="4" t="s">
        <v>241</v>
      </c>
      <c r="AP3229" s="4" t="s">
        <v>241</v>
      </c>
      <c r="AQ3229" s="4" t="s">
        <v>241</v>
      </c>
      <c r="AR3229" s="4" t="s">
        <v>241</v>
      </c>
      <c r="AS3229" s="5" t="s">
        <v>241</v>
      </c>
      <c r="AT3229" s="5" t="s">
        <v>241</v>
      </c>
      <c r="AU3229" s="5" t="s">
        <v>241</v>
      </c>
      <c r="AX3229" s="4" t="s">
        <v>5562</v>
      </c>
      <c r="AY3229" s="4" t="s">
        <v>5562</v>
      </c>
      <c r="AZ3229" s="4" t="s">
        <v>249</v>
      </c>
      <c r="BA3229" s="4" t="s">
        <v>5549</v>
      </c>
      <c r="BB3229" s="4" t="s">
        <v>250</v>
      </c>
      <c r="BC3229" s="4" t="s">
        <v>241</v>
      </c>
      <c r="BD3229" s="4" t="s">
        <v>252</v>
      </c>
      <c r="BE3229" s="4" t="s">
        <v>5557</v>
      </c>
      <c r="BI3229" s="4" t="s">
        <v>5550</v>
      </c>
      <c r="BJ3229" s="5" t="s">
        <v>5590</v>
      </c>
      <c r="BK3229" s="4" t="s">
        <v>5564</v>
      </c>
      <c r="BL3229" s="4" t="s">
        <v>5565</v>
      </c>
      <c r="BM3229" s="4" t="s">
        <v>241</v>
      </c>
      <c r="BN3229" s="6">
        <f>0</f>
        <v>0</v>
      </c>
      <c r="BO3229" s="6">
        <f>487000</f>
        <v>487000</v>
      </c>
      <c r="BP3229" s="4" t="s">
        <v>256</v>
      </c>
      <c r="BQ3229" s="4" t="s">
        <v>257</v>
      </c>
      <c r="BR3229" s="4" t="s">
        <v>5566</v>
      </c>
      <c r="BS3229" s="4" t="s">
        <v>5567</v>
      </c>
      <c r="BT3229" s="4" t="s">
        <v>5576</v>
      </c>
      <c r="BU3229" s="4" t="s">
        <v>241</v>
      </c>
      <c r="BV3229" s="4" t="s">
        <v>256</v>
      </c>
      <c r="BW3229" s="4" t="s">
        <v>5568</v>
      </c>
      <c r="BX3229" s="4" t="s">
        <v>5568</v>
      </c>
      <c r="BZ3229" s="5" t="s">
        <v>5591</v>
      </c>
      <c r="CA3229" s="4" t="s">
        <v>256</v>
      </c>
      <c r="CB3229" s="4" t="s">
        <v>241</v>
      </c>
      <c r="CC3229" s="4" t="s">
        <v>241</v>
      </c>
      <c r="CD3229" s="4" t="s">
        <v>257</v>
      </c>
      <c r="CE3229" s="4" t="s">
        <v>241</v>
      </c>
      <c r="CF3229" s="4" t="s">
        <v>241</v>
      </c>
      <c r="CJ3229" s="4" t="s">
        <v>241</v>
      </c>
      <c r="CK3229" s="4" t="s">
        <v>241</v>
      </c>
      <c r="CL3229" s="4" t="s">
        <v>264</v>
      </c>
      <c r="CN3229" s="4" t="s">
        <v>241</v>
      </c>
      <c r="CO3229" s="5" t="s">
        <v>260</v>
      </c>
      <c r="CP3229" s="4" t="s">
        <v>5552</v>
      </c>
      <c r="CQ3229" s="4" t="s">
        <v>5553</v>
      </c>
      <c r="CR3229" s="4" t="s">
        <v>5554</v>
      </c>
      <c r="CS3229" s="4" t="s">
        <v>241</v>
      </c>
      <c r="CT3229" s="4">
        <v>0</v>
      </c>
      <c r="CU3229" s="4" t="s">
        <v>241</v>
      </c>
      <c r="CV3229" s="4" t="s">
        <v>241</v>
      </c>
      <c r="CW3229" s="4" t="s">
        <v>241</v>
      </c>
      <c r="CX3229" s="4" t="s">
        <v>264</v>
      </c>
      <c r="CY3229" s="4" t="s">
        <v>241</v>
      </c>
      <c r="CZ3229" s="6">
        <f>1620044</f>
        <v>1620044</v>
      </c>
      <c r="DA3229" s="6">
        <f>1620044</f>
        <v>1620044</v>
      </c>
      <c r="DB3229" s="6" t="s">
        <v>241</v>
      </c>
      <c r="DC3229" s="4" t="s">
        <v>241</v>
      </c>
      <c r="DD3229" s="4" t="s">
        <v>241</v>
      </c>
      <c r="DF3229" s="4" t="s">
        <v>241</v>
      </c>
      <c r="DG3229" s="6">
        <f>0</f>
        <v>0</v>
      </c>
      <c r="DH3229" s="5" t="s">
        <v>241</v>
      </c>
      <c r="DI3229" s="4" t="s">
        <v>241</v>
      </c>
      <c r="DJ3229" s="4" t="s">
        <v>241</v>
      </c>
      <c r="DK3229" s="4" t="s">
        <v>241</v>
      </c>
      <c r="DL3229" s="4" t="s">
        <v>241</v>
      </c>
      <c r="DM3229" s="4" t="s">
        <v>241</v>
      </c>
      <c r="DN3229" s="4" t="s">
        <v>241</v>
      </c>
      <c r="DO3229" s="6" t="s">
        <v>241</v>
      </c>
      <c r="DP3229" s="4" t="s">
        <v>241</v>
      </c>
      <c r="DQ3229" s="4" t="s">
        <v>247</v>
      </c>
      <c r="DR3229" s="4" t="s">
        <v>5557</v>
      </c>
      <c r="DS3229" s="4" t="s">
        <v>5557</v>
      </c>
      <c r="DT3229" s="4" t="s">
        <v>241</v>
      </c>
      <c r="DU3229" s="4" t="s">
        <v>241</v>
      </c>
      <c r="GN3229" s="4" t="s">
        <v>5592</v>
      </c>
      <c r="HR3229" s="4" t="s">
        <v>241</v>
      </c>
      <c r="HS3229" s="4" t="s">
        <v>241</v>
      </c>
      <c r="HT3229" s="4" t="s">
        <v>241</v>
      </c>
      <c r="HU3229" s="4" t="s">
        <v>241</v>
      </c>
      <c r="HV3229" s="4" t="s">
        <v>241</v>
      </c>
      <c r="HW3229" s="4" t="s">
        <v>241</v>
      </c>
      <c r="HX3229" s="4" t="s">
        <v>241</v>
      </c>
      <c r="HY3229" s="4" t="s">
        <v>241</v>
      </c>
      <c r="HZ3229" s="4" t="s">
        <v>241</v>
      </c>
      <c r="IA3229" s="4" t="s">
        <v>241</v>
      </c>
      <c r="IB3229" s="4" t="s">
        <v>241</v>
      </c>
      <c r="IC3229" s="4" t="s">
        <v>241</v>
      </c>
      <c r="ID3229" s="4" t="s">
        <v>241</v>
      </c>
      <c r="IE3229" s="4" t="s">
        <v>241</v>
      </c>
      <c r="IF3229" s="4" t="s">
        <v>241</v>
      </c>
    </row>
    <row r="3230" spans="1:240" ht="19.5" customHeight="1" x14ac:dyDescent="0.4">
      <c r="A3230" s="4">
        <v>1</v>
      </c>
      <c r="B3230" s="4" t="s">
        <v>239</v>
      </c>
      <c r="C3230" s="4">
        <v>8593</v>
      </c>
      <c r="D3230" s="4">
        <v>1</v>
      </c>
      <c r="E3230" s="4">
        <v>2</v>
      </c>
      <c r="F3230" s="4" t="s">
        <v>241</v>
      </c>
      <c r="I3230" s="4" t="s">
        <v>241</v>
      </c>
      <c r="J3230" s="4" t="s">
        <v>274</v>
      </c>
      <c r="K3230" s="4" t="s">
        <v>251</v>
      </c>
      <c r="L3230" s="4" t="s">
        <v>5721</v>
      </c>
      <c r="M3230" s="5" t="s">
        <v>5722</v>
      </c>
      <c r="N3230" s="6">
        <f>1</f>
        <v>1</v>
      </c>
      <c r="O3230" s="4" t="s">
        <v>5578</v>
      </c>
      <c r="P3230" s="6">
        <f>956112</f>
        <v>956112</v>
      </c>
      <c r="Q3230" s="6">
        <f>0</f>
        <v>0</v>
      </c>
      <c r="R3230" s="6">
        <f>0</f>
        <v>0</v>
      </c>
      <c r="S3230" s="6">
        <f>956112</f>
        <v>956112</v>
      </c>
      <c r="T3230" s="6">
        <f>956112</f>
        <v>956112</v>
      </c>
      <c r="U3230" s="5" t="s">
        <v>5627</v>
      </c>
      <c r="V3230" s="4" t="s">
        <v>270</v>
      </c>
      <c r="W3230" s="4" t="s">
        <v>241</v>
      </c>
      <c r="X3230" s="4" t="s">
        <v>241</v>
      </c>
      <c r="Y3230" s="4" t="s">
        <v>241</v>
      </c>
      <c r="AB3230" s="4" t="s">
        <v>3144</v>
      </c>
      <c r="AC3230" s="5" t="s">
        <v>241</v>
      </c>
      <c r="AD3230" s="5" t="s">
        <v>241</v>
      </c>
      <c r="AE3230" s="4" t="s">
        <v>241</v>
      </c>
      <c r="AF3230" s="5" t="s">
        <v>241</v>
      </c>
      <c r="AG3230" s="5" t="s">
        <v>5627</v>
      </c>
      <c r="AH3230" s="4" t="s">
        <v>5573</v>
      </c>
      <c r="AI3230" s="4" t="s">
        <v>247</v>
      </c>
      <c r="AJ3230" s="4" t="s">
        <v>241</v>
      </c>
      <c r="AP3230" s="4" t="s">
        <v>241</v>
      </c>
      <c r="AQ3230" s="4" t="s">
        <v>241</v>
      </c>
      <c r="AR3230" s="4" t="s">
        <v>241</v>
      </c>
      <c r="AS3230" s="5" t="s">
        <v>241</v>
      </c>
      <c r="AT3230" s="5" t="s">
        <v>241</v>
      </c>
      <c r="AU3230" s="5" t="s">
        <v>241</v>
      </c>
      <c r="AX3230" s="4" t="s">
        <v>5562</v>
      </c>
      <c r="AY3230" s="4" t="s">
        <v>5562</v>
      </c>
      <c r="AZ3230" s="4" t="s">
        <v>249</v>
      </c>
      <c r="BA3230" s="4" t="s">
        <v>5549</v>
      </c>
      <c r="BB3230" s="4" t="s">
        <v>250</v>
      </c>
      <c r="BC3230" s="4" t="s">
        <v>241</v>
      </c>
      <c r="BD3230" s="4" t="s">
        <v>252</v>
      </c>
      <c r="BE3230" s="4" t="s">
        <v>5557</v>
      </c>
      <c r="BI3230" s="4" t="s">
        <v>5550</v>
      </c>
      <c r="BJ3230" s="5" t="s">
        <v>5629</v>
      </c>
      <c r="BK3230" s="4" t="s">
        <v>5564</v>
      </c>
      <c r="BL3230" s="4" t="s">
        <v>5565</v>
      </c>
      <c r="BM3230" s="4" t="s">
        <v>241</v>
      </c>
      <c r="BN3230" s="6">
        <f>0</f>
        <v>0</v>
      </c>
      <c r="BO3230" s="6">
        <f>956112</f>
        <v>956112</v>
      </c>
      <c r="BP3230" s="4" t="s">
        <v>256</v>
      </c>
      <c r="BQ3230" s="4" t="s">
        <v>257</v>
      </c>
      <c r="BR3230" s="4" t="s">
        <v>5566</v>
      </c>
      <c r="BS3230" s="4" t="s">
        <v>5567</v>
      </c>
      <c r="BT3230" s="4" t="s">
        <v>5576</v>
      </c>
      <c r="BU3230" s="4" t="s">
        <v>241</v>
      </c>
      <c r="BV3230" s="4" t="s">
        <v>256</v>
      </c>
      <c r="BW3230" s="4" t="s">
        <v>5568</v>
      </c>
      <c r="BX3230" s="4" t="s">
        <v>5568</v>
      </c>
      <c r="BZ3230" s="5" t="s">
        <v>5723</v>
      </c>
      <c r="CA3230" s="4" t="s">
        <v>256</v>
      </c>
      <c r="CB3230" s="4" t="s">
        <v>241</v>
      </c>
      <c r="CC3230" s="4" t="s">
        <v>241</v>
      </c>
      <c r="CD3230" s="4" t="s">
        <v>257</v>
      </c>
      <c r="CE3230" s="4" t="s">
        <v>241</v>
      </c>
      <c r="CF3230" s="4" t="s">
        <v>241</v>
      </c>
      <c r="CJ3230" s="4" t="s">
        <v>241</v>
      </c>
      <c r="CK3230" s="4" t="s">
        <v>241</v>
      </c>
      <c r="CL3230" s="4" t="s">
        <v>264</v>
      </c>
      <c r="CN3230" s="4" t="s">
        <v>241</v>
      </c>
      <c r="CO3230" s="5" t="s">
        <v>260</v>
      </c>
      <c r="CP3230" s="4" t="s">
        <v>5552</v>
      </c>
      <c r="CQ3230" s="4" t="s">
        <v>5553</v>
      </c>
      <c r="CR3230" s="4" t="s">
        <v>5554</v>
      </c>
      <c r="CS3230" s="4" t="s">
        <v>241</v>
      </c>
      <c r="CT3230" s="4">
        <v>0</v>
      </c>
      <c r="CU3230" s="4" t="s">
        <v>241</v>
      </c>
      <c r="CV3230" s="4" t="s">
        <v>241</v>
      </c>
      <c r="CW3230" s="4" t="s">
        <v>241</v>
      </c>
      <c r="CX3230" s="4" t="s">
        <v>264</v>
      </c>
      <c r="CY3230" s="4" t="s">
        <v>241</v>
      </c>
      <c r="CZ3230" s="6">
        <f>956112</f>
        <v>956112</v>
      </c>
      <c r="DA3230" s="6">
        <f>956112</f>
        <v>956112</v>
      </c>
      <c r="DB3230" s="6" t="s">
        <v>241</v>
      </c>
      <c r="DC3230" s="4" t="s">
        <v>241</v>
      </c>
      <c r="DD3230" s="4" t="s">
        <v>241</v>
      </c>
      <c r="DF3230" s="4" t="s">
        <v>241</v>
      </c>
      <c r="DG3230" s="6">
        <f>0</f>
        <v>0</v>
      </c>
      <c r="DH3230" s="5" t="s">
        <v>241</v>
      </c>
      <c r="DI3230" s="4" t="s">
        <v>241</v>
      </c>
      <c r="DJ3230" s="4" t="s">
        <v>241</v>
      </c>
      <c r="DK3230" s="4" t="s">
        <v>241</v>
      </c>
      <c r="DL3230" s="4" t="s">
        <v>241</v>
      </c>
      <c r="DM3230" s="4" t="s">
        <v>241</v>
      </c>
      <c r="DN3230" s="4" t="s">
        <v>241</v>
      </c>
      <c r="DO3230" s="6" t="s">
        <v>241</v>
      </c>
      <c r="DP3230" s="4" t="s">
        <v>241</v>
      </c>
      <c r="DQ3230" s="4" t="s">
        <v>247</v>
      </c>
      <c r="DR3230" s="4" t="s">
        <v>5557</v>
      </c>
      <c r="DS3230" s="4" t="s">
        <v>5557</v>
      </c>
      <c r="DT3230" s="4" t="s">
        <v>241</v>
      </c>
      <c r="DU3230" s="4" t="s">
        <v>241</v>
      </c>
      <c r="GN3230" s="4" t="s">
        <v>5724</v>
      </c>
      <c r="HR3230" s="4" t="s">
        <v>241</v>
      </c>
      <c r="HS3230" s="4" t="s">
        <v>241</v>
      </c>
      <c r="HT3230" s="4" t="s">
        <v>241</v>
      </c>
      <c r="HU3230" s="4" t="s">
        <v>241</v>
      </c>
      <c r="HV3230" s="4" t="s">
        <v>241</v>
      </c>
      <c r="HW3230" s="4" t="s">
        <v>241</v>
      </c>
      <c r="HX3230" s="4" t="s">
        <v>241</v>
      </c>
      <c r="HY3230" s="4" t="s">
        <v>241</v>
      </c>
      <c r="HZ3230" s="4" t="s">
        <v>241</v>
      </c>
      <c r="IA3230" s="4" t="s">
        <v>241</v>
      </c>
      <c r="IB3230" s="4" t="s">
        <v>241</v>
      </c>
      <c r="IC3230" s="4" t="s">
        <v>241</v>
      </c>
      <c r="ID3230" s="4" t="s">
        <v>241</v>
      </c>
      <c r="IE3230" s="4" t="s">
        <v>241</v>
      </c>
      <c r="IF3230" s="4" t="s">
        <v>241</v>
      </c>
    </row>
    <row r="3231" spans="1:240" ht="19.5" customHeight="1" x14ac:dyDescent="0.4">
      <c r="A3231" s="4">
        <v>1</v>
      </c>
      <c r="B3231" s="4" t="s">
        <v>239</v>
      </c>
      <c r="C3231" s="4">
        <v>8595</v>
      </c>
      <c r="D3231" s="4">
        <v>1</v>
      </c>
      <c r="E3231" s="4">
        <v>1</v>
      </c>
      <c r="F3231" s="4" t="s">
        <v>241</v>
      </c>
      <c r="I3231" s="4" t="s">
        <v>241</v>
      </c>
      <c r="J3231" s="4" t="s">
        <v>274</v>
      </c>
      <c r="K3231" s="4" t="s">
        <v>251</v>
      </c>
      <c r="L3231" s="4" t="s">
        <v>5601</v>
      </c>
      <c r="N3231" s="6">
        <f>0</f>
        <v>0</v>
      </c>
      <c r="O3231" s="4" t="s">
        <v>268</v>
      </c>
      <c r="P3231" s="6">
        <f>7891459</f>
        <v>7891459</v>
      </c>
      <c r="Q3231" s="6">
        <f>0</f>
        <v>0</v>
      </c>
      <c r="R3231" s="6">
        <f>0</f>
        <v>0</v>
      </c>
      <c r="S3231" s="6">
        <f>7891459</f>
        <v>7891459</v>
      </c>
      <c r="T3231" s="6">
        <f>7891459</f>
        <v>7891459</v>
      </c>
      <c r="U3231" s="5" t="s">
        <v>5551</v>
      </c>
      <c r="V3231" s="4" t="s">
        <v>270</v>
      </c>
      <c r="W3231" s="4" t="s">
        <v>241</v>
      </c>
      <c r="X3231" s="4" t="s">
        <v>241</v>
      </c>
      <c r="Y3231" s="4" t="s">
        <v>241</v>
      </c>
      <c r="AB3231" s="4" t="s">
        <v>241</v>
      </c>
      <c r="AC3231" s="5" t="s">
        <v>241</v>
      </c>
      <c r="AD3231" s="5" t="s">
        <v>241</v>
      </c>
      <c r="AE3231" s="4" t="s">
        <v>241</v>
      </c>
      <c r="AF3231" s="5" t="s">
        <v>241</v>
      </c>
      <c r="AG3231" s="5" t="s">
        <v>241</v>
      </c>
      <c r="AH3231" s="4" t="s">
        <v>5547</v>
      </c>
      <c r="AI3231" s="4" t="s">
        <v>247</v>
      </c>
      <c r="AJ3231" s="4" t="s">
        <v>241</v>
      </c>
      <c r="AP3231" s="4" t="s">
        <v>241</v>
      </c>
      <c r="AQ3231" s="4" t="s">
        <v>241</v>
      </c>
      <c r="AR3231" s="4" t="s">
        <v>241</v>
      </c>
      <c r="AS3231" s="5" t="s">
        <v>241</v>
      </c>
      <c r="AT3231" s="5" t="s">
        <v>241</v>
      </c>
      <c r="AU3231" s="5" t="s">
        <v>241</v>
      </c>
      <c r="AW3231" s="4" t="s">
        <v>5548</v>
      </c>
      <c r="AX3231" s="4" t="s">
        <v>241</v>
      </c>
      <c r="AY3231" s="4" t="s">
        <v>241</v>
      </c>
      <c r="AZ3231" s="4" t="s">
        <v>249</v>
      </c>
      <c r="BA3231" s="4" t="s">
        <v>5549</v>
      </c>
      <c r="BB3231" s="4" t="s">
        <v>250</v>
      </c>
      <c r="BC3231" s="4" t="s">
        <v>241</v>
      </c>
      <c r="BD3231" s="4" t="s">
        <v>4338</v>
      </c>
      <c r="BE3231" s="4" t="s">
        <v>5557</v>
      </c>
      <c r="BI3231" s="4" t="s">
        <v>5550</v>
      </c>
      <c r="BJ3231" s="5" t="s">
        <v>5551</v>
      </c>
      <c r="BK3231" s="4" t="s">
        <v>1209</v>
      </c>
      <c r="BL3231" s="4" t="s">
        <v>1209</v>
      </c>
      <c r="BM3231" s="4" t="s">
        <v>241</v>
      </c>
      <c r="BN3231" s="6">
        <f>0</f>
        <v>0</v>
      </c>
      <c r="BO3231" s="6">
        <f>7891459</f>
        <v>7891459</v>
      </c>
      <c r="BP3231" s="4" t="s">
        <v>256</v>
      </c>
      <c r="BQ3231" s="4" t="s">
        <v>257</v>
      </c>
      <c r="BR3231" s="4" t="s">
        <v>241</v>
      </c>
      <c r="BS3231" s="4" t="s">
        <v>241</v>
      </c>
      <c r="BT3231" s="4" t="s">
        <v>241</v>
      </c>
      <c r="BU3231" s="4" t="s">
        <v>241</v>
      </c>
      <c r="BZ3231" s="5" t="s">
        <v>241</v>
      </c>
      <c r="CA3231" s="4" t="s">
        <v>241</v>
      </c>
      <c r="CB3231" s="4" t="s">
        <v>241</v>
      </c>
      <c r="CC3231" s="4" t="s">
        <v>241</v>
      </c>
      <c r="CD3231" s="4" t="s">
        <v>257</v>
      </c>
      <c r="CE3231" s="4" t="s">
        <v>241</v>
      </c>
      <c r="CF3231" s="4" t="s">
        <v>241</v>
      </c>
      <c r="CJ3231" s="4" t="s">
        <v>241</v>
      </c>
      <c r="CK3231" s="4" t="s">
        <v>241</v>
      </c>
      <c r="CL3231" s="4" t="s">
        <v>264</v>
      </c>
      <c r="CN3231" s="4" t="s">
        <v>241</v>
      </c>
      <c r="CO3231" s="5" t="s">
        <v>260</v>
      </c>
      <c r="CP3231" s="4" t="s">
        <v>5552</v>
      </c>
      <c r="CQ3231" s="4" t="s">
        <v>5553</v>
      </c>
      <c r="CR3231" s="4" t="s">
        <v>5554</v>
      </c>
      <c r="CS3231" s="4" t="s">
        <v>241</v>
      </c>
      <c r="CT3231" s="4">
        <v>0</v>
      </c>
      <c r="CU3231" s="4" t="s">
        <v>241</v>
      </c>
      <c r="CV3231" s="4" t="s">
        <v>241</v>
      </c>
      <c r="CW3231" s="4" t="s">
        <v>241</v>
      </c>
      <c r="CX3231" s="4" t="s">
        <v>264</v>
      </c>
      <c r="CY3231" s="4" t="s">
        <v>241</v>
      </c>
      <c r="CZ3231" s="6">
        <f>0</f>
        <v>0</v>
      </c>
      <c r="DA3231" s="6">
        <f>7891459</f>
        <v>7891459</v>
      </c>
      <c r="DB3231" s="6" t="s">
        <v>241</v>
      </c>
      <c r="DC3231" s="4" t="s">
        <v>241</v>
      </c>
      <c r="DD3231" s="4" t="s">
        <v>241</v>
      </c>
      <c r="DF3231" s="4" t="s">
        <v>241</v>
      </c>
      <c r="DG3231" s="6">
        <f>0</f>
        <v>0</v>
      </c>
      <c r="DH3231" s="5" t="s">
        <v>241</v>
      </c>
      <c r="DI3231" s="4" t="s">
        <v>241</v>
      </c>
      <c r="DJ3231" s="4" t="s">
        <v>241</v>
      </c>
      <c r="DK3231" s="4" t="s">
        <v>241</v>
      </c>
      <c r="DL3231" s="4" t="s">
        <v>241</v>
      </c>
      <c r="DM3231" s="4" t="s">
        <v>241</v>
      </c>
      <c r="DN3231" s="4" t="s">
        <v>241</v>
      </c>
      <c r="DO3231" s="6" t="s">
        <v>241</v>
      </c>
      <c r="DP3231" s="4" t="s">
        <v>241</v>
      </c>
      <c r="DQ3231" s="4" t="s">
        <v>247</v>
      </c>
      <c r="DR3231" s="4" t="s">
        <v>5557</v>
      </c>
      <c r="DS3231" s="4" t="s">
        <v>5557</v>
      </c>
      <c r="DT3231" s="4" t="s">
        <v>241</v>
      </c>
      <c r="DU3231" s="4" t="s">
        <v>241</v>
      </c>
      <c r="GN3231" s="4" t="s">
        <v>5602</v>
      </c>
      <c r="HR3231" s="4" t="s">
        <v>241</v>
      </c>
      <c r="HS3231" s="4" t="s">
        <v>241</v>
      </c>
      <c r="HT3231" s="4" t="s">
        <v>241</v>
      </c>
      <c r="HU3231" s="4" t="s">
        <v>241</v>
      </c>
      <c r="HV3231" s="4" t="s">
        <v>241</v>
      </c>
      <c r="HW3231" s="4" t="s">
        <v>241</v>
      </c>
      <c r="HX3231" s="4" t="s">
        <v>241</v>
      </c>
      <c r="HY3231" s="4" t="s">
        <v>241</v>
      </c>
      <c r="HZ3231" s="4" t="s">
        <v>241</v>
      </c>
      <c r="IA3231" s="4" t="s">
        <v>241</v>
      </c>
      <c r="IB3231" s="4" t="s">
        <v>241</v>
      </c>
      <c r="IC3231" s="4" t="s">
        <v>241</v>
      </c>
      <c r="ID3231" s="4" t="s">
        <v>241</v>
      </c>
      <c r="IE3231" s="4" t="s">
        <v>241</v>
      </c>
      <c r="IF3231" s="4" t="s">
        <v>241</v>
      </c>
    </row>
    <row r="3232" spans="1:240" ht="19.5" customHeight="1" x14ac:dyDescent="0.4">
      <c r="A3232" s="4">
        <v>1</v>
      </c>
      <c r="B3232" s="4" t="s">
        <v>239</v>
      </c>
      <c r="C3232" s="4">
        <v>8596</v>
      </c>
      <c r="D3232" s="4">
        <v>1</v>
      </c>
      <c r="E3232" s="4">
        <v>1</v>
      </c>
      <c r="F3232" s="4" t="s">
        <v>241</v>
      </c>
      <c r="I3232" s="4" t="s">
        <v>241</v>
      </c>
      <c r="J3232" s="4" t="s">
        <v>274</v>
      </c>
      <c r="K3232" s="4" t="s">
        <v>251</v>
      </c>
      <c r="L3232" s="4" t="s">
        <v>5601</v>
      </c>
      <c r="N3232" s="6">
        <f>0</f>
        <v>0</v>
      </c>
      <c r="O3232" s="4" t="s">
        <v>268</v>
      </c>
      <c r="P3232" s="6">
        <f>7891459</f>
        <v>7891459</v>
      </c>
      <c r="Q3232" s="6">
        <f>0</f>
        <v>0</v>
      </c>
      <c r="R3232" s="6">
        <f>0</f>
        <v>0</v>
      </c>
      <c r="S3232" s="6">
        <f>7891459</f>
        <v>7891459</v>
      </c>
      <c r="T3232" s="6">
        <f>7891459</f>
        <v>7891459</v>
      </c>
      <c r="U3232" s="5" t="s">
        <v>5551</v>
      </c>
      <c r="V3232" s="4" t="s">
        <v>270</v>
      </c>
      <c r="W3232" s="4" t="s">
        <v>241</v>
      </c>
      <c r="X3232" s="4" t="s">
        <v>241</v>
      </c>
      <c r="Y3232" s="4" t="s">
        <v>241</v>
      </c>
      <c r="AB3232" s="4" t="s">
        <v>241</v>
      </c>
      <c r="AC3232" s="5" t="s">
        <v>241</v>
      </c>
      <c r="AD3232" s="5" t="s">
        <v>241</v>
      </c>
      <c r="AE3232" s="4" t="s">
        <v>241</v>
      </c>
      <c r="AF3232" s="5" t="s">
        <v>241</v>
      </c>
      <c r="AG3232" s="5" t="s">
        <v>241</v>
      </c>
      <c r="AH3232" s="4" t="s">
        <v>5547</v>
      </c>
      <c r="AI3232" s="4" t="s">
        <v>247</v>
      </c>
      <c r="AJ3232" s="4" t="s">
        <v>241</v>
      </c>
      <c r="AP3232" s="4" t="s">
        <v>241</v>
      </c>
      <c r="AQ3232" s="4" t="s">
        <v>241</v>
      </c>
      <c r="AR3232" s="4" t="s">
        <v>241</v>
      </c>
      <c r="AS3232" s="5" t="s">
        <v>241</v>
      </c>
      <c r="AT3232" s="5" t="s">
        <v>241</v>
      </c>
      <c r="AU3232" s="5" t="s">
        <v>241</v>
      </c>
      <c r="AW3232" s="4" t="s">
        <v>5548</v>
      </c>
      <c r="AX3232" s="4" t="s">
        <v>241</v>
      </c>
      <c r="AY3232" s="4" t="s">
        <v>241</v>
      </c>
      <c r="AZ3232" s="4" t="s">
        <v>249</v>
      </c>
      <c r="BA3232" s="4" t="s">
        <v>5549</v>
      </c>
      <c r="BB3232" s="4" t="s">
        <v>250</v>
      </c>
      <c r="BC3232" s="4" t="s">
        <v>241</v>
      </c>
      <c r="BD3232" s="4" t="s">
        <v>4338</v>
      </c>
      <c r="BE3232" s="4" t="s">
        <v>5557</v>
      </c>
      <c r="BI3232" s="4" t="s">
        <v>5550</v>
      </c>
      <c r="BJ3232" s="5" t="s">
        <v>5551</v>
      </c>
      <c r="BK3232" s="4" t="s">
        <v>1209</v>
      </c>
      <c r="BL3232" s="4" t="s">
        <v>1209</v>
      </c>
      <c r="BM3232" s="4" t="s">
        <v>241</v>
      </c>
      <c r="BN3232" s="6">
        <f>0</f>
        <v>0</v>
      </c>
      <c r="BO3232" s="6">
        <f>7891459</f>
        <v>7891459</v>
      </c>
      <c r="BP3232" s="4" t="s">
        <v>256</v>
      </c>
      <c r="BQ3232" s="4" t="s">
        <v>257</v>
      </c>
      <c r="BR3232" s="4" t="s">
        <v>241</v>
      </c>
      <c r="BS3232" s="4" t="s">
        <v>241</v>
      </c>
      <c r="BT3232" s="4" t="s">
        <v>241</v>
      </c>
      <c r="BU3232" s="4" t="s">
        <v>241</v>
      </c>
      <c r="BZ3232" s="5" t="s">
        <v>241</v>
      </c>
      <c r="CA3232" s="4" t="s">
        <v>241</v>
      </c>
      <c r="CB3232" s="4" t="s">
        <v>241</v>
      </c>
      <c r="CC3232" s="4" t="s">
        <v>241</v>
      </c>
      <c r="CD3232" s="4" t="s">
        <v>257</v>
      </c>
      <c r="CE3232" s="4" t="s">
        <v>241</v>
      </c>
      <c r="CF3232" s="4" t="s">
        <v>241</v>
      </c>
      <c r="CJ3232" s="4" t="s">
        <v>241</v>
      </c>
      <c r="CK3232" s="4" t="s">
        <v>241</v>
      </c>
      <c r="CL3232" s="4" t="s">
        <v>264</v>
      </c>
      <c r="CN3232" s="4" t="s">
        <v>241</v>
      </c>
      <c r="CO3232" s="5" t="s">
        <v>260</v>
      </c>
      <c r="CP3232" s="4" t="s">
        <v>5552</v>
      </c>
      <c r="CQ3232" s="4" t="s">
        <v>5553</v>
      </c>
      <c r="CR3232" s="4" t="s">
        <v>5554</v>
      </c>
      <c r="CS3232" s="4" t="s">
        <v>241</v>
      </c>
      <c r="CT3232" s="4">
        <v>0</v>
      </c>
      <c r="CU3232" s="4" t="s">
        <v>241</v>
      </c>
      <c r="CV3232" s="4" t="s">
        <v>241</v>
      </c>
      <c r="CW3232" s="4" t="s">
        <v>241</v>
      </c>
      <c r="CX3232" s="4" t="s">
        <v>264</v>
      </c>
      <c r="CY3232" s="4" t="s">
        <v>241</v>
      </c>
      <c r="CZ3232" s="6">
        <f>0</f>
        <v>0</v>
      </c>
      <c r="DA3232" s="6">
        <f>7891459</f>
        <v>7891459</v>
      </c>
      <c r="DB3232" s="6" t="s">
        <v>241</v>
      </c>
      <c r="DC3232" s="4" t="s">
        <v>241</v>
      </c>
      <c r="DD3232" s="4" t="s">
        <v>241</v>
      </c>
      <c r="DF3232" s="4" t="s">
        <v>241</v>
      </c>
      <c r="DG3232" s="6">
        <f>0</f>
        <v>0</v>
      </c>
      <c r="DH3232" s="5" t="s">
        <v>241</v>
      </c>
      <c r="DI3232" s="4" t="s">
        <v>241</v>
      </c>
      <c r="DJ3232" s="4" t="s">
        <v>241</v>
      </c>
      <c r="DK3232" s="4" t="s">
        <v>241</v>
      </c>
      <c r="DL3232" s="4" t="s">
        <v>241</v>
      </c>
      <c r="DM3232" s="4" t="s">
        <v>241</v>
      </c>
      <c r="DN3232" s="4" t="s">
        <v>241</v>
      </c>
      <c r="DO3232" s="6" t="s">
        <v>241</v>
      </c>
      <c r="DP3232" s="4" t="s">
        <v>241</v>
      </c>
      <c r="DQ3232" s="4" t="s">
        <v>247</v>
      </c>
      <c r="DR3232" s="4" t="s">
        <v>5557</v>
      </c>
      <c r="DS3232" s="4" t="s">
        <v>5557</v>
      </c>
      <c r="DT3232" s="4" t="s">
        <v>241</v>
      </c>
      <c r="DU3232" s="4" t="s">
        <v>241</v>
      </c>
      <c r="GN3232" s="4" t="s">
        <v>5603</v>
      </c>
      <c r="HR3232" s="4" t="s">
        <v>241</v>
      </c>
      <c r="HS3232" s="4" t="s">
        <v>241</v>
      </c>
      <c r="HT3232" s="4" t="s">
        <v>241</v>
      </c>
      <c r="HU3232" s="4" t="s">
        <v>241</v>
      </c>
      <c r="HV3232" s="4" t="s">
        <v>241</v>
      </c>
      <c r="HW3232" s="4" t="s">
        <v>241</v>
      </c>
      <c r="HX3232" s="4" t="s">
        <v>241</v>
      </c>
      <c r="HY3232" s="4" t="s">
        <v>241</v>
      </c>
      <c r="HZ3232" s="4" t="s">
        <v>241</v>
      </c>
      <c r="IA3232" s="4" t="s">
        <v>241</v>
      </c>
      <c r="IB3232" s="4" t="s">
        <v>241</v>
      </c>
      <c r="IC3232" s="4" t="s">
        <v>241</v>
      </c>
      <c r="ID3232" s="4" t="s">
        <v>241</v>
      </c>
      <c r="IE3232" s="4" t="s">
        <v>241</v>
      </c>
      <c r="IF3232" s="4" t="s">
        <v>241</v>
      </c>
    </row>
    <row r="3233" spans="1:240" ht="19.5" customHeight="1" x14ac:dyDescent="0.4">
      <c r="A3233" s="4">
        <v>1</v>
      </c>
      <c r="B3233" s="4" t="s">
        <v>239</v>
      </c>
      <c r="C3233" s="4">
        <v>8597</v>
      </c>
      <c r="D3233" s="4">
        <v>1</v>
      </c>
      <c r="E3233" s="4">
        <v>1</v>
      </c>
      <c r="F3233" s="4" t="s">
        <v>241</v>
      </c>
      <c r="I3233" s="4" t="s">
        <v>241</v>
      </c>
      <c r="J3233" s="4" t="s">
        <v>274</v>
      </c>
      <c r="K3233" s="4" t="s">
        <v>251</v>
      </c>
      <c r="L3233" s="4" t="s">
        <v>1068</v>
      </c>
      <c r="N3233" s="6">
        <f>0</f>
        <v>0</v>
      </c>
      <c r="O3233" s="4" t="s">
        <v>268</v>
      </c>
      <c r="P3233" s="6">
        <f>251920</f>
        <v>251920</v>
      </c>
      <c r="Q3233" s="6">
        <f>0</f>
        <v>0</v>
      </c>
      <c r="R3233" s="6">
        <f>0</f>
        <v>0</v>
      </c>
      <c r="S3233" s="6">
        <f>251920</f>
        <v>251920</v>
      </c>
      <c r="T3233" s="6">
        <f>251920</f>
        <v>251920</v>
      </c>
      <c r="U3233" s="5" t="s">
        <v>5551</v>
      </c>
      <c r="V3233" s="4" t="s">
        <v>270</v>
      </c>
      <c r="W3233" s="4" t="s">
        <v>241</v>
      </c>
      <c r="X3233" s="4" t="s">
        <v>241</v>
      </c>
      <c r="Y3233" s="4" t="s">
        <v>241</v>
      </c>
      <c r="AB3233" s="4" t="s">
        <v>241</v>
      </c>
      <c r="AC3233" s="5" t="s">
        <v>241</v>
      </c>
      <c r="AD3233" s="5" t="s">
        <v>241</v>
      </c>
      <c r="AE3233" s="4" t="s">
        <v>241</v>
      </c>
      <c r="AF3233" s="5" t="s">
        <v>241</v>
      </c>
      <c r="AG3233" s="5" t="s">
        <v>241</v>
      </c>
      <c r="AH3233" s="4" t="s">
        <v>241</v>
      </c>
      <c r="AI3233" s="4" t="s">
        <v>247</v>
      </c>
      <c r="AJ3233" s="4" t="s">
        <v>241</v>
      </c>
      <c r="AP3233" s="4" t="s">
        <v>241</v>
      </c>
      <c r="AQ3233" s="4" t="s">
        <v>241</v>
      </c>
      <c r="AR3233" s="4" t="s">
        <v>241</v>
      </c>
      <c r="AS3233" s="5" t="s">
        <v>241</v>
      </c>
      <c r="AT3233" s="5" t="s">
        <v>241</v>
      </c>
      <c r="AU3233" s="5" t="s">
        <v>241</v>
      </c>
      <c r="AW3233" s="4" t="s">
        <v>5555</v>
      </c>
      <c r="AX3233" s="4" t="s">
        <v>241</v>
      </c>
      <c r="AY3233" s="4" t="s">
        <v>241</v>
      </c>
      <c r="AZ3233" s="4" t="s">
        <v>249</v>
      </c>
      <c r="BA3233" s="4" t="s">
        <v>5549</v>
      </c>
      <c r="BB3233" s="4" t="s">
        <v>250</v>
      </c>
      <c r="BC3233" s="4" t="s">
        <v>241</v>
      </c>
      <c r="BD3233" s="4" t="s">
        <v>4338</v>
      </c>
      <c r="BE3233" s="4" t="s">
        <v>5557</v>
      </c>
      <c r="BI3233" s="4" t="s">
        <v>5550</v>
      </c>
      <c r="BJ3233" s="5" t="s">
        <v>5551</v>
      </c>
      <c r="BK3233" s="4" t="s">
        <v>1209</v>
      </c>
      <c r="BL3233" s="4" t="s">
        <v>1209</v>
      </c>
      <c r="BM3233" s="4" t="s">
        <v>241</v>
      </c>
      <c r="BN3233" s="6">
        <f>0</f>
        <v>0</v>
      </c>
      <c r="BO3233" s="6">
        <f>251920</f>
        <v>251920</v>
      </c>
      <c r="BP3233" s="4" t="s">
        <v>256</v>
      </c>
      <c r="BQ3233" s="4" t="s">
        <v>257</v>
      </c>
      <c r="BR3233" s="4" t="s">
        <v>241</v>
      </c>
      <c r="BS3233" s="4" t="s">
        <v>241</v>
      </c>
      <c r="BT3233" s="4" t="s">
        <v>241</v>
      </c>
      <c r="BU3233" s="4" t="s">
        <v>241</v>
      </c>
      <c r="BZ3233" s="5" t="s">
        <v>241</v>
      </c>
      <c r="CA3233" s="4" t="s">
        <v>241</v>
      </c>
      <c r="CB3233" s="4" t="s">
        <v>241</v>
      </c>
      <c r="CC3233" s="4" t="s">
        <v>241</v>
      </c>
      <c r="CD3233" s="4" t="s">
        <v>257</v>
      </c>
      <c r="CE3233" s="4" t="s">
        <v>241</v>
      </c>
      <c r="CF3233" s="4" t="s">
        <v>241</v>
      </c>
      <c r="CJ3233" s="4" t="s">
        <v>241</v>
      </c>
      <c r="CK3233" s="4" t="s">
        <v>241</v>
      </c>
      <c r="CL3233" s="4" t="s">
        <v>264</v>
      </c>
      <c r="CN3233" s="4" t="s">
        <v>241</v>
      </c>
      <c r="CO3233" s="5" t="s">
        <v>260</v>
      </c>
      <c r="CP3233" s="4" t="s">
        <v>5552</v>
      </c>
      <c r="CQ3233" s="4" t="s">
        <v>5553</v>
      </c>
      <c r="CR3233" s="4" t="s">
        <v>5554</v>
      </c>
      <c r="CS3233" s="4" t="s">
        <v>241</v>
      </c>
      <c r="CT3233" s="4">
        <v>0</v>
      </c>
      <c r="CU3233" s="4" t="s">
        <v>241</v>
      </c>
      <c r="CV3233" s="4" t="s">
        <v>241</v>
      </c>
      <c r="CW3233" s="4" t="s">
        <v>241</v>
      </c>
      <c r="CX3233" s="4" t="s">
        <v>264</v>
      </c>
      <c r="CY3233" s="4" t="s">
        <v>241</v>
      </c>
      <c r="CZ3233" s="6">
        <f>0</f>
        <v>0</v>
      </c>
      <c r="DA3233" s="6">
        <f>251920</f>
        <v>251920</v>
      </c>
      <c r="DB3233" s="6" t="s">
        <v>241</v>
      </c>
      <c r="DC3233" s="4" t="s">
        <v>241</v>
      </c>
      <c r="DD3233" s="4" t="s">
        <v>241</v>
      </c>
      <c r="DF3233" s="4" t="s">
        <v>241</v>
      </c>
      <c r="DG3233" s="6">
        <f>0</f>
        <v>0</v>
      </c>
      <c r="DH3233" s="5" t="s">
        <v>241</v>
      </c>
      <c r="DI3233" s="4" t="s">
        <v>241</v>
      </c>
      <c r="DJ3233" s="4" t="s">
        <v>241</v>
      </c>
      <c r="DK3233" s="4" t="s">
        <v>241</v>
      </c>
      <c r="DL3233" s="4" t="s">
        <v>241</v>
      </c>
      <c r="DM3233" s="4" t="s">
        <v>241</v>
      </c>
      <c r="DN3233" s="4" t="s">
        <v>241</v>
      </c>
      <c r="DO3233" s="6" t="s">
        <v>241</v>
      </c>
      <c r="DP3233" s="4" t="s">
        <v>241</v>
      </c>
      <c r="DQ3233" s="4" t="s">
        <v>247</v>
      </c>
      <c r="DR3233" s="4" t="s">
        <v>5557</v>
      </c>
      <c r="DS3233" s="4" t="s">
        <v>5557</v>
      </c>
      <c r="DT3233" s="4" t="s">
        <v>241</v>
      </c>
      <c r="DU3233" s="4" t="s">
        <v>241</v>
      </c>
      <c r="GN3233" s="4" t="s">
        <v>5558</v>
      </c>
      <c r="HR3233" s="4" t="s">
        <v>241</v>
      </c>
      <c r="HS3233" s="4" t="s">
        <v>241</v>
      </c>
      <c r="HT3233" s="4" t="s">
        <v>241</v>
      </c>
      <c r="HU3233" s="4" t="s">
        <v>241</v>
      </c>
      <c r="HV3233" s="4" t="s">
        <v>241</v>
      </c>
      <c r="HW3233" s="4" t="s">
        <v>241</v>
      </c>
      <c r="HX3233" s="4" t="s">
        <v>241</v>
      </c>
      <c r="HY3233" s="4" t="s">
        <v>241</v>
      </c>
      <c r="HZ3233" s="4" t="s">
        <v>241</v>
      </c>
      <c r="IA3233" s="4" t="s">
        <v>241</v>
      </c>
      <c r="IB3233" s="4" t="s">
        <v>241</v>
      </c>
      <c r="IC3233" s="4" t="s">
        <v>241</v>
      </c>
      <c r="ID3233" s="4" t="s">
        <v>241</v>
      </c>
      <c r="IE3233" s="4" t="s">
        <v>241</v>
      </c>
      <c r="IF3233" s="4" t="s">
        <v>241</v>
      </c>
    </row>
    <row r="3234" spans="1:240" ht="19.5" customHeight="1" x14ac:dyDescent="0.4">
      <c r="A3234" s="4">
        <v>1</v>
      </c>
      <c r="B3234" s="4" t="s">
        <v>239</v>
      </c>
      <c r="C3234" s="4">
        <v>8598</v>
      </c>
      <c r="D3234" s="4">
        <v>1</v>
      </c>
      <c r="E3234" s="4">
        <v>1</v>
      </c>
      <c r="F3234" s="4" t="s">
        <v>241</v>
      </c>
      <c r="I3234" s="4" t="s">
        <v>241</v>
      </c>
      <c r="J3234" s="4" t="s">
        <v>274</v>
      </c>
      <c r="K3234" s="4" t="s">
        <v>251</v>
      </c>
      <c r="L3234" s="4" t="s">
        <v>5638</v>
      </c>
      <c r="N3234" s="6">
        <f>0</f>
        <v>0</v>
      </c>
      <c r="O3234" s="4" t="s">
        <v>268</v>
      </c>
      <c r="P3234" s="6">
        <f>251920</f>
        <v>251920</v>
      </c>
      <c r="Q3234" s="6">
        <f>0</f>
        <v>0</v>
      </c>
      <c r="R3234" s="6">
        <f>0</f>
        <v>0</v>
      </c>
      <c r="S3234" s="6">
        <f>251920</f>
        <v>251920</v>
      </c>
      <c r="T3234" s="6">
        <f>251920</f>
        <v>251920</v>
      </c>
      <c r="U3234" s="5" t="s">
        <v>5551</v>
      </c>
      <c r="V3234" s="4" t="s">
        <v>270</v>
      </c>
      <c r="W3234" s="4" t="s">
        <v>241</v>
      </c>
      <c r="X3234" s="4" t="s">
        <v>241</v>
      </c>
      <c r="Y3234" s="4" t="s">
        <v>241</v>
      </c>
      <c r="AB3234" s="4" t="s">
        <v>241</v>
      </c>
      <c r="AC3234" s="5" t="s">
        <v>241</v>
      </c>
      <c r="AD3234" s="5" t="s">
        <v>241</v>
      </c>
      <c r="AE3234" s="4" t="s">
        <v>241</v>
      </c>
      <c r="AF3234" s="5" t="s">
        <v>241</v>
      </c>
      <c r="AG3234" s="5" t="s">
        <v>241</v>
      </c>
      <c r="AH3234" s="4" t="s">
        <v>241</v>
      </c>
      <c r="AI3234" s="4" t="s">
        <v>247</v>
      </c>
      <c r="AJ3234" s="4" t="s">
        <v>241</v>
      </c>
      <c r="AP3234" s="4" t="s">
        <v>241</v>
      </c>
      <c r="AQ3234" s="4" t="s">
        <v>241</v>
      </c>
      <c r="AR3234" s="4" t="s">
        <v>241</v>
      </c>
      <c r="AS3234" s="5" t="s">
        <v>241</v>
      </c>
      <c r="AT3234" s="5" t="s">
        <v>241</v>
      </c>
      <c r="AU3234" s="5" t="s">
        <v>241</v>
      </c>
      <c r="AW3234" s="4" t="s">
        <v>5555</v>
      </c>
      <c r="AX3234" s="4" t="s">
        <v>241</v>
      </c>
      <c r="AY3234" s="4" t="s">
        <v>241</v>
      </c>
      <c r="AZ3234" s="4" t="s">
        <v>249</v>
      </c>
      <c r="BA3234" s="4" t="s">
        <v>5549</v>
      </c>
      <c r="BB3234" s="4" t="s">
        <v>250</v>
      </c>
      <c r="BC3234" s="4" t="s">
        <v>241</v>
      </c>
      <c r="BD3234" s="4" t="s">
        <v>4338</v>
      </c>
      <c r="BE3234" s="4" t="s">
        <v>5557</v>
      </c>
      <c r="BI3234" s="4" t="s">
        <v>5550</v>
      </c>
      <c r="BJ3234" s="5" t="s">
        <v>5551</v>
      </c>
      <c r="BK3234" s="4" t="s">
        <v>1209</v>
      </c>
      <c r="BL3234" s="4" t="s">
        <v>1209</v>
      </c>
      <c r="BM3234" s="4" t="s">
        <v>241</v>
      </c>
      <c r="BN3234" s="6">
        <f>0</f>
        <v>0</v>
      </c>
      <c r="BO3234" s="6">
        <f>251920</f>
        <v>251920</v>
      </c>
      <c r="BP3234" s="4" t="s">
        <v>256</v>
      </c>
      <c r="BQ3234" s="4" t="s">
        <v>257</v>
      </c>
      <c r="BR3234" s="4" t="s">
        <v>241</v>
      </c>
      <c r="BS3234" s="4" t="s">
        <v>241</v>
      </c>
      <c r="BT3234" s="4" t="s">
        <v>241</v>
      </c>
      <c r="BU3234" s="4" t="s">
        <v>241</v>
      </c>
      <c r="BZ3234" s="5" t="s">
        <v>241</v>
      </c>
      <c r="CA3234" s="4" t="s">
        <v>241</v>
      </c>
      <c r="CB3234" s="4" t="s">
        <v>241</v>
      </c>
      <c r="CC3234" s="4" t="s">
        <v>241</v>
      </c>
      <c r="CD3234" s="4" t="s">
        <v>257</v>
      </c>
      <c r="CE3234" s="4" t="s">
        <v>241</v>
      </c>
      <c r="CF3234" s="4" t="s">
        <v>241</v>
      </c>
      <c r="CJ3234" s="4" t="s">
        <v>241</v>
      </c>
      <c r="CK3234" s="4" t="s">
        <v>241</v>
      </c>
      <c r="CL3234" s="4" t="s">
        <v>264</v>
      </c>
      <c r="CN3234" s="4" t="s">
        <v>241</v>
      </c>
      <c r="CO3234" s="5" t="s">
        <v>260</v>
      </c>
      <c r="CP3234" s="4" t="s">
        <v>5552</v>
      </c>
      <c r="CQ3234" s="4" t="s">
        <v>5553</v>
      </c>
      <c r="CR3234" s="4" t="s">
        <v>5554</v>
      </c>
      <c r="CS3234" s="4" t="s">
        <v>241</v>
      </c>
      <c r="CT3234" s="4">
        <v>0</v>
      </c>
      <c r="CU3234" s="4" t="s">
        <v>241</v>
      </c>
      <c r="CV3234" s="4" t="s">
        <v>241</v>
      </c>
      <c r="CW3234" s="4" t="s">
        <v>241</v>
      </c>
      <c r="CX3234" s="4" t="s">
        <v>264</v>
      </c>
      <c r="CY3234" s="4" t="s">
        <v>241</v>
      </c>
      <c r="CZ3234" s="6">
        <f>0</f>
        <v>0</v>
      </c>
      <c r="DA3234" s="6">
        <f>251920</f>
        <v>251920</v>
      </c>
      <c r="DB3234" s="6" t="s">
        <v>241</v>
      </c>
      <c r="DC3234" s="4" t="s">
        <v>241</v>
      </c>
      <c r="DD3234" s="4" t="s">
        <v>241</v>
      </c>
      <c r="DF3234" s="4" t="s">
        <v>241</v>
      </c>
      <c r="DG3234" s="6">
        <f>0</f>
        <v>0</v>
      </c>
      <c r="DH3234" s="5" t="s">
        <v>241</v>
      </c>
      <c r="DI3234" s="4" t="s">
        <v>241</v>
      </c>
      <c r="DJ3234" s="4" t="s">
        <v>241</v>
      </c>
      <c r="DK3234" s="4" t="s">
        <v>241</v>
      </c>
      <c r="DL3234" s="4" t="s">
        <v>241</v>
      </c>
      <c r="DM3234" s="4" t="s">
        <v>241</v>
      </c>
      <c r="DN3234" s="4" t="s">
        <v>241</v>
      </c>
      <c r="DO3234" s="6" t="s">
        <v>241</v>
      </c>
      <c r="DP3234" s="4" t="s">
        <v>241</v>
      </c>
      <c r="DQ3234" s="4" t="s">
        <v>247</v>
      </c>
      <c r="DR3234" s="4" t="s">
        <v>5557</v>
      </c>
      <c r="DS3234" s="4" t="s">
        <v>5557</v>
      </c>
      <c r="DT3234" s="4" t="s">
        <v>241</v>
      </c>
      <c r="DU3234" s="4" t="s">
        <v>241</v>
      </c>
      <c r="GN3234" s="4" t="s">
        <v>5639</v>
      </c>
      <c r="HR3234" s="4" t="s">
        <v>241</v>
      </c>
      <c r="HS3234" s="4" t="s">
        <v>241</v>
      </c>
      <c r="HT3234" s="4" t="s">
        <v>241</v>
      </c>
      <c r="HU3234" s="4" t="s">
        <v>241</v>
      </c>
      <c r="HV3234" s="4" t="s">
        <v>241</v>
      </c>
      <c r="HW3234" s="4" t="s">
        <v>241</v>
      </c>
      <c r="HX3234" s="4" t="s">
        <v>241</v>
      </c>
      <c r="HY3234" s="4" t="s">
        <v>241</v>
      </c>
      <c r="HZ3234" s="4" t="s">
        <v>241</v>
      </c>
      <c r="IA3234" s="4" t="s">
        <v>241</v>
      </c>
      <c r="IB3234" s="4" t="s">
        <v>241</v>
      </c>
      <c r="IC3234" s="4" t="s">
        <v>241</v>
      </c>
      <c r="ID3234" s="4" t="s">
        <v>241</v>
      </c>
      <c r="IE3234" s="4" t="s">
        <v>241</v>
      </c>
      <c r="IF3234" s="4" t="s">
        <v>241</v>
      </c>
    </row>
    <row r="3235" spans="1:240" ht="19.5" customHeight="1" x14ac:dyDescent="0.4">
      <c r="A3235" s="4">
        <v>1</v>
      </c>
      <c r="B3235" s="4" t="s">
        <v>239</v>
      </c>
      <c r="C3235" s="4">
        <v>8599</v>
      </c>
      <c r="D3235" s="4">
        <v>1</v>
      </c>
      <c r="E3235" s="4">
        <v>1</v>
      </c>
      <c r="F3235" s="4" t="s">
        <v>241</v>
      </c>
      <c r="I3235" s="4" t="s">
        <v>241</v>
      </c>
      <c r="J3235" s="4" t="s">
        <v>274</v>
      </c>
      <c r="K3235" s="4" t="s">
        <v>251</v>
      </c>
      <c r="L3235" s="4" t="s">
        <v>5696</v>
      </c>
      <c r="N3235" s="6">
        <f>0</f>
        <v>0</v>
      </c>
      <c r="O3235" s="4" t="s">
        <v>268</v>
      </c>
      <c r="P3235" s="6">
        <f>52883072</f>
        <v>52883072</v>
      </c>
      <c r="Q3235" s="6">
        <f>0</f>
        <v>0</v>
      </c>
      <c r="R3235" s="6">
        <f>0</f>
        <v>0</v>
      </c>
      <c r="S3235" s="6">
        <f>52883072</f>
        <v>52883072</v>
      </c>
      <c r="T3235" s="6">
        <f>52883072</f>
        <v>52883072</v>
      </c>
      <c r="U3235" s="5" t="s">
        <v>5551</v>
      </c>
      <c r="V3235" s="4" t="s">
        <v>270</v>
      </c>
      <c r="W3235" s="4" t="s">
        <v>241</v>
      </c>
      <c r="X3235" s="4" t="s">
        <v>241</v>
      </c>
      <c r="Y3235" s="4" t="s">
        <v>241</v>
      </c>
      <c r="AB3235" s="4" t="s">
        <v>241</v>
      </c>
      <c r="AC3235" s="5" t="s">
        <v>241</v>
      </c>
      <c r="AD3235" s="5" t="s">
        <v>241</v>
      </c>
      <c r="AE3235" s="4" t="s">
        <v>241</v>
      </c>
      <c r="AF3235" s="5" t="s">
        <v>241</v>
      </c>
      <c r="AG3235" s="5" t="s">
        <v>241</v>
      </c>
      <c r="AH3235" s="4" t="s">
        <v>241</v>
      </c>
      <c r="AI3235" s="4" t="s">
        <v>247</v>
      </c>
      <c r="AJ3235" s="4" t="s">
        <v>241</v>
      </c>
      <c r="AP3235" s="4" t="s">
        <v>241</v>
      </c>
      <c r="AQ3235" s="4" t="s">
        <v>241</v>
      </c>
      <c r="AR3235" s="4" t="s">
        <v>241</v>
      </c>
      <c r="AS3235" s="5" t="s">
        <v>241</v>
      </c>
      <c r="AT3235" s="5" t="s">
        <v>241</v>
      </c>
      <c r="AU3235" s="5" t="s">
        <v>241</v>
      </c>
      <c r="AX3235" s="4" t="s">
        <v>241</v>
      </c>
      <c r="AY3235" s="4" t="s">
        <v>241</v>
      </c>
      <c r="AZ3235" s="4" t="s">
        <v>249</v>
      </c>
      <c r="BA3235" s="4" t="s">
        <v>5549</v>
      </c>
      <c r="BB3235" s="4" t="s">
        <v>250</v>
      </c>
      <c r="BC3235" s="4" t="s">
        <v>241</v>
      </c>
      <c r="BD3235" s="4" t="s">
        <v>4338</v>
      </c>
      <c r="BE3235" s="4" t="s">
        <v>5557</v>
      </c>
      <c r="BI3235" s="4" t="s">
        <v>5550</v>
      </c>
      <c r="BJ3235" s="5" t="s">
        <v>5551</v>
      </c>
      <c r="BK3235" s="4" t="s">
        <v>1209</v>
      </c>
      <c r="BL3235" s="4" t="s">
        <v>1209</v>
      </c>
      <c r="BM3235" s="4" t="s">
        <v>241</v>
      </c>
      <c r="BN3235" s="6">
        <f>0</f>
        <v>0</v>
      </c>
      <c r="BO3235" s="6">
        <f>52883072</f>
        <v>52883072</v>
      </c>
      <c r="BP3235" s="4" t="s">
        <v>256</v>
      </c>
      <c r="BQ3235" s="4" t="s">
        <v>257</v>
      </c>
      <c r="BR3235" s="4" t="s">
        <v>241</v>
      </c>
      <c r="BS3235" s="4" t="s">
        <v>241</v>
      </c>
      <c r="BT3235" s="4" t="s">
        <v>241</v>
      </c>
      <c r="BU3235" s="4" t="s">
        <v>241</v>
      </c>
      <c r="BZ3235" s="5" t="s">
        <v>241</v>
      </c>
      <c r="CA3235" s="4" t="s">
        <v>241</v>
      </c>
      <c r="CB3235" s="4" t="s">
        <v>241</v>
      </c>
      <c r="CC3235" s="4" t="s">
        <v>241</v>
      </c>
      <c r="CD3235" s="4" t="s">
        <v>257</v>
      </c>
      <c r="CE3235" s="4" t="s">
        <v>241</v>
      </c>
      <c r="CF3235" s="4" t="s">
        <v>241</v>
      </c>
      <c r="CJ3235" s="4" t="s">
        <v>241</v>
      </c>
      <c r="CK3235" s="4" t="s">
        <v>241</v>
      </c>
      <c r="CL3235" s="4" t="s">
        <v>264</v>
      </c>
      <c r="CN3235" s="4" t="s">
        <v>241</v>
      </c>
      <c r="CO3235" s="5" t="s">
        <v>260</v>
      </c>
      <c r="CP3235" s="4" t="s">
        <v>5552</v>
      </c>
      <c r="CQ3235" s="4" t="s">
        <v>5553</v>
      </c>
      <c r="CR3235" s="4" t="s">
        <v>5554</v>
      </c>
      <c r="CS3235" s="4" t="s">
        <v>241</v>
      </c>
      <c r="CT3235" s="4">
        <v>0</v>
      </c>
      <c r="CU3235" s="4" t="s">
        <v>241</v>
      </c>
      <c r="CV3235" s="4" t="s">
        <v>241</v>
      </c>
      <c r="CW3235" s="4" t="s">
        <v>241</v>
      </c>
      <c r="CX3235" s="4" t="s">
        <v>264</v>
      </c>
      <c r="CY3235" s="4" t="s">
        <v>241</v>
      </c>
      <c r="CZ3235" s="6">
        <f>0</f>
        <v>0</v>
      </c>
      <c r="DA3235" s="6">
        <f>52883072</f>
        <v>52883072</v>
      </c>
      <c r="DB3235" s="6" t="s">
        <v>241</v>
      </c>
      <c r="DC3235" s="4" t="s">
        <v>241</v>
      </c>
      <c r="DD3235" s="4" t="s">
        <v>241</v>
      </c>
      <c r="DF3235" s="4" t="s">
        <v>241</v>
      </c>
      <c r="DG3235" s="6">
        <f>0</f>
        <v>0</v>
      </c>
      <c r="DH3235" s="5" t="s">
        <v>241</v>
      </c>
      <c r="DI3235" s="4" t="s">
        <v>241</v>
      </c>
      <c r="DJ3235" s="4" t="s">
        <v>241</v>
      </c>
      <c r="DK3235" s="4" t="s">
        <v>241</v>
      </c>
      <c r="DL3235" s="4" t="s">
        <v>241</v>
      </c>
      <c r="DM3235" s="4" t="s">
        <v>241</v>
      </c>
      <c r="DN3235" s="4" t="s">
        <v>241</v>
      </c>
      <c r="DO3235" s="6" t="s">
        <v>241</v>
      </c>
      <c r="DP3235" s="4" t="s">
        <v>241</v>
      </c>
      <c r="DQ3235" s="4" t="s">
        <v>247</v>
      </c>
      <c r="DR3235" s="4" t="s">
        <v>5557</v>
      </c>
      <c r="DS3235" s="4" t="s">
        <v>5557</v>
      </c>
      <c r="DT3235" s="4" t="s">
        <v>241</v>
      </c>
      <c r="DU3235" s="4" t="s">
        <v>241</v>
      </c>
      <c r="GN3235" s="4" t="s">
        <v>5697</v>
      </c>
      <c r="HR3235" s="4" t="s">
        <v>241</v>
      </c>
      <c r="HS3235" s="4" t="s">
        <v>241</v>
      </c>
      <c r="HT3235" s="4" t="s">
        <v>241</v>
      </c>
      <c r="HU3235" s="4" t="s">
        <v>241</v>
      </c>
      <c r="HV3235" s="4" t="s">
        <v>241</v>
      </c>
      <c r="HW3235" s="4" t="s">
        <v>241</v>
      </c>
      <c r="HX3235" s="4" t="s">
        <v>241</v>
      </c>
      <c r="HY3235" s="4" t="s">
        <v>241</v>
      </c>
      <c r="HZ3235" s="4" t="s">
        <v>241</v>
      </c>
      <c r="IA3235" s="4" t="s">
        <v>241</v>
      </c>
      <c r="IB3235" s="4" t="s">
        <v>241</v>
      </c>
      <c r="IC3235" s="4" t="s">
        <v>241</v>
      </c>
      <c r="ID3235" s="4" t="s">
        <v>241</v>
      </c>
      <c r="IE3235" s="4" t="s">
        <v>241</v>
      </c>
      <c r="IF3235" s="4" t="s">
        <v>241</v>
      </c>
    </row>
    <row r="3236" spans="1:240" ht="19.5" customHeight="1" x14ac:dyDescent="0.4">
      <c r="A3236" s="4">
        <v>1</v>
      </c>
      <c r="B3236" s="4" t="s">
        <v>239</v>
      </c>
      <c r="C3236" s="4">
        <v>8600</v>
      </c>
      <c r="D3236" s="4">
        <v>1</v>
      </c>
      <c r="E3236" s="4">
        <v>1</v>
      </c>
      <c r="F3236" s="4" t="s">
        <v>241</v>
      </c>
      <c r="I3236" s="4" t="s">
        <v>241</v>
      </c>
      <c r="J3236" s="4" t="s">
        <v>274</v>
      </c>
      <c r="K3236" s="4" t="s">
        <v>251</v>
      </c>
      <c r="L3236" s="4" t="s">
        <v>5599</v>
      </c>
      <c r="N3236" s="6">
        <f>1</f>
        <v>1</v>
      </c>
      <c r="O3236" s="4" t="s">
        <v>5578</v>
      </c>
      <c r="P3236" s="6">
        <f>847432</f>
        <v>847432</v>
      </c>
      <c r="Q3236" s="6">
        <f>0</f>
        <v>0</v>
      </c>
      <c r="R3236" s="6">
        <f>0</f>
        <v>0</v>
      </c>
      <c r="S3236" s="6">
        <f>847432</f>
        <v>847432</v>
      </c>
      <c r="T3236" s="6">
        <f>847432</f>
        <v>847432</v>
      </c>
      <c r="U3236" s="5" t="s">
        <v>5551</v>
      </c>
      <c r="V3236" s="4" t="s">
        <v>270</v>
      </c>
      <c r="W3236" s="4" t="s">
        <v>241</v>
      </c>
      <c r="X3236" s="4" t="s">
        <v>241</v>
      </c>
      <c r="Y3236" s="4" t="s">
        <v>241</v>
      </c>
      <c r="AB3236" s="4" t="s">
        <v>241</v>
      </c>
      <c r="AC3236" s="5" t="s">
        <v>241</v>
      </c>
      <c r="AD3236" s="5" t="s">
        <v>241</v>
      </c>
      <c r="AE3236" s="4" t="s">
        <v>241</v>
      </c>
      <c r="AF3236" s="5" t="s">
        <v>241</v>
      </c>
      <c r="AG3236" s="5" t="s">
        <v>241</v>
      </c>
      <c r="AH3236" s="4" t="s">
        <v>241</v>
      </c>
      <c r="AI3236" s="4" t="s">
        <v>247</v>
      </c>
      <c r="AJ3236" s="4" t="s">
        <v>241</v>
      </c>
      <c r="AP3236" s="4" t="s">
        <v>241</v>
      </c>
      <c r="AQ3236" s="4" t="s">
        <v>241</v>
      </c>
      <c r="AR3236" s="4" t="s">
        <v>241</v>
      </c>
      <c r="AS3236" s="5" t="s">
        <v>241</v>
      </c>
      <c r="AT3236" s="5" t="s">
        <v>241</v>
      </c>
      <c r="AU3236" s="5" t="s">
        <v>241</v>
      </c>
      <c r="AW3236" s="4" t="s">
        <v>5556</v>
      </c>
      <c r="AX3236" s="4" t="s">
        <v>241</v>
      </c>
      <c r="AY3236" s="4" t="s">
        <v>241</v>
      </c>
      <c r="AZ3236" s="4" t="s">
        <v>249</v>
      </c>
      <c r="BA3236" s="4" t="s">
        <v>5549</v>
      </c>
      <c r="BB3236" s="4" t="s">
        <v>250</v>
      </c>
      <c r="BC3236" s="4" t="s">
        <v>241</v>
      </c>
      <c r="BD3236" s="4" t="s">
        <v>4338</v>
      </c>
      <c r="BE3236" s="4" t="s">
        <v>5557</v>
      </c>
      <c r="BI3236" s="4" t="s">
        <v>5550</v>
      </c>
      <c r="BJ3236" s="5" t="s">
        <v>5551</v>
      </c>
      <c r="BK3236" s="4" t="s">
        <v>1209</v>
      </c>
      <c r="BL3236" s="4" t="s">
        <v>1209</v>
      </c>
      <c r="BM3236" s="4" t="s">
        <v>241</v>
      </c>
      <c r="BN3236" s="6">
        <f>1</f>
        <v>1</v>
      </c>
      <c r="BO3236" s="6">
        <f>847432</f>
        <v>847432</v>
      </c>
      <c r="BP3236" s="4" t="s">
        <v>256</v>
      </c>
      <c r="BQ3236" s="4" t="s">
        <v>257</v>
      </c>
      <c r="BR3236" s="4" t="s">
        <v>241</v>
      </c>
      <c r="BS3236" s="4" t="s">
        <v>241</v>
      </c>
      <c r="BT3236" s="4" t="s">
        <v>241</v>
      </c>
      <c r="BU3236" s="4" t="s">
        <v>241</v>
      </c>
      <c r="BZ3236" s="5" t="s">
        <v>241</v>
      </c>
      <c r="CA3236" s="4" t="s">
        <v>241</v>
      </c>
      <c r="CB3236" s="4" t="s">
        <v>241</v>
      </c>
      <c r="CC3236" s="4" t="s">
        <v>241</v>
      </c>
      <c r="CD3236" s="4" t="s">
        <v>257</v>
      </c>
      <c r="CE3236" s="4" t="s">
        <v>241</v>
      </c>
      <c r="CF3236" s="4" t="s">
        <v>241</v>
      </c>
      <c r="CJ3236" s="4" t="s">
        <v>241</v>
      </c>
      <c r="CK3236" s="4" t="s">
        <v>241</v>
      </c>
      <c r="CL3236" s="4" t="s">
        <v>264</v>
      </c>
      <c r="CN3236" s="4" t="s">
        <v>241</v>
      </c>
      <c r="CO3236" s="5" t="s">
        <v>260</v>
      </c>
      <c r="CP3236" s="4" t="s">
        <v>5552</v>
      </c>
      <c r="CQ3236" s="4" t="s">
        <v>5553</v>
      </c>
      <c r="CR3236" s="4" t="s">
        <v>5554</v>
      </c>
      <c r="CS3236" s="4" t="s">
        <v>241</v>
      </c>
      <c r="CT3236" s="4">
        <v>0</v>
      </c>
      <c r="CU3236" s="4" t="s">
        <v>241</v>
      </c>
      <c r="CV3236" s="4" t="s">
        <v>241</v>
      </c>
      <c r="CW3236" s="4" t="s">
        <v>241</v>
      </c>
      <c r="CX3236" s="4" t="s">
        <v>264</v>
      </c>
      <c r="CY3236" s="4" t="s">
        <v>241</v>
      </c>
      <c r="CZ3236" s="6">
        <f>0</f>
        <v>0</v>
      </c>
      <c r="DA3236" s="6">
        <f>847432</f>
        <v>847432</v>
      </c>
      <c r="DB3236" s="6" t="s">
        <v>241</v>
      </c>
      <c r="DC3236" s="4" t="s">
        <v>241</v>
      </c>
      <c r="DD3236" s="4" t="s">
        <v>241</v>
      </c>
      <c r="DF3236" s="4" t="s">
        <v>241</v>
      </c>
      <c r="DG3236" s="6">
        <f>0</f>
        <v>0</v>
      </c>
      <c r="DH3236" s="5" t="s">
        <v>241</v>
      </c>
      <c r="DI3236" s="4" t="s">
        <v>241</v>
      </c>
      <c r="DJ3236" s="4" t="s">
        <v>241</v>
      </c>
      <c r="DK3236" s="4" t="s">
        <v>241</v>
      </c>
      <c r="DL3236" s="4" t="s">
        <v>241</v>
      </c>
      <c r="DM3236" s="4" t="s">
        <v>241</v>
      </c>
      <c r="DN3236" s="4" t="s">
        <v>241</v>
      </c>
      <c r="DO3236" s="6" t="s">
        <v>241</v>
      </c>
      <c r="DP3236" s="4" t="s">
        <v>241</v>
      </c>
      <c r="DQ3236" s="4" t="s">
        <v>247</v>
      </c>
      <c r="DR3236" s="4" t="s">
        <v>5557</v>
      </c>
      <c r="DS3236" s="4" t="s">
        <v>5557</v>
      </c>
      <c r="DT3236" s="4" t="s">
        <v>241</v>
      </c>
      <c r="DU3236" s="4" t="s">
        <v>241</v>
      </c>
      <c r="GN3236" s="4" t="s">
        <v>5600</v>
      </c>
      <c r="HR3236" s="4" t="s">
        <v>241</v>
      </c>
      <c r="HS3236" s="4" t="s">
        <v>241</v>
      </c>
      <c r="HT3236" s="4" t="s">
        <v>241</v>
      </c>
      <c r="HU3236" s="4" t="s">
        <v>241</v>
      </c>
      <c r="HV3236" s="4" t="s">
        <v>241</v>
      </c>
      <c r="HW3236" s="4" t="s">
        <v>241</v>
      </c>
      <c r="HX3236" s="4" t="s">
        <v>241</v>
      </c>
      <c r="HY3236" s="4" t="s">
        <v>241</v>
      </c>
      <c r="HZ3236" s="4" t="s">
        <v>241</v>
      </c>
      <c r="IA3236" s="4" t="s">
        <v>241</v>
      </c>
      <c r="IB3236" s="4" t="s">
        <v>241</v>
      </c>
      <c r="IC3236" s="4" t="s">
        <v>241</v>
      </c>
      <c r="ID3236" s="4" t="s">
        <v>241</v>
      </c>
      <c r="IE3236" s="4" t="s">
        <v>241</v>
      </c>
      <c r="IF3236" s="4" t="s">
        <v>241</v>
      </c>
    </row>
    <row r="3237" spans="1:240" ht="19.5" customHeight="1" x14ac:dyDescent="0.4">
      <c r="A3237" s="4">
        <v>1</v>
      </c>
      <c r="B3237" s="4" t="s">
        <v>239</v>
      </c>
      <c r="C3237" s="4">
        <v>8601</v>
      </c>
      <c r="D3237" s="4">
        <v>1</v>
      </c>
      <c r="E3237" s="4">
        <v>1</v>
      </c>
      <c r="F3237" s="4" t="s">
        <v>241</v>
      </c>
      <c r="I3237" s="4" t="s">
        <v>241</v>
      </c>
      <c r="J3237" s="4" t="s">
        <v>274</v>
      </c>
      <c r="K3237" s="4" t="s">
        <v>251</v>
      </c>
      <c r="L3237" s="4" t="s">
        <v>5670</v>
      </c>
      <c r="N3237" s="6">
        <f>0</f>
        <v>0</v>
      </c>
      <c r="O3237" s="4" t="s">
        <v>268</v>
      </c>
      <c r="P3237" s="6">
        <f>847432</f>
        <v>847432</v>
      </c>
      <c r="Q3237" s="6">
        <f>0</f>
        <v>0</v>
      </c>
      <c r="R3237" s="6">
        <f>0</f>
        <v>0</v>
      </c>
      <c r="S3237" s="6">
        <f>847432</f>
        <v>847432</v>
      </c>
      <c r="T3237" s="6">
        <f>847432</f>
        <v>847432</v>
      </c>
      <c r="U3237" s="5" t="s">
        <v>5551</v>
      </c>
      <c r="V3237" s="4" t="s">
        <v>270</v>
      </c>
      <c r="W3237" s="4" t="s">
        <v>241</v>
      </c>
      <c r="X3237" s="4" t="s">
        <v>241</v>
      </c>
      <c r="Y3237" s="4" t="s">
        <v>241</v>
      </c>
      <c r="AB3237" s="4" t="s">
        <v>241</v>
      </c>
      <c r="AC3237" s="5" t="s">
        <v>241</v>
      </c>
      <c r="AD3237" s="5" t="s">
        <v>241</v>
      </c>
      <c r="AE3237" s="4" t="s">
        <v>241</v>
      </c>
      <c r="AF3237" s="5" t="s">
        <v>241</v>
      </c>
      <c r="AG3237" s="5" t="s">
        <v>241</v>
      </c>
      <c r="AH3237" s="4" t="s">
        <v>241</v>
      </c>
      <c r="AI3237" s="4" t="s">
        <v>247</v>
      </c>
      <c r="AJ3237" s="4" t="s">
        <v>241</v>
      </c>
      <c r="AP3237" s="4" t="s">
        <v>241</v>
      </c>
      <c r="AQ3237" s="4" t="s">
        <v>241</v>
      </c>
      <c r="AR3237" s="4" t="s">
        <v>241</v>
      </c>
      <c r="AS3237" s="5" t="s">
        <v>241</v>
      </c>
      <c r="AT3237" s="5" t="s">
        <v>241</v>
      </c>
      <c r="AU3237" s="5" t="s">
        <v>241</v>
      </c>
      <c r="AW3237" s="4" t="s">
        <v>5556</v>
      </c>
      <c r="AX3237" s="4" t="s">
        <v>241</v>
      </c>
      <c r="AY3237" s="4" t="s">
        <v>241</v>
      </c>
      <c r="AZ3237" s="4" t="s">
        <v>249</v>
      </c>
      <c r="BA3237" s="4" t="s">
        <v>5549</v>
      </c>
      <c r="BB3237" s="4" t="s">
        <v>250</v>
      </c>
      <c r="BC3237" s="4" t="s">
        <v>241</v>
      </c>
      <c r="BD3237" s="4" t="s">
        <v>4338</v>
      </c>
      <c r="BE3237" s="4" t="s">
        <v>5557</v>
      </c>
      <c r="BI3237" s="4" t="s">
        <v>5550</v>
      </c>
      <c r="BJ3237" s="5" t="s">
        <v>5551</v>
      </c>
      <c r="BK3237" s="4" t="s">
        <v>1209</v>
      </c>
      <c r="BL3237" s="4" t="s">
        <v>1209</v>
      </c>
      <c r="BM3237" s="4" t="s">
        <v>241</v>
      </c>
      <c r="BN3237" s="6">
        <f>0</f>
        <v>0</v>
      </c>
      <c r="BO3237" s="6">
        <f>847432</f>
        <v>847432</v>
      </c>
      <c r="BP3237" s="4" t="s">
        <v>256</v>
      </c>
      <c r="BQ3237" s="4" t="s">
        <v>257</v>
      </c>
      <c r="BR3237" s="4" t="s">
        <v>241</v>
      </c>
      <c r="BS3237" s="4" t="s">
        <v>241</v>
      </c>
      <c r="BT3237" s="4" t="s">
        <v>241</v>
      </c>
      <c r="BU3237" s="4" t="s">
        <v>241</v>
      </c>
      <c r="BZ3237" s="5" t="s">
        <v>241</v>
      </c>
      <c r="CA3237" s="4" t="s">
        <v>241</v>
      </c>
      <c r="CB3237" s="4" t="s">
        <v>241</v>
      </c>
      <c r="CC3237" s="4" t="s">
        <v>241</v>
      </c>
      <c r="CD3237" s="4" t="s">
        <v>257</v>
      </c>
      <c r="CE3237" s="4" t="s">
        <v>241</v>
      </c>
      <c r="CF3237" s="4" t="s">
        <v>241</v>
      </c>
      <c r="CJ3237" s="4" t="s">
        <v>241</v>
      </c>
      <c r="CK3237" s="4" t="s">
        <v>241</v>
      </c>
      <c r="CL3237" s="4" t="s">
        <v>264</v>
      </c>
      <c r="CN3237" s="4" t="s">
        <v>241</v>
      </c>
      <c r="CO3237" s="5" t="s">
        <v>260</v>
      </c>
      <c r="CP3237" s="4" t="s">
        <v>5552</v>
      </c>
      <c r="CQ3237" s="4" t="s">
        <v>5553</v>
      </c>
      <c r="CR3237" s="4" t="s">
        <v>5554</v>
      </c>
      <c r="CS3237" s="4" t="s">
        <v>241</v>
      </c>
      <c r="CT3237" s="4">
        <v>0</v>
      </c>
      <c r="CU3237" s="4" t="s">
        <v>241</v>
      </c>
      <c r="CV3237" s="4" t="s">
        <v>241</v>
      </c>
      <c r="CW3237" s="4" t="s">
        <v>241</v>
      </c>
      <c r="CX3237" s="4" t="s">
        <v>264</v>
      </c>
      <c r="CY3237" s="4" t="s">
        <v>241</v>
      </c>
      <c r="CZ3237" s="6">
        <f>0</f>
        <v>0</v>
      </c>
      <c r="DA3237" s="6">
        <f>847432</f>
        <v>847432</v>
      </c>
      <c r="DB3237" s="6" t="s">
        <v>241</v>
      </c>
      <c r="DC3237" s="4" t="s">
        <v>241</v>
      </c>
      <c r="DD3237" s="4" t="s">
        <v>241</v>
      </c>
      <c r="DF3237" s="4" t="s">
        <v>241</v>
      </c>
      <c r="DG3237" s="6">
        <f>0</f>
        <v>0</v>
      </c>
      <c r="DH3237" s="5" t="s">
        <v>241</v>
      </c>
      <c r="DI3237" s="4" t="s">
        <v>241</v>
      </c>
      <c r="DJ3237" s="4" t="s">
        <v>241</v>
      </c>
      <c r="DK3237" s="4" t="s">
        <v>241</v>
      </c>
      <c r="DL3237" s="4" t="s">
        <v>241</v>
      </c>
      <c r="DM3237" s="4" t="s">
        <v>241</v>
      </c>
      <c r="DN3237" s="4" t="s">
        <v>241</v>
      </c>
      <c r="DO3237" s="6" t="s">
        <v>241</v>
      </c>
      <c r="DP3237" s="4" t="s">
        <v>241</v>
      </c>
      <c r="DQ3237" s="4" t="s">
        <v>247</v>
      </c>
      <c r="DR3237" s="4" t="s">
        <v>5557</v>
      </c>
      <c r="DS3237" s="4" t="s">
        <v>5557</v>
      </c>
      <c r="DT3237" s="4" t="s">
        <v>241</v>
      </c>
      <c r="DU3237" s="4" t="s">
        <v>241</v>
      </c>
      <c r="GN3237" s="4" t="s">
        <v>5671</v>
      </c>
      <c r="HR3237" s="4" t="s">
        <v>241</v>
      </c>
      <c r="HS3237" s="4" t="s">
        <v>241</v>
      </c>
      <c r="HT3237" s="4" t="s">
        <v>241</v>
      </c>
      <c r="HU3237" s="4" t="s">
        <v>241</v>
      </c>
      <c r="HV3237" s="4" t="s">
        <v>241</v>
      </c>
      <c r="HW3237" s="4" t="s">
        <v>241</v>
      </c>
      <c r="HX3237" s="4" t="s">
        <v>241</v>
      </c>
      <c r="HY3237" s="4" t="s">
        <v>241</v>
      </c>
      <c r="HZ3237" s="4" t="s">
        <v>241</v>
      </c>
      <c r="IA3237" s="4" t="s">
        <v>241</v>
      </c>
      <c r="IB3237" s="4" t="s">
        <v>241</v>
      </c>
      <c r="IC3237" s="4" t="s">
        <v>241</v>
      </c>
      <c r="ID3237" s="4" t="s">
        <v>241</v>
      </c>
      <c r="IE3237" s="4" t="s">
        <v>241</v>
      </c>
      <c r="IF3237" s="4" t="s">
        <v>241</v>
      </c>
    </row>
  </sheetData>
  <autoFilter ref="A1:IF3237">
    <sortState ref="A2:IF8221">
      <sortCondition ref="C1"/>
    </sortState>
  </autoFilter>
  <phoneticPr fontId="1"/>
  <printOptions gridLines="1"/>
  <pageMargins left="0.70866141732283472" right="0.70866141732283472" top="0.74803149606299213" bottom="0.74803149606299213" header="0.31496062992125984" footer="0.31496062992125984"/>
  <pageSetup paperSize="8" scale="42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藤木 隆雄</dc:creator>
  <cp:lastModifiedBy>星　和希</cp:lastModifiedBy>
  <cp:lastPrinted>2023-04-17T02:31:53Z</cp:lastPrinted>
  <dcterms:created xsi:type="dcterms:W3CDTF">2015-11-06T11:18:40Z</dcterms:created>
  <dcterms:modified xsi:type="dcterms:W3CDTF">2023-04-17T04:38:17Z</dcterms:modified>
</cp:coreProperties>
</file>